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drawings/drawing8.xml" ContentType="application/vnd.openxmlformats-officedocument.drawing+xml"/>
  <Override PartName="/xl/comments5.xml" ContentType="application/vnd.openxmlformats-officedocument.spreadsheetml.comments+xml"/>
  <Override PartName="/xl/drawings/drawing9.xml" ContentType="application/vnd.openxmlformats-officedocument.drawing+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931" codeName="{B6124F1A-AFFB-F854-7757-9A1D4C6FC43C}"/>
  <workbookPr updateLinks="never" codeName="ThisWorkbook"/>
  <mc:AlternateContent xmlns:mc="http://schemas.openxmlformats.org/markup-compatibility/2006">
    <mc:Choice Requires="x15">
      <x15ac:absPath xmlns:x15ac="http://schemas.microsoft.com/office/spreadsheetml/2010/11/ac" url="D:\USF GIT\ALC\"/>
    </mc:Choice>
  </mc:AlternateContent>
  <xr:revisionPtr revIDLastSave="0" documentId="13_ncr:1_{DC402EA5-7961-4D9B-944A-058122E5860A}" xr6:coauthVersionLast="47" xr6:coauthVersionMax="47" xr10:uidLastSave="{00000000-0000-0000-0000-000000000000}"/>
  <workbookProtection workbookAlgorithmName="SHA-512" workbookHashValue="PjcFu9G5jf06NR4LNmxMk3JEeW5V2YeA/gxfbzh6NhZKxziqaM1RypvF1FaivxWERGaXOXSyUNlOsXtbFq6TWw==" workbookSaltValue="2NVCxdMCHFJ2kI6LfpbnHw==" workbookSpinCount="100000" lockStructure="1"/>
  <bookViews>
    <workbookView xWindow="-120" yWindow="-120" windowWidth="20730" windowHeight="11160" tabRatio="871"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Incentives Worksheet" sheetId="97" state="hidden" r:id="rId12"/>
    <sheet name="Variable Costs (Back)" sheetId="36" state="veryHidden" r:id="rId13"/>
    <sheet name="EB_CM (Back)" sheetId="43" state="veryHidden" r:id="rId14"/>
    <sheet name="Multi-Customer" sheetId="72" state="veryHidden" r:id="rId15"/>
    <sheet name="PIM Ranges" sheetId="76" state="veryHidden" r:id="rId16"/>
    <sheet name="Incentive Setup" sheetId="99" state="hidden" r:id="rId17"/>
    <sheet name="MDA Worksheet" sheetId="61" state="hidden" r:id="rId18"/>
    <sheet name="PRIME Upload" sheetId="59" state="hidden" r:id="rId19"/>
    <sheet name="Basket Composition" sheetId="33" state="veryHidden" r:id="rId20"/>
    <sheet name="PRIME Headers" sheetId="69" state="hidden" r:id="rId21"/>
    <sheet name="CC MARKET EXPENSE" sheetId="85" state="veryHidden" r:id="rId22"/>
    <sheet name="Margin Guidence Table" sheetId="88" state="veryHidden" r:id="rId23"/>
    <sheet name="Audit" sheetId="96" state="hidden" r:id="rId24"/>
    <sheet name="Mapping Sheet" sheetId="100" state="hidden" r:id="rId25"/>
    <sheet name="Configurable Tab" sheetId="98" state="hidden" r:id="rId26"/>
    <sheet name="Modellable Customers" sheetId="78" r:id="rId27"/>
    <sheet name="HOS_Modellable Customers" sheetId="84" r:id="rId28"/>
    <sheet name="Existing Customers" sheetId="40" r:id="rId29"/>
    <sheet name="Existing Customer Variable Exp" sheetId="42" r:id="rId30"/>
    <sheet name="Customer Info" sheetId="77" r:id="rId31"/>
    <sheet name="Variable Selling" sheetId="30" r:id="rId32"/>
    <sheet name="Variable Div Avgs" sheetId="14" r:id="rId33"/>
    <sheet name="3zip" sheetId="50" r:id="rId34"/>
    <sheet name="4zip" sheetId="47" r:id="rId35"/>
    <sheet name="5zip" sheetId="37" r:id="rId36"/>
    <sheet name="Prospect Slot Assumptions" sheetId="91" state="veryHidden" r:id="rId37"/>
    <sheet name="Margin Quartiles" sheetId="34" state="veryHidden" r:id="rId38"/>
    <sheet name="IMargin Quartiles" sheetId="48" state="veryHidden" r:id="rId39"/>
    <sheet name="Lookups" sheetId="6" state="hidden" r:id="rId40"/>
    <sheet name="Market Geography" sheetId="38" state="veryHidden" r:id="rId41"/>
  </sheets>
  <functionGroups builtInGroupCount="19"/>
  <externalReferences>
    <externalReference r:id="rId42"/>
    <externalReference r:id="rId43"/>
  </externalReferences>
  <definedNames>
    <definedName name="_xlnm._FilterDatabase" localSheetId="33" hidden="1">'3zip'!$A$1:$F$2754</definedName>
    <definedName name="_xlnm._FilterDatabase" localSheetId="34" hidden="1">'4zip'!$A$1:$F$95</definedName>
    <definedName name="_xlnm._FilterDatabase" localSheetId="35" hidden="1">'5zip'!$A$1:$F$1</definedName>
    <definedName name="_xlnm._FilterDatabase" localSheetId="23" hidden="1">Audit!$A$1:$BG$1736</definedName>
    <definedName name="_xlnm._FilterDatabase" localSheetId="19" hidden="1">'Basket Composition'!$A$2:$A$30</definedName>
    <definedName name="_xlnm._FilterDatabase" localSheetId="29" hidden="1">'Existing Customer Variable Exp'!$A$1:$F$1</definedName>
    <definedName name="_xlnm._FilterDatabase" localSheetId="28" hidden="1">'Existing Customers'!$A$1:$AA$1</definedName>
    <definedName name="_xlnm._FilterDatabase" localSheetId="27" hidden="1">'HOS_Modellable Customers'!$A$1:$B$1</definedName>
    <definedName name="_xlnm._FilterDatabase" localSheetId="38" hidden="1">'IMargin Quartiles'!$B$1:$C$106</definedName>
    <definedName name="_xlnm._FilterDatabase" localSheetId="39" hidden="1">Lookups!$E$1:$E$61</definedName>
    <definedName name="_xlnm._FilterDatabase" localSheetId="24" hidden="1">'Mapping Sheet'!$A$2:$Z$2933</definedName>
    <definedName name="_xlnm._FilterDatabase" localSheetId="37" hidden="1">'Margin Quartiles'!$B$1:$C$111</definedName>
    <definedName name="_xlnm._FilterDatabase" localSheetId="26" hidden="1">'Modellable Customers'!$A$1:$B$916</definedName>
    <definedName name="_xlnm._FilterDatabase" localSheetId="18" hidden="1">'PRIME Upload'!$A$1:$A$82</definedName>
    <definedName name="_xlnm._FilterDatabase" localSheetId="32" hidden="1">'Variable Div Avgs'!$A$1:$M$60</definedName>
    <definedName name="_xlnm._FilterDatabase" localSheetId="31" hidden="1">'Variable Selling'!$B$1:$O$1758</definedName>
    <definedName name="actionrequested" localSheetId="2">#REF!</definedName>
    <definedName name="actionrequested" localSheetId="0">#REF!</definedName>
    <definedName name="actionrequested" localSheetId="27">#REF!</definedName>
    <definedName name="actionrequested" localSheetId="17">#REF!</definedName>
    <definedName name="actionrequested" localSheetId="14">#REF!</definedName>
    <definedName name="actionrequested" localSheetId="3">#REF!</definedName>
    <definedName name="actionrequested" localSheetId="15">#REF!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7">#REF!</definedName>
    <definedName name="divisionlisting" localSheetId="17">#REF!</definedName>
    <definedName name="divisionlisting" localSheetId="14">#REF!</definedName>
    <definedName name="divisionlisting" localSheetId="3">#REF!</definedName>
    <definedName name="divisionlisting" localSheetId="15">#REF!</definedName>
    <definedName name="divisionlisting" localSheetId="1">#REF!</definedName>
    <definedName name="divisionlisting">#REF!</definedName>
    <definedName name="DropCriteria">'[1]Drop Box'!$L$2:$L$8</definedName>
    <definedName name="droppgmparameters">'[1]Drop Box'!$M$2:$M$4</definedName>
    <definedName name="Extension">Welcome!$L$1:$L$5</definedName>
    <definedName name="ExternalData_1" localSheetId="28">'Existing Customers'!$A$1:$AC$12740</definedName>
    <definedName name="ExternalData_1" localSheetId="27">'HOS_Modellable Customers'!$A$1:$B$1053</definedName>
    <definedName name="ExternalData_1" localSheetId="26">'Modellable Customers'!$A$1:$B$916</definedName>
    <definedName name="ExternalData_2" localSheetId="33">'3zip'!$A$1:$F$30</definedName>
    <definedName name="ExternalData_2" localSheetId="34">'4zip'!$A$1:$F$93</definedName>
    <definedName name="ExternalData_2" localSheetId="35">'5zip'!$A$1:$F$374</definedName>
    <definedName name="ExternalData_2" localSheetId="30">'Customer Info'!$A$1:$F$6606</definedName>
    <definedName name="ExternalData_2" localSheetId="29">'Existing Customer Variable Exp'!$A$1:$F$1053</definedName>
    <definedName name="ExternalData_2" localSheetId="32">'Variable Div Avgs'!$A$1:$M$2</definedName>
    <definedName name="ExternalData_2" localSheetId="31">'Variable Selling'!$A$1:$O$32</definedName>
    <definedName name="growththresholds">'[1]Drop Box'!$C$2:$C$6</definedName>
    <definedName name="HOS">Lookups!$AK$2:$AK$6</definedName>
    <definedName name="IND">Lookups!$D$2:$D$21</definedName>
    <definedName name="no_of_customers">OFFSET(Lookups!$AA$1,0,0,COUNTA(Lookups!$AA:$AA),1)</definedName>
    <definedName name="paycycle">'[1]Drop Box'!$G$2:$G$10</definedName>
    <definedName name="Paymentterms">'[1]Drop Box'!$B$2:$B$17</definedName>
    <definedName name="payoutlocation" localSheetId="2">#REF!</definedName>
    <definedName name="payoutlocation" localSheetId="0">#REF!</definedName>
    <definedName name="payoutlocation" localSheetId="27">#REF!</definedName>
    <definedName name="payoutlocation" localSheetId="17">#REF!</definedName>
    <definedName name="payoutlocation" localSheetId="14">#REF!</definedName>
    <definedName name="payoutlocation" localSheetId="3">#REF!</definedName>
    <definedName name="payoutlocation" localSheetId="15">#REF!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7">#REF!</definedName>
    <definedName name="pgmparameters" localSheetId="17">#REF!</definedName>
    <definedName name="pgmparameters" localSheetId="14">#REF!</definedName>
    <definedName name="pgmparameters" localSheetId="3">#REF!</definedName>
    <definedName name="pgmparameters" localSheetId="15">#REF!</definedName>
    <definedName name="pgmparameters" localSheetId="1">#REF!</definedName>
    <definedName name="pgmparameters">#REF!</definedName>
    <definedName name="pppgmparameters">'[1]Drop Box'!$N$2:$N$8</definedName>
    <definedName name="_xlnm.Print_Area" localSheetId="2">'Customer Inputs'!$E$2:$X$29</definedName>
    <definedName name="_xlnm.Print_Area" localSheetId="29">'Existing Customer Variable Exp'!$H$1</definedName>
    <definedName name="_xlnm.Print_Area" localSheetId="28">'Existing Customers'!$AD$1</definedName>
    <definedName name="_xlnm.Print_Area" localSheetId="27">'HOS_Modellable Customers'!$F$1</definedName>
    <definedName name="_xlnm.Print_Area" localSheetId="16">'Incentive Setup'!$A$2</definedName>
    <definedName name="_xlnm.Print_Area" localSheetId="4">Incentives!$B$2:$Q$479</definedName>
    <definedName name="_xlnm.Print_Area" localSheetId="17">'MDA Worksheet'!$B$1:$BF$142</definedName>
    <definedName name="_xlnm.Print_Area" localSheetId="26">'Modellable Customers'!$L$1</definedName>
    <definedName name="_xlnm.Print_Area" localSheetId="3">'PIM Model'!$B$1:$Q$40</definedName>
    <definedName name="_xlnm.Print_Area" localSheetId="20">'PRIME Headers'!$B$2:$C$24</definedName>
    <definedName name="_xlnm.Print_Area" localSheetId="18">'PRIME Upload'!$Q$1</definedName>
    <definedName name="_xlnm.Print_Area" localSheetId="8">'Required Info to Submit'!$C$2:$P$43</definedName>
    <definedName name="_xlnm.Print_Area" localSheetId="7">'Tracking &amp; Profitability'!$B$2:$S$43</definedName>
    <definedName name="_xlnm.Print_Area" localSheetId="6">'Variable Costs &amp; Income'!$B$2:$L$40</definedName>
    <definedName name="_xlnm.Print_Area" localSheetId="1">Welcome!$B$2:$I$39</definedName>
    <definedName name="_xlnm.Print_Titles" localSheetId="17">'MDA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7">#REF!</definedName>
    <definedName name="uompayout" localSheetId="17">#REF!</definedName>
    <definedName name="uompayout" localSheetId="14">#REF!</definedName>
    <definedName name="uompayout" localSheetId="3">#REF!</definedName>
    <definedName name="uompayout" localSheetId="15">#REF!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O41" i="98" l="1"/>
  <c r="O40" i="98"/>
  <c r="O39" i="98"/>
  <c r="O38" i="98"/>
  <c r="O37" i="98"/>
  <c r="O36" i="98"/>
  <c r="O35" i="98"/>
  <c r="O34" i="98"/>
  <c r="O33" i="98"/>
  <c r="O32" i="98"/>
  <c r="O31" i="98"/>
  <c r="O30" i="98"/>
  <c r="O29" i="98"/>
  <c r="O28" i="98"/>
  <c r="O27" i="98"/>
  <c r="O26" i="98"/>
  <c r="O25" i="98"/>
  <c r="O24" i="98"/>
  <c r="O23" i="98"/>
  <c r="C2921" i="100"/>
  <c r="C2891" i="100"/>
  <c r="C2861" i="100"/>
  <c r="C2831" i="100"/>
  <c r="C2801" i="100"/>
  <c r="C2771" i="100"/>
  <c r="C2741" i="100"/>
  <c r="C2711" i="100"/>
  <c r="C2681" i="100"/>
  <c r="C2651" i="100"/>
  <c r="C2175" i="100"/>
  <c r="C2165" i="100"/>
  <c r="C2155" i="100"/>
  <c r="C2145" i="100"/>
  <c r="C2135" i="100"/>
  <c r="C2125" i="100"/>
  <c r="C2105" i="100"/>
  <c r="C2095" i="100"/>
  <c r="B2921" i="100"/>
  <c r="B2891" i="100"/>
  <c r="B2861" i="100"/>
  <c r="B2831" i="100"/>
  <c r="B2801" i="100"/>
  <c r="B2771" i="100"/>
  <c r="B2741" i="100"/>
  <c r="B2711" i="100"/>
  <c r="B2681" i="100"/>
  <c r="B2651" i="100"/>
  <c r="B2175" i="100"/>
  <c r="B2165" i="100"/>
  <c r="B2155" i="100"/>
  <c r="B2145" i="100"/>
  <c r="B2135" i="100"/>
  <c r="B2125" i="100"/>
  <c r="C2115" i="100"/>
  <c r="B2115" i="100"/>
  <c r="B2105" i="100"/>
  <c r="B2095" i="100"/>
  <c r="C2924" i="100" l="1"/>
  <c r="B2924" i="100"/>
  <c r="C2923" i="100"/>
  <c r="B2923" i="100"/>
  <c r="C2922" i="100"/>
  <c r="B2922" i="100"/>
  <c r="C2920" i="100"/>
  <c r="B2920" i="100"/>
  <c r="C2919" i="100"/>
  <c r="B2919" i="100"/>
  <c r="C2918" i="100"/>
  <c r="B2918" i="100"/>
  <c r="C2917" i="100"/>
  <c r="B2917" i="100"/>
  <c r="C2916" i="100"/>
  <c r="B2916" i="100"/>
  <c r="C2915" i="100"/>
  <c r="B2915" i="100"/>
  <c r="C2894" i="100"/>
  <c r="B2894" i="100"/>
  <c r="C2893" i="100"/>
  <c r="B2893" i="100"/>
  <c r="C2892" i="100"/>
  <c r="B2892" i="100"/>
  <c r="C2890" i="100"/>
  <c r="B2890" i="100"/>
  <c r="C2889" i="100"/>
  <c r="B2889" i="100"/>
  <c r="C2888" i="100"/>
  <c r="B2888" i="100"/>
  <c r="C2887" i="100"/>
  <c r="B2887" i="100"/>
  <c r="C2886" i="100"/>
  <c r="B2886" i="100"/>
  <c r="C2885" i="100"/>
  <c r="B2885" i="100"/>
  <c r="C2864" i="100"/>
  <c r="B2864" i="100"/>
  <c r="C2863" i="100"/>
  <c r="B2863" i="100"/>
  <c r="C2862" i="100"/>
  <c r="B2862" i="100"/>
  <c r="C2860" i="100"/>
  <c r="B2860" i="100"/>
  <c r="C2859" i="100"/>
  <c r="B2859" i="100"/>
  <c r="C2858" i="100"/>
  <c r="B2858" i="100"/>
  <c r="C2857" i="100"/>
  <c r="B2857" i="100"/>
  <c r="C2856" i="100"/>
  <c r="B2856" i="100"/>
  <c r="C2855" i="100"/>
  <c r="B2855" i="100"/>
  <c r="C2834" i="100"/>
  <c r="B2834" i="100"/>
  <c r="C2833" i="100"/>
  <c r="B2833" i="100"/>
  <c r="C2832" i="100"/>
  <c r="B2832" i="100"/>
  <c r="C2830" i="100"/>
  <c r="B2830" i="100"/>
  <c r="C2829" i="100"/>
  <c r="B2829" i="100"/>
  <c r="C2828" i="100"/>
  <c r="B2828" i="100"/>
  <c r="C2827" i="100"/>
  <c r="B2827" i="100"/>
  <c r="C2826" i="100"/>
  <c r="B2826" i="100"/>
  <c r="C2825" i="100"/>
  <c r="B2825" i="100"/>
  <c r="C2804" i="100"/>
  <c r="B2804" i="100"/>
  <c r="C2803" i="100"/>
  <c r="B2803" i="100"/>
  <c r="C2802" i="100"/>
  <c r="B2802" i="100"/>
  <c r="C2800" i="100"/>
  <c r="B2800" i="100"/>
  <c r="C2799" i="100"/>
  <c r="B2799" i="100"/>
  <c r="C2798" i="100"/>
  <c r="B2798" i="100"/>
  <c r="C2797" i="100"/>
  <c r="B2797" i="100"/>
  <c r="C2796" i="100"/>
  <c r="B2796" i="100"/>
  <c r="C2795" i="100"/>
  <c r="B2795" i="100"/>
  <c r="C2774" i="100"/>
  <c r="B2774" i="100"/>
  <c r="C2773" i="100"/>
  <c r="B2773" i="100"/>
  <c r="C2772" i="100"/>
  <c r="B2772" i="100"/>
  <c r="C2770" i="100"/>
  <c r="B2770" i="100"/>
  <c r="C2769" i="100"/>
  <c r="B2769" i="100"/>
  <c r="C2768" i="100"/>
  <c r="B2768" i="100"/>
  <c r="C2767" i="100"/>
  <c r="B2767" i="100"/>
  <c r="C2766" i="100"/>
  <c r="B2766" i="100"/>
  <c r="C2765" i="100"/>
  <c r="B2765" i="100"/>
  <c r="C2744" i="100"/>
  <c r="B2744" i="100"/>
  <c r="C2743" i="100"/>
  <c r="B2743" i="100"/>
  <c r="C2742" i="100"/>
  <c r="B2742" i="100"/>
  <c r="C2740" i="100"/>
  <c r="B2740" i="100"/>
  <c r="C2739" i="100"/>
  <c r="B2739" i="100"/>
  <c r="C2738" i="100"/>
  <c r="B2738" i="100"/>
  <c r="C2737" i="100"/>
  <c r="B2737" i="100"/>
  <c r="C2736" i="100"/>
  <c r="B2736" i="100"/>
  <c r="C2735" i="100"/>
  <c r="B2735" i="100"/>
  <c r="C2714" i="100"/>
  <c r="B2714" i="100"/>
  <c r="C2713" i="100"/>
  <c r="B2713" i="100"/>
  <c r="C2712" i="100"/>
  <c r="B2712" i="100"/>
  <c r="C2710" i="100"/>
  <c r="B2710" i="100"/>
  <c r="C2709" i="100"/>
  <c r="B2709" i="100"/>
  <c r="C2708" i="100"/>
  <c r="B2708" i="100"/>
  <c r="C2707" i="100"/>
  <c r="B2707" i="100"/>
  <c r="C2706" i="100"/>
  <c r="B2706" i="100"/>
  <c r="C2705" i="100"/>
  <c r="B2705" i="100"/>
  <c r="C2684" i="100"/>
  <c r="B2684" i="100"/>
  <c r="C2683" i="100"/>
  <c r="B2683" i="100"/>
  <c r="C2682" i="100"/>
  <c r="B2682" i="100"/>
  <c r="C2680" i="100"/>
  <c r="B2680" i="100"/>
  <c r="C2679" i="100"/>
  <c r="B2679" i="100"/>
  <c r="C2678" i="100"/>
  <c r="B2678" i="100"/>
  <c r="C2677" i="100"/>
  <c r="B2677" i="100"/>
  <c r="C2676" i="100"/>
  <c r="B2676" i="100"/>
  <c r="C2675" i="100"/>
  <c r="B2675" i="100"/>
  <c r="C2654" i="100"/>
  <c r="B2654" i="100"/>
  <c r="C2653" i="100"/>
  <c r="B2653" i="100"/>
  <c r="C2652" i="100"/>
  <c r="B2652" i="100"/>
  <c r="C2650" i="100"/>
  <c r="B2650" i="100"/>
  <c r="C2649" i="100"/>
  <c r="B2649" i="100"/>
  <c r="C2648" i="100"/>
  <c r="B2648" i="100"/>
  <c r="C2647" i="100"/>
  <c r="B2647" i="100"/>
  <c r="C2646" i="100"/>
  <c r="B2646" i="100"/>
  <c r="C2645" i="100"/>
  <c r="B2645" i="100"/>
  <c r="Q32" i="57"/>
  <c r="Q33" i="57"/>
  <c r="Q34" i="57"/>
  <c r="Q35" i="57"/>
  <c r="Q36" i="57"/>
  <c r="Q37" i="57"/>
  <c r="Q38" i="57"/>
  <c r="Q39" i="57"/>
  <c r="Q40" i="57"/>
  <c r="Q41" i="57"/>
  <c r="Q42" i="57"/>
  <c r="J2513" i="100"/>
  <c r="J2512" i="100"/>
  <c r="J2511" i="100"/>
  <c r="J2510" i="100"/>
  <c r="J2509" i="100"/>
  <c r="J2508" i="100"/>
  <c r="J2507" i="100"/>
  <c r="J2506" i="100"/>
  <c r="J2505" i="100"/>
  <c r="J2504" i="100"/>
  <c r="R8" i="57" a="1"/>
  <c r="B2498" i="100"/>
  <c r="B2438" i="100"/>
  <c r="B2458" i="100"/>
  <c r="C2430" i="100"/>
  <c r="C2429" i="100"/>
  <c r="B2487" i="100"/>
  <c r="C2498" i="100"/>
  <c r="C2447" i="100"/>
  <c r="B2407" i="100"/>
  <c r="B2419" i="100"/>
  <c r="B2427" i="100"/>
  <c r="B2437" i="100"/>
  <c r="C2448" i="100"/>
  <c r="B2490" i="100"/>
  <c r="C2437" i="100"/>
  <c r="B2470" i="100"/>
  <c r="C138" i="100"/>
  <c r="B2488" i="100"/>
  <c r="B2439" i="100"/>
  <c r="C136" i="100"/>
  <c r="B2459" i="100"/>
  <c r="C2499" i="100"/>
  <c r="C2490" i="100"/>
  <c r="B2460" i="100"/>
  <c r="C2467" i="100"/>
  <c r="B138" i="100"/>
  <c r="C2409" i="100"/>
  <c r="B2408" i="100"/>
  <c r="B2489" i="100"/>
  <c r="B2477" i="100"/>
  <c r="C2500" i="100"/>
  <c r="C2427" i="100"/>
  <c r="B2447" i="100"/>
  <c r="C2459" i="100"/>
  <c r="C2477" i="100"/>
  <c r="B2440" i="100"/>
  <c r="B2430" i="100"/>
  <c r="C2407" i="100"/>
  <c r="B2448" i="100"/>
  <c r="B2468" i="100"/>
  <c r="B2410" i="100"/>
  <c r="B2428" i="100"/>
  <c r="B2497" i="100"/>
  <c r="B2469" i="100"/>
  <c r="C2480" i="100"/>
  <c r="C2479" i="100"/>
  <c r="B139" i="100"/>
  <c r="B2457" i="100"/>
  <c r="C139" i="100"/>
  <c r="C2460" i="100"/>
  <c r="C2440" i="100"/>
  <c r="B2479" i="100"/>
  <c r="C2468" i="100"/>
  <c r="C2489" i="100"/>
  <c r="B2478" i="100"/>
  <c r="C2419" i="100"/>
  <c r="C2469" i="100"/>
  <c r="C2418" i="100"/>
  <c r="C2488" i="100"/>
  <c r="C2438" i="100"/>
  <c r="B2499" i="100"/>
  <c r="C2470" i="100"/>
  <c r="B136" i="100"/>
  <c r="B2449" i="100"/>
  <c r="C137" i="100"/>
  <c r="C2458" i="100"/>
  <c r="C2457" i="100"/>
  <c r="B2480" i="100"/>
  <c r="B2420" i="100"/>
  <c r="C2439" i="100"/>
  <c r="C2410" i="100"/>
  <c r="C2450" i="100"/>
  <c r="B2409" i="100"/>
  <c r="B2429" i="100"/>
  <c r="C2497" i="100"/>
  <c r="C2487" i="100"/>
  <c r="C2449" i="100"/>
  <c r="C2478" i="100"/>
  <c r="C2420" i="100"/>
  <c r="C2428" i="100"/>
  <c r="B2467" i="100"/>
  <c r="C2408" i="100"/>
  <c r="B2417" i="100"/>
  <c r="B2500" i="100"/>
  <c r="B137" i="100"/>
  <c r="B2450" i="100"/>
  <c r="C2417" i="100"/>
  <c r="B2418" i="100"/>
  <c r="R8" i="57" l="1"/>
  <c r="Z38" i="72"/>
  <c r="AB38" i="72"/>
  <c r="J2385" i="100"/>
  <c r="J2386" i="100"/>
  <c r="J2387" i="100"/>
  <c r="J2388" i="100"/>
  <c r="J2389" i="100"/>
  <c r="J2390" i="100"/>
  <c r="J2391" i="100"/>
  <c r="J2392" i="100"/>
  <c r="J2393" i="100"/>
  <c r="J2394" i="100"/>
  <c r="J2383" i="100"/>
  <c r="J2363" i="100"/>
  <c r="J2364" i="100"/>
  <c r="J2365" i="100"/>
  <c r="J2366" i="100"/>
  <c r="J2367" i="100"/>
  <c r="J2368" i="100"/>
  <c r="J2369" i="100"/>
  <c r="J2370" i="100"/>
  <c r="J2371" i="100"/>
  <c r="J2372" i="100"/>
  <c r="J2361" i="100"/>
  <c r="J2341" i="100"/>
  <c r="J2342" i="100"/>
  <c r="J2343" i="100"/>
  <c r="J2344" i="100"/>
  <c r="J2345" i="100"/>
  <c r="J2346" i="100"/>
  <c r="J2347" i="100"/>
  <c r="J2348" i="100"/>
  <c r="J2349" i="100"/>
  <c r="J2350" i="100"/>
  <c r="J2339" i="100"/>
  <c r="J2319" i="100"/>
  <c r="J2320" i="100"/>
  <c r="J2321" i="100"/>
  <c r="J2322" i="100"/>
  <c r="J2323" i="100"/>
  <c r="J2324" i="100"/>
  <c r="J2325" i="100"/>
  <c r="J2326" i="100"/>
  <c r="J2327" i="100"/>
  <c r="J2328" i="100"/>
  <c r="J2317" i="100"/>
  <c r="J2297" i="100"/>
  <c r="J2298" i="100"/>
  <c r="J2299" i="100"/>
  <c r="J2300" i="100"/>
  <c r="J2301" i="100"/>
  <c r="J2302" i="100"/>
  <c r="J2303" i="100"/>
  <c r="J2304" i="100"/>
  <c r="J2305" i="100"/>
  <c r="J2306" i="100"/>
  <c r="J2295" i="100"/>
  <c r="E427" i="94" l="1"/>
  <c r="E416" i="94"/>
  <c r="E405" i="94"/>
  <c r="E394" i="94"/>
  <c r="E383" i="94"/>
  <c r="E372" i="94"/>
  <c r="E361" i="94"/>
  <c r="E350" i="94"/>
  <c r="E339" i="94"/>
  <c r="E328" i="94"/>
  <c r="E317" i="94"/>
  <c r="E306" i="94"/>
  <c r="E295" i="94"/>
  <c r="E284" i="94"/>
  <c r="E273" i="94"/>
  <c r="E262" i="94"/>
  <c r="E251" i="94"/>
  <c r="E240" i="94"/>
  <c r="E229" i="94"/>
  <c r="I431" i="94"/>
  <c r="I420" i="94"/>
  <c r="I409" i="94"/>
  <c r="I398" i="94"/>
  <c r="I387" i="94"/>
  <c r="I376" i="94"/>
  <c r="I365" i="94"/>
  <c r="I354" i="94"/>
  <c r="I343" i="94"/>
  <c r="I332" i="94"/>
  <c r="I321" i="94"/>
  <c r="I310" i="94"/>
  <c r="I299" i="94"/>
  <c r="I288" i="94"/>
  <c r="I277" i="94"/>
  <c r="I266" i="94"/>
  <c r="I255" i="94"/>
  <c r="I244" i="94"/>
  <c r="I233" i="94"/>
  <c r="E32" i="57"/>
  <c r="E33" i="57"/>
  <c r="E34" i="57"/>
  <c r="E35" i="57"/>
  <c r="E36" i="57"/>
  <c r="E37" i="57"/>
  <c r="E38" i="57"/>
  <c r="E39" i="57"/>
  <c r="E40" i="57"/>
  <c r="E41" i="57"/>
  <c r="E42" i="57"/>
  <c r="T2926" i="100" l="1"/>
  <c r="T2927" i="100"/>
  <c r="T2928" i="100"/>
  <c r="T2929" i="100"/>
  <c r="T2930" i="100"/>
  <c r="G2930" i="100" s="1"/>
  <c r="T2931" i="100"/>
  <c r="G2931" i="100" s="1"/>
  <c r="T2932" i="100"/>
  <c r="G2932" i="100" s="1"/>
  <c r="T2933" i="100"/>
  <c r="G2933" i="100" s="1"/>
  <c r="T2925" i="100"/>
  <c r="T2905" i="100"/>
  <c r="T2906" i="100"/>
  <c r="T2907" i="100"/>
  <c r="T2908" i="100"/>
  <c r="G2908" i="100" s="1"/>
  <c r="T2909" i="100"/>
  <c r="G2909" i="100" s="1"/>
  <c r="T2910" i="100"/>
  <c r="G2910" i="100" s="1"/>
  <c r="T2911" i="100"/>
  <c r="G2911" i="100" s="1"/>
  <c r="T2912" i="100"/>
  <c r="T2913" i="100"/>
  <c r="T2914" i="100"/>
  <c r="T2904" i="100"/>
  <c r="T2896" i="100"/>
  <c r="G2896" i="100" s="1"/>
  <c r="T2897" i="100"/>
  <c r="G2897" i="100" s="1"/>
  <c r="T2898" i="100"/>
  <c r="G2898" i="100" s="1"/>
  <c r="T2899" i="100"/>
  <c r="G2899" i="100" s="1"/>
  <c r="T2900" i="100"/>
  <c r="T2901" i="100"/>
  <c r="T2902" i="100"/>
  <c r="G2902" i="100" s="1"/>
  <c r="T2903" i="100"/>
  <c r="T2895" i="100"/>
  <c r="G2895" i="100" s="1"/>
  <c r="T2875" i="100"/>
  <c r="T2876" i="100"/>
  <c r="G2876" i="100" s="1"/>
  <c r="T2877" i="100"/>
  <c r="G2877" i="100" s="1"/>
  <c r="T2878" i="100"/>
  <c r="T2879" i="100"/>
  <c r="T2880" i="100"/>
  <c r="T2881" i="100"/>
  <c r="T2882" i="100"/>
  <c r="G2882" i="100" s="1"/>
  <c r="T2883" i="100"/>
  <c r="G2883" i="100" s="1"/>
  <c r="T2884" i="100"/>
  <c r="G2884" i="100" s="1"/>
  <c r="T2874" i="100"/>
  <c r="G2874" i="100" s="1"/>
  <c r="T2866" i="100"/>
  <c r="G2866" i="100" s="1"/>
  <c r="T2867" i="100"/>
  <c r="T2868" i="100"/>
  <c r="T2869" i="100"/>
  <c r="T2870" i="100"/>
  <c r="G2870" i="100" s="1"/>
  <c r="T2871" i="100"/>
  <c r="T2872" i="100"/>
  <c r="G2872" i="100" s="1"/>
  <c r="T2873" i="100"/>
  <c r="G2873" i="100" s="1"/>
  <c r="T2865" i="100"/>
  <c r="T2845" i="100"/>
  <c r="T2846" i="100"/>
  <c r="T2847" i="100"/>
  <c r="T2848" i="100"/>
  <c r="G2848" i="100" s="1"/>
  <c r="T2849" i="100"/>
  <c r="G2849" i="100" s="1"/>
  <c r="T2850" i="100"/>
  <c r="G2850" i="100" s="1"/>
  <c r="T2851" i="100"/>
  <c r="G2851" i="100" s="1"/>
  <c r="T2852" i="100"/>
  <c r="G2852" i="100" s="1"/>
  <c r="T2853" i="100"/>
  <c r="T2854" i="100"/>
  <c r="T2844" i="100"/>
  <c r="T2839" i="100"/>
  <c r="G2839" i="100" s="1"/>
  <c r="T2840" i="100"/>
  <c r="G2840" i="100" s="1"/>
  <c r="T2841" i="100"/>
  <c r="G2841" i="100" s="1"/>
  <c r="T2842" i="100"/>
  <c r="G2842" i="100" s="1"/>
  <c r="T2843" i="100"/>
  <c r="G2843" i="100" s="1"/>
  <c r="T2836" i="100"/>
  <c r="T2837" i="100"/>
  <c r="T2838" i="100"/>
  <c r="T2835" i="100"/>
  <c r="G2835" i="100" s="1"/>
  <c r="T2815" i="100"/>
  <c r="T2816" i="100"/>
  <c r="G2816" i="100" s="1"/>
  <c r="T2817" i="100"/>
  <c r="G2817" i="100" s="1"/>
  <c r="T2818" i="100"/>
  <c r="T2819" i="100"/>
  <c r="T2820" i="100"/>
  <c r="T2821" i="100"/>
  <c r="G2821" i="100" s="1"/>
  <c r="T2822" i="100"/>
  <c r="G2822" i="100" s="1"/>
  <c r="T2823" i="100"/>
  <c r="G2823" i="100" s="1"/>
  <c r="T2824" i="100"/>
  <c r="G2824" i="100" s="1"/>
  <c r="T2814" i="100"/>
  <c r="G2814" i="100" s="1"/>
  <c r="T2806" i="100"/>
  <c r="G2806" i="100" s="1"/>
  <c r="T2807" i="100"/>
  <c r="T2808" i="100"/>
  <c r="T2809" i="100"/>
  <c r="T2810" i="100"/>
  <c r="G2810" i="100" s="1"/>
  <c r="T2811" i="100"/>
  <c r="G2811" i="100" s="1"/>
  <c r="T2812" i="100"/>
  <c r="G2812" i="100" s="1"/>
  <c r="T2813" i="100"/>
  <c r="G2813" i="100" s="1"/>
  <c r="T2805" i="100"/>
  <c r="G2805" i="100" s="1"/>
  <c r="T2785" i="100"/>
  <c r="T2786" i="100"/>
  <c r="T2787" i="100"/>
  <c r="T2788" i="100"/>
  <c r="T2789" i="100"/>
  <c r="G2789" i="100" s="1"/>
  <c r="T2790" i="100"/>
  <c r="G2790" i="100" s="1"/>
  <c r="T2791" i="100"/>
  <c r="G2791" i="100" s="1"/>
  <c r="T2792" i="100"/>
  <c r="T2793" i="100"/>
  <c r="T2794" i="100"/>
  <c r="T2784" i="100"/>
  <c r="T2776" i="100"/>
  <c r="T2777" i="100"/>
  <c r="G2777" i="100" s="1"/>
  <c r="T2778" i="100"/>
  <c r="G2778" i="100" s="1"/>
  <c r="T2779" i="100"/>
  <c r="G2779" i="100" s="1"/>
  <c r="T2780" i="100"/>
  <c r="G2780" i="100" s="1"/>
  <c r="T2781" i="100"/>
  <c r="G2781" i="100" s="1"/>
  <c r="T2782" i="100"/>
  <c r="G2782" i="100" s="1"/>
  <c r="T2783" i="100"/>
  <c r="T2775" i="100"/>
  <c r="T2755" i="100"/>
  <c r="T2756" i="100"/>
  <c r="G2756" i="100" s="1"/>
  <c r="T2757" i="100"/>
  <c r="G2757" i="100" s="1"/>
  <c r="T2758" i="100"/>
  <c r="G2758" i="100" s="1"/>
  <c r="T2759" i="100"/>
  <c r="T2760" i="100"/>
  <c r="T2761" i="100"/>
  <c r="T2762" i="100"/>
  <c r="G2762" i="100" s="1"/>
  <c r="T2763" i="100"/>
  <c r="G2763" i="100" s="1"/>
  <c r="T2764" i="100"/>
  <c r="G2764" i="100" s="1"/>
  <c r="T2754" i="100"/>
  <c r="G2754" i="100" s="1"/>
  <c r="T2382" i="100"/>
  <c r="T2383" i="100"/>
  <c r="T2384" i="100"/>
  <c r="T2385" i="100"/>
  <c r="T2386" i="100"/>
  <c r="T2387" i="100"/>
  <c r="T2388" i="100"/>
  <c r="T2389" i="100"/>
  <c r="T2390" i="100"/>
  <c r="T2391" i="100"/>
  <c r="T2392" i="100"/>
  <c r="T2393" i="100"/>
  <c r="T2394" i="100"/>
  <c r="T2360" i="100"/>
  <c r="T2361" i="100"/>
  <c r="T2362" i="100"/>
  <c r="T2363" i="100"/>
  <c r="T2364" i="100"/>
  <c r="T2365" i="100"/>
  <c r="T2366" i="100"/>
  <c r="T2367" i="100"/>
  <c r="T2368" i="100"/>
  <c r="T2369" i="100"/>
  <c r="T2370" i="100"/>
  <c r="T2371" i="100"/>
  <c r="T2372" i="100"/>
  <c r="T2337" i="100"/>
  <c r="T2336" i="100"/>
  <c r="T2335" i="100"/>
  <c r="T2334" i="100"/>
  <c r="T2333" i="100"/>
  <c r="T2332" i="100"/>
  <c r="T2331" i="100"/>
  <c r="T2330" i="100"/>
  <c r="T2329" i="100"/>
  <c r="T2317" i="100"/>
  <c r="T2318" i="100"/>
  <c r="T2319" i="100"/>
  <c r="T2320" i="100"/>
  <c r="T2321" i="100"/>
  <c r="T2322" i="100"/>
  <c r="T2323" i="100"/>
  <c r="T2324" i="100"/>
  <c r="T2325" i="100"/>
  <c r="T2326" i="100"/>
  <c r="T2327" i="100"/>
  <c r="T2328" i="100"/>
  <c r="T2316" i="100"/>
  <c r="T2315" i="100"/>
  <c r="T2314" i="100"/>
  <c r="T2313" i="100"/>
  <c r="T2312" i="100"/>
  <c r="T2311" i="100"/>
  <c r="T2310" i="100"/>
  <c r="T2309" i="100"/>
  <c r="T2308" i="100"/>
  <c r="T2307" i="100"/>
  <c r="T2338" i="100"/>
  <c r="T2339" i="100"/>
  <c r="T2340" i="100"/>
  <c r="T2341" i="100"/>
  <c r="T2342" i="100"/>
  <c r="T2343" i="100"/>
  <c r="T2344" i="100"/>
  <c r="T2345" i="100"/>
  <c r="T2346" i="100"/>
  <c r="T2347" i="100"/>
  <c r="T2348" i="100"/>
  <c r="T2349" i="100"/>
  <c r="T2350" i="100"/>
  <c r="T2295" i="100"/>
  <c r="T2296" i="100"/>
  <c r="T2297" i="100"/>
  <c r="T2298" i="100"/>
  <c r="T2299" i="100"/>
  <c r="T2300" i="100"/>
  <c r="T2301" i="100"/>
  <c r="T2302" i="100"/>
  <c r="T2303" i="100"/>
  <c r="T2304" i="100"/>
  <c r="T2305" i="100"/>
  <c r="T2306" i="100"/>
  <c r="T2294" i="100"/>
  <c r="C56" i="43"/>
  <c r="C55" i="43"/>
  <c r="C54" i="43"/>
  <c r="C53" i="43"/>
  <c r="C52" i="43"/>
  <c r="C51" i="43"/>
  <c r="C50" i="43"/>
  <c r="C49" i="43"/>
  <c r="C48" i="43"/>
  <c r="C47" i="43"/>
  <c r="C34" i="36"/>
  <c r="A34" i="36"/>
  <c r="C33" i="36"/>
  <c r="A33" i="36"/>
  <c r="C32" i="36"/>
  <c r="A32" i="36"/>
  <c r="C31" i="36"/>
  <c r="A31" i="36"/>
  <c r="C30" i="36"/>
  <c r="A30" i="36"/>
  <c r="C29" i="36"/>
  <c r="A29" i="36"/>
  <c r="C28" i="36"/>
  <c r="A28" i="36"/>
  <c r="C27" i="36"/>
  <c r="A27" i="36"/>
  <c r="C26" i="36"/>
  <c r="A26" i="36"/>
  <c r="C25" i="36"/>
  <c r="A25" i="36"/>
  <c r="C46" i="43"/>
  <c r="C24" i="36"/>
  <c r="A24" i="36"/>
  <c r="SF8" i="72"/>
  <c r="SF6" i="72"/>
  <c r="SF3" i="72"/>
  <c r="SG2" i="72"/>
  <c r="SF1" i="72"/>
  <c r="RI8" i="72"/>
  <c r="RI6" i="72"/>
  <c r="RI3" i="72"/>
  <c r="RJ2" i="72"/>
  <c r="RI1" i="72"/>
  <c r="RI7" i="72" s="1"/>
  <c r="QL8" i="72"/>
  <c r="QL6" i="72"/>
  <c r="QL3" i="72"/>
  <c r="QM2" i="72"/>
  <c r="QL1" i="72"/>
  <c r="QL41" i="72" s="1"/>
  <c r="PO8" i="72"/>
  <c r="PO6" i="72"/>
  <c r="PO48" i="72" s="1"/>
  <c r="PO3" i="72"/>
  <c r="PP2" i="72"/>
  <c r="PO1" i="72"/>
  <c r="PO39" i="72" s="1"/>
  <c r="OR8" i="72"/>
  <c r="OR6" i="72"/>
  <c r="OR3" i="72"/>
  <c r="OS2" i="72"/>
  <c r="OR1" i="72"/>
  <c r="NU8" i="72"/>
  <c r="NU6" i="72"/>
  <c r="NU3" i="72"/>
  <c r="NV2" i="72"/>
  <c r="NU1" i="72"/>
  <c r="NU7" i="72" s="1"/>
  <c r="MX8" i="72"/>
  <c r="MX6" i="72"/>
  <c r="MX3" i="72"/>
  <c r="MY2" i="72"/>
  <c r="MX1" i="72"/>
  <c r="MA8" i="72"/>
  <c r="MA6" i="72"/>
  <c r="MA48" i="72" s="1"/>
  <c r="MA3" i="72"/>
  <c r="MB2" i="72"/>
  <c r="MA1" i="72"/>
  <c r="MA47" i="72" s="1"/>
  <c r="LD8" i="72"/>
  <c r="LD6" i="72"/>
  <c r="LD3" i="72"/>
  <c r="LE2" i="72"/>
  <c r="LD1" i="72"/>
  <c r="KG8" i="72"/>
  <c r="KG6" i="72"/>
  <c r="KG3" i="72"/>
  <c r="KH2" i="72"/>
  <c r="KG1" i="72"/>
  <c r="KG43" i="72" s="1"/>
  <c r="JJ8" i="72"/>
  <c r="JJ6" i="72"/>
  <c r="JJ3" i="72"/>
  <c r="JK2" i="72"/>
  <c r="JJ1" i="72"/>
  <c r="JJ45" i="72" s="1"/>
  <c r="IM8" i="72"/>
  <c r="IM6" i="72"/>
  <c r="IM3" i="72"/>
  <c r="IN2" i="72"/>
  <c r="IM1" i="72"/>
  <c r="IM44" i="72" s="1"/>
  <c r="HP8" i="72"/>
  <c r="HP6" i="72"/>
  <c r="HP3" i="72"/>
  <c r="HQ2" i="72"/>
  <c r="HP1" i="72"/>
  <c r="GS8" i="72"/>
  <c r="GS6" i="72"/>
  <c r="GS3" i="72"/>
  <c r="GT2" i="72"/>
  <c r="GS1" i="72"/>
  <c r="GS7" i="72" s="1"/>
  <c r="FV8" i="72"/>
  <c r="FV6" i="72"/>
  <c r="FV3" i="72"/>
  <c r="FW2" i="72"/>
  <c r="FV1" i="72"/>
  <c r="FV43" i="72" s="1"/>
  <c r="EY8" i="72"/>
  <c r="EY6" i="72"/>
  <c r="EY3" i="72"/>
  <c r="EZ2" i="72"/>
  <c r="EY1" i="72"/>
  <c r="EY45" i="72" s="1"/>
  <c r="EB8" i="72"/>
  <c r="EB6" i="72"/>
  <c r="EB3" i="72"/>
  <c r="EC2" i="72"/>
  <c r="EB1" i="72"/>
  <c r="DE8" i="72"/>
  <c r="DE6" i="72"/>
  <c r="DE3" i="72"/>
  <c r="DF2" i="72"/>
  <c r="DE1" i="72"/>
  <c r="DE41" i="72" s="1"/>
  <c r="CH8" i="72"/>
  <c r="CH6" i="72"/>
  <c r="CH3" i="72"/>
  <c r="CI2" i="72"/>
  <c r="CH1" i="72"/>
  <c r="CH43" i="72" s="1"/>
  <c r="BK8" i="72"/>
  <c r="BK6" i="72"/>
  <c r="BK48" i="72" s="1"/>
  <c r="BK3" i="72"/>
  <c r="BL2" i="72"/>
  <c r="BK1" i="72"/>
  <c r="BK41" i="72" s="1"/>
  <c r="BA34" i="72"/>
  <c r="BA33" i="72"/>
  <c r="BA32" i="72"/>
  <c r="BA31" i="72"/>
  <c r="BA30" i="72"/>
  <c r="BA29" i="72"/>
  <c r="BA28" i="72"/>
  <c r="BA27" i="72"/>
  <c r="BA26" i="72"/>
  <c r="BA25" i="72"/>
  <c r="BA24" i="72"/>
  <c r="BA23" i="72"/>
  <c r="BA22" i="72"/>
  <c r="BA21" i="72"/>
  <c r="BA20" i="72"/>
  <c r="BA19" i="72"/>
  <c r="BA18" i="72"/>
  <c r="BA17" i="72"/>
  <c r="BA16" i="72"/>
  <c r="BA15" i="72"/>
  <c r="BA14" i="72"/>
  <c r="Y34" i="72"/>
  <c r="Y33" i="72"/>
  <c r="Y32" i="72"/>
  <c r="Y31" i="72"/>
  <c r="Y30" i="72"/>
  <c r="Y29" i="72"/>
  <c r="Y28" i="72"/>
  <c r="Y27" i="72"/>
  <c r="Y26" i="72"/>
  <c r="Y25" i="72"/>
  <c r="Y24" i="72"/>
  <c r="Y23" i="72"/>
  <c r="Y22" i="72"/>
  <c r="Y21" i="72"/>
  <c r="Y20" i="72"/>
  <c r="Y19" i="72"/>
  <c r="Y18" i="72"/>
  <c r="Y17" i="72"/>
  <c r="Y16" i="72"/>
  <c r="Y15" i="72"/>
  <c r="Y14" i="72"/>
  <c r="P34" i="72"/>
  <c r="O34" i="72"/>
  <c r="N34" i="72"/>
  <c r="P33" i="72"/>
  <c r="O33" i="72"/>
  <c r="N33" i="72"/>
  <c r="P32" i="72"/>
  <c r="O32" i="72"/>
  <c r="N32" i="72"/>
  <c r="P31" i="72"/>
  <c r="O31" i="72"/>
  <c r="N31" i="72"/>
  <c r="P30" i="72"/>
  <c r="O30" i="72"/>
  <c r="N30" i="72"/>
  <c r="P29" i="72"/>
  <c r="O29" i="72"/>
  <c r="N29" i="72"/>
  <c r="P28" i="72"/>
  <c r="O28" i="72"/>
  <c r="N28" i="72"/>
  <c r="P27" i="72"/>
  <c r="O27" i="72"/>
  <c r="N27" i="72"/>
  <c r="P26" i="72"/>
  <c r="O26" i="72"/>
  <c r="N26" i="72"/>
  <c r="P25" i="72"/>
  <c r="O25" i="72"/>
  <c r="N25" i="72"/>
  <c r="P24" i="72"/>
  <c r="O24" i="72"/>
  <c r="N24" i="72"/>
  <c r="P23" i="72"/>
  <c r="O23" i="72"/>
  <c r="N23" i="72"/>
  <c r="P22" i="72"/>
  <c r="O22" i="72"/>
  <c r="N22" i="72"/>
  <c r="P21" i="72"/>
  <c r="O21" i="72"/>
  <c r="N21" i="72"/>
  <c r="P20" i="72"/>
  <c r="O20" i="72"/>
  <c r="N20" i="72"/>
  <c r="P19" i="72"/>
  <c r="O19" i="72"/>
  <c r="N19" i="72"/>
  <c r="P18" i="72"/>
  <c r="O18" i="72"/>
  <c r="N18" i="72"/>
  <c r="P17" i="72"/>
  <c r="O17" i="72"/>
  <c r="N17" i="72"/>
  <c r="P16" i="72"/>
  <c r="O16" i="72"/>
  <c r="N16" i="72"/>
  <c r="P15" i="72"/>
  <c r="O15" i="72"/>
  <c r="N15" i="72"/>
  <c r="P14" i="72"/>
  <c r="O14" i="72"/>
  <c r="N14" i="72"/>
  <c r="QL47" i="72"/>
  <c r="QL45" i="72"/>
  <c r="QL44" i="72"/>
  <c r="QL43" i="72"/>
  <c r="QL42" i="72"/>
  <c r="QL39" i="72"/>
  <c r="PO45" i="72"/>
  <c r="PO44" i="72"/>
  <c r="PO41" i="72"/>
  <c r="PO40" i="72"/>
  <c r="MX47" i="72"/>
  <c r="MX45" i="72"/>
  <c r="MX44" i="72"/>
  <c r="MX43" i="72"/>
  <c r="MX41" i="72"/>
  <c r="MX40" i="72"/>
  <c r="MX39" i="72"/>
  <c r="MA46" i="72"/>
  <c r="MA44" i="72"/>
  <c r="MA43" i="72"/>
  <c r="MA39" i="72"/>
  <c r="JJ47" i="72"/>
  <c r="JJ43" i="72"/>
  <c r="JJ42" i="72"/>
  <c r="JJ41" i="72"/>
  <c r="JJ40" i="72"/>
  <c r="IM45" i="72"/>
  <c r="IM43" i="72"/>
  <c r="IM41" i="72"/>
  <c r="IM40" i="72"/>
  <c r="IM39" i="72"/>
  <c r="GS47" i="72"/>
  <c r="FV42" i="72"/>
  <c r="FV41" i="72"/>
  <c r="FV40" i="72"/>
  <c r="FV39" i="72"/>
  <c r="EY48" i="72"/>
  <c r="EY47" i="72"/>
  <c r="EY46" i="72"/>
  <c r="EY44" i="72"/>
  <c r="EY43" i="72"/>
  <c r="EY41" i="72"/>
  <c r="EY39" i="72"/>
  <c r="CH47" i="72"/>
  <c r="CH45" i="72"/>
  <c r="CH44" i="72"/>
  <c r="CH39" i="72"/>
  <c r="BK47" i="72"/>
  <c r="BK46" i="72"/>
  <c r="BK45" i="72"/>
  <c r="BK44" i="72"/>
  <c r="BK40" i="72"/>
  <c r="BK39" i="72"/>
  <c r="QL7" i="72"/>
  <c r="MX7" i="72"/>
  <c r="MA7" i="72"/>
  <c r="MA5" i="72"/>
  <c r="JJ7" i="72"/>
  <c r="IM7" i="72"/>
  <c r="IM5" i="72"/>
  <c r="EY7" i="72"/>
  <c r="EY5" i="72"/>
  <c r="CH7" i="72"/>
  <c r="BK7" i="72"/>
  <c r="BK5" i="72"/>
  <c r="BF1" i="72"/>
  <c r="TP12" i="72"/>
  <c r="TO12" i="72"/>
  <c r="TN12" i="72"/>
  <c r="TM12" i="72"/>
  <c r="TL12" i="72"/>
  <c r="TK12" i="72"/>
  <c r="TG12" i="72"/>
  <c r="TF12" i="72"/>
  <c r="TE12" i="72"/>
  <c r="TD12" i="72"/>
  <c r="TC12" i="72"/>
  <c r="TB12" i="72"/>
  <c r="K428" i="94"/>
  <c r="K417" i="94"/>
  <c r="K406" i="94"/>
  <c r="K395" i="94"/>
  <c r="K384" i="94"/>
  <c r="K373" i="94"/>
  <c r="K362" i="94"/>
  <c r="K351" i="94"/>
  <c r="K340" i="94"/>
  <c r="K329" i="94"/>
  <c r="K318" i="94"/>
  <c r="K307" i="94"/>
  <c r="K296" i="94"/>
  <c r="K285" i="94"/>
  <c r="K274" i="94"/>
  <c r="K263" i="94"/>
  <c r="K252" i="94"/>
  <c r="K241" i="94"/>
  <c r="T2352" i="100"/>
  <c r="AX24" i="75"/>
  <c r="AP24" i="75"/>
  <c r="AN24" i="75"/>
  <c r="AL24" i="75"/>
  <c r="AK24" i="75"/>
  <c r="AD24" i="75"/>
  <c r="F24" i="75"/>
  <c r="B24" i="75"/>
  <c r="D113" i="61" s="1"/>
  <c r="AP23" i="75"/>
  <c r="AN23" i="75"/>
  <c r="AL23" i="75"/>
  <c r="AK23" i="75"/>
  <c r="AD23" i="75"/>
  <c r="F23" i="75"/>
  <c r="B23" i="75"/>
  <c r="D112" i="61" s="1"/>
  <c r="AP22" i="75"/>
  <c r="AN22" i="75"/>
  <c r="AL22" i="75"/>
  <c r="AK22" i="75"/>
  <c r="AD22" i="75"/>
  <c r="F22" i="75"/>
  <c r="B22" i="75"/>
  <c r="D111" i="61" s="1"/>
  <c r="AP21" i="75"/>
  <c r="AN21" i="75"/>
  <c r="AL21" i="75"/>
  <c r="AK21" i="75"/>
  <c r="AD21" i="75"/>
  <c r="F21" i="75"/>
  <c r="B21" i="75"/>
  <c r="D110" i="61" s="1"/>
  <c r="AP20" i="75"/>
  <c r="AN20" i="75"/>
  <c r="AL20" i="75"/>
  <c r="AK20" i="75"/>
  <c r="AD20" i="75"/>
  <c r="F20" i="75"/>
  <c r="B20" i="75"/>
  <c r="D109" i="61" s="1"/>
  <c r="AP19" i="75"/>
  <c r="AN19" i="75"/>
  <c r="AL19" i="75"/>
  <c r="AK19" i="75"/>
  <c r="AD19" i="75"/>
  <c r="F19" i="75"/>
  <c r="B19" i="75"/>
  <c r="D108" i="61" s="1"/>
  <c r="AP18" i="75"/>
  <c r="AN18" i="75"/>
  <c r="AL18" i="75"/>
  <c r="AK18" i="75"/>
  <c r="AD18" i="75"/>
  <c r="F18" i="75"/>
  <c r="B18" i="75"/>
  <c r="D107" i="61" s="1"/>
  <c r="AP17" i="75"/>
  <c r="AN17" i="75"/>
  <c r="AL17" i="75"/>
  <c r="AK17" i="75"/>
  <c r="AD17" i="75"/>
  <c r="F17" i="75"/>
  <c r="B17" i="75"/>
  <c r="D106" i="61" s="1"/>
  <c r="AP16" i="75"/>
  <c r="AN16" i="75"/>
  <c r="AL16" i="75"/>
  <c r="AK16" i="75"/>
  <c r="AD16" i="75"/>
  <c r="F16" i="75"/>
  <c r="B16" i="75"/>
  <c r="D105" i="61" s="1"/>
  <c r="AP15" i="75"/>
  <c r="AN15" i="75"/>
  <c r="AL15" i="75"/>
  <c r="AK15" i="75"/>
  <c r="AD15" i="75"/>
  <c r="F15" i="75"/>
  <c r="B15" i="75"/>
  <c r="D104" i="61" s="1"/>
  <c r="K42" i="57"/>
  <c r="J42" i="57"/>
  <c r="K41" i="57"/>
  <c r="G41" i="57"/>
  <c r="K40" i="57"/>
  <c r="I40" i="57"/>
  <c r="K39" i="57"/>
  <c r="I39" i="57"/>
  <c r="K38" i="57"/>
  <c r="H38" i="57"/>
  <c r="K37" i="57"/>
  <c r="G37" i="57"/>
  <c r="K36" i="57"/>
  <c r="I36" i="57"/>
  <c r="K35" i="57"/>
  <c r="I35" i="57"/>
  <c r="K34" i="57"/>
  <c r="G34" i="57"/>
  <c r="K33" i="57"/>
  <c r="G33" i="57"/>
  <c r="G428" i="94"/>
  <c r="K425" i="94"/>
  <c r="G425" i="94"/>
  <c r="G417" i="94"/>
  <c r="K414" i="94"/>
  <c r="G414" i="94"/>
  <c r="G406" i="94"/>
  <c r="K403" i="94"/>
  <c r="G403" i="94"/>
  <c r="G395" i="94"/>
  <c r="K392" i="94"/>
  <c r="G392" i="94"/>
  <c r="G384" i="94"/>
  <c r="K381" i="94"/>
  <c r="G381" i="94"/>
  <c r="G373" i="94"/>
  <c r="K370" i="94"/>
  <c r="G370" i="94"/>
  <c r="G362" i="94"/>
  <c r="K359" i="94"/>
  <c r="G359" i="94"/>
  <c r="G351" i="94"/>
  <c r="K348" i="94"/>
  <c r="G348" i="94"/>
  <c r="G340" i="94"/>
  <c r="K337" i="94"/>
  <c r="G337" i="94"/>
  <c r="G329" i="94"/>
  <c r="K326" i="94"/>
  <c r="G326" i="94"/>
  <c r="E430" i="94"/>
  <c r="C429" i="94" s="1"/>
  <c r="E419" i="94"/>
  <c r="C418" i="94" s="1"/>
  <c r="E408" i="94"/>
  <c r="C407" i="94" s="1"/>
  <c r="E397" i="94"/>
  <c r="C396" i="94" s="1"/>
  <c r="E386" i="94"/>
  <c r="C385" i="94" s="1"/>
  <c r="E375" i="94"/>
  <c r="C374" i="94" s="1"/>
  <c r="E364" i="94"/>
  <c r="C363" i="94" s="1"/>
  <c r="E353" i="94"/>
  <c r="C352" i="94" s="1"/>
  <c r="E342" i="94"/>
  <c r="C341" i="94" s="1"/>
  <c r="E331" i="94"/>
  <c r="C330" i="94" s="1"/>
  <c r="E320" i="94"/>
  <c r="C319" i="94" s="1"/>
  <c r="C2403" i="100"/>
  <c r="B2403" i="100"/>
  <c r="C2402" i="100"/>
  <c r="B2402" i="100"/>
  <c r="C2401" i="100"/>
  <c r="B2401" i="100"/>
  <c r="C2400" i="100"/>
  <c r="B2400" i="100"/>
  <c r="C2399" i="100"/>
  <c r="B2399" i="100"/>
  <c r="C2398" i="100"/>
  <c r="B2398" i="100"/>
  <c r="C2397" i="100"/>
  <c r="B2397" i="100"/>
  <c r="C2396" i="100"/>
  <c r="B2396" i="100"/>
  <c r="C2395" i="100"/>
  <c r="B2395" i="100"/>
  <c r="C2381" i="100"/>
  <c r="B2381" i="100"/>
  <c r="C2380" i="100"/>
  <c r="B2380" i="100"/>
  <c r="C2379" i="100"/>
  <c r="B2379" i="100"/>
  <c r="C2378" i="100"/>
  <c r="B2378" i="100"/>
  <c r="C2377" i="100"/>
  <c r="B2377" i="100"/>
  <c r="C2376" i="100"/>
  <c r="B2376" i="100"/>
  <c r="C2375" i="100"/>
  <c r="B2375" i="100"/>
  <c r="C2374" i="100"/>
  <c r="B2374" i="100"/>
  <c r="C2373" i="100"/>
  <c r="B2373" i="100"/>
  <c r="C2359" i="100"/>
  <c r="B2359" i="100"/>
  <c r="C2358" i="100"/>
  <c r="B2358" i="100"/>
  <c r="C2357" i="100"/>
  <c r="B2357" i="100"/>
  <c r="C2356" i="100"/>
  <c r="B2356" i="100"/>
  <c r="C2355" i="100"/>
  <c r="B2355" i="100"/>
  <c r="C2354" i="100"/>
  <c r="B2354" i="100"/>
  <c r="C2353" i="100"/>
  <c r="B2353" i="100"/>
  <c r="C2352" i="100"/>
  <c r="B2352" i="100"/>
  <c r="C2351" i="100"/>
  <c r="B2351" i="100"/>
  <c r="C2337" i="100"/>
  <c r="B2337" i="100"/>
  <c r="C2336" i="100"/>
  <c r="B2336" i="100"/>
  <c r="C2335" i="100"/>
  <c r="B2335" i="100"/>
  <c r="C2334" i="100"/>
  <c r="B2334" i="100"/>
  <c r="C2333" i="100"/>
  <c r="B2333" i="100"/>
  <c r="C2332" i="100"/>
  <c r="B2332" i="100"/>
  <c r="C2331" i="100"/>
  <c r="B2331" i="100"/>
  <c r="C2330" i="100"/>
  <c r="B2330" i="100"/>
  <c r="C2329" i="100"/>
  <c r="B2329" i="100"/>
  <c r="C2315" i="100"/>
  <c r="B2315" i="100"/>
  <c r="C2314" i="100"/>
  <c r="B2314" i="100"/>
  <c r="C2313" i="100"/>
  <c r="B2313" i="100"/>
  <c r="C2312" i="100"/>
  <c r="B2312" i="100"/>
  <c r="C2311" i="100"/>
  <c r="B2311" i="100"/>
  <c r="C2310" i="100"/>
  <c r="B2310" i="100"/>
  <c r="C2309" i="100"/>
  <c r="B2309" i="100"/>
  <c r="C2308" i="100"/>
  <c r="B2308" i="100"/>
  <c r="C2307" i="100"/>
  <c r="B2307" i="100"/>
  <c r="W89" i="94"/>
  <c r="W94" i="94"/>
  <c r="X94" i="94" s="1"/>
  <c r="W91" i="94"/>
  <c r="AB91" i="94" s="1"/>
  <c r="W90" i="94"/>
  <c r="X90" i="94" s="1"/>
  <c r="AD90" i="94" s="1"/>
  <c r="W88" i="94"/>
  <c r="AB88" i="94" s="1"/>
  <c r="W87" i="94"/>
  <c r="W86" i="94"/>
  <c r="W85" i="94"/>
  <c r="W84" i="94"/>
  <c r="W83" i="94"/>
  <c r="W82" i="94"/>
  <c r="W67" i="94"/>
  <c r="W66" i="94"/>
  <c r="W63" i="94"/>
  <c r="W62" i="94"/>
  <c r="X62" i="94" s="1"/>
  <c r="AN62" i="94" s="1"/>
  <c r="Q2395" i="100"/>
  <c r="Q2373" i="100"/>
  <c r="Q2351" i="100"/>
  <c r="Q2329" i="100"/>
  <c r="Q2307" i="100"/>
  <c r="O2907" i="100"/>
  <c r="O2905" i="100"/>
  <c r="O2877" i="100"/>
  <c r="O2875" i="100"/>
  <c r="O2847" i="100"/>
  <c r="O2845" i="100"/>
  <c r="O2817" i="100"/>
  <c r="O2815" i="100"/>
  <c r="O2787" i="100"/>
  <c r="O2785" i="100"/>
  <c r="O2757" i="100"/>
  <c r="O2755" i="100"/>
  <c r="O2727" i="100"/>
  <c r="O2725" i="100"/>
  <c r="O2697" i="100"/>
  <c r="O2695" i="100"/>
  <c r="O2667" i="100"/>
  <c r="O2665" i="100"/>
  <c r="O2637" i="100"/>
  <c r="O2635" i="100"/>
  <c r="O2384" i="100"/>
  <c r="O2382" i="100"/>
  <c r="O2362" i="100"/>
  <c r="O2360" i="100"/>
  <c r="O2340" i="100"/>
  <c r="O2338" i="100"/>
  <c r="O2318" i="100"/>
  <c r="O2316" i="100"/>
  <c r="O2081" i="100"/>
  <c r="O2079" i="100"/>
  <c r="O2070" i="100"/>
  <c r="O2068" i="100"/>
  <c r="O2059" i="100"/>
  <c r="O2057" i="100"/>
  <c r="O2048" i="100"/>
  <c r="O2046" i="100"/>
  <c r="O2037" i="100"/>
  <c r="O2035" i="100"/>
  <c r="O2026" i="100"/>
  <c r="O2024" i="100"/>
  <c r="O2015" i="100"/>
  <c r="O2013" i="100"/>
  <c r="O2004" i="100"/>
  <c r="O2002" i="100"/>
  <c r="O1993" i="100"/>
  <c r="O1991" i="100"/>
  <c r="O2296" i="100"/>
  <c r="O2294" i="100"/>
  <c r="J2924" i="100"/>
  <c r="I2924" i="100" s="1"/>
  <c r="J2923" i="100"/>
  <c r="I2923" i="100" s="1"/>
  <c r="J2922" i="100"/>
  <c r="K2922" i="100" s="1"/>
  <c r="J2921" i="100"/>
  <c r="K2921" i="100" s="1"/>
  <c r="J2920" i="100"/>
  <c r="K2920" i="100" s="1"/>
  <c r="J2919" i="100"/>
  <c r="K2919" i="100" s="1"/>
  <c r="J2918" i="100"/>
  <c r="K2918" i="100" s="1"/>
  <c r="J2917" i="100"/>
  <c r="K2917" i="100" s="1"/>
  <c r="J2916" i="100"/>
  <c r="I2916" i="100" s="1"/>
  <c r="J2915" i="100"/>
  <c r="K2915" i="100" s="1"/>
  <c r="J2894" i="100"/>
  <c r="K2894" i="100" s="1"/>
  <c r="J2893" i="100"/>
  <c r="K2893" i="100" s="1"/>
  <c r="J2892" i="100"/>
  <c r="K2892" i="100" s="1"/>
  <c r="J2891" i="100"/>
  <c r="K2891" i="100" s="1"/>
  <c r="J2890" i="100"/>
  <c r="K2890" i="100" s="1"/>
  <c r="J2889" i="100"/>
  <c r="K2889" i="100" s="1"/>
  <c r="J2888" i="100"/>
  <c r="K2888" i="100" s="1"/>
  <c r="J2887" i="100"/>
  <c r="I2887" i="100" s="1"/>
  <c r="J2886" i="100"/>
  <c r="K2886" i="100" s="1"/>
  <c r="J2885" i="100"/>
  <c r="I2885" i="100" s="1"/>
  <c r="J2864" i="100"/>
  <c r="I2864" i="100" s="1"/>
  <c r="J2863" i="100"/>
  <c r="I2863" i="100" s="1"/>
  <c r="J2862" i="100"/>
  <c r="K2862" i="100" s="1"/>
  <c r="J2861" i="100"/>
  <c r="K2861" i="100" s="1"/>
  <c r="J2860" i="100"/>
  <c r="K2860" i="100" s="1"/>
  <c r="J2859" i="100"/>
  <c r="K2859" i="100" s="1"/>
  <c r="J2858" i="100"/>
  <c r="I2858" i="100" s="1"/>
  <c r="J2857" i="100"/>
  <c r="K2857" i="100" s="1"/>
  <c r="J2856" i="100"/>
  <c r="I2856" i="100" s="1"/>
  <c r="J2855" i="100"/>
  <c r="I2855" i="100" s="1"/>
  <c r="J2834" i="100"/>
  <c r="I2834" i="100" s="1"/>
  <c r="J2833" i="100"/>
  <c r="I2833" i="100" s="1"/>
  <c r="J2832" i="100"/>
  <c r="K2832" i="100" s="1"/>
  <c r="J2831" i="100"/>
  <c r="K2831" i="100" s="1"/>
  <c r="J2830" i="100"/>
  <c r="I2830" i="100" s="1"/>
  <c r="J2829" i="100"/>
  <c r="K2829" i="100" s="1"/>
  <c r="J2828" i="100"/>
  <c r="K2828" i="100" s="1"/>
  <c r="J2827" i="100"/>
  <c r="I2827" i="100" s="1"/>
  <c r="J2826" i="100"/>
  <c r="I2826" i="100" s="1"/>
  <c r="J2825" i="100"/>
  <c r="K2825" i="100" s="1"/>
  <c r="J2804" i="100"/>
  <c r="I2804" i="100" s="1"/>
  <c r="J2803" i="100"/>
  <c r="K2803" i="100" s="1"/>
  <c r="J2802" i="100"/>
  <c r="K2802" i="100" s="1"/>
  <c r="J2801" i="100"/>
  <c r="K2801" i="100" s="1"/>
  <c r="J2800" i="100"/>
  <c r="K2800" i="100" s="1"/>
  <c r="J2799" i="100"/>
  <c r="I2799" i="100" s="1"/>
  <c r="J2798" i="100"/>
  <c r="K2798" i="100" s="1"/>
  <c r="J2797" i="100"/>
  <c r="K2797" i="100" s="1"/>
  <c r="J2796" i="100"/>
  <c r="I2796" i="100" s="1"/>
  <c r="J2795" i="100"/>
  <c r="K2795" i="100" s="1"/>
  <c r="J2774" i="100"/>
  <c r="K2774" i="100" s="1"/>
  <c r="J2773" i="100"/>
  <c r="K2773" i="100" s="1"/>
  <c r="J2772" i="100"/>
  <c r="K2772" i="100" s="1"/>
  <c r="J2771" i="100"/>
  <c r="K2771" i="100" s="1"/>
  <c r="J2770" i="100"/>
  <c r="I2770" i="100" s="1"/>
  <c r="J2769" i="100"/>
  <c r="K2769" i="100" s="1"/>
  <c r="J2768" i="100"/>
  <c r="K2768" i="100" s="1"/>
  <c r="J2767" i="100"/>
  <c r="I2767" i="100" s="1"/>
  <c r="J2766" i="100"/>
  <c r="I2766" i="100" s="1"/>
  <c r="J2765" i="100"/>
  <c r="K2765" i="100" s="1"/>
  <c r="J2744" i="100"/>
  <c r="I2744" i="100" s="1"/>
  <c r="J2743" i="100"/>
  <c r="I2743" i="100" s="1"/>
  <c r="J2742" i="100"/>
  <c r="K2742" i="100" s="1"/>
  <c r="J2741" i="100"/>
  <c r="K2741" i="100" s="1"/>
  <c r="J2740" i="100"/>
  <c r="I2740" i="100" s="1"/>
  <c r="J2739" i="100"/>
  <c r="I2739" i="100" s="1"/>
  <c r="J2738" i="100"/>
  <c r="K2738" i="100" s="1"/>
  <c r="J2737" i="100"/>
  <c r="K2737" i="100" s="1"/>
  <c r="J2736" i="100"/>
  <c r="I2736" i="100" s="1"/>
  <c r="J2735" i="100"/>
  <c r="K2735" i="100" s="1"/>
  <c r="J2714" i="100"/>
  <c r="I2714" i="100" s="1"/>
  <c r="J2713" i="100"/>
  <c r="K2713" i="100" s="1"/>
  <c r="J2712" i="100"/>
  <c r="K2712" i="100" s="1"/>
  <c r="J2711" i="100"/>
  <c r="K2711" i="100" s="1"/>
  <c r="J2710" i="100"/>
  <c r="I2710" i="100" s="1"/>
  <c r="J2709" i="100"/>
  <c r="K2709" i="100" s="1"/>
  <c r="J2708" i="100"/>
  <c r="K2708" i="100" s="1"/>
  <c r="J2707" i="100"/>
  <c r="I2707" i="100" s="1"/>
  <c r="J2706" i="100"/>
  <c r="I2706" i="100" s="1"/>
  <c r="J2705" i="100"/>
  <c r="K2705" i="100" s="1"/>
  <c r="J2684" i="100"/>
  <c r="K2684" i="100" s="1"/>
  <c r="J2683" i="100"/>
  <c r="K2683" i="100" s="1"/>
  <c r="J2682" i="100"/>
  <c r="I2682" i="100" s="1"/>
  <c r="J2681" i="100"/>
  <c r="K2681" i="100" s="1"/>
  <c r="J2680" i="100"/>
  <c r="K2680" i="100" s="1"/>
  <c r="J2679" i="100"/>
  <c r="K2679" i="100" s="1"/>
  <c r="J2678" i="100"/>
  <c r="K2678" i="100" s="1"/>
  <c r="J2677" i="100"/>
  <c r="K2677" i="100" s="1"/>
  <c r="J2676" i="100"/>
  <c r="K2676" i="100" s="1"/>
  <c r="J2675" i="100"/>
  <c r="K2675" i="100" s="1"/>
  <c r="J2646" i="100"/>
  <c r="I2646" i="100" s="1"/>
  <c r="J2647" i="100"/>
  <c r="K2647" i="100" s="1"/>
  <c r="J2648" i="100"/>
  <c r="K2648" i="100" s="1"/>
  <c r="J2649" i="100"/>
  <c r="K2649" i="100" s="1"/>
  <c r="J2650" i="100"/>
  <c r="K2650" i="100" s="1"/>
  <c r="J2651" i="100"/>
  <c r="K2651" i="100" s="1"/>
  <c r="J2652" i="100"/>
  <c r="K2652" i="100" s="1"/>
  <c r="J2653" i="100"/>
  <c r="K2653" i="100" s="1"/>
  <c r="J2654" i="100"/>
  <c r="I2654" i="100" s="1"/>
  <c r="J2645" i="100"/>
  <c r="K2645" i="100" s="1"/>
  <c r="G2929" i="100"/>
  <c r="G2928" i="100"/>
  <c r="G2927" i="100"/>
  <c r="G2926" i="100"/>
  <c r="G2914" i="100"/>
  <c r="G2913" i="100"/>
  <c r="G2912" i="100"/>
  <c r="G2906" i="100"/>
  <c r="G2904" i="100"/>
  <c r="G2903" i="100"/>
  <c r="G2901" i="100"/>
  <c r="G2900" i="100"/>
  <c r="G2880" i="100"/>
  <c r="G2879" i="100"/>
  <c r="G2878" i="100"/>
  <c r="G2871" i="100"/>
  <c r="G2869" i="100"/>
  <c r="G2868" i="100"/>
  <c r="G2867" i="100"/>
  <c r="G2854" i="100"/>
  <c r="G2853" i="100"/>
  <c r="G2847" i="100"/>
  <c r="G2846" i="100"/>
  <c r="G2844" i="100"/>
  <c r="G2838" i="100"/>
  <c r="G2837" i="100"/>
  <c r="G2836" i="100"/>
  <c r="G2820" i="100"/>
  <c r="G2819" i="100"/>
  <c r="G2818" i="100"/>
  <c r="G2809" i="100"/>
  <c r="G2808" i="100"/>
  <c r="G2807" i="100"/>
  <c r="G2794" i="100"/>
  <c r="G2793" i="100"/>
  <c r="G2792" i="100"/>
  <c r="G2788" i="100"/>
  <c r="G2786" i="100"/>
  <c r="G2784" i="100"/>
  <c r="G2783" i="100"/>
  <c r="G2776" i="100"/>
  <c r="G2775" i="100"/>
  <c r="G2761" i="100"/>
  <c r="G2760" i="100"/>
  <c r="G2759" i="100"/>
  <c r="T2753" i="100"/>
  <c r="G2753" i="100" s="1"/>
  <c r="T2752" i="100"/>
  <c r="G2752" i="100" s="1"/>
  <c r="T2751" i="100"/>
  <c r="G2751" i="100" s="1"/>
  <c r="T2750" i="100"/>
  <c r="G2750" i="100" s="1"/>
  <c r="T2749" i="100"/>
  <c r="G2749" i="100" s="1"/>
  <c r="T2748" i="100"/>
  <c r="G2748" i="100" s="1"/>
  <c r="T2747" i="100"/>
  <c r="G2747" i="100" s="1"/>
  <c r="T2746" i="100"/>
  <c r="G2746" i="100" s="1"/>
  <c r="T2745" i="100"/>
  <c r="G2745" i="100" s="1"/>
  <c r="T2734" i="100"/>
  <c r="G2734" i="100" s="1"/>
  <c r="T2733" i="100"/>
  <c r="G2733" i="100" s="1"/>
  <c r="T2732" i="100"/>
  <c r="G2732" i="100" s="1"/>
  <c r="T2731" i="100"/>
  <c r="G2731" i="100" s="1"/>
  <c r="T2730" i="100"/>
  <c r="G2730" i="100" s="1"/>
  <c r="T2729" i="100"/>
  <c r="G2729" i="100" s="1"/>
  <c r="T2728" i="100"/>
  <c r="G2728" i="100" s="1"/>
  <c r="T2727" i="100"/>
  <c r="G2727" i="100" s="1"/>
  <c r="T2726" i="100"/>
  <c r="G2726" i="100" s="1"/>
  <c r="T2725" i="100"/>
  <c r="T2724" i="100"/>
  <c r="G2724" i="100" s="1"/>
  <c r="T2723" i="100"/>
  <c r="G2723" i="100" s="1"/>
  <c r="T2722" i="100"/>
  <c r="G2722" i="100" s="1"/>
  <c r="T2721" i="100"/>
  <c r="G2721" i="100" s="1"/>
  <c r="T2720" i="100"/>
  <c r="G2720" i="100" s="1"/>
  <c r="T2719" i="100"/>
  <c r="G2719" i="100" s="1"/>
  <c r="T2718" i="100"/>
  <c r="G2718" i="100" s="1"/>
  <c r="T2717" i="100"/>
  <c r="G2717" i="100" s="1"/>
  <c r="T2716" i="100"/>
  <c r="G2716" i="100" s="1"/>
  <c r="T2715" i="100"/>
  <c r="G2715" i="100" s="1"/>
  <c r="T2704" i="100"/>
  <c r="G2704" i="100" s="1"/>
  <c r="T2703" i="100"/>
  <c r="G2703" i="100" s="1"/>
  <c r="T2702" i="100"/>
  <c r="G2702" i="100" s="1"/>
  <c r="T2701" i="100"/>
  <c r="G2701" i="100" s="1"/>
  <c r="T2700" i="100"/>
  <c r="G2700" i="100" s="1"/>
  <c r="T2699" i="100"/>
  <c r="G2699" i="100" s="1"/>
  <c r="T2698" i="100"/>
  <c r="G2698" i="100" s="1"/>
  <c r="T2697" i="100"/>
  <c r="G2697" i="100" s="1"/>
  <c r="T2696" i="100"/>
  <c r="G2696" i="100" s="1"/>
  <c r="T2695" i="100"/>
  <c r="T2694" i="100"/>
  <c r="G2694" i="100" s="1"/>
  <c r="Q2915" i="100"/>
  <c r="Q2885" i="100"/>
  <c r="Q2855" i="100"/>
  <c r="Q2825" i="100"/>
  <c r="Q2795" i="100"/>
  <c r="Q2765" i="100"/>
  <c r="Q2735" i="100"/>
  <c r="Q2705" i="100"/>
  <c r="G2925" i="100"/>
  <c r="G2907" i="100"/>
  <c r="G2865" i="100"/>
  <c r="G2787" i="100"/>
  <c r="K2925" i="100"/>
  <c r="I2925" i="100"/>
  <c r="K2895" i="100"/>
  <c r="I2895" i="100"/>
  <c r="G2881" i="100"/>
  <c r="K2865" i="100"/>
  <c r="I2865" i="100"/>
  <c r="K2835" i="100"/>
  <c r="I2835" i="100"/>
  <c r="K2805" i="100"/>
  <c r="I2805" i="100"/>
  <c r="K2775" i="100"/>
  <c r="I2775" i="100"/>
  <c r="K2745" i="100"/>
  <c r="I2745" i="100"/>
  <c r="K2715" i="100"/>
  <c r="I2715" i="100"/>
  <c r="T2693" i="100"/>
  <c r="G2693" i="100" s="1"/>
  <c r="T2692" i="100"/>
  <c r="G2692" i="100" s="1"/>
  <c r="T2691" i="100"/>
  <c r="G2691" i="100" s="1"/>
  <c r="T2690" i="100"/>
  <c r="G2690" i="100" s="1"/>
  <c r="T2689" i="100"/>
  <c r="G2689" i="100" s="1"/>
  <c r="T2688" i="100"/>
  <c r="G2688" i="100" s="1"/>
  <c r="T2687" i="100"/>
  <c r="G2687" i="100" s="1"/>
  <c r="T2686" i="100"/>
  <c r="G2686" i="100" s="1"/>
  <c r="T2685" i="100"/>
  <c r="G2685" i="100" s="1"/>
  <c r="T2665" i="100"/>
  <c r="T2666" i="100"/>
  <c r="G2666" i="100" s="1"/>
  <c r="T2667" i="100"/>
  <c r="G2667" i="100" s="1"/>
  <c r="T2668" i="100"/>
  <c r="G2668" i="100" s="1"/>
  <c r="T2669" i="100"/>
  <c r="G2669" i="100" s="1"/>
  <c r="T2670" i="100"/>
  <c r="G2670" i="100" s="1"/>
  <c r="T2671" i="100"/>
  <c r="G2671" i="100" s="1"/>
  <c r="T2672" i="100"/>
  <c r="G2672" i="100" s="1"/>
  <c r="T2673" i="100"/>
  <c r="G2673" i="100" s="1"/>
  <c r="T2674" i="100"/>
  <c r="G2674" i="100" s="1"/>
  <c r="T2664" i="100"/>
  <c r="G2664" i="100" s="1"/>
  <c r="T2656" i="100"/>
  <c r="G2656" i="100" s="1"/>
  <c r="T2657" i="100"/>
  <c r="G2657" i="100" s="1"/>
  <c r="T2658" i="100"/>
  <c r="G2658" i="100" s="1"/>
  <c r="T2659" i="100"/>
  <c r="G2659" i="100" s="1"/>
  <c r="T2660" i="100"/>
  <c r="G2660" i="100" s="1"/>
  <c r="T2661" i="100"/>
  <c r="G2661" i="100" s="1"/>
  <c r="T2662" i="100"/>
  <c r="G2662" i="100" s="1"/>
  <c r="T2663" i="100"/>
  <c r="G2663" i="100" s="1"/>
  <c r="T2655" i="100"/>
  <c r="G2655" i="100" s="1"/>
  <c r="T2635" i="100"/>
  <c r="T2636" i="100"/>
  <c r="G2636" i="100" s="1"/>
  <c r="T2637" i="100"/>
  <c r="G2637" i="100" s="1"/>
  <c r="T2638" i="100"/>
  <c r="G2638" i="100" s="1"/>
  <c r="T2639" i="100"/>
  <c r="G2639" i="100" s="1"/>
  <c r="T2640" i="100"/>
  <c r="G2640" i="100" s="1"/>
  <c r="T2641" i="100"/>
  <c r="G2641" i="100" s="1"/>
  <c r="T2642" i="100"/>
  <c r="G2642" i="100" s="1"/>
  <c r="T2643" i="100"/>
  <c r="G2643" i="100" s="1"/>
  <c r="T2644" i="100"/>
  <c r="G2644" i="100" s="1"/>
  <c r="T2634" i="100"/>
  <c r="G2634" i="100" s="1"/>
  <c r="Q2675" i="100"/>
  <c r="K2685" i="100"/>
  <c r="I2685" i="100"/>
  <c r="Q2645" i="100"/>
  <c r="K2655" i="100"/>
  <c r="I2655" i="100"/>
  <c r="B2854" i="100"/>
  <c r="B2644" i="100"/>
  <c r="B2845" i="100"/>
  <c r="B2669" i="100"/>
  <c r="B2729" i="100"/>
  <c r="B2929" i="100"/>
  <c r="B2640" i="100"/>
  <c r="C2749" i="100"/>
  <c r="C2746" i="100"/>
  <c r="B2721" i="100"/>
  <c r="B2931" i="100"/>
  <c r="B2911" i="100"/>
  <c r="C2872" i="100"/>
  <c r="C2656" i="100"/>
  <c r="B2751" i="100"/>
  <c r="B2760" i="100"/>
  <c r="B2847" i="100"/>
  <c r="B2724" i="100"/>
  <c r="B2811" i="100"/>
  <c r="C2809" i="100"/>
  <c r="C2694" i="100"/>
  <c r="B2689" i="100"/>
  <c r="C2659" i="100"/>
  <c r="B2785" i="100"/>
  <c r="C2905" i="100"/>
  <c r="B2665" i="100"/>
  <c r="C2874" i="100"/>
  <c r="B2704" i="100"/>
  <c r="B2878" i="100"/>
  <c r="C2812" i="100"/>
  <c r="C2644" i="100"/>
  <c r="B2697" i="100"/>
  <c r="B2844" i="100"/>
  <c r="B2670" i="100"/>
  <c r="C2726" i="100"/>
  <c r="C2820" i="100"/>
  <c r="C2906" i="100"/>
  <c r="C2842" i="100"/>
  <c r="C2748" i="100"/>
  <c r="C2821" i="100"/>
  <c r="B2756" i="100"/>
  <c r="C2878" i="100"/>
  <c r="B2757" i="100"/>
  <c r="B2835" i="100"/>
  <c r="B2759" i="100"/>
  <c r="B2925" i="100"/>
  <c r="B2761" i="100"/>
  <c r="B2667" i="100"/>
  <c r="C2785" i="100"/>
  <c r="C2838" i="100"/>
  <c r="C2778" i="100"/>
  <c r="C2880" i="100"/>
  <c r="C2658" i="100"/>
  <c r="B2907" i="100"/>
  <c r="B2872" i="100"/>
  <c r="C2692" i="100"/>
  <c r="B2849" i="100"/>
  <c r="C2930" i="100"/>
  <c r="C2696" i="100"/>
  <c r="B2782" i="100"/>
  <c r="B2805" i="100"/>
  <c r="C2865" i="100"/>
  <c r="B2658" i="100"/>
  <c r="C2780" i="100"/>
  <c r="B2879" i="100"/>
  <c r="C2691" i="100"/>
  <c r="C2722" i="100"/>
  <c r="C2929" i="100"/>
  <c r="C2926" i="100"/>
  <c r="C2718" i="100"/>
  <c r="B2932" i="100"/>
  <c r="B2789" i="100"/>
  <c r="C2871" i="100"/>
  <c r="C2877" i="100"/>
  <c r="B2750" i="100"/>
  <c r="B2701" i="100"/>
  <c r="B2848" i="100"/>
  <c r="C2761" i="100"/>
  <c r="C2898" i="100"/>
  <c r="C2685" i="100"/>
  <c r="C2840" i="100"/>
  <c r="C2664" i="100"/>
  <c r="C2666" i="100"/>
  <c r="B2841" i="100"/>
  <c r="C2870" i="100"/>
  <c r="C2704" i="100"/>
  <c r="B2812" i="100"/>
  <c r="C2836" i="100"/>
  <c r="B2817" i="100"/>
  <c r="C2760" i="100"/>
  <c r="B2850" i="100"/>
  <c r="C2911" i="100"/>
  <c r="C2701" i="100"/>
  <c r="C2759" i="100"/>
  <c r="B2666" i="100"/>
  <c r="B2754" i="100"/>
  <c r="C2904" i="100"/>
  <c r="C2881" i="100"/>
  <c r="C2854" i="100"/>
  <c r="B2764" i="100"/>
  <c r="B2718" i="100"/>
  <c r="C2879" i="100"/>
  <c r="B2745" i="100"/>
  <c r="C2674" i="100"/>
  <c r="B2734" i="100"/>
  <c r="B2674" i="100"/>
  <c r="B2685" i="100"/>
  <c r="C2729" i="100"/>
  <c r="B2661" i="100"/>
  <c r="B2731" i="100"/>
  <c r="C2716" i="100"/>
  <c r="B2690" i="100"/>
  <c r="C2750" i="100"/>
  <c r="C2754" i="100"/>
  <c r="C2727" i="100"/>
  <c r="B2635" i="100"/>
  <c r="B2639" i="100"/>
  <c r="B2819" i="100"/>
  <c r="C2786" i="100"/>
  <c r="B2699" i="100"/>
  <c r="C2907" i="100"/>
  <c r="C2668" i="100"/>
  <c r="B2910" i="100"/>
  <c r="C2849" i="100"/>
  <c r="B2809" i="100"/>
  <c r="B2908" i="100"/>
  <c r="C2818" i="100"/>
  <c r="C2639" i="100"/>
  <c r="B2914" i="100"/>
  <c r="C2847" i="100"/>
  <c r="C2779" i="100"/>
  <c r="C2724" i="100"/>
  <c r="B2752" i="100"/>
  <c r="B2660" i="100"/>
  <c r="C2790" i="100"/>
  <c r="B2719" i="100"/>
  <c r="B2787" i="100"/>
  <c r="C2816" i="100"/>
  <c r="C2781" i="100"/>
  <c r="C2697" i="100"/>
  <c r="B2806" i="100"/>
  <c r="B2659" i="100"/>
  <c r="C2932" i="100"/>
  <c r="B2906" i="100"/>
  <c r="C2721" i="100"/>
  <c r="B2815" i="100"/>
  <c r="C2819" i="100"/>
  <c r="C2896" i="100"/>
  <c r="C2764" i="100"/>
  <c r="B2869" i="100"/>
  <c r="C2899" i="100"/>
  <c r="B2851" i="100"/>
  <c r="C2671" i="100"/>
  <c r="B2904" i="100"/>
  <c r="B2928" i="100"/>
  <c r="B2896" i="100"/>
  <c r="B2794" i="100"/>
  <c r="B2899" i="100"/>
  <c r="B2788" i="100"/>
  <c r="B2727" i="100"/>
  <c r="C2908" i="100"/>
  <c r="B2926" i="100"/>
  <c r="C2928" i="100"/>
  <c r="B2881" i="100"/>
  <c r="C2869" i="100"/>
  <c r="B2842" i="100"/>
  <c r="C2824" i="100"/>
  <c r="B2655" i="100"/>
  <c r="C2850" i="100"/>
  <c r="C2686" i="100"/>
  <c r="B2901" i="100"/>
  <c r="B2696" i="100"/>
  <c r="C2884" i="100"/>
  <c r="C2669" i="100"/>
  <c r="B2716" i="100"/>
  <c r="C2688" i="100"/>
  <c r="B2877" i="100"/>
  <c r="B2791" i="100"/>
  <c r="C2725" i="100"/>
  <c r="B2821" i="100"/>
  <c r="B2880" i="100"/>
  <c r="B2715" i="100"/>
  <c r="C2699" i="100"/>
  <c r="C2695" i="100"/>
  <c r="C2670" i="100"/>
  <c r="C2811" i="100"/>
  <c r="B2749" i="100"/>
  <c r="C2640" i="100"/>
  <c r="C2689" i="100"/>
  <c r="C2876" i="100"/>
  <c r="C2914" i="100"/>
  <c r="C2665" i="100"/>
  <c r="B2824" i="100"/>
  <c r="B2846" i="100"/>
  <c r="B2930" i="100"/>
  <c r="C2841" i="100"/>
  <c r="C2810" i="100"/>
  <c r="B2637" i="100"/>
  <c r="B2695" i="100"/>
  <c r="C2808" i="100"/>
  <c r="B2814" i="100"/>
  <c r="C2756" i="100"/>
  <c r="C2751" i="100"/>
  <c r="B2790" i="100"/>
  <c r="C2782" i="100"/>
  <c r="B2775" i="100"/>
  <c r="B2818" i="100"/>
  <c r="B2634" i="100"/>
  <c r="C2789" i="100"/>
  <c r="B2700" i="100"/>
  <c r="B2758" i="100"/>
  <c r="C2868" i="100"/>
  <c r="C2787" i="100"/>
  <c r="B2865" i="100"/>
  <c r="B2664" i="100"/>
  <c r="C2667" i="100"/>
  <c r="C2635" i="100"/>
  <c r="C2931" i="100"/>
  <c r="C2794" i="100"/>
  <c r="C2776" i="100"/>
  <c r="B2779" i="100"/>
  <c r="C2730" i="100"/>
  <c r="B2839" i="100"/>
  <c r="C2637" i="100"/>
  <c r="B2781" i="100"/>
  <c r="C2731" i="100"/>
  <c r="B2686" i="100"/>
  <c r="B2691" i="100"/>
  <c r="C2660" i="100"/>
  <c r="B2816" i="100"/>
  <c r="C2846" i="100"/>
  <c r="B2641" i="100"/>
  <c r="C2755" i="100"/>
  <c r="C2815" i="100"/>
  <c r="B2902" i="100"/>
  <c r="C2661" i="100"/>
  <c r="C2875" i="100"/>
  <c r="C2634" i="100"/>
  <c r="C2715" i="100"/>
  <c r="B2909" i="100"/>
  <c r="B2692" i="100"/>
  <c r="B2808" i="100"/>
  <c r="B2871" i="100"/>
  <c r="B2898" i="100"/>
  <c r="B2656" i="100"/>
  <c r="C2806" i="100"/>
  <c r="C2752" i="100"/>
  <c r="B2662" i="100"/>
  <c r="B2876" i="100"/>
  <c r="C2757" i="100"/>
  <c r="C2866" i="100"/>
  <c r="C2925" i="100"/>
  <c r="B2870" i="100"/>
  <c r="C2902" i="100"/>
  <c r="B2720" i="100"/>
  <c r="B2868" i="100"/>
  <c r="C2758" i="100"/>
  <c r="C2910" i="100"/>
  <c r="B2730" i="100"/>
  <c r="B2875" i="100"/>
  <c r="B2866" i="100"/>
  <c r="B2694" i="100"/>
  <c r="C2700" i="100"/>
  <c r="B2755" i="100"/>
  <c r="B2900" i="100"/>
  <c r="B2810" i="100"/>
  <c r="B2776" i="100"/>
  <c r="C2690" i="100"/>
  <c r="C2662" i="100"/>
  <c r="C2901" i="100"/>
  <c r="B2698" i="100"/>
  <c r="C2788" i="100"/>
  <c r="B2838" i="100"/>
  <c r="B2780" i="100"/>
  <c r="B2840" i="100"/>
  <c r="B2722" i="100"/>
  <c r="B2905" i="100"/>
  <c r="C2805" i="100"/>
  <c r="C2900" i="100"/>
  <c r="B2746" i="100"/>
  <c r="C2745" i="100"/>
  <c r="C2814" i="100"/>
  <c r="C2698" i="100"/>
  <c r="B2778" i="100"/>
  <c r="B2638" i="100"/>
  <c r="C2845" i="100"/>
  <c r="C2775" i="100"/>
  <c r="B2820" i="100"/>
  <c r="B2836" i="100"/>
  <c r="C2791" i="100"/>
  <c r="C2734" i="100"/>
  <c r="B2895" i="100"/>
  <c r="C2636" i="100"/>
  <c r="C2720" i="100"/>
  <c r="B2884" i="100"/>
  <c r="C2895" i="100"/>
  <c r="C2844" i="100"/>
  <c r="C2655" i="100"/>
  <c r="B2725" i="100"/>
  <c r="C2641" i="100"/>
  <c r="B2786" i="100"/>
  <c r="C2784" i="100"/>
  <c r="C2851" i="100"/>
  <c r="B2636" i="100"/>
  <c r="C2719" i="100"/>
  <c r="B2671" i="100"/>
  <c r="C2909" i="100"/>
  <c r="B2874" i="100"/>
  <c r="B2726" i="100"/>
  <c r="C2835" i="100"/>
  <c r="B2784" i="100"/>
  <c r="B2668" i="100"/>
  <c r="B2728" i="100"/>
  <c r="C2728" i="100"/>
  <c r="C2839" i="100"/>
  <c r="B2688" i="100"/>
  <c r="B2748" i="100"/>
  <c r="C2848" i="100"/>
  <c r="C2638" i="100"/>
  <c r="C2817" i="100"/>
  <c r="BB15" i="75" l="1"/>
  <c r="O15" i="75"/>
  <c r="L15" i="75"/>
  <c r="X15" i="75"/>
  <c r="J24" i="36"/>
  <c r="AG24" i="36"/>
  <c r="AE24" i="36" s="1"/>
  <c r="BD23" i="75"/>
  <c r="O23" i="75"/>
  <c r="L23" i="75"/>
  <c r="X23" i="75"/>
  <c r="AG32" i="36"/>
  <c r="J32" i="36"/>
  <c r="PO5" i="72"/>
  <c r="CH41" i="72"/>
  <c r="FV44" i="72"/>
  <c r="IM46" i="72"/>
  <c r="MA40" i="72"/>
  <c r="PO46" i="72"/>
  <c r="BD22" i="75"/>
  <c r="O22" i="75"/>
  <c r="L22" i="75"/>
  <c r="X22" i="75"/>
  <c r="AG31" i="36"/>
  <c r="J31" i="36"/>
  <c r="FV7" i="72"/>
  <c r="PO7" i="72"/>
  <c r="CH42" i="72"/>
  <c r="FV45" i="72"/>
  <c r="JJ39" i="72"/>
  <c r="MA41" i="72"/>
  <c r="PO47" i="72"/>
  <c r="IM48" i="72"/>
  <c r="BD21" i="75"/>
  <c r="O21" i="75"/>
  <c r="L21" i="75"/>
  <c r="J30" i="36"/>
  <c r="X21" i="75"/>
  <c r="AG30" i="36"/>
  <c r="BD20" i="75"/>
  <c r="L20" i="75"/>
  <c r="O20" i="75"/>
  <c r="X20" i="75"/>
  <c r="AG29" i="36"/>
  <c r="X29" i="36" s="1"/>
  <c r="J29" i="36"/>
  <c r="BC19" i="75"/>
  <c r="O19" i="75"/>
  <c r="L19" i="75"/>
  <c r="X19" i="75"/>
  <c r="J28" i="36"/>
  <c r="AG28" i="36"/>
  <c r="BD18" i="75"/>
  <c r="L18" i="75"/>
  <c r="O18" i="75"/>
  <c r="AG27" i="36"/>
  <c r="X18" i="75"/>
  <c r="J27" i="36"/>
  <c r="BB17" i="75"/>
  <c r="L17" i="75"/>
  <c r="O17" i="75"/>
  <c r="X17" i="75"/>
  <c r="AG26" i="36"/>
  <c r="J26" i="36"/>
  <c r="BD16" i="75"/>
  <c r="L16" i="75"/>
  <c r="O16" i="75"/>
  <c r="X16" i="75"/>
  <c r="AG25" i="36"/>
  <c r="J25" i="36"/>
  <c r="BD24" i="75"/>
  <c r="L24" i="75"/>
  <c r="O24" i="75"/>
  <c r="X24" i="75"/>
  <c r="AG33" i="36"/>
  <c r="V33" i="36" s="1"/>
  <c r="J33" i="36"/>
  <c r="AE25" i="36"/>
  <c r="Y29" i="36"/>
  <c r="AE29" i="36"/>
  <c r="X25" i="36"/>
  <c r="V29" i="36"/>
  <c r="CH53" i="72"/>
  <c r="CH5" i="72"/>
  <c r="CH48" i="72" s="1"/>
  <c r="EB46" i="72"/>
  <c r="EB43" i="72"/>
  <c r="EB39" i="72"/>
  <c r="EB48" i="72"/>
  <c r="EB47" i="72"/>
  <c r="EB45" i="72"/>
  <c r="EB44" i="72"/>
  <c r="EB42" i="72"/>
  <c r="EB41" i="72"/>
  <c r="EB7" i="72"/>
  <c r="EB53" i="72"/>
  <c r="EB5" i="72"/>
  <c r="FV48" i="72"/>
  <c r="FV5" i="72"/>
  <c r="FV53" i="72"/>
  <c r="HP46" i="72"/>
  <c r="HP53" i="72"/>
  <c r="HP41" i="72"/>
  <c r="HP43" i="72"/>
  <c r="HP42" i="72"/>
  <c r="HP40" i="72"/>
  <c r="HP39" i="72"/>
  <c r="HP45" i="72"/>
  <c r="HP44" i="72"/>
  <c r="HP7" i="72"/>
  <c r="HP5" i="72"/>
  <c r="HP48" i="72"/>
  <c r="HP47" i="72"/>
  <c r="JJ53" i="72"/>
  <c r="JJ48" i="72"/>
  <c r="JJ5" i="72"/>
  <c r="LD46" i="72"/>
  <c r="LD48" i="72"/>
  <c r="LD39" i="72"/>
  <c r="LD47" i="72"/>
  <c r="LD45" i="72"/>
  <c r="LD44" i="72"/>
  <c r="LD43" i="72"/>
  <c r="LD42" i="72"/>
  <c r="LD41" i="72"/>
  <c r="LD40" i="72"/>
  <c r="LD53" i="72"/>
  <c r="LD7" i="72"/>
  <c r="LD5" i="72"/>
  <c r="MX53" i="72"/>
  <c r="MX48" i="72"/>
  <c r="MX5" i="72"/>
  <c r="OR46" i="72"/>
  <c r="OR45" i="72"/>
  <c r="OR41" i="72"/>
  <c r="OR53" i="72"/>
  <c r="OR40" i="72"/>
  <c r="OR39" i="72"/>
  <c r="OR48" i="72"/>
  <c r="OR47" i="72"/>
  <c r="OR43" i="72"/>
  <c r="OR7" i="72"/>
  <c r="OR42" i="72"/>
  <c r="OR5" i="72"/>
  <c r="QL48" i="72"/>
  <c r="QL53" i="72"/>
  <c r="QL5" i="72"/>
  <c r="SF46" i="72"/>
  <c r="SF43" i="72"/>
  <c r="SF45" i="72"/>
  <c r="SF44" i="72"/>
  <c r="SF42" i="72"/>
  <c r="SF41" i="72"/>
  <c r="SF53" i="72"/>
  <c r="SF47" i="72"/>
  <c r="SF40" i="72"/>
  <c r="SF39" i="72"/>
  <c r="SF48" i="72"/>
  <c r="SF7" i="72"/>
  <c r="SF5" i="72"/>
  <c r="OR44" i="72"/>
  <c r="EB40" i="72"/>
  <c r="KG39" i="72"/>
  <c r="DE5" i="72"/>
  <c r="GS5" i="72"/>
  <c r="KG5" i="72"/>
  <c r="NU5" i="72"/>
  <c r="RI5" i="72"/>
  <c r="KG40" i="72"/>
  <c r="DE7" i="72"/>
  <c r="KG7" i="72"/>
  <c r="DE53" i="72"/>
  <c r="DE42" i="72"/>
  <c r="DE46" i="72"/>
  <c r="DE40" i="72"/>
  <c r="DE39" i="72"/>
  <c r="DE48" i="72"/>
  <c r="DE47" i="72"/>
  <c r="T38" i="72" s="1"/>
  <c r="DE43" i="72"/>
  <c r="DE44" i="72"/>
  <c r="GS53" i="72"/>
  <c r="GS42" i="72"/>
  <c r="GS44" i="72"/>
  <c r="GS45" i="72"/>
  <c r="GS43" i="72"/>
  <c r="GS41" i="72"/>
  <c r="GS40" i="72"/>
  <c r="GS48" i="72"/>
  <c r="GS46" i="72"/>
  <c r="GS39" i="72"/>
  <c r="KG53" i="72"/>
  <c r="KG42" i="72"/>
  <c r="KG41" i="72"/>
  <c r="KG48" i="72"/>
  <c r="KG47" i="72"/>
  <c r="KG46" i="72"/>
  <c r="KG45" i="72"/>
  <c r="KG44" i="72"/>
  <c r="NU53" i="72"/>
  <c r="NU42" i="72"/>
  <c r="NU48" i="72"/>
  <c r="NU39" i="72"/>
  <c r="NU43" i="72"/>
  <c r="NU41" i="72"/>
  <c r="NU40" i="72"/>
  <c r="NU47" i="72"/>
  <c r="NU46" i="72"/>
  <c r="NU45" i="72"/>
  <c r="NU44" i="72"/>
  <c r="RI53" i="72"/>
  <c r="RI42" i="72"/>
  <c r="RI46" i="72"/>
  <c r="RI47" i="72"/>
  <c r="RI45" i="72"/>
  <c r="RI44" i="72"/>
  <c r="RI43" i="72"/>
  <c r="RI48" i="72"/>
  <c r="RI41" i="72"/>
  <c r="RI40" i="72"/>
  <c r="RI39" i="72"/>
  <c r="DE45" i="72"/>
  <c r="CH46" i="72"/>
  <c r="CH40" i="72"/>
  <c r="FV46" i="72"/>
  <c r="FV47" i="72"/>
  <c r="JJ46" i="72"/>
  <c r="JJ44" i="72"/>
  <c r="MX46" i="72"/>
  <c r="MX42" i="72"/>
  <c r="QL46" i="72"/>
  <c r="QL40" i="72"/>
  <c r="BK53" i="72"/>
  <c r="BK42" i="72"/>
  <c r="BK43" i="72"/>
  <c r="EY53" i="72"/>
  <c r="EY42" i="72"/>
  <c r="EY40" i="72"/>
  <c r="IM53" i="72"/>
  <c r="IM42" i="72"/>
  <c r="IM47" i="72"/>
  <c r="MA53" i="72"/>
  <c r="MA42" i="72"/>
  <c r="MA45" i="72"/>
  <c r="PO53" i="72"/>
  <c r="PO42" i="72"/>
  <c r="PO43" i="72"/>
  <c r="AE1" i="72"/>
  <c r="BK38" i="72"/>
  <c r="IM38" i="72"/>
  <c r="PO38" i="72"/>
  <c r="AE5" i="72"/>
  <c r="EB38" i="72"/>
  <c r="LD38" i="72"/>
  <c r="SF38" i="72"/>
  <c r="EY38" i="72"/>
  <c r="MA38" i="72"/>
  <c r="FV38" i="72"/>
  <c r="MX38" i="72"/>
  <c r="GS38" i="72"/>
  <c r="NU38" i="72"/>
  <c r="CH38" i="72"/>
  <c r="JJ38" i="72"/>
  <c r="QL38" i="72"/>
  <c r="HP38" i="72"/>
  <c r="OR38" i="72"/>
  <c r="DE38" i="72"/>
  <c r="KG38" i="72"/>
  <c r="RI38" i="72"/>
  <c r="M24" i="75"/>
  <c r="AW24" i="75"/>
  <c r="AX23" i="75"/>
  <c r="AB24" i="75"/>
  <c r="AQ24" i="75"/>
  <c r="AY24" i="75"/>
  <c r="AX21" i="75"/>
  <c r="AR24" i="75"/>
  <c r="AZ24" i="75"/>
  <c r="AS24" i="75"/>
  <c r="BA24" i="75"/>
  <c r="AT24" i="75"/>
  <c r="BB24" i="75"/>
  <c r="AU24" i="75"/>
  <c r="BC24" i="75"/>
  <c r="Y24" i="75"/>
  <c r="K33" i="36" s="1"/>
  <c r="AV24" i="75"/>
  <c r="M23" i="75"/>
  <c r="AW23" i="75"/>
  <c r="AW22" i="75"/>
  <c r="AB23" i="75"/>
  <c r="AQ23" i="75"/>
  <c r="AY23" i="75"/>
  <c r="AR23" i="75"/>
  <c r="AZ23" i="75"/>
  <c r="M22" i="75"/>
  <c r="AS23" i="75"/>
  <c r="BA23" i="75"/>
  <c r="AT23" i="75"/>
  <c r="BB23" i="75"/>
  <c r="AU23" i="75"/>
  <c r="BC23" i="75"/>
  <c r="Y23" i="75"/>
  <c r="AV23" i="75"/>
  <c r="AZ21" i="75"/>
  <c r="AX22" i="75"/>
  <c r="BA21" i="75"/>
  <c r="AB22" i="75"/>
  <c r="AQ22" i="75"/>
  <c r="AY22" i="75"/>
  <c r="AR22" i="75"/>
  <c r="AZ22" i="75"/>
  <c r="AX19" i="75"/>
  <c r="AS22" i="75"/>
  <c r="BA22" i="75"/>
  <c r="AR21" i="75"/>
  <c r="AT22" i="75"/>
  <c r="BB22" i="75"/>
  <c r="M21" i="75"/>
  <c r="AS21" i="75"/>
  <c r="AU22" i="75"/>
  <c r="BC22" i="75"/>
  <c r="AW21" i="75"/>
  <c r="Y22" i="75"/>
  <c r="K31" i="36" s="1"/>
  <c r="AV22" i="75"/>
  <c r="AW20" i="75"/>
  <c r="AB21" i="75"/>
  <c r="AQ21" i="75"/>
  <c r="AY21" i="75"/>
  <c r="M20" i="75"/>
  <c r="AT21" i="75"/>
  <c r="BB21" i="75"/>
  <c r="AU21" i="75"/>
  <c r="BC21" i="75"/>
  <c r="Y21" i="75"/>
  <c r="K30" i="36" s="1"/>
  <c r="AV21" i="75"/>
  <c r="AV17" i="75"/>
  <c r="AY19" i="75"/>
  <c r="AX20" i="75"/>
  <c r="AY17" i="75"/>
  <c r="BD19" i="75"/>
  <c r="AB20" i="75"/>
  <c r="AQ20" i="75"/>
  <c r="AY20" i="75"/>
  <c r="Y17" i="75"/>
  <c r="K26" i="36" s="1"/>
  <c r="BC17" i="75"/>
  <c r="AX18" i="75"/>
  <c r="AR20" i="75"/>
  <c r="AZ20" i="75"/>
  <c r="AS20" i="75"/>
  <c r="BA20" i="75"/>
  <c r="AT20" i="75"/>
  <c r="BB20" i="75"/>
  <c r="Y19" i="75"/>
  <c r="AQ19" i="75"/>
  <c r="AU20" i="75"/>
  <c r="BC20" i="75"/>
  <c r="AB19" i="75"/>
  <c r="AV19" i="75"/>
  <c r="Y20" i="75"/>
  <c r="K29" i="36" s="1"/>
  <c r="AV20" i="75"/>
  <c r="AB17" i="75"/>
  <c r="AW17" i="75"/>
  <c r="M19" i="75"/>
  <c r="AW19" i="75"/>
  <c r="AR19" i="75"/>
  <c r="AZ19" i="75"/>
  <c r="AS19" i="75"/>
  <c r="BA19" i="75"/>
  <c r="AT19" i="75"/>
  <c r="BB19" i="75"/>
  <c r="AS17" i="75"/>
  <c r="AU19" i="75"/>
  <c r="F37" i="57"/>
  <c r="M16" i="75"/>
  <c r="BA17" i="75"/>
  <c r="M18" i="75"/>
  <c r="AW18" i="75"/>
  <c r="M17" i="75"/>
  <c r="AQ17" i="75"/>
  <c r="BD17" i="75"/>
  <c r="AB18" i="75"/>
  <c r="AQ18" i="75"/>
  <c r="AY18" i="75"/>
  <c r="AR18" i="75"/>
  <c r="AZ18" i="75"/>
  <c r="H34" i="57"/>
  <c r="G35" i="57"/>
  <c r="J39" i="57"/>
  <c r="AU17" i="75"/>
  <c r="AS18" i="75"/>
  <c r="BA18" i="75"/>
  <c r="I34" i="57"/>
  <c r="J35" i="57"/>
  <c r="AT18" i="75"/>
  <c r="BB18" i="75"/>
  <c r="J34" i="57"/>
  <c r="G38" i="57"/>
  <c r="AW16" i="75"/>
  <c r="AU18" i="75"/>
  <c r="BC18" i="75"/>
  <c r="Y18" i="75"/>
  <c r="K27" i="36" s="1"/>
  <c r="AV18" i="75"/>
  <c r="BA15" i="75"/>
  <c r="AX17" i="75"/>
  <c r="Y15" i="75"/>
  <c r="K24" i="36" s="1"/>
  <c r="AR17" i="75"/>
  <c r="AZ17" i="75"/>
  <c r="AT17" i="75"/>
  <c r="F33" i="57"/>
  <c r="I37" i="57"/>
  <c r="I38" i="57"/>
  <c r="M15" i="75"/>
  <c r="AR15" i="75"/>
  <c r="BC15" i="75"/>
  <c r="AX16" i="75"/>
  <c r="H33" i="57"/>
  <c r="F34" i="57"/>
  <c r="J36" i="57"/>
  <c r="J37" i="57"/>
  <c r="J38" i="57"/>
  <c r="G42" i="57"/>
  <c r="AS15" i="75"/>
  <c r="BD15" i="75"/>
  <c r="AB16" i="75"/>
  <c r="AQ16" i="75"/>
  <c r="AY16" i="75"/>
  <c r="I33" i="57"/>
  <c r="AU15" i="75"/>
  <c r="AR16" i="75"/>
  <c r="AZ16" i="75"/>
  <c r="J33" i="57"/>
  <c r="AV15" i="75"/>
  <c r="AS16" i="75"/>
  <c r="BA16" i="75"/>
  <c r="AW15" i="75"/>
  <c r="AT16" i="75"/>
  <c r="BB16" i="75"/>
  <c r="H40" i="57"/>
  <c r="AX15" i="75"/>
  <c r="AU16" i="75"/>
  <c r="BC16" i="75"/>
  <c r="J40" i="57"/>
  <c r="AZ15" i="75"/>
  <c r="Y16" i="75"/>
  <c r="K25" i="36" s="1"/>
  <c r="AV16" i="75"/>
  <c r="AB15" i="75"/>
  <c r="AQ15" i="75"/>
  <c r="AY15" i="75"/>
  <c r="H36" i="57"/>
  <c r="H37" i="57"/>
  <c r="F38" i="57"/>
  <c r="F41" i="57"/>
  <c r="F42" i="57"/>
  <c r="AT15" i="75"/>
  <c r="H41" i="57"/>
  <c r="G39" i="57"/>
  <c r="I41" i="57"/>
  <c r="I42" i="57"/>
  <c r="F35" i="57"/>
  <c r="F39" i="57"/>
  <c r="J41" i="57"/>
  <c r="H42" i="57"/>
  <c r="H35" i="57"/>
  <c r="F36" i="57"/>
  <c r="H39" i="57"/>
  <c r="F40" i="57"/>
  <c r="G36" i="57"/>
  <c r="G40" i="57"/>
  <c r="K2766" i="100"/>
  <c r="Y62" i="94"/>
  <c r="X67" i="94"/>
  <c r="AN67" i="94" s="1"/>
  <c r="X82" i="94"/>
  <c r="AN82" i="94" s="1"/>
  <c r="X85" i="94"/>
  <c r="AN85" i="94" s="1"/>
  <c r="X88" i="94"/>
  <c r="Z88" i="94" s="1"/>
  <c r="X86" i="94"/>
  <c r="AN86" i="94" s="1"/>
  <c r="AD94" i="94"/>
  <c r="AA94" i="94"/>
  <c r="Z94" i="94"/>
  <c r="X84" i="94"/>
  <c r="AA62" i="94"/>
  <c r="Y90" i="94"/>
  <c r="Y94" i="94"/>
  <c r="Z90" i="94"/>
  <c r="AA90" i="94"/>
  <c r="X63" i="94"/>
  <c r="AA63" i="94" s="1"/>
  <c r="X87" i="94"/>
  <c r="AN87" i="94" s="1"/>
  <c r="AB90" i="94"/>
  <c r="AB94" i="94"/>
  <c r="X66" i="94"/>
  <c r="AD62" i="94"/>
  <c r="Z62" i="94"/>
  <c r="X91" i="94"/>
  <c r="AD91" i="94" s="1"/>
  <c r="X83" i="94"/>
  <c r="AA83" i="94" s="1"/>
  <c r="I2894" i="100"/>
  <c r="I2890" i="100"/>
  <c r="K2833" i="100"/>
  <c r="I2742" i="100"/>
  <c r="I2709" i="100"/>
  <c r="K2799" i="100"/>
  <c r="I2886" i="100"/>
  <c r="I2645" i="100"/>
  <c r="K2923" i="100"/>
  <c r="I2648" i="100"/>
  <c r="K2743" i="100"/>
  <c r="I2774" i="100"/>
  <c r="K2646" i="100"/>
  <c r="I2653" i="100"/>
  <c r="I2677" i="100"/>
  <c r="I2708" i="100"/>
  <c r="I2649" i="100"/>
  <c r="K2885" i="100"/>
  <c r="I2892" i="100"/>
  <c r="K2710" i="100"/>
  <c r="K2770" i="100"/>
  <c r="I2652" i="100"/>
  <c r="I2888" i="100"/>
  <c r="I2917" i="100"/>
  <c r="I2919" i="100"/>
  <c r="I2921" i="100"/>
  <c r="K2855" i="100"/>
  <c r="K2863" i="100"/>
  <c r="I2862" i="100"/>
  <c r="I2679" i="100"/>
  <c r="I2705" i="100"/>
  <c r="I2713" i="100"/>
  <c r="K2739" i="100"/>
  <c r="I2768" i="100"/>
  <c r="I2772" i="100"/>
  <c r="I2798" i="100"/>
  <c r="I2800" i="100"/>
  <c r="I2825" i="100"/>
  <c r="I2829" i="100"/>
  <c r="K2858" i="100"/>
  <c r="I2676" i="100"/>
  <c r="I2684" i="100"/>
  <c r="K2707" i="100"/>
  <c r="I2738" i="100"/>
  <c r="K2744" i="100"/>
  <c r="I2803" i="100"/>
  <c r="I2859" i="100"/>
  <c r="I2861" i="100"/>
  <c r="I2678" i="100"/>
  <c r="I2680" i="100"/>
  <c r="K2736" i="100"/>
  <c r="K2740" i="100"/>
  <c r="I2769" i="100"/>
  <c r="I2771" i="100"/>
  <c r="I2773" i="100"/>
  <c r="I2795" i="100"/>
  <c r="I2797" i="100"/>
  <c r="I2801" i="100"/>
  <c r="I2828" i="100"/>
  <c r="I2832" i="100"/>
  <c r="I2650" i="100"/>
  <c r="K2654" i="100"/>
  <c r="I2675" i="100"/>
  <c r="I2683" i="100"/>
  <c r="K2706" i="100"/>
  <c r="K2714" i="100"/>
  <c r="I2735" i="100"/>
  <c r="K2826" i="100"/>
  <c r="K2830" i="100"/>
  <c r="K2834" i="100"/>
  <c r="I2765" i="100"/>
  <c r="K2887" i="100"/>
  <c r="I2889" i="100"/>
  <c r="I2915" i="100"/>
  <c r="K2916" i="100"/>
  <c r="I2918" i="100"/>
  <c r="K2924" i="100"/>
  <c r="I2891" i="100"/>
  <c r="I2920" i="100"/>
  <c r="I2893" i="100"/>
  <c r="I2922" i="100"/>
  <c r="K2827" i="100"/>
  <c r="K2856" i="100"/>
  <c r="K2864" i="100"/>
  <c r="I2831" i="100"/>
  <c r="I2860" i="100"/>
  <c r="I2857" i="100"/>
  <c r="K2796" i="100"/>
  <c r="K2767" i="100"/>
  <c r="I2802" i="100"/>
  <c r="K2804" i="100"/>
  <c r="I2712" i="100"/>
  <c r="I2741" i="100"/>
  <c r="I2711" i="100"/>
  <c r="I2737" i="100"/>
  <c r="K2682" i="100"/>
  <c r="I2681" i="100"/>
  <c r="I2651" i="100"/>
  <c r="I2647" i="100"/>
  <c r="W29" i="36" l="1"/>
  <c r="W27" i="36"/>
  <c r="V27" i="36"/>
  <c r="AE27" i="36"/>
  <c r="Y27" i="36"/>
  <c r="X27" i="36"/>
  <c r="X31" i="36"/>
  <c r="V31" i="36"/>
  <c r="AE31" i="36"/>
  <c r="Y31" i="36"/>
  <c r="W31" i="36"/>
  <c r="Y33" i="36"/>
  <c r="AB46" i="72"/>
  <c r="AB47" i="72"/>
  <c r="AB52" i="72"/>
  <c r="AB40" i="72"/>
  <c r="AB48" i="72"/>
  <c r="AB56" i="72"/>
  <c r="AB64" i="72"/>
  <c r="AB43" i="72"/>
  <c r="AB41" i="72"/>
  <c r="AB49" i="72"/>
  <c r="AB57" i="72"/>
  <c r="AB65" i="72"/>
  <c r="AB50" i="72"/>
  <c r="AB58" i="72"/>
  <c r="AB51" i="72"/>
  <c r="AB60" i="72"/>
  <c r="AB42" i="72"/>
  <c r="AB59" i="72"/>
  <c r="AB45" i="72"/>
  <c r="AB53" i="72"/>
  <c r="AB61" i="72"/>
  <c r="AB54" i="72"/>
  <c r="AB62" i="72"/>
  <c r="AB55" i="72"/>
  <c r="AB63" i="72"/>
  <c r="AB44" i="72"/>
  <c r="Y25" i="36"/>
  <c r="V25" i="36"/>
  <c r="W25" i="36"/>
  <c r="AE33" i="36"/>
  <c r="W33" i="36"/>
  <c r="X33" i="36"/>
  <c r="V26" i="36"/>
  <c r="W26" i="36"/>
  <c r="AE26" i="36"/>
  <c r="Y26" i="36"/>
  <c r="X26" i="36"/>
  <c r="W28" i="36"/>
  <c r="V28" i="36"/>
  <c r="AE28" i="36"/>
  <c r="Y28" i="36"/>
  <c r="X28" i="36"/>
  <c r="X32" i="36"/>
  <c r="V32" i="36"/>
  <c r="AE32" i="36"/>
  <c r="Y32" i="36"/>
  <c r="W32" i="36"/>
  <c r="Y30" i="36"/>
  <c r="AE30" i="36"/>
  <c r="W30" i="36"/>
  <c r="V30" i="36"/>
  <c r="X30" i="36"/>
  <c r="AA67" i="94"/>
  <c r="K28" i="36"/>
  <c r="K32" i="36"/>
  <c r="NU52" i="72"/>
  <c r="E29" i="36" s="1"/>
  <c r="R29" i="36" s="1"/>
  <c r="Z29" i="36" s="1"/>
  <c r="NU49" i="72"/>
  <c r="NU51" i="72"/>
  <c r="D29" i="36" s="1"/>
  <c r="T29" i="36" s="1"/>
  <c r="EY52" i="72"/>
  <c r="E19" i="36" s="1"/>
  <c r="EY49" i="72"/>
  <c r="EY51" i="72"/>
  <c r="D19" i="36" s="1"/>
  <c r="BK52" i="72"/>
  <c r="E15" i="36" s="1"/>
  <c r="BK49" i="72"/>
  <c r="BK51" i="72"/>
  <c r="GS52" i="72"/>
  <c r="E21" i="36" s="1"/>
  <c r="GS49" i="72"/>
  <c r="GS51" i="72"/>
  <c r="D21" i="36" s="1"/>
  <c r="QL52" i="72"/>
  <c r="E32" i="36" s="1"/>
  <c r="R32" i="36" s="1"/>
  <c r="QL49" i="72"/>
  <c r="QL51" i="72"/>
  <c r="D32" i="36" s="1"/>
  <c r="MX52" i="72"/>
  <c r="E28" i="36" s="1"/>
  <c r="R28" i="36" s="1"/>
  <c r="MX49" i="72"/>
  <c r="MX51" i="72"/>
  <c r="D28" i="36" s="1"/>
  <c r="OR52" i="72"/>
  <c r="E30" i="36" s="1"/>
  <c r="OR49" i="72"/>
  <c r="OR51" i="72"/>
  <c r="D30" i="36" s="1"/>
  <c r="JJ52" i="72"/>
  <c r="E24" i="36" s="1"/>
  <c r="JJ49" i="72"/>
  <c r="JJ51" i="72"/>
  <c r="D24" i="36" s="1"/>
  <c r="FV52" i="72"/>
  <c r="E20" i="36" s="1"/>
  <c r="FV49" i="72"/>
  <c r="FV51" i="72"/>
  <c r="D20" i="36" s="1"/>
  <c r="SF52" i="72"/>
  <c r="E34" i="36" s="1"/>
  <c r="SF49" i="72"/>
  <c r="SF51" i="72"/>
  <c r="D34" i="36" s="1"/>
  <c r="RI52" i="72"/>
  <c r="E33" i="36" s="1"/>
  <c r="R33" i="36" s="1"/>
  <c r="Z33" i="36" s="1"/>
  <c r="RI49" i="72"/>
  <c r="RI51" i="72"/>
  <c r="D33" i="36" s="1"/>
  <c r="HP52" i="72"/>
  <c r="E22" i="36" s="1"/>
  <c r="HP49" i="72"/>
  <c r="HP51" i="72"/>
  <c r="D22" i="36" s="1"/>
  <c r="CH52" i="72"/>
  <c r="E16" i="36" s="1"/>
  <c r="CH49" i="72"/>
  <c r="CH51" i="72"/>
  <c r="D16" i="36" s="1"/>
  <c r="LD52" i="72"/>
  <c r="E26" i="36" s="1"/>
  <c r="LD49" i="72"/>
  <c r="LD51" i="72"/>
  <c r="D26" i="36" s="1"/>
  <c r="KG52" i="72"/>
  <c r="E25" i="36" s="1"/>
  <c r="KG49" i="72"/>
  <c r="KG51" i="72"/>
  <c r="D25" i="36" s="1"/>
  <c r="T25" i="36" s="1"/>
  <c r="EB52" i="72"/>
  <c r="E18" i="36" s="1"/>
  <c r="EB49" i="72"/>
  <c r="EB51" i="72"/>
  <c r="D18" i="36" s="1"/>
  <c r="PO52" i="72"/>
  <c r="E31" i="36" s="1"/>
  <c r="PO49" i="72"/>
  <c r="PO51" i="72"/>
  <c r="D31" i="36" s="1"/>
  <c r="DE52" i="72"/>
  <c r="E17" i="36" s="1"/>
  <c r="DE49" i="72"/>
  <c r="DE51" i="72"/>
  <c r="D17" i="36" s="1"/>
  <c r="MA52" i="72"/>
  <c r="E27" i="36" s="1"/>
  <c r="MA49" i="72"/>
  <c r="MA51" i="72"/>
  <c r="D27" i="36" s="1"/>
  <c r="IM52" i="72"/>
  <c r="E23" i="36" s="1"/>
  <c r="IM49" i="72"/>
  <c r="IM51" i="72"/>
  <c r="D23" i="36" s="1"/>
  <c r="Y85" i="94"/>
  <c r="Z85" i="94"/>
  <c r="AD82" i="94"/>
  <c r="Z63" i="94"/>
  <c r="AA82" i="94"/>
  <c r="Y88" i="94"/>
  <c r="AA85" i="94"/>
  <c r="AD67" i="94"/>
  <c r="Z67" i="94"/>
  <c r="AD85" i="94"/>
  <c r="AA86" i="94"/>
  <c r="Y67" i="94"/>
  <c r="Z86" i="94"/>
  <c r="AD86" i="94"/>
  <c r="Y82" i="94"/>
  <c r="AD88" i="94"/>
  <c r="AA88" i="94"/>
  <c r="Y86" i="94"/>
  <c r="AA87" i="94"/>
  <c r="Z82" i="94"/>
  <c r="AD66" i="94"/>
  <c r="AN66" i="94"/>
  <c r="Z66" i="94"/>
  <c r="AD87" i="94"/>
  <c r="AN83" i="94"/>
  <c r="AD83" i="94"/>
  <c r="Y83" i="94"/>
  <c r="Y87" i="94"/>
  <c r="AN63" i="94"/>
  <c r="AD63" i="94"/>
  <c r="AD84" i="94"/>
  <c r="AN84" i="94"/>
  <c r="Y84" i="94"/>
  <c r="AA91" i="94"/>
  <c r="Y63" i="94"/>
  <c r="Z87" i="94"/>
  <c r="Y91" i="94"/>
  <c r="AA66" i="94"/>
  <c r="Y66" i="94"/>
  <c r="AA84" i="94"/>
  <c r="Z91" i="94"/>
  <c r="Z84" i="94"/>
  <c r="Z83" i="94"/>
  <c r="T767" i="97"/>
  <c r="T753" i="97"/>
  <c r="T739" i="97"/>
  <c r="T725" i="97"/>
  <c r="T711" i="97"/>
  <c r="T697" i="97"/>
  <c r="T683" i="97"/>
  <c r="T669" i="97"/>
  <c r="T655" i="97"/>
  <c r="M48" i="98" s="1"/>
  <c r="T641" i="97"/>
  <c r="N56" i="98"/>
  <c r="N55" i="98"/>
  <c r="N54" i="98"/>
  <c r="N53" i="98"/>
  <c r="N52" i="98"/>
  <c r="N51" i="98"/>
  <c r="N50" i="98"/>
  <c r="N49" i="98"/>
  <c r="N48" i="98"/>
  <c r="N47" i="98"/>
  <c r="J55" i="98"/>
  <c r="J54" i="98"/>
  <c r="J53" i="98"/>
  <c r="P2815" i="100" s="1"/>
  <c r="J52" i="98"/>
  <c r="P2785" i="100" s="1"/>
  <c r="J51" i="98"/>
  <c r="P2755" i="100" s="1"/>
  <c r="J50" i="98"/>
  <c r="P2725" i="100" s="1"/>
  <c r="J49" i="98"/>
  <c r="J48" i="98"/>
  <c r="J47" i="98"/>
  <c r="P2635" i="100" s="1"/>
  <c r="J56" i="98"/>
  <c r="E38" i="98"/>
  <c r="L56" i="98"/>
  <c r="L55" i="98"/>
  <c r="L54" i="98"/>
  <c r="L53" i="98"/>
  <c r="L52" i="98"/>
  <c r="K56" i="98"/>
  <c r="K55" i="98"/>
  <c r="K54" i="98"/>
  <c r="K53" i="98"/>
  <c r="K52" i="98"/>
  <c r="R753" i="97"/>
  <c r="R739" i="97"/>
  <c r="R725" i="97"/>
  <c r="R711" i="97"/>
  <c r="R683" i="97"/>
  <c r="R669" i="97"/>
  <c r="R655" i="97"/>
  <c r="R641" i="97"/>
  <c r="N61" i="98"/>
  <c r="N60" i="98"/>
  <c r="N59" i="98"/>
  <c r="N58" i="98"/>
  <c r="N57" i="98"/>
  <c r="J61" i="98"/>
  <c r="J60" i="98"/>
  <c r="J59" i="98"/>
  <c r="J58" i="98"/>
  <c r="J57" i="98"/>
  <c r="L61" i="98"/>
  <c r="K61" i="98"/>
  <c r="L60" i="98"/>
  <c r="K60" i="98"/>
  <c r="L59" i="98"/>
  <c r="K59" i="98"/>
  <c r="L58" i="98"/>
  <c r="K58" i="98"/>
  <c r="L57" i="98"/>
  <c r="K57" i="98"/>
  <c r="E37" i="98"/>
  <c r="E428" i="94"/>
  <c r="O428" i="94" s="1"/>
  <c r="C428" i="94"/>
  <c r="AB87" i="94"/>
  <c r="E417" i="94"/>
  <c r="O417" i="94" s="1"/>
  <c r="C417" i="94"/>
  <c r="AB86" i="94"/>
  <c r="E406" i="94"/>
  <c r="O406" i="94" s="1"/>
  <c r="C406" i="94"/>
  <c r="AB85" i="94"/>
  <c r="E395" i="94"/>
  <c r="O395" i="94" s="1"/>
  <c r="C395" i="94"/>
  <c r="AB84" i="94"/>
  <c r="E384" i="94"/>
  <c r="O384" i="94" s="1"/>
  <c r="C384" i="94"/>
  <c r="R697" i="97" s="1"/>
  <c r="AB83" i="94"/>
  <c r="E373" i="94"/>
  <c r="O373" i="94" s="1"/>
  <c r="C373" i="94"/>
  <c r="AB82" i="94"/>
  <c r="E362" i="94"/>
  <c r="O362" i="94" s="1"/>
  <c r="C362" i="94"/>
  <c r="AB67" i="94"/>
  <c r="E351" i="94"/>
  <c r="O351" i="94" s="1"/>
  <c r="C351" i="94"/>
  <c r="AB66" i="94"/>
  <c r="E340" i="94"/>
  <c r="O340" i="94" s="1"/>
  <c r="C340" i="94"/>
  <c r="AB63" i="94"/>
  <c r="E329" i="94"/>
  <c r="O329" i="94" s="1"/>
  <c r="C329" i="94"/>
  <c r="AB62" i="94"/>
  <c r="Z1" i="57"/>
  <c r="Z2" i="57" s="1"/>
  <c r="P2623" i="100"/>
  <c r="P2612" i="100"/>
  <c r="P2601" i="100"/>
  <c r="P2590" i="100"/>
  <c r="P2579" i="100"/>
  <c r="P2568" i="100"/>
  <c r="P2557" i="100"/>
  <c r="P2546" i="100"/>
  <c r="P2535" i="100"/>
  <c r="P2524" i="100"/>
  <c r="P2513" i="100"/>
  <c r="P2512" i="100"/>
  <c r="P2511" i="100"/>
  <c r="P2510" i="100"/>
  <c r="P2509" i="100"/>
  <c r="P2508" i="100"/>
  <c r="P2507" i="100"/>
  <c r="P2506" i="100"/>
  <c r="P2505" i="100"/>
  <c r="P2504" i="100"/>
  <c r="K2626" i="100"/>
  <c r="I2626" i="100"/>
  <c r="K2625" i="100"/>
  <c r="I2625" i="100"/>
  <c r="K2623" i="100"/>
  <c r="I2623" i="100"/>
  <c r="K2615" i="100"/>
  <c r="I2615" i="100"/>
  <c r="K2614" i="100"/>
  <c r="I2614" i="100"/>
  <c r="K2612" i="100"/>
  <c r="I2612" i="100"/>
  <c r="K2604" i="100"/>
  <c r="I2604" i="100"/>
  <c r="K2603" i="100"/>
  <c r="I2603" i="100"/>
  <c r="K2601" i="100"/>
  <c r="I2601" i="100"/>
  <c r="K2593" i="100"/>
  <c r="I2593" i="100"/>
  <c r="K2592" i="100"/>
  <c r="I2592" i="100"/>
  <c r="K2590" i="100"/>
  <c r="I2590" i="100"/>
  <c r="K2582" i="100"/>
  <c r="I2582" i="100"/>
  <c r="K2581" i="100"/>
  <c r="I2581" i="100"/>
  <c r="K2579" i="100"/>
  <c r="I2579" i="100"/>
  <c r="K2571" i="100"/>
  <c r="I2571" i="100"/>
  <c r="K2570" i="100"/>
  <c r="I2570" i="100"/>
  <c r="K2568" i="100"/>
  <c r="I2568" i="100"/>
  <c r="K2560" i="100"/>
  <c r="I2560" i="100"/>
  <c r="K2559" i="100"/>
  <c r="I2559" i="100"/>
  <c r="K2557" i="100"/>
  <c r="I2557" i="100"/>
  <c r="K2549" i="100"/>
  <c r="I2549" i="100"/>
  <c r="K2548" i="100"/>
  <c r="I2548" i="100"/>
  <c r="K2546" i="100"/>
  <c r="I2546" i="100"/>
  <c r="K2538" i="100"/>
  <c r="I2538" i="100"/>
  <c r="K2537" i="100"/>
  <c r="I2537" i="100"/>
  <c r="K2535" i="100"/>
  <c r="I2535" i="100"/>
  <c r="K2527" i="100"/>
  <c r="I2527" i="100"/>
  <c r="K2526" i="100"/>
  <c r="I2526" i="100"/>
  <c r="K2524" i="100"/>
  <c r="I2524" i="100"/>
  <c r="K2502" i="100"/>
  <c r="I2502" i="100"/>
  <c r="K2501" i="100"/>
  <c r="I2501" i="100"/>
  <c r="K2500" i="100"/>
  <c r="I2500" i="100"/>
  <c r="K2499" i="100"/>
  <c r="I2499" i="100"/>
  <c r="K2498" i="100"/>
  <c r="I2498" i="100"/>
  <c r="K2497" i="100"/>
  <c r="I2497" i="100"/>
  <c r="K2492" i="100"/>
  <c r="I2492" i="100"/>
  <c r="K2491" i="100"/>
  <c r="I2491" i="100"/>
  <c r="K2490" i="100"/>
  <c r="I2490" i="100"/>
  <c r="K2489" i="100"/>
  <c r="I2489" i="100"/>
  <c r="K2488" i="100"/>
  <c r="I2488" i="100"/>
  <c r="K2487" i="100"/>
  <c r="I2487" i="100"/>
  <c r="K2482" i="100"/>
  <c r="I2482" i="100"/>
  <c r="K2481" i="100"/>
  <c r="I2481" i="100"/>
  <c r="K2480" i="100"/>
  <c r="I2480" i="100"/>
  <c r="K2479" i="100"/>
  <c r="I2479" i="100"/>
  <c r="K2478" i="100"/>
  <c r="I2478" i="100"/>
  <c r="K2477" i="100"/>
  <c r="I2477" i="100"/>
  <c r="K2472" i="100"/>
  <c r="I2472" i="100"/>
  <c r="K2471" i="100"/>
  <c r="I2471" i="100"/>
  <c r="K2470" i="100"/>
  <c r="I2470" i="100"/>
  <c r="K2469" i="100"/>
  <c r="I2469" i="100"/>
  <c r="K2468" i="100"/>
  <c r="I2468" i="100"/>
  <c r="K2467" i="100"/>
  <c r="I2467" i="100"/>
  <c r="K2462" i="100"/>
  <c r="I2462" i="100"/>
  <c r="K2461" i="100"/>
  <c r="I2461" i="100"/>
  <c r="K2460" i="100"/>
  <c r="I2460" i="100"/>
  <c r="K2459" i="100"/>
  <c r="I2459" i="100"/>
  <c r="K2458" i="100"/>
  <c r="I2458" i="100"/>
  <c r="K2457" i="100"/>
  <c r="I2457" i="100"/>
  <c r="K2452" i="100"/>
  <c r="I2452" i="100"/>
  <c r="K2451" i="100"/>
  <c r="I2451" i="100"/>
  <c r="K2450" i="100"/>
  <c r="I2450" i="100"/>
  <c r="K2449" i="100"/>
  <c r="I2449" i="100"/>
  <c r="K2448" i="100"/>
  <c r="I2448" i="100"/>
  <c r="K2447" i="100"/>
  <c r="I2447" i="100"/>
  <c r="K2442" i="100"/>
  <c r="I2442" i="100"/>
  <c r="K2441" i="100"/>
  <c r="I2441" i="100"/>
  <c r="K2440" i="100"/>
  <c r="I2440" i="100"/>
  <c r="K2439" i="100"/>
  <c r="I2439" i="100"/>
  <c r="K2438" i="100"/>
  <c r="I2438" i="100"/>
  <c r="K2437" i="100"/>
  <c r="I2437" i="100"/>
  <c r="K2432" i="100"/>
  <c r="I2432" i="100"/>
  <c r="K2431" i="100"/>
  <c r="I2431" i="100"/>
  <c r="K2430" i="100"/>
  <c r="I2430" i="100"/>
  <c r="K2429" i="100"/>
  <c r="I2429" i="100"/>
  <c r="K2428" i="100"/>
  <c r="I2428" i="100"/>
  <c r="K2427" i="100"/>
  <c r="I2427" i="100"/>
  <c r="K2422" i="100"/>
  <c r="I2422" i="100"/>
  <c r="K2421" i="100"/>
  <c r="I2421" i="100"/>
  <c r="K2420" i="100"/>
  <c r="I2420" i="100"/>
  <c r="K2419" i="100"/>
  <c r="I2419" i="100"/>
  <c r="K2418" i="100"/>
  <c r="I2418" i="100"/>
  <c r="K2417" i="100"/>
  <c r="I2417" i="100"/>
  <c r="K2412" i="100"/>
  <c r="I2412" i="100"/>
  <c r="K2411" i="100"/>
  <c r="I2411" i="100"/>
  <c r="K2410" i="100"/>
  <c r="I2410" i="100"/>
  <c r="K2409" i="100"/>
  <c r="I2409" i="100"/>
  <c r="K2408" i="100"/>
  <c r="I2408" i="100"/>
  <c r="K2407" i="100"/>
  <c r="I2407" i="100"/>
  <c r="B2588" i="100"/>
  <c r="B2524" i="100"/>
  <c r="C2589" i="100"/>
  <c r="B2472" i="100"/>
  <c r="C2545" i="100"/>
  <c r="B2576" i="100"/>
  <c r="C2622" i="100"/>
  <c r="B2589" i="100"/>
  <c r="B2495" i="100"/>
  <c r="C2475" i="100"/>
  <c r="C2534" i="100"/>
  <c r="B2518" i="100"/>
  <c r="C2536" i="100"/>
  <c r="C2613" i="100"/>
  <c r="C2611" i="100"/>
  <c r="B2616" i="100"/>
  <c r="B2625" i="100"/>
  <c r="C2580" i="100"/>
  <c r="B2482" i="100"/>
  <c r="B2485" i="100"/>
  <c r="B2574" i="100"/>
  <c r="C2462" i="100"/>
  <c r="C2484" i="100"/>
  <c r="C2482" i="100"/>
  <c r="C2434" i="100"/>
  <c r="B2519" i="100"/>
  <c r="C2514" i="100"/>
  <c r="B2614" i="100"/>
  <c r="B2433" i="100"/>
  <c r="B2557" i="100"/>
  <c r="C2604" i="100"/>
  <c r="B2555" i="100"/>
  <c r="B2494" i="100"/>
  <c r="B2413" i="100"/>
  <c r="C2557" i="100"/>
  <c r="C2559" i="100"/>
  <c r="C2423" i="100"/>
  <c r="B2517" i="100"/>
  <c r="B2536" i="100"/>
  <c r="C2547" i="100"/>
  <c r="B2552" i="100"/>
  <c r="B2445" i="100"/>
  <c r="C2544" i="100"/>
  <c r="C2535" i="100"/>
  <c r="B2412" i="100"/>
  <c r="B2569" i="100"/>
  <c r="B2550" i="100"/>
  <c r="B2580" i="100"/>
  <c r="B2452" i="100"/>
  <c r="B2540" i="100"/>
  <c r="B2473" i="100"/>
  <c r="B2501" i="100"/>
  <c r="C2412" i="100"/>
  <c r="B2596" i="100"/>
  <c r="C2614" i="100"/>
  <c r="C2587" i="100"/>
  <c r="B2532" i="100"/>
  <c r="B2559" i="100"/>
  <c r="B2471" i="100"/>
  <c r="B2564" i="100"/>
  <c r="B2541" i="100"/>
  <c r="C2507" i="100"/>
  <c r="B2607" i="100"/>
  <c r="B2509" i="100"/>
  <c r="C2596" i="100"/>
  <c r="C2413" i="100"/>
  <c r="C2432" i="100"/>
  <c r="B2542" i="100"/>
  <c r="B2421" i="100"/>
  <c r="B2510" i="100"/>
  <c r="B2593" i="100"/>
  <c r="C2444" i="100"/>
  <c r="C2633" i="100"/>
  <c r="C2493" i="100"/>
  <c r="C2461" i="100"/>
  <c r="B2503" i="100"/>
  <c r="B2571" i="100"/>
  <c r="B2612" i="100"/>
  <c r="B2435" i="100"/>
  <c r="B2533" i="100"/>
  <c r="C2505" i="100"/>
  <c r="B2461" i="100"/>
  <c r="B2525" i="100"/>
  <c r="B2566" i="100"/>
  <c r="C2532" i="100"/>
  <c r="C2568" i="100"/>
  <c r="B2434" i="100"/>
  <c r="B2629" i="100"/>
  <c r="C2483" i="100"/>
  <c r="B2486" i="100"/>
  <c r="B2528" i="100"/>
  <c r="C2603" i="100"/>
  <c r="B2431" i="100"/>
  <c r="C2516" i="100"/>
  <c r="C2573" i="100"/>
  <c r="C2471" i="100"/>
  <c r="B2619" i="100"/>
  <c r="C2602" i="100"/>
  <c r="B2560" i="100"/>
  <c r="B2523" i="100"/>
  <c r="C2524" i="100"/>
  <c r="C2426" i="100"/>
  <c r="B2529" i="100"/>
  <c r="B2511" i="100"/>
  <c r="C2620" i="100"/>
  <c r="C2538" i="100"/>
  <c r="C2549" i="100"/>
  <c r="B2556" i="100"/>
  <c r="C2542" i="100"/>
  <c r="B2423" i="100"/>
  <c r="B2544" i="100"/>
  <c r="C2578" i="100"/>
  <c r="C2485" i="100"/>
  <c r="B2618" i="100"/>
  <c r="C2605" i="100"/>
  <c r="B2496" i="100"/>
  <c r="C2579" i="100"/>
  <c r="C2517" i="100"/>
  <c r="B2512" i="100"/>
  <c r="B2543" i="100"/>
  <c r="C2569" i="100"/>
  <c r="B2627" i="100"/>
  <c r="B2553" i="100"/>
  <c r="B2579" i="100"/>
  <c r="C2631" i="100"/>
  <c r="B2624" i="100"/>
  <c r="C2628" i="100"/>
  <c r="B2530" i="100"/>
  <c r="B2609" i="100"/>
  <c r="C2618" i="100"/>
  <c r="B2590" i="100"/>
  <c r="C2624" i="100"/>
  <c r="C2595" i="100"/>
  <c r="C2463" i="100"/>
  <c r="C2405" i="100"/>
  <c r="B2481" i="100"/>
  <c r="C2606" i="100"/>
  <c r="C2627" i="100"/>
  <c r="B2585" i="100"/>
  <c r="C2455" i="100"/>
  <c r="B2575" i="100"/>
  <c r="C2443" i="100"/>
  <c r="C2473" i="100"/>
  <c r="B2626" i="100"/>
  <c r="C2502" i="100"/>
  <c r="B2521" i="100"/>
  <c r="C2599" i="100"/>
  <c r="C2621" i="100"/>
  <c r="C2526" i="100"/>
  <c r="B2631" i="100"/>
  <c r="C2576" i="100"/>
  <c r="B2432" i="100"/>
  <c r="C2551" i="100"/>
  <c r="B2604" i="100"/>
  <c r="C2567" i="100"/>
  <c r="B2465" i="100"/>
  <c r="C2521" i="100"/>
  <c r="C2454" i="100"/>
  <c r="B2405" i="100"/>
  <c r="C2424" i="100"/>
  <c r="C2508" i="100"/>
  <c r="B2474" i="100"/>
  <c r="C2495" i="100"/>
  <c r="B2414" i="100"/>
  <c r="B2505" i="100"/>
  <c r="B2424" i="100"/>
  <c r="B2613" i="100"/>
  <c r="B2568" i="100"/>
  <c r="C2476" i="100"/>
  <c r="B2476" i="100"/>
  <c r="C2548" i="100"/>
  <c r="C2446" i="100"/>
  <c r="C2466" i="100"/>
  <c r="B2508" i="100"/>
  <c r="C2515" i="100"/>
  <c r="C2525" i="100"/>
  <c r="C2442" i="100"/>
  <c r="C2539" i="100"/>
  <c r="C2465" i="100"/>
  <c r="B2493" i="100"/>
  <c r="C2523" i="100"/>
  <c r="B2620" i="100"/>
  <c r="C2550" i="100"/>
  <c r="C2600" i="100"/>
  <c r="B2621" i="100"/>
  <c r="C2533" i="100"/>
  <c r="B2623" i="100"/>
  <c r="B2444" i="100"/>
  <c r="C2520" i="100"/>
  <c r="B2615" i="100"/>
  <c r="C2629" i="100"/>
  <c r="B2546" i="100"/>
  <c r="C2421" i="100"/>
  <c r="C2615" i="100"/>
  <c r="C2563" i="100"/>
  <c r="B2633" i="100"/>
  <c r="B2453" i="100"/>
  <c r="B2446" i="100"/>
  <c r="C2501" i="100"/>
  <c r="C2541" i="100"/>
  <c r="C2566" i="100"/>
  <c r="C2431" i="100"/>
  <c r="C2574" i="100"/>
  <c r="C2556" i="100"/>
  <c r="B2426" i="100"/>
  <c r="C2441" i="100"/>
  <c r="C2588" i="100"/>
  <c r="C2570" i="100"/>
  <c r="B2406" i="100"/>
  <c r="C2597" i="100"/>
  <c r="C2586" i="100"/>
  <c r="C2406" i="100"/>
  <c r="C2553" i="100"/>
  <c r="C2546" i="100"/>
  <c r="C2625" i="100"/>
  <c r="B2597" i="100"/>
  <c r="C2404" i="100"/>
  <c r="B2561" i="100"/>
  <c r="B2577" i="100"/>
  <c r="C2504" i="100"/>
  <c r="B2527" i="100"/>
  <c r="C2552" i="100"/>
  <c r="C2612" i="100"/>
  <c r="B2507" i="100"/>
  <c r="B2515" i="100"/>
  <c r="C2608" i="100"/>
  <c r="B2570" i="100"/>
  <c r="C2571" i="100"/>
  <c r="C2583" i="100"/>
  <c r="B2535" i="100"/>
  <c r="C2486" i="100"/>
  <c r="B2549" i="100"/>
  <c r="B2451" i="100"/>
  <c r="C2590" i="100"/>
  <c r="C2610" i="100"/>
  <c r="C2577" i="100"/>
  <c r="B2404" i="100"/>
  <c r="C2626" i="100"/>
  <c r="B2537" i="100"/>
  <c r="C2453" i="100"/>
  <c r="B2514" i="100"/>
  <c r="C2425" i="100"/>
  <c r="C2592" i="100"/>
  <c r="B2628" i="100"/>
  <c r="C2436" i="100"/>
  <c r="B2416" i="100"/>
  <c r="B2554" i="100"/>
  <c r="B2610" i="100"/>
  <c r="C2416" i="100"/>
  <c r="C2537" i="100"/>
  <c r="B2411" i="100"/>
  <c r="B2617" i="100"/>
  <c r="C2564" i="100"/>
  <c r="B2592" i="100"/>
  <c r="C2558" i="100"/>
  <c r="B2581" i="100"/>
  <c r="B2598" i="100"/>
  <c r="C2561" i="100"/>
  <c r="C2630" i="100"/>
  <c r="B2583" i="100"/>
  <c r="B2456" i="100"/>
  <c r="C2531" i="100"/>
  <c r="C2572" i="100"/>
  <c r="B2475" i="100"/>
  <c r="C2591" i="100"/>
  <c r="C2492" i="100"/>
  <c r="B2522" i="100"/>
  <c r="C2601" i="100"/>
  <c r="C2565" i="100"/>
  <c r="B2563" i="100"/>
  <c r="C2415" i="100"/>
  <c r="B2463" i="100"/>
  <c r="C2617" i="100"/>
  <c r="B2534" i="100"/>
  <c r="B2545" i="100"/>
  <c r="C2594" i="100"/>
  <c r="B2567" i="100"/>
  <c r="B2602" i="100"/>
  <c r="B2606" i="100"/>
  <c r="C2540" i="100"/>
  <c r="C2585" i="100"/>
  <c r="B2442" i="100"/>
  <c r="B2595" i="100"/>
  <c r="B2584" i="100"/>
  <c r="C2512" i="100"/>
  <c r="C2609" i="100"/>
  <c r="C2562" i="100"/>
  <c r="C2456" i="100"/>
  <c r="B2586" i="100"/>
  <c r="C2494" i="100"/>
  <c r="B2551" i="100"/>
  <c r="B2513" i="100"/>
  <c r="B2441" i="100"/>
  <c r="B2506" i="100"/>
  <c r="B2591" i="100"/>
  <c r="C2528" i="100"/>
  <c r="C2527" i="100"/>
  <c r="C2451" i="100"/>
  <c r="B2454" i="100"/>
  <c r="C2464" i="100"/>
  <c r="B2516" i="100"/>
  <c r="C2509" i="100"/>
  <c r="B2502" i="100"/>
  <c r="C2491" i="100"/>
  <c r="C2619" i="100"/>
  <c r="B2455" i="100"/>
  <c r="C2411" i="100"/>
  <c r="C2474" i="100"/>
  <c r="B2547" i="100"/>
  <c r="B2599" i="100"/>
  <c r="B2594" i="100"/>
  <c r="C2422" i="100"/>
  <c r="C2510" i="100"/>
  <c r="B2464" i="100"/>
  <c r="B2562" i="100"/>
  <c r="B2462" i="100"/>
  <c r="B2608" i="100"/>
  <c r="C2518" i="100"/>
  <c r="B2582" i="100"/>
  <c r="B2422" i="100"/>
  <c r="C2452" i="100"/>
  <c r="B2436" i="100"/>
  <c r="B2504" i="100"/>
  <c r="C2481" i="100"/>
  <c r="C2445" i="100"/>
  <c r="C2623" i="100"/>
  <c r="B2491" i="100"/>
  <c r="B2632" i="100"/>
  <c r="B2630" i="100"/>
  <c r="C2435" i="100"/>
  <c r="C2598" i="100"/>
  <c r="B2622" i="100"/>
  <c r="B2483" i="100"/>
  <c r="B2520" i="100"/>
  <c r="C2560" i="100"/>
  <c r="B2565" i="100"/>
  <c r="B2600" i="100"/>
  <c r="B2601" i="100"/>
  <c r="C2519" i="100"/>
  <c r="C2529" i="100"/>
  <c r="C2581" i="100"/>
  <c r="C2584" i="100"/>
  <c r="C2593" i="100"/>
  <c r="C2503" i="100"/>
  <c r="C2433" i="100"/>
  <c r="B2531" i="100"/>
  <c r="C2522" i="100"/>
  <c r="B2466" i="100"/>
  <c r="B2611" i="100"/>
  <c r="C2555" i="100"/>
  <c r="B2526" i="100"/>
  <c r="C2616" i="100"/>
  <c r="B2425" i="100"/>
  <c r="B2443" i="100"/>
  <c r="B2415" i="100"/>
  <c r="C2607" i="100"/>
  <c r="B2572" i="100"/>
  <c r="C2414" i="100"/>
  <c r="B2484" i="100"/>
  <c r="B2603" i="100"/>
  <c r="B2548" i="100"/>
  <c r="B2578" i="100"/>
  <c r="C2513" i="100"/>
  <c r="C2632" i="100"/>
  <c r="C2543" i="100"/>
  <c r="C2582" i="100"/>
  <c r="B2492" i="100"/>
  <c r="C2511" i="100"/>
  <c r="B2539" i="100"/>
  <c r="B2558" i="100"/>
  <c r="B2605" i="100"/>
  <c r="C2506" i="100"/>
  <c r="C2554" i="100"/>
  <c r="B2538" i="100"/>
  <c r="C2472" i="100"/>
  <c r="B2587" i="100"/>
  <c r="C2496" i="100"/>
  <c r="C2530" i="100"/>
  <c r="B2573" i="100"/>
  <c r="C2575" i="100"/>
  <c r="Z28" i="36" l="1"/>
  <c r="U29" i="36"/>
  <c r="AB37" i="72"/>
  <c r="D15" i="36"/>
  <c r="Z32" i="36"/>
  <c r="T28" i="36"/>
  <c r="S26" i="36"/>
  <c r="S31" i="36"/>
  <c r="R27" i="36"/>
  <c r="Z27" i="36" s="1"/>
  <c r="U28" i="36"/>
  <c r="R26" i="36"/>
  <c r="Z26" i="36" s="1"/>
  <c r="S25" i="36"/>
  <c r="U31" i="36"/>
  <c r="S27" i="36"/>
  <c r="T30" i="36"/>
  <c r="S32" i="36"/>
  <c r="T33" i="36"/>
  <c r="R25" i="36"/>
  <c r="Z25" i="36" s="1"/>
  <c r="S29" i="36"/>
  <c r="R30" i="36"/>
  <c r="Z30" i="36" s="1"/>
  <c r="U32" i="36"/>
  <c r="S33" i="36"/>
  <c r="U25" i="36"/>
  <c r="R31" i="36"/>
  <c r="Z31" i="36" s="1"/>
  <c r="S30" i="36"/>
  <c r="S28" i="36"/>
  <c r="T31" i="36"/>
  <c r="T26" i="36"/>
  <c r="U33" i="36"/>
  <c r="T27" i="36"/>
  <c r="U30" i="36"/>
  <c r="T32" i="36"/>
  <c r="U26" i="36"/>
  <c r="U27" i="36"/>
  <c r="D707" i="97"/>
  <c r="D705" i="97"/>
  <c r="H635" i="97"/>
  <c r="D637" i="97"/>
  <c r="D635" i="97"/>
  <c r="D749" i="97"/>
  <c r="D747" i="97"/>
  <c r="D651" i="97"/>
  <c r="D649" i="97"/>
  <c r="D763" i="97"/>
  <c r="D761" i="97"/>
  <c r="D665" i="97"/>
  <c r="D663" i="97"/>
  <c r="D735" i="97"/>
  <c r="D733" i="97"/>
  <c r="D679" i="97"/>
  <c r="D677" i="97"/>
  <c r="D721" i="97"/>
  <c r="D719" i="97"/>
  <c r="D693" i="97"/>
  <c r="D691" i="97"/>
  <c r="E41" i="98"/>
  <c r="P2905" i="100"/>
  <c r="E39" i="98"/>
  <c r="P2845" i="100"/>
  <c r="E40" i="98"/>
  <c r="P2875" i="100"/>
  <c r="E42" i="98"/>
  <c r="P2307" i="100" s="1"/>
  <c r="P2295" i="100"/>
  <c r="P2695" i="100"/>
  <c r="P2665" i="100"/>
  <c r="E43" i="98"/>
  <c r="P2329" i="100" s="1"/>
  <c r="P2317" i="100"/>
  <c r="E44" i="98"/>
  <c r="P2351" i="100" s="1"/>
  <c r="P2339" i="100"/>
  <c r="E45" i="98"/>
  <c r="P2373" i="100" s="1"/>
  <c r="P2361" i="100"/>
  <c r="E46" i="98"/>
  <c r="P2395" i="100" s="1"/>
  <c r="P2383" i="100"/>
  <c r="AB89" i="94"/>
  <c r="X89" i="94"/>
  <c r="AD89" i="94" s="1"/>
  <c r="N666" i="97"/>
  <c r="J666" i="97"/>
  <c r="H663" i="97"/>
  <c r="N660" i="97"/>
  <c r="L660" i="97"/>
  <c r="J660" i="97"/>
  <c r="H660" i="97"/>
  <c r="M50" i="98"/>
  <c r="H674" i="97"/>
  <c r="N680" i="97"/>
  <c r="J680" i="97"/>
  <c r="H677" i="97"/>
  <c r="N674" i="97"/>
  <c r="L674" i="97"/>
  <c r="J674" i="97"/>
  <c r="M51" i="98"/>
  <c r="J688" i="97"/>
  <c r="H688" i="97"/>
  <c r="N694" i="97"/>
  <c r="J694" i="97"/>
  <c r="H691" i="97"/>
  <c r="N688" i="97"/>
  <c r="L688" i="97"/>
  <c r="M49" i="98"/>
  <c r="L702" i="97"/>
  <c r="J702" i="97"/>
  <c r="H702" i="97"/>
  <c r="N708" i="97"/>
  <c r="J708" i="97"/>
  <c r="H705" i="97"/>
  <c r="N702" i="97"/>
  <c r="M53" i="98"/>
  <c r="N716" i="97"/>
  <c r="L716" i="97"/>
  <c r="J716" i="97"/>
  <c r="H716" i="97"/>
  <c r="N722" i="97"/>
  <c r="J722" i="97"/>
  <c r="H719" i="97"/>
  <c r="M54" i="98"/>
  <c r="H733" i="97"/>
  <c r="N730" i="97"/>
  <c r="L730" i="97"/>
  <c r="J730" i="97"/>
  <c r="H730" i="97"/>
  <c r="N736" i="97"/>
  <c r="J736" i="97"/>
  <c r="J638" i="97"/>
  <c r="N632" i="97"/>
  <c r="L632" i="97"/>
  <c r="J632" i="97"/>
  <c r="H632" i="97"/>
  <c r="N638" i="97"/>
  <c r="J750" i="97"/>
  <c r="H747" i="97"/>
  <c r="N744" i="97"/>
  <c r="L744" i="97"/>
  <c r="J744" i="97"/>
  <c r="H744" i="97"/>
  <c r="N750" i="97"/>
  <c r="N652" i="97"/>
  <c r="H646" i="97"/>
  <c r="J652" i="97"/>
  <c r="H649" i="97"/>
  <c r="N646" i="97"/>
  <c r="L646" i="97"/>
  <c r="J646" i="97"/>
  <c r="N764" i="97"/>
  <c r="J764" i="97"/>
  <c r="H761" i="97"/>
  <c r="N758" i="97"/>
  <c r="L758" i="97"/>
  <c r="J758" i="97"/>
  <c r="H758" i="97"/>
  <c r="L764" i="97"/>
  <c r="M56" i="98"/>
  <c r="M55" i="98"/>
  <c r="M52" i="98"/>
  <c r="M47" i="98"/>
  <c r="L750" i="97"/>
  <c r="L736" i="97"/>
  <c r="L722" i="97"/>
  <c r="L708" i="97"/>
  <c r="L694" i="97"/>
  <c r="L680" i="97"/>
  <c r="L666" i="97"/>
  <c r="L652" i="97"/>
  <c r="L638" i="97"/>
  <c r="B2733" i="100"/>
  <c r="B2687" i="100"/>
  <c r="C2792" i="100"/>
  <c r="C2882" i="100"/>
  <c r="B2933" i="100"/>
  <c r="C2853" i="100"/>
  <c r="B2763" i="100"/>
  <c r="B2822" i="100"/>
  <c r="B2657" i="100"/>
  <c r="B2867" i="100"/>
  <c r="C2927" i="100"/>
  <c r="B2642" i="100"/>
  <c r="B2753" i="100"/>
  <c r="B2883" i="100"/>
  <c r="C2673" i="100"/>
  <c r="B2702" i="100"/>
  <c r="C2717" i="100"/>
  <c r="C2852" i="100"/>
  <c r="B2732" i="100"/>
  <c r="C2687" i="100"/>
  <c r="C2763" i="100"/>
  <c r="C2732" i="100"/>
  <c r="C2837" i="100"/>
  <c r="C2807" i="100"/>
  <c r="C2793" i="100"/>
  <c r="C2783" i="100"/>
  <c r="C2903" i="100"/>
  <c r="C2733" i="100"/>
  <c r="C2823" i="100"/>
  <c r="B2912" i="100"/>
  <c r="C2883" i="100"/>
  <c r="B2777" i="100"/>
  <c r="C2822" i="100"/>
  <c r="C2663" i="100"/>
  <c r="B2852" i="100"/>
  <c r="C2657" i="100"/>
  <c r="B2762" i="100"/>
  <c r="B2793" i="100"/>
  <c r="C2777" i="100"/>
  <c r="B2717" i="100"/>
  <c r="B2663" i="100"/>
  <c r="C2933" i="100"/>
  <c r="C2642" i="100"/>
  <c r="B2783" i="100"/>
  <c r="C2873" i="100"/>
  <c r="C2753" i="100"/>
  <c r="C2672" i="100"/>
  <c r="C2912" i="100"/>
  <c r="C2867" i="100"/>
  <c r="C2643" i="100"/>
  <c r="B2813" i="100"/>
  <c r="B2807" i="100"/>
  <c r="C2723" i="100"/>
  <c r="B2693" i="100"/>
  <c r="B2853" i="100"/>
  <c r="C2747" i="100"/>
  <c r="B2747" i="100"/>
  <c r="B2927" i="100"/>
  <c r="C2913" i="100"/>
  <c r="B2837" i="100"/>
  <c r="B2792" i="100"/>
  <c r="C2897" i="100"/>
  <c r="C2843" i="100"/>
  <c r="B2673" i="100"/>
  <c r="B2913" i="100"/>
  <c r="B2843" i="100"/>
  <c r="C2693" i="100"/>
  <c r="B2823" i="100"/>
  <c r="C2703" i="100"/>
  <c r="C2762" i="100"/>
  <c r="B2703" i="100"/>
  <c r="B2723" i="100"/>
  <c r="C2702" i="100"/>
  <c r="B2903" i="100"/>
  <c r="B2882" i="100"/>
  <c r="B2643" i="100"/>
  <c r="B2672" i="100"/>
  <c r="B2897" i="100"/>
  <c r="B2873" i="100"/>
  <c r="C2813" i="100"/>
  <c r="Z89" i="94" l="1"/>
  <c r="Y89" i="94"/>
  <c r="AA89" i="94"/>
  <c r="O466" i="94" l="1"/>
  <c r="O458" i="94"/>
  <c r="O450" i="94"/>
  <c r="O442" i="94"/>
  <c r="O434" i="94"/>
  <c r="T2403" i="100"/>
  <c r="T2402" i="100"/>
  <c r="T2401" i="100"/>
  <c r="T2400" i="100"/>
  <c r="T2399" i="100"/>
  <c r="T2398" i="100"/>
  <c r="T2397" i="100"/>
  <c r="T2396" i="100"/>
  <c r="T2395" i="100"/>
  <c r="G2384" i="100"/>
  <c r="G2385" i="100"/>
  <c r="G2386" i="100"/>
  <c r="G2387" i="100"/>
  <c r="G2388" i="100"/>
  <c r="G2389" i="100"/>
  <c r="G2390" i="100"/>
  <c r="G2391" i="100"/>
  <c r="G2392" i="100"/>
  <c r="G2393" i="100"/>
  <c r="G2394" i="100"/>
  <c r="G2382" i="100"/>
  <c r="G2362" i="100"/>
  <c r="G2363" i="100"/>
  <c r="G2364" i="100"/>
  <c r="G2365" i="100"/>
  <c r="G2366" i="100"/>
  <c r="G2367" i="100"/>
  <c r="G2368" i="100"/>
  <c r="G2369" i="100"/>
  <c r="G2370" i="100"/>
  <c r="G2371" i="100"/>
  <c r="G2372" i="100"/>
  <c r="G2360" i="100"/>
  <c r="G2340" i="100"/>
  <c r="G2341" i="100"/>
  <c r="G2342" i="100"/>
  <c r="G2343" i="100"/>
  <c r="G2344" i="100"/>
  <c r="G2345" i="100"/>
  <c r="G2346" i="100"/>
  <c r="G2347" i="100"/>
  <c r="G2348" i="100"/>
  <c r="G2349" i="100"/>
  <c r="G2350" i="100"/>
  <c r="G2338" i="100"/>
  <c r="G2318" i="100"/>
  <c r="G2319" i="100"/>
  <c r="G2320" i="100"/>
  <c r="G2322" i="100"/>
  <c r="G2323" i="100"/>
  <c r="G2324" i="100"/>
  <c r="G2325" i="100"/>
  <c r="G2326" i="100"/>
  <c r="G2327" i="100"/>
  <c r="G2328" i="100"/>
  <c r="G2316" i="100"/>
  <c r="T2381" i="100"/>
  <c r="T2380" i="100"/>
  <c r="T2379" i="100"/>
  <c r="T2378" i="100"/>
  <c r="T2377" i="100"/>
  <c r="T2376" i="100"/>
  <c r="T2375" i="100"/>
  <c r="T2374" i="100"/>
  <c r="T2373" i="100"/>
  <c r="T2359" i="100"/>
  <c r="T2358" i="100"/>
  <c r="T2357" i="100"/>
  <c r="T2356" i="100"/>
  <c r="T2355" i="100"/>
  <c r="T2354" i="100"/>
  <c r="T2353" i="100"/>
  <c r="T2351" i="100"/>
  <c r="E36" i="98"/>
  <c r="E35" i="98"/>
  <c r="E34" i="98"/>
  <c r="E33" i="98"/>
  <c r="E32" i="98"/>
  <c r="T837" i="97"/>
  <c r="T823" i="97"/>
  <c r="T809" i="97"/>
  <c r="T795" i="97"/>
  <c r="K2394" i="100"/>
  <c r="I2394" i="100"/>
  <c r="K2393" i="100"/>
  <c r="K2392" i="100"/>
  <c r="I2392" i="100"/>
  <c r="K2391" i="100"/>
  <c r="I2391" i="100"/>
  <c r="I2390" i="100"/>
  <c r="I2389" i="100"/>
  <c r="I2388" i="100"/>
  <c r="K2387" i="100"/>
  <c r="K2386" i="100"/>
  <c r="K2385" i="100"/>
  <c r="K2384" i="100"/>
  <c r="I2384" i="100"/>
  <c r="K2383" i="100"/>
  <c r="K2382" i="100"/>
  <c r="I2382" i="100"/>
  <c r="K2372" i="100"/>
  <c r="I2372" i="100"/>
  <c r="K2371" i="100"/>
  <c r="K2370" i="100"/>
  <c r="I2370" i="100"/>
  <c r="K2369" i="100"/>
  <c r="I2369" i="100"/>
  <c r="I2368" i="100"/>
  <c r="K2367" i="100"/>
  <c r="I2366" i="100"/>
  <c r="K2365" i="100"/>
  <c r="K2364" i="100"/>
  <c r="I2363" i="100"/>
  <c r="K2362" i="100"/>
  <c r="I2362" i="100"/>
  <c r="K2361" i="100"/>
  <c r="K2360" i="100"/>
  <c r="I2360" i="100"/>
  <c r="K2350" i="100"/>
  <c r="I2350" i="100"/>
  <c r="K2349" i="100"/>
  <c r="K2348" i="100"/>
  <c r="I2348" i="100"/>
  <c r="K2347" i="100"/>
  <c r="I2347" i="100"/>
  <c r="I2346" i="100"/>
  <c r="K2345" i="100"/>
  <c r="I2344" i="100"/>
  <c r="K2343" i="100"/>
  <c r="K2342" i="100"/>
  <c r="K2341" i="100"/>
  <c r="K2340" i="100"/>
  <c r="I2340" i="100"/>
  <c r="K2339" i="100"/>
  <c r="K2338" i="100"/>
  <c r="I2338" i="100"/>
  <c r="K2328" i="100"/>
  <c r="I2328" i="100"/>
  <c r="K2327" i="100"/>
  <c r="K2326" i="100"/>
  <c r="I2326" i="100"/>
  <c r="K2325" i="100"/>
  <c r="I2325" i="100"/>
  <c r="K2324" i="100"/>
  <c r="I2323" i="100"/>
  <c r="K2322" i="100"/>
  <c r="G2321" i="100"/>
  <c r="K2321" i="100"/>
  <c r="I2320" i="100"/>
  <c r="I2319" i="100"/>
  <c r="K2318" i="100"/>
  <c r="I2318" i="100"/>
  <c r="I2317" i="100"/>
  <c r="K2316" i="100"/>
  <c r="I2316" i="100"/>
  <c r="B2367" i="100"/>
  <c r="B2321" i="100"/>
  <c r="B2347" i="100"/>
  <c r="B2346" i="100"/>
  <c r="B2387" i="100"/>
  <c r="C2324" i="100"/>
  <c r="C2340" i="100"/>
  <c r="B2349" i="100"/>
  <c r="B2338" i="100"/>
  <c r="B2342" i="100"/>
  <c r="C2367" i="100"/>
  <c r="C2338" i="100"/>
  <c r="B2385" i="100"/>
  <c r="B2370" i="100"/>
  <c r="B2369" i="100"/>
  <c r="C2326" i="100"/>
  <c r="B2323" i="100"/>
  <c r="B2363" i="100"/>
  <c r="B2344" i="100"/>
  <c r="B2345" i="100"/>
  <c r="B2371" i="100"/>
  <c r="B2366" i="100"/>
  <c r="C2385" i="100"/>
  <c r="C2321" i="100"/>
  <c r="B2340" i="100"/>
  <c r="C2365" i="100"/>
  <c r="B2368" i="100"/>
  <c r="C2371" i="100"/>
  <c r="C2316" i="100"/>
  <c r="B2326" i="100"/>
  <c r="B2392" i="100"/>
  <c r="C2320" i="100"/>
  <c r="B2341" i="100"/>
  <c r="C2392" i="100"/>
  <c r="C2369" i="100"/>
  <c r="B2386" i="100"/>
  <c r="C2360" i="100"/>
  <c r="C2327" i="100"/>
  <c r="C2325" i="100"/>
  <c r="C2368" i="100"/>
  <c r="C2389" i="100"/>
  <c r="C2323" i="100"/>
  <c r="B2325" i="100"/>
  <c r="B2327" i="100"/>
  <c r="C2344" i="100"/>
  <c r="C2322" i="100"/>
  <c r="C2390" i="100"/>
  <c r="C2382" i="100"/>
  <c r="B2390" i="100"/>
  <c r="C2387" i="100"/>
  <c r="B2389" i="100"/>
  <c r="C2388" i="100"/>
  <c r="B2393" i="100"/>
  <c r="B2322" i="100"/>
  <c r="C2370" i="100"/>
  <c r="B2384" i="100"/>
  <c r="B2382" i="100"/>
  <c r="C2319" i="100"/>
  <c r="C2318" i="100"/>
  <c r="C2363" i="100"/>
  <c r="C2386" i="100"/>
  <c r="B2320" i="100"/>
  <c r="C2393" i="100"/>
  <c r="C2348" i="100"/>
  <c r="C2342" i="100"/>
  <c r="B2365" i="100"/>
  <c r="C2345" i="100"/>
  <c r="B2348" i="100"/>
  <c r="B2364" i="100"/>
  <c r="C2364" i="100"/>
  <c r="C2349" i="100"/>
  <c r="C2341" i="100"/>
  <c r="B2362" i="100"/>
  <c r="C2347" i="100"/>
  <c r="B2388" i="100"/>
  <c r="B2391" i="100"/>
  <c r="B2318" i="100"/>
  <c r="C2384" i="100"/>
  <c r="C2391" i="100"/>
  <c r="C2366" i="100"/>
  <c r="B2360" i="100"/>
  <c r="C2346" i="100"/>
  <c r="C2362" i="100"/>
  <c r="B2324" i="100"/>
  <c r="B2343" i="100"/>
  <c r="B2319" i="100"/>
  <c r="C2343" i="100"/>
  <c r="B2316" i="100"/>
  <c r="K2323" i="100" l="1"/>
  <c r="M61" i="98"/>
  <c r="M58" i="98"/>
  <c r="M59" i="98"/>
  <c r="M60" i="98"/>
  <c r="I2342" i="100"/>
  <c r="I2386" i="100"/>
  <c r="I2339" i="100"/>
  <c r="I2383" i="100"/>
  <c r="K2320" i="100"/>
  <c r="K2344" i="100"/>
  <c r="I2364" i="100"/>
  <c r="K2389" i="100"/>
  <c r="K2388" i="100"/>
  <c r="K2363" i="100"/>
  <c r="K2366" i="100"/>
  <c r="I2367" i="100"/>
  <c r="I2345" i="100"/>
  <c r="K2317" i="100"/>
  <c r="I2324" i="100"/>
  <c r="I2321" i="100"/>
  <c r="K2319" i="100"/>
  <c r="K2390" i="100"/>
  <c r="I2387" i="100"/>
  <c r="I2393" i="100"/>
  <c r="I2385" i="100"/>
  <c r="K2368" i="100"/>
  <c r="I2365" i="100"/>
  <c r="I2371" i="100"/>
  <c r="I2361" i="100"/>
  <c r="I2343" i="100"/>
  <c r="I2349" i="100"/>
  <c r="K2346" i="100"/>
  <c r="I2341" i="100"/>
  <c r="I2322" i="100"/>
  <c r="I2327" i="100"/>
  <c r="Z42" i="97"/>
  <c r="AA42" i="97" s="1"/>
  <c r="Z41" i="97"/>
  <c r="AA41" i="97" s="1"/>
  <c r="AB41" i="97" s="1"/>
  <c r="Z40" i="97"/>
  <c r="AA40" i="97" s="1"/>
  <c r="Z39" i="97"/>
  <c r="AA39" i="97" s="1"/>
  <c r="L51" i="98"/>
  <c r="K51" i="98"/>
  <c r="L50" i="98"/>
  <c r="K50" i="98"/>
  <c r="L49" i="98"/>
  <c r="K49" i="98"/>
  <c r="L48" i="98"/>
  <c r="K48" i="98"/>
  <c r="E471" i="94"/>
  <c r="E470" i="94"/>
  <c r="E463" i="94"/>
  <c r="E462" i="94"/>
  <c r="E455" i="94"/>
  <c r="E454" i="94"/>
  <c r="E447" i="94"/>
  <c r="E446" i="94"/>
  <c r="G2296" i="100"/>
  <c r="G2297" i="100"/>
  <c r="G2298" i="100"/>
  <c r="G2299" i="100"/>
  <c r="G2300" i="100"/>
  <c r="G2301" i="100"/>
  <c r="G2302" i="100"/>
  <c r="G2303" i="100"/>
  <c r="G2304" i="100"/>
  <c r="G2305" i="100"/>
  <c r="G2306" i="100"/>
  <c r="G2294" i="100"/>
  <c r="K2306" i="100"/>
  <c r="I2306" i="100"/>
  <c r="K2305" i="100"/>
  <c r="K2304" i="100"/>
  <c r="I2304" i="100"/>
  <c r="K2303" i="100"/>
  <c r="I2303" i="100"/>
  <c r="I2302" i="100"/>
  <c r="K2301" i="100"/>
  <c r="K2300" i="100"/>
  <c r="K2299" i="100"/>
  <c r="K2298" i="100"/>
  <c r="K2297" i="100"/>
  <c r="K2296" i="100"/>
  <c r="I2296" i="100"/>
  <c r="I2295" i="100"/>
  <c r="K2294" i="100"/>
  <c r="I2294" i="100"/>
  <c r="B2305" i="100"/>
  <c r="B2300" i="100"/>
  <c r="B2302" i="100"/>
  <c r="C2296" i="100"/>
  <c r="C462" i="94" a="1"/>
  <c r="C2302" i="100"/>
  <c r="B2299" i="100"/>
  <c r="B2294" i="100"/>
  <c r="C2301" i="100"/>
  <c r="C2303" i="100"/>
  <c r="C2294" i="100"/>
  <c r="P2349" i="100" a="1"/>
  <c r="C2300" i="100"/>
  <c r="C2304" i="100"/>
  <c r="C454" i="94" a="1"/>
  <c r="C470" i="94" a="1"/>
  <c r="P2393" i="100" a="1"/>
  <c r="C2298" i="100"/>
  <c r="B2298" i="100"/>
  <c r="B2304" i="100"/>
  <c r="P2371" i="100" a="1"/>
  <c r="B2296" i="100"/>
  <c r="B2303" i="100"/>
  <c r="C446" i="94" a="1"/>
  <c r="C2299" i="100"/>
  <c r="C2297" i="100"/>
  <c r="Q2327" i="100" a="1"/>
  <c r="P2327" i="100" a="1"/>
  <c r="C2305" i="100"/>
  <c r="Q2349" i="100" a="1"/>
  <c r="B2297" i="100"/>
  <c r="Q2371" i="100" a="1"/>
  <c r="Q2393" i="100" a="1"/>
  <c r="B2301" i="100"/>
  <c r="AB40" i="97" l="1"/>
  <c r="D805" i="97" s="1"/>
  <c r="AB42" i="97"/>
  <c r="D833" i="97" s="1"/>
  <c r="D789" i="97"/>
  <c r="AB39" i="97"/>
  <c r="D791" i="97" s="1"/>
  <c r="P2393" i="100"/>
  <c r="Q2393" i="100"/>
  <c r="P2371" i="100"/>
  <c r="Q2371" i="100"/>
  <c r="P2349" i="100"/>
  <c r="Q2349" i="100"/>
  <c r="Q2327" i="100"/>
  <c r="P2327" i="100"/>
  <c r="D819" i="97"/>
  <c r="D817" i="97"/>
  <c r="D803" i="97"/>
  <c r="D831" i="97"/>
  <c r="C470" i="94"/>
  <c r="C462" i="94"/>
  <c r="C454" i="94"/>
  <c r="R767" i="97" s="1"/>
  <c r="C446" i="94"/>
  <c r="K2302" i="100"/>
  <c r="I2300" i="100"/>
  <c r="I2299" i="100"/>
  <c r="I2297" i="100"/>
  <c r="K2295" i="100"/>
  <c r="I2301" i="100"/>
  <c r="I2305" i="100"/>
  <c r="I2298" i="100"/>
  <c r="Z38" i="97"/>
  <c r="AB38" i="97" s="1"/>
  <c r="D777" i="97" s="1"/>
  <c r="T781" i="97"/>
  <c r="L47" i="98"/>
  <c r="K47" i="98"/>
  <c r="E439" i="94"/>
  <c r="E438" i="94"/>
  <c r="P1227" i="100"/>
  <c r="P233" i="100"/>
  <c r="N46" i="98"/>
  <c r="N45" i="98"/>
  <c r="N44" i="98"/>
  <c r="N43" i="98"/>
  <c r="N42" i="98"/>
  <c r="N41" i="98"/>
  <c r="N40" i="98"/>
  <c r="N39" i="98"/>
  <c r="N38" i="98"/>
  <c r="N37" i="98"/>
  <c r="N36" i="98"/>
  <c r="N35" i="98"/>
  <c r="N34" i="98"/>
  <c r="N33" i="98"/>
  <c r="N32" i="98"/>
  <c r="N31" i="98"/>
  <c r="N30" i="98"/>
  <c r="N29" i="98"/>
  <c r="N28" i="98"/>
  <c r="N27" i="98"/>
  <c r="N26" i="98"/>
  <c r="N25" i="98"/>
  <c r="N24" i="98"/>
  <c r="N23" i="98"/>
  <c r="N22" i="98"/>
  <c r="N21" i="98"/>
  <c r="N20" i="98"/>
  <c r="N19" i="98"/>
  <c r="N18" i="98"/>
  <c r="N17" i="98"/>
  <c r="N16" i="98"/>
  <c r="N15" i="98"/>
  <c r="N14" i="98"/>
  <c r="N13" i="98"/>
  <c r="N12" i="98"/>
  <c r="N11" i="98"/>
  <c r="N10" i="98"/>
  <c r="N9" i="98"/>
  <c r="N8" i="98"/>
  <c r="N7" i="98"/>
  <c r="N6" i="98"/>
  <c r="N5" i="98"/>
  <c r="N4" i="98"/>
  <c r="N3" i="98"/>
  <c r="K18" i="98"/>
  <c r="K17" i="98"/>
  <c r="K12" i="98"/>
  <c r="K8" i="98"/>
  <c r="K7" i="98"/>
  <c r="K11" i="98"/>
  <c r="K39" i="98"/>
  <c r="K40" i="98"/>
  <c r="K41" i="98"/>
  <c r="K42" i="98"/>
  <c r="K43" i="98"/>
  <c r="K44" i="98"/>
  <c r="K45" i="98"/>
  <c r="K46" i="98"/>
  <c r="L39" i="98"/>
  <c r="L40" i="98"/>
  <c r="L41" i="98"/>
  <c r="L42" i="98"/>
  <c r="L43" i="98"/>
  <c r="L44" i="98"/>
  <c r="L45" i="98"/>
  <c r="L46" i="98"/>
  <c r="G30" i="74"/>
  <c r="K38" i="98"/>
  <c r="K37" i="98"/>
  <c r="K36" i="98"/>
  <c r="K35" i="98"/>
  <c r="K34" i="98"/>
  <c r="K33" i="98"/>
  <c r="K32" i="98"/>
  <c r="K31" i="98"/>
  <c r="K30" i="98"/>
  <c r="K29" i="98"/>
  <c r="K28" i="98"/>
  <c r="K27" i="98"/>
  <c r="K26" i="98"/>
  <c r="K25" i="98"/>
  <c r="K24" i="98"/>
  <c r="K23" i="98"/>
  <c r="K22" i="98"/>
  <c r="K21" i="98"/>
  <c r="K20" i="98"/>
  <c r="K19" i="98"/>
  <c r="K16" i="98"/>
  <c r="K15" i="98"/>
  <c r="K14" i="98"/>
  <c r="K13" i="98"/>
  <c r="K10" i="98"/>
  <c r="K9" i="98"/>
  <c r="K6" i="98"/>
  <c r="K5" i="98"/>
  <c r="K4" i="98"/>
  <c r="K3" i="98"/>
  <c r="L38" i="98"/>
  <c r="L37" i="98"/>
  <c r="L36" i="98"/>
  <c r="L35" i="98"/>
  <c r="L34" i="98"/>
  <c r="L33" i="98"/>
  <c r="L32" i="98"/>
  <c r="L31" i="98"/>
  <c r="L30" i="98"/>
  <c r="L29" i="98"/>
  <c r="L28" i="98"/>
  <c r="L27" i="98"/>
  <c r="L26" i="98"/>
  <c r="L25" i="98"/>
  <c r="L24" i="98"/>
  <c r="L23" i="98"/>
  <c r="L22" i="98"/>
  <c r="L21" i="98"/>
  <c r="L20" i="98"/>
  <c r="L19" i="98"/>
  <c r="L18" i="98"/>
  <c r="L17" i="98"/>
  <c r="L16" i="98"/>
  <c r="L15" i="98"/>
  <c r="L14" i="98"/>
  <c r="L13" i="98"/>
  <c r="L12" i="98"/>
  <c r="L11" i="98"/>
  <c r="L10" i="98"/>
  <c r="L9" i="98"/>
  <c r="L8" i="98"/>
  <c r="L7" i="98"/>
  <c r="L6" i="98"/>
  <c r="L5" i="98"/>
  <c r="L4" i="98"/>
  <c r="L3" i="98"/>
  <c r="T2293" i="100"/>
  <c r="G2293" i="100" s="1"/>
  <c r="T2292" i="100"/>
  <c r="G2292" i="100" s="1"/>
  <c r="T2291" i="100"/>
  <c r="G2291" i="100" s="1"/>
  <c r="T2290" i="100"/>
  <c r="G2290" i="100" s="1"/>
  <c r="T2289" i="100"/>
  <c r="G2289" i="100" s="1"/>
  <c r="T2288" i="100"/>
  <c r="G2288" i="100" s="1"/>
  <c r="T2287" i="100"/>
  <c r="G2287" i="100" s="1"/>
  <c r="T2286" i="100"/>
  <c r="G2286" i="100" s="1"/>
  <c r="T2285" i="100"/>
  <c r="G2285" i="100" s="1"/>
  <c r="R627" i="97"/>
  <c r="R613" i="97"/>
  <c r="R599" i="97"/>
  <c r="R585" i="97"/>
  <c r="R571" i="97"/>
  <c r="R557" i="97"/>
  <c r="R543" i="97"/>
  <c r="R529" i="97"/>
  <c r="Q2305" i="100" a="1"/>
  <c r="P2305" i="100" a="1"/>
  <c r="C438" i="94" a="1"/>
  <c r="M57" i="98" l="1"/>
  <c r="M416" i="94"/>
  <c r="M427" i="94"/>
  <c r="M394" i="94"/>
  <c r="M405" i="94"/>
  <c r="M372" i="94"/>
  <c r="M383" i="94"/>
  <c r="M350" i="94"/>
  <c r="M361" i="94"/>
  <c r="M328" i="94"/>
  <c r="M339" i="94"/>
  <c r="P2305" i="100"/>
  <c r="Q2305" i="100"/>
  <c r="AA38" i="97"/>
  <c r="D775" i="97" s="1"/>
  <c r="C438" i="94"/>
  <c r="T2277" i="100"/>
  <c r="G2277" i="100" s="1"/>
  <c r="T2276" i="100"/>
  <c r="G2276" i="100" s="1"/>
  <c r="T2275" i="100"/>
  <c r="G2275" i="100" s="1"/>
  <c r="T2274" i="100"/>
  <c r="G2274" i="100" s="1"/>
  <c r="T2273" i="100"/>
  <c r="G2273" i="100" s="1"/>
  <c r="T2272" i="100"/>
  <c r="G2272" i="100" s="1"/>
  <c r="T2271" i="100"/>
  <c r="G2271" i="100" s="1"/>
  <c r="T2220" i="100"/>
  <c r="G2220" i="100" s="1"/>
  <c r="T2077" i="100"/>
  <c r="T2076" i="100"/>
  <c r="T2075" i="100"/>
  <c r="T2074" i="100"/>
  <c r="T2073" i="100"/>
  <c r="T2072" i="100"/>
  <c r="T2071" i="100"/>
  <c r="T2070" i="100"/>
  <c r="T2069" i="100"/>
  <c r="T2270" i="100"/>
  <c r="G2270" i="100" s="1"/>
  <c r="T2269" i="100"/>
  <c r="G2269" i="100" s="1"/>
  <c r="T2268" i="100"/>
  <c r="G2268" i="100" s="1"/>
  <c r="T2267" i="100"/>
  <c r="G2267" i="100" s="1"/>
  <c r="T2266" i="100"/>
  <c r="G2266" i="100" s="1"/>
  <c r="T2265" i="100"/>
  <c r="G2265" i="100" s="1"/>
  <c r="T2264" i="100"/>
  <c r="G2264" i="100" s="1"/>
  <c r="T2219" i="100"/>
  <c r="G2219" i="100" s="1"/>
  <c r="T2066" i="100"/>
  <c r="T2065" i="100"/>
  <c r="T2064" i="100"/>
  <c r="T2063" i="100"/>
  <c r="T2062" i="100"/>
  <c r="T2061" i="100"/>
  <c r="T2060" i="100"/>
  <c r="T2059" i="100"/>
  <c r="T2058" i="100"/>
  <c r="T2263" i="100"/>
  <c r="G2263" i="100" s="1"/>
  <c r="T2262" i="100"/>
  <c r="G2262" i="100" s="1"/>
  <c r="T2261" i="100"/>
  <c r="G2261" i="100" s="1"/>
  <c r="T2260" i="100"/>
  <c r="G2260" i="100" s="1"/>
  <c r="T2259" i="100"/>
  <c r="G2259" i="100" s="1"/>
  <c r="T2258" i="100"/>
  <c r="G2258" i="100" s="1"/>
  <c r="T2257" i="100"/>
  <c r="G2257" i="100" s="1"/>
  <c r="T2218" i="100"/>
  <c r="G2218" i="100" s="1"/>
  <c r="T2055" i="100"/>
  <c r="T2054" i="100"/>
  <c r="T2053" i="100"/>
  <c r="T2052" i="100"/>
  <c r="T2051" i="100"/>
  <c r="T2050" i="100"/>
  <c r="T2049" i="100"/>
  <c r="T2048" i="100"/>
  <c r="T2047" i="100"/>
  <c r="T2256" i="100"/>
  <c r="G2256" i="100" s="1"/>
  <c r="T2255" i="100"/>
  <c r="G2255" i="100" s="1"/>
  <c r="T2254" i="100"/>
  <c r="G2254" i="100" s="1"/>
  <c r="T2253" i="100"/>
  <c r="G2253" i="100" s="1"/>
  <c r="T2252" i="100"/>
  <c r="G2252" i="100" s="1"/>
  <c r="T2251" i="100"/>
  <c r="G2251" i="100" s="1"/>
  <c r="T2250" i="100"/>
  <c r="G2250" i="100" s="1"/>
  <c r="T2217" i="100"/>
  <c r="G2217" i="100" s="1"/>
  <c r="T2044" i="100"/>
  <c r="T2043" i="100"/>
  <c r="T2042" i="100"/>
  <c r="T2041" i="100"/>
  <c r="T2040" i="100"/>
  <c r="T2039" i="100"/>
  <c r="T2038" i="100"/>
  <c r="T2037" i="100"/>
  <c r="T2036" i="100"/>
  <c r="T2249" i="100"/>
  <c r="G2249" i="100" s="1"/>
  <c r="T2248" i="100"/>
  <c r="G2248" i="100" s="1"/>
  <c r="T2247" i="100"/>
  <c r="G2247" i="100" s="1"/>
  <c r="T2246" i="100"/>
  <c r="G2246" i="100" s="1"/>
  <c r="T2245" i="100"/>
  <c r="G2245" i="100" s="1"/>
  <c r="T2244" i="100"/>
  <c r="G2244" i="100" s="1"/>
  <c r="T2243" i="100"/>
  <c r="G2243" i="100" s="1"/>
  <c r="T2216" i="100"/>
  <c r="G2216" i="100" s="1"/>
  <c r="T2033" i="100"/>
  <c r="T2032" i="100"/>
  <c r="T2031" i="100"/>
  <c r="T2030" i="100"/>
  <c r="T2029" i="100"/>
  <c r="T2028" i="100"/>
  <c r="T2027" i="100"/>
  <c r="T2026" i="100"/>
  <c r="T2025" i="100"/>
  <c r="T2242" i="100"/>
  <c r="G2242" i="100" s="1"/>
  <c r="T2241" i="100"/>
  <c r="G2241" i="100" s="1"/>
  <c r="T2240" i="100"/>
  <c r="G2240" i="100" s="1"/>
  <c r="T2239" i="100"/>
  <c r="G2239" i="100" s="1"/>
  <c r="T2238" i="100"/>
  <c r="G2238" i="100" s="1"/>
  <c r="T2237" i="100"/>
  <c r="G2237" i="100" s="1"/>
  <c r="T2236" i="100"/>
  <c r="G2236" i="100" s="1"/>
  <c r="T2215" i="100"/>
  <c r="G2215" i="100" s="1"/>
  <c r="T2022" i="100"/>
  <c r="T2021" i="100"/>
  <c r="T2020" i="100"/>
  <c r="T2019" i="100"/>
  <c r="T2018" i="100"/>
  <c r="T2017" i="100"/>
  <c r="T2016" i="100"/>
  <c r="T2015" i="100"/>
  <c r="T2014" i="100"/>
  <c r="T2235" i="100"/>
  <c r="G2235" i="100" s="1"/>
  <c r="T2234" i="100"/>
  <c r="G2234" i="100" s="1"/>
  <c r="T2233" i="100"/>
  <c r="G2233" i="100" s="1"/>
  <c r="T2232" i="100"/>
  <c r="G2232" i="100" s="1"/>
  <c r="T2231" i="100"/>
  <c r="G2231" i="100" s="1"/>
  <c r="T2230" i="100"/>
  <c r="G2230" i="100" s="1"/>
  <c r="T2229" i="100"/>
  <c r="G2229" i="100" s="1"/>
  <c r="T2214" i="100"/>
  <c r="G2214" i="100" s="1"/>
  <c r="T2011" i="100"/>
  <c r="T2010" i="100"/>
  <c r="T2009" i="100"/>
  <c r="T2008" i="100"/>
  <c r="T2007" i="100"/>
  <c r="T2006" i="100"/>
  <c r="T2005" i="100"/>
  <c r="T2004" i="100"/>
  <c r="T2003" i="100"/>
  <c r="T2284" i="100"/>
  <c r="G2284" i="100" s="1"/>
  <c r="T2283" i="100"/>
  <c r="G2283" i="100" s="1"/>
  <c r="T2282" i="100"/>
  <c r="G2282" i="100" s="1"/>
  <c r="T2281" i="100"/>
  <c r="G2281" i="100" s="1"/>
  <c r="T2280" i="100"/>
  <c r="G2280" i="100" s="1"/>
  <c r="T2279" i="100"/>
  <c r="G2279" i="100" s="1"/>
  <c r="T2278" i="100"/>
  <c r="G2278" i="100" s="1"/>
  <c r="T2221" i="100"/>
  <c r="G2221" i="100" s="1"/>
  <c r="T2088" i="100"/>
  <c r="T2087" i="100"/>
  <c r="T2086" i="100"/>
  <c r="T2085" i="100"/>
  <c r="T2084" i="100"/>
  <c r="T2083" i="100"/>
  <c r="T2082" i="100"/>
  <c r="T2081" i="100"/>
  <c r="T2080" i="100"/>
  <c r="T2223" i="100"/>
  <c r="G2223" i="100" s="1"/>
  <c r="T2224" i="100"/>
  <c r="G2224" i="100" s="1"/>
  <c r="T2225" i="100"/>
  <c r="G2225" i="100" s="1"/>
  <c r="T2226" i="100"/>
  <c r="G2226" i="100" s="1"/>
  <c r="T2227" i="100"/>
  <c r="G2227" i="100" s="1"/>
  <c r="T2228" i="100"/>
  <c r="G2228" i="100" s="1"/>
  <c r="T2222" i="100"/>
  <c r="G2222" i="100" s="1"/>
  <c r="T2213" i="100"/>
  <c r="G2213" i="100" s="1"/>
  <c r="K2221" i="100"/>
  <c r="I2221" i="100"/>
  <c r="K2220" i="100"/>
  <c r="I2220" i="100"/>
  <c r="K2219" i="100"/>
  <c r="I2219" i="100"/>
  <c r="K2218" i="100"/>
  <c r="I2218" i="100"/>
  <c r="K2217" i="100"/>
  <c r="I2217" i="100"/>
  <c r="K2216" i="100"/>
  <c r="I2216" i="100"/>
  <c r="K2215" i="100"/>
  <c r="I2215" i="100"/>
  <c r="K2214" i="100"/>
  <c r="I2214" i="100"/>
  <c r="K2213" i="100"/>
  <c r="I2213" i="100"/>
  <c r="C318" i="94"/>
  <c r="C307" i="94"/>
  <c r="C296" i="94"/>
  <c r="C285" i="94"/>
  <c r="C274" i="94"/>
  <c r="C263" i="94"/>
  <c r="C252" i="94"/>
  <c r="C241" i="94"/>
  <c r="C230" i="94"/>
  <c r="T2212" i="100"/>
  <c r="G2212" i="100" s="1"/>
  <c r="T2211" i="100"/>
  <c r="G2211" i="100" s="1"/>
  <c r="T2210" i="100"/>
  <c r="G2210" i="100" s="1"/>
  <c r="T2209" i="100"/>
  <c r="G2209" i="100" s="1"/>
  <c r="T2208" i="100"/>
  <c r="G2208" i="100" s="1"/>
  <c r="T2207" i="100"/>
  <c r="G2207" i="100" s="1"/>
  <c r="T2206" i="100"/>
  <c r="G2206" i="100" s="1"/>
  <c r="T2205" i="100"/>
  <c r="G2205" i="100" s="1"/>
  <c r="T2204" i="100"/>
  <c r="G2204" i="100" s="1"/>
  <c r="T2203" i="100"/>
  <c r="G2203" i="100" s="1"/>
  <c r="T2202" i="100"/>
  <c r="G2202" i="100" s="1"/>
  <c r="T2201" i="100"/>
  <c r="G2201" i="100" s="1"/>
  <c r="T2200" i="100"/>
  <c r="G2200" i="100" s="1"/>
  <c r="T2199" i="100"/>
  <c r="G2199" i="100" s="1"/>
  <c r="T2198" i="100"/>
  <c r="G2198" i="100" s="1"/>
  <c r="T2197" i="100"/>
  <c r="G2197" i="100" s="1"/>
  <c r="T2196" i="100"/>
  <c r="G2196" i="100" s="1"/>
  <c r="T2195" i="100"/>
  <c r="G2195" i="100" s="1"/>
  <c r="T2194" i="100"/>
  <c r="G2194" i="100" s="1"/>
  <c r="T2193" i="100"/>
  <c r="G2193" i="100" s="1"/>
  <c r="T2192" i="100"/>
  <c r="G2192" i="100" s="1"/>
  <c r="T2191" i="100"/>
  <c r="G2191" i="100" s="1"/>
  <c r="T2190" i="100"/>
  <c r="G2190" i="100" s="1"/>
  <c r="T2189" i="100"/>
  <c r="G2189" i="100" s="1"/>
  <c r="K195" i="94"/>
  <c r="B2275" i="100"/>
  <c r="C2214" i="100"/>
  <c r="B2221" i="100"/>
  <c r="C2219" i="100"/>
  <c r="B2276" i="100"/>
  <c r="B2215" i="100"/>
  <c r="B2217" i="100"/>
  <c r="C2267" i="100"/>
  <c r="B2236" i="100"/>
  <c r="B2235" i="100"/>
  <c r="B2266" i="100"/>
  <c r="C2228" i="100"/>
  <c r="B2264" i="100"/>
  <c r="B2260" i="100"/>
  <c r="C2232" i="100"/>
  <c r="B2219" i="100"/>
  <c r="C2270" i="100"/>
  <c r="B2284" i="100"/>
  <c r="C2250" i="100"/>
  <c r="C2222" i="100"/>
  <c r="B2238" i="100"/>
  <c r="C2254" i="100"/>
  <c r="B2216" i="100"/>
  <c r="C2276" i="100"/>
  <c r="B2262" i="100"/>
  <c r="C2241" i="100"/>
  <c r="B2273" i="100"/>
  <c r="C2263" i="100"/>
  <c r="C2256" i="100"/>
  <c r="B2218" i="100"/>
  <c r="C2217" i="100"/>
  <c r="C2224" i="100"/>
  <c r="B2214" i="100"/>
  <c r="C2242" i="100"/>
  <c r="C2239" i="100"/>
  <c r="B2283" i="100"/>
  <c r="B2225" i="100"/>
  <c r="C2283" i="100"/>
  <c r="B2278" i="100"/>
  <c r="B2250" i="100"/>
  <c r="B2220" i="100"/>
  <c r="C2282" i="100"/>
  <c r="C2236" i="100"/>
  <c r="C2252" i="100"/>
  <c r="C2246" i="100"/>
  <c r="B2222" i="100"/>
  <c r="B2252" i="100"/>
  <c r="C2247" i="100"/>
  <c r="B2226" i="100"/>
  <c r="C2227" i="100"/>
  <c r="C2269" i="100"/>
  <c r="B2231" i="100"/>
  <c r="C2261" i="100"/>
  <c r="C2284" i="100"/>
  <c r="B2281" i="100"/>
  <c r="B2253" i="100"/>
  <c r="B2268" i="100"/>
  <c r="C2216" i="100"/>
  <c r="B2232" i="100"/>
  <c r="B2239" i="100"/>
  <c r="C2226" i="100"/>
  <c r="C2274" i="100"/>
  <c r="B2269" i="100"/>
  <c r="C2218" i="100"/>
  <c r="B2249" i="100"/>
  <c r="C2245" i="100"/>
  <c r="B2255" i="100"/>
  <c r="B2241" i="100"/>
  <c r="B2271" i="100"/>
  <c r="C2262" i="100"/>
  <c r="C2260" i="100"/>
  <c r="B2267" i="100"/>
  <c r="C2243" i="100"/>
  <c r="B2254" i="100"/>
  <c r="C2268" i="100"/>
  <c r="B2248" i="100"/>
  <c r="C2231" i="100"/>
  <c r="C2233" i="100"/>
  <c r="B2213" i="100"/>
  <c r="C2253" i="100"/>
  <c r="B2229" i="100"/>
  <c r="B2274" i="100"/>
  <c r="B2224" i="100"/>
  <c r="B2256" i="100"/>
  <c r="B2277" i="100"/>
  <c r="C2234" i="100"/>
  <c r="C2259" i="100"/>
  <c r="B2246" i="100"/>
  <c r="B2282" i="100"/>
  <c r="C2238" i="100"/>
  <c r="B2245" i="100"/>
  <c r="C2249" i="100"/>
  <c r="B2261" i="100"/>
  <c r="B2242" i="100"/>
  <c r="B2243" i="100"/>
  <c r="B2234" i="100"/>
  <c r="C2220" i="100"/>
  <c r="C2257" i="100"/>
  <c r="B2228" i="100"/>
  <c r="B2240" i="100"/>
  <c r="B2227" i="100"/>
  <c r="B2247" i="100"/>
  <c r="C2248" i="100"/>
  <c r="C2221" i="100"/>
  <c r="C2278" i="100"/>
  <c r="B2257" i="100"/>
  <c r="C2225" i="100"/>
  <c r="B2233" i="100"/>
  <c r="B2259" i="100"/>
  <c r="B2263" i="100"/>
  <c r="C2266" i="100"/>
  <c r="C2215" i="100"/>
  <c r="C2280" i="100"/>
  <c r="C2229" i="100"/>
  <c r="C2255" i="100"/>
  <c r="C2275" i="100"/>
  <c r="B2280" i="100"/>
  <c r="C2271" i="100"/>
  <c r="C2277" i="100"/>
  <c r="C2281" i="100"/>
  <c r="C2235" i="100"/>
  <c r="C2240" i="100"/>
  <c r="C2264" i="100"/>
  <c r="B2270" i="100"/>
  <c r="C2273" i="100"/>
  <c r="C2213" i="100"/>
  <c r="U1484" i="100" l="1"/>
  <c r="D75" i="59" l="1"/>
  <c r="D74" i="59"/>
  <c r="D73" i="59"/>
  <c r="D72" i="59"/>
  <c r="D71" i="59"/>
  <c r="D62" i="59"/>
  <c r="D60" i="59"/>
  <c r="D59" i="59"/>
  <c r="D55" i="59"/>
  <c r="D54" i="59"/>
  <c r="D53" i="59"/>
  <c r="D52" i="59"/>
  <c r="D51" i="59"/>
  <c r="D47" i="59"/>
  <c r="D46" i="59"/>
  <c r="D45" i="59"/>
  <c r="D44" i="59"/>
  <c r="D43" i="59"/>
  <c r="D42" i="59"/>
  <c r="D41" i="59"/>
  <c r="D40" i="59"/>
  <c r="D39" i="59"/>
  <c r="D38" i="59"/>
  <c r="D36" i="59"/>
  <c r="D35" i="59"/>
  <c r="D33" i="59"/>
  <c r="D13" i="59"/>
  <c r="W24" i="94"/>
  <c r="W61" i="94"/>
  <c r="W60" i="94"/>
  <c r="W59" i="94"/>
  <c r="W58" i="94"/>
  <c r="W57" i="94"/>
  <c r="W56" i="94"/>
  <c r="W55" i="94"/>
  <c r="W54" i="94"/>
  <c r="W25" i="94"/>
  <c r="W21" i="94"/>
  <c r="W20" i="94"/>
  <c r="AB20" i="94" s="1"/>
  <c r="W19" i="94"/>
  <c r="W18" i="94"/>
  <c r="AB18" i="94" s="1"/>
  <c r="W17" i="94"/>
  <c r="W16" i="94"/>
  <c r="W15" i="94"/>
  <c r="AB15" i="94" s="1"/>
  <c r="W14" i="94"/>
  <c r="AB14" i="94" s="1"/>
  <c r="W13" i="94"/>
  <c r="AB13" i="94" s="1"/>
  <c r="W12" i="94"/>
  <c r="AB12" i="94" s="1"/>
  <c r="W11" i="94"/>
  <c r="AB11" i="94" s="1"/>
  <c r="W10" i="94"/>
  <c r="AB10" i="94" s="1"/>
  <c r="W9" i="94"/>
  <c r="AB9" i="94" s="1"/>
  <c r="W8" i="94"/>
  <c r="AB8" i="94" s="1"/>
  <c r="W7" i="94"/>
  <c r="AB7" i="94" s="1"/>
  <c r="W6" i="94"/>
  <c r="AB6" i="94" s="1"/>
  <c r="W5" i="94"/>
  <c r="AB5" i="94" s="1"/>
  <c r="W4" i="94"/>
  <c r="AB4" i="94" s="1"/>
  <c r="W3" i="94"/>
  <c r="K24" i="57"/>
  <c r="K25" i="57"/>
  <c r="K26" i="57"/>
  <c r="K27" i="57"/>
  <c r="K28" i="57"/>
  <c r="K29" i="57"/>
  <c r="K30" i="57"/>
  <c r="K31" i="57"/>
  <c r="K32" i="57"/>
  <c r="K23" i="57"/>
  <c r="X56" i="94" l="1"/>
  <c r="Y56" i="94" s="1"/>
  <c r="X57" i="94"/>
  <c r="AN57" i="94" s="1"/>
  <c r="X3" i="94"/>
  <c r="AD3" i="94" s="1"/>
  <c r="AB3" i="94"/>
  <c r="X5" i="94"/>
  <c r="AD5" i="94" s="1"/>
  <c r="X4" i="94"/>
  <c r="Y4" i="94" s="1"/>
  <c r="X59" i="94"/>
  <c r="X54" i="94"/>
  <c r="AN54" i="94" s="1"/>
  <c r="X61" i="94"/>
  <c r="X60" i="94"/>
  <c r="X55" i="94"/>
  <c r="AA55" i="94" s="1"/>
  <c r="X58" i="94"/>
  <c r="X25" i="94"/>
  <c r="X24" i="94"/>
  <c r="X17" i="94"/>
  <c r="AE17" i="94" s="1"/>
  <c r="X12" i="94"/>
  <c r="X16" i="94"/>
  <c r="Z16" i="94" s="1"/>
  <c r="X13" i="94"/>
  <c r="X10" i="94"/>
  <c r="X14" i="94"/>
  <c r="X11" i="94"/>
  <c r="X15" i="94"/>
  <c r="AA15" i="94" s="1"/>
  <c r="X21" i="94"/>
  <c r="X9" i="94"/>
  <c r="X20" i="94"/>
  <c r="AM20" i="94" s="1"/>
  <c r="X8" i="94"/>
  <c r="AC8" i="94" s="1"/>
  <c r="X7" i="94"/>
  <c r="AD7" i="94" s="1"/>
  <c r="X19" i="94"/>
  <c r="AH19" i="94" s="1"/>
  <c r="X6" i="94"/>
  <c r="AD6" i="94" s="1"/>
  <c r="X18" i="94"/>
  <c r="Y18" i="94" s="1"/>
  <c r="T2188" i="100"/>
  <c r="G2188" i="100" s="1"/>
  <c r="T2187" i="100"/>
  <c r="G2187" i="100" s="1"/>
  <c r="F17" i="57"/>
  <c r="R17" i="57"/>
  <c r="L36" i="57" l="1"/>
  <c r="L39" i="57"/>
  <c r="L42" i="57"/>
  <c r="L34" i="57"/>
  <c r="L37" i="57"/>
  <c r="L40" i="57"/>
  <c r="L35" i="57"/>
  <c r="L38" i="57"/>
  <c r="L41" i="57"/>
  <c r="L33" i="57"/>
  <c r="Y57" i="94"/>
  <c r="AD57" i="94"/>
  <c r="AC3" i="94"/>
  <c r="Y3" i="94"/>
  <c r="Z3" i="94"/>
  <c r="AA3" i="94"/>
  <c r="AG19" i="94"/>
  <c r="Y16" i="94"/>
  <c r="AA16" i="94"/>
  <c r="AF19" i="94"/>
  <c r="Z57" i="94"/>
  <c r="AJ19" i="94"/>
  <c r="AI19" i="94"/>
  <c r="AK19" i="94"/>
  <c r="Z19" i="94"/>
  <c r="AE16" i="94"/>
  <c r="AA57" i="94"/>
  <c r="AN56" i="94"/>
  <c r="AA56" i="94"/>
  <c r="Z56" i="94"/>
  <c r="AD56" i="94"/>
  <c r="Z4" i="94"/>
  <c r="AA4" i="94"/>
  <c r="AC4" i="94"/>
  <c r="AD4" i="94"/>
  <c r="Z5" i="94"/>
  <c r="AA5" i="94"/>
  <c r="AC5" i="94"/>
  <c r="Y5" i="94"/>
  <c r="AL20" i="94"/>
  <c r="AC10" i="94"/>
  <c r="AD10" i="94"/>
  <c r="AM21" i="94"/>
  <c r="AL21" i="94"/>
  <c r="AD55" i="94"/>
  <c r="AN55" i="94"/>
  <c r="Z60" i="94"/>
  <c r="AN60" i="94"/>
  <c r="AD59" i="94"/>
  <c r="AN59" i="94"/>
  <c r="Y61" i="94"/>
  <c r="AN61" i="94"/>
  <c r="Y58" i="94"/>
  <c r="AN58" i="94"/>
  <c r="AD54" i="94"/>
  <c r="AN25" i="94"/>
  <c r="Y20" i="94"/>
  <c r="AA20" i="94"/>
  <c r="Z20" i="94"/>
  <c r="AE20" i="94"/>
  <c r="AC14" i="94"/>
  <c r="AD14" i="94"/>
  <c r="AC13" i="94"/>
  <c r="AD13" i="94"/>
  <c r="AC12" i="94"/>
  <c r="AD12" i="94"/>
  <c r="AC11" i="94"/>
  <c r="AD11" i="94"/>
  <c r="AD9" i="94"/>
  <c r="AC9" i="94"/>
  <c r="Z21" i="94"/>
  <c r="Y8" i="94"/>
  <c r="AD8" i="94"/>
  <c r="AE21" i="94"/>
  <c r="AA25" i="94"/>
  <c r="AA60" i="94"/>
  <c r="Z59" i="94"/>
  <c r="Y54" i="94"/>
  <c r="Y59" i="94"/>
  <c r="AA59" i="94"/>
  <c r="Y17" i="94"/>
  <c r="Z8" i="94"/>
  <c r="AA58" i="94"/>
  <c r="Z58" i="94"/>
  <c r="AD58" i="94"/>
  <c r="Z55" i="94"/>
  <c r="Y60" i="94"/>
  <c r="AD60" i="94"/>
  <c r="AA54" i="94"/>
  <c r="AD61" i="94"/>
  <c r="Z61" i="94"/>
  <c r="Z54" i="94"/>
  <c r="AA61" i="94"/>
  <c r="Y55" i="94"/>
  <c r="Y21" i="94"/>
  <c r="AA21" i="94"/>
  <c r="Z17" i="94"/>
  <c r="AA9" i="94"/>
  <c r="Y9" i="94"/>
  <c r="AD24" i="94"/>
  <c r="AA24" i="94"/>
  <c r="Z25" i="94"/>
  <c r="Y25" i="94"/>
  <c r="Z24" i="94"/>
  <c r="Y14" i="94"/>
  <c r="AA17" i="94"/>
  <c r="AA11" i="94"/>
  <c r="AA14" i="94"/>
  <c r="Z13" i="94"/>
  <c r="Y15" i="94"/>
  <c r="Z15" i="94"/>
  <c r="AC7" i="94"/>
  <c r="AA7" i="94"/>
  <c r="Y7" i="94"/>
  <c r="Y10" i="94"/>
  <c r="Y12" i="94"/>
  <c r="AC6" i="94"/>
  <c r="AA6" i="94"/>
  <c r="Z6" i="94"/>
  <c r="Y6" i="94"/>
  <c r="Z10" i="94"/>
  <c r="Z12" i="94"/>
  <c r="AA10" i="94"/>
  <c r="Y13" i="94"/>
  <c r="AA12" i="94"/>
  <c r="AC15" i="94"/>
  <c r="AD15" i="94"/>
  <c r="Y11" i="94"/>
  <c r="AD18" i="94"/>
  <c r="Z18" i="94"/>
  <c r="AA18" i="94"/>
  <c r="Z9" i="94"/>
  <c r="Z11" i="94"/>
  <c r="Z14" i="94"/>
  <c r="Z7" i="94"/>
  <c r="AA13" i="94"/>
  <c r="AA8" i="94"/>
  <c r="M177" i="94"/>
  <c r="E130" i="94"/>
  <c r="E122" i="94"/>
  <c r="E138" i="94"/>
  <c r="E146" i="94"/>
  <c r="E147" i="94"/>
  <c r="E139" i="94"/>
  <c r="E131" i="94"/>
  <c r="E123" i="94"/>
  <c r="E115" i="94"/>
  <c r="O147" i="94" l="1"/>
  <c r="O139" i="94"/>
  <c r="O131" i="94"/>
  <c r="O123" i="94"/>
  <c r="O115" i="94"/>
  <c r="S119" i="94"/>
  <c r="O210" i="94" l="1"/>
  <c r="O198" i="94"/>
  <c r="O179" i="94"/>
  <c r="O171" i="94"/>
  <c r="O163" i="94"/>
  <c r="O155" i="94"/>
  <c r="O103" i="94"/>
  <c r="O89" i="94"/>
  <c r="O75" i="94"/>
  <c r="O61" i="94"/>
  <c r="O47" i="94"/>
  <c r="O33" i="94"/>
  <c r="O19" i="94"/>
  <c r="J2178" i="100" l="1"/>
  <c r="J2177" i="100"/>
  <c r="J2176" i="100"/>
  <c r="J2175" i="100"/>
  <c r="J2174" i="100"/>
  <c r="J2173" i="100"/>
  <c r="J2172" i="100"/>
  <c r="J2171" i="100"/>
  <c r="J2170" i="100"/>
  <c r="J2169" i="100"/>
  <c r="J2168" i="100"/>
  <c r="J2167" i="100"/>
  <c r="J2166" i="100"/>
  <c r="J2165" i="100"/>
  <c r="J2164" i="100"/>
  <c r="J2163" i="100"/>
  <c r="J2162" i="100"/>
  <c r="J2161" i="100"/>
  <c r="J2160" i="100"/>
  <c r="J2159" i="100"/>
  <c r="J2158" i="100"/>
  <c r="J2157" i="100"/>
  <c r="J2156" i="100"/>
  <c r="J2155" i="100"/>
  <c r="J2154" i="100"/>
  <c r="J2153" i="100"/>
  <c r="J2152" i="100"/>
  <c r="J2151" i="100"/>
  <c r="J2150" i="100"/>
  <c r="J2149" i="100"/>
  <c r="J2148" i="100"/>
  <c r="J2147" i="100"/>
  <c r="J2146" i="100"/>
  <c r="J2145" i="100"/>
  <c r="J2144" i="100"/>
  <c r="J2143" i="100"/>
  <c r="J2142" i="100"/>
  <c r="J2141" i="100"/>
  <c r="J2140" i="100"/>
  <c r="J2139" i="100"/>
  <c r="J2138" i="100"/>
  <c r="J2137" i="100"/>
  <c r="J2136" i="100"/>
  <c r="J2135" i="100"/>
  <c r="J2134" i="100"/>
  <c r="J2133" i="100"/>
  <c r="J2132" i="100"/>
  <c r="J2131" i="100"/>
  <c r="J2130" i="100"/>
  <c r="J2129" i="100"/>
  <c r="J2128" i="100"/>
  <c r="J2127" i="100"/>
  <c r="J2126" i="100"/>
  <c r="J2125" i="100"/>
  <c r="J2124" i="100"/>
  <c r="J2123" i="100"/>
  <c r="J2122" i="100"/>
  <c r="J2121" i="100"/>
  <c r="J2120" i="100"/>
  <c r="J2119" i="100"/>
  <c r="J2118" i="100"/>
  <c r="J2117" i="100"/>
  <c r="J2116" i="100"/>
  <c r="J2115" i="100"/>
  <c r="J2114" i="100"/>
  <c r="J2113" i="100"/>
  <c r="J2112" i="100"/>
  <c r="J2111" i="100"/>
  <c r="J2110" i="100"/>
  <c r="J2109" i="100"/>
  <c r="J2108" i="100"/>
  <c r="J2107" i="100"/>
  <c r="J2106" i="100"/>
  <c r="J2105" i="100"/>
  <c r="J2104" i="100"/>
  <c r="J2103" i="100"/>
  <c r="J2102" i="100"/>
  <c r="J2101" i="100"/>
  <c r="J2100" i="100"/>
  <c r="J2099" i="100"/>
  <c r="J2098" i="100"/>
  <c r="J2097" i="100"/>
  <c r="J2096" i="100"/>
  <c r="J2095" i="100"/>
  <c r="J2094" i="100"/>
  <c r="J2093" i="100"/>
  <c r="J2092" i="100"/>
  <c r="J2091" i="100"/>
  <c r="J2090" i="100"/>
  <c r="J2089" i="100"/>
  <c r="E318" i="94"/>
  <c r="O318" i="94" s="1"/>
  <c r="E307" i="94"/>
  <c r="O307" i="94" s="1"/>
  <c r="E296" i="94"/>
  <c r="O296" i="94" s="1"/>
  <c r="E285" i="94"/>
  <c r="O285" i="94" s="1"/>
  <c r="E274" i="94"/>
  <c r="O274" i="94" s="1"/>
  <c r="E263" i="94"/>
  <c r="O263" i="94" s="1"/>
  <c r="E252" i="94"/>
  <c r="O252" i="94" s="1"/>
  <c r="E241" i="94"/>
  <c r="O241" i="94" s="1"/>
  <c r="E230" i="94"/>
  <c r="AA39" i="72" l="1" a="1"/>
  <c r="AA39" i="72" s="1"/>
  <c r="AB39" i="72" s="1"/>
  <c r="E8" i="94" l="1"/>
  <c r="L11" i="74" l="1"/>
  <c r="L10" i="74"/>
  <c r="C20" i="69"/>
  <c r="K168" i="94"/>
  <c r="AB17" i="94" s="1"/>
  <c r="K160" i="94"/>
  <c r="AB16" i="94" s="1"/>
  <c r="K48" i="100" l="1"/>
  <c r="V1389" i="100"/>
  <c r="U1389" i="100"/>
  <c r="V1299" i="100"/>
  <c r="U1299" i="100"/>
  <c r="B1233" i="100"/>
  <c r="B1232" i="100"/>
  <c r="B1231" i="100"/>
  <c r="B1236" i="100"/>
  <c r="B1239" i="100"/>
  <c r="B1238" i="100"/>
  <c r="B1234" i="100"/>
  <c r="B1237" i="100"/>
  <c r="B1235" i="100"/>
  <c r="I48" i="100" l="1"/>
  <c r="AW27" i="75"/>
  <c r="I107" i="94" l="1"/>
  <c r="I106" i="94"/>
  <c r="I105" i="94"/>
  <c r="I104" i="94"/>
  <c r="I103" i="94"/>
  <c r="I79" i="94"/>
  <c r="I78" i="94"/>
  <c r="I77" i="94"/>
  <c r="I76" i="94"/>
  <c r="I75" i="94"/>
  <c r="I61" i="94"/>
  <c r="I62" i="94" s="1"/>
  <c r="I63" i="94" s="1"/>
  <c r="I64" i="94" s="1"/>
  <c r="I65" i="94" s="1"/>
  <c r="I37" i="94"/>
  <c r="I36" i="94"/>
  <c r="I35" i="94"/>
  <c r="I34" i="94"/>
  <c r="I33" i="94"/>
  <c r="I51" i="94"/>
  <c r="I50" i="94"/>
  <c r="I49" i="94"/>
  <c r="I48" i="94"/>
  <c r="I47" i="94"/>
  <c r="I89" i="94"/>
  <c r="I90" i="94" s="1"/>
  <c r="I91" i="94" s="1"/>
  <c r="I92" i="94" s="1"/>
  <c r="I93" i="94" s="1"/>
  <c r="I19" i="94"/>
  <c r="I20" i="94" s="1"/>
  <c r="I21" i="94" s="1"/>
  <c r="I22" i="94" s="1"/>
  <c r="I23" i="94" s="1"/>
  <c r="N166" i="94"/>
  <c r="N158" i="94"/>
  <c r="T46" i="61" l="1"/>
  <c r="E114" i="94"/>
  <c r="F120" i="99" a="1"/>
  <c r="E196" i="99" a="1"/>
  <c r="W67" i="99" a="1"/>
  <c r="V199" i="99" a="1"/>
  <c r="V69" i="99" a="1"/>
  <c r="E68" i="99" a="1"/>
  <c r="D120" i="99" a="1"/>
  <c r="E69" i="99" a="1"/>
  <c r="V196" i="99" a="1"/>
  <c r="E122" i="99" a="1"/>
  <c r="V198" i="99" a="1"/>
  <c r="D65" i="99" a="1"/>
  <c r="V65" i="99" a="1"/>
  <c r="F119" i="99" a="1"/>
  <c r="W170" i="99" a="1"/>
  <c r="E121" i="99" a="1"/>
  <c r="F40" i="99" a="1"/>
  <c r="V121" i="99" a="1"/>
  <c r="V68" i="99" a="1"/>
  <c r="F66" i="99" a="1"/>
  <c r="E198" i="99" a="1"/>
  <c r="W123" i="99" a="1"/>
  <c r="X40" i="99" a="1"/>
  <c r="W69" i="99" a="1"/>
  <c r="F196" i="99" a="1"/>
  <c r="D195" i="99" a="1"/>
  <c r="D94" i="99" a="1"/>
  <c r="X196" i="99" a="1"/>
  <c r="W118" i="99"/>
  <c r="V40" i="99" a="1"/>
  <c r="E67" i="99" a="1"/>
  <c r="F170" i="99" a="1"/>
  <c r="E118" i="99"/>
  <c r="F195" i="99" a="1"/>
  <c r="X199" i="99" a="1"/>
  <c r="V170" i="99" a="1"/>
  <c r="F122" i="99" a="1"/>
  <c r="E65" i="99" a="1"/>
  <c r="V66" i="99" a="1"/>
  <c r="E170" i="99" a="1"/>
  <c r="W120" i="99" a="1"/>
  <c r="D122" i="99" a="1"/>
  <c r="F69" i="99" a="1"/>
  <c r="W119" i="99" a="1"/>
  <c r="X121" i="99" a="1"/>
  <c r="V197" i="99" a="1"/>
  <c r="X66" i="99" a="1"/>
  <c r="W65" i="99" a="1"/>
  <c r="X67" i="99" a="1"/>
  <c r="E195" i="99" a="1"/>
  <c r="X122" i="99" a="1"/>
  <c r="W195" i="99" a="1"/>
  <c r="F68" i="99" a="1"/>
  <c r="D67" i="99" a="1"/>
  <c r="E197" i="99" a="1"/>
  <c r="V195" i="99" a="1"/>
  <c r="F199" i="99" a="1"/>
  <c r="F198" i="99" a="1"/>
  <c r="X68" i="99" a="1"/>
  <c r="D119" i="99" a="1"/>
  <c r="W68" i="99" a="1"/>
  <c r="X119" i="99" a="1"/>
  <c r="W199" i="99" a="1"/>
  <c r="E40" i="99" a="1"/>
  <c r="V120" i="99" a="1"/>
  <c r="W94" i="99" a="1"/>
  <c r="D121" i="99" a="1"/>
  <c r="W196" i="99" a="1"/>
  <c r="X94" i="99" a="1"/>
  <c r="E64" i="99"/>
  <c r="D123" i="99" a="1"/>
  <c r="W122" i="99" a="1"/>
  <c r="X195" i="99" a="1"/>
  <c r="X123" i="99" a="1"/>
  <c r="V119" i="99" a="1"/>
  <c r="E94" i="99" a="1"/>
  <c r="V94" i="99" a="1"/>
  <c r="E199" i="99" a="1"/>
  <c r="X69" i="99" a="1"/>
  <c r="F197" i="99" a="1"/>
  <c r="F121" i="99" a="1"/>
  <c r="D68" i="99" a="1"/>
  <c r="W198" i="99" a="1"/>
  <c r="F123" i="99" a="1"/>
  <c r="E194" i="99"/>
  <c r="V122" i="99" a="1"/>
  <c r="W197" i="99" a="1"/>
  <c r="X198" i="99" a="1"/>
  <c r="E119" i="99" a="1"/>
  <c r="D170" i="99" a="1"/>
  <c r="W66" i="99" a="1"/>
  <c r="D197" i="99" a="1"/>
  <c r="X170" i="99" a="1"/>
  <c r="F94" i="99" a="1"/>
  <c r="E120" i="99" a="1"/>
  <c r="X197" i="99" a="1"/>
  <c r="W40" i="99" a="1"/>
  <c r="D196" i="99" a="1"/>
  <c r="E66" i="99" a="1"/>
  <c r="D69" i="99" a="1"/>
  <c r="V123" i="99" a="1"/>
  <c r="D66" i="99" a="1"/>
  <c r="W121" i="99" a="1"/>
  <c r="X65" i="99" a="1"/>
  <c r="F65" i="99" a="1"/>
  <c r="E123" i="99" a="1"/>
  <c r="W194" i="99"/>
  <c r="D198" i="99" a="1"/>
  <c r="V67" i="99" a="1"/>
  <c r="X120" i="99" a="1"/>
  <c r="F67" i="99" a="1"/>
  <c r="D199" i="99" a="1"/>
  <c r="D40" i="99" a="1"/>
  <c r="W64" i="99"/>
  <c r="X199" i="99" l="1"/>
  <c r="W199" i="99"/>
  <c r="V199" i="99"/>
  <c r="X198" i="99"/>
  <c r="W198" i="99"/>
  <c r="V198" i="99"/>
  <c r="X197" i="99"/>
  <c r="W197" i="99"/>
  <c r="V197" i="99"/>
  <c r="X196" i="99"/>
  <c r="W196" i="99"/>
  <c r="V196" i="99"/>
  <c r="X195" i="99"/>
  <c r="W195" i="99"/>
  <c r="V195" i="99"/>
  <c r="F199" i="99"/>
  <c r="E199" i="99"/>
  <c r="D199" i="99"/>
  <c r="F198" i="99"/>
  <c r="E198" i="99"/>
  <c r="D198" i="99"/>
  <c r="F197" i="99"/>
  <c r="E197" i="99"/>
  <c r="D197" i="99"/>
  <c r="F196" i="99"/>
  <c r="E196" i="99"/>
  <c r="D196" i="99"/>
  <c r="F195" i="99"/>
  <c r="E195" i="99"/>
  <c r="D195" i="99"/>
  <c r="X170" i="99"/>
  <c r="W170" i="99"/>
  <c r="V170" i="99"/>
  <c r="F170" i="99"/>
  <c r="E170" i="99"/>
  <c r="D170" i="99"/>
  <c r="X123" i="99"/>
  <c r="W123" i="99"/>
  <c r="V123" i="99"/>
  <c r="X122" i="99"/>
  <c r="W122" i="99"/>
  <c r="V122" i="99"/>
  <c r="X121" i="99"/>
  <c r="W121" i="99"/>
  <c r="V121" i="99"/>
  <c r="X120" i="99"/>
  <c r="W120" i="99"/>
  <c r="V120" i="99"/>
  <c r="X119" i="99"/>
  <c r="W119" i="99"/>
  <c r="V119" i="99"/>
  <c r="F123" i="99"/>
  <c r="E123" i="99"/>
  <c r="D123" i="99"/>
  <c r="F122" i="99"/>
  <c r="E122" i="99"/>
  <c r="D122" i="99"/>
  <c r="F121" i="99"/>
  <c r="E121" i="99"/>
  <c r="D121" i="99"/>
  <c r="F120" i="99"/>
  <c r="E120" i="99"/>
  <c r="D120" i="99"/>
  <c r="F119" i="99"/>
  <c r="E119" i="99"/>
  <c r="D119" i="99"/>
  <c r="X94" i="99"/>
  <c r="W94" i="99"/>
  <c r="V94" i="99"/>
  <c r="F94" i="99"/>
  <c r="E94" i="99"/>
  <c r="D94" i="99"/>
  <c r="X69" i="99"/>
  <c r="W69" i="99"/>
  <c r="V69" i="99"/>
  <c r="X68" i="99"/>
  <c r="W68" i="99"/>
  <c r="V68" i="99"/>
  <c r="X67" i="99"/>
  <c r="W67" i="99"/>
  <c r="V67" i="99"/>
  <c r="X66" i="99"/>
  <c r="W66" i="99"/>
  <c r="V66" i="99"/>
  <c r="X65" i="99"/>
  <c r="W65" i="99"/>
  <c r="V65" i="99"/>
  <c r="F69" i="99"/>
  <c r="E69" i="99"/>
  <c r="D69" i="99"/>
  <c r="F68" i="99"/>
  <c r="E68" i="99"/>
  <c r="D68" i="99"/>
  <c r="F67" i="99"/>
  <c r="E67" i="99"/>
  <c r="D67" i="99"/>
  <c r="F66" i="99"/>
  <c r="E66" i="99"/>
  <c r="D66" i="99"/>
  <c r="F65" i="99"/>
  <c r="E65" i="99"/>
  <c r="D65" i="99"/>
  <c r="E40" i="99"/>
  <c r="X40" i="99"/>
  <c r="W40" i="99"/>
  <c r="V40" i="99"/>
  <c r="F40" i="99"/>
  <c r="D40" i="99"/>
  <c r="BK423" i="99"/>
  <c r="BD423" i="99"/>
  <c r="AW423" i="99"/>
  <c r="AP423" i="99"/>
  <c r="AI423" i="99"/>
  <c r="AB423" i="99"/>
  <c r="U423" i="99"/>
  <c r="N423" i="99"/>
  <c r="G423" i="99"/>
  <c r="T1490" i="100"/>
  <c r="C2186" i="100" l="1"/>
  <c r="B2186" i="100"/>
  <c r="X110" i="94"/>
  <c r="X111" i="94" s="1"/>
  <c r="P968" i="100" l="1"/>
  <c r="P949" i="100"/>
  <c r="P930" i="100"/>
  <c r="P911" i="100"/>
  <c r="P892" i="100"/>
  <c r="J46" i="98"/>
  <c r="E31" i="98" s="1"/>
  <c r="J45" i="98"/>
  <c r="P2068" i="100" s="1"/>
  <c r="J44" i="98"/>
  <c r="P2057" i="100" s="1"/>
  <c r="J43" i="98"/>
  <c r="P2046" i="100" s="1"/>
  <c r="J42" i="98"/>
  <c r="E27" i="98" s="1"/>
  <c r="J41" i="98"/>
  <c r="E26" i="98" s="1"/>
  <c r="J40" i="98"/>
  <c r="E25" i="98" s="1"/>
  <c r="J39" i="98"/>
  <c r="P2002" i="100" s="1"/>
  <c r="J38" i="98"/>
  <c r="P1991" i="100" s="1"/>
  <c r="P1442" i="100"/>
  <c r="P1422" i="100"/>
  <c r="P1412" i="100"/>
  <c r="P1452" i="100"/>
  <c r="P1432" i="100"/>
  <c r="J37" i="98"/>
  <c r="E22" i="98" s="1"/>
  <c r="J36" i="98"/>
  <c r="P1188" i="100" s="1"/>
  <c r="J35" i="98"/>
  <c r="P1163" i="100" s="1"/>
  <c r="J34" i="98"/>
  <c r="P1134" i="100" s="1"/>
  <c r="J33" i="98"/>
  <c r="P1105" i="100" s="1"/>
  <c r="J32" i="98"/>
  <c r="P1095" i="100" s="1"/>
  <c r="J31" i="98"/>
  <c r="E21" i="98" s="1"/>
  <c r="J30" i="98"/>
  <c r="P1069" i="100" s="1"/>
  <c r="J29" i="98"/>
  <c r="E19" i="98" s="1"/>
  <c r="P1495" i="100" s="1"/>
  <c r="J28" i="98"/>
  <c r="P1038" i="100" s="1"/>
  <c r="J27" i="98"/>
  <c r="P1027" i="100" s="1"/>
  <c r="J26" i="98"/>
  <c r="P1016" i="100" s="1"/>
  <c r="J25" i="98"/>
  <c r="E17" i="98" s="1"/>
  <c r="P1479" i="100" s="1"/>
  <c r="J24" i="98"/>
  <c r="P987" i="100" s="1"/>
  <c r="J18" i="98"/>
  <c r="P862" i="100" s="1"/>
  <c r="J17" i="98"/>
  <c r="P832" i="100" s="1"/>
  <c r="J16" i="98"/>
  <c r="P814" i="100" s="1"/>
  <c r="J15" i="98"/>
  <c r="P796" i="100" s="1"/>
  <c r="J14" i="98"/>
  <c r="P781" i="100" s="1"/>
  <c r="J13" i="98"/>
  <c r="E9" i="98" s="1"/>
  <c r="P1394" i="100" s="1"/>
  <c r="J12" i="98"/>
  <c r="P736" i="100" s="1"/>
  <c r="J11" i="98"/>
  <c r="P706" i="100" s="1"/>
  <c r="J10" i="98"/>
  <c r="P688" i="100" s="1"/>
  <c r="J9" i="98"/>
  <c r="P670" i="100" s="1"/>
  <c r="J8" i="98"/>
  <c r="P639" i="100" s="1"/>
  <c r="J7" i="98"/>
  <c r="P608" i="100" s="1"/>
  <c r="J6" i="98"/>
  <c r="P589" i="100" s="1"/>
  <c r="J5" i="98"/>
  <c r="P570" i="100" s="1"/>
  <c r="J4" i="98"/>
  <c r="P555" i="100" s="1"/>
  <c r="J3" i="98"/>
  <c r="E3" i="98" s="1"/>
  <c r="P1286" i="100" s="1"/>
  <c r="B2185" i="100"/>
  <c r="C2185" i="100"/>
  <c r="P1548" i="100" l="1"/>
  <c r="P1529" i="100"/>
  <c r="E4" i="98"/>
  <c r="P1304" i="100" s="1"/>
  <c r="E15" i="98"/>
  <c r="P1462" i="100" s="1"/>
  <c r="E23" i="98"/>
  <c r="E24" i="98"/>
  <c r="P1052" i="100"/>
  <c r="P2079" i="100"/>
  <c r="E5" i="98"/>
  <c r="P1322" i="100" s="1"/>
  <c r="P540" i="100"/>
  <c r="E6" i="98"/>
  <c r="P1340" i="100" s="1"/>
  <c r="E18" i="98"/>
  <c r="P1486" i="100" s="1"/>
  <c r="E30" i="98"/>
  <c r="P1085" i="100"/>
  <c r="P2013" i="100"/>
  <c r="E7" i="98"/>
  <c r="P1358" i="100" s="1"/>
  <c r="E29" i="98"/>
  <c r="P766" i="100"/>
  <c r="P2024" i="100"/>
  <c r="E8" i="98"/>
  <c r="P1376" i="100" s="1"/>
  <c r="E20" i="98"/>
  <c r="P1510" i="100" s="1"/>
  <c r="E28" i="98"/>
  <c r="P2035" i="100"/>
  <c r="P1213" i="100"/>
  <c r="P1005" i="100"/>
  <c r="E16" i="98"/>
  <c r="P1472" i="100" s="1"/>
  <c r="Z28" i="97"/>
  <c r="Z23" i="97" l="1"/>
  <c r="Z22" i="97"/>
  <c r="Z21" i="97"/>
  <c r="Z20" i="97"/>
  <c r="Z19" i="97"/>
  <c r="Z24" i="97" l="1"/>
  <c r="T2184" i="100"/>
  <c r="G2184" i="100" s="1"/>
  <c r="T2183" i="100"/>
  <c r="G2183" i="100" s="1"/>
  <c r="T2182" i="100"/>
  <c r="G2182" i="100" s="1"/>
  <c r="T2181" i="100"/>
  <c r="G2181" i="100" s="1"/>
  <c r="T2180" i="100"/>
  <c r="G2180" i="100" s="1"/>
  <c r="T1045" i="100"/>
  <c r="T1111" i="100"/>
  <c r="J1036" i="100"/>
  <c r="J1035" i="100"/>
  <c r="J1034" i="100"/>
  <c r="J1031" i="100"/>
  <c r="J1030" i="100"/>
  <c r="J1029" i="100"/>
  <c r="J1027" i="100"/>
  <c r="J928" i="100"/>
  <c r="J925" i="100"/>
  <c r="J924" i="100"/>
  <c r="J923" i="100"/>
  <c r="J922" i="100"/>
  <c r="J919" i="100"/>
  <c r="J918" i="100"/>
  <c r="J917" i="100"/>
  <c r="J916" i="100"/>
  <c r="J915" i="100"/>
  <c r="J914" i="100"/>
  <c r="J913" i="100"/>
  <c r="J911" i="100"/>
  <c r="J858" i="100"/>
  <c r="J855" i="100"/>
  <c r="J852" i="100"/>
  <c r="J849" i="100"/>
  <c r="J846" i="100"/>
  <c r="J845" i="100"/>
  <c r="J844" i="100"/>
  <c r="J843" i="100"/>
  <c r="J840" i="100"/>
  <c r="J839" i="100"/>
  <c r="J838" i="100"/>
  <c r="J837" i="100"/>
  <c r="J836" i="100"/>
  <c r="J835" i="100"/>
  <c r="J834" i="100"/>
  <c r="J832" i="100"/>
  <c r="O174" i="94"/>
  <c r="T1552" i="100"/>
  <c r="T1551" i="100"/>
  <c r="T1550" i="100"/>
  <c r="T1549" i="100"/>
  <c r="T1553" i="100"/>
  <c r="T1548" i="100"/>
  <c r="K230" i="94"/>
  <c r="AD25" i="94" s="1"/>
  <c r="T23" i="12" l="1"/>
  <c r="N142" i="94"/>
  <c r="N126" i="94"/>
  <c r="N134" i="94"/>
  <c r="N118" i="94"/>
  <c r="N150" i="94"/>
  <c r="N110" i="94"/>
  <c r="O96" i="94"/>
  <c r="O82" i="94"/>
  <c r="O68" i="94"/>
  <c r="O40" i="94"/>
  <c r="O26" i="94"/>
  <c r="O54" i="94"/>
  <c r="O12" i="94"/>
  <c r="C154" i="100"/>
  <c r="U402" i="99" a="1"/>
  <c r="C402" i="99" a="1"/>
  <c r="U403" i="99" a="1"/>
  <c r="U401" i="99" a="1"/>
  <c r="C404" i="99" a="1"/>
  <c r="C401" i="99" a="1"/>
  <c r="C400" i="99" a="1"/>
  <c r="U400" i="99" a="1"/>
  <c r="U404" i="99" a="1"/>
  <c r="C403" i="99" a="1"/>
  <c r="B154" i="100"/>
  <c r="U404" i="99" l="1"/>
  <c r="U403" i="99"/>
  <c r="U402" i="99"/>
  <c r="U401" i="99"/>
  <c r="U400" i="99"/>
  <c r="C404" i="99"/>
  <c r="C403" i="99"/>
  <c r="C402" i="99"/>
  <c r="C401" i="99"/>
  <c r="C400" i="99"/>
  <c r="G2179" i="100"/>
  <c r="H2179" i="100" s="1"/>
  <c r="G1569" i="100"/>
  <c r="F1569" i="100" s="1"/>
  <c r="V400" i="99" a="1"/>
  <c r="D400" i="99" a="1"/>
  <c r="H1569" i="100" l="1"/>
  <c r="F2179" i="100"/>
  <c r="V400" i="99"/>
  <c r="W400" i="99" s="1"/>
  <c r="D400" i="99"/>
  <c r="E400" i="99" s="1"/>
  <c r="P4" i="100" a="1"/>
  <c r="P4" i="100" s="1"/>
  <c r="V1509" i="100"/>
  <c r="V1508" i="100"/>
  <c r="V1507" i="100"/>
  <c r="V1506" i="100"/>
  <c r="V1504" i="100"/>
  <c r="V1502" i="100"/>
  <c r="V1501" i="100"/>
  <c r="V1500" i="100"/>
  <c r="V1499" i="100"/>
  <c r="V1505" i="100"/>
  <c r="V1498" i="100"/>
  <c r="V1497" i="100"/>
  <c r="V1496" i="100"/>
  <c r="V1495" i="100"/>
  <c r="B2179" i="100"/>
  <c r="C2179" i="100"/>
  <c r="T2079" i="100" l="1"/>
  <c r="G2080" i="100"/>
  <c r="G2081" i="100"/>
  <c r="G2082" i="100"/>
  <c r="G2083" i="100"/>
  <c r="G2084" i="100"/>
  <c r="G2085" i="100"/>
  <c r="G2086" i="100"/>
  <c r="G2087" i="100"/>
  <c r="G2088" i="100"/>
  <c r="T2078" i="100"/>
  <c r="G2078" i="100" s="1"/>
  <c r="T2068" i="100"/>
  <c r="G2069" i="100"/>
  <c r="G2070" i="100"/>
  <c r="G2071" i="100"/>
  <c r="G2072" i="100"/>
  <c r="G2073" i="100"/>
  <c r="G2074" i="100"/>
  <c r="G2075" i="100"/>
  <c r="G2076" i="100"/>
  <c r="G2077" i="100"/>
  <c r="T2067" i="100"/>
  <c r="G2067" i="100" s="1"/>
  <c r="T2057" i="100"/>
  <c r="G2058" i="100"/>
  <c r="G2059" i="100"/>
  <c r="G2060" i="100"/>
  <c r="G2061" i="100"/>
  <c r="G2062" i="100"/>
  <c r="G2063" i="100"/>
  <c r="G2064" i="100"/>
  <c r="G2065" i="100"/>
  <c r="G2066" i="100"/>
  <c r="T2056" i="100"/>
  <c r="G2056" i="100" s="1"/>
  <c r="T2046" i="100"/>
  <c r="G2047" i="100"/>
  <c r="G2048" i="100"/>
  <c r="G2049" i="100"/>
  <c r="G2050" i="100"/>
  <c r="G2051" i="100"/>
  <c r="G2052" i="100"/>
  <c r="G2053" i="100"/>
  <c r="G2054" i="100"/>
  <c r="G2055" i="100"/>
  <c r="T2045" i="100"/>
  <c r="G2045" i="100" s="1"/>
  <c r="T2035" i="100"/>
  <c r="G2036" i="100"/>
  <c r="G2037" i="100"/>
  <c r="G2038" i="100"/>
  <c r="G2039" i="100"/>
  <c r="G2040" i="100"/>
  <c r="G2041" i="100"/>
  <c r="G2042" i="100"/>
  <c r="G2043" i="100"/>
  <c r="G2044" i="100"/>
  <c r="T2034" i="100"/>
  <c r="G2034" i="100" s="1"/>
  <c r="T2024" i="100"/>
  <c r="G2025" i="100"/>
  <c r="G2026" i="100"/>
  <c r="G2027" i="100"/>
  <c r="G2028" i="100"/>
  <c r="G2029" i="100"/>
  <c r="G2030" i="100"/>
  <c r="G2031" i="100"/>
  <c r="G2032" i="100"/>
  <c r="G2033" i="100"/>
  <c r="T2023" i="100"/>
  <c r="G2023" i="100" s="1"/>
  <c r="T2013" i="100"/>
  <c r="G2014" i="100"/>
  <c r="G2015" i="100"/>
  <c r="G2016" i="100"/>
  <c r="G2017" i="100"/>
  <c r="G2018" i="100"/>
  <c r="G2019" i="100"/>
  <c r="G2020" i="100"/>
  <c r="G2021" i="100"/>
  <c r="G2022" i="100"/>
  <c r="T2012" i="100"/>
  <c r="G2012" i="100" s="1"/>
  <c r="T2002" i="100"/>
  <c r="G2003" i="100"/>
  <c r="G2004" i="100"/>
  <c r="G2005" i="100"/>
  <c r="G2006" i="100"/>
  <c r="G2007" i="100"/>
  <c r="G2008" i="100"/>
  <c r="G2009" i="100"/>
  <c r="G2010" i="100"/>
  <c r="G2011" i="100"/>
  <c r="T2001" i="100"/>
  <c r="G2001" i="100" s="1"/>
  <c r="T1991" i="100"/>
  <c r="T1992" i="100"/>
  <c r="G1992" i="100" s="1"/>
  <c r="T1993" i="100"/>
  <c r="G1993" i="100" s="1"/>
  <c r="T1994" i="100"/>
  <c r="G1994" i="100" s="1"/>
  <c r="T1995" i="100"/>
  <c r="G1995" i="100" s="1"/>
  <c r="T1996" i="100"/>
  <c r="G1996" i="100" s="1"/>
  <c r="T1997" i="100"/>
  <c r="G1997" i="100" s="1"/>
  <c r="T1998" i="100"/>
  <c r="G1998" i="100" s="1"/>
  <c r="T1999" i="100"/>
  <c r="G1999" i="100" s="1"/>
  <c r="T2000" i="100"/>
  <c r="G2000" i="100" s="1"/>
  <c r="T1990" i="100"/>
  <c r="G1990" i="100" s="1"/>
  <c r="T1196" i="100"/>
  <c r="G1196" i="100" s="1"/>
  <c r="T1171" i="100"/>
  <c r="G1171" i="100" s="1"/>
  <c r="T1146" i="100"/>
  <c r="G1146" i="100" s="1"/>
  <c r="T1117" i="100"/>
  <c r="G1117" i="100" s="1"/>
  <c r="T1103" i="100"/>
  <c r="G1103" i="100" s="1"/>
  <c r="T1093" i="100"/>
  <c r="G1093" i="100" s="1"/>
  <c r="T1077" i="100"/>
  <c r="G1077" i="100" s="1"/>
  <c r="T1060" i="100"/>
  <c r="G1060" i="100" s="1"/>
  <c r="T1036" i="100"/>
  <c r="G1036" i="100" s="1"/>
  <c r="T1025" i="100"/>
  <c r="G1025" i="100" s="1"/>
  <c r="T1014" i="100"/>
  <c r="G1014" i="100" s="1"/>
  <c r="J1103" i="100"/>
  <c r="J1102" i="100"/>
  <c r="J1101" i="100"/>
  <c r="J1098" i="100"/>
  <c r="J1097" i="100"/>
  <c r="J1095" i="100"/>
  <c r="C2176" i="100" l="1"/>
  <c r="C2166" i="100"/>
  <c r="C2156" i="100"/>
  <c r="C2146" i="100"/>
  <c r="C2136" i="100"/>
  <c r="C2126" i="100"/>
  <c r="C2116" i="100"/>
  <c r="C2106" i="100"/>
  <c r="C2096" i="100"/>
  <c r="B2176" i="100"/>
  <c r="B2166" i="100"/>
  <c r="B2156" i="100"/>
  <c r="B2146" i="100"/>
  <c r="B2136" i="100"/>
  <c r="B2126" i="100"/>
  <c r="B2116" i="100"/>
  <c r="B2106" i="100"/>
  <c r="B2096" i="100"/>
  <c r="C2178" i="100"/>
  <c r="B2178" i="100"/>
  <c r="C2177" i="100"/>
  <c r="B2177" i="100"/>
  <c r="C2174" i="100"/>
  <c r="B2174" i="100"/>
  <c r="C2173" i="100"/>
  <c r="B2173" i="100"/>
  <c r="C2172" i="100"/>
  <c r="B2172" i="100"/>
  <c r="C2171" i="100"/>
  <c r="B2171" i="100"/>
  <c r="C2170" i="100"/>
  <c r="B2170" i="100"/>
  <c r="C2169" i="100"/>
  <c r="B2169" i="100"/>
  <c r="C2168" i="100"/>
  <c r="B2168" i="100"/>
  <c r="C2167" i="100"/>
  <c r="B2167" i="100"/>
  <c r="C2164" i="100"/>
  <c r="B2164" i="100"/>
  <c r="C2163" i="100"/>
  <c r="B2163" i="100"/>
  <c r="C2162" i="100"/>
  <c r="B2162" i="100"/>
  <c r="C2161" i="100"/>
  <c r="B2161" i="100"/>
  <c r="C2160" i="100"/>
  <c r="B2160" i="100"/>
  <c r="C2159" i="100"/>
  <c r="B2159" i="100"/>
  <c r="C2158" i="100"/>
  <c r="B2158" i="100"/>
  <c r="C2157" i="100"/>
  <c r="B2157" i="100"/>
  <c r="C2154" i="100"/>
  <c r="B2154" i="100"/>
  <c r="C2153" i="100"/>
  <c r="B2153" i="100"/>
  <c r="C2152" i="100"/>
  <c r="B2152" i="100"/>
  <c r="C2151" i="100"/>
  <c r="B2151" i="100"/>
  <c r="C2150" i="100"/>
  <c r="B2150" i="100"/>
  <c r="C2149" i="100"/>
  <c r="B2149" i="100"/>
  <c r="C2148" i="100"/>
  <c r="B2148" i="100"/>
  <c r="C2147" i="100"/>
  <c r="B2147" i="100"/>
  <c r="C2144" i="100"/>
  <c r="B2144" i="100"/>
  <c r="C2143" i="100"/>
  <c r="B2143" i="100"/>
  <c r="C2142" i="100"/>
  <c r="B2142" i="100"/>
  <c r="C2141" i="100"/>
  <c r="B2141" i="100"/>
  <c r="C2140" i="100"/>
  <c r="B2140" i="100"/>
  <c r="C2139" i="100"/>
  <c r="B2139" i="100"/>
  <c r="C2138" i="100"/>
  <c r="B2138" i="100"/>
  <c r="C2137" i="100"/>
  <c r="B2137" i="100"/>
  <c r="C2134" i="100"/>
  <c r="B2134" i="100"/>
  <c r="C2133" i="100"/>
  <c r="B2133" i="100"/>
  <c r="C2132" i="100"/>
  <c r="B2132" i="100"/>
  <c r="C2131" i="100"/>
  <c r="B2131" i="100"/>
  <c r="C2130" i="100"/>
  <c r="B2130" i="100"/>
  <c r="C2129" i="100"/>
  <c r="B2129" i="100"/>
  <c r="C2128" i="100"/>
  <c r="B2128" i="100"/>
  <c r="C2127" i="100"/>
  <c r="B2127" i="100"/>
  <c r="C2124" i="100"/>
  <c r="B2124" i="100"/>
  <c r="C2123" i="100"/>
  <c r="B2123" i="100"/>
  <c r="C2122" i="100"/>
  <c r="B2122" i="100"/>
  <c r="C2121" i="100"/>
  <c r="B2121" i="100"/>
  <c r="C2120" i="100"/>
  <c r="B2120" i="100"/>
  <c r="C2119" i="100"/>
  <c r="B2119" i="100"/>
  <c r="C2118" i="100"/>
  <c r="B2118" i="100"/>
  <c r="C2117" i="100"/>
  <c r="B2117" i="100"/>
  <c r="C2114" i="100"/>
  <c r="B2114" i="100"/>
  <c r="C2113" i="100"/>
  <c r="B2113" i="100"/>
  <c r="C2112" i="100"/>
  <c r="B2112" i="100"/>
  <c r="C2111" i="100"/>
  <c r="B2111" i="100"/>
  <c r="C2110" i="100"/>
  <c r="B2110" i="100"/>
  <c r="C2109" i="100"/>
  <c r="B2109" i="100"/>
  <c r="C2108" i="100"/>
  <c r="B2108" i="100"/>
  <c r="C2107" i="100"/>
  <c r="B2107" i="100"/>
  <c r="C2104" i="100"/>
  <c r="B2104" i="100"/>
  <c r="C2103" i="100"/>
  <c r="B2103" i="100"/>
  <c r="C2102" i="100"/>
  <c r="B2102" i="100"/>
  <c r="C2101" i="100"/>
  <c r="B2101" i="100"/>
  <c r="C2100" i="100"/>
  <c r="B2100" i="100"/>
  <c r="C2099" i="100"/>
  <c r="B2099" i="100"/>
  <c r="C2098" i="100"/>
  <c r="B2098" i="100"/>
  <c r="C2097" i="100"/>
  <c r="B2097" i="100"/>
  <c r="C2094" i="100"/>
  <c r="B2094" i="100"/>
  <c r="C2093" i="100"/>
  <c r="B2093" i="100"/>
  <c r="C2092" i="100"/>
  <c r="B2092" i="100"/>
  <c r="C2091" i="100"/>
  <c r="B2091" i="100"/>
  <c r="C2090" i="100"/>
  <c r="B2090" i="100"/>
  <c r="C2089" i="100"/>
  <c r="B2089" i="100"/>
  <c r="E58" i="94" l="1"/>
  <c r="T1499" i="100"/>
  <c r="K207" i="94"/>
  <c r="AB21" i="94" s="1"/>
  <c r="E309" i="94" l="1"/>
  <c r="C308" i="94" s="1"/>
  <c r="E298" i="94"/>
  <c r="C297" i="94" s="1"/>
  <c r="E287" i="94"/>
  <c r="C286" i="94" s="1"/>
  <c r="E276" i="94"/>
  <c r="C275" i="94" s="1"/>
  <c r="E265" i="94"/>
  <c r="C264" i="94" s="1"/>
  <c r="E254" i="94"/>
  <c r="C253" i="94" s="1"/>
  <c r="E243" i="94"/>
  <c r="C242" i="94" s="1"/>
  <c r="E232" i="94"/>
  <c r="C231" i="94" s="1"/>
  <c r="G160" i="94"/>
  <c r="Q2169" i="100"/>
  <c r="Q2159" i="100"/>
  <c r="Q2149" i="100"/>
  <c r="Q2139" i="100"/>
  <c r="Q2129" i="100"/>
  <c r="Q2119" i="100"/>
  <c r="Q2109" i="100"/>
  <c r="Q2099" i="100"/>
  <c r="Q2089" i="100"/>
  <c r="M240" i="94" l="1"/>
  <c r="M284" i="94"/>
  <c r="M295" i="94"/>
  <c r="M251" i="94"/>
  <c r="M306" i="94"/>
  <c r="M262" i="94"/>
  <c r="M317" i="94"/>
  <c r="M229" i="94"/>
  <c r="M273" i="94"/>
  <c r="U95" i="94"/>
  <c r="U1397" i="100"/>
  <c r="C1997" i="100"/>
  <c r="C2057" i="100"/>
  <c r="B2022" i="100"/>
  <c r="B2018" i="100"/>
  <c r="C2084" i="100"/>
  <c r="B2039" i="100"/>
  <c r="C2062" i="100"/>
  <c r="C2083" i="100"/>
  <c r="B2083" i="100"/>
  <c r="B2046" i="100"/>
  <c r="B2015" i="100"/>
  <c r="B2023" i="100"/>
  <c r="B1992" i="100"/>
  <c r="C2038" i="100"/>
  <c r="B1994" i="100"/>
  <c r="B2030" i="100"/>
  <c r="B2047" i="100"/>
  <c r="C2026" i="100"/>
  <c r="C2019" i="100"/>
  <c r="B2017" i="100"/>
  <c r="B2028" i="100"/>
  <c r="B2008" i="100"/>
  <c r="C2073" i="100"/>
  <c r="C2029" i="100"/>
  <c r="C2034" i="100"/>
  <c r="C2046" i="100"/>
  <c r="B2002" i="100"/>
  <c r="C1990" i="100"/>
  <c r="C2012" i="100"/>
  <c r="C2006" i="100"/>
  <c r="B2055" i="100"/>
  <c r="B2085" i="100"/>
  <c r="C2041" i="100"/>
  <c r="B2069" i="100"/>
  <c r="C1996" i="100"/>
  <c r="B2048" i="100"/>
  <c r="B2034" i="100"/>
  <c r="B1990" i="100"/>
  <c r="B2079" i="100"/>
  <c r="B2041" i="100"/>
  <c r="B2051" i="100"/>
  <c r="C2079" i="100"/>
  <c r="C2004" i="100"/>
  <c r="C2003" i="100"/>
  <c r="B2049" i="100"/>
  <c r="B2027" i="100"/>
  <c r="B2035" i="100"/>
  <c r="C2074" i="100"/>
  <c r="C2002" i="100"/>
  <c r="B2038" i="100"/>
  <c r="B2045" i="100"/>
  <c r="C2055" i="100"/>
  <c r="B2040" i="100"/>
  <c r="B2081" i="100"/>
  <c r="B2058" i="100"/>
  <c r="C2047" i="100"/>
  <c r="C2016" i="100"/>
  <c r="B2026" i="100"/>
  <c r="C2024" i="100"/>
  <c r="C2058" i="100"/>
  <c r="C2018" i="100"/>
  <c r="C2011" i="100"/>
  <c r="C2028" i="100"/>
  <c r="C2037" i="100"/>
  <c r="C2007" i="100"/>
  <c r="C2015" i="100"/>
  <c r="B2078" i="100"/>
  <c r="C2061" i="100"/>
  <c r="C2030" i="100"/>
  <c r="C2000" i="100"/>
  <c r="B2074" i="100"/>
  <c r="C2068" i="100"/>
  <c r="C2056" i="100"/>
  <c r="B2007" i="100"/>
  <c r="B2044" i="100"/>
  <c r="C2027" i="100"/>
  <c r="C2066" i="100"/>
  <c r="C2022" i="100"/>
  <c r="C2060" i="100"/>
  <c r="C2040" i="100"/>
  <c r="B2036" i="100"/>
  <c r="B2000" i="100"/>
  <c r="B2029" i="100"/>
  <c r="C2069" i="100"/>
  <c r="B2066" i="100"/>
  <c r="C1991" i="100"/>
  <c r="C2050" i="100"/>
  <c r="B2063" i="100"/>
  <c r="B2004" i="100"/>
  <c r="B2084" i="100"/>
  <c r="C1995" i="100"/>
  <c r="C2044" i="100"/>
  <c r="C2088" i="100"/>
  <c r="B2013" i="100"/>
  <c r="C2049" i="100"/>
  <c r="B1991" i="100"/>
  <c r="B2019" i="100"/>
  <c r="C2008" i="100"/>
  <c r="B2070" i="100"/>
  <c r="C2005" i="100"/>
  <c r="B2011" i="100"/>
  <c r="B2024" i="100"/>
  <c r="C2051" i="100"/>
  <c r="C2078" i="100"/>
  <c r="B2056" i="100"/>
  <c r="B2037" i="100"/>
  <c r="C2063" i="100"/>
  <c r="B2012" i="100"/>
  <c r="C2052" i="100"/>
  <c r="C2036" i="100"/>
  <c r="C2025" i="100"/>
  <c r="C2045" i="100"/>
  <c r="C1992" i="100"/>
  <c r="B2067" i="100"/>
  <c r="B1997" i="100"/>
  <c r="B2071" i="100"/>
  <c r="C1993" i="100"/>
  <c r="C2080" i="100"/>
  <c r="B2050" i="100"/>
  <c r="C2081" i="100"/>
  <c r="C2085" i="100"/>
  <c r="C2017" i="100"/>
  <c r="B2059" i="100"/>
  <c r="B1996" i="100"/>
  <c r="B2006" i="100"/>
  <c r="C2072" i="100"/>
  <c r="B2088" i="100"/>
  <c r="B1995" i="100"/>
  <c r="B2057" i="100"/>
  <c r="B2080" i="100"/>
  <c r="C2039" i="100"/>
  <c r="C2014" i="100"/>
  <c r="C2033" i="100"/>
  <c r="C2001" i="100"/>
  <c r="C2082" i="100"/>
  <c r="C2067" i="100"/>
  <c r="C2035" i="100"/>
  <c r="B2072" i="100"/>
  <c r="B2005" i="100"/>
  <c r="C2048" i="100"/>
  <c r="B2068" i="100"/>
  <c r="B2082" i="100"/>
  <c r="B2052" i="100"/>
  <c r="B2014" i="100"/>
  <c r="B2025" i="100"/>
  <c r="C2059" i="100"/>
  <c r="B2077" i="100"/>
  <c r="B1993" i="100"/>
  <c r="B2073" i="100"/>
  <c r="C1994" i="100"/>
  <c r="C2013" i="100"/>
  <c r="B2003" i="100"/>
  <c r="B2060" i="100"/>
  <c r="B2016" i="100"/>
  <c r="C2077" i="100"/>
  <c r="B2062" i="100"/>
  <c r="B2061" i="100"/>
  <c r="C2070" i="100"/>
  <c r="B2001" i="100"/>
  <c r="C2023" i="100"/>
  <c r="C2071" i="100"/>
  <c r="B2033" i="100"/>
  <c r="C226" i="94" l="1"/>
  <c r="R515" i="97" s="1"/>
  <c r="E163" i="94"/>
  <c r="E178" i="94"/>
  <c r="E162" i="94"/>
  <c r="C146" i="94" a="1"/>
  <c r="C122" i="94" a="1"/>
  <c r="C209" i="94" a="1"/>
  <c r="C178" i="94" a="1"/>
  <c r="C30" i="94" a="1"/>
  <c r="C138" i="94" a="1"/>
  <c r="C86" i="94" a="1"/>
  <c r="C154" i="94" a="1"/>
  <c r="C16" i="94" a="1"/>
  <c r="C72" i="94" a="1"/>
  <c r="C197" i="94" a="1"/>
  <c r="C130" i="94" a="1"/>
  <c r="C114" i="94" a="1"/>
  <c r="C58" i="94" a="1"/>
  <c r="C100" i="94" a="1"/>
  <c r="C44" i="94" a="1"/>
  <c r="C130" i="94" l="1"/>
  <c r="C100" i="94"/>
  <c r="C122" i="94"/>
  <c r="C16" i="94"/>
  <c r="C30" i="94"/>
  <c r="C44" i="94"/>
  <c r="C138" i="94"/>
  <c r="C146" i="94"/>
  <c r="C154" i="94"/>
  <c r="C114" i="94"/>
  <c r="C58" i="94"/>
  <c r="C72" i="94"/>
  <c r="C86" i="94"/>
  <c r="C178" i="94"/>
  <c r="C197" i="94"/>
  <c r="C209" i="94"/>
  <c r="T627" i="97"/>
  <c r="H621" i="97" s="1"/>
  <c r="T613" i="97"/>
  <c r="T599" i="97"/>
  <c r="T585" i="97"/>
  <c r="T571" i="97"/>
  <c r="T557" i="97"/>
  <c r="T543" i="97"/>
  <c r="T529" i="97"/>
  <c r="T515" i="97"/>
  <c r="L540" i="97" l="1"/>
  <c r="M40" i="98"/>
  <c r="L568" i="97"/>
  <c r="M42" i="98"/>
  <c r="M41" i="98"/>
  <c r="L554" i="97"/>
  <c r="L590" i="97"/>
  <c r="L596" i="97"/>
  <c r="M44" i="98"/>
  <c r="M43" i="98"/>
  <c r="L582" i="97"/>
  <c r="M45" i="98"/>
  <c r="L610" i="97"/>
  <c r="L526" i="97"/>
  <c r="M39" i="98"/>
  <c r="N506" i="97"/>
  <c r="L512" i="97"/>
  <c r="M38" i="98"/>
  <c r="L624" i="97"/>
  <c r="M46" i="98"/>
  <c r="N540" i="97"/>
  <c r="J540" i="97"/>
  <c r="N554" i="97"/>
  <c r="N548" i="97"/>
  <c r="N610" i="97"/>
  <c r="N604" i="97"/>
  <c r="N534" i="97"/>
  <c r="D567" i="97"/>
  <c r="N562" i="97"/>
  <c r="N526" i="97"/>
  <c r="N520" i="97"/>
  <c r="D579" i="97"/>
  <c r="N576" i="97"/>
  <c r="D623" i="97"/>
  <c r="N618" i="97"/>
  <c r="J520" i="97"/>
  <c r="H565" i="97"/>
  <c r="H590" i="97"/>
  <c r="D595" i="97"/>
  <c r="D607" i="97"/>
  <c r="J590" i="97"/>
  <c r="D593" i="97"/>
  <c r="D565" i="97"/>
  <c r="H593" i="97"/>
  <c r="N568" i="97"/>
  <c r="N596" i="97"/>
  <c r="H618" i="97"/>
  <c r="D551" i="97"/>
  <c r="L618" i="97"/>
  <c r="H562" i="97"/>
  <c r="D621" i="97"/>
  <c r="J562" i="97"/>
  <c r="L604" i="97"/>
  <c r="L548" i="97"/>
  <c r="J618" i="97"/>
  <c r="D581" i="97"/>
  <c r="L562" i="97"/>
  <c r="N624" i="97"/>
  <c r="D553" i="97"/>
  <c r="J548" i="97"/>
  <c r="J568" i="97"/>
  <c r="H579" i="97"/>
  <c r="N590" i="97"/>
  <c r="J604" i="97"/>
  <c r="J624" i="97"/>
  <c r="N582" i="97"/>
  <c r="H551" i="97"/>
  <c r="J576" i="97"/>
  <c r="J596" i="97"/>
  <c r="H607" i="97"/>
  <c r="H576" i="97"/>
  <c r="L576" i="97"/>
  <c r="D609" i="97"/>
  <c r="J610" i="97"/>
  <c r="J582" i="97"/>
  <c r="J554" i="97"/>
  <c r="H548" i="97"/>
  <c r="H604" i="97"/>
  <c r="D509" i="97"/>
  <c r="J506" i="97"/>
  <c r="H537" i="97"/>
  <c r="H534" i="97"/>
  <c r="D539" i="97"/>
  <c r="J534" i="97"/>
  <c r="L534" i="97"/>
  <c r="D537" i="97"/>
  <c r="H523" i="97"/>
  <c r="L520" i="97"/>
  <c r="D525" i="97"/>
  <c r="J526" i="97"/>
  <c r="H520" i="97"/>
  <c r="D523" i="97"/>
  <c r="J512" i="97"/>
  <c r="C2031" i="100"/>
  <c r="B2043" i="100"/>
  <c r="C2251" i="100"/>
  <c r="B2258" i="100"/>
  <c r="C2032" i="100"/>
  <c r="C2291" i="100"/>
  <c r="B2020" i="100"/>
  <c r="B2009" i="100"/>
  <c r="C2064" i="100"/>
  <c r="B2053" i="100"/>
  <c r="B2021" i="100"/>
  <c r="C2087" i="100"/>
  <c r="B2288" i="100"/>
  <c r="C2230" i="100"/>
  <c r="C2086" i="100"/>
  <c r="C2288" i="100"/>
  <c r="B2031" i="100"/>
  <c r="C2010" i="100"/>
  <c r="C2020" i="100"/>
  <c r="C2292" i="100"/>
  <c r="B2032" i="100"/>
  <c r="C2272" i="100"/>
  <c r="C2009" i="100"/>
  <c r="B2086" i="100"/>
  <c r="C2244" i="100"/>
  <c r="C2053" i="100"/>
  <c r="C2075" i="100"/>
  <c r="B2075" i="100"/>
  <c r="B2230" i="100"/>
  <c r="B2010" i="100"/>
  <c r="B2286" i="100"/>
  <c r="C2237" i="100"/>
  <c r="B2287" i="100"/>
  <c r="C2042" i="100"/>
  <c r="B2244" i="100"/>
  <c r="B2076" i="100"/>
  <c r="C2293" i="100"/>
  <c r="B2042" i="100"/>
  <c r="B2292" i="100"/>
  <c r="B2054" i="100"/>
  <c r="C2054" i="100"/>
  <c r="B2065" i="100"/>
  <c r="C2076" i="100"/>
  <c r="C2279" i="100"/>
  <c r="B2293" i="100"/>
  <c r="B2064" i="100"/>
  <c r="B2272" i="100"/>
  <c r="C2289" i="100"/>
  <c r="B2251" i="100"/>
  <c r="C2043" i="100"/>
  <c r="C2287" i="100"/>
  <c r="C2286" i="100"/>
  <c r="B2265" i="100"/>
  <c r="C2065" i="100"/>
  <c r="C2290" i="100"/>
  <c r="B2290" i="100"/>
  <c r="C2258" i="100"/>
  <c r="B2291" i="100"/>
  <c r="B2289" i="100"/>
  <c r="C2021" i="100"/>
  <c r="B2279" i="100"/>
  <c r="B2087" i="100"/>
  <c r="C2265" i="100"/>
  <c r="B2237" i="100"/>
  <c r="G318" i="94" l="1"/>
  <c r="BI423" i="99" s="1"/>
  <c r="K315" i="94"/>
  <c r="AB61" i="94" s="1"/>
  <c r="G315" i="94"/>
  <c r="G307" i="94"/>
  <c r="BB423" i="99" s="1"/>
  <c r="K304" i="94"/>
  <c r="AB60" i="94" s="1"/>
  <c r="G304" i="94"/>
  <c r="G296" i="94"/>
  <c r="AU423" i="99" s="1"/>
  <c r="K293" i="94"/>
  <c r="AB59" i="94" s="1"/>
  <c r="G293" i="94"/>
  <c r="G285" i="94"/>
  <c r="AN423" i="99" s="1"/>
  <c r="K282" i="94"/>
  <c r="AB58" i="94" s="1"/>
  <c r="G282" i="94"/>
  <c r="G274" i="94"/>
  <c r="AG423" i="99" s="1"/>
  <c r="K271" i="94"/>
  <c r="AB57" i="94" s="1"/>
  <c r="G271" i="94"/>
  <c r="G263" i="94"/>
  <c r="Z423" i="99" s="1"/>
  <c r="K260" i="94"/>
  <c r="AB56" i="94" s="1"/>
  <c r="G260" i="94"/>
  <c r="G252" i="94"/>
  <c r="S423" i="99" s="1"/>
  <c r="K249" i="94"/>
  <c r="AB55" i="94" s="1"/>
  <c r="G249" i="94"/>
  <c r="G241" i="94"/>
  <c r="L423" i="99" s="1"/>
  <c r="K238" i="94"/>
  <c r="AB54" i="94" s="1"/>
  <c r="G238" i="94"/>
  <c r="D511" i="97"/>
  <c r="K227" i="94"/>
  <c r="AB25" i="94" s="1"/>
  <c r="G227" i="94"/>
  <c r="H506" i="97" s="1"/>
  <c r="C2223" i="100"/>
  <c r="C1999" i="100"/>
  <c r="C2285" i="100"/>
  <c r="B2223" i="100"/>
  <c r="C1998" i="100"/>
  <c r="C1989" i="100"/>
  <c r="B1999" i="100"/>
  <c r="B1989" i="100"/>
  <c r="B1998" i="100"/>
  <c r="B2285" i="100"/>
  <c r="L506" i="97" l="1"/>
  <c r="C1664" i="100"/>
  <c r="B1664" i="100"/>
  <c r="C1663" i="100"/>
  <c r="B1663" i="100"/>
  <c r="C1662" i="100"/>
  <c r="B1662" i="100"/>
  <c r="C1661" i="100"/>
  <c r="B1661" i="100"/>
  <c r="C1660" i="100"/>
  <c r="B1660" i="100"/>
  <c r="C1659" i="100"/>
  <c r="B1659" i="100"/>
  <c r="C1658" i="100"/>
  <c r="B1658" i="100"/>
  <c r="C1657" i="100"/>
  <c r="B1657" i="100"/>
  <c r="C1656" i="100"/>
  <c r="B1656" i="100"/>
  <c r="C1655" i="100"/>
  <c r="B1655" i="100"/>
  <c r="C1654" i="100"/>
  <c r="B1654" i="100"/>
  <c r="C1653" i="100"/>
  <c r="B1653" i="100"/>
  <c r="C1652" i="100"/>
  <c r="B1652" i="100"/>
  <c r="C1651" i="100"/>
  <c r="B1651" i="100"/>
  <c r="C1650" i="100"/>
  <c r="B1650" i="100"/>
  <c r="C1649" i="100"/>
  <c r="B1649" i="100"/>
  <c r="C1648" i="100"/>
  <c r="B1648" i="100"/>
  <c r="C1641" i="100"/>
  <c r="B1641" i="100"/>
  <c r="C1640" i="100"/>
  <c r="B1640" i="100"/>
  <c r="C1639" i="100"/>
  <c r="B1639" i="100"/>
  <c r="C1638" i="100"/>
  <c r="B1638" i="100"/>
  <c r="C1637" i="100"/>
  <c r="B1637" i="100"/>
  <c r="C1636" i="100"/>
  <c r="B1636" i="100"/>
  <c r="C1635" i="100"/>
  <c r="B1635" i="100"/>
  <c r="C1634" i="100"/>
  <c r="B1634" i="100"/>
  <c r="C1633" i="100"/>
  <c r="B1633" i="100"/>
  <c r="C1632" i="100"/>
  <c r="B1632" i="100"/>
  <c r="C1631" i="100"/>
  <c r="B1631" i="100"/>
  <c r="C1630" i="100"/>
  <c r="B1630" i="100"/>
  <c r="C1629" i="100"/>
  <c r="B1629" i="100"/>
  <c r="C1628" i="100"/>
  <c r="B1628" i="100"/>
  <c r="C1627" i="100"/>
  <c r="B1627" i="100"/>
  <c r="C1626" i="100"/>
  <c r="B1626" i="100"/>
  <c r="C1625" i="100"/>
  <c r="B1625" i="100"/>
  <c r="C1624" i="100"/>
  <c r="B1624" i="100"/>
  <c r="C1623" i="100"/>
  <c r="B1623" i="100"/>
  <c r="C1622" i="100"/>
  <c r="B1622" i="100"/>
  <c r="C1621" i="100"/>
  <c r="B1621" i="100"/>
  <c r="C1620" i="100"/>
  <c r="B1620" i="100"/>
  <c r="C1619" i="100"/>
  <c r="B1619" i="100"/>
  <c r="C1618" i="100"/>
  <c r="B1618" i="100"/>
  <c r="C1617" i="100"/>
  <c r="B1617" i="100"/>
  <c r="C1592" i="100"/>
  <c r="B1592" i="100"/>
  <c r="C1582" i="100"/>
  <c r="B1582" i="100"/>
  <c r="C1581" i="100"/>
  <c r="B1581" i="100"/>
  <c r="C1580" i="100"/>
  <c r="B1580" i="100"/>
  <c r="C1579" i="100"/>
  <c r="B1579" i="100"/>
  <c r="C1578" i="100"/>
  <c r="B1578" i="100"/>
  <c r="C1577" i="100"/>
  <c r="B1577" i="100"/>
  <c r="C1576" i="100"/>
  <c r="B1576" i="100"/>
  <c r="C1575" i="100"/>
  <c r="B1575" i="100"/>
  <c r="C1574" i="100"/>
  <c r="B1574" i="100"/>
  <c r="C1573" i="100"/>
  <c r="B1573" i="100"/>
  <c r="C1572" i="100"/>
  <c r="B1572" i="100"/>
  <c r="C1571" i="100"/>
  <c r="B1571" i="100"/>
  <c r="C1570" i="100"/>
  <c r="B1570" i="100"/>
  <c r="C1553" i="100"/>
  <c r="B1553" i="100"/>
  <c r="C1552" i="100"/>
  <c r="B1552" i="100"/>
  <c r="C1551" i="100"/>
  <c r="B1551" i="100"/>
  <c r="C1550" i="100"/>
  <c r="B1550" i="100"/>
  <c r="C1549" i="100"/>
  <c r="B1549" i="100"/>
  <c r="Q1548" i="100"/>
  <c r="C1548" i="100"/>
  <c r="B1548" i="100"/>
  <c r="C1547" i="100"/>
  <c r="B1547" i="100"/>
  <c r="C1546" i="100"/>
  <c r="B1546" i="100"/>
  <c r="C1545" i="100"/>
  <c r="B1545" i="100"/>
  <c r="C1544" i="100"/>
  <c r="B1544" i="100"/>
  <c r="C1543" i="100"/>
  <c r="B1543" i="100"/>
  <c r="C1542" i="100"/>
  <c r="B1542" i="100"/>
  <c r="C1541" i="100"/>
  <c r="B1541" i="100"/>
  <c r="C1540" i="100"/>
  <c r="B1540" i="100"/>
  <c r="C1539" i="100"/>
  <c r="B1539" i="100"/>
  <c r="C1538" i="100"/>
  <c r="B1538" i="100"/>
  <c r="C1537" i="100"/>
  <c r="B1537" i="100"/>
  <c r="C1536" i="100"/>
  <c r="B1536" i="100"/>
  <c r="C1535" i="100"/>
  <c r="B1535" i="100"/>
  <c r="C1534" i="100"/>
  <c r="B1534" i="100"/>
  <c r="C1533" i="100"/>
  <c r="B1533" i="100"/>
  <c r="C1532" i="100"/>
  <c r="B1532" i="100"/>
  <c r="C1531" i="100"/>
  <c r="B1531" i="100"/>
  <c r="C1530" i="100"/>
  <c r="B1530" i="100"/>
  <c r="Q1529" i="100"/>
  <c r="C1529" i="100"/>
  <c r="B1529" i="100"/>
  <c r="C1528" i="100"/>
  <c r="B1528" i="100"/>
  <c r="C1527" i="100"/>
  <c r="B1527" i="100"/>
  <c r="C1526" i="100"/>
  <c r="B1526" i="100"/>
  <c r="C1525" i="100"/>
  <c r="B1525" i="100"/>
  <c r="C1524" i="100"/>
  <c r="B1524" i="100"/>
  <c r="C1523" i="100"/>
  <c r="B1523" i="100"/>
  <c r="C1522" i="100"/>
  <c r="B1522" i="100"/>
  <c r="C1521" i="100"/>
  <c r="B1521" i="100"/>
  <c r="C1520" i="100"/>
  <c r="B1520" i="100"/>
  <c r="C1519" i="100"/>
  <c r="B1519" i="100"/>
  <c r="C1518" i="100"/>
  <c r="B1518" i="100"/>
  <c r="C1517" i="100"/>
  <c r="B1517" i="100"/>
  <c r="C1516" i="100"/>
  <c r="B1516" i="100"/>
  <c r="C1515" i="100"/>
  <c r="B1515" i="100"/>
  <c r="C1514" i="100"/>
  <c r="B1514" i="100"/>
  <c r="C1513" i="100"/>
  <c r="B1513" i="100"/>
  <c r="C1512" i="100"/>
  <c r="B1512" i="100"/>
  <c r="C1511" i="100"/>
  <c r="B1511" i="100"/>
  <c r="Q1510" i="100"/>
  <c r="C1510" i="100"/>
  <c r="B1510" i="100"/>
  <c r="C1509" i="100"/>
  <c r="B1509" i="100"/>
  <c r="C1508" i="100"/>
  <c r="B1508" i="100"/>
  <c r="C1507" i="100"/>
  <c r="B1507" i="100"/>
  <c r="C1506" i="100"/>
  <c r="B1506" i="100"/>
  <c r="C1505" i="100"/>
  <c r="B1505" i="100"/>
  <c r="C1504" i="100"/>
  <c r="B1504" i="100"/>
  <c r="C1503" i="100"/>
  <c r="B1503" i="100"/>
  <c r="C1502" i="100"/>
  <c r="B1502" i="100"/>
  <c r="C1501" i="100"/>
  <c r="B1501" i="100"/>
  <c r="C1500" i="100"/>
  <c r="B1500" i="100"/>
  <c r="C1499" i="100"/>
  <c r="B1499" i="100"/>
  <c r="C1498" i="100"/>
  <c r="B1498" i="100"/>
  <c r="C1497" i="100"/>
  <c r="B1497" i="100"/>
  <c r="C1496" i="100"/>
  <c r="B1496" i="100"/>
  <c r="Q1495" i="100"/>
  <c r="C1495" i="100"/>
  <c r="B1495" i="100"/>
  <c r="C1494" i="100"/>
  <c r="B1494" i="100"/>
  <c r="C1493" i="100"/>
  <c r="B1493" i="100"/>
  <c r="C1492" i="100"/>
  <c r="B1492" i="100"/>
  <c r="C1491" i="100"/>
  <c r="B1491" i="100"/>
  <c r="C1490" i="100"/>
  <c r="B1490" i="100"/>
  <c r="C1489" i="100"/>
  <c r="B1489" i="100"/>
  <c r="C1488" i="100"/>
  <c r="B1488" i="100"/>
  <c r="C1487" i="100"/>
  <c r="B1487" i="100"/>
  <c r="Q1486" i="100"/>
  <c r="C1486" i="100"/>
  <c r="B1486" i="100"/>
  <c r="C1485" i="100"/>
  <c r="B1485" i="100"/>
  <c r="C1484" i="100"/>
  <c r="B1484" i="100"/>
  <c r="C1483" i="100"/>
  <c r="B1483" i="100"/>
  <c r="C1482" i="100"/>
  <c r="B1482" i="100"/>
  <c r="C1481" i="100"/>
  <c r="B1481" i="100"/>
  <c r="C1480" i="100"/>
  <c r="B1480" i="100"/>
  <c r="Q1479" i="100"/>
  <c r="C1479" i="100"/>
  <c r="B1479" i="100"/>
  <c r="C1478" i="100"/>
  <c r="B1478" i="100"/>
  <c r="C1477" i="100"/>
  <c r="B1477" i="100"/>
  <c r="C1476" i="100"/>
  <c r="B1476" i="100"/>
  <c r="C1475" i="100"/>
  <c r="B1475" i="100"/>
  <c r="C1474" i="100"/>
  <c r="B1474" i="100"/>
  <c r="C1473" i="100"/>
  <c r="B1473" i="100"/>
  <c r="Q1472" i="100"/>
  <c r="C1472" i="100"/>
  <c r="B1472" i="100"/>
  <c r="C1471" i="100"/>
  <c r="B1471" i="100"/>
  <c r="C1470" i="100"/>
  <c r="B1470" i="100"/>
  <c r="C1469" i="100"/>
  <c r="B1469" i="100"/>
  <c r="C1468" i="100"/>
  <c r="B1468" i="100"/>
  <c r="C1467" i="100"/>
  <c r="B1467" i="100"/>
  <c r="C1466" i="100"/>
  <c r="B1466" i="100"/>
  <c r="C1465" i="100"/>
  <c r="B1465" i="100"/>
  <c r="C1464" i="100"/>
  <c r="B1464" i="100"/>
  <c r="C1463" i="100"/>
  <c r="B1463" i="100"/>
  <c r="Q1462" i="100"/>
  <c r="C1462" i="100"/>
  <c r="B1462" i="100"/>
  <c r="C1461" i="100"/>
  <c r="B1461" i="100"/>
  <c r="C1460" i="100"/>
  <c r="B1460" i="100"/>
  <c r="C1459" i="100"/>
  <c r="B1459" i="100"/>
  <c r="C1458" i="100"/>
  <c r="B1458" i="100"/>
  <c r="C1457" i="100"/>
  <c r="B1457" i="100"/>
  <c r="C1456" i="100"/>
  <c r="B1456" i="100"/>
  <c r="C1455" i="100"/>
  <c r="B1455" i="100"/>
  <c r="C1454" i="100"/>
  <c r="B1454" i="100"/>
  <c r="C1453" i="100"/>
  <c r="B1453" i="100"/>
  <c r="Q1452" i="100"/>
  <c r="C1452" i="100"/>
  <c r="B1452" i="100"/>
  <c r="C1451" i="100"/>
  <c r="B1451" i="100"/>
  <c r="C1450" i="100"/>
  <c r="B1450" i="100"/>
  <c r="C1449" i="100"/>
  <c r="B1449" i="100"/>
  <c r="C1448" i="100"/>
  <c r="B1448" i="100"/>
  <c r="C1447" i="100"/>
  <c r="B1447" i="100"/>
  <c r="C1446" i="100"/>
  <c r="B1446" i="100"/>
  <c r="C1445" i="100"/>
  <c r="B1445" i="100"/>
  <c r="C1444" i="100"/>
  <c r="B1444" i="100"/>
  <c r="C1443" i="100"/>
  <c r="B1443" i="100"/>
  <c r="Q1442" i="100"/>
  <c r="C1442" i="100"/>
  <c r="B1442" i="100"/>
  <c r="C1441" i="100"/>
  <c r="B1441" i="100"/>
  <c r="C1440" i="100"/>
  <c r="B1440" i="100"/>
  <c r="C1439" i="100"/>
  <c r="B1439" i="100"/>
  <c r="C1438" i="100"/>
  <c r="B1438" i="100"/>
  <c r="C1437" i="100"/>
  <c r="B1437" i="100"/>
  <c r="C1436" i="100"/>
  <c r="B1436" i="100"/>
  <c r="C1435" i="100"/>
  <c r="B1435" i="100"/>
  <c r="C1434" i="100"/>
  <c r="B1434" i="100"/>
  <c r="C1433" i="100"/>
  <c r="B1433" i="100"/>
  <c r="Q1432" i="100"/>
  <c r="C1432" i="100"/>
  <c r="B1432" i="100"/>
  <c r="C1431" i="100"/>
  <c r="B1431" i="100"/>
  <c r="C1430" i="100"/>
  <c r="B1430" i="100"/>
  <c r="C1429" i="100"/>
  <c r="B1429" i="100"/>
  <c r="C1428" i="100"/>
  <c r="B1428" i="100"/>
  <c r="C1427" i="100"/>
  <c r="B1427" i="100"/>
  <c r="C1426" i="100"/>
  <c r="B1426" i="100"/>
  <c r="C1425" i="100"/>
  <c r="B1425" i="100"/>
  <c r="C1424" i="100"/>
  <c r="B1424" i="100"/>
  <c r="C1423" i="100"/>
  <c r="B1423" i="100"/>
  <c r="Q1422" i="100"/>
  <c r="C1422" i="100"/>
  <c r="B1422" i="100"/>
  <c r="C1421" i="100"/>
  <c r="B1421" i="100"/>
  <c r="C1420" i="100"/>
  <c r="B1420" i="100"/>
  <c r="C1419" i="100"/>
  <c r="B1419" i="100"/>
  <c r="C1418" i="100"/>
  <c r="B1418" i="100"/>
  <c r="C1417" i="100"/>
  <c r="B1417" i="100"/>
  <c r="C1416" i="100"/>
  <c r="B1416" i="100"/>
  <c r="C1415" i="100"/>
  <c r="B1415" i="100"/>
  <c r="C1414" i="100"/>
  <c r="B1414" i="100"/>
  <c r="C1413" i="100"/>
  <c r="B1413" i="100"/>
  <c r="Q1412" i="100"/>
  <c r="C1412" i="100"/>
  <c r="B1412" i="100"/>
  <c r="C1411" i="100"/>
  <c r="B1411" i="100"/>
  <c r="C1410" i="100"/>
  <c r="B1410" i="100"/>
  <c r="C1409" i="100"/>
  <c r="B1409" i="100"/>
  <c r="C1408" i="100"/>
  <c r="B1408" i="100"/>
  <c r="C1407" i="100"/>
  <c r="B1407" i="100"/>
  <c r="C1406" i="100"/>
  <c r="B1406" i="100"/>
  <c r="C1405" i="100"/>
  <c r="B1405" i="100"/>
  <c r="C1404" i="100"/>
  <c r="B1404" i="100"/>
  <c r="C1403" i="100"/>
  <c r="B1403" i="100"/>
  <c r="C1402" i="100"/>
  <c r="B1402" i="100"/>
  <c r="C1401" i="100"/>
  <c r="B1401" i="100"/>
  <c r="C1400" i="100"/>
  <c r="B1400" i="100"/>
  <c r="C1399" i="100"/>
  <c r="B1399" i="100"/>
  <c r="C1398" i="100"/>
  <c r="B1398" i="100"/>
  <c r="C1397" i="100"/>
  <c r="B1397" i="100"/>
  <c r="C1396" i="100"/>
  <c r="B1396" i="100"/>
  <c r="C1395" i="100"/>
  <c r="B1395" i="100"/>
  <c r="Q1394" i="100"/>
  <c r="C1394" i="100"/>
  <c r="B1394" i="100"/>
  <c r="C1393" i="100"/>
  <c r="B1393" i="100"/>
  <c r="C1392" i="100"/>
  <c r="B1392" i="100"/>
  <c r="C1391" i="100"/>
  <c r="B1391" i="100"/>
  <c r="C1390" i="100"/>
  <c r="B1390" i="100"/>
  <c r="C1389" i="100"/>
  <c r="B1389" i="100"/>
  <c r="C1388" i="100"/>
  <c r="B1388" i="100"/>
  <c r="C1387" i="100"/>
  <c r="B1387" i="100"/>
  <c r="C1386" i="100"/>
  <c r="B1386" i="100"/>
  <c r="C1385" i="100"/>
  <c r="B1385" i="100"/>
  <c r="C1384" i="100"/>
  <c r="B1384" i="100"/>
  <c r="C1383" i="100"/>
  <c r="B1383" i="100"/>
  <c r="C1382" i="100"/>
  <c r="B1382" i="100"/>
  <c r="C1381" i="100"/>
  <c r="B1381" i="100"/>
  <c r="C1380" i="100"/>
  <c r="B1380" i="100"/>
  <c r="C1379" i="100"/>
  <c r="B1379" i="100"/>
  <c r="C1378" i="100"/>
  <c r="B1378" i="100"/>
  <c r="C1377" i="100"/>
  <c r="B1377" i="100"/>
  <c r="Q1376" i="100"/>
  <c r="C1376" i="100"/>
  <c r="B1376" i="100"/>
  <c r="C1375" i="100"/>
  <c r="B1375" i="100"/>
  <c r="C1374" i="100"/>
  <c r="B1374" i="100"/>
  <c r="C1373" i="100"/>
  <c r="B1373" i="100"/>
  <c r="C1372" i="100"/>
  <c r="B1372" i="100"/>
  <c r="C1371" i="100"/>
  <c r="B1371" i="100"/>
  <c r="C1370" i="100"/>
  <c r="B1370" i="100"/>
  <c r="C1369" i="100"/>
  <c r="B1369" i="100"/>
  <c r="C1368" i="100"/>
  <c r="B1368" i="100"/>
  <c r="C1367" i="100"/>
  <c r="B1367" i="100"/>
  <c r="C1366" i="100"/>
  <c r="B1366" i="100"/>
  <c r="C1365" i="100"/>
  <c r="B1365" i="100"/>
  <c r="C1364" i="100"/>
  <c r="B1364" i="100"/>
  <c r="C1363" i="100"/>
  <c r="B1363" i="100"/>
  <c r="C1362" i="100"/>
  <c r="B1362" i="100"/>
  <c r="C1361" i="100"/>
  <c r="B1361" i="100"/>
  <c r="C1360" i="100"/>
  <c r="B1360" i="100"/>
  <c r="C1359" i="100"/>
  <c r="B1359" i="100"/>
  <c r="Q1358" i="100"/>
  <c r="C1358" i="100"/>
  <c r="B1358" i="100"/>
  <c r="C1357" i="100"/>
  <c r="B1357" i="100"/>
  <c r="C1356" i="100"/>
  <c r="B1356" i="100"/>
  <c r="C1355" i="100"/>
  <c r="B1355" i="100"/>
  <c r="C1354" i="100"/>
  <c r="B1354" i="100"/>
  <c r="C1353" i="100"/>
  <c r="B1353" i="100"/>
  <c r="C1352" i="100"/>
  <c r="B1352" i="100"/>
  <c r="C1351" i="100"/>
  <c r="B1351" i="100"/>
  <c r="C1350" i="100"/>
  <c r="B1350" i="100"/>
  <c r="C1349" i="100"/>
  <c r="B1349" i="100"/>
  <c r="C1348" i="100"/>
  <c r="B1348" i="100"/>
  <c r="C1347" i="100"/>
  <c r="B1347" i="100"/>
  <c r="C1346" i="100"/>
  <c r="B1346" i="100"/>
  <c r="C1345" i="100"/>
  <c r="B1345" i="100"/>
  <c r="C1344" i="100"/>
  <c r="B1344" i="100"/>
  <c r="C1343" i="100"/>
  <c r="B1343" i="100"/>
  <c r="C1342" i="100"/>
  <c r="B1342" i="100"/>
  <c r="C1341" i="100"/>
  <c r="B1341" i="100"/>
  <c r="Q1340" i="100"/>
  <c r="C1340" i="100"/>
  <c r="B1340" i="100"/>
  <c r="C1339" i="100"/>
  <c r="B1339" i="100"/>
  <c r="C1338" i="100"/>
  <c r="B1338" i="100"/>
  <c r="C1337" i="100"/>
  <c r="B1337" i="100"/>
  <c r="C1336" i="100"/>
  <c r="B1336" i="100"/>
  <c r="C1335" i="100"/>
  <c r="B1335" i="100"/>
  <c r="C1334" i="100"/>
  <c r="B1334" i="100"/>
  <c r="C1333" i="100"/>
  <c r="B1333" i="100"/>
  <c r="C1332" i="100"/>
  <c r="B1332" i="100"/>
  <c r="C1331" i="100"/>
  <c r="B1331" i="100"/>
  <c r="C1330" i="100"/>
  <c r="B1330" i="100"/>
  <c r="C1329" i="100"/>
  <c r="B1329" i="100"/>
  <c r="C1328" i="100"/>
  <c r="B1328" i="100"/>
  <c r="C1327" i="100"/>
  <c r="B1327" i="100"/>
  <c r="C1326" i="100"/>
  <c r="B1326" i="100"/>
  <c r="C1325" i="100"/>
  <c r="B1325" i="100"/>
  <c r="C1324" i="100"/>
  <c r="B1324" i="100"/>
  <c r="C1323" i="100"/>
  <c r="B1323" i="100"/>
  <c r="Q1322" i="100"/>
  <c r="C1322" i="100"/>
  <c r="B1322" i="100"/>
  <c r="C1321" i="100"/>
  <c r="B1321" i="100"/>
  <c r="C1320" i="100"/>
  <c r="B1320" i="100"/>
  <c r="C1319" i="100"/>
  <c r="B1319" i="100"/>
  <c r="C1318" i="100"/>
  <c r="B1318" i="100"/>
  <c r="C1317" i="100"/>
  <c r="B1317" i="100"/>
  <c r="C1316" i="100"/>
  <c r="B1316" i="100"/>
  <c r="C1315" i="100"/>
  <c r="B1315" i="100"/>
  <c r="C1314" i="100"/>
  <c r="B1314" i="100"/>
  <c r="C1313" i="100"/>
  <c r="B1313" i="100"/>
  <c r="C1312" i="100"/>
  <c r="B1312" i="100"/>
  <c r="C1311" i="100"/>
  <c r="B1311" i="100"/>
  <c r="C1310" i="100"/>
  <c r="B1310" i="100"/>
  <c r="C1309" i="100"/>
  <c r="B1309" i="100"/>
  <c r="C1308" i="100"/>
  <c r="B1308" i="100"/>
  <c r="C1307" i="100"/>
  <c r="B1307" i="100"/>
  <c r="C1306" i="100"/>
  <c r="B1306" i="100"/>
  <c r="C1305" i="100"/>
  <c r="B1305" i="100"/>
  <c r="Q1304" i="100"/>
  <c r="C1304" i="100"/>
  <c r="B1304" i="100"/>
  <c r="C1303" i="100"/>
  <c r="B1303" i="100"/>
  <c r="C1302" i="100"/>
  <c r="B1302" i="100"/>
  <c r="C1301" i="100"/>
  <c r="B1301" i="100"/>
  <c r="C1300" i="100"/>
  <c r="B1300" i="100"/>
  <c r="C1299" i="100"/>
  <c r="B1299" i="100"/>
  <c r="C1298" i="100"/>
  <c r="B1298" i="100"/>
  <c r="C1297" i="100"/>
  <c r="B1297" i="100"/>
  <c r="C1296" i="100"/>
  <c r="B1296" i="100"/>
  <c r="C1295" i="100"/>
  <c r="B1295" i="100"/>
  <c r="C1294" i="100"/>
  <c r="B1294" i="100"/>
  <c r="C1293" i="100"/>
  <c r="B1293" i="100"/>
  <c r="C1292" i="100"/>
  <c r="B1292" i="100"/>
  <c r="C1291" i="100"/>
  <c r="B1291" i="100"/>
  <c r="C1290" i="100"/>
  <c r="B1290" i="100"/>
  <c r="C1289" i="100"/>
  <c r="B1289" i="100"/>
  <c r="C1288" i="100"/>
  <c r="B1288" i="100"/>
  <c r="C1287" i="100"/>
  <c r="B1287" i="100"/>
  <c r="Q1286" i="100"/>
  <c r="C1286" i="100"/>
  <c r="B1286" i="100"/>
  <c r="C1285" i="100"/>
  <c r="B1285" i="100"/>
  <c r="C1284" i="100"/>
  <c r="B1284" i="100"/>
  <c r="C1283" i="100"/>
  <c r="B1283" i="100"/>
  <c r="P1230" i="100"/>
  <c r="P1229" i="100"/>
  <c r="P1228" i="100"/>
  <c r="P1226" i="100"/>
  <c r="P1225" i="100"/>
  <c r="P1224" i="100"/>
  <c r="P1223" i="100"/>
  <c r="P1222" i="100"/>
  <c r="P1221" i="100"/>
  <c r="C1220" i="100"/>
  <c r="B1220" i="100"/>
  <c r="O1215" i="100"/>
  <c r="O1213" i="100"/>
  <c r="O1190" i="100"/>
  <c r="O1188" i="100"/>
  <c r="O1165" i="100"/>
  <c r="O1163" i="100"/>
  <c r="O1136" i="100"/>
  <c r="O1134" i="100"/>
  <c r="O1107" i="100"/>
  <c r="O1105" i="100"/>
  <c r="O1097" i="100"/>
  <c r="O1095" i="100"/>
  <c r="O1087" i="100"/>
  <c r="O1085" i="100"/>
  <c r="O1071" i="100"/>
  <c r="O1069" i="100"/>
  <c r="O1054" i="100"/>
  <c r="O1052" i="100"/>
  <c r="O1040" i="100"/>
  <c r="O1038" i="100"/>
  <c r="O1029" i="100"/>
  <c r="O1027" i="100"/>
  <c r="O1018" i="100"/>
  <c r="O1016" i="100"/>
  <c r="O1007" i="100"/>
  <c r="O1005" i="100"/>
  <c r="O989" i="100"/>
  <c r="O987" i="100"/>
  <c r="O970" i="100"/>
  <c r="O968" i="100"/>
  <c r="O951" i="100"/>
  <c r="O949" i="100"/>
  <c r="O932" i="100"/>
  <c r="O930" i="100"/>
  <c r="O913" i="100"/>
  <c r="O911" i="100"/>
  <c r="O894" i="100"/>
  <c r="O892" i="100"/>
  <c r="O864" i="100"/>
  <c r="O862" i="100"/>
  <c r="O834" i="100"/>
  <c r="O832" i="100"/>
  <c r="O816" i="100"/>
  <c r="O814" i="100"/>
  <c r="O798" i="100"/>
  <c r="O796" i="100"/>
  <c r="O783" i="100"/>
  <c r="O781" i="100"/>
  <c r="O768" i="100"/>
  <c r="O766" i="100"/>
  <c r="O738" i="100"/>
  <c r="O736" i="100"/>
  <c r="O708" i="100"/>
  <c r="O706" i="100"/>
  <c r="O690" i="100"/>
  <c r="O688" i="100"/>
  <c r="O672" i="100"/>
  <c r="O670" i="100"/>
  <c r="O641" i="100"/>
  <c r="O639" i="100"/>
  <c r="O610" i="100"/>
  <c r="O608" i="100"/>
  <c r="O591" i="100"/>
  <c r="O589" i="100"/>
  <c r="O572" i="100"/>
  <c r="O570" i="100"/>
  <c r="O557" i="100"/>
  <c r="O555" i="100"/>
  <c r="O541" i="100"/>
  <c r="O539" i="100"/>
  <c r="C277" i="100"/>
  <c r="B277" i="100"/>
  <c r="P266" i="100"/>
  <c r="P255" i="100"/>
  <c r="P244" i="100"/>
  <c r="P222" i="100"/>
  <c r="P211" i="100"/>
  <c r="P200" i="100"/>
  <c r="P189" i="100"/>
  <c r="P178" i="100"/>
  <c r="P167" i="100"/>
  <c r="C166" i="100"/>
  <c r="B166" i="100"/>
  <c r="C165" i="100"/>
  <c r="B165" i="100"/>
  <c r="C164" i="100"/>
  <c r="B164" i="100"/>
  <c r="C163" i="100"/>
  <c r="B163" i="100"/>
  <c r="C162" i="100"/>
  <c r="B162" i="100"/>
  <c r="C161" i="100"/>
  <c r="B161" i="100"/>
  <c r="C160" i="100"/>
  <c r="B160" i="100"/>
  <c r="C159" i="100"/>
  <c r="B159" i="100"/>
  <c r="C158" i="100"/>
  <c r="B158" i="100"/>
  <c r="C42" i="100"/>
  <c r="B42" i="100"/>
  <c r="C41" i="100"/>
  <c r="B41" i="100"/>
  <c r="C40" i="100"/>
  <c r="B40" i="100"/>
  <c r="C39" i="100"/>
  <c r="B39" i="100"/>
  <c r="C38" i="100"/>
  <c r="B38" i="100"/>
  <c r="C31" i="100"/>
  <c r="B31" i="100"/>
  <c r="C17" i="100"/>
  <c r="B17" i="100"/>
  <c r="C13" i="100"/>
  <c r="B13" i="100"/>
  <c r="Q4" i="100"/>
  <c r="K1988" i="100"/>
  <c r="T1987" i="100"/>
  <c r="G1987" i="100" s="1"/>
  <c r="K1987" i="100"/>
  <c r="I1987" i="100"/>
  <c r="T1986" i="100"/>
  <c r="G1986" i="100" s="1"/>
  <c r="K1986" i="100"/>
  <c r="I1986" i="100"/>
  <c r="T1985" i="100"/>
  <c r="G1985" i="100" s="1"/>
  <c r="K1985" i="100"/>
  <c r="I1985" i="100"/>
  <c r="T1984" i="100"/>
  <c r="G1984" i="100" s="1"/>
  <c r="K1984" i="100"/>
  <c r="I1984" i="100"/>
  <c r="T1983" i="100"/>
  <c r="G1983" i="100" s="1"/>
  <c r="K1983" i="100"/>
  <c r="I1983" i="100"/>
  <c r="T1982" i="100"/>
  <c r="G1982" i="100" s="1"/>
  <c r="K1982" i="100"/>
  <c r="I1982" i="100"/>
  <c r="T1981" i="100"/>
  <c r="G1981" i="100" s="1"/>
  <c r="K1981" i="100"/>
  <c r="I1981" i="100"/>
  <c r="T1980" i="100"/>
  <c r="G1980" i="100" s="1"/>
  <c r="K1980" i="100"/>
  <c r="I1980" i="100"/>
  <c r="T1979" i="100"/>
  <c r="G1979" i="100" s="1"/>
  <c r="K1979" i="100"/>
  <c r="I1979" i="100"/>
  <c r="T1978" i="100"/>
  <c r="G1978" i="100" s="1"/>
  <c r="K1978" i="100"/>
  <c r="I1978" i="100"/>
  <c r="T1977" i="100"/>
  <c r="G1977" i="100" s="1"/>
  <c r="K1977" i="100"/>
  <c r="I1977" i="100"/>
  <c r="T1976" i="100"/>
  <c r="G1976" i="100" s="1"/>
  <c r="K1976" i="100"/>
  <c r="I1976" i="100"/>
  <c r="T1975" i="100"/>
  <c r="G1975" i="100" s="1"/>
  <c r="K1975" i="100"/>
  <c r="I1975" i="100"/>
  <c r="T1974" i="100"/>
  <c r="G1974" i="100" s="1"/>
  <c r="K1974" i="100"/>
  <c r="I1974" i="100"/>
  <c r="T1973" i="100"/>
  <c r="G1973" i="100" s="1"/>
  <c r="K1973" i="100"/>
  <c r="I1973" i="100"/>
  <c r="T1972" i="100"/>
  <c r="G1972" i="100" s="1"/>
  <c r="K1972" i="100"/>
  <c r="I1972" i="100"/>
  <c r="T1971" i="100"/>
  <c r="G1971" i="100" s="1"/>
  <c r="K1971" i="100"/>
  <c r="I1971" i="100"/>
  <c r="T1970" i="100"/>
  <c r="G1970" i="100" s="1"/>
  <c r="K1970" i="100"/>
  <c r="I1970" i="100"/>
  <c r="T1969" i="100"/>
  <c r="G1969" i="100" s="1"/>
  <c r="K1969" i="100"/>
  <c r="I1969" i="100"/>
  <c r="T1968" i="100"/>
  <c r="G1968" i="100" s="1"/>
  <c r="K1968" i="100"/>
  <c r="I1968" i="100"/>
  <c r="T1967" i="100"/>
  <c r="G1967" i="100" s="1"/>
  <c r="K1967" i="100"/>
  <c r="I1967" i="100"/>
  <c r="T1966" i="100"/>
  <c r="G1966" i="100" s="1"/>
  <c r="K1966" i="100"/>
  <c r="I1966" i="100"/>
  <c r="T1965" i="100"/>
  <c r="G1965" i="100" s="1"/>
  <c r="K1965" i="100"/>
  <c r="I1965" i="100"/>
  <c r="T1964" i="100"/>
  <c r="G1964" i="100" s="1"/>
  <c r="K1964" i="100"/>
  <c r="I1964" i="100"/>
  <c r="T1963" i="100"/>
  <c r="G1963" i="100" s="1"/>
  <c r="K1963" i="100"/>
  <c r="I1963" i="100"/>
  <c r="T1962" i="100"/>
  <c r="G1962" i="100" s="1"/>
  <c r="K1962" i="100"/>
  <c r="I1962" i="100"/>
  <c r="T1961" i="100"/>
  <c r="G1961" i="100" s="1"/>
  <c r="K1961" i="100"/>
  <c r="I1961" i="100"/>
  <c r="T1960" i="100"/>
  <c r="G1960" i="100" s="1"/>
  <c r="K1960" i="100"/>
  <c r="I1960" i="100"/>
  <c r="T1959" i="100"/>
  <c r="G1959" i="100" s="1"/>
  <c r="K1959" i="100"/>
  <c r="I1959" i="100"/>
  <c r="T1958" i="100"/>
  <c r="G1958" i="100" s="1"/>
  <c r="K1958" i="100"/>
  <c r="I1958" i="100"/>
  <c r="T1957" i="100"/>
  <c r="G1957" i="100" s="1"/>
  <c r="K1957" i="100"/>
  <c r="I1957" i="100"/>
  <c r="T1956" i="100"/>
  <c r="G1956" i="100" s="1"/>
  <c r="K1956" i="100"/>
  <c r="I1956" i="100"/>
  <c r="T1955" i="100"/>
  <c r="G1955" i="100" s="1"/>
  <c r="K1955" i="100"/>
  <c r="I1955" i="100"/>
  <c r="T1954" i="100"/>
  <c r="G1954" i="100" s="1"/>
  <c r="K1954" i="100"/>
  <c r="I1954" i="100"/>
  <c r="T1953" i="100"/>
  <c r="G1953" i="100" s="1"/>
  <c r="T1952" i="100"/>
  <c r="G1952" i="100" s="1"/>
  <c r="T1951" i="100"/>
  <c r="G1951" i="100" s="1"/>
  <c r="T1950" i="100"/>
  <c r="G1950" i="100" s="1"/>
  <c r="T1949" i="100"/>
  <c r="G1949" i="100" s="1"/>
  <c r="T1948" i="100"/>
  <c r="G1948" i="100" s="1"/>
  <c r="T1947" i="100"/>
  <c r="G1947" i="100" s="1"/>
  <c r="T1946" i="100"/>
  <c r="G1946" i="100" s="1"/>
  <c r="T1945" i="100"/>
  <c r="G1945" i="100" s="1"/>
  <c r="T1944" i="100"/>
  <c r="G1944" i="100" s="1"/>
  <c r="K1944" i="100"/>
  <c r="I1944" i="100"/>
  <c r="T1943" i="100"/>
  <c r="G1943" i="100" s="1"/>
  <c r="K1943" i="100"/>
  <c r="I1943" i="100"/>
  <c r="T1942" i="100"/>
  <c r="G1942" i="100" s="1"/>
  <c r="K1942" i="100"/>
  <c r="I1942" i="100"/>
  <c r="T1941" i="100"/>
  <c r="G1941" i="100" s="1"/>
  <c r="K1941" i="100"/>
  <c r="I1941" i="100"/>
  <c r="T1940" i="100"/>
  <c r="G1940" i="100" s="1"/>
  <c r="K1940" i="100"/>
  <c r="I1940" i="100"/>
  <c r="T1939" i="100"/>
  <c r="G1939" i="100" s="1"/>
  <c r="K1939" i="100"/>
  <c r="I1939" i="100"/>
  <c r="T1938" i="100"/>
  <c r="G1938" i="100" s="1"/>
  <c r="K1938" i="100"/>
  <c r="I1938" i="100"/>
  <c r="T1937" i="100"/>
  <c r="G1937" i="100" s="1"/>
  <c r="K1937" i="100"/>
  <c r="I1937" i="100"/>
  <c r="T1936" i="100"/>
  <c r="G1936" i="100" s="1"/>
  <c r="K1936" i="100"/>
  <c r="I1936" i="100"/>
  <c r="T1935" i="100"/>
  <c r="G1935" i="100" s="1"/>
  <c r="K1935" i="100"/>
  <c r="I1935" i="100"/>
  <c r="T1934" i="100"/>
  <c r="G1934" i="100" s="1"/>
  <c r="K1934" i="100"/>
  <c r="I1934" i="100"/>
  <c r="T1933" i="100"/>
  <c r="G1933" i="100" s="1"/>
  <c r="T1932" i="100"/>
  <c r="G1932" i="100" s="1"/>
  <c r="T1931" i="100"/>
  <c r="G1931" i="100" s="1"/>
  <c r="T1930" i="100"/>
  <c r="G1930" i="100" s="1"/>
  <c r="T1929" i="100"/>
  <c r="G1929" i="100" s="1"/>
  <c r="T1928" i="100"/>
  <c r="G1928" i="100" s="1"/>
  <c r="T1927" i="100"/>
  <c r="G1927" i="100" s="1"/>
  <c r="T1926" i="100"/>
  <c r="G1926" i="100" s="1"/>
  <c r="T1925" i="100"/>
  <c r="G1925" i="100" s="1"/>
  <c r="T1924" i="100"/>
  <c r="G1924" i="100" s="1"/>
  <c r="T1923" i="100"/>
  <c r="G1923" i="100" s="1"/>
  <c r="T1922" i="100"/>
  <c r="G1922" i="100" s="1"/>
  <c r="T1921" i="100"/>
  <c r="G1921" i="100" s="1"/>
  <c r="K1921" i="100"/>
  <c r="I1921" i="100"/>
  <c r="T1920" i="100"/>
  <c r="G1920" i="100" s="1"/>
  <c r="K1920" i="100"/>
  <c r="I1920" i="100"/>
  <c r="T1919" i="100"/>
  <c r="G1919" i="100" s="1"/>
  <c r="K1919" i="100"/>
  <c r="I1919" i="100"/>
  <c r="T1918" i="100"/>
  <c r="G1918" i="100" s="1"/>
  <c r="K1918" i="100"/>
  <c r="I1918" i="100"/>
  <c r="T1917" i="100"/>
  <c r="G1917" i="100" s="1"/>
  <c r="K1917" i="100"/>
  <c r="I1917" i="100"/>
  <c r="T1916" i="100"/>
  <c r="G1916" i="100" s="1"/>
  <c r="K1916" i="100"/>
  <c r="I1916" i="100"/>
  <c r="T1915" i="100"/>
  <c r="G1915" i="100" s="1"/>
  <c r="K1915" i="100"/>
  <c r="I1915" i="100"/>
  <c r="T1914" i="100"/>
  <c r="G1914" i="100" s="1"/>
  <c r="K1914" i="100"/>
  <c r="I1914" i="100"/>
  <c r="T1913" i="100"/>
  <c r="G1913" i="100" s="1"/>
  <c r="K1913" i="100"/>
  <c r="I1913" i="100"/>
  <c r="T1912" i="100"/>
  <c r="G1912" i="100" s="1"/>
  <c r="K1912" i="100"/>
  <c r="I1912" i="100"/>
  <c r="T1911" i="100"/>
  <c r="G1911" i="100" s="1"/>
  <c r="K1911" i="100"/>
  <c r="I1911" i="100"/>
  <c r="T1910" i="100"/>
  <c r="G1910" i="100" s="1"/>
  <c r="T1909" i="100"/>
  <c r="G1909" i="100" s="1"/>
  <c r="T1908" i="100"/>
  <c r="G1908" i="100" s="1"/>
  <c r="T1907" i="100"/>
  <c r="G1907" i="100" s="1"/>
  <c r="T1906" i="100"/>
  <c r="G1906" i="100" s="1"/>
  <c r="T1905" i="100"/>
  <c r="G1905" i="100" s="1"/>
  <c r="T1904" i="100"/>
  <c r="G1904" i="100" s="1"/>
  <c r="T1903" i="100"/>
  <c r="G1903" i="100" s="1"/>
  <c r="T1902" i="100"/>
  <c r="G1902" i="100" s="1"/>
  <c r="T1901" i="100"/>
  <c r="G1901" i="100" s="1"/>
  <c r="T1900" i="100"/>
  <c r="G1900" i="100" s="1"/>
  <c r="K1900" i="100"/>
  <c r="I1900" i="100"/>
  <c r="T1899" i="100"/>
  <c r="G1899" i="100" s="1"/>
  <c r="T1898" i="100"/>
  <c r="G1898" i="100" s="1"/>
  <c r="T1897" i="100"/>
  <c r="G1897" i="100" s="1"/>
  <c r="T1896" i="100"/>
  <c r="G1896" i="100" s="1"/>
  <c r="T1895" i="100"/>
  <c r="G1895" i="100" s="1"/>
  <c r="T1894" i="100"/>
  <c r="G1894" i="100" s="1"/>
  <c r="T1893" i="100"/>
  <c r="G1893" i="100" s="1"/>
  <c r="T1892" i="100"/>
  <c r="G1892" i="100" s="1"/>
  <c r="T1891" i="100"/>
  <c r="G1891" i="100" s="1"/>
  <c r="T1890" i="100"/>
  <c r="G1890" i="100" s="1"/>
  <c r="T1889" i="100"/>
  <c r="G1889" i="100" s="1"/>
  <c r="T1888" i="100"/>
  <c r="G1888" i="100" s="1"/>
  <c r="T1887" i="100"/>
  <c r="G1887" i="100" s="1"/>
  <c r="T1886" i="100"/>
  <c r="G1886" i="100" s="1"/>
  <c r="T1885" i="100"/>
  <c r="G1885" i="100" s="1"/>
  <c r="T1884" i="100"/>
  <c r="G1884" i="100" s="1"/>
  <c r="T1883" i="100"/>
  <c r="G1883" i="100" s="1"/>
  <c r="T1882" i="100"/>
  <c r="G1882" i="100" s="1"/>
  <c r="T1881" i="100"/>
  <c r="G1881" i="100" s="1"/>
  <c r="T1880" i="100"/>
  <c r="G1880" i="100" s="1"/>
  <c r="T1879" i="100"/>
  <c r="G1879" i="100" s="1"/>
  <c r="T1878" i="100"/>
  <c r="G1878" i="100" s="1"/>
  <c r="T1877" i="100"/>
  <c r="G1877" i="100" s="1"/>
  <c r="T1876" i="100"/>
  <c r="G1876" i="100" s="1"/>
  <c r="T1875" i="100"/>
  <c r="G1875" i="100" s="1"/>
  <c r="T1874" i="100"/>
  <c r="G1874" i="100" s="1"/>
  <c r="T1873" i="100"/>
  <c r="G1873" i="100" s="1"/>
  <c r="K1873" i="100"/>
  <c r="I1873" i="100"/>
  <c r="T1872" i="100"/>
  <c r="G1872" i="100" s="1"/>
  <c r="K1872" i="100"/>
  <c r="I1872" i="100"/>
  <c r="T1871" i="100"/>
  <c r="G1871" i="100" s="1"/>
  <c r="T1870" i="100"/>
  <c r="G1870" i="100" s="1"/>
  <c r="T1869" i="100"/>
  <c r="G1869" i="100" s="1"/>
  <c r="T1868" i="100"/>
  <c r="G1868" i="100" s="1"/>
  <c r="T1867" i="100"/>
  <c r="G1867" i="100" s="1"/>
  <c r="T1866" i="100"/>
  <c r="G1866" i="100" s="1"/>
  <c r="T1865" i="100"/>
  <c r="G1865" i="100" s="1"/>
  <c r="T1864" i="100"/>
  <c r="G1864" i="100" s="1"/>
  <c r="T1863" i="100"/>
  <c r="G1863" i="100" s="1"/>
  <c r="T1862" i="100"/>
  <c r="G1862" i="100" s="1"/>
  <c r="T1861" i="100"/>
  <c r="G1861" i="100" s="1"/>
  <c r="T1860" i="100"/>
  <c r="G1860" i="100" s="1"/>
  <c r="T1859" i="100"/>
  <c r="G1859" i="100" s="1"/>
  <c r="T1858" i="100"/>
  <c r="G1858" i="100" s="1"/>
  <c r="T1857" i="100"/>
  <c r="G1857" i="100" s="1"/>
  <c r="T1856" i="100"/>
  <c r="G1856" i="100" s="1"/>
  <c r="T1855" i="100"/>
  <c r="G1855" i="100" s="1"/>
  <c r="T1854" i="100"/>
  <c r="G1854" i="100" s="1"/>
  <c r="T1853" i="100"/>
  <c r="G1853" i="100" s="1"/>
  <c r="T1852" i="100"/>
  <c r="G1852" i="100" s="1"/>
  <c r="T1851" i="100"/>
  <c r="G1851" i="100" s="1"/>
  <c r="T1850" i="100"/>
  <c r="G1850" i="100" s="1"/>
  <c r="T1849" i="100"/>
  <c r="G1849" i="100" s="1"/>
  <c r="T1848" i="100"/>
  <c r="G1848" i="100" s="1"/>
  <c r="T1847" i="100"/>
  <c r="G1847" i="100" s="1"/>
  <c r="T1846" i="100"/>
  <c r="G1846" i="100" s="1"/>
  <c r="T1845" i="100"/>
  <c r="G1845" i="100" s="1"/>
  <c r="T1844" i="100"/>
  <c r="G1844" i="100" s="1"/>
  <c r="T1843" i="100"/>
  <c r="G1843" i="100" s="1"/>
  <c r="K1843" i="100"/>
  <c r="I1843" i="100"/>
  <c r="T1842" i="100"/>
  <c r="G1842" i="100" s="1"/>
  <c r="K1842" i="100"/>
  <c r="T1841" i="100"/>
  <c r="G1841" i="100" s="1"/>
  <c r="K1841" i="100"/>
  <c r="I1841" i="100"/>
  <c r="T1840" i="100"/>
  <c r="G1840" i="100" s="1"/>
  <c r="K1840" i="100"/>
  <c r="T1839" i="100"/>
  <c r="G1839" i="100" s="1"/>
  <c r="T1838" i="100"/>
  <c r="G1838" i="100" s="1"/>
  <c r="T1837" i="100"/>
  <c r="G1837" i="100" s="1"/>
  <c r="T1836" i="100"/>
  <c r="G1836" i="100" s="1"/>
  <c r="T1835" i="100"/>
  <c r="G1835" i="100" s="1"/>
  <c r="T1834" i="100"/>
  <c r="G1834" i="100" s="1"/>
  <c r="T1833" i="100"/>
  <c r="G1833" i="100" s="1"/>
  <c r="T1832" i="100"/>
  <c r="G1832" i="100" s="1"/>
  <c r="T1831" i="100"/>
  <c r="G1831" i="100" s="1"/>
  <c r="K1831" i="100"/>
  <c r="I1831" i="100"/>
  <c r="T1830" i="100"/>
  <c r="G1830" i="100" s="1"/>
  <c r="T1829" i="100"/>
  <c r="G1829" i="100" s="1"/>
  <c r="K1829" i="100"/>
  <c r="I1829" i="100"/>
  <c r="T1828" i="100"/>
  <c r="G1828" i="100" s="1"/>
  <c r="T1827" i="100"/>
  <c r="G1827" i="100" s="1"/>
  <c r="T1826" i="100"/>
  <c r="G1826" i="100" s="1"/>
  <c r="T1825" i="100"/>
  <c r="G1825" i="100" s="1"/>
  <c r="T1824" i="100"/>
  <c r="G1824" i="100" s="1"/>
  <c r="T1823" i="100"/>
  <c r="G1823" i="100" s="1"/>
  <c r="T1822" i="100"/>
  <c r="G1822" i="100" s="1"/>
  <c r="T1821" i="100"/>
  <c r="G1821" i="100" s="1"/>
  <c r="T1820" i="100"/>
  <c r="G1820" i="100" s="1"/>
  <c r="T1819" i="100"/>
  <c r="G1819" i="100" s="1"/>
  <c r="T1818" i="100"/>
  <c r="G1818" i="100" s="1"/>
  <c r="T1817" i="100"/>
  <c r="G1817" i="100" s="1"/>
  <c r="T1816" i="100"/>
  <c r="G1816" i="100" s="1"/>
  <c r="T1815" i="100"/>
  <c r="G1815" i="100" s="1"/>
  <c r="T1814" i="100"/>
  <c r="G1814" i="100" s="1"/>
  <c r="T1813" i="100"/>
  <c r="G1813" i="100" s="1"/>
  <c r="T1812" i="100"/>
  <c r="G1812" i="100" s="1"/>
  <c r="S1811" i="100"/>
  <c r="G1811" i="100" s="1"/>
  <c r="S1810" i="100"/>
  <c r="G1810" i="100" s="1"/>
  <c r="S1809" i="100"/>
  <c r="G1809" i="100" s="1"/>
  <c r="S1808" i="100"/>
  <c r="G1808" i="100" s="1"/>
  <c r="S1807" i="100"/>
  <c r="G1807" i="100" s="1"/>
  <c r="S1806" i="100"/>
  <c r="G1806" i="100" s="1"/>
  <c r="S1805" i="100"/>
  <c r="G1805" i="100" s="1"/>
  <c r="S1804" i="100"/>
  <c r="G1804" i="100" s="1"/>
  <c r="S1803" i="100"/>
  <c r="G1803" i="100" s="1"/>
  <c r="S1802" i="100"/>
  <c r="G1802" i="100" s="1"/>
  <c r="S1801" i="100"/>
  <c r="G1801" i="100" s="1"/>
  <c r="S1800" i="100"/>
  <c r="G1800" i="100" s="1"/>
  <c r="S1799" i="100"/>
  <c r="G1799" i="100" s="1"/>
  <c r="S1798" i="100"/>
  <c r="G1798" i="100" s="1"/>
  <c r="S1797" i="100"/>
  <c r="G1797" i="100" s="1"/>
  <c r="S1796" i="100"/>
  <c r="G1796" i="100" s="1"/>
  <c r="S1795" i="100"/>
  <c r="G1795" i="100" s="1"/>
  <c r="S1794" i="100"/>
  <c r="G1794" i="100" s="1"/>
  <c r="S1793" i="100"/>
  <c r="G1793" i="100" s="1"/>
  <c r="S1792" i="100"/>
  <c r="G1792" i="100" s="1"/>
  <c r="S1791" i="100"/>
  <c r="G1791" i="100" s="1"/>
  <c r="S1790" i="100"/>
  <c r="G1790" i="100" s="1"/>
  <c r="S1789" i="100"/>
  <c r="G1789" i="100" s="1"/>
  <c r="S1788" i="100"/>
  <c r="G1788" i="100" s="1"/>
  <c r="S1787" i="100"/>
  <c r="G1787" i="100" s="1"/>
  <c r="S1786" i="100"/>
  <c r="G1786" i="100" s="1"/>
  <c r="S1785" i="100"/>
  <c r="G1785" i="100" s="1"/>
  <c r="S1784" i="100"/>
  <c r="G1784" i="100" s="1"/>
  <c r="S1783" i="100"/>
  <c r="G1783" i="100" s="1"/>
  <c r="S1782" i="100"/>
  <c r="G1782" i="100" s="1"/>
  <c r="S1781" i="100"/>
  <c r="G1781" i="100" s="1"/>
  <c r="S1780" i="100"/>
  <c r="G1780" i="100" s="1"/>
  <c r="S1779" i="100"/>
  <c r="G1779" i="100" s="1"/>
  <c r="S1778" i="100"/>
  <c r="G1778" i="100" s="1"/>
  <c r="S1777" i="100"/>
  <c r="G1777" i="100" s="1"/>
  <c r="S1776" i="100"/>
  <c r="G1776" i="100" s="1"/>
  <c r="S1775" i="100"/>
  <c r="G1775" i="100" s="1"/>
  <c r="S1774" i="100"/>
  <c r="G1774" i="100" s="1"/>
  <c r="S1773" i="100"/>
  <c r="G1773" i="100" s="1"/>
  <c r="S1772" i="100"/>
  <c r="G1772" i="100" s="1"/>
  <c r="S1771" i="100"/>
  <c r="G1771" i="100" s="1"/>
  <c r="S1770" i="100"/>
  <c r="G1770" i="100" s="1"/>
  <c r="S1769" i="100"/>
  <c r="G1769" i="100" s="1"/>
  <c r="S1768" i="100"/>
  <c r="G1768" i="100" s="1"/>
  <c r="S1767" i="100"/>
  <c r="G1767" i="100" s="1"/>
  <c r="S1766" i="100"/>
  <c r="G1766" i="100" s="1"/>
  <c r="S1765" i="100"/>
  <c r="G1765" i="100" s="1"/>
  <c r="S1764" i="100"/>
  <c r="G1764" i="100" s="1"/>
  <c r="S1763" i="100"/>
  <c r="G1763" i="100" s="1"/>
  <c r="S1762" i="100"/>
  <c r="G1762" i="100" s="1"/>
  <c r="S1761" i="100"/>
  <c r="G1761" i="100" s="1"/>
  <c r="S1760" i="100"/>
  <c r="G1760" i="100" s="1"/>
  <c r="S1759" i="100"/>
  <c r="G1759" i="100" s="1"/>
  <c r="S1758" i="100"/>
  <c r="G1758" i="100" s="1"/>
  <c r="S1757" i="100"/>
  <c r="G1757" i="100" s="1"/>
  <c r="S1756" i="100"/>
  <c r="G1756" i="100" s="1"/>
  <c r="S1755" i="100"/>
  <c r="G1755" i="100" s="1"/>
  <c r="S1754" i="100"/>
  <c r="G1754" i="100" s="1"/>
  <c r="S1753" i="100"/>
  <c r="G1753" i="100" s="1"/>
  <c r="S1752" i="100"/>
  <c r="G1752" i="100" s="1"/>
  <c r="S1751" i="100"/>
  <c r="G1751" i="100" s="1"/>
  <c r="S1750" i="100"/>
  <c r="G1750" i="100" s="1"/>
  <c r="S1749" i="100"/>
  <c r="G1749" i="100" s="1"/>
  <c r="S1748" i="100"/>
  <c r="G1748" i="100" s="1"/>
  <c r="S1747" i="100"/>
  <c r="G1747" i="100" s="1"/>
  <c r="S1746" i="100"/>
  <c r="G1746" i="100" s="1"/>
  <c r="S1745" i="100"/>
  <c r="G1745" i="100" s="1"/>
  <c r="S1744" i="100"/>
  <c r="G1744" i="100" s="1"/>
  <c r="S1743" i="100"/>
  <c r="G1743" i="100" s="1"/>
  <c r="S1742" i="100"/>
  <c r="G1742" i="100" s="1"/>
  <c r="S1741" i="100"/>
  <c r="G1741" i="100" s="1"/>
  <c r="S1740" i="100"/>
  <c r="G1740" i="100" s="1"/>
  <c r="S1739" i="100"/>
  <c r="G1739" i="100" s="1"/>
  <c r="S1738" i="100"/>
  <c r="G1738" i="100" s="1"/>
  <c r="S1737" i="100"/>
  <c r="G1737" i="100" s="1"/>
  <c r="S1736" i="100"/>
  <c r="G1736" i="100" s="1"/>
  <c r="S1735" i="100"/>
  <c r="G1735" i="100" s="1"/>
  <c r="S1734" i="100"/>
  <c r="G1734" i="100" s="1"/>
  <c r="S1733" i="100"/>
  <c r="G1733" i="100" s="1"/>
  <c r="S1732" i="100"/>
  <c r="G1732" i="100" s="1"/>
  <c r="S1731" i="100"/>
  <c r="G1731" i="100" s="1"/>
  <c r="S1730" i="100"/>
  <c r="G1730" i="100" s="1"/>
  <c r="S1729" i="100"/>
  <c r="G1729" i="100" s="1"/>
  <c r="S1728" i="100"/>
  <c r="G1728" i="100" s="1"/>
  <c r="S1727" i="100"/>
  <c r="G1727" i="100" s="1"/>
  <c r="S1726" i="100"/>
  <c r="G1726" i="100" s="1"/>
  <c r="S1725" i="100"/>
  <c r="G1725" i="100" s="1"/>
  <c r="S1724" i="100"/>
  <c r="G1724" i="100" s="1"/>
  <c r="S1723" i="100"/>
  <c r="G1723" i="100" s="1"/>
  <c r="S1722" i="100"/>
  <c r="G1722" i="100" s="1"/>
  <c r="S1721" i="100"/>
  <c r="G1721" i="100" s="1"/>
  <c r="S1720" i="100"/>
  <c r="G1720" i="100" s="1"/>
  <c r="S1719" i="100"/>
  <c r="G1719" i="100" s="1"/>
  <c r="S1718" i="100"/>
  <c r="G1718" i="100" s="1"/>
  <c r="S1717" i="100"/>
  <c r="G1717" i="100" s="1"/>
  <c r="S1716" i="100"/>
  <c r="G1716" i="100" s="1"/>
  <c r="S1715" i="100"/>
  <c r="G1715" i="100" s="1"/>
  <c r="S1714" i="100"/>
  <c r="G1714" i="100" s="1"/>
  <c r="S1713" i="100"/>
  <c r="G1713" i="100" s="1"/>
  <c r="S1712" i="100"/>
  <c r="G1712" i="100" s="1"/>
  <c r="S1711" i="100"/>
  <c r="G1711" i="100" s="1"/>
  <c r="S1710" i="100"/>
  <c r="G1710" i="100" s="1"/>
  <c r="S1709" i="100"/>
  <c r="G1709" i="100" s="1"/>
  <c r="S1708" i="100"/>
  <c r="G1708" i="100" s="1"/>
  <c r="S1707" i="100"/>
  <c r="G1707" i="100" s="1"/>
  <c r="S1706" i="100"/>
  <c r="G1706" i="100" s="1"/>
  <c r="S1705" i="100"/>
  <c r="G1705" i="100" s="1"/>
  <c r="S1704" i="100"/>
  <c r="G1704" i="100" s="1"/>
  <c r="S1703" i="100"/>
  <c r="G1703" i="100" s="1"/>
  <c r="S1702" i="100"/>
  <c r="G1702" i="100" s="1"/>
  <c r="S1701" i="100"/>
  <c r="G1701" i="100" s="1"/>
  <c r="S1700" i="100"/>
  <c r="G1700" i="100" s="1"/>
  <c r="S1699" i="100"/>
  <c r="G1699" i="100" s="1"/>
  <c r="S1698" i="100"/>
  <c r="G1698" i="100" s="1"/>
  <c r="S1697" i="100"/>
  <c r="G1697" i="100" s="1"/>
  <c r="S1696" i="100"/>
  <c r="G1696" i="100" s="1"/>
  <c r="S1695" i="100"/>
  <c r="G1695" i="100" s="1"/>
  <c r="S1694" i="100"/>
  <c r="G1694" i="100" s="1"/>
  <c r="S1693" i="100"/>
  <c r="G1693" i="100" s="1"/>
  <c r="S1692" i="100"/>
  <c r="G1692" i="100" s="1"/>
  <c r="S1691" i="100"/>
  <c r="G1691" i="100" s="1"/>
  <c r="S1690" i="100"/>
  <c r="G1690" i="100" s="1"/>
  <c r="S1689" i="100"/>
  <c r="G1689" i="100" s="1"/>
  <c r="S1688" i="100"/>
  <c r="G1688" i="100" s="1"/>
  <c r="S1687" i="100"/>
  <c r="G1687" i="100" s="1"/>
  <c r="S1686" i="100"/>
  <c r="G1686" i="100" s="1"/>
  <c r="S1685" i="100"/>
  <c r="G1685" i="100" s="1"/>
  <c r="S1684" i="100"/>
  <c r="G1684" i="100" s="1"/>
  <c r="S1683" i="100"/>
  <c r="G1683" i="100" s="1"/>
  <c r="S1682" i="100"/>
  <c r="G1682" i="100" s="1"/>
  <c r="S1681" i="100"/>
  <c r="G1681" i="100" s="1"/>
  <c r="S1680" i="100"/>
  <c r="G1680" i="100" s="1"/>
  <c r="S1679" i="100"/>
  <c r="G1679" i="100" s="1"/>
  <c r="S1678" i="100"/>
  <c r="G1678" i="100" s="1"/>
  <c r="S1677" i="100"/>
  <c r="G1677" i="100" s="1"/>
  <c r="S1676" i="100"/>
  <c r="G1676" i="100" s="1"/>
  <c r="S1675" i="100"/>
  <c r="G1675" i="100" s="1"/>
  <c r="S1674" i="100"/>
  <c r="G1674" i="100" s="1"/>
  <c r="S1673" i="100"/>
  <c r="G1673" i="100" s="1"/>
  <c r="S1672" i="100"/>
  <c r="G1672" i="100" s="1"/>
  <c r="S1671" i="100"/>
  <c r="G1671" i="100" s="1"/>
  <c r="S1670" i="100"/>
  <c r="G1670" i="100" s="1"/>
  <c r="S1669" i="100"/>
  <c r="G1669" i="100" s="1"/>
  <c r="S1668" i="100"/>
  <c r="G1668" i="100" s="1"/>
  <c r="S1667" i="100"/>
  <c r="G1667" i="100" s="1"/>
  <c r="S1666" i="100"/>
  <c r="G1666" i="100" s="1"/>
  <c r="V1542" i="100"/>
  <c r="U1542" i="100"/>
  <c r="V1541" i="100"/>
  <c r="U1541" i="100"/>
  <c r="V1540" i="100"/>
  <c r="U1540" i="100"/>
  <c r="V1539" i="100"/>
  <c r="U1539" i="100"/>
  <c r="V1538" i="100"/>
  <c r="U1538" i="100"/>
  <c r="V1536" i="100"/>
  <c r="U1536" i="100"/>
  <c r="V1535" i="100"/>
  <c r="U1535" i="100"/>
  <c r="V1534" i="100"/>
  <c r="U1534" i="100"/>
  <c r="V1532" i="100"/>
  <c r="U1532" i="100"/>
  <c r="V1531" i="100"/>
  <c r="U1531" i="100"/>
  <c r="V1530" i="100"/>
  <c r="U1530" i="100"/>
  <c r="V1529" i="100"/>
  <c r="U1529" i="100"/>
  <c r="T1529" i="100"/>
  <c r="Z1528" i="100"/>
  <c r="Y1528" i="100"/>
  <c r="Z1527" i="100"/>
  <c r="Y1527" i="100"/>
  <c r="Z1526" i="100"/>
  <c r="Y1526" i="100"/>
  <c r="Z1525" i="100"/>
  <c r="Y1525" i="100"/>
  <c r="Z1524" i="100"/>
  <c r="Y1524" i="100"/>
  <c r="Z1523" i="100"/>
  <c r="Y1523" i="100"/>
  <c r="Z1522" i="100"/>
  <c r="Y1522" i="100"/>
  <c r="Z1521" i="100"/>
  <c r="Y1521" i="100"/>
  <c r="Z1520" i="100"/>
  <c r="Y1520" i="100"/>
  <c r="Z1519" i="100"/>
  <c r="Y1519" i="100"/>
  <c r="Z1517" i="100"/>
  <c r="Y1517" i="100"/>
  <c r="V1517" i="100"/>
  <c r="U1517" i="100"/>
  <c r="Z1516" i="100"/>
  <c r="Y1516" i="100"/>
  <c r="V1516" i="100"/>
  <c r="U1516" i="100"/>
  <c r="Z1515" i="100"/>
  <c r="Y1515" i="100"/>
  <c r="V1515" i="100"/>
  <c r="U1515" i="100"/>
  <c r="Z1514" i="100"/>
  <c r="Y1514" i="100"/>
  <c r="Z1513" i="100"/>
  <c r="Y1513" i="100"/>
  <c r="V1513" i="100"/>
  <c r="U1513" i="100"/>
  <c r="Z1512" i="100"/>
  <c r="Y1512" i="100"/>
  <c r="V1512" i="100"/>
  <c r="U1512" i="100"/>
  <c r="Z1511" i="100"/>
  <c r="Y1511" i="100"/>
  <c r="V1511" i="100"/>
  <c r="U1511" i="100"/>
  <c r="Z1510" i="100"/>
  <c r="Y1510" i="100"/>
  <c r="X1510" i="100"/>
  <c r="V1510" i="100"/>
  <c r="U1510" i="100"/>
  <c r="T1510" i="100"/>
  <c r="T1509" i="100"/>
  <c r="T1508" i="100"/>
  <c r="T1507" i="100"/>
  <c r="T1506" i="100"/>
  <c r="T1505" i="100"/>
  <c r="T1504" i="100"/>
  <c r="T1503" i="100"/>
  <c r="T1502" i="100"/>
  <c r="T1501" i="100"/>
  <c r="T1500" i="100"/>
  <c r="T1498" i="100"/>
  <c r="T1497" i="100"/>
  <c r="T1496" i="100"/>
  <c r="T1495" i="100"/>
  <c r="T1494" i="100"/>
  <c r="T1493" i="100"/>
  <c r="T1492" i="100"/>
  <c r="T1491" i="100"/>
  <c r="T1489" i="100"/>
  <c r="T1488" i="100"/>
  <c r="T1487" i="100"/>
  <c r="T1486" i="100"/>
  <c r="U1485" i="100"/>
  <c r="U1483" i="100"/>
  <c r="U1482" i="100"/>
  <c r="U1481" i="100"/>
  <c r="U1480" i="100"/>
  <c r="U1479" i="100"/>
  <c r="T1479" i="100"/>
  <c r="V1478" i="100"/>
  <c r="U1478" i="100"/>
  <c r="V1477" i="100"/>
  <c r="U1477" i="100"/>
  <c r="V1476" i="100"/>
  <c r="U1476" i="100"/>
  <c r="V1475" i="100"/>
  <c r="U1475" i="100"/>
  <c r="V1474" i="100"/>
  <c r="U1474" i="100"/>
  <c r="V1473" i="100"/>
  <c r="U1473" i="100"/>
  <c r="V1472" i="100"/>
  <c r="U1472" i="100"/>
  <c r="T1472" i="100"/>
  <c r="T1471" i="100"/>
  <c r="T1470" i="100"/>
  <c r="T1469" i="100"/>
  <c r="T1468" i="100"/>
  <c r="T1467" i="100"/>
  <c r="T1466" i="100"/>
  <c r="T1465" i="100"/>
  <c r="T1464" i="100"/>
  <c r="T1463" i="100"/>
  <c r="T1462" i="100"/>
  <c r="T1461" i="100"/>
  <c r="T1460" i="100"/>
  <c r="T1459" i="100"/>
  <c r="T1458" i="100"/>
  <c r="T1457" i="100"/>
  <c r="T1456" i="100"/>
  <c r="T1455" i="100"/>
  <c r="T1454" i="100"/>
  <c r="T1453" i="100"/>
  <c r="T1452" i="100"/>
  <c r="T1451" i="100"/>
  <c r="T1450" i="100"/>
  <c r="T1449" i="100"/>
  <c r="T1448" i="100"/>
  <c r="T1447" i="100"/>
  <c r="T1446" i="100"/>
  <c r="T1445" i="100"/>
  <c r="T1444" i="100"/>
  <c r="T1443" i="100"/>
  <c r="T1442" i="100"/>
  <c r="T1441" i="100"/>
  <c r="T1440" i="100"/>
  <c r="T1439" i="100"/>
  <c r="T1438" i="100"/>
  <c r="T1437" i="100"/>
  <c r="T1436" i="100"/>
  <c r="T1435" i="100"/>
  <c r="T1434" i="100"/>
  <c r="T1433" i="100"/>
  <c r="T1432" i="100"/>
  <c r="T1431" i="100"/>
  <c r="T1430" i="100"/>
  <c r="T1429" i="100"/>
  <c r="T1428" i="100"/>
  <c r="T1427" i="100"/>
  <c r="T1426" i="100"/>
  <c r="T1425" i="100"/>
  <c r="T1424" i="100"/>
  <c r="T1423" i="100"/>
  <c r="T1422" i="100"/>
  <c r="T1421" i="100"/>
  <c r="T1420" i="100"/>
  <c r="T1419" i="100"/>
  <c r="T1418" i="100"/>
  <c r="T1417" i="100"/>
  <c r="T1416" i="100"/>
  <c r="T1415" i="100"/>
  <c r="T1414" i="100"/>
  <c r="T1413" i="100"/>
  <c r="T1412" i="100"/>
  <c r="Z1411" i="100"/>
  <c r="Y1411" i="100"/>
  <c r="Z1410" i="100"/>
  <c r="Y1410" i="100"/>
  <c r="Z1409" i="100"/>
  <c r="Y1409" i="100"/>
  <c r="Z1408" i="100"/>
  <c r="Y1408" i="100"/>
  <c r="Z1407" i="100"/>
  <c r="Y1407" i="100"/>
  <c r="V1407" i="100"/>
  <c r="U1407" i="100"/>
  <c r="Z1406" i="100"/>
  <c r="Y1406" i="100"/>
  <c r="Z1405" i="100"/>
  <c r="Y1405" i="100"/>
  <c r="Z1404" i="100"/>
  <c r="Y1404" i="100"/>
  <c r="Z1403" i="100"/>
  <c r="Y1403" i="100"/>
  <c r="Z1402" i="100"/>
  <c r="Y1402" i="100"/>
  <c r="V1402" i="100"/>
  <c r="U1402" i="100"/>
  <c r="Z1401" i="100"/>
  <c r="Y1401" i="100"/>
  <c r="V1401" i="100"/>
  <c r="U1401" i="100"/>
  <c r="Z1400" i="100"/>
  <c r="Y1400" i="100"/>
  <c r="V1400" i="100"/>
  <c r="U1400" i="100"/>
  <c r="Z1399" i="100"/>
  <c r="Y1399" i="100"/>
  <c r="V1399" i="100"/>
  <c r="U1399" i="100"/>
  <c r="Z1398" i="100"/>
  <c r="Y1398" i="100"/>
  <c r="V1398" i="100"/>
  <c r="U1398" i="100"/>
  <c r="Z1397" i="100"/>
  <c r="Y1397" i="100"/>
  <c r="V1397" i="100"/>
  <c r="Z1396" i="100"/>
  <c r="Y1396" i="100"/>
  <c r="V1396" i="100"/>
  <c r="U1396" i="100"/>
  <c r="Z1395" i="100"/>
  <c r="Y1395" i="100"/>
  <c r="V1395" i="100"/>
  <c r="U1395" i="100"/>
  <c r="Z1394" i="100"/>
  <c r="Y1394" i="100"/>
  <c r="X1394" i="100"/>
  <c r="V1394" i="100"/>
  <c r="U1394" i="100"/>
  <c r="T1394" i="100"/>
  <c r="V1383" i="100"/>
  <c r="U1383" i="100"/>
  <c r="V1382" i="100"/>
  <c r="U1382" i="100"/>
  <c r="V1381" i="100"/>
  <c r="U1381" i="100"/>
  <c r="V1380" i="100"/>
  <c r="U1380" i="100"/>
  <c r="V1379" i="100"/>
  <c r="U1379" i="100"/>
  <c r="V1378" i="100"/>
  <c r="U1378" i="100"/>
  <c r="V1377" i="100"/>
  <c r="U1377" i="100"/>
  <c r="V1376" i="100"/>
  <c r="U1376" i="100"/>
  <c r="T1376" i="100"/>
  <c r="V1375" i="100"/>
  <c r="U1375" i="100"/>
  <c r="V1374" i="100"/>
  <c r="U1374" i="100"/>
  <c r="V1373" i="100"/>
  <c r="U1373" i="100"/>
  <c r="V1372" i="100"/>
  <c r="U1372" i="100"/>
  <c r="V1371" i="100"/>
  <c r="U1371" i="100"/>
  <c r="V1370" i="100"/>
  <c r="U1370" i="100"/>
  <c r="V1369" i="100"/>
  <c r="U1369" i="100"/>
  <c r="V1368" i="100"/>
  <c r="U1368" i="100"/>
  <c r="V1367" i="100"/>
  <c r="U1367" i="100"/>
  <c r="V1366" i="100"/>
  <c r="U1366" i="100"/>
  <c r="V1365" i="100"/>
  <c r="U1365" i="100"/>
  <c r="V1364" i="100"/>
  <c r="U1364" i="100"/>
  <c r="V1363" i="100"/>
  <c r="U1363" i="100"/>
  <c r="V1362" i="100"/>
  <c r="U1362" i="100"/>
  <c r="V1361" i="100"/>
  <c r="U1361" i="100"/>
  <c r="V1360" i="100"/>
  <c r="U1360" i="100"/>
  <c r="V1359" i="100"/>
  <c r="U1359" i="100"/>
  <c r="V1358" i="100"/>
  <c r="U1358" i="100"/>
  <c r="T1358" i="100"/>
  <c r="V1353" i="100"/>
  <c r="U1353" i="100"/>
  <c r="V1348" i="100"/>
  <c r="U1348" i="100"/>
  <c r="V1347" i="100"/>
  <c r="U1347" i="100"/>
  <c r="V1346" i="100"/>
  <c r="U1346" i="100"/>
  <c r="V1345" i="100"/>
  <c r="U1345" i="100"/>
  <c r="V1344" i="100"/>
  <c r="U1344" i="100"/>
  <c r="V1343" i="100"/>
  <c r="U1343" i="100"/>
  <c r="V1342" i="100"/>
  <c r="U1342" i="100"/>
  <c r="V1341" i="100"/>
  <c r="U1341" i="100"/>
  <c r="V1340" i="100"/>
  <c r="U1340" i="100"/>
  <c r="T1340" i="100"/>
  <c r="V1339" i="100"/>
  <c r="U1339" i="100"/>
  <c r="V1338" i="100"/>
  <c r="U1338" i="100"/>
  <c r="V1337" i="100"/>
  <c r="U1337" i="100"/>
  <c r="V1336" i="100"/>
  <c r="U1336" i="100"/>
  <c r="V1335" i="100"/>
  <c r="U1335" i="100"/>
  <c r="V1334" i="100"/>
  <c r="U1334" i="100"/>
  <c r="V1333" i="100"/>
  <c r="U1333" i="100"/>
  <c r="V1332" i="100"/>
  <c r="U1332" i="100"/>
  <c r="V1331" i="100"/>
  <c r="U1331" i="100"/>
  <c r="V1330" i="100"/>
  <c r="U1330" i="100"/>
  <c r="V1329" i="100"/>
  <c r="U1329" i="100"/>
  <c r="V1328" i="100"/>
  <c r="U1328" i="100"/>
  <c r="V1327" i="100"/>
  <c r="U1327" i="100"/>
  <c r="V1326" i="100"/>
  <c r="U1326" i="100"/>
  <c r="V1325" i="100"/>
  <c r="U1325" i="100"/>
  <c r="V1324" i="100"/>
  <c r="U1324" i="100"/>
  <c r="V1323" i="100"/>
  <c r="U1323" i="100"/>
  <c r="V1322" i="100"/>
  <c r="U1322" i="100"/>
  <c r="T1322" i="100"/>
  <c r="V1317" i="100"/>
  <c r="U1317" i="100"/>
  <c r="V1312" i="100"/>
  <c r="U1312" i="100"/>
  <c r="V1311" i="100"/>
  <c r="U1311" i="100"/>
  <c r="V1310" i="100"/>
  <c r="U1310" i="100"/>
  <c r="V1309" i="100"/>
  <c r="U1309" i="100"/>
  <c r="V1308" i="100"/>
  <c r="U1308" i="100"/>
  <c r="V1307" i="100"/>
  <c r="U1307" i="100"/>
  <c r="V1306" i="100"/>
  <c r="U1306" i="100"/>
  <c r="V1305" i="100"/>
  <c r="U1305" i="100"/>
  <c r="V1304" i="100"/>
  <c r="U1304" i="100"/>
  <c r="T1304" i="100"/>
  <c r="V1293" i="100"/>
  <c r="U1293" i="100"/>
  <c r="V1292" i="100"/>
  <c r="U1292" i="100"/>
  <c r="V1291" i="100"/>
  <c r="U1291" i="100"/>
  <c r="V1290" i="100"/>
  <c r="U1290" i="100"/>
  <c r="V1289" i="100"/>
  <c r="U1289" i="100"/>
  <c r="V1288" i="100"/>
  <c r="U1288" i="100"/>
  <c r="V1287" i="100"/>
  <c r="U1287" i="100"/>
  <c r="V1286" i="100"/>
  <c r="U1286" i="100"/>
  <c r="T1286" i="100"/>
  <c r="T1219" i="100"/>
  <c r="G1219" i="100" s="1"/>
  <c r="K1219" i="100"/>
  <c r="I1219" i="100"/>
  <c r="T1218" i="100"/>
  <c r="G1218" i="100" s="1"/>
  <c r="T1217" i="100"/>
  <c r="G1217" i="100" s="1"/>
  <c r="K1217" i="100"/>
  <c r="I1217" i="100"/>
  <c r="T1216" i="100"/>
  <c r="G1216" i="100" s="1"/>
  <c r="K1216" i="100"/>
  <c r="I1216" i="100"/>
  <c r="T1215" i="100"/>
  <c r="G1215" i="100" s="1"/>
  <c r="T1214" i="100"/>
  <c r="G1214" i="100" s="1"/>
  <c r="K1214" i="100"/>
  <c r="I1214" i="100"/>
  <c r="T1213" i="100"/>
  <c r="T1212" i="100"/>
  <c r="G1212" i="100" s="1"/>
  <c r="K1212" i="100"/>
  <c r="I1212" i="100"/>
  <c r="J1211" i="100"/>
  <c r="K1211" i="100" s="1"/>
  <c r="J1210" i="100"/>
  <c r="K1210" i="100" s="1"/>
  <c r="J1209" i="100"/>
  <c r="K1209" i="100" s="1"/>
  <c r="J1208" i="100"/>
  <c r="I1208" i="100" s="1"/>
  <c r="J1207" i="100"/>
  <c r="K1207" i="100" s="1"/>
  <c r="J1206" i="100"/>
  <c r="K1206" i="100" s="1"/>
  <c r="J1205" i="100"/>
  <c r="K1205" i="100" s="1"/>
  <c r="J1204" i="100"/>
  <c r="I1204" i="100" s="1"/>
  <c r="J1203" i="100"/>
  <c r="K1203" i="100" s="1"/>
  <c r="J1202" i="100"/>
  <c r="K1202" i="100" s="1"/>
  <c r="J1201" i="100"/>
  <c r="K1201" i="100" s="1"/>
  <c r="J1200" i="100"/>
  <c r="I1200" i="100" s="1"/>
  <c r="J1199" i="100"/>
  <c r="K1199" i="100" s="1"/>
  <c r="J1198" i="100"/>
  <c r="K1198" i="100" s="1"/>
  <c r="J1197" i="100"/>
  <c r="K1197" i="100" s="1"/>
  <c r="J1196" i="100"/>
  <c r="I1196" i="100" s="1"/>
  <c r="T1195" i="100"/>
  <c r="G1195" i="100" s="1"/>
  <c r="J1195" i="100"/>
  <c r="K1195" i="100" s="1"/>
  <c r="T1194" i="100"/>
  <c r="G1194" i="100" s="1"/>
  <c r="J1194" i="100"/>
  <c r="T1193" i="100"/>
  <c r="G1193" i="100" s="1"/>
  <c r="K1193" i="100"/>
  <c r="I1193" i="100"/>
  <c r="T1192" i="100"/>
  <c r="G1192" i="100" s="1"/>
  <c r="K1192" i="100"/>
  <c r="I1192" i="100"/>
  <c r="T1191" i="100"/>
  <c r="G1191" i="100" s="1"/>
  <c r="J1191" i="100"/>
  <c r="T1190" i="100"/>
  <c r="G1190" i="100" s="1"/>
  <c r="J1190" i="100"/>
  <c r="T1189" i="100"/>
  <c r="G1189" i="100" s="1"/>
  <c r="K1189" i="100"/>
  <c r="I1189" i="100"/>
  <c r="T1188" i="100"/>
  <c r="J1188" i="100"/>
  <c r="T1187" i="100"/>
  <c r="G1187" i="100" s="1"/>
  <c r="K1187" i="100"/>
  <c r="I1187" i="100"/>
  <c r="J1186" i="100"/>
  <c r="J1185" i="100"/>
  <c r="I1185" i="100" s="1"/>
  <c r="J1184" i="100"/>
  <c r="K1184" i="100" s="1"/>
  <c r="J1183" i="100"/>
  <c r="J1182" i="100"/>
  <c r="I1182" i="100" s="1"/>
  <c r="J1181" i="100"/>
  <c r="J1180" i="100"/>
  <c r="K1180" i="100" s="1"/>
  <c r="J1179" i="100"/>
  <c r="J1178" i="100"/>
  <c r="I1178" i="100" s="1"/>
  <c r="J1177" i="100"/>
  <c r="J1176" i="100"/>
  <c r="J1175" i="100"/>
  <c r="J1174" i="100"/>
  <c r="J1173" i="100"/>
  <c r="I1173" i="100" s="1"/>
  <c r="J1172" i="100"/>
  <c r="J1171" i="100"/>
  <c r="T1170" i="100"/>
  <c r="G1170" i="100" s="1"/>
  <c r="J1170" i="100"/>
  <c r="T1169" i="100"/>
  <c r="G1169" i="100" s="1"/>
  <c r="J1169" i="100"/>
  <c r="T1168" i="100"/>
  <c r="G1168" i="100" s="1"/>
  <c r="K1168" i="100"/>
  <c r="I1168" i="100"/>
  <c r="T1167" i="100"/>
  <c r="G1167" i="100" s="1"/>
  <c r="K1167" i="100"/>
  <c r="I1167" i="100"/>
  <c r="T1166" i="100"/>
  <c r="G1166" i="100" s="1"/>
  <c r="J1166" i="100"/>
  <c r="T1165" i="100"/>
  <c r="G1165" i="100" s="1"/>
  <c r="J1165" i="100"/>
  <c r="I1165" i="100" s="1"/>
  <c r="T1164" i="100"/>
  <c r="G1164" i="100" s="1"/>
  <c r="K1164" i="100"/>
  <c r="I1164" i="100"/>
  <c r="T1163" i="100"/>
  <c r="J1163" i="100"/>
  <c r="T1162" i="100"/>
  <c r="G1162" i="100" s="1"/>
  <c r="K1162" i="100"/>
  <c r="I1162" i="100"/>
  <c r="J1161" i="100"/>
  <c r="I1161" i="100" s="1"/>
  <c r="J1160" i="100"/>
  <c r="J1159" i="100"/>
  <c r="I1159" i="100" s="1"/>
  <c r="J1158" i="100"/>
  <c r="I1158" i="100" s="1"/>
  <c r="J1157" i="100"/>
  <c r="I1157" i="100" s="1"/>
  <c r="J1156" i="100"/>
  <c r="J1155" i="100"/>
  <c r="J1154" i="100"/>
  <c r="I1154" i="100" s="1"/>
  <c r="J1153" i="100"/>
  <c r="K1153" i="100" s="1"/>
  <c r="J1152" i="100"/>
  <c r="J1151" i="100"/>
  <c r="I1151" i="100" s="1"/>
  <c r="J1150" i="100"/>
  <c r="I1150" i="100" s="1"/>
  <c r="J1149" i="100"/>
  <c r="K1149" i="100" s="1"/>
  <c r="J1148" i="100"/>
  <c r="J1147" i="100"/>
  <c r="I1147" i="100" s="1"/>
  <c r="J1146" i="100"/>
  <c r="T1145" i="100"/>
  <c r="G1145" i="100" s="1"/>
  <c r="K1145" i="100"/>
  <c r="I1145" i="100"/>
  <c r="T1144" i="100"/>
  <c r="G1144" i="100" s="1"/>
  <c r="J1144" i="100"/>
  <c r="I1144" i="100" s="1"/>
  <c r="T1143" i="100"/>
  <c r="G1143" i="100" s="1"/>
  <c r="J1143" i="100"/>
  <c r="T1142" i="100"/>
  <c r="G1142" i="100" s="1"/>
  <c r="K1142" i="100"/>
  <c r="I1142" i="100"/>
  <c r="T1141" i="100"/>
  <c r="G1141" i="100" s="1"/>
  <c r="K1141" i="100"/>
  <c r="I1141" i="100"/>
  <c r="J1140" i="100"/>
  <c r="K1140" i="100" s="1"/>
  <c r="G1140" i="100"/>
  <c r="T1139" i="100"/>
  <c r="G1139" i="100" s="1"/>
  <c r="J1139" i="100"/>
  <c r="K1139" i="100" s="1"/>
  <c r="T1138" i="100"/>
  <c r="G1138" i="100" s="1"/>
  <c r="J1138" i="100"/>
  <c r="K1138" i="100" s="1"/>
  <c r="T1137" i="100"/>
  <c r="G1137" i="100" s="1"/>
  <c r="J1137" i="100"/>
  <c r="T1136" i="100"/>
  <c r="G1136" i="100" s="1"/>
  <c r="J1136" i="100"/>
  <c r="I1136" i="100" s="1"/>
  <c r="T1135" i="100"/>
  <c r="G1135" i="100" s="1"/>
  <c r="K1135" i="100"/>
  <c r="I1135" i="100"/>
  <c r="T1134" i="100"/>
  <c r="J1134" i="100"/>
  <c r="T1133" i="100"/>
  <c r="G1133" i="100" s="1"/>
  <c r="K1133" i="100"/>
  <c r="I1133" i="100"/>
  <c r="T1116" i="100"/>
  <c r="G1116" i="100" s="1"/>
  <c r="K1116" i="100"/>
  <c r="I1116" i="100"/>
  <c r="T1115" i="100"/>
  <c r="G1115" i="100" s="1"/>
  <c r="T1114" i="100"/>
  <c r="G1114" i="100" s="1"/>
  <c r="T1113" i="100"/>
  <c r="G1113" i="100" s="1"/>
  <c r="K1113" i="100"/>
  <c r="I1113" i="100"/>
  <c r="T1112" i="100"/>
  <c r="G1112" i="100" s="1"/>
  <c r="K1112" i="100"/>
  <c r="I1112" i="100"/>
  <c r="G1111" i="100"/>
  <c r="T1110" i="100"/>
  <c r="G1110" i="100" s="1"/>
  <c r="T1109" i="100"/>
  <c r="G1109" i="100" s="1"/>
  <c r="T1108" i="100"/>
  <c r="G1108" i="100" s="1"/>
  <c r="T1107" i="100"/>
  <c r="G1107" i="100" s="1"/>
  <c r="T1106" i="100"/>
  <c r="G1106" i="100" s="1"/>
  <c r="K1106" i="100"/>
  <c r="I1106" i="100"/>
  <c r="T1105" i="100"/>
  <c r="T1104" i="100"/>
  <c r="G1104" i="100" s="1"/>
  <c r="K1104" i="100"/>
  <c r="I1104" i="100"/>
  <c r="T1102" i="100"/>
  <c r="G1102" i="100" s="1"/>
  <c r="T1101" i="100"/>
  <c r="G1101" i="100" s="1"/>
  <c r="T1100" i="100"/>
  <c r="G1100" i="100" s="1"/>
  <c r="K1100" i="100"/>
  <c r="I1100" i="100"/>
  <c r="T1099" i="100"/>
  <c r="G1099" i="100" s="1"/>
  <c r="K1099" i="100"/>
  <c r="I1099" i="100"/>
  <c r="T1098" i="100"/>
  <c r="G1098" i="100" s="1"/>
  <c r="T1097" i="100"/>
  <c r="G1097" i="100" s="1"/>
  <c r="K1097" i="100"/>
  <c r="T1096" i="100"/>
  <c r="G1096" i="100" s="1"/>
  <c r="K1096" i="100"/>
  <c r="I1096" i="100"/>
  <c r="T1095" i="100"/>
  <c r="K1095" i="100"/>
  <c r="T1094" i="100"/>
  <c r="G1094" i="100" s="1"/>
  <c r="K1094" i="100"/>
  <c r="I1094" i="100"/>
  <c r="J1093" i="100"/>
  <c r="T1092" i="100"/>
  <c r="G1092" i="100" s="1"/>
  <c r="J1092" i="100"/>
  <c r="T1091" i="100"/>
  <c r="G1091" i="100" s="1"/>
  <c r="J1091" i="100"/>
  <c r="K1091" i="100" s="1"/>
  <c r="T1090" i="100"/>
  <c r="G1090" i="100" s="1"/>
  <c r="K1090" i="100"/>
  <c r="I1090" i="100"/>
  <c r="T1089" i="100"/>
  <c r="G1089" i="100" s="1"/>
  <c r="K1089" i="100"/>
  <c r="I1089" i="100"/>
  <c r="T1088" i="100"/>
  <c r="G1088" i="100" s="1"/>
  <c r="J1088" i="100"/>
  <c r="T1087" i="100"/>
  <c r="G1087" i="100" s="1"/>
  <c r="J1087" i="100"/>
  <c r="T1086" i="100"/>
  <c r="G1086" i="100" s="1"/>
  <c r="K1086" i="100"/>
  <c r="I1086" i="100"/>
  <c r="T1085" i="100"/>
  <c r="J1085" i="100"/>
  <c r="T1084" i="100"/>
  <c r="G1084" i="100" s="1"/>
  <c r="K1084" i="100"/>
  <c r="I1084" i="100"/>
  <c r="J1083" i="100"/>
  <c r="K1083" i="100" s="1"/>
  <c r="J1082" i="100"/>
  <c r="I1082" i="100" s="1"/>
  <c r="T1081" i="100"/>
  <c r="G1081" i="100" s="1"/>
  <c r="J1081" i="100"/>
  <c r="J1080" i="100"/>
  <c r="I1080" i="100" s="1"/>
  <c r="T1079" i="100"/>
  <c r="G1079" i="100" s="1"/>
  <c r="J1079" i="100"/>
  <c r="J1078" i="100"/>
  <c r="J1077" i="100"/>
  <c r="K1077" i="100" s="1"/>
  <c r="T1076" i="100"/>
  <c r="G1076" i="100" s="1"/>
  <c r="J1076" i="100"/>
  <c r="K1076" i="100" s="1"/>
  <c r="T1075" i="100"/>
  <c r="G1075" i="100" s="1"/>
  <c r="J1075" i="100"/>
  <c r="K1075" i="100" s="1"/>
  <c r="T1074" i="100"/>
  <c r="G1074" i="100" s="1"/>
  <c r="K1074" i="100"/>
  <c r="I1074" i="100"/>
  <c r="T1073" i="100"/>
  <c r="G1073" i="100" s="1"/>
  <c r="K1073" i="100"/>
  <c r="I1073" i="100"/>
  <c r="T1072" i="100"/>
  <c r="G1072" i="100" s="1"/>
  <c r="J1072" i="100"/>
  <c r="T1071" i="100"/>
  <c r="G1071" i="100" s="1"/>
  <c r="J1071" i="100"/>
  <c r="T1070" i="100"/>
  <c r="G1070" i="100" s="1"/>
  <c r="K1070" i="100"/>
  <c r="I1070" i="100"/>
  <c r="T1069" i="100"/>
  <c r="J1069" i="100"/>
  <c r="T1068" i="100"/>
  <c r="G1068" i="100" s="1"/>
  <c r="K1068" i="100"/>
  <c r="I1068" i="100"/>
  <c r="T1065" i="100"/>
  <c r="G1065" i="100" s="1"/>
  <c r="T1063" i="100"/>
  <c r="G1063" i="100" s="1"/>
  <c r="T1059" i="100"/>
  <c r="G1059" i="100" s="1"/>
  <c r="T1058" i="100"/>
  <c r="G1058" i="100" s="1"/>
  <c r="T1057" i="100"/>
  <c r="G1057" i="100" s="1"/>
  <c r="K1057" i="100"/>
  <c r="I1057" i="100"/>
  <c r="T1056" i="100"/>
  <c r="G1056" i="100" s="1"/>
  <c r="K1056" i="100"/>
  <c r="I1056" i="100"/>
  <c r="T1055" i="100"/>
  <c r="G1055" i="100" s="1"/>
  <c r="T1054" i="100"/>
  <c r="G1054" i="100" s="1"/>
  <c r="T1053" i="100"/>
  <c r="G1053" i="100" s="1"/>
  <c r="K1053" i="100"/>
  <c r="I1053" i="100"/>
  <c r="T1052" i="100"/>
  <c r="T1051" i="100"/>
  <c r="G1051" i="100" s="1"/>
  <c r="K1051" i="100"/>
  <c r="I1051" i="100"/>
  <c r="T1050" i="100"/>
  <c r="G1050" i="100" s="1"/>
  <c r="K1050" i="100"/>
  <c r="I1050" i="100"/>
  <c r="T1049" i="100"/>
  <c r="G1049" i="100" s="1"/>
  <c r="T1048" i="100"/>
  <c r="G1048" i="100" s="1"/>
  <c r="T1047" i="100"/>
  <c r="G1047" i="100" s="1"/>
  <c r="K1047" i="100"/>
  <c r="I1047" i="100"/>
  <c r="T1046" i="100"/>
  <c r="G1046" i="100" s="1"/>
  <c r="K1046" i="100"/>
  <c r="I1046" i="100"/>
  <c r="G1045" i="100"/>
  <c r="T1044" i="100"/>
  <c r="G1044" i="100" s="1"/>
  <c r="T1043" i="100"/>
  <c r="G1043" i="100" s="1"/>
  <c r="T1042" i="100"/>
  <c r="G1042" i="100" s="1"/>
  <c r="T1041" i="100"/>
  <c r="G1041" i="100" s="1"/>
  <c r="T1040" i="100"/>
  <c r="G1040" i="100" s="1"/>
  <c r="T1039" i="100"/>
  <c r="G1039" i="100" s="1"/>
  <c r="K1039" i="100"/>
  <c r="I1039" i="100"/>
  <c r="T1038" i="100"/>
  <c r="T1037" i="100"/>
  <c r="G1037" i="100" s="1"/>
  <c r="K1037" i="100"/>
  <c r="I1037" i="100"/>
  <c r="K1036" i="100"/>
  <c r="T1035" i="100"/>
  <c r="G1035" i="100" s="1"/>
  <c r="I1035" i="100"/>
  <c r="T1034" i="100"/>
  <c r="G1034" i="100" s="1"/>
  <c r="K1034" i="100"/>
  <c r="T1033" i="100"/>
  <c r="G1033" i="100" s="1"/>
  <c r="K1033" i="100"/>
  <c r="I1033" i="100"/>
  <c r="T1032" i="100"/>
  <c r="G1032" i="100" s="1"/>
  <c r="K1032" i="100"/>
  <c r="I1032" i="100"/>
  <c r="T1031" i="100"/>
  <c r="G1031" i="100" s="1"/>
  <c r="T1030" i="100"/>
  <c r="G1030" i="100" s="1"/>
  <c r="K1030" i="100"/>
  <c r="T1029" i="100"/>
  <c r="G1029" i="100" s="1"/>
  <c r="T1028" i="100"/>
  <c r="G1028" i="100" s="1"/>
  <c r="K1028" i="100"/>
  <c r="I1028" i="100"/>
  <c r="T1027" i="100"/>
  <c r="I1027" i="100"/>
  <c r="T1026" i="100"/>
  <c r="G1026" i="100" s="1"/>
  <c r="K1026" i="100"/>
  <c r="I1026" i="100"/>
  <c r="J1025" i="100"/>
  <c r="T1024" i="100"/>
  <c r="G1024" i="100" s="1"/>
  <c r="J1024" i="100"/>
  <c r="K1024" i="100" s="1"/>
  <c r="T1023" i="100"/>
  <c r="G1023" i="100" s="1"/>
  <c r="J1023" i="100"/>
  <c r="T1022" i="100"/>
  <c r="G1022" i="100" s="1"/>
  <c r="K1022" i="100"/>
  <c r="I1022" i="100"/>
  <c r="T1021" i="100"/>
  <c r="G1021" i="100" s="1"/>
  <c r="K1021" i="100"/>
  <c r="I1021" i="100"/>
  <c r="T1020" i="100"/>
  <c r="G1020" i="100" s="1"/>
  <c r="J1020" i="100"/>
  <c r="K1020" i="100" s="1"/>
  <c r="T1019" i="100"/>
  <c r="G1019" i="100" s="1"/>
  <c r="J1019" i="100"/>
  <c r="I1019" i="100" s="1"/>
  <c r="T1018" i="100"/>
  <c r="G1018" i="100" s="1"/>
  <c r="J1018" i="100"/>
  <c r="K1018" i="100" s="1"/>
  <c r="T1017" i="100"/>
  <c r="G1017" i="100" s="1"/>
  <c r="K1017" i="100"/>
  <c r="I1017" i="100"/>
  <c r="T1016" i="100"/>
  <c r="J1016" i="100"/>
  <c r="K1016" i="100" s="1"/>
  <c r="T1015" i="100"/>
  <c r="G1015" i="100" s="1"/>
  <c r="K1015" i="100"/>
  <c r="I1015" i="100"/>
  <c r="J1014" i="100"/>
  <c r="K1014" i="100" s="1"/>
  <c r="T1013" i="100"/>
  <c r="G1013" i="100" s="1"/>
  <c r="J1013" i="100"/>
  <c r="I1013" i="100" s="1"/>
  <c r="T1012" i="100"/>
  <c r="G1012" i="100" s="1"/>
  <c r="J1012" i="100"/>
  <c r="K1012" i="100" s="1"/>
  <c r="T1011" i="100"/>
  <c r="G1011" i="100" s="1"/>
  <c r="K1011" i="100"/>
  <c r="I1011" i="100"/>
  <c r="T1010" i="100"/>
  <c r="G1010" i="100" s="1"/>
  <c r="K1010" i="100"/>
  <c r="I1010" i="100"/>
  <c r="T1009" i="100"/>
  <c r="G1009" i="100" s="1"/>
  <c r="J1009" i="100"/>
  <c r="T1008" i="100"/>
  <c r="G1008" i="100" s="1"/>
  <c r="J1008" i="100"/>
  <c r="K1008" i="100" s="1"/>
  <c r="T1007" i="100"/>
  <c r="G1007" i="100" s="1"/>
  <c r="J1007" i="100"/>
  <c r="T1006" i="100"/>
  <c r="G1006" i="100" s="1"/>
  <c r="K1006" i="100"/>
  <c r="I1006" i="100"/>
  <c r="T1005" i="100"/>
  <c r="J1005" i="100"/>
  <c r="K1005" i="100" s="1"/>
  <c r="T1004" i="100"/>
  <c r="G1004" i="100" s="1"/>
  <c r="K1004" i="100"/>
  <c r="I1004" i="100"/>
  <c r="T1003" i="100"/>
  <c r="G1003" i="100" s="1"/>
  <c r="K1003" i="100"/>
  <c r="I1003" i="100"/>
  <c r="T1002" i="100"/>
  <c r="K1002" i="100"/>
  <c r="I1002" i="100"/>
  <c r="T1001" i="100"/>
  <c r="G1001" i="100" s="1"/>
  <c r="T1000" i="100"/>
  <c r="G1000" i="100" s="1"/>
  <c r="T999" i="100"/>
  <c r="G999" i="100" s="1"/>
  <c r="T998" i="100"/>
  <c r="G998" i="100" s="1"/>
  <c r="T997" i="100"/>
  <c r="G997" i="100" s="1"/>
  <c r="K997" i="100"/>
  <c r="I997" i="100"/>
  <c r="T996" i="100"/>
  <c r="G996" i="100" s="1"/>
  <c r="K996" i="100"/>
  <c r="I996" i="100"/>
  <c r="T995" i="100"/>
  <c r="G995" i="100" s="1"/>
  <c r="T994" i="100"/>
  <c r="G994" i="100" s="1"/>
  <c r="T993" i="100"/>
  <c r="G993" i="100" s="1"/>
  <c r="T992" i="100"/>
  <c r="G992" i="100" s="1"/>
  <c r="T991" i="100"/>
  <c r="G991" i="100" s="1"/>
  <c r="T990" i="100"/>
  <c r="G990" i="100" s="1"/>
  <c r="T989" i="100"/>
  <c r="G989" i="100" s="1"/>
  <c r="T988" i="100"/>
  <c r="G988" i="100" s="1"/>
  <c r="K988" i="100"/>
  <c r="I988" i="100"/>
  <c r="T987" i="100"/>
  <c r="T986" i="100"/>
  <c r="G986" i="100" s="1"/>
  <c r="K986" i="100"/>
  <c r="I986" i="100"/>
  <c r="T985" i="100"/>
  <c r="G985" i="100" s="1"/>
  <c r="J985" i="100"/>
  <c r="T984" i="100"/>
  <c r="G984" i="100" s="1"/>
  <c r="K984" i="100"/>
  <c r="I984" i="100"/>
  <c r="T983" i="100"/>
  <c r="K983" i="100"/>
  <c r="I983" i="100"/>
  <c r="T982" i="100"/>
  <c r="G982" i="100" s="1"/>
  <c r="J982" i="100"/>
  <c r="T981" i="100"/>
  <c r="G981" i="100" s="1"/>
  <c r="J981" i="100"/>
  <c r="T980" i="100"/>
  <c r="G980" i="100" s="1"/>
  <c r="J980" i="100"/>
  <c r="K980" i="100" s="1"/>
  <c r="T979" i="100"/>
  <c r="G979" i="100" s="1"/>
  <c r="J979" i="100"/>
  <c r="T978" i="100"/>
  <c r="G978" i="100" s="1"/>
  <c r="K978" i="100"/>
  <c r="I978" i="100"/>
  <c r="T977" i="100"/>
  <c r="G977" i="100" s="1"/>
  <c r="K977" i="100"/>
  <c r="I977" i="100"/>
  <c r="T976" i="100"/>
  <c r="G976" i="100" s="1"/>
  <c r="J976" i="100"/>
  <c r="T975" i="100"/>
  <c r="G975" i="100" s="1"/>
  <c r="J975" i="100"/>
  <c r="T974" i="100"/>
  <c r="G974" i="100" s="1"/>
  <c r="J974" i="100"/>
  <c r="T973" i="100"/>
  <c r="G973" i="100" s="1"/>
  <c r="J973" i="100"/>
  <c r="T972" i="100"/>
  <c r="G972" i="100" s="1"/>
  <c r="J972" i="100"/>
  <c r="K972" i="100" s="1"/>
  <c r="T971" i="100"/>
  <c r="G971" i="100" s="1"/>
  <c r="J971" i="100"/>
  <c r="K971" i="100" s="1"/>
  <c r="T970" i="100"/>
  <c r="G970" i="100" s="1"/>
  <c r="J970" i="100"/>
  <c r="T969" i="100"/>
  <c r="G969" i="100" s="1"/>
  <c r="K969" i="100"/>
  <c r="I969" i="100"/>
  <c r="T968" i="100"/>
  <c r="J968" i="100"/>
  <c r="I968" i="100" s="1"/>
  <c r="T967" i="100"/>
  <c r="G967" i="100" s="1"/>
  <c r="K967" i="100"/>
  <c r="I967" i="100"/>
  <c r="T966" i="100"/>
  <c r="G966" i="100" s="1"/>
  <c r="J966" i="100"/>
  <c r="T965" i="100"/>
  <c r="G965" i="100" s="1"/>
  <c r="K965" i="100"/>
  <c r="I965" i="100"/>
  <c r="T964" i="100"/>
  <c r="K964" i="100"/>
  <c r="I964" i="100"/>
  <c r="T963" i="100"/>
  <c r="G963" i="100" s="1"/>
  <c r="J963" i="100"/>
  <c r="T962" i="100"/>
  <c r="G962" i="100" s="1"/>
  <c r="J962" i="100"/>
  <c r="K962" i="100" s="1"/>
  <c r="T961" i="100"/>
  <c r="G961" i="100" s="1"/>
  <c r="J961" i="100"/>
  <c r="T960" i="100"/>
  <c r="G960" i="100" s="1"/>
  <c r="J960" i="100"/>
  <c r="T959" i="100"/>
  <c r="G959" i="100" s="1"/>
  <c r="K959" i="100"/>
  <c r="I959" i="100"/>
  <c r="T958" i="100"/>
  <c r="G958" i="100" s="1"/>
  <c r="K958" i="100"/>
  <c r="I958" i="100"/>
  <c r="T957" i="100"/>
  <c r="G957" i="100" s="1"/>
  <c r="J957" i="100"/>
  <c r="I957" i="100" s="1"/>
  <c r="T956" i="100"/>
  <c r="G956" i="100" s="1"/>
  <c r="J956" i="100"/>
  <c r="K956" i="100" s="1"/>
  <c r="T955" i="100"/>
  <c r="G955" i="100" s="1"/>
  <c r="J955" i="100"/>
  <c r="T954" i="100"/>
  <c r="G954" i="100" s="1"/>
  <c r="J954" i="100"/>
  <c r="T953" i="100"/>
  <c r="G953" i="100" s="1"/>
  <c r="J953" i="100"/>
  <c r="I953" i="100" s="1"/>
  <c r="T952" i="100"/>
  <c r="G952" i="100" s="1"/>
  <c r="J952" i="100"/>
  <c r="T951" i="100"/>
  <c r="G951" i="100" s="1"/>
  <c r="J951" i="100"/>
  <c r="T950" i="100"/>
  <c r="G950" i="100" s="1"/>
  <c r="K950" i="100"/>
  <c r="I950" i="100"/>
  <c r="T949" i="100"/>
  <c r="J949" i="100"/>
  <c r="I949" i="100" s="1"/>
  <c r="T948" i="100"/>
  <c r="G948" i="100" s="1"/>
  <c r="K948" i="100"/>
  <c r="I948" i="100"/>
  <c r="T947" i="100"/>
  <c r="G947" i="100" s="1"/>
  <c r="J947" i="100"/>
  <c r="I947" i="100" s="1"/>
  <c r="T946" i="100"/>
  <c r="G946" i="100" s="1"/>
  <c r="K946" i="100"/>
  <c r="I946" i="100"/>
  <c r="T945" i="100"/>
  <c r="K945" i="100"/>
  <c r="I945" i="100"/>
  <c r="T944" i="100"/>
  <c r="G944" i="100" s="1"/>
  <c r="J944" i="100"/>
  <c r="T943" i="100"/>
  <c r="G943" i="100" s="1"/>
  <c r="J943" i="100"/>
  <c r="T942" i="100"/>
  <c r="G942" i="100" s="1"/>
  <c r="J942" i="100"/>
  <c r="I942" i="100" s="1"/>
  <c r="T941" i="100"/>
  <c r="G941" i="100" s="1"/>
  <c r="J941" i="100"/>
  <c r="T940" i="100"/>
  <c r="G940" i="100" s="1"/>
  <c r="K940" i="100"/>
  <c r="I940" i="100"/>
  <c r="T939" i="100"/>
  <c r="G939" i="100" s="1"/>
  <c r="K939" i="100"/>
  <c r="I939" i="100"/>
  <c r="T938" i="100"/>
  <c r="G938" i="100" s="1"/>
  <c r="J938" i="100"/>
  <c r="T937" i="100"/>
  <c r="G937" i="100" s="1"/>
  <c r="J937" i="100"/>
  <c r="I937" i="100" s="1"/>
  <c r="T936" i="100"/>
  <c r="G936" i="100" s="1"/>
  <c r="J936" i="100"/>
  <c r="K936" i="100" s="1"/>
  <c r="T935" i="100"/>
  <c r="G935" i="100" s="1"/>
  <c r="J935" i="100"/>
  <c r="T934" i="100"/>
  <c r="G934" i="100" s="1"/>
  <c r="J934" i="100"/>
  <c r="I934" i="100" s="1"/>
  <c r="T933" i="100"/>
  <c r="G933" i="100" s="1"/>
  <c r="J933" i="100"/>
  <c r="I933" i="100" s="1"/>
  <c r="T932" i="100"/>
  <c r="G932" i="100" s="1"/>
  <c r="J932" i="100"/>
  <c r="I932" i="100" s="1"/>
  <c r="T931" i="100"/>
  <c r="G931" i="100" s="1"/>
  <c r="K931" i="100"/>
  <c r="I931" i="100"/>
  <c r="T930" i="100"/>
  <c r="J930" i="100"/>
  <c r="K930" i="100" s="1"/>
  <c r="T929" i="100"/>
  <c r="G929" i="100" s="1"/>
  <c r="K929" i="100"/>
  <c r="I929" i="100"/>
  <c r="T928" i="100"/>
  <c r="G928" i="100" s="1"/>
  <c r="K928" i="100"/>
  <c r="T927" i="100"/>
  <c r="G927" i="100" s="1"/>
  <c r="K927" i="100"/>
  <c r="I927" i="100"/>
  <c r="T926" i="100"/>
  <c r="K926" i="100"/>
  <c r="I926" i="100"/>
  <c r="T925" i="100"/>
  <c r="G925" i="100" s="1"/>
  <c r="T924" i="100"/>
  <c r="G924" i="100" s="1"/>
  <c r="K924" i="100"/>
  <c r="T923" i="100"/>
  <c r="G923" i="100" s="1"/>
  <c r="K923" i="100"/>
  <c r="T922" i="100"/>
  <c r="G922" i="100" s="1"/>
  <c r="T921" i="100"/>
  <c r="G921" i="100" s="1"/>
  <c r="K921" i="100"/>
  <c r="I921" i="100"/>
  <c r="T920" i="100"/>
  <c r="G920" i="100" s="1"/>
  <c r="K920" i="100"/>
  <c r="I920" i="100"/>
  <c r="T919" i="100"/>
  <c r="G919" i="100" s="1"/>
  <c r="K919" i="100"/>
  <c r="T918" i="100"/>
  <c r="G918" i="100" s="1"/>
  <c r="T917" i="100"/>
  <c r="G917" i="100" s="1"/>
  <c r="T916" i="100"/>
  <c r="G916" i="100" s="1"/>
  <c r="T915" i="100"/>
  <c r="G915" i="100" s="1"/>
  <c r="T914" i="100"/>
  <c r="G914" i="100" s="1"/>
  <c r="I914" i="100"/>
  <c r="T913" i="100"/>
  <c r="G913" i="100" s="1"/>
  <c r="I913" i="100"/>
  <c r="T912" i="100"/>
  <c r="G912" i="100" s="1"/>
  <c r="K912" i="100"/>
  <c r="I912" i="100"/>
  <c r="T911" i="100"/>
  <c r="T910" i="100"/>
  <c r="G910" i="100" s="1"/>
  <c r="K910" i="100"/>
  <c r="I910" i="100"/>
  <c r="T909" i="100"/>
  <c r="G909" i="100" s="1"/>
  <c r="T908" i="100"/>
  <c r="G908" i="100" s="1"/>
  <c r="K908" i="100"/>
  <c r="I908" i="100"/>
  <c r="T907" i="100"/>
  <c r="K907" i="100"/>
  <c r="I907" i="100"/>
  <c r="T906" i="100"/>
  <c r="G906" i="100" s="1"/>
  <c r="T905" i="100"/>
  <c r="G905" i="100" s="1"/>
  <c r="T904" i="100"/>
  <c r="G904" i="100" s="1"/>
  <c r="T903" i="100"/>
  <c r="G903" i="100" s="1"/>
  <c r="T902" i="100"/>
  <c r="G902" i="100" s="1"/>
  <c r="K902" i="100"/>
  <c r="I902" i="100"/>
  <c r="T901" i="100"/>
  <c r="G901" i="100" s="1"/>
  <c r="K901" i="100"/>
  <c r="I901" i="100"/>
  <c r="T900" i="100"/>
  <c r="G900" i="100" s="1"/>
  <c r="T899" i="100"/>
  <c r="G899" i="100" s="1"/>
  <c r="T898" i="100"/>
  <c r="G898" i="100" s="1"/>
  <c r="T897" i="100"/>
  <c r="G897" i="100" s="1"/>
  <c r="T896" i="100"/>
  <c r="G896" i="100" s="1"/>
  <c r="T895" i="100"/>
  <c r="G895" i="100" s="1"/>
  <c r="T894" i="100"/>
  <c r="G894" i="100" s="1"/>
  <c r="T893" i="100"/>
  <c r="G893" i="100" s="1"/>
  <c r="K893" i="100"/>
  <c r="I893" i="100"/>
  <c r="U892" i="100"/>
  <c r="T892" i="100"/>
  <c r="T891" i="100"/>
  <c r="G891" i="100" s="1"/>
  <c r="K891" i="100"/>
  <c r="I891" i="100"/>
  <c r="T890" i="100"/>
  <c r="K890" i="100"/>
  <c r="I890" i="100"/>
  <c r="T889" i="100"/>
  <c r="K889" i="100"/>
  <c r="I889" i="100"/>
  <c r="T888" i="100"/>
  <c r="J888" i="100"/>
  <c r="I888" i="100" s="1"/>
  <c r="T887" i="100"/>
  <c r="K887" i="100"/>
  <c r="I887" i="100"/>
  <c r="T886" i="100"/>
  <c r="K886" i="100"/>
  <c r="I886" i="100"/>
  <c r="T885" i="100"/>
  <c r="J885" i="100"/>
  <c r="I885" i="100" s="1"/>
  <c r="T884" i="100"/>
  <c r="K884" i="100"/>
  <c r="I884" i="100"/>
  <c r="T883" i="100"/>
  <c r="K883" i="100"/>
  <c r="I883" i="100"/>
  <c r="T882" i="100"/>
  <c r="J882" i="100"/>
  <c r="T881" i="100"/>
  <c r="K881" i="100"/>
  <c r="I881" i="100"/>
  <c r="T880" i="100"/>
  <c r="K880" i="100"/>
  <c r="I880" i="100"/>
  <c r="T879" i="100"/>
  <c r="J879" i="100"/>
  <c r="K879" i="100" s="1"/>
  <c r="T878" i="100"/>
  <c r="K878" i="100"/>
  <c r="I878" i="100"/>
  <c r="T877" i="100"/>
  <c r="K877" i="100"/>
  <c r="I877" i="100"/>
  <c r="T876" i="100"/>
  <c r="J876" i="100"/>
  <c r="I876" i="100" s="1"/>
  <c r="T875" i="100"/>
  <c r="G875" i="100" s="1"/>
  <c r="J875" i="100"/>
  <c r="K875" i="100" s="1"/>
  <c r="T874" i="100"/>
  <c r="G874" i="100" s="1"/>
  <c r="J874" i="100"/>
  <c r="T873" i="100"/>
  <c r="G873" i="100" s="1"/>
  <c r="J873" i="100"/>
  <c r="T872" i="100"/>
  <c r="G872" i="100" s="1"/>
  <c r="K872" i="100"/>
  <c r="I872" i="100"/>
  <c r="T871" i="100"/>
  <c r="G871" i="100" s="1"/>
  <c r="K871" i="100"/>
  <c r="I871" i="100"/>
  <c r="T870" i="100"/>
  <c r="G870" i="100" s="1"/>
  <c r="J870" i="100"/>
  <c r="T869" i="100"/>
  <c r="G869" i="100" s="1"/>
  <c r="J869" i="100"/>
  <c r="T868" i="100"/>
  <c r="G868" i="100" s="1"/>
  <c r="J868" i="100"/>
  <c r="T867" i="100"/>
  <c r="G867" i="100" s="1"/>
  <c r="J867" i="100"/>
  <c r="K867" i="100" s="1"/>
  <c r="T866" i="100"/>
  <c r="G866" i="100" s="1"/>
  <c r="J866" i="100"/>
  <c r="I866" i="100" s="1"/>
  <c r="T865" i="100"/>
  <c r="G865" i="100" s="1"/>
  <c r="J865" i="100"/>
  <c r="I865" i="100" s="1"/>
  <c r="T864" i="100"/>
  <c r="G864" i="100" s="1"/>
  <c r="J864" i="100"/>
  <c r="I864" i="100" s="1"/>
  <c r="T863" i="100"/>
  <c r="G863" i="100" s="1"/>
  <c r="K863" i="100"/>
  <c r="I863" i="100"/>
  <c r="T862" i="100"/>
  <c r="J862" i="100"/>
  <c r="I862" i="100" s="1"/>
  <c r="T861" i="100"/>
  <c r="G861" i="100" s="1"/>
  <c r="K861" i="100"/>
  <c r="I861" i="100"/>
  <c r="T860" i="100"/>
  <c r="K860" i="100"/>
  <c r="I860" i="100"/>
  <c r="T859" i="100"/>
  <c r="K859" i="100"/>
  <c r="I859" i="100"/>
  <c r="T858" i="100"/>
  <c r="T857" i="100"/>
  <c r="K857" i="100"/>
  <c r="I857" i="100"/>
  <c r="T856" i="100"/>
  <c r="K856" i="100"/>
  <c r="I856" i="100"/>
  <c r="T855" i="100"/>
  <c r="T854" i="100"/>
  <c r="K854" i="100"/>
  <c r="I854" i="100"/>
  <c r="T853" i="100"/>
  <c r="K853" i="100"/>
  <c r="I853" i="100"/>
  <c r="T852" i="100"/>
  <c r="I852" i="100"/>
  <c r="T851" i="100"/>
  <c r="K851" i="100"/>
  <c r="I851" i="100"/>
  <c r="T850" i="100"/>
  <c r="K850" i="100"/>
  <c r="I850" i="100"/>
  <c r="T849" i="100"/>
  <c r="I849" i="100"/>
  <c r="T848" i="100"/>
  <c r="K848" i="100"/>
  <c r="I848" i="100"/>
  <c r="T847" i="100"/>
  <c r="K847" i="100"/>
  <c r="I847" i="100"/>
  <c r="T846" i="100"/>
  <c r="T845" i="100"/>
  <c r="G845" i="100" s="1"/>
  <c r="I845" i="100"/>
  <c r="T844" i="100"/>
  <c r="G844" i="100" s="1"/>
  <c r="I844" i="100"/>
  <c r="T843" i="100"/>
  <c r="G843" i="100" s="1"/>
  <c r="I843" i="100"/>
  <c r="T842" i="100"/>
  <c r="G842" i="100" s="1"/>
  <c r="K842" i="100"/>
  <c r="I842" i="100"/>
  <c r="T841" i="100"/>
  <c r="G841" i="100" s="1"/>
  <c r="K841" i="100"/>
  <c r="I841" i="100"/>
  <c r="T840" i="100"/>
  <c r="G840" i="100" s="1"/>
  <c r="T839" i="100"/>
  <c r="G839" i="100" s="1"/>
  <c r="I839" i="100"/>
  <c r="T838" i="100"/>
  <c r="G838" i="100" s="1"/>
  <c r="K838" i="100"/>
  <c r="T837" i="100"/>
  <c r="G837" i="100" s="1"/>
  <c r="T836" i="100"/>
  <c r="G836" i="100" s="1"/>
  <c r="T835" i="100"/>
  <c r="G835" i="100" s="1"/>
  <c r="T834" i="100"/>
  <c r="G834" i="100" s="1"/>
  <c r="K834" i="100"/>
  <c r="T833" i="100"/>
  <c r="G833" i="100" s="1"/>
  <c r="K833" i="100"/>
  <c r="I833" i="100"/>
  <c r="T832" i="100"/>
  <c r="K832" i="100"/>
  <c r="T831" i="100"/>
  <c r="G831" i="100" s="1"/>
  <c r="K831" i="100"/>
  <c r="I831" i="100"/>
  <c r="T830" i="100"/>
  <c r="G830" i="100" s="1"/>
  <c r="K830" i="100"/>
  <c r="I830" i="100"/>
  <c r="T829" i="100"/>
  <c r="K829" i="100"/>
  <c r="I829" i="100"/>
  <c r="T828" i="100"/>
  <c r="G828" i="100" s="1"/>
  <c r="J828" i="100"/>
  <c r="T827" i="100"/>
  <c r="G827" i="100" s="1"/>
  <c r="J827" i="100"/>
  <c r="I827" i="100" s="1"/>
  <c r="T826" i="100"/>
  <c r="G826" i="100" s="1"/>
  <c r="J826" i="100"/>
  <c r="I826" i="100" s="1"/>
  <c r="T825" i="100"/>
  <c r="G825" i="100" s="1"/>
  <c r="J825" i="100"/>
  <c r="I825" i="100" s="1"/>
  <c r="T824" i="100"/>
  <c r="G824" i="100" s="1"/>
  <c r="K824" i="100"/>
  <c r="I824" i="100"/>
  <c r="T823" i="100"/>
  <c r="G823" i="100" s="1"/>
  <c r="K823" i="100"/>
  <c r="I823" i="100"/>
  <c r="T822" i="100"/>
  <c r="G822" i="100" s="1"/>
  <c r="J822" i="100"/>
  <c r="I822" i="100" s="1"/>
  <c r="T821" i="100"/>
  <c r="G821" i="100" s="1"/>
  <c r="J821" i="100"/>
  <c r="T820" i="100"/>
  <c r="G820" i="100" s="1"/>
  <c r="J820" i="100"/>
  <c r="T819" i="100"/>
  <c r="G819" i="100" s="1"/>
  <c r="J819" i="100"/>
  <c r="K819" i="100" s="1"/>
  <c r="T818" i="100"/>
  <c r="G818" i="100" s="1"/>
  <c r="J818" i="100"/>
  <c r="I818" i="100" s="1"/>
  <c r="T817" i="100"/>
  <c r="G817" i="100" s="1"/>
  <c r="J817" i="100"/>
  <c r="I817" i="100" s="1"/>
  <c r="T816" i="100"/>
  <c r="G816" i="100" s="1"/>
  <c r="J816" i="100"/>
  <c r="K816" i="100" s="1"/>
  <c r="T815" i="100"/>
  <c r="G815" i="100" s="1"/>
  <c r="K815" i="100"/>
  <c r="I815" i="100"/>
  <c r="T814" i="100"/>
  <c r="J814" i="100"/>
  <c r="K814" i="100" s="1"/>
  <c r="T813" i="100"/>
  <c r="G813" i="100" s="1"/>
  <c r="K813" i="100"/>
  <c r="I813" i="100"/>
  <c r="T812" i="100"/>
  <c r="G812" i="100" s="1"/>
  <c r="K812" i="100"/>
  <c r="I812" i="100"/>
  <c r="T811" i="100"/>
  <c r="K811" i="100"/>
  <c r="I811" i="100"/>
  <c r="T810" i="100"/>
  <c r="G810" i="100" s="1"/>
  <c r="T809" i="100"/>
  <c r="G809" i="100" s="1"/>
  <c r="T808" i="100"/>
  <c r="G808" i="100" s="1"/>
  <c r="T807" i="100"/>
  <c r="G807" i="100" s="1"/>
  <c r="T806" i="100"/>
  <c r="G806" i="100" s="1"/>
  <c r="K806" i="100"/>
  <c r="I806" i="100"/>
  <c r="T805" i="100"/>
  <c r="G805" i="100" s="1"/>
  <c r="K805" i="100"/>
  <c r="I805" i="100"/>
  <c r="T804" i="100"/>
  <c r="G804" i="100" s="1"/>
  <c r="T803" i="100"/>
  <c r="G803" i="100" s="1"/>
  <c r="T802" i="100"/>
  <c r="G802" i="100" s="1"/>
  <c r="T801" i="100"/>
  <c r="G801" i="100" s="1"/>
  <c r="T800" i="100"/>
  <c r="G800" i="100" s="1"/>
  <c r="T799" i="100"/>
  <c r="G799" i="100" s="1"/>
  <c r="T798" i="100"/>
  <c r="G798" i="100" s="1"/>
  <c r="T797" i="100"/>
  <c r="G797" i="100" s="1"/>
  <c r="K797" i="100"/>
  <c r="I797" i="100"/>
  <c r="T796" i="100"/>
  <c r="T795" i="100"/>
  <c r="G795" i="100" s="1"/>
  <c r="K795" i="100"/>
  <c r="I795" i="100"/>
  <c r="T794" i="100"/>
  <c r="G794" i="100" s="1"/>
  <c r="K794" i="100"/>
  <c r="I794" i="100"/>
  <c r="T793" i="100"/>
  <c r="G793" i="100" s="1"/>
  <c r="J793" i="100"/>
  <c r="K793" i="100" s="1"/>
  <c r="T792" i="100"/>
  <c r="G792" i="100" s="1"/>
  <c r="J792" i="100"/>
  <c r="T791" i="100"/>
  <c r="G791" i="100" s="1"/>
  <c r="K791" i="100"/>
  <c r="I791" i="100"/>
  <c r="T790" i="100"/>
  <c r="G790" i="100" s="1"/>
  <c r="K790" i="100"/>
  <c r="I790" i="100"/>
  <c r="T789" i="100"/>
  <c r="G789" i="100" s="1"/>
  <c r="J789" i="100"/>
  <c r="I789" i="100" s="1"/>
  <c r="T788" i="100"/>
  <c r="G788" i="100" s="1"/>
  <c r="J788" i="100"/>
  <c r="I788" i="100" s="1"/>
  <c r="T787" i="100"/>
  <c r="G787" i="100" s="1"/>
  <c r="J787" i="100"/>
  <c r="I787" i="100" s="1"/>
  <c r="T786" i="100"/>
  <c r="G786" i="100" s="1"/>
  <c r="J786" i="100"/>
  <c r="T785" i="100"/>
  <c r="G785" i="100" s="1"/>
  <c r="J785" i="100"/>
  <c r="I785" i="100" s="1"/>
  <c r="T784" i="100"/>
  <c r="G784" i="100" s="1"/>
  <c r="J784" i="100"/>
  <c r="I784" i="100" s="1"/>
  <c r="T783" i="100"/>
  <c r="G783" i="100" s="1"/>
  <c r="J783" i="100"/>
  <c r="I783" i="100" s="1"/>
  <c r="T782" i="100"/>
  <c r="G782" i="100" s="1"/>
  <c r="K782" i="100"/>
  <c r="I782" i="100"/>
  <c r="T781" i="100"/>
  <c r="J781" i="100"/>
  <c r="T780" i="100"/>
  <c r="G780" i="100" s="1"/>
  <c r="K780" i="100"/>
  <c r="I780" i="100"/>
  <c r="T779" i="100"/>
  <c r="G779" i="100" s="1"/>
  <c r="K779" i="100"/>
  <c r="I779" i="100"/>
  <c r="T778" i="100"/>
  <c r="G778" i="100" s="1"/>
  <c r="J778" i="100"/>
  <c r="I778" i="100" s="1"/>
  <c r="T777" i="100"/>
  <c r="G777" i="100" s="1"/>
  <c r="J777" i="100"/>
  <c r="I777" i="100" s="1"/>
  <c r="T776" i="100"/>
  <c r="G776" i="100" s="1"/>
  <c r="K776" i="100"/>
  <c r="I776" i="100"/>
  <c r="T775" i="100"/>
  <c r="G775" i="100" s="1"/>
  <c r="K775" i="100"/>
  <c r="I775" i="100"/>
  <c r="T774" i="100"/>
  <c r="G774" i="100" s="1"/>
  <c r="J774" i="100"/>
  <c r="I774" i="100" s="1"/>
  <c r="T773" i="100"/>
  <c r="G773" i="100" s="1"/>
  <c r="J773" i="100"/>
  <c r="I773" i="100" s="1"/>
  <c r="T772" i="100"/>
  <c r="G772" i="100" s="1"/>
  <c r="J772" i="100"/>
  <c r="T771" i="100"/>
  <c r="G771" i="100" s="1"/>
  <c r="J771" i="100"/>
  <c r="I771" i="100" s="1"/>
  <c r="T770" i="100"/>
  <c r="G770" i="100" s="1"/>
  <c r="J770" i="100"/>
  <c r="I770" i="100" s="1"/>
  <c r="T769" i="100"/>
  <c r="G769" i="100" s="1"/>
  <c r="J769" i="100"/>
  <c r="I769" i="100" s="1"/>
  <c r="T768" i="100"/>
  <c r="G768" i="100" s="1"/>
  <c r="J768" i="100"/>
  <c r="K768" i="100" s="1"/>
  <c r="T767" i="100"/>
  <c r="G767" i="100" s="1"/>
  <c r="K767" i="100"/>
  <c r="I767" i="100"/>
  <c r="T766" i="100"/>
  <c r="J766" i="100"/>
  <c r="K766" i="100" s="1"/>
  <c r="T765" i="100"/>
  <c r="G765" i="100" s="1"/>
  <c r="K765" i="100"/>
  <c r="I765" i="100"/>
  <c r="T764" i="100"/>
  <c r="K764" i="100"/>
  <c r="I764" i="100"/>
  <c r="T763" i="100"/>
  <c r="K763" i="100"/>
  <c r="I763" i="100"/>
  <c r="T762" i="100"/>
  <c r="J762" i="100"/>
  <c r="I762" i="100" s="1"/>
  <c r="T761" i="100"/>
  <c r="K761" i="100"/>
  <c r="I761" i="100"/>
  <c r="T760" i="100"/>
  <c r="K760" i="100"/>
  <c r="I760" i="100"/>
  <c r="T759" i="100"/>
  <c r="J759" i="100"/>
  <c r="I759" i="100" s="1"/>
  <c r="T758" i="100"/>
  <c r="K758" i="100"/>
  <c r="I758" i="100"/>
  <c r="T757" i="100"/>
  <c r="K757" i="100"/>
  <c r="I757" i="100"/>
  <c r="T756" i="100"/>
  <c r="J756" i="100"/>
  <c r="I756" i="100" s="1"/>
  <c r="T755" i="100"/>
  <c r="K755" i="100"/>
  <c r="I755" i="100"/>
  <c r="T754" i="100"/>
  <c r="K754" i="100"/>
  <c r="I754" i="100"/>
  <c r="T753" i="100"/>
  <c r="J753" i="100"/>
  <c r="K753" i="100" s="1"/>
  <c r="T752" i="100"/>
  <c r="K752" i="100"/>
  <c r="I752" i="100"/>
  <c r="T751" i="100"/>
  <c r="K751" i="100"/>
  <c r="I751" i="100"/>
  <c r="T750" i="100"/>
  <c r="J750" i="100"/>
  <c r="I750" i="100" s="1"/>
  <c r="T749" i="100"/>
  <c r="G749" i="100" s="1"/>
  <c r="J749" i="100"/>
  <c r="T748" i="100"/>
  <c r="G748" i="100" s="1"/>
  <c r="J748" i="100"/>
  <c r="T747" i="100"/>
  <c r="G747" i="100" s="1"/>
  <c r="J747" i="100"/>
  <c r="T746" i="100"/>
  <c r="G746" i="100" s="1"/>
  <c r="K746" i="100"/>
  <c r="I746" i="100"/>
  <c r="T745" i="100"/>
  <c r="G745" i="100" s="1"/>
  <c r="K745" i="100"/>
  <c r="I745" i="100"/>
  <c r="T744" i="100"/>
  <c r="G744" i="100" s="1"/>
  <c r="J744" i="100"/>
  <c r="T743" i="100"/>
  <c r="G743" i="100" s="1"/>
  <c r="J743" i="100"/>
  <c r="I743" i="100" s="1"/>
  <c r="T742" i="100"/>
  <c r="G742" i="100" s="1"/>
  <c r="J742" i="100"/>
  <c r="T741" i="100"/>
  <c r="G741" i="100" s="1"/>
  <c r="J741" i="100"/>
  <c r="T740" i="100"/>
  <c r="G740" i="100" s="1"/>
  <c r="J740" i="100"/>
  <c r="T739" i="100"/>
  <c r="G739" i="100" s="1"/>
  <c r="J739" i="100"/>
  <c r="I739" i="100" s="1"/>
  <c r="T738" i="100"/>
  <c r="G738" i="100" s="1"/>
  <c r="J738" i="100"/>
  <c r="I738" i="100" s="1"/>
  <c r="T737" i="100"/>
  <c r="G737" i="100" s="1"/>
  <c r="K737" i="100"/>
  <c r="I737" i="100"/>
  <c r="T736" i="100"/>
  <c r="J736" i="100"/>
  <c r="I736" i="100" s="1"/>
  <c r="T735" i="100"/>
  <c r="G735" i="100" s="1"/>
  <c r="K735" i="100"/>
  <c r="I735" i="100"/>
  <c r="T734" i="100"/>
  <c r="K734" i="100"/>
  <c r="I734" i="100"/>
  <c r="T733" i="100"/>
  <c r="K733" i="100"/>
  <c r="I733" i="100"/>
  <c r="T732" i="100"/>
  <c r="J732" i="100"/>
  <c r="K732" i="100" s="1"/>
  <c r="T731" i="100"/>
  <c r="K731" i="100"/>
  <c r="I731" i="100"/>
  <c r="T730" i="100"/>
  <c r="K730" i="100"/>
  <c r="I730" i="100"/>
  <c r="T729" i="100"/>
  <c r="J729" i="100"/>
  <c r="I729" i="100" s="1"/>
  <c r="T728" i="100"/>
  <c r="K728" i="100"/>
  <c r="I728" i="100"/>
  <c r="T727" i="100"/>
  <c r="K727" i="100"/>
  <c r="I727" i="100"/>
  <c r="T726" i="100"/>
  <c r="J726" i="100"/>
  <c r="K726" i="100" s="1"/>
  <c r="T725" i="100"/>
  <c r="K725" i="100"/>
  <c r="I725" i="100"/>
  <c r="T724" i="100"/>
  <c r="K724" i="100"/>
  <c r="I724" i="100"/>
  <c r="T723" i="100"/>
  <c r="J723" i="100"/>
  <c r="I723" i="100" s="1"/>
  <c r="T722" i="100"/>
  <c r="K722" i="100"/>
  <c r="I722" i="100"/>
  <c r="T721" i="100"/>
  <c r="K721" i="100"/>
  <c r="I721" i="100"/>
  <c r="T720" i="100"/>
  <c r="J720" i="100"/>
  <c r="K720" i="100" s="1"/>
  <c r="T719" i="100"/>
  <c r="G719" i="100" s="1"/>
  <c r="J719" i="100"/>
  <c r="K719" i="100" s="1"/>
  <c r="T718" i="100"/>
  <c r="G718" i="100" s="1"/>
  <c r="J718" i="100"/>
  <c r="T717" i="100"/>
  <c r="G717" i="100" s="1"/>
  <c r="J717" i="100"/>
  <c r="I717" i="100" s="1"/>
  <c r="T716" i="100"/>
  <c r="G716" i="100" s="1"/>
  <c r="K716" i="100"/>
  <c r="I716" i="100"/>
  <c r="T715" i="100"/>
  <c r="G715" i="100" s="1"/>
  <c r="K715" i="100"/>
  <c r="I715" i="100"/>
  <c r="T714" i="100"/>
  <c r="G714" i="100" s="1"/>
  <c r="J714" i="100"/>
  <c r="T713" i="100"/>
  <c r="G713" i="100" s="1"/>
  <c r="J713" i="100"/>
  <c r="K713" i="100" s="1"/>
  <c r="T712" i="100"/>
  <c r="G712" i="100" s="1"/>
  <c r="J712" i="100"/>
  <c r="T711" i="100"/>
  <c r="G711" i="100" s="1"/>
  <c r="J711" i="100"/>
  <c r="K711" i="100" s="1"/>
  <c r="T710" i="100"/>
  <c r="G710" i="100" s="1"/>
  <c r="J710" i="100"/>
  <c r="T709" i="100"/>
  <c r="G709" i="100" s="1"/>
  <c r="J709" i="100"/>
  <c r="I709" i="100" s="1"/>
  <c r="T708" i="100"/>
  <c r="G708" i="100" s="1"/>
  <c r="J708" i="100"/>
  <c r="I708" i="100" s="1"/>
  <c r="T707" i="100"/>
  <c r="G707" i="100" s="1"/>
  <c r="K707" i="100"/>
  <c r="I707" i="100"/>
  <c r="T706" i="100"/>
  <c r="J706" i="100"/>
  <c r="T705" i="100"/>
  <c r="G705" i="100" s="1"/>
  <c r="K705" i="100"/>
  <c r="I705" i="100"/>
  <c r="T704" i="100"/>
  <c r="G704" i="100" s="1"/>
  <c r="K704" i="100"/>
  <c r="I704" i="100"/>
  <c r="T703" i="100"/>
  <c r="K703" i="100"/>
  <c r="I703" i="100"/>
  <c r="T702" i="100"/>
  <c r="G702" i="100" s="1"/>
  <c r="J702" i="100"/>
  <c r="T701" i="100"/>
  <c r="G701" i="100" s="1"/>
  <c r="J701" i="100"/>
  <c r="K701" i="100" s="1"/>
  <c r="T700" i="100"/>
  <c r="G700" i="100" s="1"/>
  <c r="J700" i="100"/>
  <c r="T699" i="100"/>
  <c r="G699" i="100" s="1"/>
  <c r="J699" i="100"/>
  <c r="I699" i="100" s="1"/>
  <c r="T698" i="100"/>
  <c r="G698" i="100" s="1"/>
  <c r="K698" i="100"/>
  <c r="I698" i="100"/>
  <c r="T697" i="100"/>
  <c r="G697" i="100" s="1"/>
  <c r="K697" i="100"/>
  <c r="I697" i="100"/>
  <c r="T696" i="100"/>
  <c r="G696" i="100" s="1"/>
  <c r="J696" i="100"/>
  <c r="T695" i="100"/>
  <c r="G695" i="100" s="1"/>
  <c r="J695" i="100"/>
  <c r="I695" i="100" s="1"/>
  <c r="T694" i="100"/>
  <c r="G694" i="100" s="1"/>
  <c r="J694" i="100"/>
  <c r="T693" i="100"/>
  <c r="G693" i="100" s="1"/>
  <c r="J693" i="100"/>
  <c r="K693" i="100" s="1"/>
  <c r="T692" i="100"/>
  <c r="G692" i="100" s="1"/>
  <c r="J692" i="100"/>
  <c r="T691" i="100"/>
  <c r="G691" i="100" s="1"/>
  <c r="J691" i="100"/>
  <c r="I691" i="100" s="1"/>
  <c r="T690" i="100"/>
  <c r="G690" i="100" s="1"/>
  <c r="J690" i="100"/>
  <c r="K690" i="100" s="1"/>
  <c r="T689" i="100"/>
  <c r="G689" i="100" s="1"/>
  <c r="K689" i="100"/>
  <c r="I689" i="100"/>
  <c r="T688" i="100"/>
  <c r="J688" i="100"/>
  <c r="I688" i="100" s="1"/>
  <c r="T687" i="100"/>
  <c r="G687" i="100" s="1"/>
  <c r="K687" i="100"/>
  <c r="I687" i="100"/>
  <c r="T686" i="100"/>
  <c r="G686" i="100" s="1"/>
  <c r="K686" i="100"/>
  <c r="I686" i="100"/>
  <c r="T685" i="100"/>
  <c r="K685" i="100"/>
  <c r="I685" i="100"/>
  <c r="T684" i="100"/>
  <c r="G684" i="100" s="1"/>
  <c r="T683" i="100"/>
  <c r="G683" i="100" s="1"/>
  <c r="T682" i="100"/>
  <c r="G682" i="100" s="1"/>
  <c r="T681" i="100"/>
  <c r="G681" i="100" s="1"/>
  <c r="T680" i="100"/>
  <c r="G680" i="100" s="1"/>
  <c r="K680" i="100"/>
  <c r="I680" i="100"/>
  <c r="T679" i="100"/>
  <c r="G679" i="100" s="1"/>
  <c r="K679" i="100"/>
  <c r="I679" i="100"/>
  <c r="T678" i="100"/>
  <c r="G678" i="100" s="1"/>
  <c r="T677" i="100"/>
  <c r="G677" i="100" s="1"/>
  <c r="T676" i="100"/>
  <c r="G676" i="100" s="1"/>
  <c r="T675" i="100"/>
  <c r="G675" i="100" s="1"/>
  <c r="T674" i="100"/>
  <c r="G674" i="100" s="1"/>
  <c r="T673" i="100"/>
  <c r="G673" i="100" s="1"/>
  <c r="T672" i="100"/>
  <c r="G672" i="100" s="1"/>
  <c r="T671" i="100"/>
  <c r="G671" i="100" s="1"/>
  <c r="K671" i="100"/>
  <c r="I671" i="100"/>
  <c r="T670" i="100"/>
  <c r="T669" i="100"/>
  <c r="G669" i="100" s="1"/>
  <c r="K669" i="100"/>
  <c r="I669" i="100"/>
  <c r="T668" i="100"/>
  <c r="G668" i="100" s="1"/>
  <c r="J668" i="100"/>
  <c r="K668" i="100" s="1"/>
  <c r="T667" i="100"/>
  <c r="K667" i="100"/>
  <c r="I667" i="100"/>
  <c r="T666" i="100"/>
  <c r="K666" i="100"/>
  <c r="I666" i="100"/>
  <c r="T665" i="100"/>
  <c r="J665" i="100"/>
  <c r="T664" i="100"/>
  <c r="K664" i="100"/>
  <c r="I664" i="100"/>
  <c r="T663" i="100"/>
  <c r="K663" i="100"/>
  <c r="I663" i="100"/>
  <c r="T662" i="100"/>
  <c r="J662" i="100"/>
  <c r="T661" i="100"/>
  <c r="K661" i="100"/>
  <c r="I661" i="100"/>
  <c r="T660" i="100"/>
  <c r="K660" i="100"/>
  <c r="I660" i="100"/>
  <c r="T659" i="100"/>
  <c r="J659" i="100"/>
  <c r="T658" i="100"/>
  <c r="K658" i="100"/>
  <c r="I658" i="100"/>
  <c r="T657" i="100"/>
  <c r="K657" i="100"/>
  <c r="I657" i="100"/>
  <c r="T656" i="100"/>
  <c r="J656" i="100"/>
  <c r="T655" i="100"/>
  <c r="K655" i="100"/>
  <c r="I655" i="100"/>
  <c r="T654" i="100"/>
  <c r="K654" i="100"/>
  <c r="I654" i="100"/>
  <c r="T653" i="100"/>
  <c r="J653" i="100"/>
  <c r="T652" i="100"/>
  <c r="G652" i="100" s="1"/>
  <c r="J652" i="100"/>
  <c r="T651" i="100"/>
  <c r="G651" i="100" s="1"/>
  <c r="J651" i="100"/>
  <c r="T650" i="100"/>
  <c r="G650" i="100" s="1"/>
  <c r="J650" i="100"/>
  <c r="T649" i="100"/>
  <c r="G649" i="100" s="1"/>
  <c r="K649" i="100"/>
  <c r="I649" i="100"/>
  <c r="T648" i="100"/>
  <c r="G648" i="100" s="1"/>
  <c r="K648" i="100"/>
  <c r="I648" i="100"/>
  <c r="T647" i="100"/>
  <c r="G647" i="100" s="1"/>
  <c r="J647" i="100"/>
  <c r="K647" i="100" s="1"/>
  <c r="T646" i="100"/>
  <c r="G646" i="100" s="1"/>
  <c r="J646" i="100"/>
  <c r="T645" i="100"/>
  <c r="G645" i="100" s="1"/>
  <c r="J645" i="100"/>
  <c r="K645" i="100" s="1"/>
  <c r="T644" i="100"/>
  <c r="G644" i="100" s="1"/>
  <c r="J644" i="100"/>
  <c r="T643" i="100"/>
  <c r="G643" i="100" s="1"/>
  <c r="J643" i="100"/>
  <c r="K643" i="100" s="1"/>
  <c r="T642" i="100"/>
  <c r="G642" i="100" s="1"/>
  <c r="J642" i="100"/>
  <c r="T641" i="100"/>
  <c r="G641" i="100" s="1"/>
  <c r="J641" i="100"/>
  <c r="T640" i="100"/>
  <c r="G640" i="100" s="1"/>
  <c r="K640" i="100"/>
  <c r="I640" i="100"/>
  <c r="T639" i="100"/>
  <c r="J639" i="100"/>
  <c r="T638" i="100"/>
  <c r="G638" i="100" s="1"/>
  <c r="K638" i="100"/>
  <c r="I638" i="100"/>
  <c r="T637" i="100"/>
  <c r="G637" i="100" s="1"/>
  <c r="J637" i="100"/>
  <c r="T636" i="100"/>
  <c r="K636" i="100"/>
  <c r="I636" i="100"/>
  <c r="T635" i="100"/>
  <c r="K635" i="100"/>
  <c r="I635" i="100"/>
  <c r="T634" i="100"/>
  <c r="J634" i="100"/>
  <c r="K634" i="100" s="1"/>
  <c r="T633" i="100"/>
  <c r="K633" i="100"/>
  <c r="I633" i="100"/>
  <c r="T632" i="100"/>
  <c r="K632" i="100"/>
  <c r="I632" i="100"/>
  <c r="T631" i="100"/>
  <c r="J631" i="100"/>
  <c r="I631" i="100" s="1"/>
  <c r="T630" i="100"/>
  <c r="K630" i="100"/>
  <c r="I630" i="100"/>
  <c r="T629" i="100"/>
  <c r="K629" i="100"/>
  <c r="I629" i="100"/>
  <c r="T628" i="100"/>
  <c r="J628" i="100"/>
  <c r="K628" i="100" s="1"/>
  <c r="T627" i="100"/>
  <c r="K627" i="100"/>
  <c r="I627" i="100"/>
  <c r="T626" i="100"/>
  <c r="K626" i="100"/>
  <c r="I626" i="100"/>
  <c r="T625" i="100"/>
  <c r="J625" i="100"/>
  <c r="I625" i="100" s="1"/>
  <c r="T624" i="100"/>
  <c r="K624" i="100"/>
  <c r="I624" i="100"/>
  <c r="T623" i="100"/>
  <c r="K623" i="100"/>
  <c r="I623" i="100"/>
  <c r="T622" i="100"/>
  <c r="J622" i="100"/>
  <c r="K622" i="100" s="1"/>
  <c r="T621" i="100"/>
  <c r="G621" i="100" s="1"/>
  <c r="J621" i="100"/>
  <c r="K621" i="100" s="1"/>
  <c r="T620" i="100"/>
  <c r="G620" i="100" s="1"/>
  <c r="J620" i="100"/>
  <c r="K620" i="100" s="1"/>
  <c r="T619" i="100"/>
  <c r="G619" i="100" s="1"/>
  <c r="J619" i="100"/>
  <c r="I619" i="100" s="1"/>
  <c r="T618" i="100"/>
  <c r="G618" i="100" s="1"/>
  <c r="K618" i="100"/>
  <c r="I618" i="100"/>
  <c r="T617" i="100"/>
  <c r="G617" i="100" s="1"/>
  <c r="K617" i="100"/>
  <c r="I617" i="100"/>
  <c r="T616" i="100"/>
  <c r="G616" i="100" s="1"/>
  <c r="J616" i="100"/>
  <c r="K616" i="100" s="1"/>
  <c r="T615" i="100"/>
  <c r="G615" i="100" s="1"/>
  <c r="J615" i="100"/>
  <c r="K615" i="100" s="1"/>
  <c r="T614" i="100"/>
  <c r="G614" i="100" s="1"/>
  <c r="J614" i="100"/>
  <c r="I614" i="100" s="1"/>
  <c r="T613" i="100"/>
  <c r="G613" i="100" s="1"/>
  <c r="J613" i="100"/>
  <c r="I613" i="100" s="1"/>
  <c r="T612" i="100"/>
  <c r="G612" i="100" s="1"/>
  <c r="J612" i="100"/>
  <c r="K612" i="100" s="1"/>
  <c r="T611" i="100"/>
  <c r="G611" i="100" s="1"/>
  <c r="J611" i="100"/>
  <c r="I611" i="100" s="1"/>
  <c r="T610" i="100"/>
  <c r="G610" i="100" s="1"/>
  <c r="J610" i="100"/>
  <c r="I610" i="100" s="1"/>
  <c r="T609" i="100"/>
  <c r="G609" i="100" s="1"/>
  <c r="K609" i="100"/>
  <c r="I609" i="100"/>
  <c r="T608" i="100"/>
  <c r="J608" i="100"/>
  <c r="K608" i="100" s="1"/>
  <c r="T607" i="100"/>
  <c r="G607" i="100" s="1"/>
  <c r="K607" i="100"/>
  <c r="I607" i="100"/>
  <c r="T606" i="100"/>
  <c r="G606" i="100" s="1"/>
  <c r="J606" i="100"/>
  <c r="K606" i="100" s="1"/>
  <c r="T605" i="100"/>
  <c r="K605" i="100"/>
  <c r="I605" i="100"/>
  <c r="T604" i="100"/>
  <c r="K604" i="100"/>
  <c r="I604" i="100"/>
  <c r="T603" i="100"/>
  <c r="G603" i="100" s="1"/>
  <c r="J603" i="100"/>
  <c r="I603" i="100" s="1"/>
  <c r="T602" i="100"/>
  <c r="G602" i="100" s="1"/>
  <c r="J602" i="100"/>
  <c r="I602" i="100" s="1"/>
  <c r="T601" i="100"/>
  <c r="G601" i="100" s="1"/>
  <c r="J601" i="100"/>
  <c r="K601" i="100" s="1"/>
  <c r="T600" i="100"/>
  <c r="G600" i="100" s="1"/>
  <c r="J600" i="100"/>
  <c r="I600" i="100" s="1"/>
  <c r="T599" i="100"/>
  <c r="G599" i="100" s="1"/>
  <c r="K599" i="100"/>
  <c r="I599" i="100"/>
  <c r="T598" i="100"/>
  <c r="G598" i="100" s="1"/>
  <c r="K598" i="100"/>
  <c r="I598" i="100"/>
  <c r="T597" i="100"/>
  <c r="G597" i="100" s="1"/>
  <c r="J597" i="100"/>
  <c r="K597" i="100" s="1"/>
  <c r="T596" i="100"/>
  <c r="G596" i="100" s="1"/>
  <c r="J596" i="100"/>
  <c r="K596" i="100" s="1"/>
  <c r="T595" i="100"/>
  <c r="G595" i="100" s="1"/>
  <c r="J595" i="100"/>
  <c r="I595" i="100" s="1"/>
  <c r="T594" i="100"/>
  <c r="G594" i="100" s="1"/>
  <c r="J594" i="100"/>
  <c r="K594" i="100" s="1"/>
  <c r="T593" i="100"/>
  <c r="G593" i="100" s="1"/>
  <c r="J593" i="100"/>
  <c r="K593" i="100" s="1"/>
  <c r="T592" i="100"/>
  <c r="G592" i="100" s="1"/>
  <c r="J592" i="100"/>
  <c r="K592" i="100" s="1"/>
  <c r="T591" i="100"/>
  <c r="G591" i="100" s="1"/>
  <c r="J591" i="100"/>
  <c r="I591" i="100" s="1"/>
  <c r="T590" i="100"/>
  <c r="G590" i="100" s="1"/>
  <c r="K590" i="100"/>
  <c r="I590" i="100"/>
  <c r="T589" i="100"/>
  <c r="J589" i="100"/>
  <c r="K589" i="100" s="1"/>
  <c r="T588" i="100"/>
  <c r="G588" i="100" s="1"/>
  <c r="K588" i="100"/>
  <c r="I588" i="100"/>
  <c r="T587" i="100"/>
  <c r="G587" i="100" s="1"/>
  <c r="T586" i="100"/>
  <c r="G586" i="100" s="1"/>
  <c r="K586" i="100"/>
  <c r="I586" i="100"/>
  <c r="T585" i="100"/>
  <c r="K585" i="100"/>
  <c r="I585" i="100"/>
  <c r="T584" i="100"/>
  <c r="G584" i="100" s="1"/>
  <c r="T583" i="100"/>
  <c r="G583" i="100" s="1"/>
  <c r="T582" i="100"/>
  <c r="G582" i="100" s="1"/>
  <c r="T581" i="100"/>
  <c r="G581" i="100" s="1"/>
  <c r="T580" i="100"/>
  <c r="G580" i="100" s="1"/>
  <c r="K580" i="100"/>
  <c r="I580" i="100"/>
  <c r="T579" i="100"/>
  <c r="G579" i="100" s="1"/>
  <c r="K579" i="100"/>
  <c r="I579" i="100"/>
  <c r="T578" i="100"/>
  <c r="G578" i="100" s="1"/>
  <c r="T577" i="100"/>
  <c r="G577" i="100" s="1"/>
  <c r="T576" i="100"/>
  <c r="G576" i="100" s="1"/>
  <c r="T575" i="100"/>
  <c r="G575" i="100" s="1"/>
  <c r="T574" i="100"/>
  <c r="G574" i="100" s="1"/>
  <c r="T573" i="100"/>
  <c r="G573" i="100" s="1"/>
  <c r="T572" i="100"/>
  <c r="G572" i="100" s="1"/>
  <c r="T571" i="100"/>
  <c r="G571" i="100" s="1"/>
  <c r="K571" i="100"/>
  <c r="I571" i="100"/>
  <c r="T570" i="100"/>
  <c r="T569" i="100"/>
  <c r="G569" i="100" s="1"/>
  <c r="K569" i="100"/>
  <c r="I569" i="100"/>
  <c r="T568" i="100"/>
  <c r="G568" i="100" s="1"/>
  <c r="K568" i="100"/>
  <c r="I568" i="100"/>
  <c r="T567" i="100"/>
  <c r="G567" i="100" s="1"/>
  <c r="J567" i="100"/>
  <c r="K567" i="100" s="1"/>
  <c r="T566" i="100"/>
  <c r="G566" i="100" s="1"/>
  <c r="J566" i="100"/>
  <c r="K566" i="100" s="1"/>
  <c r="T565" i="100"/>
  <c r="G565" i="100" s="1"/>
  <c r="K565" i="100"/>
  <c r="I565" i="100"/>
  <c r="T564" i="100"/>
  <c r="G564" i="100" s="1"/>
  <c r="K564" i="100"/>
  <c r="I564" i="100"/>
  <c r="T563" i="100"/>
  <c r="G563" i="100" s="1"/>
  <c r="J563" i="100"/>
  <c r="K563" i="100" s="1"/>
  <c r="T562" i="100"/>
  <c r="G562" i="100" s="1"/>
  <c r="J562" i="100"/>
  <c r="K562" i="100" s="1"/>
  <c r="T561" i="100"/>
  <c r="G561" i="100" s="1"/>
  <c r="J561" i="100"/>
  <c r="I561" i="100" s="1"/>
  <c r="T560" i="100"/>
  <c r="G560" i="100" s="1"/>
  <c r="J560" i="100"/>
  <c r="K560" i="100" s="1"/>
  <c r="T559" i="100"/>
  <c r="G559" i="100" s="1"/>
  <c r="J559" i="100"/>
  <c r="K559" i="100" s="1"/>
  <c r="T558" i="100"/>
  <c r="G558" i="100" s="1"/>
  <c r="J558" i="100"/>
  <c r="K558" i="100" s="1"/>
  <c r="T557" i="100"/>
  <c r="G557" i="100" s="1"/>
  <c r="J557" i="100"/>
  <c r="K557" i="100" s="1"/>
  <c r="T556" i="100"/>
  <c r="G556" i="100" s="1"/>
  <c r="K556" i="100"/>
  <c r="I556" i="100"/>
  <c r="T555" i="100"/>
  <c r="J555" i="100"/>
  <c r="K555" i="100" s="1"/>
  <c r="T554" i="100"/>
  <c r="G554" i="100" s="1"/>
  <c r="K554" i="100"/>
  <c r="I554" i="100"/>
  <c r="T553" i="100"/>
  <c r="G553" i="100" s="1"/>
  <c r="K553" i="100"/>
  <c r="I553" i="100"/>
  <c r="T552" i="100"/>
  <c r="G552" i="100" s="1"/>
  <c r="J552" i="100"/>
  <c r="K552" i="100" s="1"/>
  <c r="T551" i="100"/>
  <c r="G551" i="100" s="1"/>
  <c r="J551" i="100"/>
  <c r="K551" i="100" s="1"/>
  <c r="T550" i="100"/>
  <c r="G550" i="100" s="1"/>
  <c r="K550" i="100"/>
  <c r="I550" i="100"/>
  <c r="T549" i="100"/>
  <c r="G549" i="100" s="1"/>
  <c r="K549" i="100"/>
  <c r="I549" i="100"/>
  <c r="T548" i="100"/>
  <c r="G548" i="100" s="1"/>
  <c r="J548" i="100"/>
  <c r="I548" i="100" s="1"/>
  <c r="T547" i="100"/>
  <c r="G547" i="100" s="1"/>
  <c r="J547" i="100"/>
  <c r="I547" i="100" s="1"/>
  <c r="T546" i="100"/>
  <c r="G546" i="100" s="1"/>
  <c r="J546" i="100"/>
  <c r="K546" i="100" s="1"/>
  <c r="T545" i="100"/>
  <c r="G545" i="100" s="1"/>
  <c r="J545" i="100"/>
  <c r="K545" i="100" s="1"/>
  <c r="T544" i="100"/>
  <c r="G544" i="100" s="1"/>
  <c r="J544" i="100"/>
  <c r="I544" i="100" s="1"/>
  <c r="T543" i="100"/>
  <c r="G543" i="100" s="1"/>
  <c r="J543" i="100"/>
  <c r="I543" i="100" s="1"/>
  <c r="T542" i="100"/>
  <c r="G542" i="100" s="1"/>
  <c r="J542" i="100"/>
  <c r="I542" i="100" s="1"/>
  <c r="T541" i="100"/>
  <c r="G541" i="100" s="1"/>
  <c r="K541" i="100"/>
  <c r="I541" i="100"/>
  <c r="T540" i="100"/>
  <c r="J540" i="100"/>
  <c r="K540" i="100" s="1"/>
  <c r="T539" i="100"/>
  <c r="G539" i="100" s="1"/>
  <c r="K539" i="100"/>
  <c r="I539" i="100"/>
  <c r="K521" i="100"/>
  <c r="I521" i="100"/>
  <c r="K520" i="100"/>
  <c r="I520" i="100"/>
  <c r="K519" i="100"/>
  <c r="I519" i="100"/>
  <c r="K518" i="100"/>
  <c r="I518" i="100"/>
  <c r="K509" i="100"/>
  <c r="I509" i="100"/>
  <c r="K508" i="100"/>
  <c r="I508" i="100"/>
  <c r="K507" i="100"/>
  <c r="I507" i="100"/>
  <c r="K506" i="100"/>
  <c r="I506" i="100"/>
  <c r="K497" i="100"/>
  <c r="I497" i="100"/>
  <c r="K496" i="100"/>
  <c r="I496" i="100"/>
  <c r="K495" i="100"/>
  <c r="I495" i="100"/>
  <c r="K494" i="100"/>
  <c r="I494" i="100"/>
  <c r="K485" i="100"/>
  <c r="I485" i="100"/>
  <c r="K484" i="100"/>
  <c r="I484" i="100"/>
  <c r="K483" i="100"/>
  <c r="I483" i="100"/>
  <c r="K482" i="100"/>
  <c r="I482" i="100"/>
  <c r="K473" i="100"/>
  <c r="I473" i="100"/>
  <c r="K472" i="100"/>
  <c r="I472" i="100"/>
  <c r="K471" i="100"/>
  <c r="I471" i="100"/>
  <c r="K470" i="100"/>
  <c r="I470" i="100"/>
  <c r="K461" i="100"/>
  <c r="I461" i="100"/>
  <c r="K460" i="100"/>
  <c r="I460" i="100"/>
  <c r="K459" i="100"/>
  <c r="I459" i="100"/>
  <c r="K458" i="100"/>
  <c r="I458" i="100"/>
  <c r="K449" i="100"/>
  <c r="I449" i="100"/>
  <c r="K448" i="100"/>
  <c r="I448" i="100"/>
  <c r="K447" i="100"/>
  <c r="I447" i="100"/>
  <c r="K446" i="100"/>
  <c r="I446" i="100"/>
  <c r="K437" i="100"/>
  <c r="I437" i="100"/>
  <c r="K436" i="100"/>
  <c r="I436" i="100"/>
  <c r="K435" i="100"/>
  <c r="I435" i="100"/>
  <c r="K434" i="100"/>
  <c r="I434" i="100"/>
  <c r="K425" i="100"/>
  <c r="I425" i="100"/>
  <c r="K424" i="100"/>
  <c r="I424" i="100"/>
  <c r="K423" i="100"/>
  <c r="I423" i="100"/>
  <c r="K422" i="100"/>
  <c r="I422" i="100"/>
  <c r="K413" i="100"/>
  <c r="I413" i="100"/>
  <c r="K412" i="100"/>
  <c r="I412" i="100"/>
  <c r="K411" i="100"/>
  <c r="I411" i="100"/>
  <c r="K410" i="100"/>
  <c r="I410" i="100"/>
  <c r="K401" i="100"/>
  <c r="I401" i="100"/>
  <c r="K400" i="100"/>
  <c r="I400" i="100"/>
  <c r="K399" i="100"/>
  <c r="I399" i="100"/>
  <c r="K398" i="100"/>
  <c r="I398" i="100"/>
  <c r="K389" i="100"/>
  <c r="I389" i="100"/>
  <c r="K388" i="100"/>
  <c r="I388" i="100"/>
  <c r="K387" i="100"/>
  <c r="I387" i="100"/>
  <c r="K386" i="100"/>
  <c r="I386" i="100"/>
  <c r="K377" i="100"/>
  <c r="I377" i="100"/>
  <c r="K376" i="100"/>
  <c r="I376" i="100"/>
  <c r="K375" i="100"/>
  <c r="I375" i="100"/>
  <c r="K374" i="100"/>
  <c r="I374" i="100"/>
  <c r="K365" i="100"/>
  <c r="I365" i="100"/>
  <c r="K364" i="100"/>
  <c r="I364" i="100"/>
  <c r="K363" i="100"/>
  <c r="I363" i="100"/>
  <c r="K362" i="100"/>
  <c r="I362" i="100"/>
  <c r="K353" i="100"/>
  <c r="I353" i="100"/>
  <c r="K352" i="100"/>
  <c r="I352" i="100"/>
  <c r="K351" i="100"/>
  <c r="I351" i="100"/>
  <c r="K350" i="100"/>
  <c r="I350" i="100"/>
  <c r="K341" i="100"/>
  <c r="I341" i="100"/>
  <c r="K340" i="100"/>
  <c r="I340" i="100"/>
  <c r="K339" i="100"/>
  <c r="I339" i="100"/>
  <c r="K338" i="100"/>
  <c r="I338" i="100"/>
  <c r="K329" i="100"/>
  <c r="I329" i="100"/>
  <c r="K328" i="100"/>
  <c r="I328" i="100"/>
  <c r="K327" i="100"/>
  <c r="I327" i="100"/>
  <c r="K326" i="100"/>
  <c r="I326" i="100"/>
  <c r="K317" i="100"/>
  <c r="I317" i="100"/>
  <c r="K316" i="100"/>
  <c r="I316" i="100"/>
  <c r="K315" i="100"/>
  <c r="I315" i="100"/>
  <c r="K314" i="100"/>
  <c r="I314" i="100"/>
  <c r="K305" i="100"/>
  <c r="I305" i="100"/>
  <c r="K304" i="100"/>
  <c r="I304" i="100"/>
  <c r="K303" i="100"/>
  <c r="I303" i="100"/>
  <c r="K302" i="100"/>
  <c r="I302" i="100"/>
  <c r="K293" i="100"/>
  <c r="I293" i="100"/>
  <c r="K292" i="100"/>
  <c r="I292" i="100"/>
  <c r="K291" i="100"/>
  <c r="I291" i="100"/>
  <c r="K290" i="100"/>
  <c r="I290" i="100"/>
  <c r="K281" i="100"/>
  <c r="I281" i="100"/>
  <c r="K280" i="100"/>
  <c r="I280" i="100"/>
  <c r="K279" i="100"/>
  <c r="I279" i="100"/>
  <c r="K278" i="100"/>
  <c r="I278" i="100"/>
  <c r="K269" i="100"/>
  <c r="I269" i="100"/>
  <c r="K268" i="100"/>
  <c r="I268" i="100"/>
  <c r="K266" i="100"/>
  <c r="I266" i="100"/>
  <c r="K258" i="100"/>
  <c r="I258" i="100"/>
  <c r="K257" i="100"/>
  <c r="I257" i="100"/>
  <c r="K255" i="100"/>
  <c r="I255" i="100"/>
  <c r="K247" i="100"/>
  <c r="I247" i="100"/>
  <c r="K246" i="100"/>
  <c r="I246" i="100"/>
  <c r="K244" i="100"/>
  <c r="I244" i="100"/>
  <c r="K236" i="100"/>
  <c r="I236" i="100"/>
  <c r="K235" i="100"/>
  <c r="I235" i="100"/>
  <c r="K233" i="100"/>
  <c r="I233" i="100"/>
  <c r="K225" i="100"/>
  <c r="I225" i="100"/>
  <c r="K224" i="100"/>
  <c r="I224" i="100"/>
  <c r="K222" i="100"/>
  <c r="I222" i="100"/>
  <c r="K214" i="100"/>
  <c r="I214" i="100"/>
  <c r="K213" i="100"/>
  <c r="I213" i="100"/>
  <c r="K211" i="100"/>
  <c r="I211" i="100"/>
  <c r="K203" i="100"/>
  <c r="I203" i="100"/>
  <c r="K202" i="100"/>
  <c r="I202" i="100"/>
  <c r="K200" i="100"/>
  <c r="I200" i="100"/>
  <c r="K192" i="100"/>
  <c r="I192" i="100"/>
  <c r="K191" i="100"/>
  <c r="I191" i="100"/>
  <c r="K189" i="100"/>
  <c r="I189" i="100"/>
  <c r="K181" i="100"/>
  <c r="I181" i="100"/>
  <c r="K180" i="100"/>
  <c r="I180" i="100"/>
  <c r="K178" i="100"/>
  <c r="I178" i="100"/>
  <c r="K170" i="100"/>
  <c r="I170" i="100"/>
  <c r="K169" i="100"/>
  <c r="I169" i="100"/>
  <c r="K167" i="100"/>
  <c r="I167" i="100"/>
  <c r="K141" i="100"/>
  <c r="I141" i="100"/>
  <c r="K140" i="100"/>
  <c r="I140" i="100"/>
  <c r="K139" i="100"/>
  <c r="I139" i="100"/>
  <c r="K138" i="100"/>
  <c r="I138" i="100"/>
  <c r="K137" i="100"/>
  <c r="I137" i="100"/>
  <c r="K136" i="100"/>
  <c r="I136" i="100"/>
  <c r="K131" i="100"/>
  <c r="I131" i="100"/>
  <c r="K130" i="100"/>
  <c r="I130" i="100"/>
  <c r="K129" i="100"/>
  <c r="I129" i="100"/>
  <c r="K128" i="100"/>
  <c r="I128" i="100"/>
  <c r="K127" i="100"/>
  <c r="I127" i="100"/>
  <c r="K126" i="100"/>
  <c r="I126" i="100"/>
  <c r="K121" i="100"/>
  <c r="I121" i="100"/>
  <c r="K120" i="100"/>
  <c r="I120" i="100"/>
  <c r="K119" i="100"/>
  <c r="I119" i="100"/>
  <c r="K118" i="100"/>
  <c r="I118" i="100"/>
  <c r="K117" i="100"/>
  <c r="I117" i="100"/>
  <c r="K116" i="100"/>
  <c r="I116" i="100"/>
  <c r="K111" i="100"/>
  <c r="I111" i="100"/>
  <c r="K110" i="100"/>
  <c r="I110" i="100"/>
  <c r="K109" i="100"/>
  <c r="I109" i="100"/>
  <c r="K108" i="100"/>
  <c r="I108" i="100"/>
  <c r="K107" i="100"/>
  <c r="I107" i="100"/>
  <c r="K106" i="100"/>
  <c r="I106" i="100"/>
  <c r="K101" i="100"/>
  <c r="I101" i="100"/>
  <c r="K100" i="100"/>
  <c r="I100" i="100"/>
  <c r="K99" i="100"/>
  <c r="I99" i="100"/>
  <c r="K98" i="100"/>
  <c r="I98" i="100"/>
  <c r="K97" i="100"/>
  <c r="I97" i="100"/>
  <c r="K96" i="100"/>
  <c r="I96" i="100"/>
  <c r="K91" i="100"/>
  <c r="I91" i="100"/>
  <c r="K90" i="100"/>
  <c r="I90" i="100"/>
  <c r="K89" i="100"/>
  <c r="I89" i="100"/>
  <c r="K88" i="100"/>
  <c r="I88" i="100"/>
  <c r="K87" i="100"/>
  <c r="I87" i="100"/>
  <c r="K86" i="100"/>
  <c r="I86" i="100"/>
  <c r="K81" i="100"/>
  <c r="I81" i="100"/>
  <c r="K80" i="100"/>
  <c r="I80" i="100"/>
  <c r="K79" i="100"/>
  <c r="I79" i="100"/>
  <c r="K78" i="100"/>
  <c r="I78" i="100"/>
  <c r="K77" i="100"/>
  <c r="I77" i="100"/>
  <c r="K76" i="100"/>
  <c r="I76" i="100"/>
  <c r="K71" i="100"/>
  <c r="I71" i="100"/>
  <c r="K70" i="100"/>
  <c r="I70" i="100"/>
  <c r="K69" i="100"/>
  <c r="I69" i="100"/>
  <c r="K68" i="100"/>
  <c r="I68" i="100"/>
  <c r="K67" i="100"/>
  <c r="I67" i="100"/>
  <c r="K66" i="100"/>
  <c r="I66" i="100"/>
  <c r="K61" i="100"/>
  <c r="I61" i="100"/>
  <c r="K60" i="100"/>
  <c r="I60" i="100"/>
  <c r="K59" i="100"/>
  <c r="I59" i="100"/>
  <c r="K58" i="100"/>
  <c r="I58" i="100"/>
  <c r="K57" i="100"/>
  <c r="I57" i="100"/>
  <c r="K56" i="100"/>
  <c r="I56" i="100"/>
  <c r="K51" i="100"/>
  <c r="I51" i="100"/>
  <c r="K50" i="100"/>
  <c r="I50" i="100"/>
  <c r="K49" i="100"/>
  <c r="I49" i="100"/>
  <c r="K47" i="100"/>
  <c r="I47" i="100"/>
  <c r="K46" i="100"/>
  <c r="I46" i="100"/>
  <c r="J33" i="100"/>
  <c r="I33" i="100" s="1"/>
  <c r="J32" i="100"/>
  <c r="J27" i="100"/>
  <c r="I27" i="100" s="1"/>
  <c r="J20" i="100"/>
  <c r="J19" i="100"/>
  <c r="I19" i="100" s="1"/>
  <c r="J17" i="100"/>
  <c r="I17" i="100" s="1"/>
  <c r="K16" i="100"/>
  <c r="I16" i="100"/>
  <c r="J15" i="100"/>
  <c r="J14" i="100"/>
  <c r="K14" i="100" s="1"/>
  <c r="J13" i="100"/>
  <c r="K13" i="100" s="1"/>
  <c r="K11" i="100"/>
  <c r="I11" i="100"/>
  <c r="K10" i="100"/>
  <c r="I10" i="100"/>
  <c r="K9" i="100"/>
  <c r="I9" i="100"/>
  <c r="K8" i="100"/>
  <c r="I8" i="100"/>
  <c r="K7" i="100"/>
  <c r="I7" i="100"/>
  <c r="K6" i="100"/>
  <c r="I6" i="100"/>
  <c r="K5" i="100"/>
  <c r="I5" i="100"/>
  <c r="Q3" i="100"/>
  <c r="K3" i="100"/>
  <c r="I3" i="100"/>
  <c r="Q2" i="100"/>
  <c r="Q1" i="100"/>
  <c r="C2182" i="100"/>
  <c r="C2207" i="100"/>
  <c r="C2181" i="100"/>
  <c r="C2201" i="100"/>
  <c r="C2206" i="100"/>
  <c r="B2212" i="100"/>
  <c r="B2203" i="100"/>
  <c r="B2187" i="100"/>
  <c r="C2210" i="100"/>
  <c r="C2192" i="100"/>
  <c r="C2196" i="100"/>
  <c r="C2204" i="100"/>
  <c r="B2204" i="100"/>
  <c r="B2207" i="100"/>
  <c r="C2183" i="100"/>
  <c r="B2183" i="100"/>
  <c r="C2209" i="100"/>
  <c r="C2212" i="100"/>
  <c r="C2197" i="100"/>
  <c r="C2195" i="100"/>
  <c r="C2180" i="100"/>
  <c r="B2191" i="100"/>
  <c r="C2208" i="100"/>
  <c r="C2203" i="100"/>
  <c r="C2190" i="100"/>
  <c r="B2199" i="100"/>
  <c r="C2199" i="100"/>
  <c r="B2180" i="100"/>
  <c r="C2202" i="100"/>
  <c r="B2181" i="100"/>
  <c r="B2211" i="100"/>
  <c r="C2211" i="100"/>
  <c r="B2196" i="100"/>
  <c r="B2200" i="100"/>
  <c r="B2208" i="100"/>
  <c r="B2198" i="100"/>
  <c r="B2209" i="100"/>
  <c r="B2190" i="100"/>
  <c r="C2189" i="100"/>
  <c r="B2201" i="100"/>
  <c r="B2195" i="100"/>
  <c r="C2188" i="100"/>
  <c r="C2184" i="100"/>
  <c r="C2205" i="100"/>
  <c r="C2191" i="100"/>
  <c r="B2197" i="100"/>
  <c r="B2192" i="100"/>
  <c r="C2187" i="100"/>
  <c r="B2182" i="100"/>
  <c r="B2202" i="100"/>
  <c r="B2184" i="100"/>
  <c r="B2210" i="100"/>
  <c r="C2198" i="100"/>
  <c r="B2206" i="100"/>
  <c r="B2189" i="100"/>
  <c r="B2188" i="100"/>
  <c r="B2205" i="100"/>
  <c r="C2200" i="100"/>
  <c r="J2572" i="100" l="1"/>
  <c r="J2562" i="100"/>
  <c r="J2552" i="100"/>
  <c r="J2466" i="100"/>
  <c r="J2456" i="100"/>
  <c r="J2445" i="100"/>
  <c r="J2433" i="100"/>
  <c r="J2455" i="100"/>
  <c r="J2595" i="100"/>
  <c r="J2528" i="100"/>
  <c r="J2493" i="100"/>
  <c r="J2435" i="100"/>
  <c r="J2629" i="100"/>
  <c r="J2561" i="100"/>
  <c r="J2551" i="100"/>
  <c r="J2476" i="100"/>
  <c r="J2465" i="100"/>
  <c r="J2443" i="100"/>
  <c r="J2605" i="100"/>
  <c r="J2583" i="100"/>
  <c r="J2628" i="100"/>
  <c r="J2618" i="100"/>
  <c r="J2550" i="100"/>
  <c r="J2541" i="100"/>
  <c r="J2486" i="100"/>
  <c r="J2475" i="100"/>
  <c r="J2464" i="100"/>
  <c r="J2453" i="100"/>
  <c r="J2627" i="100"/>
  <c r="J2617" i="100"/>
  <c r="J2607" i="100"/>
  <c r="J2540" i="100"/>
  <c r="J2530" i="100"/>
  <c r="J2496" i="100"/>
  <c r="J2485" i="100"/>
  <c r="J2473" i="100"/>
  <c r="J2463" i="100"/>
  <c r="J2406" i="100"/>
  <c r="J2415" i="100"/>
  <c r="J2573" i="100"/>
  <c r="J2446" i="100"/>
  <c r="J2423" i="100"/>
  <c r="J2616" i="100"/>
  <c r="J2606" i="100"/>
  <c r="J2596" i="100"/>
  <c r="J2539" i="100"/>
  <c r="J2529" i="100"/>
  <c r="J2495" i="100"/>
  <c r="J2483" i="100"/>
  <c r="J2416" i="100"/>
  <c r="J2405" i="100"/>
  <c r="J2585" i="100"/>
  <c r="J2426" i="100"/>
  <c r="J2563" i="100"/>
  <c r="J2594" i="100"/>
  <c r="J2584" i="100"/>
  <c r="J2574" i="100"/>
  <c r="J2503" i="100"/>
  <c r="J2436" i="100"/>
  <c r="J2425" i="100"/>
  <c r="J2413" i="100"/>
  <c r="J2555" i="100"/>
  <c r="J2532" i="100"/>
  <c r="J2564" i="100"/>
  <c r="J2580" i="100"/>
  <c r="J2494" i="100"/>
  <c r="J2454" i="100"/>
  <c r="J2589" i="100"/>
  <c r="J2547" i="100"/>
  <c r="J2531" i="100"/>
  <c r="J2525" i="100"/>
  <c r="J2613" i="100"/>
  <c r="J2518" i="100"/>
  <c r="J2521" i="100"/>
  <c r="J2588" i="100"/>
  <c r="J2569" i="100"/>
  <c r="J2444" i="100"/>
  <c r="J2599" i="100"/>
  <c r="J2609" i="100"/>
  <c r="J2553" i="100"/>
  <c r="J2545" i="100"/>
  <c r="J2620" i="100"/>
  <c r="J2622" i="100"/>
  <c r="J2633" i="100"/>
  <c r="J2520" i="100"/>
  <c r="J2523" i="100"/>
  <c r="J2514" i="100"/>
  <c r="J2534" i="100"/>
  <c r="J2598" i="100"/>
  <c r="J2575" i="100"/>
  <c r="J2630" i="100"/>
  <c r="J2515" i="100"/>
  <c r="J2522" i="100"/>
  <c r="J2554" i="100"/>
  <c r="J2610" i="100"/>
  <c r="J2565" i="100"/>
  <c r="J2577" i="100"/>
  <c r="J2536" i="100"/>
  <c r="J2414" i="100"/>
  <c r="J2404" i="100"/>
  <c r="J2516" i="100"/>
  <c r="J2578" i="100"/>
  <c r="J2576" i="100"/>
  <c r="J2602" i="100"/>
  <c r="J2558" i="100"/>
  <c r="J2586" i="100"/>
  <c r="J2533" i="100"/>
  <c r="J2621" i="100"/>
  <c r="J2608" i="100"/>
  <c r="J2542" i="100"/>
  <c r="J2434" i="100"/>
  <c r="J2484" i="100"/>
  <c r="J2556" i="100"/>
  <c r="J2566" i="100"/>
  <c r="J2587" i="100"/>
  <c r="J2624" i="100"/>
  <c r="J2424" i="100"/>
  <c r="J2519" i="100"/>
  <c r="J2474" i="100"/>
  <c r="J2591" i="100"/>
  <c r="J2597" i="100"/>
  <c r="J2517" i="100"/>
  <c r="J2632" i="100"/>
  <c r="J2619" i="100"/>
  <c r="J2544" i="100"/>
  <c r="J2543" i="100"/>
  <c r="J2611" i="100"/>
  <c r="J2600" i="100"/>
  <c r="J2567" i="100"/>
  <c r="J2631" i="100"/>
  <c r="J2352" i="100"/>
  <c r="J2398" i="100"/>
  <c r="J2401" i="100"/>
  <c r="J2379" i="100"/>
  <c r="J2396" i="100"/>
  <c r="J2375" i="100"/>
  <c r="J2336" i="100"/>
  <c r="J2395" i="100"/>
  <c r="J2331" i="100"/>
  <c r="J2399" i="100"/>
  <c r="J2357" i="100"/>
  <c r="J2403" i="100"/>
  <c r="J2373" i="100"/>
  <c r="J2381" i="100"/>
  <c r="J2378" i="100"/>
  <c r="J2335" i="100"/>
  <c r="J2397" i="100"/>
  <c r="J2332" i="100"/>
  <c r="J2402" i="100"/>
  <c r="J2330" i="100"/>
  <c r="J2353" i="100"/>
  <c r="J2334" i="100"/>
  <c r="J2329" i="100"/>
  <c r="J2351" i="100"/>
  <c r="J2374" i="100"/>
  <c r="J2355" i="100"/>
  <c r="J2356" i="100"/>
  <c r="J2337" i="100"/>
  <c r="J2359" i="100"/>
  <c r="J2333" i="100"/>
  <c r="J2376" i="100"/>
  <c r="J2377" i="100"/>
  <c r="J2358" i="100"/>
  <c r="J2380" i="100"/>
  <c r="J2354" i="100"/>
  <c r="J2400" i="100"/>
  <c r="J2313" i="100"/>
  <c r="J2314" i="100"/>
  <c r="J2307" i="100"/>
  <c r="J2312" i="100"/>
  <c r="J2315" i="100"/>
  <c r="J2308" i="100"/>
  <c r="J2310" i="100"/>
  <c r="J2311" i="100"/>
  <c r="J2309" i="100"/>
  <c r="J4" i="100"/>
  <c r="I4" i="100" s="1"/>
  <c r="J2194" i="100"/>
  <c r="J2202" i="100"/>
  <c r="J2210" i="100"/>
  <c r="J2196" i="100"/>
  <c r="J2204" i="100"/>
  <c r="J2212" i="100"/>
  <c r="J2192" i="100"/>
  <c r="J2195" i="100"/>
  <c r="J2203" i="100"/>
  <c r="J2211" i="100"/>
  <c r="J2208" i="100"/>
  <c r="J2197" i="100"/>
  <c r="J2205" i="100"/>
  <c r="J2189" i="100"/>
  <c r="J2207" i="100"/>
  <c r="J2190" i="100"/>
  <c r="J2198" i="100"/>
  <c r="J2206" i="100"/>
  <c r="J2191" i="100"/>
  <c r="J2199" i="100"/>
  <c r="J2193" i="100"/>
  <c r="J2201" i="100"/>
  <c r="J2209" i="100"/>
  <c r="J2200" i="100"/>
  <c r="J134" i="100"/>
  <c r="I134" i="100" s="1"/>
  <c r="J2185" i="100"/>
  <c r="J1480" i="100"/>
  <c r="J1484" i="100"/>
  <c r="J1481" i="100"/>
  <c r="J1485" i="100"/>
  <c r="J1482" i="100"/>
  <c r="J1479" i="100"/>
  <c r="J1483" i="100"/>
  <c r="J124" i="100"/>
  <c r="I124" i="100" s="1"/>
  <c r="J273" i="100"/>
  <c r="I273" i="100" s="1"/>
  <c r="J24" i="100"/>
  <c r="I24" i="100" s="1"/>
  <c r="J148" i="100"/>
  <c r="I148" i="100" s="1"/>
  <c r="J36" i="100"/>
  <c r="I36" i="100" s="1"/>
  <c r="J54" i="100"/>
  <c r="I54" i="100" s="1"/>
  <c r="J196" i="100"/>
  <c r="I196" i="100" s="1"/>
  <c r="J94" i="100"/>
  <c r="I94" i="100" s="1"/>
  <c r="I668" i="100"/>
  <c r="I1076" i="100"/>
  <c r="I1201" i="100"/>
  <c r="I592" i="100"/>
  <c r="I1016" i="100"/>
  <c r="I540" i="100"/>
  <c r="I732" i="100"/>
  <c r="I793" i="100"/>
  <c r="I1095" i="100"/>
  <c r="I1211" i="100"/>
  <c r="I645" i="100"/>
  <c r="I701" i="100"/>
  <c r="I566" i="100"/>
  <c r="I713" i="100"/>
  <c r="I753" i="100"/>
  <c r="I766" i="100"/>
  <c r="K934" i="100"/>
  <c r="K773" i="100"/>
  <c r="K849" i="100"/>
  <c r="K862" i="100"/>
  <c r="K913" i="100"/>
  <c r="K1159" i="100"/>
  <c r="K914" i="100"/>
  <c r="I560" i="100"/>
  <c r="K817" i="100"/>
  <c r="K843" i="100"/>
  <c r="I555" i="100"/>
  <c r="I558" i="100"/>
  <c r="K619" i="100"/>
  <c r="I693" i="100"/>
  <c r="K769" i="100"/>
  <c r="K785" i="100"/>
  <c r="I962" i="100"/>
  <c r="K1019" i="100"/>
  <c r="I1036" i="100"/>
  <c r="K1150" i="100"/>
  <c r="I1209" i="100"/>
  <c r="K602" i="100"/>
  <c r="K631" i="100"/>
  <c r="K957" i="100"/>
  <c r="K1027" i="100"/>
  <c r="I546" i="100"/>
  <c r="I711" i="100"/>
  <c r="I726" i="100"/>
  <c r="I1077" i="100"/>
  <c r="I1149" i="100"/>
  <c r="I1203" i="100"/>
  <c r="K699" i="100"/>
  <c r="K1157" i="100"/>
  <c r="K19" i="100"/>
  <c r="K695" i="100"/>
  <c r="K750" i="100"/>
  <c r="K787" i="100"/>
  <c r="I14" i="100"/>
  <c r="K610" i="100"/>
  <c r="K777" i="100"/>
  <c r="I814" i="100"/>
  <c r="K844" i="100"/>
  <c r="K885" i="100"/>
  <c r="I1199" i="100"/>
  <c r="I1207" i="100"/>
  <c r="K544" i="100"/>
  <c r="K709" i="100"/>
  <c r="K771" i="100"/>
  <c r="K825" i="100"/>
  <c r="K845" i="100"/>
  <c r="I589" i="100"/>
  <c r="I594" i="100"/>
  <c r="I608" i="100"/>
  <c r="I647" i="100"/>
  <c r="I720" i="100"/>
  <c r="K743" i="100"/>
  <c r="I832" i="100"/>
  <c r="I930" i="100"/>
  <c r="I972" i="100"/>
  <c r="I1034" i="100"/>
  <c r="I1083" i="100"/>
  <c r="I1097" i="100"/>
  <c r="I1153" i="100"/>
  <c r="K1161" i="100"/>
  <c r="I1195" i="100"/>
  <c r="I1197" i="100"/>
  <c r="I1205" i="100"/>
  <c r="I706" i="100"/>
  <c r="K706" i="100"/>
  <c r="K747" i="100"/>
  <c r="I747" i="100"/>
  <c r="K855" i="100"/>
  <c r="I855" i="100"/>
  <c r="K868" i="100"/>
  <c r="I868" i="100"/>
  <c r="K542" i="100"/>
  <c r="K548" i="100"/>
  <c r="K600" i="100"/>
  <c r="I741" i="100"/>
  <c r="K741" i="100"/>
  <c r="I749" i="100"/>
  <c r="K749" i="100"/>
  <c r="I840" i="100"/>
  <c r="K840" i="100"/>
  <c r="I557" i="100"/>
  <c r="I562" i="100"/>
  <c r="I606" i="100"/>
  <c r="I628" i="100"/>
  <c r="I690" i="100"/>
  <c r="K691" i="100"/>
  <c r="K708" i="100"/>
  <c r="I719" i="100"/>
  <c r="K738" i="100"/>
  <c r="K759" i="100"/>
  <c r="K821" i="100"/>
  <c r="I821" i="100"/>
  <c r="K869" i="100"/>
  <c r="I869" i="100"/>
  <c r="I1009" i="100"/>
  <c r="K1009" i="100"/>
  <c r="K1069" i="100"/>
  <c r="I1069" i="100"/>
  <c r="I1072" i="100"/>
  <c r="K1072" i="100"/>
  <c r="I1166" i="100"/>
  <c r="K1166" i="100"/>
  <c r="I836" i="100"/>
  <c r="K836" i="100"/>
  <c r="I874" i="100"/>
  <c r="K874" i="100"/>
  <c r="I938" i="100"/>
  <c r="K938" i="100"/>
  <c r="I1170" i="100"/>
  <c r="K1170" i="100"/>
  <c r="I835" i="100"/>
  <c r="K835" i="100"/>
  <c r="I873" i="100"/>
  <c r="K873" i="100"/>
  <c r="I954" i="100"/>
  <c r="K954" i="100"/>
  <c r="K1087" i="100"/>
  <c r="I1087" i="100"/>
  <c r="I552" i="100"/>
  <c r="I596" i="100"/>
  <c r="K651" i="100"/>
  <c r="I651" i="100"/>
  <c r="I837" i="100"/>
  <c r="K837" i="100"/>
  <c r="I918" i="100"/>
  <c r="K918" i="100"/>
  <c r="K955" i="100"/>
  <c r="I955" i="100"/>
  <c r="K970" i="100"/>
  <c r="I970" i="100"/>
  <c r="K688" i="100"/>
  <c r="K717" i="100"/>
  <c r="K736" i="100"/>
  <c r="I768" i="100"/>
  <c r="K789" i="100"/>
  <c r="K827" i="100"/>
  <c r="K839" i="100"/>
  <c r="K864" i="100"/>
  <c r="K865" i="100"/>
  <c r="K866" i="100"/>
  <c r="I879" i="100"/>
  <c r="K937" i="100"/>
  <c r="K942" i="100"/>
  <c r="I971" i="100"/>
  <c r="I980" i="100"/>
  <c r="I1020" i="100"/>
  <c r="I1024" i="100"/>
  <c r="K1035" i="100"/>
  <c r="I1091" i="100"/>
  <c r="K1151" i="100"/>
  <c r="K1158" i="100"/>
  <c r="I1198" i="100"/>
  <c r="I1202" i="100"/>
  <c r="I1206" i="100"/>
  <c r="I1210" i="100"/>
  <c r="K915" i="100"/>
  <c r="I915" i="100"/>
  <c r="I1172" i="100"/>
  <c r="K1172" i="100"/>
  <c r="K33" i="100"/>
  <c r="K591" i="100"/>
  <c r="K611" i="100"/>
  <c r="K625" i="100"/>
  <c r="K932" i="100"/>
  <c r="K1081" i="100"/>
  <c r="I1081" i="100"/>
  <c r="I1098" i="100"/>
  <c r="K1098" i="100"/>
  <c r="I1101" i="100"/>
  <c r="K1101" i="100"/>
  <c r="I1181" i="100"/>
  <c r="K1181" i="100"/>
  <c r="I643" i="100"/>
  <c r="K723" i="100"/>
  <c r="K739" i="100"/>
  <c r="K756" i="100"/>
  <c r="I819" i="100"/>
  <c r="I867" i="100"/>
  <c r="I875" i="100"/>
  <c r="K916" i="100"/>
  <c r="I916" i="100"/>
  <c r="K949" i="100"/>
  <c r="K952" i="100"/>
  <c r="I952" i="100"/>
  <c r="K974" i="100"/>
  <c r="I974" i="100"/>
  <c r="K941" i="100"/>
  <c r="I941" i="100"/>
  <c r="I1176" i="100"/>
  <c r="K1176" i="100"/>
  <c r="K1190" i="100"/>
  <c r="I1190" i="100"/>
  <c r="K17" i="100"/>
  <c r="K27" i="100"/>
  <c r="K729" i="100"/>
  <c r="K762" i="100"/>
  <c r="I870" i="100"/>
  <c r="K870" i="100"/>
  <c r="K935" i="100"/>
  <c r="I935" i="100"/>
  <c r="I1103" i="100"/>
  <c r="K1103" i="100"/>
  <c r="I615" i="100"/>
  <c r="I622" i="100"/>
  <c r="I634" i="100"/>
  <c r="I816" i="100"/>
  <c r="I834" i="100"/>
  <c r="I925" i="100"/>
  <c r="K925" i="100"/>
  <c r="K947" i="100"/>
  <c r="K960" i="100"/>
  <c r="I960" i="100"/>
  <c r="I838" i="100"/>
  <c r="I919" i="100"/>
  <c r="I923" i="100"/>
  <c r="I928" i="100"/>
  <c r="K951" i="100"/>
  <c r="I951" i="100"/>
  <c r="I961" i="100"/>
  <c r="K961" i="100"/>
  <c r="K963" i="100"/>
  <c r="I963" i="100"/>
  <c r="I966" i="100"/>
  <c r="K966" i="100"/>
  <c r="K975" i="100"/>
  <c r="I975" i="100"/>
  <c r="I979" i="100"/>
  <c r="K979" i="100"/>
  <c r="K982" i="100"/>
  <c r="I982" i="100"/>
  <c r="K1079" i="100"/>
  <c r="I1079" i="100"/>
  <c r="K1088" i="100"/>
  <c r="I1088" i="100"/>
  <c r="K1134" i="100"/>
  <c r="I1134" i="100"/>
  <c r="I1143" i="100"/>
  <c r="K1143" i="100"/>
  <c r="I1169" i="100"/>
  <c r="K1169" i="100"/>
  <c r="I1174" i="100"/>
  <c r="K1174" i="100"/>
  <c r="I1194" i="100"/>
  <c r="K1194" i="100"/>
  <c r="K943" i="100"/>
  <c r="I943" i="100"/>
  <c r="I1031" i="100"/>
  <c r="K1031" i="100"/>
  <c r="I1102" i="100"/>
  <c r="K1102" i="100"/>
  <c r="I1005" i="100"/>
  <c r="I1012" i="100"/>
  <c r="I1014" i="100"/>
  <c r="I1018" i="100"/>
  <c r="I1075" i="100"/>
  <c r="I1138" i="100"/>
  <c r="I1139" i="100"/>
  <c r="I1140" i="100"/>
  <c r="I1180" i="100"/>
  <c r="I1184" i="100"/>
  <c r="K1013" i="100"/>
  <c r="K1082" i="100"/>
  <c r="K1173" i="100"/>
  <c r="K1182" i="100"/>
  <c r="I32" i="100"/>
  <c r="K32" i="100"/>
  <c r="J40" i="100"/>
  <c r="J44" i="100"/>
  <c r="J84" i="100"/>
  <c r="J185" i="100"/>
  <c r="J229" i="100"/>
  <c r="J262" i="100"/>
  <c r="J1879" i="100"/>
  <c r="J1875" i="100"/>
  <c r="J1880" i="100"/>
  <c r="J1876" i="100"/>
  <c r="J1877" i="100"/>
  <c r="J1878" i="100"/>
  <c r="J1874" i="100"/>
  <c r="J1548" i="100"/>
  <c r="J1544" i="100"/>
  <c r="J1542" i="100"/>
  <c r="J1538" i="100"/>
  <c r="J1536" i="100"/>
  <c r="J1530" i="100"/>
  <c r="J1528" i="100"/>
  <c r="J1524" i="100"/>
  <c r="J1520" i="100"/>
  <c r="J1518" i="100"/>
  <c r="J1512" i="100"/>
  <c r="J1509" i="100"/>
  <c r="J1505" i="100"/>
  <c r="J1502" i="100"/>
  <c r="J1498" i="100"/>
  <c r="J1494" i="100"/>
  <c r="J1492" i="100"/>
  <c r="J1490" i="100"/>
  <c r="J1488" i="100"/>
  <c r="J1478" i="100"/>
  <c r="J1474" i="100"/>
  <c r="J1472" i="100"/>
  <c r="J1470" i="100"/>
  <c r="J1468" i="100"/>
  <c r="J1466" i="100"/>
  <c r="J1464" i="100"/>
  <c r="J1451" i="100"/>
  <c r="J1551" i="100"/>
  <c r="J1549" i="100"/>
  <c r="J1547" i="100"/>
  <c r="J1543" i="100"/>
  <c r="J1539" i="100"/>
  <c r="J1537" i="100"/>
  <c r="J1531" i="100"/>
  <c r="J1529" i="100"/>
  <c r="J1525" i="100"/>
  <c r="J1521" i="100"/>
  <c r="J1517" i="100"/>
  <c r="J1511" i="100"/>
  <c r="J1510" i="100"/>
  <c r="J1506" i="100"/>
  <c r="J1503" i="100"/>
  <c r="J1499" i="100"/>
  <c r="J1486" i="100"/>
  <c r="J1475" i="100"/>
  <c r="J1462" i="100"/>
  <c r="J1460" i="100"/>
  <c r="J1458" i="100"/>
  <c r="J1456" i="100"/>
  <c r="J1454" i="100"/>
  <c r="J1546" i="100"/>
  <c r="J1540" i="100"/>
  <c r="J1534" i="100"/>
  <c r="J1532" i="100"/>
  <c r="J1526" i="100"/>
  <c r="J1522" i="100"/>
  <c r="J1516" i="100"/>
  <c r="J1514" i="100"/>
  <c r="J1507" i="100"/>
  <c r="J1500" i="100"/>
  <c r="J1496" i="100"/>
  <c r="J1495" i="100"/>
  <c r="J1493" i="100"/>
  <c r="J1491" i="100"/>
  <c r="J1489" i="100"/>
  <c r="J1487" i="100"/>
  <c r="J1476" i="100"/>
  <c r="J1471" i="100"/>
  <c r="J1469" i="100"/>
  <c r="J1467" i="100"/>
  <c r="J1465" i="100"/>
  <c r="J1463" i="100"/>
  <c r="J1541" i="100"/>
  <c r="J1527" i="100"/>
  <c r="J1504" i="100"/>
  <c r="J1501" i="100"/>
  <c r="J1461" i="100"/>
  <c r="J1453" i="100"/>
  <c r="J1449" i="100"/>
  <c r="J1447" i="100"/>
  <c r="J1445" i="100"/>
  <c r="J1443" i="100"/>
  <c r="J1432" i="100"/>
  <c r="J1430" i="100"/>
  <c r="J1428" i="100"/>
  <c r="J1426" i="100"/>
  <c r="J1424" i="100"/>
  <c r="J1410" i="100"/>
  <c r="J1404" i="100"/>
  <c r="J1402" i="100"/>
  <c r="J1398" i="100"/>
  <c r="J1393" i="100"/>
  <c r="J1389" i="100"/>
  <c r="J1385" i="100"/>
  <c r="J1383" i="100"/>
  <c r="J1379" i="100"/>
  <c r="J1373" i="100"/>
  <c r="J1369" i="100"/>
  <c r="J1365" i="100"/>
  <c r="J1361" i="100"/>
  <c r="J1357" i="100"/>
  <c r="J1351" i="100"/>
  <c r="J1347" i="100"/>
  <c r="J1343" i="100"/>
  <c r="J1337" i="100"/>
  <c r="J1333" i="100"/>
  <c r="J1329" i="100"/>
  <c r="J1325" i="100"/>
  <c r="J1321" i="100"/>
  <c r="J1315" i="100"/>
  <c r="J1311" i="100"/>
  <c r="J1307" i="100"/>
  <c r="J1303" i="100"/>
  <c r="J1299" i="100"/>
  <c r="J1550" i="100"/>
  <c r="J1545" i="100"/>
  <c r="J1515" i="100"/>
  <c r="J1513" i="100"/>
  <c r="J1508" i="100"/>
  <c r="J1473" i="100"/>
  <c r="J1459" i="100"/>
  <c r="J1452" i="100"/>
  <c r="J1441" i="100"/>
  <c r="J1439" i="100"/>
  <c r="J1437" i="100"/>
  <c r="J1435" i="100"/>
  <c r="J1433" i="100"/>
  <c r="J1422" i="100"/>
  <c r="J1420" i="100"/>
  <c r="J1418" i="100"/>
  <c r="J1416" i="100"/>
  <c r="J1414" i="100"/>
  <c r="J1411" i="100"/>
  <c r="J1405" i="100"/>
  <c r="J1401" i="100"/>
  <c r="J1397" i="100"/>
  <c r="J1392" i="100"/>
  <c r="J1388" i="100"/>
  <c r="J1384" i="100"/>
  <c r="J1380" i="100"/>
  <c r="J1374" i="100"/>
  <c r="J1370" i="100"/>
  <c r="J1366" i="100"/>
  <c r="J1362" i="100"/>
  <c r="J1356" i="100"/>
  <c r="J1350" i="100"/>
  <c r="J1348" i="100"/>
  <c r="J1344" i="100"/>
  <c r="J1338" i="100"/>
  <c r="J1334" i="100"/>
  <c r="J1330" i="100"/>
  <c r="J1326" i="100"/>
  <c r="J1320" i="100"/>
  <c r="J1314" i="100"/>
  <c r="J1312" i="100"/>
  <c r="J1308" i="100"/>
  <c r="J1302" i="100"/>
  <c r="J1552" i="100"/>
  <c r="J1535" i="100"/>
  <c r="J1533" i="100"/>
  <c r="J1519" i="100"/>
  <c r="J1477" i="100"/>
  <c r="J1457" i="100"/>
  <c r="J1450" i="100"/>
  <c r="J1448" i="100"/>
  <c r="J1446" i="100"/>
  <c r="J1444" i="100"/>
  <c r="J1431" i="100"/>
  <c r="J1429" i="100"/>
  <c r="J1427" i="100"/>
  <c r="J1425" i="100"/>
  <c r="J1423" i="100"/>
  <c r="J1412" i="100"/>
  <c r="J1408" i="100"/>
  <c r="J1406" i="100"/>
  <c r="J1400" i="100"/>
  <c r="J1396" i="100"/>
  <c r="J1391" i="100"/>
  <c r="J1387" i="100"/>
  <c r="J1381" i="100"/>
  <c r="J1377" i="100"/>
  <c r="J1375" i="100"/>
  <c r="J1371" i="100"/>
  <c r="J1367" i="100"/>
  <c r="J1363" i="100"/>
  <c r="J1359" i="100"/>
  <c r="J1355" i="100"/>
  <c r="J1353" i="100"/>
  <c r="J1349" i="100"/>
  <c r="J1345" i="100"/>
  <c r="J1341" i="100"/>
  <c r="J1339" i="100"/>
  <c r="J1335" i="100"/>
  <c r="J1331" i="100"/>
  <c r="J1327" i="100"/>
  <c r="J1323" i="100"/>
  <c r="J1319" i="100"/>
  <c r="J1317" i="100"/>
  <c r="J1313" i="100"/>
  <c r="J1309" i="100"/>
  <c r="J1305" i="100"/>
  <c r="J1301" i="100"/>
  <c r="J1297" i="100"/>
  <c r="J1291" i="100"/>
  <c r="J1287" i="100"/>
  <c r="J1280" i="100"/>
  <c r="J1440" i="100"/>
  <c r="J1419" i="100"/>
  <c r="J1409" i="100"/>
  <c r="J1407" i="100"/>
  <c r="J1382" i="100"/>
  <c r="J1364" i="100"/>
  <c r="J1346" i="100"/>
  <c r="J1328" i="100"/>
  <c r="J1310" i="100"/>
  <c r="J1296" i="100"/>
  <c r="J1293" i="100"/>
  <c r="J1275" i="100"/>
  <c r="J1271" i="100"/>
  <c r="J1267" i="100"/>
  <c r="J1263" i="100"/>
  <c r="J1259" i="100"/>
  <c r="J1255" i="100"/>
  <c r="J1251" i="100"/>
  <c r="J1247" i="100"/>
  <c r="J1243" i="100"/>
  <c r="J1497" i="100"/>
  <c r="J1455" i="100"/>
  <c r="J1442" i="100"/>
  <c r="J1434" i="100"/>
  <c r="J1421" i="100"/>
  <c r="J1413" i="100"/>
  <c r="J1395" i="100"/>
  <c r="J1386" i="100"/>
  <c r="J1368" i="100"/>
  <c r="J1332" i="100"/>
  <c r="J1298" i="100"/>
  <c r="J1295" i="100"/>
  <c r="J1289" i="100"/>
  <c r="J1286" i="100"/>
  <c r="J1279" i="100"/>
  <c r="J1278" i="100"/>
  <c r="J1274" i="100"/>
  <c r="J1270" i="100"/>
  <c r="J1266" i="100"/>
  <c r="J1262" i="100"/>
  <c r="J1258" i="100"/>
  <c r="J1254" i="100"/>
  <c r="J1250" i="100"/>
  <c r="J1246" i="100"/>
  <c r="J1242" i="100"/>
  <c r="J1226" i="100"/>
  <c r="J1523" i="100"/>
  <c r="J1436" i="100"/>
  <c r="J1415" i="100"/>
  <c r="J1399" i="100"/>
  <c r="J1390" i="100"/>
  <c r="J1372" i="100"/>
  <c r="J1354" i="100"/>
  <c r="J1352" i="100"/>
  <c r="J1336" i="100"/>
  <c r="J1318" i="100"/>
  <c r="J1316" i="100"/>
  <c r="J1300" i="100"/>
  <c r="J1294" i="100"/>
  <c r="J1292" i="100"/>
  <c r="J1285" i="100"/>
  <c r="K1285" i="100" s="1"/>
  <c r="J1284" i="100"/>
  <c r="K1284" i="100" s="1"/>
  <c r="J1283" i="100"/>
  <c r="K1283" i="100" s="1"/>
  <c r="J1282" i="100"/>
  <c r="J1281" i="100"/>
  <c r="J1277" i="100"/>
  <c r="J1273" i="100"/>
  <c r="J1269" i="100"/>
  <c r="J1265" i="100"/>
  <c r="J1261" i="100"/>
  <c r="J1257" i="100"/>
  <c r="J1253" i="100"/>
  <c r="J1249" i="100"/>
  <c r="J1245" i="100"/>
  <c r="J1241" i="100"/>
  <c r="J1237" i="100"/>
  <c r="J1230" i="100"/>
  <c r="J1438" i="100"/>
  <c r="J1417" i="100"/>
  <c r="J1403" i="100"/>
  <c r="J1394" i="100"/>
  <c r="J1378" i="100"/>
  <c r="J1376" i="100"/>
  <c r="J1360" i="100"/>
  <c r="J1358" i="100"/>
  <c r="J1342" i="100"/>
  <c r="J1340" i="100"/>
  <c r="J1324" i="100"/>
  <c r="J1322" i="100"/>
  <c r="J1306" i="100"/>
  <c r="J1304" i="100"/>
  <c r="J1290" i="100"/>
  <c r="J1288" i="100"/>
  <c r="J1276" i="100"/>
  <c r="J1272" i="100"/>
  <c r="J1268" i="100"/>
  <c r="J1264" i="100"/>
  <c r="J1260" i="100"/>
  <c r="J1256" i="100"/>
  <c r="J1252" i="100"/>
  <c r="J1248" i="100"/>
  <c r="J1244" i="100"/>
  <c r="J1225" i="100"/>
  <c r="J1229" i="100"/>
  <c r="J1228" i="100"/>
  <c r="J1227" i="100"/>
  <c r="J1224" i="100"/>
  <c r="J1132" i="100"/>
  <c r="J1128" i="100"/>
  <c r="J1124" i="100"/>
  <c r="J1120" i="100"/>
  <c r="J1114" i="100"/>
  <c r="J1109" i="100"/>
  <c r="J1223" i="100"/>
  <c r="J1222" i="100"/>
  <c r="J1221" i="100"/>
  <c r="J1220" i="100"/>
  <c r="K1220" i="100" s="1"/>
  <c r="J1213" i="100"/>
  <c r="J1131" i="100"/>
  <c r="J1130" i="100"/>
  <c r="J1129" i="100"/>
  <c r="J1105" i="100"/>
  <c r="J1067" i="100"/>
  <c r="J1045" i="100"/>
  <c r="J1041" i="100"/>
  <c r="J1040" i="100"/>
  <c r="J994" i="100"/>
  <c r="J990" i="100"/>
  <c r="J989" i="100"/>
  <c r="J906" i="100"/>
  <c r="J898" i="100"/>
  <c r="J892" i="100"/>
  <c r="J1215" i="100"/>
  <c r="J1119" i="100"/>
  <c r="J1118" i="100"/>
  <c r="J1117" i="100"/>
  <c r="J1111" i="100"/>
  <c r="J1107" i="100"/>
  <c r="J1066" i="100"/>
  <c r="J1064" i="100"/>
  <c r="J1062" i="100"/>
  <c r="J1059" i="100"/>
  <c r="J1055" i="100"/>
  <c r="J1054" i="100"/>
  <c r="J1049" i="100"/>
  <c r="J1042" i="100"/>
  <c r="J999" i="100"/>
  <c r="J995" i="100"/>
  <c r="J991" i="100"/>
  <c r="J1218" i="100"/>
  <c r="J1126" i="100"/>
  <c r="J1061" i="100"/>
  <c r="J1001" i="100"/>
  <c r="J992" i="100"/>
  <c r="J905" i="100"/>
  <c r="J897" i="100"/>
  <c r="J895" i="100"/>
  <c r="J810" i="100"/>
  <c r="J802" i="100"/>
  <c r="J1123" i="100"/>
  <c r="J1121" i="100"/>
  <c r="J1115" i="100"/>
  <c r="J1108" i="100"/>
  <c r="J1052" i="100"/>
  <c r="J1048" i="100"/>
  <c r="J1038" i="100"/>
  <c r="J1000" i="100"/>
  <c r="J899" i="100"/>
  <c r="J803" i="100"/>
  <c r="J799" i="100"/>
  <c r="J798" i="100"/>
  <c r="J683" i="100"/>
  <c r="J681" i="100"/>
  <c r="J675" i="100"/>
  <c r="J670" i="100"/>
  <c r="J1122" i="100"/>
  <c r="J1110" i="100"/>
  <c r="J1060" i="100"/>
  <c r="J1043" i="100"/>
  <c r="J993" i="100"/>
  <c r="J900" i="100"/>
  <c r="J809" i="100"/>
  <c r="J807" i="100"/>
  <c r="J801" i="100"/>
  <c r="J796" i="100"/>
  <c r="J677" i="100"/>
  <c r="J673" i="100"/>
  <c r="J672" i="100"/>
  <c r="J1125" i="100"/>
  <c r="J904" i="100"/>
  <c r="J903" i="100"/>
  <c r="J800" i="100"/>
  <c r="J684" i="100"/>
  <c r="J676" i="100"/>
  <c r="J583" i="100"/>
  <c r="J581" i="100"/>
  <c r="J575" i="100"/>
  <c r="J570" i="100"/>
  <c r="J535" i="100"/>
  <c r="J531" i="100"/>
  <c r="J527" i="100"/>
  <c r="J523" i="100"/>
  <c r="J515" i="100"/>
  <c r="J511" i="100"/>
  <c r="J503" i="100"/>
  <c r="J499" i="100"/>
  <c r="J491" i="100"/>
  <c r="J987" i="100"/>
  <c r="J808" i="100"/>
  <c r="J682" i="100"/>
  <c r="J674" i="100"/>
  <c r="J584" i="100"/>
  <c r="J582" i="100"/>
  <c r="J576" i="100"/>
  <c r="J538" i="100"/>
  <c r="J534" i="100"/>
  <c r="J530" i="100"/>
  <c r="J526" i="100"/>
  <c r="J522" i="100"/>
  <c r="J514" i="100"/>
  <c r="J510" i="100"/>
  <c r="J502" i="100"/>
  <c r="J498" i="100"/>
  <c r="J490" i="100"/>
  <c r="J486" i="100"/>
  <c r="J478" i="100"/>
  <c r="J474" i="100"/>
  <c r="J466" i="100"/>
  <c r="J462" i="100"/>
  <c r="J454" i="100"/>
  <c r="J450" i="100"/>
  <c r="J442" i="100"/>
  <c r="J438" i="100"/>
  <c r="J430" i="100"/>
  <c r="J426" i="100"/>
  <c r="J418" i="100"/>
  <c r="J414" i="100"/>
  <c r="J406" i="100"/>
  <c r="J402" i="100"/>
  <c r="J394" i="100"/>
  <c r="J390" i="100"/>
  <c r="J382" i="100"/>
  <c r="J1065" i="100"/>
  <c r="J1063" i="100"/>
  <c r="J1058" i="100"/>
  <c r="J909" i="100"/>
  <c r="J894" i="100"/>
  <c r="J577" i="100"/>
  <c r="J573" i="100"/>
  <c r="J572" i="100"/>
  <c r="J537" i="100"/>
  <c r="J533" i="100"/>
  <c r="J529" i="100"/>
  <c r="J525" i="100"/>
  <c r="J517" i="100"/>
  <c r="J513" i="100"/>
  <c r="J505" i="100"/>
  <c r="J501" i="100"/>
  <c r="J1127" i="100"/>
  <c r="J1044" i="100"/>
  <c r="J998" i="100"/>
  <c r="J896" i="100"/>
  <c r="J804" i="100"/>
  <c r="J678" i="100"/>
  <c r="J587" i="100"/>
  <c r="J578" i="100"/>
  <c r="J574" i="100"/>
  <c r="J536" i="100"/>
  <c r="J532" i="100"/>
  <c r="J528" i="100"/>
  <c r="J524" i="100"/>
  <c r="J516" i="100"/>
  <c r="J512" i="100"/>
  <c r="J504" i="100"/>
  <c r="J500" i="100"/>
  <c r="J492" i="100"/>
  <c r="J488" i="100"/>
  <c r="J480" i="100"/>
  <c r="J476" i="100"/>
  <c r="J468" i="100"/>
  <c r="J464" i="100"/>
  <c r="J456" i="100"/>
  <c r="J452" i="100"/>
  <c r="J444" i="100"/>
  <c r="J440" i="100"/>
  <c r="J432" i="100"/>
  <c r="J428" i="100"/>
  <c r="J420" i="100"/>
  <c r="J416" i="100"/>
  <c r="J408" i="100"/>
  <c r="J404" i="100"/>
  <c r="J396" i="100"/>
  <c r="J481" i="100"/>
  <c r="J469" i="100"/>
  <c r="J457" i="100"/>
  <c r="J445" i="100"/>
  <c r="J433" i="100"/>
  <c r="J421" i="100"/>
  <c r="J409" i="100"/>
  <c r="J397" i="100"/>
  <c r="J381" i="100"/>
  <c r="J373" i="100"/>
  <c r="J369" i="100"/>
  <c r="J361" i="100"/>
  <c r="J357" i="100"/>
  <c r="J349" i="100"/>
  <c r="J345" i="100"/>
  <c r="J337" i="100"/>
  <c r="J333" i="100"/>
  <c r="J325" i="100"/>
  <c r="J321" i="100"/>
  <c r="J313" i="100"/>
  <c r="J309" i="100"/>
  <c r="J301" i="100"/>
  <c r="J297" i="100"/>
  <c r="J289" i="100"/>
  <c r="J285" i="100"/>
  <c r="J277" i="100"/>
  <c r="J263" i="100"/>
  <c r="J259" i="100"/>
  <c r="J253" i="100"/>
  <c r="J249" i="100"/>
  <c r="J243" i="100"/>
  <c r="J239" i="100"/>
  <c r="J232" i="100"/>
  <c r="J228" i="100"/>
  <c r="J208" i="100"/>
  <c r="J204" i="100"/>
  <c r="J198" i="100"/>
  <c r="J194" i="100"/>
  <c r="J188" i="100"/>
  <c r="J184" i="100"/>
  <c r="J493" i="100"/>
  <c r="J479" i="100"/>
  <c r="J467" i="100"/>
  <c r="J455" i="100"/>
  <c r="J443" i="100"/>
  <c r="J431" i="100"/>
  <c r="J419" i="100"/>
  <c r="J407" i="100"/>
  <c r="J395" i="100"/>
  <c r="J385" i="100"/>
  <c r="J384" i="100"/>
  <c r="J383" i="100"/>
  <c r="J380" i="100"/>
  <c r="J372" i="100"/>
  <c r="J368" i="100"/>
  <c r="J360" i="100"/>
  <c r="J356" i="100"/>
  <c r="J348" i="100"/>
  <c r="J344" i="100"/>
  <c r="J336" i="100"/>
  <c r="J332" i="100"/>
  <c r="J324" i="100"/>
  <c r="J320" i="100"/>
  <c r="J312" i="100"/>
  <c r="J308" i="100"/>
  <c r="J300" i="100"/>
  <c r="J296" i="100"/>
  <c r="J288" i="100"/>
  <c r="J284" i="100"/>
  <c r="J272" i="100"/>
  <c r="J252" i="100"/>
  <c r="J248" i="100"/>
  <c r="J242" i="100"/>
  <c r="J238" i="100"/>
  <c r="J231" i="100"/>
  <c r="J227" i="100"/>
  <c r="J217" i="100"/>
  <c r="J197" i="100"/>
  <c r="J193" i="100"/>
  <c r="J187" i="100"/>
  <c r="J183" i="100"/>
  <c r="J173" i="100"/>
  <c r="J163" i="100"/>
  <c r="J159" i="100"/>
  <c r="J155" i="100"/>
  <c r="J151" i="100"/>
  <c r="J147" i="100"/>
  <c r="J143" i="100"/>
  <c r="J133" i="100"/>
  <c r="J123" i="100"/>
  <c r="J113" i="100"/>
  <c r="J103" i="100"/>
  <c r="J93" i="100"/>
  <c r="J83" i="100"/>
  <c r="J73" i="100"/>
  <c r="J63" i="100"/>
  <c r="J53" i="100"/>
  <c r="J43" i="100"/>
  <c r="J39" i="100"/>
  <c r="J35" i="100"/>
  <c r="J31" i="100"/>
  <c r="J23" i="100"/>
  <c r="J489" i="100"/>
  <c r="J477" i="100"/>
  <c r="J465" i="100"/>
  <c r="J453" i="100"/>
  <c r="J441" i="100"/>
  <c r="J429" i="100"/>
  <c r="J417" i="100"/>
  <c r="J405" i="100"/>
  <c r="J393" i="100"/>
  <c r="J392" i="100"/>
  <c r="J391" i="100"/>
  <c r="J379" i="100"/>
  <c r="J371" i="100"/>
  <c r="J367" i="100"/>
  <c r="J359" i="100"/>
  <c r="J355" i="100"/>
  <c r="J347" i="100"/>
  <c r="J343" i="100"/>
  <c r="J335" i="100"/>
  <c r="J331" i="100"/>
  <c r="J323" i="100"/>
  <c r="J319" i="100"/>
  <c r="J311" i="100"/>
  <c r="J307" i="100"/>
  <c r="J299" i="100"/>
  <c r="J295" i="100"/>
  <c r="J287" i="100"/>
  <c r="J283" i="100"/>
  <c r="J271" i="100"/>
  <c r="J261" i="100"/>
  <c r="J241" i="100"/>
  <c r="J237" i="100"/>
  <c r="J230" i="100"/>
  <c r="J226" i="100"/>
  <c r="J216" i="100"/>
  <c r="J206" i="100"/>
  <c r="J186" i="100"/>
  <c r="J182" i="100"/>
  <c r="J172" i="100"/>
  <c r="J166" i="100"/>
  <c r="J162" i="100"/>
  <c r="J158" i="100"/>
  <c r="J150" i="100"/>
  <c r="J146" i="100"/>
  <c r="J142" i="100"/>
  <c r="J132" i="100"/>
  <c r="J122" i="100"/>
  <c r="J112" i="100"/>
  <c r="J102" i="100"/>
  <c r="J92" i="100"/>
  <c r="J82" i="100"/>
  <c r="J72" i="100"/>
  <c r="J62" i="100"/>
  <c r="J52" i="100"/>
  <c r="J42" i="100"/>
  <c r="J38" i="100"/>
  <c r="J34" i="100"/>
  <c r="J30" i="100"/>
  <c r="J26" i="100"/>
  <c r="J22" i="100"/>
  <c r="J18" i="100"/>
  <c r="J487" i="100"/>
  <c r="J475" i="100"/>
  <c r="J463" i="100"/>
  <c r="J451" i="100"/>
  <c r="J439" i="100"/>
  <c r="J427" i="100"/>
  <c r="J415" i="100"/>
  <c r="J403" i="100"/>
  <c r="J378" i="100"/>
  <c r="J370" i="100"/>
  <c r="J366" i="100"/>
  <c r="J358" i="100"/>
  <c r="J354" i="100"/>
  <c r="J346" i="100"/>
  <c r="J342" i="100"/>
  <c r="J334" i="100"/>
  <c r="J330" i="100"/>
  <c r="J322" i="100"/>
  <c r="J318" i="100"/>
  <c r="J310" i="100"/>
  <c r="J306" i="100"/>
  <c r="J298" i="100"/>
  <c r="J294" i="100"/>
  <c r="J286" i="100"/>
  <c r="J282" i="100"/>
  <c r="J270" i="100"/>
  <c r="J260" i="100"/>
  <c r="J250" i="100"/>
  <c r="J240" i="100"/>
  <c r="J234" i="100"/>
  <c r="J215" i="100"/>
  <c r="J205" i="100"/>
  <c r="J195" i="100"/>
  <c r="J171" i="100"/>
  <c r="J165" i="100"/>
  <c r="J161" i="100"/>
  <c r="J157" i="100"/>
  <c r="J153" i="100"/>
  <c r="J149" i="100"/>
  <c r="J145" i="100"/>
  <c r="J135" i="100"/>
  <c r="J125" i="100"/>
  <c r="J115" i="100"/>
  <c r="J105" i="100"/>
  <c r="J95" i="100"/>
  <c r="J85" i="100"/>
  <c r="J75" i="100"/>
  <c r="J65" i="100"/>
  <c r="J55" i="100"/>
  <c r="J45" i="100"/>
  <c r="J41" i="100"/>
  <c r="J37" i="100"/>
  <c r="J29" i="100"/>
  <c r="J25" i="100"/>
  <c r="J21" i="100"/>
  <c r="J12" i="100"/>
  <c r="J164" i="100"/>
  <c r="J160" i="100"/>
  <c r="J156" i="100"/>
  <c r="J152" i="100"/>
  <c r="I15" i="100"/>
  <c r="K15" i="100"/>
  <c r="J74" i="100"/>
  <c r="J114" i="100"/>
  <c r="J174" i="100"/>
  <c r="J218" i="100"/>
  <c r="J251" i="100"/>
  <c r="I20" i="100"/>
  <c r="K20" i="100"/>
  <c r="J28" i="100"/>
  <c r="J64" i="100"/>
  <c r="J104" i="100"/>
  <c r="J144" i="100"/>
  <c r="J207" i="100"/>
  <c r="I13" i="100"/>
  <c r="J175" i="100"/>
  <c r="J179" i="100"/>
  <c r="J199" i="100"/>
  <c r="J209" i="100"/>
  <c r="J219" i="100"/>
  <c r="J223" i="100"/>
  <c r="J254" i="100"/>
  <c r="J264" i="100"/>
  <c r="J274" i="100"/>
  <c r="J176" i="100"/>
  <c r="J190" i="100"/>
  <c r="J210" i="100"/>
  <c r="J220" i="100"/>
  <c r="J245" i="100"/>
  <c r="J265" i="100"/>
  <c r="J275" i="100"/>
  <c r="J177" i="100"/>
  <c r="J201" i="100"/>
  <c r="J221" i="100"/>
  <c r="J256" i="100"/>
  <c r="J276" i="100"/>
  <c r="J168" i="100"/>
  <c r="J212" i="100"/>
  <c r="J267" i="100"/>
  <c r="K543" i="100"/>
  <c r="I545" i="100"/>
  <c r="K547" i="100"/>
  <c r="I551" i="100"/>
  <c r="I559" i="100"/>
  <c r="K561" i="100"/>
  <c r="I563" i="100"/>
  <c r="I567" i="100"/>
  <c r="I593" i="100"/>
  <c r="K595" i="100"/>
  <c r="I597" i="100"/>
  <c r="I601" i="100"/>
  <c r="K603" i="100"/>
  <c r="I612" i="100"/>
  <c r="K613" i="100"/>
  <c r="I616" i="100"/>
  <c r="I621" i="100"/>
  <c r="I637" i="100"/>
  <c r="K637" i="100"/>
  <c r="I644" i="100"/>
  <c r="K644" i="100"/>
  <c r="K653" i="100"/>
  <c r="I653" i="100"/>
  <c r="K665" i="100"/>
  <c r="I665" i="100"/>
  <c r="I740" i="100"/>
  <c r="K740" i="100"/>
  <c r="I744" i="100"/>
  <c r="K744" i="100"/>
  <c r="K820" i="100"/>
  <c r="I820" i="100"/>
  <c r="K944" i="100"/>
  <c r="I944" i="100"/>
  <c r="I973" i="100"/>
  <c r="K973" i="100"/>
  <c r="K1148" i="100"/>
  <c r="I1148" i="100"/>
  <c r="I1177" i="100"/>
  <c r="K1177" i="100"/>
  <c r="K641" i="100"/>
  <c r="I641" i="100"/>
  <c r="I652" i="100"/>
  <c r="K652" i="100"/>
  <c r="K662" i="100"/>
  <c r="I662" i="100"/>
  <c r="I694" i="100"/>
  <c r="K694" i="100"/>
  <c r="K700" i="100"/>
  <c r="I700" i="100"/>
  <c r="K712" i="100"/>
  <c r="I712" i="100"/>
  <c r="K772" i="100"/>
  <c r="I772" i="100"/>
  <c r="K786" i="100"/>
  <c r="I786" i="100"/>
  <c r="K846" i="100"/>
  <c r="I846" i="100"/>
  <c r="I917" i="100"/>
  <c r="K917" i="100"/>
  <c r="K985" i="100"/>
  <c r="I985" i="100"/>
  <c r="K1029" i="100"/>
  <c r="I1029" i="100"/>
  <c r="I1155" i="100"/>
  <c r="K1155" i="100"/>
  <c r="J1232" i="100"/>
  <c r="K614" i="100"/>
  <c r="I620" i="100"/>
  <c r="K642" i="100"/>
  <c r="I642" i="100"/>
  <c r="K646" i="100"/>
  <c r="I646" i="100"/>
  <c r="I650" i="100"/>
  <c r="K650" i="100"/>
  <c r="K659" i="100"/>
  <c r="I659" i="100"/>
  <c r="I718" i="100"/>
  <c r="K718" i="100"/>
  <c r="K742" i="100"/>
  <c r="I742" i="100"/>
  <c r="K828" i="100"/>
  <c r="I828" i="100"/>
  <c r="K858" i="100"/>
  <c r="I858" i="100"/>
  <c r="K882" i="100"/>
  <c r="I882" i="100"/>
  <c r="K911" i="100"/>
  <c r="I911" i="100"/>
  <c r="K922" i="100"/>
  <c r="I922" i="100"/>
  <c r="I981" i="100"/>
  <c r="K981" i="100"/>
  <c r="K1007" i="100"/>
  <c r="I1007" i="100"/>
  <c r="K1023" i="100"/>
  <c r="I1023" i="100"/>
  <c r="I1071" i="100"/>
  <c r="K1071" i="100"/>
  <c r="I1078" i="100"/>
  <c r="K1078" i="100"/>
  <c r="I1085" i="100"/>
  <c r="K1085" i="100"/>
  <c r="K1092" i="100"/>
  <c r="I1092" i="100"/>
  <c r="I1146" i="100"/>
  <c r="K1146" i="100"/>
  <c r="K1163" i="100"/>
  <c r="I1163" i="100"/>
  <c r="K1179" i="100"/>
  <c r="I1179" i="100"/>
  <c r="I639" i="100"/>
  <c r="K639" i="100"/>
  <c r="K656" i="100"/>
  <c r="I656" i="100"/>
  <c r="K692" i="100"/>
  <c r="I692" i="100"/>
  <c r="K696" i="100"/>
  <c r="I696" i="100"/>
  <c r="I702" i="100"/>
  <c r="K702" i="100"/>
  <c r="I710" i="100"/>
  <c r="K710" i="100"/>
  <c r="I714" i="100"/>
  <c r="K714" i="100"/>
  <c r="I748" i="100"/>
  <c r="K748" i="100"/>
  <c r="K781" i="100"/>
  <c r="I781" i="100"/>
  <c r="K792" i="100"/>
  <c r="I792" i="100"/>
  <c r="K976" i="100"/>
  <c r="I976" i="100"/>
  <c r="I1025" i="100"/>
  <c r="K1025" i="100"/>
  <c r="I1186" i="100"/>
  <c r="K1186" i="100"/>
  <c r="K770" i="100"/>
  <c r="K774" i="100"/>
  <c r="K778" i="100"/>
  <c r="K783" i="100"/>
  <c r="K784" i="100"/>
  <c r="K788" i="100"/>
  <c r="K818" i="100"/>
  <c r="K822" i="100"/>
  <c r="K826" i="100"/>
  <c r="K852" i="100"/>
  <c r="K876" i="100"/>
  <c r="K888" i="100"/>
  <c r="K933" i="100"/>
  <c r="K953" i="100"/>
  <c r="K968" i="100"/>
  <c r="I1093" i="100"/>
  <c r="K1093" i="100"/>
  <c r="K1147" i="100"/>
  <c r="K1154" i="100"/>
  <c r="K1160" i="100"/>
  <c r="I1160" i="100"/>
  <c r="K1165" i="100"/>
  <c r="K1175" i="100"/>
  <c r="I1175" i="100"/>
  <c r="K1178" i="100"/>
  <c r="K1185" i="100"/>
  <c r="K1191" i="100"/>
  <c r="I1191" i="100"/>
  <c r="J1236" i="100"/>
  <c r="I924" i="100"/>
  <c r="I936" i="100"/>
  <c r="I956" i="100"/>
  <c r="I1008" i="100"/>
  <c r="I1030" i="100"/>
  <c r="K1152" i="100"/>
  <c r="I1152" i="100"/>
  <c r="K1183" i="100"/>
  <c r="I1183" i="100"/>
  <c r="J1233" i="100"/>
  <c r="I1137" i="100"/>
  <c r="K1137" i="100"/>
  <c r="K1156" i="100"/>
  <c r="I1156" i="100"/>
  <c r="K1171" i="100"/>
  <c r="I1171" i="100"/>
  <c r="I1188" i="100"/>
  <c r="K1188" i="100"/>
  <c r="J1231" i="100"/>
  <c r="J1234" i="100"/>
  <c r="K1080" i="100"/>
  <c r="K1136" i="100"/>
  <c r="K1144" i="100"/>
  <c r="K1196" i="100"/>
  <c r="K1200" i="100"/>
  <c r="K1204" i="100"/>
  <c r="K1208" i="100"/>
  <c r="J1238" i="100"/>
  <c r="J1235" i="100"/>
  <c r="J1240" i="100"/>
  <c r="J1239" i="100"/>
  <c r="K2400" i="100" l="1"/>
  <c r="I2400" i="100"/>
  <c r="K2337" i="100"/>
  <c r="I2337" i="100"/>
  <c r="K2330" i="100"/>
  <c r="I2330" i="100"/>
  <c r="K2403" i="100"/>
  <c r="I2403" i="100"/>
  <c r="K2379" i="100"/>
  <c r="I2379" i="100"/>
  <c r="K2543" i="100"/>
  <c r="I2543" i="100"/>
  <c r="I2519" i="100"/>
  <c r="K2519" i="100"/>
  <c r="I2542" i="100"/>
  <c r="K2542" i="100"/>
  <c r="K2578" i="100"/>
  <c r="I2578" i="100"/>
  <c r="K2554" i="100"/>
  <c r="I2554" i="100"/>
  <c r="I2523" i="100"/>
  <c r="K2523" i="100"/>
  <c r="K2599" i="100"/>
  <c r="I2599" i="100"/>
  <c r="K2531" i="100"/>
  <c r="I2531" i="100"/>
  <c r="K2555" i="100"/>
  <c r="I2555" i="100"/>
  <c r="I2594" i="100"/>
  <c r="K2594" i="100"/>
  <c r="I2483" i="100"/>
  <c r="K2483" i="100"/>
  <c r="K2616" i="100"/>
  <c r="I2616" i="100"/>
  <c r="K2485" i="100"/>
  <c r="I2485" i="100"/>
  <c r="K2453" i="100"/>
  <c r="I2453" i="100"/>
  <c r="K2628" i="100"/>
  <c r="I2628" i="100"/>
  <c r="K2561" i="100"/>
  <c r="I2561" i="100"/>
  <c r="I2433" i="100"/>
  <c r="K2433" i="100"/>
  <c r="I2354" i="100"/>
  <c r="K2354" i="100"/>
  <c r="K2356" i="100"/>
  <c r="I2356" i="100"/>
  <c r="I2402" i="100"/>
  <c r="K2402" i="100"/>
  <c r="K2357" i="100"/>
  <c r="I2357" i="100"/>
  <c r="K2401" i="100"/>
  <c r="I2401" i="100"/>
  <c r="K2544" i="100"/>
  <c r="I2544" i="100"/>
  <c r="K2424" i="100"/>
  <c r="I2424" i="100"/>
  <c r="K2608" i="100"/>
  <c r="I2608" i="100"/>
  <c r="K2516" i="100"/>
  <c r="I2516" i="100"/>
  <c r="I2522" i="100"/>
  <c r="K2522" i="100"/>
  <c r="K2520" i="100"/>
  <c r="I2520" i="100"/>
  <c r="K2444" i="100"/>
  <c r="I2444" i="100"/>
  <c r="I2547" i="100"/>
  <c r="K2547" i="100"/>
  <c r="K2413" i="100"/>
  <c r="I2413" i="100"/>
  <c r="K2510" i="100"/>
  <c r="I2510" i="100"/>
  <c r="K2495" i="100"/>
  <c r="I2495" i="100"/>
  <c r="K2423" i="100"/>
  <c r="I2423" i="100"/>
  <c r="K2496" i="100"/>
  <c r="I2496" i="100"/>
  <c r="K2464" i="100"/>
  <c r="I2464" i="100"/>
  <c r="K2583" i="100"/>
  <c r="I2583" i="100"/>
  <c r="K2629" i="100"/>
  <c r="I2629" i="100"/>
  <c r="K2445" i="100"/>
  <c r="I2445" i="100"/>
  <c r="I2380" i="100"/>
  <c r="K2380" i="100"/>
  <c r="K2355" i="100"/>
  <c r="I2355" i="100"/>
  <c r="I2332" i="100"/>
  <c r="K2332" i="100"/>
  <c r="K2399" i="100"/>
  <c r="I2399" i="100"/>
  <c r="I2398" i="100"/>
  <c r="K2398" i="100"/>
  <c r="I2619" i="100"/>
  <c r="K2619" i="100"/>
  <c r="K2624" i="100"/>
  <c r="I2624" i="100"/>
  <c r="K2621" i="100"/>
  <c r="I2621" i="100"/>
  <c r="K2404" i="100"/>
  <c r="I2404" i="100"/>
  <c r="K2515" i="100"/>
  <c r="I2515" i="100"/>
  <c r="I2633" i="100"/>
  <c r="K2633" i="100"/>
  <c r="K2569" i="100"/>
  <c r="I2569" i="100"/>
  <c r="I2589" i="100"/>
  <c r="K2589" i="100"/>
  <c r="K2425" i="100"/>
  <c r="I2425" i="100"/>
  <c r="K2563" i="100"/>
  <c r="I2563" i="100"/>
  <c r="K2505" i="100"/>
  <c r="I2505" i="100"/>
  <c r="I2446" i="100"/>
  <c r="K2446" i="100"/>
  <c r="I2506" i="100"/>
  <c r="K2506" i="100"/>
  <c r="K2475" i="100"/>
  <c r="I2475" i="100"/>
  <c r="K2504" i="100"/>
  <c r="I2504" i="100"/>
  <c r="I2435" i="100"/>
  <c r="K2435" i="100"/>
  <c r="K2456" i="100"/>
  <c r="I2456" i="100"/>
  <c r="K2358" i="100"/>
  <c r="I2358" i="100"/>
  <c r="K2374" i="100"/>
  <c r="I2374" i="100"/>
  <c r="I2397" i="100"/>
  <c r="K2397" i="100"/>
  <c r="K2331" i="100"/>
  <c r="I2331" i="100"/>
  <c r="K2352" i="100"/>
  <c r="I2352" i="100"/>
  <c r="K2632" i="100"/>
  <c r="I2632" i="100"/>
  <c r="I2587" i="100"/>
  <c r="K2587" i="100"/>
  <c r="I2533" i="100"/>
  <c r="K2533" i="100"/>
  <c r="I2414" i="100"/>
  <c r="K2414" i="100"/>
  <c r="I2630" i="100"/>
  <c r="K2630" i="100"/>
  <c r="I2622" i="100"/>
  <c r="K2622" i="100"/>
  <c r="K2588" i="100"/>
  <c r="I2588" i="100"/>
  <c r="K2454" i="100"/>
  <c r="I2454" i="100"/>
  <c r="K2436" i="100"/>
  <c r="I2436" i="100"/>
  <c r="I2426" i="100"/>
  <c r="K2426" i="100"/>
  <c r="K2513" i="100"/>
  <c r="I2513" i="100"/>
  <c r="I2573" i="100"/>
  <c r="K2573" i="100"/>
  <c r="K2530" i="100"/>
  <c r="I2530" i="100"/>
  <c r="I2486" i="100"/>
  <c r="K2486" i="100"/>
  <c r="I2605" i="100"/>
  <c r="K2605" i="100"/>
  <c r="K2493" i="100"/>
  <c r="I2493" i="100"/>
  <c r="I2466" i="100"/>
  <c r="K2466" i="100"/>
  <c r="K2377" i="100"/>
  <c r="I2377" i="100"/>
  <c r="K2351" i="100"/>
  <c r="I2351" i="100"/>
  <c r="K2335" i="100"/>
  <c r="I2335" i="100"/>
  <c r="K2395" i="100"/>
  <c r="I2395" i="100"/>
  <c r="I2631" i="100"/>
  <c r="K2631" i="100"/>
  <c r="K2517" i="100"/>
  <c r="I2517" i="100"/>
  <c r="K2566" i="100"/>
  <c r="I2566" i="100"/>
  <c r="K2586" i="100"/>
  <c r="I2586" i="100"/>
  <c r="K2536" i="100"/>
  <c r="I2536" i="100"/>
  <c r="I2575" i="100"/>
  <c r="K2575" i="100"/>
  <c r="I2620" i="100"/>
  <c r="K2620" i="100"/>
  <c r="K2521" i="100"/>
  <c r="I2521" i="100"/>
  <c r="K2494" i="100"/>
  <c r="I2494" i="100"/>
  <c r="I2503" i="100"/>
  <c r="K2503" i="100"/>
  <c r="K2512" i="100"/>
  <c r="I2512" i="100"/>
  <c r="I2529" i="100"/>
  <c r="K2529" i="100"/>
  <c r="K2415" i="100"/>
  <c r="I2415" i="100"/>
  <c r="K2540" i="100"/>
  <c r="I2540" i="100"/>
  <c r="I2507" i="100"/>
  <c r="K2507" i="100"/>
  <c r="K2443" i="100"/>
  <c r="I2443" i="100"/>
  <c r="K2528" i="100"/>
  <c r="I2528" i="100"/>
  <c r="K2509" i="100"/>
  <c r="I2509" i="100"/>
  <c r="I2376" i="100"/>
  <c r="K2376" i="100"/>
  <c r="K2329" i="100"/>
  <c r="I2329" i="100"/>
  <c r="K2378" i="100"/>
  <c r="I2378" i="100"/>
  <c r="I2336" i="100"/>
  <c r="K2336" i="100"/>
  <c r="I2567" i="100"/>
  <c r="K2567" i="100"/>
  <c r="I2597" i="100"/>
  <c r="K2597" i="100"/>
  <c r="K2556" i="100"/>
  <c r="I2556" i="100"/>
  <c r="K2558" i="100"/>
  <c r="I2558" i="100"/>
  <c r="I2577" i="100"/>
  <c r="K2577" i="100"/>
  <c r="K2598" i="100"/>
  <c r="I2598" i="100"/>
  <c r="K2545" i="100"/>
  <c r="I2545" i="100"/>
  <c r="K2518" i="100"/>
  <c r="I2518" i="100"/>
  <c r="I2580" i="100"/>
  <c r="K2580" i="100"/>
  <c r="I2511" i="100"/>
  <c r="K2511" i="100"/>
  <c r="K2585" i="100"/>
  <c r="I2585" i="100"/>
  <c r="K2539" i="100"/>
  <c r="I2539" i="100"/>
  <c r="I2406" i="100"/>
  <c r="K2406" i="100"/>
  <c r="K2607" i="100"/>
  <c r="I2607" i="100"/>
  <c r="K2541" i="100"/>
  <c r="I2541" i="100"/>
  <c r="K2465" i="100"/>
  <c r="I2465" i="100"/>
  <c r="I2595" i="100"/>
  <c r="K2595" i="100"/>
  <c r="I2552" i="100"/>
  <c r="K2552" i="100"/>
  <c r="K2333" i="100"/>
  <c r="I2333" i="100"/>
  <c r="K2334" i="100"/>
  <c r="I2334" i="100"/>
  <c r="K2381" i="100"/>
  <c r="I2381" i="100"/>
  <c r="I2375" i="100"/>
  <c r="K2375" i="100"/>
  <c r="I2600" i="100"/>
  <c r="K2600" i="100"/>
  <c r="K2591" i="100"/>
  <c r="I2591" i="100"/>
  <c r="K2484" i="100"/>
  <c r="I2484" i="100"/>
  <c r="K2602" i="100"/>
  <c r="I2602" i="100"/>
  <c r="I2565" i="100"/>
  <c r="K2565" i="100"/>
  <c r="K2534" i="100"/>
  <c r="I2534" i="100"/>
  <c r="K2553" i="100"/>
  <c r="I2553" i="100"/>
  <c r="I2613" i="100"/>
  <c r="K2613" i="100"/>
  <c r="K2564" i="100"/>
  <c r="I2564" i="100"/>
  <c r="K2574" i="100"/>
  <c r="I2574" i="100"/>
  <c r="K2405" i="100"/>
  <c r="I2405" i="100"/>
  <c r="K2596" i="100"/>
  <c r="I2596" i="100"/>
  <c r="I2463" i="100"/>
  <c r="K2463" i="100"/>
  <c r="K2617" i="100"/>
  <c r="I2617" i="100"/>
  <c r="K2550" i="100"/>
  <c r="I2550" i="100"/>
  <c r="K2476" i="100"/>
  <c r="I2476" i="100"/>
  <c r="K2455" i="100"/>
  <c r="I2455" i="100"/>
  <c r="I2562" i="100"/>
  <c r="K2562" i="100"/>
  <c r="K2359" i="100"/>
  <c r="I2359" i="100"/>
  <c r="K2353" i="100"/>
  <c r="I2353" i="100"/>
  <c r="K2373" i="100"/>
  <c r="I2373" i="100"/>
  <c r="K2396" i="100"/>
  <c r="I2396" i="100"/>
  <c r="K2611" i="100"/>
  <c r="I2611" i="100"/>
  <c r="K2474" i="100"/>
  <c r="I2474" i="100"/>
  <c r="I2434" i="100"/>
  <c r="K2434" i="100"/>
  <c r="K2576" i="100"/>
  <c r="I2576" i="100"/>
  <c r="I2610" i="100"/>
  <c r="K2610" i="100"/>
  <c r="I2514" i="100"/>
  <c r="K2514" i="100"/>
  <c r="I2609" i="100"/>
  <c r="K2609" i="100"/>
  <c r="I2525" i="100"/>
  <c r="K2525" i="100"/>
  <c r="I2532" i="100"/>
  <c r="K2532" i="100"/>
  <c r="K2584" i="100"/>
  <c r="I2584" i="100"/>
  <c r="I2416" i="100"/>
  <c r="K2416" i="100"/>
  <c r="K2606" i="100"/>
  <c r="I2606" i="100"/>
  <c r="K2473" i="100"/>
  <c r="I2473" i="100"/>
  <c r="I2627" i="100"/>
  <c r="K2627" i="100"/>
  <c r="K2618" i="100"/>
  <c r="I2618" i="100"/>
  <c r="K2551" i="100"/>
  <c r="I2551" i="100"/>
  <c r="I2508" i="100"/>
  <c r="K2508" i="100"/>
  <c r="I2572" i="100"/>
  <c r="K2572" i="100"/>
  <c r="K2308" i="100"/>
  <c r="I2308" i="100"/>
  <c r="K2312" i="100"/>
  <c r="I2312" i="100"/>
  <c r="K2307" i="100"/>
  <c r="I2307" i="100"/>
  <c r="K2309" i="100"/>
  <c r="I2309" i="100"/>
  <c r="K2313" i="100"/>
  <c r="I2313" i="100"/>
  <c r="I2314" i="100"/>
  <c r="K2314" i="100"/>
  <c r="K2310" i="100"/>
  <c r="I2310" i="100"/>
  <c r="I2315" i="100"/>
  <c r="K2315" i="100"/>
  <c r="K2311" i="100"/>
  <c r="I2311" i="100"/>
  <c r="K4" i="100"/>
  <c r="K134" i="100"/>
  <c r="K2185" i="100"/>
  <c r="I2185" i="100"/>
  <c r="K196" i="100"/>
  <c r="K124" i="100"/>
  <c r="K94" i="100"/>
  <c r="K54" i="100"/>
  <c r="K24" i="100"/>
  <c r="K36" i="100"/>
  <c r="K148" i="100"/>
  <c r="K273" i="100"/>
  <c r="K2175" i="100"/>
  <c r="I2175" i="100"/>
  <c r="I2149" i="100"/>
  <c r="K2149" i="100"/>
  <c r="I2094" i="100"/>
  <c r="K2094" i="100"/>
  <c r="I2157" i="100"/>
  <c r="K2157" i="100"/>
  <c r="K2168" i="100"/>
  <c r="I2168" i="100"/>
  <c r="I2150" i="100"/>
  <c r="K2150" i="100"/>
  <c r="K2103" i="100"/>
  <c r="I2103" i="100"/>
  <c r="I2174" i="100"/>
  <c r="K2174" i="100"/>
  <c r="I2098" i="100"/>
  <c r="K2098" i="100"/>
  <c r="I2153" i="100"/>
  <c r="K2153" i="100"/>
  <c r="K2152" i="100"/>
  <c r="I2152" i="100"/>
  <c r="K2143" i="100"/>
  <c r="I2143" i="100"/>
  <c r="I2154" i="100"/>
  <c r="K2154" i="100"/>
  <c r="I2102" i="100"/>
  <c r="K2102" i="100"/>
  <c r="I2165" i="100"/>
  <c r="K2165" i="100"/>
  <c r="K2092" i="100"/>
  <c r="I2092" i="100"/>
  <c r="K2155" i="100"/>
  <c r="I2155" i="100"/>
  <c r="I2113" i="100"/>
  <c r="K2113" i="100"/>
  <c r="I2106" i="100"/>
  <c r="K2106" i="100"/>
  <c r="I2161" i="100"/>
  <c r="K2161" i="100"/>
  <c r="K2160" i="100"/>
  <c r="I2160" i="100"/>
  <c r="K2151" i="100"/>
  <c r="I2151" i="100"/>
  <c r="K2099" i="100"/>
  <c r="I2099" i="100"/>
  <c r="I2162" i="100"/>
  <c r="K2162" i="100"/>
  <c r="I2110" i="100"/>
  <c r="K2110" i="100"/>
  <c r="I2173" i="100"/>
  <c r="K2173" i="100"/>
  <c r="K2100" i="100"/>
  <c r="I2100" i="100"/>
  <c r="K2163" i="100"/>
  <c r="I2163" i="100"/>
  <c r="I2121" i="100"/>
  <c r="K2121" i="100"/>
  <c r="K2104" i="100"/>
  <c r="I2104" i="100"/>
  <c r="K2111" i="100"/>
  <c r="I2111" i="100"/>
  <c r="I2169" i="100"/>
  <c r="K2169" i="100"/>
  <c r="I2093" i="100"/>
  <c r="K2093" i="100"/>
  <c r="K2156" i="100"/>
  <c r="I2156" i="100"/>
  <c r="K2096" i="100"/>
  <c r="I2096" i="100"/>
  <c r="K2107" i="100"/>
  <c r="I2107" i="100"/>
  <c r="K2170" i="100"/>
  <c r="I2170" i="100"/>
  <c r="K2112" i="100"/>
  <c r="I2112" i="100"/>
  <c r="K2108" i="100"/>
  <c r="I2108" i="100"/>
  <c r="K2171" i="100"/>
  <c r="I2171" i="100"/>
  <c r="I2129" i="100"/>
  <c r="K2129" i="100"/>
  <c r="I2130" i="100"/>
  <c r="K2130" i="100"/>
  <c r="K2116" i="100"/>
  <c r="I2116" i="100"/>
  <c r="I2177" i="100"/>
  <c r="K2177" i="100"/>
  <c r="I2101" i="100"/>
  <c r="K2101" i="100"/>
  <c r="K2164" i="100"/>
  <c r="I2164" i="100"/>
  <c r="I2114" i="100"/>
  <c r="K2114" i="100"/>
  <c r="I2117" i="100"/>
  <c r="K2117" i="100"/>
  <c r="I2178" i="100"/>
  <c r="K2178" i="100"/>
  <c r="K2120" i="100"/>
  <c r="I2120" i="100"/>
  <c r="I2089" i="100"/>
  <c r="K2089" i="100"/>
  <c r="I2118" i="100"/>
  <c r="K2118" i="100"/>
  <c r="I2137" i="100"/>
  <c r="K2137" i="100"/>
  <c r="I2105" i="100"/>
  <c r="K2105" i="100"/>
  <c r="K2124" i="100"/>
  <c r="I2124" i="100"/>
  <c r="I2109" i="100"/>
  <c r="K2109" i="100"/>
  <c r="K2172" i="100"/>
  <c r="I2172" i="100"/>
  <c r="I2122" i="100"/>
  <c r="K2122" i="100"/>
  <c r="I2125" i="100"/>
  <c r="K2125" i="100"/>
  <c r="K2128" i="100"/>
  <c r="I2128" i="100"/>
  <c r="K2176" i="100"/>
  <c r="I2176" i="100"/>
  <c r="I2126" i="100"/>
  <c r="K2126" i="100"/>
  <c r="I2145" i="100"/>
  <c r="K2145" i="100"/>
  <c r="K2123" i="100"/>
  <c r="I2123" i="100"/>
  <c r="K2132" i="100"/>
  <c r="I2132" i="100"/>
  <c r="K2159" i="100"/>
  <c r="I2159" i="100"/>
  <c r="K2119" i="100"/>
  <c r="I2119" i="100"/>
  <c r="I2146" i="100"/>
  <c r="K2146" i="100"/>
  <c r="I2133" i="100"/>
  <c r="K2133" i="100"/>
  <c r="I2138" i="100"/>
  <c r="K2138" i="100"/>
  <c r="K2136" i="100"/>
  <c r="I2136" i="100"/>
  <c r="I2134" i="100"/>
  <c r="K2134" i="100"/>
  <c r="K2139" i="100"/>
  <c r="I2139" i="100"/>
  <c r="I2158" i="100"/>
  <c r="K2158" i="100"/>
  <c r="K2131" i="100"/>
  <c r="I2131" i="100"/>
  <c r="K2140" i="100"/>
  <c r="I2140" i="100"/>
  <c r="I2115" i="100"/>
  <c r="K2115" i="100"/>
  <c r="K2127" i="100"/>
  <c r="I2127" i="100"/>
  <c r="K2167" i="100"/>
  <c r="I2167" i="100"/>
  <c r="I2141" i="100"/>
  <c r="K2141" i="100"/>
  <c r="K2091" i="100"/>
  <c r="I2091" i="100"/>
  <c r="K2144" i="100"/>
  <c r="I2144" i="100"/>
  <c r="I2097" i="100"/>
  <c r="K2097" i="100"/>
  <c r="I2142" i="100"/>
  <c r="K2142" i="100"/>
  <c r="K2095" i="100"/>
  <c r="I2095" i="100"/>
  <c r="I2166" i="100"/>
  <c r="K2166" i="100"/>
  <c r="K2090" i="100"/>
  <c r="I2090" i="100"/>
  <c r="K2148" i="100"/>
  <c r="I2148" i="100"/>
  <c r="I2147" i="100"/>
  <c r="K2147" i="100"/>
  <c r="K2135" i="100"/>
  <c r="I2135" i="100"/>
  <c r="I1235" i="100"/>
  <c r="K1235" i="100"/>
  <c r="K1238" i="100"/>
  <c r="I1238" i="100"/>
  <c r="K1234" i="100"/>
  <c r="I1234" i="100"/>
  <c r="K1233" i="100"/>
  <c r="I1233" i="100"/>
  <c r="I212" i="100"/>
  <c r="K212" i="100"/>
  <c r="K221" i="100"/>
  <c r="I221" i="100"/>
  <c r="K265" i="100"/>
  <c r="I265" i="100"/>
  <c r="K190" i="100"/>
  <c r="I190" i="100"/>
  <c r="I254" i="100"/>
  <c r="K254" i="100"/>
  <c r="I199" i="100"/>
  <c r="K199" i="100"/>
  <c r="K207" i="100"/>
  <c r="I207" i="100"/>
  <c r="I28" i="100"/>
  <c r="K28" i="100"/>
  <c r="I218" i="100"/>
  <c r="K218" i="100"/>
  <c r="I160" i="100"/>
  <c r="K160" i="100"/>
  <c r="K25" i="100"/>
  <c r="I25" i="100"/>
  <c r="K45" i="100"/>
  <c r="I45" i="100"/>
  <c r="K85" i="100"/>
  <c r="I85" i="100"/>
  <c r="K125" i="100"/>
  <c r="I125" i="100"/>
  <c r="K153" i="100"/>
  <c r="I153" i="100"/>
  <c r="I171" i="100"/>
  <c r="K171" i="100"/>
  <c r="I234" i="100"/>
  <c r="K234" i="100"/>
  <c r="I270" i="100"/>
  <c r="K270" i="100"/>
  <c r="I298" i="100"/>
  <c r="K298" i="100"/>
  <c r="I322" i="100"/>
  <c r="K322" i="100"/>
  <c r="I346" i="100"/>
  <c r="K346" i="100"/>
  <c r="I370" i="100"/>
  <c r="K370" i="100"/>
  <c r="I427" i="100"/>
  <c r="K427" i="100"/>
  <c r="I475" i="100"/>
  <c r="K475" i="100"/>
  <c r="K26" i="100"/>
  <c r="I26" i="100"/>
  <c r="K42" i="100"/>
  <c r="I42" i="100"/>
  <c r="K82" i="100"/>
  <c r="I82" i="100"/>
  <c r="K122" i="100"/>
  <c r="I122" i="100"/>
  <c r="K150" i="100"/>
  <c r="I150" i="100"/>
  <c r="K166" i="100"/>
  <c r="I166" i="100"/>
  <c r="K206" i="100"/>
  <c r="I206" i="100"/>
  <c r="K237" i="100"/>
  <c r="I237" i="100"/>
  <c r="K283" i="100"/>
  <c r="I283" i="100"/>
  <c r="K307" i="100"/>
  <c r="I307" i="100"/>
  <c r="K331" i="100"/>
  <c r="I331" i="100"/>
  <c r="K355" i="100"/>
  <c r="I355" i="100"/>
  <c r="K379" i="100"/>
  <c r="I379" i="100"/>
  <c r="K405" i="100"/>
  <c r="I405" i="100"/>
  <c r="K453" i="100"/>
  <c r="I453" i="100"/>
  <c r="I23" i="100"/>
  <c r="K23" i="100"/>
  <c r="I43" i="100"/>
  <c r="K43" i="100"/>
  <c r="I83" i="100"/>
  <c r="K83" i="100"/>
  <c r="I123" i="100"/>
  <c r="K123" i="100"/>
  <c r="I151" i="100"/>
  <c r="K151" i="100"/>
  <c r="K173" i="100"/>
  <c r="I173" i="100"/>
  <c r="K197" i="100"/>
  <c r="I197" i="100"/>
  <c r="K238" i="100"/>
  <c r="I238" i="100"/>
  <c r="K272" i="100"/>
  <c r="I272" i="100"/>
  <c r="K300" i="100"/>
  <c r="I300" i="100"/>
  <c r="K324" i="100"/>
  <c r="I324" i="100"/>
  <c r="K348" i="100"/>
  <c r="I348" i="100"/>
  <c r="K372" i="100"/>
  <c r="I372" i="100"/>
  <c r="K385" i="100"/>
  <c r="I385" i="100"/>
  <c r="I431" i="100"/>
  <c r="K431" i="100"/>
  <c r="I479" i="100"/>
  <c r="K479" i="100"/>
  <c r="I194" i="100"/>
  <c r="K194" i="100"/>
  <c r="I228" i="100"/>
  <c r="K228" i="100"/>
  <c r="I249" i="100"/>
  <c r="K249" i="100"/>
  <c r="I277" i="100"/>
  <c r="K277" i="100"/>
  <c r="I301" i="100"/>
  <c r="K301" i="100"/>
  <c r="I325" i="100"/>
  <c r="K325" i="100"/>
  <c r="I349" i="100"/>
  <c r="K349" i="100"/>
  <c r="I373" i="100"/>
  <c r="K373" i="100"/>
  <c r="K421" i="100"/>
  <c r="I421" i="100"/>
  <c r="K469" i="100"/>
  <c r="I469" i="100"/>
  <c r="K408" i="100"/>
  <c r="I408" i="100"/>
  <c r="K432" i="100"/>
  <c r="I432" i="100"/>
  <c r="K456" i="100"/>
  <c r="I456" i="100"/>
  <c r="K480" i="100"/>
  <c r="I480" i="100"/>
  <c r="I504" i="100"/>
  <c r="K504" i="100"/>
  <c r="I528" i="100"/>
  <c r="K528" i="100"/>
  <c r="I578" i="100"/>
  <c r="K578" i="100"/>
  <c r="K896" i="100"/>
  <c r="I896" i="100"/>
  <c r="K501" i="100"/>
  <c r="I501" i="100"/>
  <c r="K525" i="100"/>
  <c r="I525" i="100"/>
  <c r="K572" i="100"/>
  <c r="I572" i="100"/>
  <c r="K909" i="100"/>
  <c r="I909" i="100"/>
  <c r="K382" i="100"/>
  <c r="I382" i="100"/>
  <c r="I406" i="100"/>
  <c r="K406" i="100"/>
  <c r="I430" i="100"/>
  <c r="K430" i="100"/>
  <c r="I454" i="100"/>
  <c r="K454" i="100"/>
  <c r="I478" i="100"/>
  <c r="K478" i="100"/>
  <c r="K502" i="100"/>
  <c r="I502" i="100"/>
  <c r="K526" i="100"/>
  <c r="I526" i="100"/>
  <c r="K576" i="100"/>
  <c r="I576" i="100"/>
  <c r="I682" i="100"/>
  <c r="K682" i="100"/>
  <c r="I499" i="100"/>
  <c r="K499" i="100"/>
  <c r="I523" i="100"/>
  <c r="K523" i="100"/>
  <c r="I570" i="100"/>
  <c r="K570" i="100"/>
  <c r="K676" i="100"/>
  <c r="I676" i="100"/>
  <c r="K904" i="100"/>
  <c r="I904" i="100"/>
  <c r="I677" i="100"/>
  <c r="K677" i="100"/>
  <c r="I809" i="100"/>
  <c r="K809" i="100"/>
  <c r="I1060" i="100"/>
  <c r="K1060" i="100"/>
  <c r="K675" i="100"/>
  <c r="I675" i="100"/>
  <c r="K799" i="100"/>
  <c r="I799" i="100"/>
  <c r="K1038" i="100"/>
  <c r="I1038" i="100"/>
  <c r="I1115" i="100"/>
  <c r="K1115" i="100"/>
  <c r="I810" i="100"/>
  <c r="K810" i="100"/>
  <c r="K992" i="100"/>
  <c r="I992" i="100"/>
  <c r="I1218" i="100"/>
  <c r="K1218" i="100"/>
  <c r="K1042" i="100"/>
  <c r="I1042" i="100"/>
  <c r="K1059" i="100"/>
  <c r="I1059" i="100"/>
  <c r="I1107" i="100"/>
  <c r="K1107" i="100"/>
  <c r="K1119" i="100"/>
  <c r="I1119" i="100"/>
  <c r="I906" i="100"/>
  <c r="K906" i="100"/>
  <c r="I1040" i="100"/>
  <c r="K1040" i="100"/>
  <c r="K1105" i="100"/>
  <c r="I1105" i="100"/>
  <c r="K1213" i="100"/>
  <c r="I1213" i="100"/>
  <c r="K1223" i="100"/>
  <c r="I1223" i="100"/>
  <c r="I1124" i="100"/>
  <c r="K1124" i="100"/>
  <c r="I1227" i="100"/>
  <c r="K1227" i="100"/>
  <c r="I1244" i="100"/>
  <c r="K1244" i="100"/>
  <c r="I1260" i="100"/>
  <c r="K1260" i="100"/>
  <c r="I1276" i="100"/>
  <c r="K1276" i="100"/>
  <c r="I1306" i="100"/>
  <c r="K1306" i="100"/>
  <c r="I1342" i="100"/>
  <c r="K1342" i="100"/>
  <c r="I1378" i="100"/>
  <c r="K1378" i="100"/>
  <c r="I1438" i="100"/>
  <c r="K1438" i="100"/>
  <c r="K1245" i="100"/>
  <c r="I1245" i="100"/>
  <c r="K1261" i="100"/>
  <c r="I1261" i="100"/>
  <c r="K1277" i="100"/>
  <c r="I1277" i="100"/>
  <c r="I1300" i="100"/>
  <c r="K1300" i="100"/>
  <c r="I1352" i="100"/>
  <c r="K1352" i="100"/>
  <c r="I1399" i="100"/>
  <c r="K1399" i="100"/>
  <c r="K1226" i="100"/>
  <c r="I1226" i="100"/>
  <c r="K1254" i="100"/>
  <c r="I1254" i="100"/>
  <c r="K1270" i="100"/>
  <c r="I1270" i="100"/>
  <c r="K1286" i="100"/>
  <c r="I1286" i="100"/>
  <c r="I1332" i="100"/>
  <c r="K1332" i="100"/>
  <c r="I1413" i="100"/>
  <c r="K1413" i="100"/>
  <c r="I1455" i="100"/>
  <c r="K1455" i="100"/>
  <c r="I1251" i="100"/>
  <c r="K1251" i="100"/>
  <c r="I1267" i="100"/>
  <c r="K1267" i="100"/>
  <c r="K1296" i="100"/>
  <c r="I1296" i="100"/>
  <c r="I1364" i="100"/>
  <c r="K1364" i="100"/>
  <c r="I1419" i="100"/>
  <c r="K1419" i="100"/>
  <c r="K1291" i="100"/>
  <c r="I1291" i="100"/>
  <c r="K1309" i="100"/>
  <c r="I1309" i="100"/>
  <c r="K1323" i="100"/>
  <c r="I1323" i="100"/>
  <c r="K1339" i="100"/>
  <c r="I1339" i="100"/>
  <c r="K1353" i="100"/>
  <c r="I1353" i="100"/>
  <c r="K1367" i="100"/>
  <c r="I1367" i="100"/>
  <c r="K1381" i="100"/>
  <c r="I1381" i="100"/>
  <c r="K1400" i="100"/>
  <c r="I1400" i="100"/>
  <c r="K1423" i="100"/>
  <c r="I1423" i="100"/>
  <c r="K1431" i="100"/>
  <c r="I1431" i="100"/>
  <c r="K1450" i="100"/>
  <c r="I1450" i="100"/>
  <c r="I1519" i="100"/>
  <c r="K1519" i="100"/>
  <c r="K1302" i="100"/>
  <c r="I1302" i="100"/>
  <c r="K1320" i="100"/>
  <c r="I1320" i="100"/>
  <c r="K1338" i="100"/>
  <c r="I1338" i="100"/>
  <c r="K1356" i="100"/>
  <c r="I1356" i="100"/>
  <c r="K1374" i="100"/>
  <c r="I1374" i="100"/>
  <c r="K1392" i="100"/>
  <c r="I1392" i="100"/>
  <c r="K1411" i="100"/>
  <c r="I1411" i="100"/>
  <c r="K1420" i="100"/>
  <c r="I1420" i="100"/>
  <c r="K1437" i="100"/>
  <c r="I1437" i="100"/>
  <c r="I1459" i="100"/>
  <c r="K1459" i="100"/>
  <c r="I1513" i="100"/>
  <c r="K1513" i="100"/>
  <c r="K1299" i="100"/>
  <c r="I1299" i="100"/>
  <c r="I1315" i="100"/>
  <c r="K1315" i="100"/>
  <c r="I1333" i="100"/>
  <c r="K1333" i="100"/>
  <c r="I1351" i="100"/>
  <c r="K1351" i="100"/>
  <c r="I1369" i="100"/>
  <c r="K1369" i="100"/>
  <c r="I1385" i="100"/>
  <c r="K1385" i="100"/>
  <c r="I1402" i="100"/>
  <c r="K1402" i="100"/>
  <c r="I1426" i="100"/>
  <c r="K1426" i="100"/>
  <c r="I1443" i="100"/>
  <c r="K1443" i="100"/>
  <c r="I1453" i="100"/>
  <c r="K1453" i="100"/>
  <c r="I1504" i="100"/>
  <c r="K1504" i="100"/>
  <c r="K1465" i="100"/>
  <c r="I1465" i="100"/>
  <c r="K1476" i="100"/>
  <c r="I1476" i="100"/>
  <c r="K1493" i="100"/>
  <c r="I1493" i="100"/>
  <c r="K1507" i="100"/>
  <c r="I1507" i="100"/>
  <c r="K1526" i="100"/>
  <c r="I1526" i="100"/>
  <c r="K1546" i="100"/>
  <c r="I1546" i="100"/>
  <c r="K1460" i="100"/>
  <c r="I1460" i="100"/>
  <c r="K1480" i="100"/>
  <c r="I1480" i="100"/>
  <c r="K1499" i="100"/>
  <c r="I1499" i="100"/>
  <c r="K1511" i="100"/>
  <c r="I1511" i="100"/>
  <c r="K1529" i="100"/>
  <c r="I1529" i="100"/>
  <c r="K1543" i="100"/>
  <c r="I1543" i="100"/>
  <c r="I1468" i="100"/>
  <c r="K1468" i="100"/>
  <c r="I1478" i="100"/>
  <c r="K1478" i="100"/>
  <c r="I1494" i="100"/>
  <c r="K1494" i="100"/>
  <c r="I1509" i="100"/>
  <c r="K1509" i="100"/>
  <c r="I1524" i="100"/>
  <c r="K1524" i="100"/>
  <c r="I1538" i="100"/>
  <c r="K1538" i="100"/>
  <c r="I1874" i="100"/>
  <c r="K1874" i="100"/>
  <c r="K1880" i="100"/>
  <c r="I1880" i="100"/>
  <c r="I229" i="100"/>
  <c r="K229" i="100"/>
  <c r="I40" i="100"/>
  <c r="K40" i="100"/>
  <c r="I1231" i="100"/>
  <c r="K1231" i="100"/>
  <c r="I1232" i="100"/>
  <c r="K1232" i="100"/>
  <c r="I168" i="100"/>
  <c r="K168" i="100"/>
  <c r="K201" i="100"/>
  <c r="I201" i="100"/>
  <c r="K245" i="100"/>
  <c r="I245" i="100"/>
  <c r="K176" i="100"/>
  <c r="I176" i="100"/>
  <c r="I223" i="100"/>
  <c r="K223" i="100"/>
  <c r="I179" i="100"/>
  <c r="K179" i="100"/>
  <c r="I144" i="100"/>
  <c r="K144" i="100"/>
  <c r="I174" i="100"/>
  <c r="K174" i="100"/>
  <c r="I164" i="100"/>
  <c r="K164" i="100"/>
  <c r="K29" i="100"/>
  <c r="I29" i="100"/>
  <c r="K55" i="100"/>
  <c r="I55" i="100"/>
  <c r="K95" i="100"/>
  <c r="I95" i="100"/>
  <c r="K135" i="100"/>
  <c r="I135" i="100"/>
  <c r="K157" i="100"/>
  <c r="I157" i="100"/>
  <c r="I195" i="100"/>
  <c r="K195" i="100"/>
  <c r="I240" i="100"/>
  <c r="K240" i="100"/>
  <c r="I282" i="100"/>
  <c r="K282" i="100"/>
  <c r="I306" i="100"/>
  <c r="K306" i="100"/>
  <c r="I330" i="100"/>
  <c r="K330" i="100"/>
  <c r="I354" i="100"/>
  <c r="K354" i="100"/>
  <c r="I378" i="100"/>
  <c r="K378" i="100"/>
  <c r="I439" i="100"/>
  <c r="K439" i="100"/>
  <c r="I487" i="100"/>
  <c r="K487" i="100"/>
  <c r="K30" i="100"/>
  <c r="I30" i="100"/>
  <c r="K52" i="100"/>
  <c r="I52" i="100"/>
  <c r="K92" i="100"/>
  <c r="I92" i="100"/>
  <c r="K132" i="100"/>
  <c r="I132" i="100"/>
  <c r="K172" i="100"/>
  <c r="I172" i="100"/>
  <c r="K216" i="100"/>
  <c r="I216" i="100"/>
  <c r="K241" i="100"/>
  <c r="I241" i="100"/>
  <c r="K287" i="100"/>
  <c r="I287" i="100"/>
  <c r="K311" i="100"/>
  <c r="I311" i="100"/>
  <c r="K335" i="100"/>
  <c r="I335" i="100"/>
  <c r="K359" i="100"/>
  <c r="I359" i="100"/>
  <c r="I391" i="100"/>
  <c r="K391" i="100"/>
  <c r="K417" i="100"/>
  <c r="I417" i="100"/>
  <c r="K465" i="100"/>
  <c r="I465" i="100"/>
  <c r="I31" i="100"/>
  <c r="K31" i="100"/>
  <c r="I53" i="100"/>
  <c r="K53" i="100"/>
  <c r="I93" i="100"/>
  <c r="K93" i="100"/>
  <c r="I133" i="100"/>
  <c r="K133" i="100"/>
  <c r="I155" i="100"/>
  <c r="K155" i="100"/>
  <c r="K183" i="100"/>
  <c r="I183" i="100"/>
  <c r="K217" i="100"/>
  <c r="I217" i="100"/>
  <c r="K242" i="100"/>
  <c r="I242" i="100"/>
  <c r="K284" i="100"/>
  <c r="I284" i="100"/>
  <c r="K308" i="100"/>
  <c r="I308" i="100"/>
  <c r="K332" i="100"/>
  <c r="I332" i="100"/>
  <c r="K356" i="100"/>
  <c r="I356" i="100"/>
  <c r="K380" i="100"/>
  <c r="I380" i="100"/>
  <c r="I395" i="100"/>
  <c r="K395" i="100"/>
  <c r="I443" i="100"/>
  <c r="K443" i="100"/>
  <c r="K493" i="100"/>
  <c r="I493" i="100"/>
  <c r="I198" i="100"/>
  <c r="K198" i="100"/>
  <c r="I232" i="100"/>
  <c r="K232" i="100"/>
  <c r="I253" i="100"/>
  <c r="K253" i="100"/>
  <c r="I285" i="100"/>
  <c r="K285" i="100"/>
  <c r="I309" i="100"/>
  <c r="K309" i="100"/>
  <c r="I333" i="100"/>
  <c r="K333" i="100"/>
  <c r="I357" i="100"/>
  <c r="K357" i="100"/>
  <c r="K381" i="100"/>
  <c r="I381" i="100"/>
  <c r="K433" i="100"/>
  <c r="I433" i="100"/>
  <c r="K481" i="100"/>
  <c r="I481" i="100"/>
  <c r="K416" i="100"/>
  <c r="I416" i="100"/>
  <c r="K440" i="100"/>
  <c r="I440" i="100"/>
  <c r="K464" i="100"/>
  <c r="I464" i="100"/>
  <c r="K488" i="100"/>
  <c r="I488" i="100"/>
  <c r="I512" i="100"/>
  <c r="K512" i="100"/>
  <c r="I532" i="100"/>
  <c r="K532" i="100"/>
  <c r="I587" i="100"/>
  <c r="K587" i="100"/>
  <c r="K998" i="100"/>
  <c r="I998" i="100"/>
  <c r="K505" i="100"/>
  <c r="I505" i="100"/>
  <c r="K529" i="100"/>
  <c r="I529" i="100"/>
  <c r="K573" i="100"/>
  <c r="I573" i="100"/>
  <c r="K1058" i="100"/>
  <c r="I1058" i="100"/>
  <c r="K390" i="100"/>
  <c r="I390" i="100"/>
  <c r="K414" i="100"/>
  <c r="I414" i="100"/>
  <c r="K438" i="100"/>
  <c r="I438" i="100"/>
  <c r="K462" i="100"/>
  <c r="I462" i="100"/>
  <c r="K486" i="100"/>
  <c r="I486" i="100"/>
  <c r="K510" i="100"/>
  <c r="I510" i="100"/>
  <c r="K530" i="100"/>
  <c r="I530" i="100"/>
  <c r="K582" i="100"/>
  <c r="I582" i="100"/>
  <c r="K808" i="100"/>
  <c r="I808" i="100"/>
  <c r="I503" i="100"/>
  <c r="K503" i="100"/>
  <c r="I527" i="100"/>
  <c r="K527" i="100"/>
  <c r="I575" i="100"/>
  <c r="K575" i="100"/>
  <c r="K684" i="100"/>
  <c r="I684" i="100"/>
  <c r="I1125" i="100"/>
  <c r="K1125" i="100"/>
  <c r="I796" i="100"/>
  <c r="K796" i="100"/>
  <c r="I900" i="100"/>
  <c r="K900" i="100"/>
  <c r="K1110" i="100"/>
  <c r="I1110" i="100"/>
  <c r="K681" i="100"/>
  <c r="I681" i="100"/>
  <c r="K803" i="100"/>
  <c r="I803" i="100"/>
  <c r="K1048" i="100"/>
  <c r="I1048" i="100"/>
  <c r="I1121" i="100"/>
  <c r="K1121" i="100"/>
  <c r="K895" i="100"/>
  <c r="I895" i="100"/>
  <c r="I1001" i="100"/>
  <c r="K1001" i="100"/>
  <c r="K991" i="100"/>
  <c r="I991" i="100"/>
  <c r="K1049" i="100"/>
  <c r="I1049" i="100"/>
  <c r="K1062" i="100"/>
  <c r="I1062" i="100"/>
  <c r="K1111" i="100"/>
  <c r="I1111" i="100"/>
  <c r="I1215" i="100"/>
  <c r="K1215" i="100"/>
  <c r="I989" i="100"/>
  <c r="K989" i="100"/>
  <c r="I1041" i="100"/>
  <c r="K1041" i="100"/>
  <c r="I1129" i="100"/>
  <c r="K1129" i="100"/>
  <c r="K1109" i="100"/>
  <c r="I1109" i="100"/>
  <c r="I1128" i="100"/>
  <c r="K1128" i="100"/>
  <c r="K1228" i="100"/>
  <c r="I1228" i="100"/>
  <c r="I1248" i="100"/>
  <c r="K1248" i="100"/>
  <c r="I1264" i="100"/>
  <c r="K1264" i="100"/>
  <c r="K1288" i="100"/>
  <c r="I1288" i="100"/>
  <c r="I1322" i="100"/>
  <c r="K1322" i="100"/>
  <c r="I1358" i="100"/>
  <c r="K1358" i="100"/>
  <c r="I1394" i="100"/>
  <c r="K1394" i="100"/>
  <c r="K1230" i="100"/>
  <c r="I1230" i="100"/>
  <c r="K1249" i="100"/>
  <c r="I1249" i="100"/>
  <c r="K1265" i="100"/>
  <c r="I1265" i="100"/>
  <c r="I1281" i="100"/>
  <c r="K1281" i="100"/>
  <c r="I1316" i="100"/>
  <c r="K1316" i="100"/>
  <c r="I1354" i="100"/>
  <c r="K1354" i="100"/>
  <c r="I1415" i="100"/>
  <c r="K1415" i="100"/>
  <c r="K1242" i="100"/>
  <c r="I1242" i="100"/>
  <c r="K1258" i="100"/>
  <c r="I1258" i="100"/>
  <c r="K1274" i="100"/>
  <c r="I1274" i="100"/>
  <c r="K1289" i="100"/>
  <c r="I1289" i="100"/>
  <c r="I1368" i="100"/>
  <c r="K1368" i="100"/>
  <c r="I1421" i="100"/>
  <c r="K1421" i="100"/>
  <c r="I1497" i="100"/>
  <c r="K1497" i="100"/>
  <c r="I1255" i="100"/>
  <c r="K1255" i="100"/>
  <c r="I1271" i="100"/>
  <c r="K1271" i="100"/>
  <c r="I1310" i="100"/>
  <c r="K1310" i="100"/>
  <c r="I1382" i="100"/>
  <c r="K1382" i="100"/>
  <c r="I1440" i="100"/>
  <c r="K1440" i="100"/>
  <c r="K1297" i="100"/>
  <c r="I1297" i="100"/>
  <c r="K1313" i="100"/>
  <c r="I1313" i="100"/>
  <c r="K1327" i="100"/>
  <c r="I1327" i="100"/>
  <c r="K1341" i="100"/>
  <c r="I1341" i="100"/>
  <c r="K1355" i="100"/>
  <c r="I1355" i="100"/>
  <c r="K1371" i="100"/>
  <c r="I1371" i="100"/>
  <c r="K1387" i="100"/>
  <c r="I1387" i="100"/>
  <c r="K1406" i="100"/>
  <c r="I1406" i="100"/>
  <c r="K1425" i="100"/>
  <c r="I1425" i="100"/>
  <c r="K1444" i="100"/>
  <c r="I1444" i="100"/>
  <c r="I1457" i="100"/>
  <c r="K1457" i="100"/>
  <c r="I1533" i="100"/>
  <c r="K1533" i="100"/>
  <c r="K1308" i="100"/>
  <c r="I1308" i="100"/>
  <c r="K1326" i="100"/>
  <c r="I1326" i="100"/>
  <c r="K1344" i="100"/>
  <c r="I1344" i="100"/>
  <c r="K1362" i="100"/>
  <c r="I1362" i="100"/>
  <c r="K1380" i="100"/>
  <c r="I1380" i="100"/>
  <c r="K1397" i="100"/>
  <c r="I1397" i="100"/>
  <c r="K1414" i="100"/>
  <c r="I1414" i="100"/>
  <c r="K1422" i="100"/>
  <c r="I1422" i="100"/>
  <c r="K1439" i="100"/>
  <c r="I1439" i="100"/>
  <c r="I1473" i="100"/>
  <c r="K1473" i="100"/>
  <c r="I1515" i="100"/>
  <c r="K1515" i="100"/>
  <c r="I1303" i="100"/>
  <c r="K1303" i="100"/>
  <c r="I1321" i="100"/>
  <c r="K1321" i="100"/>
  <c r="I1337" i="100"/>
  <c r="K1337" i="100"/>
  <c r="I1357" i="100"/>
  <c r="K1357" i="100"/>
  <c r="I1373" i="100"/>
  <c r="K1373" i="100"/>
  <c r="I1389" i="100"/>
  <c r="K1389" i="100"/>
  <c r="I1404" i="100"/>
  <c r="K1404" i="100"/>
  <c r="I1428" i="100"/>
  <c r="K1428" i="100"/>
  <c r="I1445" i="100"/>
  <c r="K1445" i="100"/>
  <c r="I1461" i="100"/>
  <c r="K1461" i="100"/>
  <c r="I1527" i="100"/>
  <c r="K1527" i="100"/>
  <c r="K1467" i="100"/>
  <c r="I1467" i="100"/>
  <c r="K1487" i="100"/>
  <c r="I1487" i="100"/>
  <c r="K1495" i="100"/>
  <c r="I1495" i="100"/>
  <c r="K1514" i="100"/>
  <c r="I1514" i="100"/>
  <c r="K1532" i="100"/>
  <c r="I1532" i="100"/>
  <c r="K1454" i="100"/>
  <c r="I1454" i="100"/>
  <c r="K1462" i="100"/>
  <c r="I1462" i="100"/>
  <c r="K1482" i="100"/>
  <c r="I1482" i="100"/>
  <c r="K1503" i="100"/>
  <c r="I1503" i="100"/>
  <c r="K1517" i="100"/>
  <c r="I1517" i="100"/>
  <c r="K1531" i="100"/>
  <c r="I1531" i="100"/>
  <c r="K1547" i="100"/>
  <c r="I1547" i="100"/>
  <c r="I1451" i="100"/>
  <c r="K1451" i="100"/>
  <c r="I1470" i="100"/>
  <c r="K1470" i="100"/>
  <c r="I1488" i="100"/>
  <c r="K1488" i="100"/>
  <c r="I1498" i="100"/>
  <c r="K1498" i="100"/>
  <c r="I1512" i="100"/>
  <c r="K1512" i="100"/>
  <c r="I1528" i="100"/>
  <c r="K1528" i="100"/>
  <c r="I1542" i="100"/>
  <c r="K1542" i="100"/>
  <c r="I1878" i="100"/>
  <c r="K1878" i="100"/>
  <c r="I1875" i="100"/>
  <c r="K1875" i="100"/>
  <c r="I185" i="100"/>
  <c r="K185" i="100"/>
  <c r="I1240" i="100"/>
  <c r="K1240" i="100"/>
  <c r="I1236" i="100"/>
  <c r="K1236" i="100"/>
  <c r="K276" i="100"/>
  <c r="I276" i="100"/>
  <c r="K177" i="100"/>
  <c r="I177" i="100"/>
  <c r="K220" i="100"/>
  <c r="I220" i="100"/>
  <c r="I274" i="100"/>
  <c r="K274" i="100"/>
  <c r="I219" i="100"/>
  <c r="K219" i="100"/>
  <c r="I175" i="100"/>
  <c r="K175" i="100"/>
  <c r="I104" i="100"/>
  <c r="K104" i="100"/>
  <c r="I114" i="100"/>
  <c r="K114" i="100"/>
  <c r="I152" i="100"/>
  <c r="K152" i="100"/>
  <c r="K12" i="100"/>
  <c r="I12" i="100"/>
  <c r="K37" i="100"/>
  <c r="I37" i="100"/>
  <c r="K65" i="100"/>
  <c r="I65" i="100"/>
  <c r="K105" i="100"/>
  <c r="I105" i="100"/>
  <c r="K145" i="100"/>
  <c r="I145" i="100"/>
  <c r="K161" i="100"/>
  <c r="I161" i="100"/>
  <c r="I205" i="100"/>
  <c r="K205" i="100"/>
  <c r="I250" i="100"/>
  <c r="K250" i="100"/>
  <c r="I286" i="100"/>
  <c r="K286" i="100"/>
  <c r="I310" i="100"/>
  <c r="K310" i="100"/>
  <c r="I334" i="100"/>
  <c r="K334" i="100"/>
  <c r="I358" i="100"/>
  <c r="K358" i="100"/>
  <c r="I403" i="100"/>
  <c r="K403" i="100"/>
  <c r="I451" i="100"/>
  <c r="K451" i="100"/>
  <c r="K18" i="100"/>
  <c r="I18" i="100"/>
  <c r="K34" i="100"/>
  <c r="I34" i="100"/>
  <c r="K62" i="100"/>
  <c r="I62" i="100"/>
  <c r="K102" i="100"/>
  <c r="I102" i="100"/>
  <c r="K142" i="100"/>
  <c r="I142" i="100"/>
  <c r="K158" i="100"/>
  <c r="I158" i="100"/>
  <c r="K182" i="100"/>
  <c r="I182" i="100"/>
  <c r="K226" i="100"/>
  <c r="I226" i="100"/>
  <c r="K261" i="100"/>
  <c r="I261" i="100"/>
  <c r="K295" i="100"/>
  <c r="I295" i="100"/>
  <c r="K319" i="100"/>
  <c r="I319" i="100"/>
  <c r="K343" i="100"/>
  <c r="I343" i="100"/>
  <c r="K367" i="100"/>
  <c r="I367" i="100"/>
  <c r="K392" i="100"/>
  <c r="I392" i="100"/>
  <c r="K429" i="100"/>
  <c r="I429" i="100"/>
  <c r="K477" i="100"/>
  <c r="I477" i="100"/>
  <c r="I35" i="100"/>
  <c r="K35" i="100"/>
  <c r="I63" i="100"/>
  <c r="K63" i="100"/>
  <c r="I103" i="100"/>
  <c r="K103" i="100"/>
  <c r="I143" i="100"/>
  <c r="K143" i="100"/>
  <c r="I159" i="100"/>
  <c r="K159" i="100"/>
  <c r="K187" i="100"/>
  <c r="I187" i="100"/>
  <c r="K227" i="100"/>
  <c r="I227" i="100"/>
  <c r="K248" i="100"/>
  <c r="I248" i="100"/>
  <c r="K288" i="100"/>
  <c r="I288" i="100"/>
  <c r="K312" i="100"/>
  <c r="I312" i="100"/>
  <c r="K336" i="100"/>
  <c r="I336" i="100"/>
  <c r="K360" i="100"/>
  <c r="I360" i="100"/>
  <c r="I383" i="100"/>
  <c r="K383" i="100"/>
  <c r="I407" i="100"/>
  <c r="K407" i="100"/>
  <c r="I455" i="100"/>
  <c r="K455" i="100"/>
  <c r="I184" i="100"/>
  <c r="K184" i="100"/>
  <c r="I204" i="100"/>
  <c r="K204" i="100"/>
  <c r="I239" i="100"/>
  <c r="K239" i="100"/>
  <c r="I259" i="100"/>
  <c r="K259" i="100"/>
  <c r="I289" i="100"/>
  <c r="K289" i="100"/>
  <c r="I313" i="100"/>
  <c r="K313" i="100"/>
  <c r="I337" i="100"/>
  <c r="K337" i="100"/>
  <c r="I361" i="100"/>
  <c r="K361" i="100"/>
  <c r="K397" i="100"/>
  <c r="I397" i="100"/>
  <c r="K445" i="100"/>
  <c r="I445" i="100"/>
  <c r="K396" i="100"/>
  <c r="I396" i="100"/>
  <c r="K420" i="100"/>
  <c r="I420" i="100"/>
  <c r="K444" i="100"/>
  <c r="I444" i="100"/>
  <c r="K468" i="100"/>
  <c r="I468" i="100"/>
  <c r="I492" i="100"/>
  <c r="K492" i="100"/>
  <c r="I516" i="100"/>
  <c r="K516" i="100"/>
  <c r="I536" i="100"/>
  <c r="K536" i="100"/>
  <c r="I678" i="100"/>
  <c r="K678" i="100"/>
  <c r="I1044" i="100"/>
  <c r="K1044" i="100"/>
  <c r="K513" i="100"/>
  <c r="I513" i="100"/>
  <c r="K533" i="100"/>
  <c r="I533" i="100"/>
  <c r="K577" i="100"/>
  <c r="I577" i="100"/>
  <c r="I1063" i="100"/>
  <c r="K1063" i="100"/>
  <c r="I394" i="100"/>
  <c r="K394" i="100"/>
  <c r="I418" i="100"/>
  <c r="K418" i="100"/>
  <c r="I442" i="100"/>
  <c r="K442" i="100"/>
  <c r="I466" i="100"/>
  <c r="K466" i="100"/>
  <c r="K490" i="100"/>
  <c r="I490" i="100"/>
  <c r="K514" i="100"/>
  <c r="I514" i="100"/>
  <c r="K534" i="100"/>
  <c r="I534" i="100"/>
  <c r="K584" i="100"/>
  <c r="I584" i="100"/>
  <c r="K987" i="100"/>
  <c r="I987" i="100"/>
  <c r="I511" i="100"/>
  <c r="K511" i="100"/>
  <c r="I531" i="100"/>
  <c r="K531" i="100"/>
  <c r="I581" i="100"/>
  <c r="K581" i="100"/>
  <c r="K800" i="100"/>
  <c r="I800" i="100"/>
  <c r="I672" i="100"/>
  <c r="K672" i="100"/>
  <c r="I801" i="100"/>
  <c r="K801" i="100"/>
  <c r="I993" i="100"/>
  <c r="K993" i="100"/>
  <c r="K1122" i="100"/>
  <c r="I1122" i="100"/>
  <c r="K683" i="100"/>
  <c r="I683" i="100"/>
  <c r="K899" i="100"/>
  <c r="I899" i="100"/>
  <c r="I1052" i="100"/>
  <c r="K1052" i="100"/>
  <c r="K1123" i="100"/>
  <c r="I1123" i="100"/>
  <c r="I897" i="100"/>
  <c r="K897" i="100"/>
  <c r="K1061" i="100"/>
  <c r="I1061" i="100"/>
  <c r="K995" i="100"/>
  <c r="I995" i="100"/>
  <c r="K1054" i="100"/>
  <c r="I1054" i="100"/>
  <c r="K1064" i="100"/>
  <c r="I1064" i="100"/>
  <c r="I1117" i="100"/>
  <c r="K1117" i="100"/>
  <c r="I892" i="100"/>
  <c r="K892" i="100"/>
  <c r="I990" i="100"/>
  <c r="K990" i="100"/>
  <c r="I1045" i="100"/>
  <c r="K1045" i="100"/>
  <c r="I1130" i="100"/>
  <c r="K1130" i="100"/>
  <c r="K1221" i="100"/>
  <c r="I1221" i="100"/>
  <c r="K1114" i="100"/>
  <c r="I1114" i="100"/>
  <c r="K1132" i="100"/>
  <c r="I1132" i="100"/>
  <c r="I1229" i="100"/>
  <c r="K1229" i="100"/>
  <c r="I1252" i="100"/>
  <c r="K1252" i="100"/>
  <c r="I1268" i="100"/>
  <c r="K1268" i="100"/>
  <c r="I1290" i="100"/>
  <c r="K1290" i="100"/>
  <c r="I1324" i="100"/>
  <c r="K1324" i="100"/>
  <c r="I1360" i="100"/>
  <c r="K1360" i="100"/>
  <c r="I1403" i="100"/>
  <c r="K1403" i="100"/>
  <c r="K1237" i="100"/>
  <c r="I1237" i="100"/>
  <c r="K1253" i="100"/>
  <c r="I1253" i="100"/>
  <c r="K1269" i="100"/>
  <c r="I1269" i="100"/>
  <c r="K1282" i="100"/>
  <c r="I1282" i="100"/>
  <c r="K1292" i="100"/>
  <c r="I1292" i="100"/>
  <c r="I1318" i="100"/>
  <c r="K1318" i="100"/>
  <c r="I1372" i="100"/>
  <c r="K1372" i="100"/>
  <c r="I1436" i="100"/>
  <c r="K1436" i="100"/>
  <c r="K1246" i="100"/>
  <c r="I1246" i="100"/>
  <c r="K1262" i="100"/>
  <c r="I1262" i="100"/>
  <c r="K1278" i="100"/>
  <c r="I1278" i="100"/>
  <c r="K1295" i="100"/>
  <c r="I1295" i="100"/>
  <c r="I1386" i="100"/>
  <c r="K1386" i="100"/>
  <c r="I1434" i="100"/>
  <c r="K1434" i="100"/>
  <c r="I1243" i="100"/>
  <c r="K1243" i="100"/>
  <c r="I1259" i="100"/>
  <c r="K1259" i="100"/>
  <c r="I1275" i="100"/>
  <c r="K1275" i="100"/>
  <c r="I1328" i="100"/>
  <c r="K1328" i="100"/>
  <c r="I1407" i="100"/>
  <c r="K1407" i="100"/>
  <c r="K1280" i="100"/>
  <c r="I1280" i="100"/>
  <c r="K1301" i="100"/>
  <c r="I1301" i="100"/>
  <c r="K1317" i="100"/>
  <c r="I1317" i="100"/>
  <c r="K1331" i="100"/>
  <c r="I1331" i="100"/>
  <c r="K1345" i="100"/>
  <c r="I1345" i="100"/>
  <c r="K1359" i="100"/>
  <c r="I1359" i="100"/>
  <c r="K1375" i="100"/>
  <c r="I1375" i="100"/>
  <c r="K1391" i="100"/>
  <c r="I1391" i="100"/>
  <c r="K1408" i="100"/>
  <c r="I1408" i="100"/>
  <c r="K1427" i="100"/>
  <c r="I1427" i="100"/>
  <c r="K1446" i="100"/>
  <c r="I1446" i="100"/>
  <c r="I1477" i="100"/>
  <c r="K1477" i="100"/>
  <c r="I1535" i="100"/>
  <c r="K1535" i="100"/>
  <c r="K1312" i="100"/>
  <c r="I1312" i="100"/>
  <c r="K1330" i="100"/>
  <c r="I1330" i="100"/>
  <c r="K1348" i="100"/>
  <c r="I1348" i="100"/>
  <c r="K1366" i="100"/>
  <c r="I1366" i="100"/>
  <c r="K1384" i="100"/>
  <c r="I1384" i="100"/>
  <c r="K1401" i="100"/>
  <c r="I1401" i="100"/>
  <c r="K1416" i="100"/>
  <c r="I1416" i="100"/>
  <c r="K1433" i="100"/>
  <c r="I1433" i="100"/>
  <c r="K1441" i="100"/>
  <c r="I1441" i="100"/>
  <c r="I1483" i="100"/>
  <c r="K1483" i="100"/>
  <c r="I1545" i="100"/>
  <c r="K1545" i="100"/>
  <c r="I1307" i="100"/>
  <c r="K1307" i="100"/>
  <c r="I1325" i="100"/>
  <c r="K1325" i="100"/>
  <c r="I1343" i="100"/>
  <c r="K1343" i="100"/>
  <c r="I1361" i="100"/>
  <c r="K1361" i="100"/>
  <c r="I1379" i="100"/>
  <c r="K1379" i="100"/>
  <c r="I1393" i="100"/>
  <c r="K1393" i="100"/>
  <c r="I1410" i="100"/>
  <c r="K1410" i="100"/>
  <c r="I1430" i="100"/>
  <c r="K1430" i="100"/>
  <c r="I1447" i="100"/>
  <c r="K1447" i="100"/>
  <c r="I1481" i="100"/>
  <c r="K1481" i="100"/>
  <c r="I1541" i="100"/>
  <c r="K1541" i="100"/>
  <c r="K1469" i="100"/>
  <c r="I1469" i="100"/>
  <c r="K1489" i="100"/>
  <c r="I1489" i="100"/>
  <c r="K1496" i="100"/>
  <c r="I1496" i="100"/>
  <c r="K1516" i="100"/>
  <c r="I1516" i="100"/>
  <c r="K1534" i="100"/>
  <c r="I1534" i="100"/>
  <c r="K1456" i="100"/>
  <c r="I1456" i="100"/>
  <c r="K1475" i="100"/>
  <c r="I1475" i="100"/>
  <c r="K1484" i="100"/>
  <c r="I1484" i="100"/>
  <c r="K1506" i="100"/>
  <c r="I1506" i="100"/>
  <c r="K1521" i="100"/>
  <c r="I1521" i="100"/>
  <c r="K1537" i="100"/>
  <c r="I1537" i="100"/>
  <c r="K1549" i="100"/>
  <c r="I1549" i="100"/>
  <c r="I1464" i="100"/>
  <c r="K1464" i="100"/>
  <c r="I1472" i="100"/>
  <c r="K1472" i="100"/>
  <c r="I1490" i="100"/>
  <c r="K1490" i="100"/>
  <c r="I1502" i="100"/>
  <c r="K1502" i="100"/>
  <c r="I1518" i="100"/>
  <c r="K1518" i="100"/>
  <c r="I1530" i="100"/>
  <c r="K1530" i="100"/>
  <c r="I1544" i="100"/>
  <c r="K1544" i="100"/>
  <c r="K1877" i="100"/>
  <c r="I1877" i="100"/>
  <c r="I1879" i="100"/>
  <c r="K1879" i="100"/>
  <c r="I84" i="100"/>
  <c r="K84" i="100"/>
  <c r="I1239" i="100"/>
  <c r="K1239" i="100"/>
  <c r="I267" i="100"/>
  <c r="K267" i="100"/>
  <c r="K256" i="100"/>
  <c r="I256" i="100"/>
  <c r="K275" i="100"/>
  <c r="I275" i="100"/>
  <c r="K210" i="100"/>
  <c r="I210" i="100"/>
  <c r="I264" i="100"/>
  <c r="K264" i="100"/>
  <c r="I209" i="100"/>
  <c r="K209" i="100"/>
  <c r="I64" i="100"/>
  <c r="K64" i="100"/>
  <c r="K251" i="100"/>
  <c r="I251" i="100"/>
  <c r="I74" i="100"/>
  <c r="K74" i="100"/>
  <c r="I156" i="100"/>
  <c r="K156" i="100"/>
  <c r="K21" i="100"/>
  <c r="I21" i="100"/>
  <c r="K41" i="100"/>
  <c r="I41" i="100"/>
  <c r="K75" i="100"/>
  <c r="I75" i="100"/>
  <c r="K115" i="100"/>
  <c r="I115" i="100"/>
  <c r="K149" i="100"/>
  <c r="I149" i="100"/>
  <c r="K165" i="100"/>
  <c r="I165" i="100"/>
  <c r="I215" i="100"/>
  <c r="K215" i="100"/>
  <c r="I260" i="100"/>
  <c r="K260" i="100"/>
  <c r="I294" i="100"/>
  <c r="K294" i="100"/>
  <c r="I318" i="100"/>
  <c r="K318" i="100"/>
  <c r="I342" i="100"/>
  <c r="K342" i="100"/>
  <c r="I366" i="100"/>
  <c r="K366" i="100"/>
  <c r="I415" i="100"/>
  <c r="K415" i="100"/>
  <c r="I463" i="100"/>
  <c r="K463" i="100"/>
  <c r="K22" i="100"/>
  <c r="I22" i="100"/>
  <c r="K38" i="100"/>
  <c r="I38" i="100"/>
  <c r="K72" i="100"/>
  <c r="I72" i="100"/>
  <c r="K112" i="100"/>
  <c r="I112" i="100"/>
  <c r="K146" i="100"/>
  <c r="I146" i="100"/>
  <c r="K162" i="100"/>
  <c r="I162" i="100"/>
  <c r="K186" i="100"/>
  <c r="I186" i="100"/>
  <c r="K230" i="100"/>
  <c r="I230" i="100"/>
  <c r="K271" i="100"/>
  <c r="I271" i="100"/>
  <c r="K299" i="100"/>
  <c r="I299" i="100"/>
  <c r="K323" i="100"/>
  <c r="I323" i="100"/>
  <c r="K347" i="100"/>
  <c r="I347" i="100"/>
  <c r="K371" i="100"/>
  <c r="I371" i="100"/>
  <c r="K393" i="100"/>
  <c r="I393" i="100"/>
  <c r="K441" i="100"/>
  <c r="I441" i="100"/>
  <c r="K489" i="100"/>
  <c r="I489" i="100"/>
  <c r="I39" i="100"/>
  <c r="K39" i="100"/>
  <c r="I73" i="100"/>
  <c r="K73" i="100"/>
  <c r="I113" i="100"/>
  <c r="K113" i="100"/>
  <c r="I147" i="100"/>
  <c r="K147" i="100"/>
  <c r="I163" i="100"/>
  <c r="K163" i="100"/>
  <c r="K193" i="100"/>
  <c r="I193" i="100"/>
  <c r="K231" i="100"/>
  <c r="I231" i="100"/>
  <c r="K252" i="100"/>
  <c r="I252" i="100"/>
  <c r="K296" i="100"/>
  <c r="I296" i="100"/>
  <c r="K320" i="100"/>
  <c r="I320" i="100"/>
  <c r="K344" i="100"/>
  <c r="I344" i="100"/>
  <c r="K368" i="100"/>
  <c r="I368" i="100"/>
  <c r="K384" i="100"/>
  <c r="I384" i="100"/>
  <c r="I419" i="100"/>
  <c r="K419" i="100"/>
  <c r="I467" i="100"/>
  <c r="K467" i="100"/>
  <c r="I188" i="100"/>
  <c r="K188" i="100"/>
  <c r="I208" i="100"/>
  <c r="K208" i="100"/>
  <c r="I243" i="100"/>
  <c r="K243" i="100"/>
  <c r="I263" i="100"/>
  <c r="K263" i="100"/>
  <c r="I297" i="100"/>
  <c r="K297" i="100"/>
  <c r="I321" i="100"/>
  <c r="K321" i="100"/>
  <c r="I345" i="100"/>
  <c r="K345" i="100"/>
  <c r="I369" i="100"/>
  <c r="K369" i="100"/>
  <c r="K409" i="100"/>
  <c r="I409" i="100"/>
  <c r="K457" i="100"/>
  <c r="I457" i="100"/>
  <c r="K404" i="100"/>
  <c r="I404" i="100"/>
  <c r="K428" i="100"/>
  <c r="I428" i="100"/>
  <c r="K452" i="100"/>
  <c r="I452" i="100"/>
  <c r="K476" i="100"/>
  <c r="I476" i="100"/>
  <c r="I500" i="100"/>
  <c r="K500" i="100"/>
  <c r="I524" i="100"/>
  <c r="K524" i="100"/>
  <c r="I574" i="100"/>
  <c r="K574" i="100"/>
  <c r="K804" i="100"/>
  <c r="I804" i="100"/>
  <c r="K1127" i="100"/>
  <c r="I1127" i="100"/>
  <c r="K517" i="100"/>
  <c r="I517" i="100"/>
  <c r="K537" i="100"/>
  <c r="I537" i="100"/>
  <c r="K894" i="100"/>
  <c r="I894" i="100"/>
  <c r="I1065" i="100"/>
  <c r="K1065" i="100"/>
  <c r="K402" i="100"/>
  <c r="I402" i="100"/>
  <c r="K426" i="100"/>
  <c r="I426" i="100"/>
  <c r="K450" i="100"/>
  <c r="I450" i="100"/>
  <c r="K474" i="100"/>
  <c r="I474" i="100"/>
  <c r="K498" i="100"/>
  <c r="I498" i="100"/>
  <c r="K522" i="100"/>
  <c r="I522" i="100"/>
  <c r="K538" i="100"/>
  <c r="I538" i="100"/>
  <c r="I674" i="100"/>
  <c r="K674" i="100"/>
  <c r="I491" i="100"/>
  <c r="K491" i="100"/>
  <c r="I515" i="100"/>
  <c r="K515" i="100"/>
  <c r="I535" i="100"/>
  <c r="K535" i="100"/>
  <c r="I583" i="100"/>
  <c r="K583" i="100"/>
  <c r="I903" i="100"/>
  <c r="K903" i="100"/>
  <c r="K673" i="100"/>
  <c r="I673" i="100"/>
  <c r="I807" i="100"/>
  <c r="K807" i="100"/>
  <c r="K1043" i="100"/>
  <c r="I1043" i="100"/>
  <c r="K670" i="100"/>
  <c r="I670" i="100"/>
  <c r="K798" i="100"/>
  <c r="I798" i="100"/>
  <c r="K1000" i="100"/>
  <c r="I1000" i="100"/>
  <c r="I1108" i="100"/>
  <c r="K1108" i="100"/>
  <c r="I802" i="100"/>
  <c r="K802" i="100"/>
  <c r="I905" i="100"/>
  <c r="K905" i="100"/>
  <c r="I1126" i="100"/>
  <c r="K1126" i="100"/>
  <c r="K999" i="100"/>
  <c r="I999" i="100"/>
  <c r="K1055" i="100"/>
  <c r="I1055" i="100"/>
  <c r="K1066" i="100"/>
  <c r="I1066" i="100"/>
  <c r="K1118" i="100"/>
  <c r="I1118" i="100"/>
  <c r="I898" i="100"/>
  <c r="K898" i="100"/>
  <c r="I994" i="100"/>
  <c r="K994" i="100"/>
  <c r="I1067" i="100"/>
  <c r="K1067" i="100"/>
  <c r="K1131" i="100"/>
  <c r="I1131" i="100"/>
  <c r="I1222" i="100"/>
  <c r="K1222" i="100"/>
  <c r="K1120" i="100"/>
  <c r="I1120" i="100"/>
  <c r="I1224" i="100"/>
  <c r="K1224" i="100"/>
  <c r="K1225" i="100"/>
  <c r="I1225" i="100"/>
  <c r="I1256" i="100"/>
  <c r="K1256" i="100"/>
  <c r="I1272" i="100"/>
  <c r="K1272" i="100"/>
  <c r="I1304" i="100"/>
  <c r="K1304" i="100"/>
  <c r="I1340" i="100"/>
  <c r="K1340" i="100"/>
  <c r="I1376" i="100"/>
  <c r="K1376" i="100"/>
  <c r="I1417" i="100"/>
  <c r="K1417" i="100"/>
  <c r="K1241" i="100"/>
  <c r="I1241" i="100"/>
  <c r="K1257" i="100"/>
  <c r="I1257" i="100"/>
  <c r="K1273" i="100"/>
  <c r="I1273" i="100"/>
  <c r="I1294" i="100"/>
  <c r="K1294" i="100"/>
  <c r="I1336" i="100"/>
  <c r="K1336" i="100"/>
  <c r="I1390" i="100"/>
  <c r="K1390" i="100"/>
  <c r="I1523" i="100"/>
  <c r="K1523" i="100"/>
  <c r="K1250" i="100"/>
  <c r="I1250" i="100"/>
  <c r="K1266" i="100"/>
  <c r="I1266" i="100"/>
  <c r="K1279" i="100"/>
  <c r="I1279" i="100"/>
  <c r="K1298" i="100"/>
  <c r="I1298" i="100"/>
  <c r="I1395" i="100"/>
  <c r="K1395" i="100"/>
  <c r="I1442" i="100"/>
  <c r="K1442" i="100"/>
  <c r="I1247" i="100"/>
  <c r="K1247" i="100"/>
  <c r="I1263" i="100"/>
  <c r="K1263" i="100"/>
  <c r="I1293" i="100"/>
  <c r="K1293" i="100"/>
  <c r="I1346" i="100"/>
  <c r="K1346" i="100"/>
  <c r="I1409" i="100"/>
  <c r="K1409" i="100"/>
  <c r="K1287" i="100"/>
  <c r="I1287" i="100"/>
  <c r="K1305" i="100"/>
  <c r="I1305" i="100"/>
  <c r="K1319" i="100"/>
  <c r="I1319" i="100"/>
  <c r="K1335" i="100"/>
  <c r="I1335" i="100"/>
  <c r="K1349" i="100"/>
  <c r="I1349" i="100"/>
  <c r="K1363" i="100"/>
  <c r="I1363" i="100"/>
  <c r="K1377" i="100"/>
  <c r="I1377" i="100"/>
  <c r="K1396" i="100"/>
  <c r="I1396" i="100"/>
  <c r="K1412" i="100"/>
  <c r="I1412" i="100"/>
  <c r="K1429" i="100"/>
  <c r="I1429" i="100"/>
  <c r="K1448" i="100"/>
  <c r="I1448" i="100"/>
  <c r="I1485" i="100"/>
  <c r="K1485" i="100"/>
  <c r="I1552" i="100"/>
  <c r="K1552" i="100"/>
  <c r="K1314" i="100"/>
  <c r="I1314" i="100"/>
  <c r="K1334" i="100"/>
  <c r="I1334" i="100"/>
  <c r="K1350" i="100"/>
  <c r="I1350" i="100"/>
  <c r="K1370" i="100"/>
  <c r="I1370" i="100"/>
  <c r="K1388" i="100"/>
  <c r="I1388" i="100"/>
  <c r="K1405" i="100"/>
  <c r="I1405" i="100"/>
  <c r="K1418" i="100"/>
  <c r="I1418" i="100"/>
  <c r="K1435" i="100"/>
  <c r="I1435" i="100"/>
  <c r="K1452" i="100"/>
  <c r="I1452" i="100"/>
  <c r="I1508" i="100"/>
  <c r="K1508" i="100"/>
  <c r="I1550" i="100"/>
  <c r="K1550" i="100"/>
  <c r="I1311" i="100"/>
  <c r="K1311" i="100"/>
  <c r="I1329" i="100"/>
  <c r="K1329" i="100"/>
  <c r="I1347" i="100"/>
  <c r="K1347" i="100"/>
  <c r="I1365" i="100"/>
  <c r="K1365" i="100"/>
  <c r="I1383" i="100"/>
  <c r="K1383" i="100"/>
  <c r="I1398" i="100"/>
  <c r="K1398" i="100"/>
  <c r="I1424" i="100"/>
  <c r="K1424" i="100"/>
  <c r="I1432" i="100"/>
  <c r="K1432" i="100"/>
  <c r="I1449" i="100"/>
  <c r="K1449" i="100"/>
  <c r="I1501" i="100"/>
  <c r="K1501" i="100"/>
  <c r="K1463" i="100"/>
  <c r="I1463" i="100"/>
  <c r="K1471" i="100"/>
  <c r="I1471" i="100"/>
  <c r="K1491" i="100"/>
  <c r="I1491" i="100"/>
  <c r="K1500" i="100"/>
  <c r="I1500" i="100"/>
  <c r="K1522" i="100"/>
  <c r="I1522" i="100"/>
  <c r="K1540" i="100"/>
  <c r="I1540" i="100"/>
  <c r="K1458" i="100"/>
  <c r="I1458" i="100"/>
  <c r="K1479" i="100"/>
  <c r="I1479" i="100"/>
  <c r="K1486" i="100"/>
  <c r="I1486" i="100"/>
  <c r="K1510" i="100"/>
  <c r="I1510" i="100"/>
  <c r="K1525" i="100"/>
  <c r="I1525" i="100"/>
  <c r="K1539" i="100"/>
  <c r="I1539" i="100"/>
  <c r="K1551" i="100"/>
  <c r="I1551" i="100"/>
  <c r="I1466" i="100"/>
  <c r="K1466" i="100"/>
  <c r="I1474" i="100"/>
  <c r="K1474" i="100"/>
  <c r="I1492" i="100"/>
  <c r="K1492" i="100"/>
  <c r="I1505" i="100"/>
  <c r="K1505" i="100"/>
  <c r="I1520" i="100"/>
  <c r="K1520" i="100"/>
  <c r="I1536" i="100"/>
  <c r="K1536" i="100"/>
  <c r="I1548" i="100"/>
  <c r="K1548" i="100"/>
  <c r="K1876" i="100"/>
  <c r="I1876" i="100"/>
  <c r="K262" i="100"/>
  <c r="I262" i="100"/>
  <c r="I44" i="100"/>
  <c r="K44" i="100"/>
  <c r="U110" i="94" l="1"/>
  <c r="T94" i="94" s="1"/>
  <c r="S99" i="94"/>
  <c r="K184" i="94"/>
  <c r="G184" i="94"/>
  <c r="Y19" i="94" s="1"/>
  <c r="AB19" i="94" l="1"/>
  <c r="AA19" i="94"/>
  <c r="G168" i="94"/>
  <c r="Q24" i="57" l="1"/>
  <c r="Q25" i="57"/>
  <c r="Q26" i="57"/>
  <c r="Q27" i="57"/>
  <c r="Q28" i="57"/>
  <c r="Q29" i="57"/>
  <c r="Q30" i="57"/>
  <c r="Q31" i="57"/>
  <c r="Q23" i="57"/>
  <c r="I27" i="75"/>
  <c r="F7" i="75" l="1"/>
  <c r="F8" i="75"/>
  <c r="F9" i="75"/>
  <c r="F10" i="75"/>
  <c r="F11" i="75"/>
  <c r="F12" i="75"/>
  <c r="F13" i="75"/>
  <c r="F14" i="75"/>
  <c r="X14" i="75" s="1"/>
  <c r="F25" i="75"/>
  <c r="F6" i="75"/>
  <c r="D10" i="94"/>
  <c r="E61" i="59"/>
  <c r="K5" i="89"/>
  <c r="C24" i="69"/>
  <c r="C21" i="69"/>
  <c r="C19" i="69"/>
  <c r="C18" i="69"/>
  <c r="C16" i="69"/>
  <c r="C15" i="69"/>
  <c r="C12" i="69"/>
  <c r="C8" i="69"/>
  <c r="L57" i="59"/>
  <c r="L58" i="59"/>
  <c r="L59" i="59"/>
  <c r="L60" i="59"/>
  <c r="L61" i="59"/>
  <c r="L62" i="59"/>
  <c r="L63" i="59"/>
  <c r="L64" i="59"/>
  <c r="L65" i="59"/>
  <c r="L66" i="59"/>
  <c r="L67" i="59"/>
  <c r="L68" i="59"/>
  <c r="L69" i="59"/>
  <c r="L70" i="59"/>
  <c r="L71" i="59"/>
  <c r="L72" i="59"/>
  <c r="L73" i="59"/>
  <c r="L74" i="59"/>
  <c r="L75" i="59"/>
  <c r="L76" i="59"/>
  <c r="L56" i="59"/>
  <c r="L50" i="59"/>
  <c r="L3" i="59"/>
  <c r="L4" i="59"/>
  <c r="L5" i="59"/>
  <c r="L6" i="59"/>
  <c r="L7" i="59"/>
  <c r="L8" i="59"/>
  <c r="L9" i="59"/>
  <c r="L10" i="59"/>
  <c r="L11" i="59"/>
  <c r="L12" i="59"/>
  <c r="L13" i="59"/>
  <c r="L14" i="59"/>
  <c r="L15" i="59"/>
  <c r="L16" i="59"/>
  <c r="L17" i="59"/>
  <c r="L18" i="59"/>
  <c r="L19" i="59"/>
  <c r="L20" i="59"/>
  <c r="L21" i="59"/>
  <c r="L22" i="59"/>
  <c r="L23" i="59"/>
  <c r="L24" i="59"/>
  <c r="L25" i="59"/>
  <c r="L26" i="59"/>
  <c r="L27" i="59"/>
  <c r="L28" i="59"/>
  <c r="L29" i="59"/>
  <c r="L30" i="59"/>
  <c r="L31" i="59"/>
  <c r="L32" i="59"/>
  <c r="L33" i="59"/>
  <c r="L34" i="59"/>
  <c r="L35" i="59"/>
  <c r="L36" i="59"/>
  <c r="L37" i="59"/>
  <c r="L38" i="59"/>
  <c r="L39" i="59"/>
  <c r="L40" i="59"/>
  <c r="L41" i="59"/>
  <c r="L42" i="59"/>
  <c r="L43" i="59"/>
  <c r="L44" i="59"/>
  <c r="L45" i="59"/>
  <c r="L46" i="59"/>
  <c r="L47" i="59"/>
  <c r="L48" i="59"/>
  <c r="L49" i="59"/>
  <c r="L2" i="5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3" i="59"/>
  <c r="J4" i="59"/>
  <c r="J5" i="59"/>
  <c r="J6" i="59"/>
  <c r="J7" i="59"/>
  <c r="J8"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2" i="59"/>
  <c r="M67" i="61"/>
  <c r="AU48" i="61"/>
  <c r="AU46" i="61"/>
  <c r="AL34" i="61"/>
  <c r="AP30" i="61"/>
  <c r="BA28" i="61"/>
  <c r="AU28" i="61"/>
  <c r="AO28" i="61"/>
  <c r="X25" i="75" l="1"/>
  <c r="L25" i="75"/>
  <c r="AG34" i="36"/>
  <c r="O25" i="75"/>
  <c r="J34" i="36"/>
  <c r="E332" i="94"/>
  <c r="K332" i="94" s="1"/>
  <c r="E420" i="94"/>
  <c r="K420" i="94" s="1"/>
  <c r="E343" i="94"/>
  <c r="K343" i="94" s="1"/>
  <c r="E431" i="94"/>
  <c r="K431" i="94" s="1"/>
  <c r="E354" i="94"/>
  <c r="K354" i="94" s="1"/>
  <c r="E365" i="94"/>
  <c r="K365" i="94" s="1"/>
  <c r="E376" i="94"/>
  <c r="K376" i="94" s="1"/>
  <c r="E387" i="94"/>
  <c r="K387" i="94" s="1"/>
  <c r="E398" i="94"/>
  <c r="K398" i="94" s="1"/>
  <c r="E409" i="94"/>
  <c r="K409" i="94" s="1"/>
  <c r="O14" i="75"/>
  <c r="AB14" i="75" s="1"/>
  <c r="AT14" i="75"/>
  <c r="AW14" i="75"/>
  <c r="AS14" i="75"/>
  <c r="AV14" i="75"/>
  <c r="BC14" i="75"/>
  <c r="BB14" i="75"/>
  <c r="BA14" i="75"/>
  <c r="AY14" i="75"/>
  <c r="AU14" i="75"/>
  <c r="AX14" i="75"/>
  <c r="AZ14" i="75"/>
  <c r="BD14" i="75"/>
  <c r="M13" i="75"/>
  <c r="AT13" i="75"/>
  <c r="AS13" i="75"/>
  <c r="AY13" i="75"/>
  <c r="BC13" i="75"/>
  <c r="BD13" i="75"/>
  <c r="BB13" i="75"/>
  <c r="AX13" i="75"/>
  <c r="BA13" i="75"/>
  <c r="AW13" i="75"/>
  <c r="AZ13" i="75"/>
  <c r="AV13" i="75"/>
  <c r="AU13" i="75"/>
  <c r="AT12" i="75"/>
  <c r="AW12" i="75"/>
  <c r="AS12" i="75"/>
  <c r="AV12" i="75"/>
  <c r="BC12" i="75"/>
  <c r="BD12" i="75"/>
  <c r="AU12" i="75"/>
  <c r="BB12" i="75"/>
  <c r="AY12" i="75"/>
  <c r="AX12" i="75"/>
  <c r="BA12" i="75"/>
  <c r="AZ12" i="75"/>
  <c r="AT11" i="75"/>
  <c r="AU11" i="75"/>
  <c r="AS11" i="75"/>
  <c r="BC11" i="75"/>
  <c r="BD11" i="75"/>
  <c r="AY11" i="75"/>
  <c r="BB11" i="75"/>
  <c r="AX11" i="75"/>
  <c r="BA11" i="75"/>
  <c r="AW11" i="75"/>
  <c r="AZ11" i="75"/>
  <c r="AV11" i="75"/>
  <c r="M10" i="75"/>
  <c r="AT10" i="75"/>
  <c r="AW10" i="75"/>
  <c r="AY10" i="75"/>
  <c r="AS10" i="75"/>
  <c r="AV10" i="75"/>
  <c r="BD10" i="75"/>
  <c r="BC10" i="75"/>
  <c r="BB10" i="75"/>
  <c r="AU10" i="75"/>
  <c r="BA10" i="75"/>
  <c r="AZ10" i="75"/>
  <c r="AX10" i="75"/>
  <c r="L9" i="75"/>
  <c r="Y9" i="75" s="1"/>
  <c r="AS9" i="75"/>
  <c r="BA9" i="75" s="1"/>
  <c r="AY9" i="75"/>
  <c r="BC9" i="75"/>
  <c r="AZ9" i="75"/>
  <c r="AV9" i="75"/>
  <c r="M6" i="75"/>
  <c r="AY6" i="75"/>
  <c r="AS6" i="75"/>
  <c r="BA6" i="75" s="1"/>
  <c r="AV6" i="75"/>
  <c r="BC6" i="75"/>
  <c r="AZ6" i="75"/>
  <c r="L8" i="75"/>
  <c r="Y8" i="75" s="1"/>
  <c r="AS8" i="75"/>
  <c r="AV8" i="75" s="1"/>
  <c r="BC8" i="75"/>
  <c r="BA8" i="75"/>
  <c r="BB8" i="75" s="1"/>
  <c r="AU8" i="75" s="1"/>
  <c r="AX8" i="75" s="1"/>
  <c r="AY8" i="75"/>
  <c r="AZ8" i="75"/>
  <c r="Y25" i="75"/>
  <c r="AT25" i="75"/>
  <c r="AS25" i="75"/>
  <c r="AU25" i="75"/>
  <c r="BC25" i="75"/>
  <c r="BD25" i="75"/>
  <c r="BB25" i="75"/>
  <c r="AX25" i="75"/>
  <c r="BA25" i="75"/>
  <c r="AW25" i="75"/>
  <c r="AZ25" i="75"/>
  <c r="AV25" i="75"/>
  <c r="AY25" i="75"/>
  <c r="L7" i="75"/>
  <c r="Y7" i="75" s="1"/>
  <c r="AS7" i="75"/>
  <c r="BA7" i="75" s="1"/>
  <c r="BC7" i="75"/>
  <c r="AY7" i="75"/>
  <c r="AZ7" i="75"/>
  <c r="E310" i="94"/>
  <c r="K310" i="94" s="1"/>
  <c r="E288" i="94"/>
  <c r="K288" i="94" s="1"/>
  <c r="E233" i="94"/>
  <c r="K233" i="94" s="1"/>
  <c r="E321" i="94"/>
  <c r="K321" i="94" s="1"/>
  <c r="E277" i="94"/>
  <c r="K277" i="94" s="1"/>
  <c r="E299" i="94"/>
  <c r="K299" i="94" s="1"/>
  <c r="E244" i="94"/>
  <c r="K244" i="94" s="1"/>
  <c r="E266" i="94"/>
  <c r="K266" i="94" s="1"/>
  <c r="E255" i="94"/>
  <c r="K255" i="94" s="1"/>
  <c r="M25" i="75"/>
  <c r="M14" i="75"/>
  <c r="M7" i="75"/>
  <c r="L12" i="75"/>
  <c r="Y12" i="75" s="1"/>
  <c r="AB25" i="75"/>
  <c r="E179" i="94"/>
  <c r="M9" i="75"/>
  <c r="M8" i="75"/>
  <c r="L10" i="75"/>
  <c r="Y10" i="75" s="1"/>
  <c r="P27" i="75"/>
  <c r="AC24" i="75" s="1"/>
  <c r="M12" i="75"/>
  <c r="L6" i="75"/>
  <c r="Y6" i="75" s="1"/>
  <c r="L14" i="75"/>
  <c r="Y14" i="75" s="1"/>
  <c r="L13" i="75"/>
  <c r="Y13" i="75" s="1"/>
  <c r="M11" i="75"/>
  <c r="O13" i="75"/>
  <c r="AB13" i="75" s="1"/>
  <c r="L11" i="75"/>
  <c r="Y11" i="75" s="1"/>
  <c r="D15" i="65"/>
  <c r="C11" i="69" a="1"/>
  <c r="C11" i="69" s="1"/>
  <c r="AV24" i="61"/>
  <c r="W34" i="36" l="1"/>
  <c r="S34" i="36" s="1"/>
  <c r="V34" i="36"/>
  <c r="R34" i="36" s="1"/>
  <c r="AE34" i="36"/>
  <c r="Y34" i="36"/>
  <c r="U34" i="36" s="1"/>
  <c r="X34" i="36"/>
  <c r="T34" i="36" s="1"/>
  <c r="K34" i="36"/>
  <c r="AC22" i="75"/>
  <c r="AC23" i="75"/>
  <c r="AC20" i="75"/>
  <c r="AC21" i="75"/>
  <c r="AC18" i="75"/>
  <c r="AC19" i="75"/>
  <c r="AC16" i="75"/>
  <c r="AC17" i="75"/>
  <c r="R27" i="75"/>
  <c r="AC15" i="75"/>
  <c r="BB6" i="75"/>
  <c r="AU6" i="75" s="1"/>
  <c r="AX6" i="75" s="1"/>
  <c r="BD6" i="75" s="1"/>
  <c r="AT6" i="75"/>
  <c r="AW6" i="75" s="1"/>
  <c r="BD8" i="75"/>
  <c r="AT7" i="75"/>
  <c r="BB7" i="75"/>
  <c r="AU7" i="75" s="1"/>
  <c r="AT9" i="75"/>
  <c r="AW9" i="75" s="1"/>
  <c r="BB9" i="75"/>
  <c r="AU9" i="75" s="1"/>
  <c r="AX9" i="75" s="1"/>
  <c r="BD9" i="75" s="1"/>
  <c r="AT8" i="75"/>
  <c r="AW8" i="75" s="1"/>
  <c r="AV7" i="75"/>
  <c r="AY26" i="75"/>
  <c r="BC26" i="75"/>
  <c r="AZ26" i="75"/>
  <c r="N512" i="97"/>
  <c r="G230" i="94"/>
  <c r="Z34" i="36" l="1"/>
  <c r="AX7" i="75"/>
  <c r="BD7" i="75" s="1"/>
  <c r="AW7" i="75"/>
  <c r="AW26" i="75" s="1"/>
  <c r="BD26" i="75"/>
  <c r="E423" i="99"/>
  <c r="O230" i="94"/>
  <c r="AY27" i="75"/>
  <c r="H509" i="97"/>
  <c r="M5" i="90"/>
  <c r="J12" i="74"/>
  <c r="G13" i="74" s="1"/>
  <c r="AX26" i="75" l="1"/>
  <c r="AX27" i="75" s="1"/>
  <c r="AW28" i="75" s="1"/>
  <c r="E39" i="12" s="1"/>
  <c r="E38" i="11"/>
  <c r="E37" i="11"/>
  <c r="H8" i="99"/>
  <c r="G4" i="99"/>
  <c r="D6" i="99" l="1"/>
  <c r="I8" i="99"/>
  <c r="J4" i="99"/>
  <c r="H4" i="99"/>
  <c r="J8" i="99"/>
  <c r="F8" i="99"/>
  <c r="E8" i="99"/>
  <c r="D8" i="99"/>
  <c r="C8" i="99"/>
  <c r="G6" i="99"/>
  <c r="E6" i="99"/>
  <c r="D4" i="99"/>
  <c r="C4" i="99"/>
  <c r="W388" i="97" l="1"/>
  <c r="E24" i="57" l="1"/>
  <c r="E25" i="57"/>
  <c r="E26" i="57"/>
  <c r="E27" i="57"/>
  <c r="E28" i="57"/>
  <c r="E29" i="57"/>
  <c r="E30" i="57"/>
  <c r="E31" i="57"/>
  <c r="E23" i="57"/>
  <c r="AJ108" i="61" l="1"/>
  <c r="AJ107" i="61"/>
  <c r="AY104" i="61"/>
  <c r="AJ105" i="61"/>
  <c r="AY108" i="61"/>
  <c r="K108" i="61"/>
  <c r="K104" i="61"/>
  <c r="K112" i="61"/>
  <c r="AJ112" i="61"/>
  <c r="U111" i="61"/>
  <c r="AJ104" i="61"/>
  <c r="AU107" i="61"/>
  <c r="AU112" i="61"/>
  <c r="K107" i="61"/>
  <c r="K111" i="61"/>
  <c r="AU111" i="61"/>
  <c r="U108" i="61"/>
  <c r="AY112" i="61"/>
  <c r="AY111" i="61"/>
  <c r="AU108" i="61"/>
  <c r="U104" i="61"/>
  <c r="U112" i="61"/>
  <c r="AJ111" i="61"/>
  <c r="AU113" i="61"/>
  <c r="AY109" i="61"/>
  <c r="AU106" i="61"/>
  <c r="K105" i="61"/>
  <c r="AU110" i="61"/>
  <c r="U113" i="61"/>
  <c r="K110" i="61"/>
  <c r="K106" i="61"/>
  <c r="AY113" i="61"/>
  <c r="K109" i="61"/>
  <c r="AJ110" i="61"/>
  <c r="U107" i="61"/>
  <c r="AU105" i="61"/>
  <c r="AY106" i="61"/>
  <c r="AJ106" i="61"/>
  <c r="AY107" i="61"/>
  <c r="AU104" i="61"/>
  <c r="AU109" i="61"/>
  <c r="AY110" i="61"/>
  <c r="U110" i="61"/>
  <c r="U105" i="61"/>
  <c r="K113" i="61"/>
  <c r="U106" i="61"/>
  <c r="AJ109" i="61"/>
  <c r="AJ113" i="61"/>
  <c r="AY105" i="61"/>
  <c r="U109" i="61"/>
  <c r="G23" i="57"/>
  <c r="F23" i="57"/>
  <c r="J23" i="57"/>
  <c r="I23" i="57"/>
  <c r="H23" i="57"/>
  <c r="X412" i="99"/>
  <c r="X370" i="99"/>
  <c r="F315" i="99"/>
  <c r="F264" i="99"/>
  <c r="X237" i="99"/>
  <c r="F412" i="99"/>
  <c r="F370" i="99"/>
  <c r="F298" i="99"/>
  <c r="BX237" i="99"/>
  <c r="X391" i="99"/>
  <c r="F351" i="99"/>
  <c r="X281" i="99"/>
  <c r="BG237" i="99"/>
  <c r="F391" i="99"/>
  <c r="F332" i="99"/>
  <c r="G332" i="99" s="1"/>
  <c r="F281" i="99"/>
  <c r="AP237" i="99"/>
  <c r="X183" i="99"/>
  <c r="X136" i="99"/>
  <c r="X82" i="99"/>
  <c r="X28" i="99"/>
  <c r="F237" i="99"/>
  <c r="F183" i="99"/>
  <c r="F136" i="99"/>
  <c r="F82" i="99"/>
  <c r="X212" i="99"/>
  <c r="X158" i="99"/>
  <c r="X107" i="99"/>
  <c r="X53" i="99"/>
  <c r="F212" i="99"/>
  <c r="F158" i="99"/>
  <c r="F107" i="99"/>
  <c r="F53" i="99"/>
  <c r="F28" i="99"/>
  <c r="F411" i="99"/>
  <c r="F369" i="99"/>
  <c r="F297" i="99"/>
  <c r="BX236" i="99"/>
  <c r="X390" i="99"/>
  <c r="F350" i="99"/>
  <c r="X280" i="99"/>
  <c r="BG236" i="99"/>
  <c r="F390" i="99"/>
  <c r="F331" i="99"/>
  <c r="G331" i="99" s="1"/>
  <c r="F280" i="99"/>
  <c r="AP236" i="99"/>
  <c r="X411" i="99"/>
  <c r="X369" i="99"/>
  <c r="F314" i="99"/>
  <c r="F263" i="99"/>
  <c r="F236" i="99"/>
  <c r="F182" i="99"/>
  <c r="F135" i="99"/>
  <c r="F81" i="99"/>
  <c r="X211" i="99"/>
  <c r="X157" i="99"/>
  <c r="X106" i="99"/>
  <c r="X52" i="99"/>
  <c r="F211" i="99"/>
  <c r="F157" i="99"/>
  <c r="F106" i="99"/>
  <c r="F52" i="99"/>
  <c r="X236" i="99"/>
  <c r="X182" i="99"/>
  <c r="X135" i="99"/>
  <c r="X81" i="99"/>
  <c r="X27" i="99"/>
  <c r="F27" i="99"/>
  <c r="X389" i="99"/>
  <c r="F349" i="99"/>
  <c r="X279" i="99"/>
  <c r="BG235" i="99"/>
  <c r="F389" i="99"/>
  <c r="F330" i="99"/>
  <c r="G330" i="99" s="1"/>
  <c r="F279" i="99"/>
  <c r="AP235" i="99"/>
  <c r="X410" i="99"/>
  <c r="X368" i="99"/>
  <c r="F313" i="99"/>
  <c r="F262" i="99"/>
  <c r="F410" i="99"/>
  <c r="F368" i="99"/>
  <c r="F296" i="99"/>
  <c r="BX235" i="99"/>
  <c r="X210" i="99"/>
  <c r="X156" i="99"/>
  <c r="X105" i="99"/>
  <c r="X51" i="99"/>
  <c r="F210" i="99"/>
  <c r="F156" i="99"/>
  <c r="F105" i="99"/>
  <c r="F51" i="99"/>
  <c r="X235" i="99"/>
  <c r="X181" i="99"/>
  <c r="X134" i="99"/>
  <c r="X80" i="99"/>
  <c r="F235" i="99"/>
  <c r="F181" i="99"/>
  <c r="F134" i="99"/>
  <c r="F80" i="99"/>
  <c r="X26" i="99"/>
  <c r="F26" i="99"/>
  <c r="F388" i="99"/>
  <c r="F329" i="99"/>
  <c r="G329" i="99" s="1"/>
  <c r="F278" i="99"/>
  <c r="AP234" i="99"/>
  <c r="X409" i="99"/>
  <c r="X367" i="99"/>
  <c r="F312" i="99"/>
  <c r="F261" i="99"/>
  <c r="F409" i="99"/>
  <c r="F367" i="99"/>
  <c r="F295" i="99"/>
  <c r="BX234" i="99"/>
  <c r="X388" i="99"/>
  <c r="F348" i="99"/>
  <c r="X278" i="99"/>
  <c r="BG234" i="99"/>
  <c r="F209" i="99"/>
  <c r="F155" i="99"/>
  <c r="F104" i="99"/>
  <c r="F50" i="99"/>
  <c r="X234" i="99"/>
  <c r="X180" i="99"/>
  <c r="X133" i="99"/>
  <c r="X79" i="99"/>
  <c r="F234" i="99"/>
  <c r="F180" i="99"/>
  <c r="F133" i="99"/>
  <c r="F79" i="99"/>
  <c r="X209" i="99"/>
  <c r="X155" i="99"/>
  <c r="X104" i="99"/>
  <c r="X50" i="99"/>
  <c r="F25" i="99"/>
  <c r="X25" i="99"/>
  <c r="X385" i="99"/>
  <c r="F345" i="99"/>
  <c r="X275" i="99"/>
  <c r="BG231" i="99"/>
  <c r="F385" i="99"/>
  <c r="F326" i="99"/>
  <c r="G326" i="99" s="1"/>
  <c r="F275" i="99"/>
  <c r="AP231" i="99"/>
  <c r="X406" i="99"/>
  <c r="X364" i="99"/>
  <c r="F309" i="99"/>
  <c r="F258" i="99"/>
  <c r="F406" i="99"/>
  <c r="F364" i="99"/>
  <c r="F292" i="99"/>
  <c r="BX231" i="99"/>
  <c r="X206" i="99"/>
  <c r="X152" i="99"/>
  <c r="X101" i="99"/>
  <c r="X47" i="99"/>
  <c r="F206" i="99"/>
  <c r="F152" i="99"/>
  <c r="F101" i="99"/>
  <c r="F47" i="99"/>
  <c r="X231" i="99"/>
  <c r="X177" i="99"/>
  <c r="X130" i="99"/>
  <c r="X76" i="99"/>
  <c r="F231" i="99"/>
  <c r="F177" i="99"/>
  <c r="F130" i="99"/>
  <c r="F76" i="99"/>
  <c r="F22" i="99"/>
  <c r="X22" i="99"/>
  <c r="C6" i="99"/>
  <c r="X408" i="99"/>
  <c r="X366" i="99"/>
  <c r="F311" i="99"/>
  <c r="F260" i="99"/>
  <c r="F408" i="99"/>
  <c r="F366" i="99"/>
  <c r="F294" i="99"/>
  <c r="BX233" i="99"/>
  <c r="X387" i="99"/>
  <c r="F347" i="99"/>
  <c r="X277" i="99"/>
  <c r="BG233" i="99"/>
  <c r="F387" i="99"/>
  <c r="F328" i="99"/>
  <c r="G328" i="99" s="1"/>
  <c r="F277" i="99"/>
  <c r="AP233" i="99"/>
  <c r="X233" i="99"/>
  <c r="X179" i="99"/>
  <c r="X132" i="99"/>
  <c r="X78" i="99"/>
  <c r="F233" i="99"/>
  <c r="F179" i="99"/>
  <c r="F132" i="99"/>
  <c r="F78" i="99"/>
  <c r="X208" i="99"/>
  <c r="X154" i="99"/>
  <c r="X103" i="99"/>
  <c r="X49" i="99"/>
  <c r="F208" i="99"/>
  <c r="F154" i="99"/>
  <c r="F103" i="99"/>
  <c r="F49" i="99"/>
  <c r="X24" i="99"/>
  <c r="F24" i="99"/>
  <c r="F407" i="99"/>
  <c r="F365" i="99"/>
  <c r="F293" i="99"/>
  <c r="BX232" i="99"/>
  <c r="X386" i="99"/>
  <c r="F346" i="99"/>
  <c r="X276" i="99"/>
  <c r="BG232" i="99"/>
  <c r="F386" i="99"/>
  <c r="F327" i="99"/>
  <c r="G327" i="99" s="1"/>
  <c r="F276" i="99"/>
  <c r="AP232" i="99"/>
  <c r="X407" i="99"/>
  <c r="X365" i="99"/>
  <c r="F310" i="99"/>
  <c r="F259" i="99"/>
  <c r="F232" i="99"/>
  <c r="F178" i="99"/>
  <c r="F131" i="99"/>
  <c r="F77" i="99"/>
  <c r="X207" i="99"/>
  <c r="X153" i="99"/>
  <c r="X102" i="99"/>
  <c r="X48" i="99"/>
  <c r="F207" i="99"/>
  <c r="F153" i="99"/>
  <c r="F102" i="99"/>
  <c r="F48" i="99"/>
  <c r="X232" i="99"/>
  <c r="X178" i="99"/>
  <c r="X131" i="99"/>
  <c r="X77" i="99"/>
  <c r="F23" i="99"/>
  <c r="X23" i="99"/>
  <c r="F413" i="99"/>
  <c r="F392" i="99"/>
  <c r="F371" i="99"/>
  <c r="F333" i="99"/>
  <c r="G333" i="99" s="1"/>
  <c r="F299" i="99"/>
  <c r="F282" i="99"/>
  <c r="BX238" i="99"/>
  <c r="AP238" i="99"/>
  <c r="F238" i="99"/>
  <c r="F213" i="99"/>
  <c r="F184" i="99"/>
  <c r="F159" i="99"/>
  <c r="F137" i="99"/>
  <c r="F108" i="99"/>
  <c r="F83" i="99"/>
  <c r="F54" i="99"/>
  <c r="F29" i="99"/>
  <c r="X413" i="99"/>
  <c r="X392" i="99"/>
  <c r="X371" i="99"/>
  <c r="F352" i="99"/>
  <c r="F316" i="99"/>
  <c r="X282" i="99"/>
  <c r="F265" i="99"/>
  <c r="BG238" i="99"/>
  <c r="X238" i="99"/>
  <c r="X213" i="99"/>
  <c r="X184" i="99"/>
  <c r="X159" i="99"/>
  <c r="X137" i="99"/>
  <c r="X108" i="99"/>
  <c r="X83" i="99"/>
  <c r="X54" i="99"/>
  <c r="X29" i="99"/>
  <c r="X415" i="99"/>
  <c r="X394" i="99"/>
  <c r="X373" i="99"/>
  <c r="F354" i="99"/>
  <c r="F318" i="99"/>
  <c r="X284" i="99"/>
  <c r="F267" i="99"/>
  <c r="BG240" i="99"/>
  <c r="X240" i="99"/>
  <c r="X215" i="99"/>
  <c r="X186" i="99"/>
  <c r="X161" i="99"/>
  <c r="X139" i="99"/>
  <c r="X110" i="99"/>
  <c r="X85" i="99"/>
  <c r="X56" i="99"/>
  <c r="X31" i="99"/>
  <c r="F415" i="99"/>
  <c r="F394" i="99"/>
  <c r="F373" i="99"/>
  <c r="F335" i="99"/>
  <c r="G335" i="99" s="1"/>
  <c r="F301" i="99"/>
  <c r="F284" i="99"/>
  <c r="BX240" i="99"/>
  <c r="AP240" i="99"/>
  <c r="F240" i="99"/>
  <c r="F215" i="99"/>
  <c r="F186" i="99"/>
  <c r="F161" i="99"/>
  <c r="F139" i="99"/>
  <c r="F110" i="99"/>
  <c r="F85" i="99"/>
  <c r="F56" i="99"/>
  <c r="F31" i="99"/>
  <c r="F414" i="99"/>
  <c r="F393" i="99"/>
  <c r="F372" i="99"/>
  <c r="F334" i="99"/>
  <c r="G334" i="99" s="1"/>
  <c r="F300" i="99"/>
  <c r="F283" i="99"/>
  <c r="BX239" i="99"/>
  <c r="AP239" i="99"/>
  <c r="F239" i="99"/>
  <c r="F214" i="99"/>
  <c r="F185" i="99"/>
  <c r="F160" i="99"/>
  <c r="F138" i="99"/>
  <c r="F109" i="99"/>
  <c r="F84" i="99"/>
  <c r="F55" i="99"/>
  <c r="F30" i="99"/>
  <c r="X414" i="99"/>
  <c r="X393" i="99"/>
  <c r="X372" i="99"/>
  <c r="F353" i="99"/>
  <c r="F317" i="99"/>
  <c r="X283" i="99"/>
  <c r="F266" i="99"/>
  <c r="BG239" i="99"/>
  <c r="X239" i="99"/>
  <c r="X214" i="99"/>
  <c r="X185" i="99"/>
  <c r="X160" i="99"/>
  <c r="X138" i="99"/>
  <c r="X109" i="99"/>
  <c r="X84" i="99"/>
  <c r="X55" i="99"/>
  <c r="X30" i="99"/>
  <c r="E22" i="12"/>
  <c r="AA385" i="99" l="1"/>
  <c r="I345" i="99"/>
  <c r="AA275" i="99"/>
  <c r="BJ231" i="99"/>
  <c r="I385" i="99"/>
  <c r="I326" i="99"/>
  <c r="I275" i="99"/>
  <c r="AS231" i="99"/>
  <c r="AA406" i="99"/>
  <c r="AA364" i="99"/>
  <c r="I309" i="99"/>
  <c r="I258" i="99"/>
  <c r="I406" i="99"/>
  <c r="I364" i="99"/>
  <c r="I292" i="99"/>
  <c r="CA231" i="99"/>
  <c r="AA206" i="99"/>
  <c r="AA152" i="99"/>
  <c r="AA101" i="99"/>
  <c r="AA47" i="99"/>
  <c r="I206" i="99"/>
  <c r="I152" i="99"/>
  <c r="I101" i="99"/>
  <c r="I47" i="99"/>
  <c r="AA231" i="99"/>
  <c r="AA177" i="99"/>
  <c r="AA130" i="99"/>
  <c r="AA76" i="99"/>
  <c r="I231" i="99"/>
  <c r="I177" i="99"/>
  <c r="I130" i="99"/>
  <c r="I76" i="99"/>
  <c r="AA22" i="99"/>
  <c r="I22" i="99"/>
  <c r="H102" i="99"/>
  <c r="G102" i="99"/>
  <c r="H131" i="99"/>
  <c r="G131" i="99"/>
  <c r="H276" i="99"/>
  <c r="G276" i="99"/>
  <c r="H293" i="99"/>
  <c r="G293" i="99"/>
  <c r="H208" i="99"/>
  <c r="G208" i="99"/>
  <c r="H233" i="99"/>
  <c r="G233" i="99"/>
  <c r="H387" i="99"/>
  <c r="G387" i="99"/>
  <c r="H408" i="99"/>
  <c r="G408" i="99"/>
  <c r="H76" i="99"/>
  <c r="G76" i="99"/>
  <c r="H47" i="99"/>
  <c r="G47" i="99"/>
  <c r="AR231" i="99"/>
  <c r="AQ231" i="99"/>
  <c r="Z25" i="99"/>
  <c r="Y25" i="99"/>
  <c r="H180" i="99"/>
  <c r="G180" i="99"/>
  <c r="H155" i="99"/>
  <c r="G155" i="99"/>
  <c r="G367" i="99"/>
  <c r="H367" i="99"/>
  <c r="Z80" i="99"/>
  <c r="Y80" i="99"/>
  <c r="Z51" i="99"/>
  <c r="Y51" i="99"/>
  <c r="H262" i="99"/>
  <c r="G262" i="99"/>
  <c r="BH235" i="99"/>
  <c r="BY235" i="99"/>
  <c r="BZ235" i="99"/>
  <c r="BI235" i="99"/>
  <c r="Z182" i="99"/>
  <c r="Y182" i="99"/>
  <c r="Z157" i="99"/>
  <c r="Y157" i="99"/>
  <c r="Z369" i="99"/>
  <c r="Y369" i="99"/>
  <c r="H350" i="99"/>
  <c r="G350" i="99"/>
  <c r="H107" i="99"/>
  <c r="G107" i="99"/>
  <c r="H136" i="99"/>
  <c r="G136" i="99"/>
  <c r="H281" i="99"/>
  <c r="G281" i="99"/>
  <c r="H298" i="99"/>
  <c r="G298" i="99"/>
  <c r="Z23" i="99"/>
  <c r="Y23" i="99"/>
  <c r="H153" i="99"/>
  <c r="G153" i="99"/>
  <c r="H178" i="99"/>
  <c r="G178" i="99"/>
  <c r="H365" i="99"/>
  <c r="G365" i="99"/>
  <c r="Z49" i="99"/>
  <c r="Y49" i="99"/>
  <c r="Z78" i="99"/>
  <c r="Y78" i="99"/>
  <c r="BY233" i="99"/>
  <c r="BZ233" i="99"/>
  <c r="BI233" i="99"/>
  <c r="BH233" i="99"/>
  <c r="H260" i="99"/>
  <c r="G260" i="99"/>
  <c r="H130" i="99"/>
  <c r="G130" i="99"/>
  <c r="H101" i="99"/>
  <c r="G101" i="99"/>
  <c r="G292" i="99"/>
  <c r="H292" i="99"/>
  <c r="H275" i="99"/>
  <c r="G275" i="99"/>
  <c r="H25" i="99"/>
  <c r="G25" i="99"/>
  <c r="H234" i="99"/>
  <c r="G234" i="99"/>
  <c r="H209" i="99"/>
  <c r="G209" i="99"/>
  <c r="H409" i="99"/>
  <c r="G409" i="99"/>
  <c r="H388" i="99"/>
  <c r="G388" i="99"/>
  <c r="Z134" i="99"/>
  <c r="Y134" i="99"/>
  <c r="Z105" i="99"/>
  <c r="Y105" i="99"/>
  <c r="H330" i="99"/>
  <c r="H313" i="99"/>
  <c r="G313" i="99"/>
  <c r="Z279" i="99"/>
  <c r="Y279" i="99"/>
  <c r="Z236" i="99"/>
  <c r="Y236" i="99"/>
  <c r="Z211" i="99"/>
  <c r="Y211" i="99"/>
  <c r="Z411" i="99"/>
  <c r="Y411" i="99"/>
  <c r="Z390" i="99"/>
  <c r="Y390" i="99"/>
  <c r="H158" i="99"/>
  <c r="G158" i="99"/>
  <c r="H183" i="99"/>
  <c r="G183" i="99"/>
  <c r="H370" i="99"/>
  <c r="G370" i="99"/>
  <c r="H23" i="99"/>
  <c r="G23" i="99"/>
  <c r="H207" i="99"/>
  <c r="G207" i="99"/>
  <c r="H232" i="99"/>
  <c r="G232" i="99"/>
  <c r="H386" i="99"/>
  <c r="G386" i="99"/>
  <c r="H407" i="99"/>
  <c r="G407" i="99"/>
  <c r="Z103" i="99"/>
  <c r="Y103" i="99"/>
  <c r="Z132" i="99"/>
  <c r="Y132" i="99"/>
  <c r="Z277" i="99"/>
  <c r="Y277" i="99"/>
  <c r="H328" i="99"/>
  <c r="H311" i="99"/>
  <c r="G311" i="99"/>
  <c r="H177" i="99"/>
  <c r="G177" i="99"/>
  <c r="H152" i="99"/>
  <c r="G152" i="99"/>
  <c r="H364" i="99"/>
  <c r="G364" i="99"/>
  <c r="Z50" i="99"/>
  <c r="Y50" i="99"/>
  <c r="Z79" i="99"/>
  <c r="Y79" i="99"/>
  <c r="BY234" i="99"/>
  <c r="BZ234" i="99"/>
  <c r="BI234" i="99"/>
  <c r="BH234" i="99"/>
  <c r="H261" i="99"/>
  <c r="G261" i="99"/>
  <c r="H26" i="99"/>
  <c r="G26" i="99"/>
  <c r="Z181" i="99"/>
  <c r="Y181" i="99"/>
  <c r="Z156" i="99"/>
  <c r="Y156" i="99"/>
  <c r="Z368" i="99"/>
  <c r="Y368" i="99"/>
  <c r="G349" i="99"/>
  <c r="H349" i="99"/>
  <c r="H52" i="99"/>
  <c r="G52" i="99"/>
  <c r="H81" i="99"/>
  <c r="G81" i="99"/>
  <c r="AR236" i="99"/>
  <c r="AQ236" i="99"/>
  <c r="H212" i="99"/>
  <c r="G212" i="99"/>
  <c r="H237" i="99"/>
  <c r="G237" i="99"/>
  <c r="H391" i="99"/>
  <c r="G391" i="99"/>
  <c r="H412" i="99"/>
  <c r="G412" i="99"/>
  <c r="Z77" i="99"/>
  <c r="Y77" i="99"/>
  <c r="Z48" i="99"/>
  <c r="Y48" i="99"/>
  <c r="H259" i="99"/>
  <c r="G259" i="99"/>
  <c r="BY232" i="99"/>
  <c r="BZ232" i="99"/>
  <c r="BH232" i="99"/>
  <c r="BI232" i="99"/>
  <c r="H24" i="99"/>
  <c r="G24" i="99"/>
  <c r="Z154" i="99"/>
  <c r="Y154" i="99"/>
  <c r="Z179" i="99"/>
  <c r="Y179" i="99"/>
  <c r="H347" i="99"/>
  <c r="G347" i="99"/>
  <c r="Z366" i="99"/>
  <c r="Y366" i="99"/>
  <c r="H231" i="99"/>
  <c r="G231" i="99"/>
  <c r="H206" i="99"/>
  <c r="G206" i="99"/>
  <c r="H406" i="99"/>
  <c r="G406" i="99"/>
  <c r="H385" i="99"/>
  <c r="G385" i="99"/>
  <c r="Z104" i="99"/>
  <c r="Y104" i="99"/>
  <c r="Z133" i="99"/>
  <c r="Y133" i="99"/>
  <c r="Z278" i="99"/>
  <c r="Y278" i="99"/>
  <c r="G312" i="99"/>
  <c r="H329" i="99"/>
  <c r="H312" i="99"/>
  <c r="Z26" i="99"/>
  <c r="Y26" i="99"/>
  <c r="Z235" i="99"/>
  <c r="Y235" i="99"/>
  <c r="Z210" i="99"/>
  <c r="Y210" i="99"/>
  <c r="Z410" i="99"/>
  <c r="Y410" i="99"/>
  <c r="Z389" i="99"/>
  <c r="Y389" i="99"/>
  <c r="H106" i="99"/>
  <c r="G106" i="99"/>
  <c r="H135" i="99"/>
  <c r="G135" i="99"/>
  <c r="H280" i="99"/>
  <c r="G280" i="99"/>
  <c r="H297" i="99"/>
  <c r="G297" i="99"/>
  <c r="Z53" i="99"/>
  <c r="Y53" i="99"/>
  <c r="Z28" i="99"/>
  <c r="Y28" i="99"/>
  <c r="BY237" i="99"/>
  <c r="BZ237" i="99"/>
  <c r="BI237" i="99"/>
  <c r="BH237" i="99"/>
  <c r="Z237" i="99"/>
  <c r="Y237" i="99"/>
  <c r="Z131" i="99"/>
  <c r="Y131" i="99"/>
  <c r="Z102" i="99"/>
  <c r="Y102" i="99"/>
  <c r="H327" i="99"/>
  <c r="H310" i="99"/>
  <c r="G310" i="99"/>
  <c r="Z276" i="99"/>
  <c r="Y276" i="99"/>
  <c r="Z24" i="99"/>
  <c r="Y24" i="99"/>
  <c r="Z208" i="99"/>
  <c r="Y208" i="99"/>
  <c r="Z233" i="99"/>
  <c r="Y233" i="99"/>
  <c r="Z387" i="99"/>
  <c r="Y387" i="99"/>
  <c r="Z408" i="99"/>
  <c r="Y408" i="99"/>
  <c r="Z76" i="99"/>
  <c r="Y76" i="99"/>
  <c r="Z47" i="99"/>
  <c r="Y47" i="99"/>
  <c r="H258" i="99"/>
  <c r="G258" i="99"/>
  <c r="BH231" i="99"/>
  <c r="BZ231" i="99"/>
  <c r="BI231" i="99"/>
  <c r="BY231" i="99"/>
  <c r="Z155" i="99"/>
  <c r="Y155" i="99"/>
  <c r="Z180" i="99"/>
  <c r="Y180" i="99"/>
  <c r="H348" i="99"/>
  <c r="G348" i="99"/>
  <c r="Z367" i="99"/>
  <c r="Y367" i="99"/>
  <c r="H80" i="99"/>
  <c r="G80" i="99"/>
  <c r="H51" i="99"/>
  <c r="G51" i="99"/>
  <c r="AR235" i="99"/>
  <c r="AQ235" i="99"/>
  <c r="H27" i="99"/>
  <c r="G27" i="99"/>
  <c r="H157" i="99"/>
  <c r="G157" i="99"/>
  <c r="H182" i="99"/>
  <c r="G182" i="99"/>
  <c r="H369" i="99"/>
  <c r="G369" i="99"/>
  <c r="Z107" i="99"/>
  <c r="Y107" i="99"/>
  <c r="Z82" i="99"/>
  <c r="Y82" i="99"/>
  <c r="Z281" i="99"/>
  <c r="Y281" i="99"/>
  <c r="H264" i="99"/>
  <c r="G264" i="99"/>
  <c r="Z178" i="99"/>
  <c r="Y178" i="99"/>
  <c r="Z153" i="99"/>
  <c r="Y153" i="99"/>
  <c r="Z365" i="99"/>
  <c r="Y365" i="99"/>
  <c r="H346" i="99"/>
  <c r="G346" i="99"/>
  <c r="H49" i="99"/>
  <c r="G49" i="99"/>
  <c r="H78" i="99"/>
  <c r="G78" i="99"/>
  <c r="AR233" i="99"/>
  <c r="AQ233" i="99"/>
  <c r="Z130" i="99"/>
  <c r="Y130" i="99"/>
  <c r="Z101" i="99"/>
  <c r="Y101" i="99"/>
  <c r="H309" i="99"/>
  <c r="G309" i="99"/>
  <c r="H326" i="99"/>
  <c r="Z275" i="99"/>
  <c r="Y275" i="99"/>
  <c r="Z209" i="99"/>
  <c r="Y209" i="99"/>
  <c r="Z234" i="99"/>
  <c r="Y234" i="99"/>
  <c r="Z388" i="99"/>
  <c r="Y388" i="99"/>
  <c r="Z409" i="99"/>
  <c r="Y409" i="99"/>
  <c r="H134" i="99"/>
  <c r="G134" i="99"/>
  <c r="H105" i="99"/>
  <c r="G105" i="99"/>
  <c r="H296" i="99"/>
  <c r="G296" i="99"/>
  <c r="H279" i="99"/>
  <c r="G279" i="99"/>
  <c r="Z27" i="99"/>
  <c r="Y27" i="99"/>
  <c r="H211" i="99"/>
  <c r="G211" i="99"/>
  <c r="H236" i="99"/>
  <c r="G236" i="99"/>
  <c r="H390" i="99"/>
  <c r="G390" i="99"/>
  <c r="H411" i="99"/>
  <c r="G411" i="99"/>
  <c r="Z158" i="99"/>
  <c r="Y158" i="99"/>
  <c r="Z136" i="99"/>
  <c r="Y136" i="99"/>
  <c r="H351" i="99"/>
  <c r="G351" i="99"/>
  <c r="G315" i="99"/>
  <c r="H332" i="99"/>
  <c r="H315" i="99"/>
  <c r="Z232" i="99"/>
  <c r="Y232" i="99"/>
  <c r="Z207" i="99"/>
  <c r="Y207" i="99"/>
  <c r="Z407" i="99"/>
  <c r="Y407" i="99"/>
  <c r="Z386" i="99"/>
  <c r="Y386" i="99"/>
  <c r="H103" i="99"/>
  <c r="G103" i="99"/>
  <c r="H132" i="99"/>
  <c r="G132" i="99"/>
  <c r="H277" i="99"/>
  <c r="G277" i="99"/>
  <c r="H294" i="99"/>
  <c r="G294" i="99"/>
  <c r="Z22" i="99"/>
  <c r="Y22" i="99"/>
  <c r="Z177" i="99"/>
  <c r="Y177" i="99"/>
  <c r="Z152" i="99"/>
  <c r="Y152" i="99"/>
  <c r="Z364" i="99"/>
  <c r="Y364" i="99"/>
  <c r="H345" i="99"/>
  <c r="G345" i="99"/>
  <c r="H79" i="99"/>
  <c r="G79" i="99"/>
  <c r="H50" i="99"/>
  <c r="G50" i="99"/>
  <c r="AR234" i="99"/>
  <c r="AQ234" i="99"/>
  <c r="H181" i="99"/>
  <c r="G181" i="99"/>
  <c r="H156" i="99"/>
  <c r="G156" i="99"/>
  <c r="G368" i="99"/>
  <c r="H368" i="99"/>
  <c r="Z81" i="99"/>
  <c r="Y81" i="99"/>
  <c r="Z52" i="99"/>
  <c r="Y52" i="99"/>
  <c r="H263" i="99"/>
  <c r="G263" i="99"/>
  <c r="BY236" i="99"/>
  <c r="BZ236" i="99"/>
  <c r="BI236" i="99"/>
  <c r="BH236" i="99"/>
  <c r="H28" i="99"/>
  <c r="G28" i="99"/>
  <c r="Z212" i="99"/>
  <c r="Y212" i="99"/>
  <c r="Z183" i="99"/>
  <c r="Y183" i="99"/>
  <c r="Z391" i="99"/>
  <c r="Y391" i="99"/>
  <c r="Z370" i="99"/>
  <c r="Y370" i="99"/>
  <c r="H48" i="99"/>
  <c r="G48" i="99"/>
  <c r="H77" i="99"/>
  <c r="G77" i="99"/>
  <c r="AR232" i="99"/>
  <c r="AQ232" i="99"/>
  <c r="H154" i="99"/>
  <c r="G154" i="99"/>
  <c r="H179" i="99"/>
  <c r="G179" i="99"/>
  <c r="H366" i="99"/>
  <c r="G366" i="99"/>
  <c r="H22" i="99"/>
  <c r="G22" i="99"/>
  <c r="Z231" i="99"/>
  <c r="Y231" i="99"/>
  <c r="Z206" i="99"/>
  <c r="Y206" i="99"/>
  <c r="Z406" i="99"/>
  <c r="Y406" i="99"/>
  <c r="Z385" i="99"/>
  <c r="Y385" i="99"/>
  <c r="H133" i="99"/>
  <c r="G133" i="99"/>
  <c r="H104" i="99"/>
  <c r="G104" i="99"/>
  <c r="H295" i="99"/>
  <c r="G295" i="99"/>
  <c r="H278" i="99"/>
  <c r="G278" i="99"/>
  <c r="H235" i="99"/>
  <c r="G235" i="99"/>
  <c r="H210" i="99"/>
  <c r="G210" i="99"/>
  <c r="H410" i="99"/>
  <c r="G410" i="99"/>
  <c r="H389" i="99"/>
  <c r="G389" i="99"/>
  <c r="Z135" i="99"/>
  <c r="Y135" i="99"/>
  <c r="Z106" i="99"/>
  <c r="Y106" i="99"/>
  <c r="H331" i="99"/>
  <c r="H314" i="99"/>
  <c r="G314" i="99"/>
  <c r="Z280" i="99"/>
  <c r="Y280" i="99"/>
  <c r="H53" i="99"/>
  <c r="G53" i="99"/>
  <c r="H82" i="99"/>
  <c r="G82" i="99"/>
  <c r="AR237" i="99"/>
  <c r="AQ237" i="99"/>
  <c r="Z412" i="99"/>
  <c r="Y412" i="99"/>
  <c r="Z185" i="99"/>
  <c r="Y185" i="99"/>
  <c r="Z372" i="99"/>
  <c r="Y372" i="99"/>
  <c r="H160" i="99"/>
  <c r="G160" i="99"/>
  <c r="H139" i="99"/>
  <c r="G139" i="99"/>
  <c r="H301" i="99"/>
  <c r="G301" i="99"/>
  <c r="Z110" i="99"/>
  <c r="Y110" i="99"/>
  <c r="Z284" i="99"/>
  <c r="Y284" i="99"/>
  <c r="Z83" i="99"/>
  <c r="Y83" i="99"/>
  <c r="H265" i="99"/>
  <c r="G265" i="99"/>
  <c r="H54" i="99"/>
  <c r="G54" i="99"/>
  <c r="AR238" i="99"/>
  <c r="AQ238" i="99"/>
  <c r="H161" i="99"/>
  <c r="G161" i="99"/>
  <c r="Z139" i="99"/>
  <c r="Y139" i="99"/>
  <c r="H335" i="99"/>
  <c r="H318" i="99"/>
  <c r="G318" i="99"/>
  <c r="Z108" i="99"/>
  <c r="Y108" i="99"/>
  <c r="Z282" i="99"/>
  <c r="Y282" i="99"/>
  <c r="H83" i="99"/>
  <c r="G83" i="99"/>
  <c r="Z393" i="99"/>
  <c r="Y393" i="99"/>
  <c r="Z239" i="99"/>
  <c r="Y239" i="99"/>
  <c r="Z414" i="99"/>
  <c r="Y414" i="99"/>
  <c r="H214" i="99"/>
  <c r="G214" i="99"/>
  <c r="H393" i="99"/>
  <c r="G393" i="99"/>
  <c r="H186" i="99"/>
  <c r="G186" i="99"/>
  <c r="H373" i="99"/>
  <c r="G373" i="99"/>
  <c r="Z161" i="99"/>
  <c r="Y161" i="99"/>
  <c r="H354" i="99"/>
  <c r="G354" i="99"/>
  <c r="Z137" i="99"/>
  <c r="Y137" i="99"/>
  <c r="H333" i="99"/>
  <c r="H316" i="99"/>
  <c r="G316" i="99"/>
  <c r="H108" i="99"/>
  <c r="G108" i="99"/>
  <c r="H282" i="99"/>
  <c r="G282" i="99"/>
  <c r="H372" i="99"/>
  <c r="G372" i="99"/>
  <c r="BH239" i="99"/>
  <c r="BZ239" i="99"/>
  <c r="BI239" i="99"/>
  <c r="BY239" i="99"/>
  <c r="H30" i="99"/>
  <c r="G30" i="99"/>
  <c r="H239" i="99"/>
  <c r="G239" i="99"/>
  <c r="H414" i="99"/>
  <c r="G414" i="99"/>
  <c r="H215" i="99"/>
  <c r="G215" i="99"/>
  <c r="H394" i="99"/>
  <c r="G394" i="99"/>
  <c r="Z186" i="99"/>
  <c r="Y186" i="99"/>
  <c r="Z373" i="99"/>
  <c r="Y373" i="99"/>
  <c r="Z159" i="99"/>
  <c r="Y159" i="99"/>
  <c r="H352" i="99"/>
  <c r="G352" i="99"/>
  <c r="H137" i="99"/>
  <c r="G137" i="99"/>
  <c r="H299" i="99"/>
  <c r="G299" i="99"/>
  <c r="H185" i="99"/>
  <c r="G185" i="99"/>
  <c r="H266" i="99"/>
  <c r="G266" i="99"/>
  <c r="H55" i="99"/>
  <c r="G55" i="99"/>
  <c r="AR239" i="99"/>
  <c r="AQ239" i="99"/>
  <c r="H31" i="99"/>
  <c r="G31" i="99"/>
  <c r="H240" i="99"/>
  <c r="G240" i="99"/>
  <c r="H415" i="99"/>
  <c r="G415" i="99"/>
  <c r="Z215" i="99"/>
  <c r="Y215" i="99"/>
  <c r="Z394" i="99"/>
  <c r="Y394" i="99"/>
  <c r="Z184" i="99"/>
  <c r="Y184" i="99"/>
  <c r="Z371" i="99"/>
  <c r="Y371" i="99"/>
  <c r="H159" i="99"/>
  <c r="G159" i="99"/>
  <c r="Z55" i="99"/>
  <c r="Y55" i="99"/>
  <c r="Z109" i="99"/>
  <c r="Y109" i="99"/>
  <c r="Z283" i="99"/>
  <c r="Y283" i="99"/>
  <c r="H84" i="99"/>
  <c r="G84" i="99"/>
  <c r="H56" i="99"/>
  <c r="G56" i="99"/>
  <c r="AR240" i="99"/>
  <c r="AQ240" i="99"/>
  <c r="Z31" i="99"/>
  <c r="Y31" i="99"/>
  <c r="Z240" i="99"/>
  <c r="Y240" i="99"/>
  <c r="Z415" i="99"/>
  <c r="Y415" i="99"/>
  <c r="Z213" i="99"/>
  <c r="Y213" i="99"/>
  <c r="Z392" i="99"/>
  <c r="Y392" i="99"/>
  <c r="H184" i="99"/>
  <c r="G184" i="99"/>
  <c r="H371" i="99"/>
  <c r="G371" i="99"/>
  <c r="Z84" i="99"/>
  <c r="Y84" i="99"/>
  <c r="Z138" i="99"/>
  <c r="Y138" i="99"/>
  <c r="G317" i="99"/>
  <c r="H334" i="99"/>
  <c r="H317" i="99"/>
  <c r="H109" i="99"/>
  <c r="G109" i="99"/>
  <c r="H283" i="99"/>
  <c r="G283" i="99"/>
  <c r="H85" i="99"/>
  <c r="G85" i="99"/>
  <c r="Z56" i="99"/>
  <c r="Y56" i="99"/>
  <c r="BY240" i="99"/>
  <c r="BZ240" i="99"/>
  <c r="BI240" i="99"/>
  <c r="BH240" i="99"/>
  <c r="Z29" i="99"/>
  <c r="Y29" i="99"/>
  <c r="Z238" i="99"/>
  <c r="Y238" i="99"/>
  <c r="Z413" i="99"/>
  <c r="Y413" i="99"/>
  <c r="H213" i="99"/>
  <c r="G213" i="99"/>
  <c r="H392" i="99"/>
  <c r="G392" i="99"/>
  <c r="Z214" i="99"/>
  <c r="Y214" i="99"/>
  <c r="Z30" i="99"/>
  <c r="Y30" i="99"/>
  <c r="Z160" i="99"/>
  <c r="Y160" i="99"/>
  <c r="H353" i="99"/>
  <c r="G353" i="99"/>
  <c r="H138" i="99"/>
  <c r="G138" i="99"/>
  <c r="H300" i="99"/>
  <c r="G300" i="99"/>
  <c r="H110" i="99"/>
  <c r="G110" i="99"/>
  <c r="H284" i="99"/>
  <c r="G284" i="99"/>
  <c r="Z85" i="99"/>
  <c r="Y85" i="99"/>
  <c r="H267" i="99"/>
  <c r="G267" i="99"/>
  <c r="Z54" i="99"/>
  <c r="Y54" i="99"/>
  <c r="BH238" i="99"/>
  <c r="BZ238" i="99"/>
  <c r="BY238" i="99"/>
  <c r="BI238" i="99"/>
  <c r="H29" i="99"/>
  <c r="G29" i="99"/>
  <c r="H238" i="99"/>
  <c r="G238" i="99"/>
  <c r="H413" i="99"/>
  <c r="G413" i="99"/>
  <c r="N193" i="94"/>
  <c r="N205" i="94"/>
  <c r="E4" i="99" l="1"/>
  <c r="K203" i="94" l="1"/>
  <c r="G301" i="97"/>
  <c r="F147" i="94" s="1"/>
  <c r="G287" i="97"/>
  <c r="F139" i="94" s="1"/>
  <c r="G273" i="97"/>
  <c r="F131" i="94" s="1"/>
  <c r="G259" i="97"/>
  <c r="F123" i="94" s="1"/>
  <c r="G245" i="97"/>
  <c r="F115" i="94" s="1"/>
  <c r="Z26" i="97" l="1"/>
  <c r="Z25" i="97"/>
  <c r="Z30" i="97"/>
  <c r="Z29" i="97"/>
  <c r="Z27" i="97"/>
  <c r="Z33" i="97"/>
  <c r="Z32" i="97"/>
  <c r="Z31" i="97"/>
  <c r="Z34" i="97"/>
  <c r="Z36" i="97"/>
  <c r="Z35" i="97"/>
  <c r="Z37" i="97"/>
  <c r="I139" i="94"/>
  <c r="S137" i="94"/>
  <c r="I147" i="94"/>
  <c r="S145" i="94"/>
  <c r="I131" i="94"/>
  <c r="S129" i="94"/>
  <c r="I123" i="94"/>
  <c r="S121" i="94"/>
  <c r="T391" i="97" l="1"/>
  <c r="M29" i="98" s="1"/>
  <c r="AB29" i="97"/>
  <c r="D387" i="97" s="1"/>
  <c r="AA29" i="97"/>
  <c r="D385" i="97" s="1"/>
  <c r="T405" i="97"/>
  <c r="M30" i="98" s="1"/>
  <c r="AB30" i="97"/>
  <c r="D401" i="97" s="1"/>
  <c r="AA30" i="97"/>
  <c r="D399" i="97" s="1"/>
  <c r="T377" i="97"/>
  <c r="AB28" i="97"/>
  <c r="D373" i="97" s="1"/>
  <c r="AA28" i="97"/>
  <c r="D371" i="97" s="1"/>
  <c r="T321" i="97"/>
  <c r="T501" i="97"/>
  <c r="M37" i="98" s="1"/>
  <c r="AB37" i="97"/>
  <c r="AA37" i="97"/>
  <c r="AA36" i="97"/>
  <c r="D483" i="97" s="1"/>
  <c r="AB36" i="97"/>
  <c r="D485" i="97" s="1"/>
  <c r="AB20" i="97"/>
  <c r="D261" i="97" s="1"/>
  <c r="AA20" i="97"/>
  <c r="D259" i="97" s="1"/>
  <c r="AA34" i="97"/>
  <c r="D455" i="97" s="1"/>
  <c r="AB34" i="97"/>
  <c r="D457" i="97" s="1"/>
  <c r="AA21" i="97"/>
  <c r="D273" i="97" s="1"/>
  <c r="AB21" i="97"/>
  <c r="D275" i="97" s="1"/>
  <c r="AA22" i="97"/>
  <c r="D287" i="97" s="1"/>
  <c r="AB22" i="97"/>
  <c r="D289" i="97" s="1"/>
  <c r="AB35" i="97"/>
  <c r="D471" i="97" s="1"/>
  <c r="AA35" i="97"/>
  <c r="D469" i="97" s="1"/>
  <c r="AB32" i="97"/>
  <c r="D429" i="97" s="1"/>
  <c r="AA32" i="97"/>
  <c r="D427" i="97" s="1"/>
  <c r="AB26" i="97"/>
  <c r="D345" i="97" s="1"/>
  <c r="AA26" i="97"/>
  <c r="D343" i="97" s="1"/>
  <c r="AB23" i="97"/>
  <c r="D303" i="97" s="1"/>
  <c r="AA23" i="97"/>
  <c r="D301" i="97" s="1"/>
  <c r="T475" i="97"/>
  <c r="M35" i="98" s="1"/>
  <c r="T433" i="97"/>
  <c r="M32" i="98" s="1"/>
  <c r="T419" i="97"/>
  <c r="M31" i="98" s="1"/>
  <c r="T489" i="97"/>
  <c r="M36" i="98" s="1"/>
  <c r="T447" i="97"/>
  <c r="T461" i="97"/>
  <c r="T335" i="97"/>
  <c r="M25" i="98" s="1"/>
  <c r="T349" i="97"/>
  <c r="M26" i="98" s="1"/>
  <c r="T363" i="97"/>
  <c r="M27" i="98" s="1"/>
  <c r="T307" i="97"/>
  <c r="T293" i="97"/>
  <c r="T265" i="97"/>
  <c r="T279" i="97"/>
  <c r="AE367" i="97" l="1"/>
  <c r="M28" i="98"/>
  <c r="AE311" i="97"/>
  <c r="M24" i="98"/>
  <c r="AE297" i="97"/>
  <c r="M23" i="98"/>
  <c r="AE283" i="97"/>
  <c r="M22" i="98"/>
  <c r="AE269" i="97"/>
  <c r="M21" i="98"/>
  <c r="AE255" i="97"/>
  <c r="M20" i="98"/>
  <c r="AE451" i="97"/>
  <c r="M34" i="98"/>
  <c r="AE437" i="97"/>
  <c r="M33" i="98"/>
  <c r="W447" i="97"/>
  <c r="Z4" i="97"/>
  <c r="Z6" i="97"/>
  <c r="Z8" i="97"/>
  <c r="Z14" i="97"/>
  <c r="Z15" i="97"/>
  <c r="Z16" i="97"/>
  <c r="Z17" i="97"/>
  <c r="Z18" i="97"/>
  <c r="V194" i="99"/>
  <c r="X64" i="99"/>
  <c r="F194" i="99"/>
  <c r="D194" i="99"/>
  <c r="V64" i="99"/>
  <c r="X194" i="99"/>
  <c r="AA19" i="97" l="1"/>
  <c r="AB19" i="97"/>
  <c r="D247" i="97" s="1"/>
  <c r="T88" i="97"/>
  <c r="AB8" i="97"/>
  <c r="AA8" i="97"/>
  <c r="AA16" i="97"/>
  <c r="D199" i="97" s="1"/>
  <c r="AB16" i="97"/>
  <c r="D201" i="97" s="1"/>
  <c r="T57" i="97"/>
  <c r="AA6" i="97"/>
  <c r="AB6" i="97"/>
  <c r="T29" i="97"/>
  <c r="AA4" i="97"/>
  <c r="AB4" i="97"/>
  <c r="AA14" i="97"/>
  <c r="D171" i="97" s="1"/>
  <c r="AB14" i="97"/>
  <c r="D173" i="97" s="1"/>
  <c r="T251" i="97"/>
  <c r="T236" i="97"/>
  <c r="T205" i="97"/>
  <c r="T220" i="97"/>
  <c r="T191" i="97"/>
  <c r="T177" i="97"/>
  <c r="AE241" i="97" l="1"/>
  <c r="M19" i="98"/>
  <c r="AE47" i="97"/>
  <c r="M6" i="98"/>
  <c r="AE181" i="97"/>
  <c r="M15" i="98"/>
  <c r="AE19" i="97"/>
  <c r="M4" i="98"/>
  <c r="AE77" i="97"/>
  <c r="M8" i="98"/>
  <c r="AE167" i="97"/>
  <c r="M14" i="98"/>
  <c r="AE209" i="97"/>
  <c r="M17" i="98"/>
  <c r="AE195" i="97"/>
  <c r="M16" i="98"/>
  <c r="AE225" i="97"/>
  <c r="M18" i="98"/>
  <c r="E222" i="94"/>
  <c r="D499" i="97" s="1"/>
  <c r="E221" i="94"/>
  <c r="E210" i="94"/>
  <c r="E209" i="94"/>
  <c r="E198" i="94"/>
  <c r="E200" i="94" s="1"/>
  <c r="E197" i="94"/>
  <c r="E199" i="94" s="1"/>
  <c r="E187" i="94"/>
  <c r="E186" i="94"/>
  <c r="E170" i="94"/>
  <c r="E155" i="94"/>
  <c r="AB24" i="97" s="1"/>
  <c r="D317" i="97" s="1"/>
  <c r="E154" i="94"/>
  <c r="AA24" i="97" s="1"/>
  <c r="D315" i="97" s="1"/>
  <c r="D245" i="97"/>
  <c r="E101" i="94"/>
  <c r="E100" i="94"/>
  <c r="E87" i="94"/>
  <c r="E86" i="94"/>
  <c r="E73" i="94"/>
  <c r="E72" i="94"/>
  <c r="E59" i="94"/>
  <c r="E45" i="94"/>
  <c r="E44" i="94"/>
  <c r="E31" i="94"/>
  <c r="E30" i="94"/>
  <c r="E16" i="94"/>
  <c r="K180" i="94"/>
  <c r="AB15" i="97" l="1"/>
  <c r="D187" i="97" s="1"/>
  <c r="AA15" i="97"/>
  <c r="D185" i="97" s="1"/>
  <c r="D497" i="97"/>
  <c r="AA25" i="97"/>
  <c r="D329" i="97" s="1"/>
  <c r="AA27" i="97"/>
  <c r="D357" i="97" s="1"/>
  <c r="AA18" i="97"/>
  <c r="D229" i="97" s="1"/>
  <c r="AA17" i="97"/>
  <c r="D213" i="97" s="1"/>
  <c r="AB18" i="97"/>
  <c r="D231" i="97" s="1"/>
  <c r="AB17" i="97"/>
  <c r="D215" i="97" s="1"/>
  <c r="AA31" i="97"/>
  <c r="D413" i="97" s="1"/>
  <c r="AA33" i="97"/>
  <c r="D441" i="97" s="1"/>
  <c r="AB31" i="97"/>
  <c r="D415" i="97" s="1"/>
  <c r="AB33" i="97"/>
  <c r="D443" i="97" s="1"/>
  <c r="T15" i="94" l="1"/>
  <c r="T13" i="94"/>
  <c r="T14" i="94"/>
  <c r="T12" i="94"/>
  <c r="I155" i="94" l="1"/>
  <c r="E76" i="94"/>
  <c r="E77" i="94"/>
  <c r="E78" i="94"/>
  <c r="E79" i="94"/>
  <c r="E75" i="94"/>
  <c r="E62" i="94"/>
  <c r="E63" i="94"/>
  <c r="E64" i="94"/>
  <c r="E65" i="94"/>
  <c r="E61" i="94"/>
  <c r="E51" i="94"/>
  <c r="E50" i="94"/>
  <c r="E49" i="94"/>
  <c r="E48" i="94"/>
  <c r="E47" i="94"/>
  <c r="E36" i="94"/>
  <c r="E35" i="94"/>
  <c r="E34" i="94"/>
  <c r="E33" i="94"/>
  <c r="E23" i="94"/>
  <c r="E22" i="94"/>
  <c r="E21" i="94"/>
  <c r="E20" i="94"/>
  <c r="E19" i="94"/>
  <c r="Z13" i="97" l="1"/>
  <c r="Z12" i="97"/>
  <c r="Z11" i="97"/>
  <c r="Z10" i="97"/>
  <c r="Z9" i="97"/>
  <c r="D118" i="99"/>
  <c r="X118" i="99"/>
  <c r="F118" i="99"/>
  <c r="V118" i="99"/>
  <c r="T163" i="97" l="1"/>
  <c r="AB13" i="97"/>
  <c r="D159" i="97" s="1"/>
  <c r="AA13" i="97"/>
  <c r="D157" i="97" s="1"/>
  <c r="T117" i="97"/>
  <c r="AB10" i="97"/>
  <c r="D113" i="97" s="1"/>
  <c r="AA10" i="97"/>
  <c r="D111" i="97" s="1"/>
  <c r="T132" i="97"/>
  <c r="AA11" i="97"/>
  <c r="D125" i="97" s="1"/>
  <c r="AB11" i="97"/>
  <c r="D127" i="97" s="1"/>
  <c r="T148" i="97"/>
  <c r="AA12" i="97"/>
  <c r="D141" i="97" s="1"/>
  <c r="AB12" i="97"/>
  <c r="D143" i="97" s="1"/>
  <c r="AA9" i="97"/>
  <c r="D97" i="97" s="1"/>
  <c r="AB9" i="97"/>
  <c r="D99" i="97" s="1"/>
  <c r="T103" i="97"/>
  <c r="AE93" i="97" l="1"/>
  <c r="M9" i="98"/>
  <c r="AE121" i="97"/>
  <c r="M11" i="98"/>
  <c r="AE153" i="97"/>
  <c r="M13" i="98"/>
  <c r="AE107" i="97"/>
  <c r="M10" i="98"/>
  <c r="AE137" i="97"/>
  <c r="M12" i="98"/>
  <c r="Z7" i="97"/>
  <c r="Z5" i="97"/>
  <c r="Z3" i="97"/>
  <c r="D64" i="99"/>
  <c r="B2394" i="100"/>
  <c r="F64" i="99"/>
  <c r="B2328" i="100"/>
  <c r="B2372" i="100"/>
  <c r="C2350" i="100"/>
  <c r="C2394" i="100"/>
  <c r="C2372" i="100"/>
  <c r="B2306" i="100"/>
  <c r="C2306" i="100"/>
  <c r="B2350" i="100"/>
  <c r="C2328" i="100"/>
  <c r="T72" i="97" l="1"/>
  <c r="AB7" i="97"/>
  <c r="D67" i="97" s="1"/>
  <c r="AA7" i="97"/>
  <c r="D65" i="97" s="1"/>
  <c r="T43" i="97"/>
  <c r="AB5" i="97"/>
  <c r="D39" i="97" s="1"/>
  <c r="AA5" i="97"/>
  <c r="D37" i="97" s="1"/>
  <c r="AA3" i="97"/>
  <c r="D9" i="97" s="1"/>
  <c r="T15" i="97"/>
  <c r="AD3" i="97"/>
  <c r="D83" i="97"/>
  <c r="D81" i="97"/>
  <c r="D25" i="97"/>
  <c r="D23" i="97"/>
  <c r="D53" i="97"/>
  <c r="D51" i="97"/>
  <c r="I115" i="94"/>
  <c r="B2193" i="100"/>
  <c r="C2194" i="100"/>
  <c r="C2193" i="100"/>
  <c r="B2194" i="100"/>
  <c r="AE61" i="97" l="1"/>
  <c r="M7" i="98"/>
  <c r="AE5" i="97"/>
  <c r="M3" i="98"/>
  <c r="AE33" i="97"/>
  <c r="M5" i="98"/>
  <c r="K215" i="94"/>
  <c r="G187" i="94"/>
  <c r="B37" i="65" l="1"/>
  <c r="O187" i="94"/>
  <c r="O476" i="94" s="1"/>
  <c r="U23" i="12"/>
  <c r="N182" i="94"/>
  <c r="AE15" i="12"/>
  <c r="E27" i="12"/>
  <c r="C16" i="36"/>
  <c r="C17" i="36"/>
  <c r="C18" i="36"/>
  <c r="C19" i="36"/>
  <c r="C20" i="36"/>
  <c r="C21" i="36"/>
  <c r="C22" i="36"/>
  <c r="C23" i="36"/>
  <c r="C15" i="36"/>
  <c r="T47" i="72" l="1"/>
  <c r="T40" i="72"/>
  <c r="T39" i="72"/>
  <c r="T41" i="72"/>
  <c r="T42" i="72"/>
  <c r="T43" i="72"/>
  <c r="T44" i="72"/>
  <c r="T45" i="72"/>
  <c r="T46" i="72"/>
  <c r="H4" i="94"/>
  <c r="H3" i="94"/>
  <c r="S196" i="94"/>
  <c r="S169" i="94"/>
  <c r="S161" i="94"/>
  <c r="S153" i="94"/>
  <c r="J103" i="94"/>
  <c r="S85" i="94"/>
  <c r="I80" i="94"/>
  <c r="J75" i="94"/>
  <c r="S71" i="94"/>
  <c r="I66" i="94"/>
  <c r="S57" i="94"/>
  <c r="I52" i="94"/>
  <c r="J48" i="94"/>
  <c r="S43" i="94"/>
  <c r="I38" i="94"/>
  <c r="E37" i="94"/>
  <c r="J34" i="94"/>
  <c r="S29" i="94"/>
  <c r="I24" i="94"/>
  <c r="R39" i="72" l="1"/>
  <c r="R47" i="72"/>
  <c r="R40" i="72"/>
  <c r="R46" i="72"/>
  <c r="R41" i="72"/>
  <c r="R42" i="72"/>
  <c r="R43" i="72"/>
  <c r="R45" i="72"/>
  <c r="R44" i="72"/>
  <c r="E23" i="12" l="1"/>
  <c r="B38" i="65"/>
  <c r="AH1" i="75"/>
  <c r="AH17" i="75" l="1"/>
  <c r="AH25" i="75"/>
  <c r="AH18" i="75"/>
  <c r="AH19" i="75"/>
  <c r="AH22" i="75"/>
  <c r="AH20" i="75"/>
  <c r="AH21" i="75"/>
  <c r="AH23" i="75"/>
  <c r="AH16" i="75"/>
  <c r="AH24" i="75"/>
  <c r="AH15" i="75"/>
  <c r="AH9" i="75"/>
  <c r="AH7" i="75"/>
  <c r="AH8" i="75"/>
  <c r="AH6" i="75"/>
  <c r="AH14" i="75"/>
  <c r="AH13" i="75"/>
  <c r="AH12" i="75"/>
  <c r="AH11" i="75"/>
  <c r="AH10" i="75"/>
  <c r="F6" i="99"/>
  <c r="B25" i="65"/>
  <c r="OZ29" i="72" l="1"/>
  <c r="PA29" i="72" s="1" a="1"/>
  <c r="PA29" i="72" s="1"/>
  <c r="PB29" i="72" s="1"/>
  <c r="OZ21" i="72"/>
  <c r="PA21" i="72" s="1" a="1"/>
  <c r="PA21" i="72" s="1"/>
  <c r="PB21" i="72" s="1"/>
  <c r="OZ33" i="72"/>
  <c r="PA33" i="72" s="1" a="1"/>
  <c r="PA33" i="72" s="1"/>
  <c r="PB33" i="72" s="1"/>
  <c r="OZ25" i="72"/>
  <c r="PA25" i="72" s="1" a="1"/>
  <c r="PA25" i="72" s="1"/>
  <c r="PB25" i="72" s="1"/>
  <c r="OZ17" i="72"/>
  <c r="PA17" i="72" s="1" a="1"/>
  <c r="PA17" i="72" s="1"/>
  <c r="PB17" i="72" s="1"/>
  <c r="OZ24" i="72"/>
  <c r="PA24" i="72" s="1" a="1"/>
  <c r="PA24" i="72" s="1"/>
  <c r="PB24" i="72" s="1"/>
  <c r="OZ14" i="72"/>
  <c r="PA14" i="72" s="1" a="1"/>
  <c r="PA14" i="72" s="1"/>
  <c r="PB14" i="72" s="1"/>
  <c r="OZ30" i="72"/>
  <c r="PA30" i="72" s="1" a="1"/>
  <c r="PA30" i="72" s="1"/>
  <c r="PB30" i="72" s="1"/>
  <c r="OZ19" i="72"/>
  <c r="PA19" i="72" s="1" a="1"/>
  <c r="PA19" i="72" s="1"/>
  <c r="PB19" i="72" s="1"/>
  <c r="OZ23" i="72"/>
  <c r="PA23" i="72" s="1" a="1"/>
  <c r="PA23" i="72" s="1"/>
  <c r="PB23" i="72" s="1"/>
  <c r="OZ22" i="72"/>
  <c r="PA22" i="72" s="1" a="1"/>
  <c r="PA22" i="72" s="1"/>
  <c r="PB22" i="72" s="1"/>
  <c r="OZ34" i="72"/>
  <c r="PA34" i="72" s="1" a="1"/>
  <c r="PA34" i="72" s="1"/>
  <c r="PB34" i="72" s="1"/>
  <c r="OZ20" i="72"/>
  <c r="PA20" i="72" s="1" a="1"/>
  <c r="PA20" i="72" s="1"/>
  <c r="PB20" i="72" s="1"/>
  <c r="OZ32" i="72"/>
  <c r="PA32" i="72" s="1" a="1"/>
  <c r="PA32" i="72" s="1"/>
  <c r="PB32" i="72" s="1"/>
  <c r="OZ18" i="72"/>
  <c r="PA18" i="72" s="1" a="1"/>
  <c r="PA18" i="72" s="1"/>
  <c r="PB18" i="72" s="1"/>
  <c r="OZ31" i="72"/>
  <c r="PA31" i="72" s="1" a="1"/>
  <c r="PA31" i="72" s="1"/>
  <c r="PB31" i="72" s="1"/>
  <c r="OZ16" i="72"/>
  <c r="PA16" i="72" s="1" a="1"/>
  <c r="PA16" i="72" s="1"/>
  <c r="PB16" i="72" s="1"/>
  <c r="OZ28" i="72"/>
  <c r="PA28" i="72" s="1" a="1"/>
  <c r="PA28" i="72" s="1"/>
  <c r="PB28" i="72" s="1"/>
  <c r="OZ15" i="72"/>
  <c r="PA15" i="72" s="1" a="1"/>
  <c r="PA15" i="72" s="1"/>
  <c r="PB15" i="72" s="1"/>
  <c r="OZ27" i="72"/>
  <c r="PA27" i="72" s="1" a="1"/>
  <c r="PA27" i="72" s="1"/>
  <c r="PB27" i="72" s="1"/>
  <c r="OZ26" i="72"/>
  <c r="PA26" i="72" s="1" a="1"/>
  <c r="PA26" i="72" s="1"/>
  <c r="PB26" i="72" s="1"/>
  <c r="IU32" i="72"/>
  <c r="IV32" i="72" s="1" a="1"/>
  <c r="IV32" i="72" s="1"/>
  <c r="IW32" i="72" s="1"/>
  <c r="IU24" i="72"/>
  <c r="IV24" i="72" s="1" a="1"/>
  <c r="IV24" i="72" s="1"/>
  <c r="IW24" i="72" s="1"/>
  <c r="IU16" i="72"/>
  <c r="IV16" i="72" s="1" a="1"/>
  <c r="IV16" i="72" s="1"/>
  <c r="IW16" i="72" s="1"/>
  <c r="IU28" i="72"/>
  <c r="IV28" i="72" s="1" a="1"/>
  <c r="IV28" i="72" s="1"/>
  <c r="IW28" i="72" s="1"/>
  <c r="IU20" i="72"/>
  <c r="IV20" i="72" s="1" a="1"/>
  <c r="IV20" i="72" s="1"/>
  <c r="IW20" i="72" s="1"/>
  <c r="IU33" i="72"/>
  <c r="IV33" i="72" s="1" a="1"/>
  <c r="IV33" i="72" s="1"/>
  <c r="IW33" i="72" s="1"/>
  <c r="IU22" i="72"/>
  <c r="IV22" i="72" s="1" a="1"/>
  <c r="IV22" i="72" s="1"/>
  <c r="IW22" i="72" s="1"/>
  <c r="IU27" i="72"/>
  <c r="IV27" i="72" s="1" a="1"/>
  <c r="IV27" i="72" s="1"/>
  <c r="IW27" i="72" s="1"/>
  <c r="IU17" i="72"/>
  <c r="IV17" i="72" s="1" a="1"/>
  <c r="IV17" i="72" s="1"/>
  <c r="IW17" i="72" s="1"/>
  <c r="IU29" i="72"/>
  <c r="IV29" i="72" s="1" a="1"/>
  <c r="IV29" i="72" s="1"/>
  <c r="IW29" i="72" s="1"/>
  <c r="IU14" i="72"/>
  <c r="IV14" i="72" s="1" a="1"/>
  <c r="IV14" i="72" s="1"/>
  <c r="IW14" i="72" s="1"/>
  <c r="IU26" i="72"/>
  <c r="IV26" i="72" s="1" a="1"/>
  <c r="IV26" i="72" s="1"/>
  <c r="IW26" i="72" s="1"/>
  <c r="IU25" i="72"/>
  <c r="IV25" i="72" s="1" a="1"/>
  <c r="IV25" i="72" s="1"/>
  <c r="IW25" i="72" s="1"/>
  <c r="IU23" i="72"/>
  <c r="IV23" i="72" s="1" a="1"/>
  <c r="IV23" i="72" s="1"/>
  <c r="IW23" i="72" s="1"/>
  <c r="IU21" i="72"/>
  <c r="IV21" i="72" s="1" a="1"/>
  <c r="IV21" i="72" s="1"/>
  <c r="IW21" i="72" s="1"/>
  <c r="IU34" i="72"/>
  <c r="IV34" i="72" s="1" a="1"/>
  <c r="IV34" i="72" s="1"/>
  <c r="IW34" i="72" s="1"/>
  <c r="IU19" i="72"/>
  <c r="IV19" i="72" s="1" a="1"/>
  <c r="IV19" i="72" s="1"/>
  <c r="IW19" i="72" s="1"/>
  <c r="IU31" i="72"/>
  <c r="IV31" i="72" s="1" a="1"/>
  <c r="IV31" i="72" s="1"/>
  <c r="IW31" i="72" s="1"/>
  <c r="IU18" i="72"/>
  <c r="IV18" i="72" s="1" a="1"/>
  <c r="IV18" i="72" s="1"/>
  <c r="IW18" i="72" s="1"/>
  <c r="IU30" i="72"/>
  <c r="IV30" i="72" s="1" a="1"/>
  <c r="IV30" i="72" s="1"/>
  <c r="IW30" i="72" s="1"/>
  <c r="IU15" i="72"/>
  <c r="IV15" i="72" s="1" a="1"/>
  <c r="IV15" i="72" s="1"/>
  <c r="IW15" i="72" s="1"/>
  <c r="QT27" i="72"/>
  <c r="QU27" i="72" s="1" a="1"/>
  <c r="QU27" i="72" s="1"/>
  <c r="QV27" i="72" s="1"/>
  <c r="QT19" i="72"/>
  <c r="QU19" i="72" s="1" a="1"/>
  <c r="QU19" i="72" s="1"/>
  <c r="QV19" i="72" s="1"/>
  <c r="QT31" i="72"/>
  <c r="QU31" i="72" s="1" a="1"/>
  <c r="QU31" i="72" s="1"/>
  <c r="QV31" i="72" s="1"/>
  <c r="QT23" i="72"/>
  <c r="QU23" i="72" s="1" a="1"/>
  <c r="QU23" i="72" s="1"/>
  <c r="QV23" i="72" s="1"/>
  <c r="QT15" i="72"/>
  <c r="QU15" i="72" s="1" a="1"/>
  <c r="QU15" i="72" s="1"/>
  <c r="QV15" i="72" s="1"/>
  <c r="QT29" i="72"/>
  <c r="QU29" i="72" s="1" a="1"/>
  <c r="QU29" i="72" s="1"/>
  <c r="QV29" i="72" s="1"/>
  <c r="QT28" i="72"/>
  <c r="QU28" i="72" s="1" a="1"/>
  <c r="QU28" i="72" s="1"/>
  <c r="QV28" i="72" s="1"/>
  <c r="QT17" i="72"/>
  <c r="QU17" i="72" s="1" a="1"/>
  <c r="QU17" i="72" s="1"/>
  <c r="QV17" i="72" s="1"/>
  <c r="QT25" i="72"/>
  <c r="QU25" i="72" s="1" a="1"/>
  <c r="QU25" i="72" s="1"/>
  <c r="QV25" i="72" s="1"/>
  <c r="QT14" i="72"/>
  <c r="QU14" i="72" s="1" a="1"/>
  <c r="QU14" i="72" s="1"/>
  <c r="QV14" i="72" s="1"/>
  <c r="QT33" i="72"/>
  <c r="QU33" i="72" s="1" a="1"/>
  <c r="QU33" i="72" s="1"/>
  <c r="QV33" i="72" s="1"/>
  <c r="QT32" i="72"/>
  <c r="QU32" i="72" s="1" a="1"/>
  <c r="QU32" i="72" s="1"/>
  <c r="QV32" i="72" s="1"/>
  <c r="QT21" i="72"/>
  <c r="QU21" i="72" s="1" a="1"/>
  <c r="QU21" i="72" s="1"/>
  <c r="QV21" i="72" s="1"/>
  <c r="QT30" i="72"/>
  <c r="QU30" i="72" s="1" a="1"/>
  <c r="QU30" i="72" s="1"/>
  <c r="QV30" i="72" s="1"/>
  <c r="QT20" i="72"/>
  <c r="QU20" i="72" s="1" a="1"/>
  <c r="QU20" i="72" s="1"/>
  <c r="QV20" i="72" s="1"/>
  <c r="QT34" i="72"/>
  <c r="QU34" i="72" s="1" a="1"/>
  <c r="QU34" i="72" s="1"/>
  <c r="QV34" i="72" s="1"/>
  <c r="QT26" i="72"/>
  <c r="QU26" i="72" s="1" a="1"/>
  <c r="QU26" i="72" s="1"/>
  <c r="QV26" i="72" s="1"/>
  <c r="QT24" i="72"/>
  <c r="QU24" i="72" s="1" a="1"/>
  <c r="QU24" i="72" s="1"/>
  <c r="QV24" i="72" s="1"/>
  <c r="QT22" i="72"/>
  <c r="QU22" i="72" s="1" a="1"/>
  <c r="QU22" i="72" s="1"/>
  <c r="QV22" i="72" s="1"/>
  <c r="QT18" i="72"/>
  <c r="QU18" i="72" s="1" a="1"/>
  <c r="QU18" i="72" s="1"/>
  <c r="QV18" i="72" s="1"/>
  <c r="QT16" i="72"/>
  <c r="QU16" i="72" s="1" a="1"/>
  <c r="QU16" i="72" s="1"/>
  <c r="QV16" i="72" s="1"/>
  <c r="OC34" i="72"/>
  <c r="OD34" i="72" s="1" a="1"/>
  <c r="OD34" i="72" s="1"/>
  <c r="OE34" i="72" s="1"/>
  <c r="OC26" i="72"/>
  <c r="OD26" i="72" s="1" a="1"/>
  <c r="OD26" i="72" s="1"/>
  <c r="OE26" i="72" s="1"/>
  <c r="OC18" i="72"/>
  <c r="OD18" i="72" s="1" a="1"/>
  <c r="OD18" i="72" s="1"/>
  <c r="OE18" i="72" s="1"/>
  <c r="OC30" i="72"/>
  <c r="OD30" i="72" s="1" a="1"/>
  <c r="OD30" i="72" s="1"/>
  <c r="OE30" i="72" s="1"/>
  <c r="OC22" i="72"/>
  <c r="OD22" i="72" s="1" a="1"/>
  <c r="OD22" i="72" s="1"/>
  <c r="OE22" i="72" s="1"/>
  <c r="OC14" i="72"/>
  <c r="OD14" i="72" s="1" a="1"/>
  <c r="OD14" i="72" s="1"/>
  <c r="OE14" i="72" s="1"/>
  <c r="OC24" i="72"/>
  <c r="OD24" i="72" s="1" a="1"/>
  <c r="OD24" i="72" s="1"/>
  <c r="OE24" i="72" s="1"/>
  <c r="OC29" i="72"/>
  <c r="OD29" i="72" s="1" a="1"/>
  <c r="OD29" i="72" s="1"/>
  <c r="OE29" i="72" s="1"/>
  <c r="OC19" i="72"/>
  <c r="OD19" i="72" s="1" a="1"/>
  <c r="OD19" i="72" s="1"/>
  <c r="OE19" i="72" s="1"/>
  <c r="OC31" i="72"/>
  <c r="OD31" i="72" s="1" a="1"/>
  <c r="OD31" i="72" s="1"/>
  <c r="OE31" i="72" s="1"/>
  <c r="OC16" i="72"/>
  <c r="OD16" i="72" s="1" a="1"/>
  <c r="OD16" i="72" s="1"/>
  <c r="OE16" i="72" s="1"/>
  <c r="OC28" i="72"/>
  <c r="OD28" i="72" s="1" a="1"/>
  <c r="OD28" i="72" s="1"/>
  <c r="OE28" i="72" s="1"/>
  <c r="OC15" i="72"/>
  <c r="OD15" i="72" s="1" a="1"/>
  <c r="OD15" i="72" s="1"/>
  <c r="OE15" i="72" s="1"/>
  <c r="OC27" i="72"/>
  <c r="OD27" i="72" s="1" a="1"/>
  <c r="OD27" i="72" s="1"/>
  <c r="OE27" i="72" s="1"/>
  <c r="OC25" i="72"/>
  <c r="OD25" i="72" s="1" a="1"/>
  <c r="OD25" i="72" s="1"/>
  <c r="OE25" i="72" s="1"/>
  <c r="OC23" i="72"/>
  <c r="OD23" i="72" s="1" a="1"/>
  <c r="OD23" i="72" s="1"/>
  <c r="OE23" i="72" s="1"/>
  <c r="OC21" i="72"/>
  <c r="OD21" i="72" s="1" a="1"/>
  <c r="OD21" i="72" s="1"/>
  <c r="OE21" i="72" s="1"/>
  <c r="OC33" i="72"/>
  <c r="OD33" i="72" s="1" a="1"/>
  <c r="OD33" i="72" s="1"/>
  <c r="OE33" i="72" s="1"/>
  <c r="OC20" i="72"/>
  <c r="OD20" i="72" s="1" a="1"/>
  <c r="OD20" i="72" s="1"/>
  <c r="OE20" i="72" s="1"/>
  <c r="OC32" i="72"/>
  <c r="OD32" i="72" s="1" a="1"/>
  <c r="OD32" i="72" s="1"/>
  <c r="OE32" i="72" s="1"/>
  <c r="OC17" i="72"/>
  <c r="OD17" i="72" s="1" a="1"/>
  <c r="OD17" i="72" s="1"/>
  <c r="OE17" i="72" s="1"/>
  <c r="CP27" i="72"/>
  <c r="CQ27" i="72" s="1" a="1"/>
  <c r="CQ27" i="72" s="1"/>
  <c r="CR27" i="72" s="1"/>
  <c r="CP19" i="72"/>
  <c r="CQ19" i="72" s="1" a="1"/>
  <c r="CQ19" i="72" s="1"/>
  <c r="CR19" i="72" s="1"/>
  <c r="CP31" i="72"/>
  <c r="CQ31" i="72" s="1" a="1"/>
  <c r="CQ31" i="72" s="1"/>
  <c r="CR31" i="72" s="1"/>
  <c r="CP23" i="72"/>
  <c r="CQ23" i="72" s="1" a="1"/>
  <c r="CQ23" i="72" s="1"/>
  <c r="CR23" i="72" s="1"/>
  <c r="CP15" i="72"/>
  <c r="CQ15" i="72" s="1" a="1"/>
  <c r="CQ15" i="72" s="1"/>
  <c r="CR15" i="72" s="1"/>
  <c r="CP30" i="72"/>
  <c r="CQ30" i="72" s="1" a="1"/>
  <c r="CQ30" i="72" s="1"/>
  <c r="CR30" i="72" s="1"/>
  <c r="CP20" i="72"/>
  <c r="CQ20" i="72" s="1" a="1"/>
  <c r="CQ20" i="72" s="1"/>
  <c r="CR20" i="72" s="1"/>
  <c r="CP25" i="72"/>
  <c r="CQ25" i="72" s="1" a="1"/>
  <c r="CQ25" i="72" s="1"/>
  <c r="CR25" i="72" s="1"/>
  <c r="CP14" i="72"/>
  <c r="CQ14" i="72" s="1" a="1"/>
  <c r="CQ14" i="72" s="1"/>
  <c r="CR14" i="72" s="1"/>
  <c r="CP33" i="72"/>
  <c r="CQ33" i="72" s="1" a="1"/>
  <c r="CQ33" i="72" s="1"/>
  <c r="CR33" i="72" s="1"/>
  <c r="CP18" i="72"/>
  <c r="CQ18" i="72" s="1" a="1"/>
  <c r="CQ18" i="72" s="1"/>
  <c r="CR18" i="72" s="1"/>
  <c r="CP32" i="72"/>
  <c r="CQ32" i="72" s="1" a="1"/>
  <c r="CQ32" i="72" s="1"/>
  <c r="CR32" i="72" s="1"/>
  <c r="CP17" i="72"/>
  <c r="CQ17" i="72" s="1" a="1"/>
  <c r="CQ17" i="72" s="1"/>
  <c r="CR17" i="72" s="1"/>
  <c r="CP29" i="72"/>
  <c r="CQ29" i="72" s="1" a="1"/>
  <c r="CQ29" i="72" s="1"/>
  <c r="CR29" i="72" s="1"/>
  <c r="CP16" i="72"/>
  <c r="CQ16" i="72" s="1" a="1"/>
  <c r="CQ16" i="72" s="1"/>
  <c r="CR16" i="72" s="1"/>
  <c r="CP28" i="72"/>
  <c r="CQ28" i="72" s="1" a="1"/>
  <c r="CQ28" i="72" s="1"/>
  <c r="CR28" i="72" s="1"/>
  <c r="CP26" i="72"/>
  <c r="CQ26" i="72" s="1" a="1"/>
  <c r="CQ26" i="72" s="1"/>
  <c r="CR26" i="72" s="1"/>
  <c r="CP24" i="72"/>
  <c r="CQ24" i="72" s="1" a="1"/>
  <c r="CQ24" i="72" s="1"/>
  <c r="CR24" i="72" s="1"/>
  <c r="CP22" i="72"/>
  <c r="CQ22" i="72" s="1" a="1"/>
  <c r="CQ22" i="72" s="1"/>
  <c r="CR22" i="72" s="1"/>
  <c r="CP34" i="72"/>
  <c r="CQ34" i="72" s="1" a="1"/>
  <c r="CQ34" i="72" s="1"/>
  <c r="CR34" i="72" s="1"/>
  <c r="CP21" i="72"/>
  <c r="CQ21" i="72" s="1" a="1"/>
  <c r="CQ21" i="72" s="1"/>
  <c r="CR21" i="72" s="1"/>
  <c r="PW32" i="72"/>
  <c r="PX32" i="72" s="1" a="1"/>
  <c r="PX32" i="72" s="1"/>
  <c r="PY32" i="72" s="1"/>
  <c r="PW24" i="72"/>
  <c r="PX24" i="72" s="1" a="1"/>
  <c r="PX24" i="72" s="1"/>
  <c r="PY24" i="72" s="1"/>
  <c r="PW16" i="72"/>
  <c r="PX16" i="72" s="1" a="1"/>
  <c r="PX16" i="72" s="1"/>
  <c r="PY16" i="72" s="1"/>
  <c r="PW28" i="72"/>
  <c r="PX28" i="72" s="1" a="1"/>
  <c r="PX28" i="72" s="1"/>
  <c r="PY28" i="72" s="1"/>
  <c r="PW20" i="72"/>
  <c r="PX20" i="72" s="1" a="1"/>
  <c r="PX20" i="72" s="1"/>
  <c r="PY20" i="72" s="1"/>
  <c r="PW25" i="72"/>
  <c r="PX25" i="72" s="1" a="1"/>
  <c r="PX25" i="72" s="1"/>
  <c r="PY25" i="72" s="1"/>
  <c r="PW14" i="72"/>
  <c r="PX14" i="72" s="1" a="1"/>
  <c r="PX14" i="72" s="1"/>
  <c r="PY14" i="72" s="1"/>
  <c r="PW31" i="72"/>
  <c r="PX31" i="72" s="1" a="1"/>
  <c r="PX31" i="72" s="1"/>
  <c r="PY31" i="72" s="1"/>
  <c r="PW30" i="72"/>
  <c r="PX30" i="72" s="1" a="1"/>
  <c r="PX30" i="72" s="1"/>
  <c r="PY30" i="72" s="1"/>
  <c r="PW19" i="72"/>
  <c r="PX19" i="72" s="1" a="1"/>
  <c r="PX19" i="72" s="1"/>
  <c r="PY19" i="72" s="1"/>
  <c r="PW33" i="72"/>
  <c r="PX33" i="72" s="1" a="1"/>
  <c r="PX33" i="72" s="1"/>
  <c r="PY33" i="72" s="1"/>
  <c r="PW17" i="72"/>
  <c r="PX17" i="72" s="1" a="1"/>
  <c r="PX17" i="72" s="1"/>
  <c r="PY17" i="72" s="1"/>
  <c r="PW29" i="72"/>
  <c r="PX29" i="72" s="1" a="1"/>
  <c r="PX29" i="72" s="1"/>
  <c r="PY29" i="72" s="1"/>
  <c r="PW15" i="72"/>
  <c r="PX15" i="72" s="1" a="1"/>
  <c r="PX15" i="72" s="1"/>
  <c r="PY15" i="72" s="1"/>
  <c r="PW27" i="72"/>
  <c r="PX27" i="72" s="1" a="1"/>
  <c r="PX27" i="72" s="1"/>
  <c r="PY27" i="72" s="1"/>
  <c r="PW26" i="72"/>
  <c r="PX26" i="72" s="1" a="1"/>
  <c r="PX26" i="72" s="1"/>
  <c r="PY26" i="72" s="1"/>
  <c r="PW23" i="72"/>
  <c r="PX23" i="72" s="1" a="1"/>
  <c r="PX23" i="72" s="1"/>
  <c r="PY23" i="72" s="1"/>
  <c r="PW22" i="72"/>
  <c r="PX22" i="72" s="1" a="1"/>
  <c r="PX22" i="72" s="1"/>
  <c r="PY22" i="72" s="1"/>
  <c r="PW21" i="72"/>
  <c r="PX21" i="72" s="1" a="1"/>
  <c r="PX21" i="72" s="1"/>
  <c r="PY21" i="72" s="1"/>
  <c r="PW34" i="72"/>
  <c r="PX34" i="72" s="1" a="1"/>
  <c r="PX34" i="72" s="1"/>
  <c r="PY34" i="72" s="1"/>
  <c r="PW18" i="72"/>
  <c r="PX18" i="72" s="1" a="1"/>
  <c r="PX18" i="72" s="1"/>
  <c r="PY18" i="72" s="1"/>
  <c r="FG28" i="72"/>
  <c r="FH28" i="72" s="1" a="1"/>
  <c r="FH28" i="72" s="1"/>
  <c r="FI28" i="72" s="1"/>
  <c r="FG20" i="72"/>
  <c r="FH20" i="72" s="1" a="1"/>
  <c r="FH20" i="72" s="1"/>
  <c r="FI20" i="72" s="1"/>
  <c r="FG32" i="72"/>
  <c r="FH32" i="72" s="1" a="1"/>
  <c r="FH32" i="72" s="1"/>
  <c r="FI32" i="72" s="1"/>
  <c r="FG24" i="72"/>
  <c r="FH24" i="72" s="1" a="1"/>
  <c r="FH24" i="72" s="1"/>
  <c r="FI24" i="72" s="1"/>
  <c r="FG16" i="72"/>
  <c r="FH16" i="72" s="1" a="1"/>
  <c r="FH16" i="72" s="1"/>
  <c r="FI16" i="72" s="1"/>
  <c r="FG31" i="72"/>
  <c r="FH31" i="72" s="1" a="1"/>
  <c r="FH31" i="72" s="1"/>
  <c r="FI31" i="72" s="1"/>
  <c r="FG21" i="72"/>
  <c r="FH21" i="72" s="1" a="1"/>
  <c r="FH21" i="72" s="1"/>
  <c r="FI21" i="72" s="1"/>
  <c r="FG26" i="72"/>
  <c r="FH26" i="72" s="1" a="1"/>
  <c r="FH26" i="72" s="1"/>
  <c r="FI26" i="72" s="1"/>
  <c r="FG15" i="72"/>
  <c r="FH15" i="72" s="1" a="1"/>
  <c r="FH15" i="72" s="1"/>
  <c r="FI15" i="72" s="1"/>
  <c r="FG27" i="72"/>
  <c r="FH27" i="72" s="1" a="1"/>
  <c r="FH27" i="72" s="1"/>
  <c r="FI27" i="72" s="1"/>
  <c r="FG25" i="72"/>
  <c r="FH25" i="72" s="1" a="1"/>
  <c r="FH25" i="72" s="1"/>
  <c r="FI25" i="72" s="1"/>
  <c r="FG23" i="72"/>
  <c r="FH23" i="72" s="1" a="1"/>
  <c r="FH23" i="72" s="1"/>
  <c r="FI23" i="72" s="1"/>
  <c r="FG22" i="72"/>
  <c r="FH22" i="72" s="1" a="1"/>
  <c r="FH22" i="72" s="1"/>
  <c r="FI22" i="72" s="1"/>
  <c r="FG34" i="72"/>
  <c r="FH34" i="72" s="1" a="1"/>
  <c r="FH34" i="72" s="1"/>
  <c r="FI34" i="72" s="1"/>
  <c r="FG19" i="72"/>
  <c r="FH19" i="72" s="1" a="1"/>
  <c r="FH19" i="72" s="1"/>
  <c r="FI19" i="72" s="1"/>
  <c r="FG33" i="72"/>
  <c r="FH33" i="72" s="1" a="1"/>
  <c r="FH33" i="72" s="1"/>
  <c r="FI33" i="72" s="1"/>
  <c r="FG18" i="72"/>
  <c r="FH18" i="72" s="1" a="1"/>
  <c r="FH18" i="72" s="1"/>
  <c r="FI18" i="72" s="1"/>
  <c r="FG30" i="72"/>
  <c r="FH30" i="72" s="1" a="1"/>
  <c r="FH30" i="72" s="1"/>
  <c r="FI30" i="72" s="1"/>
  <c r="FG17" i="72"/>
  <c r="FH17" i="72" s="1" a="1"/>
  <c r="FH17" i="72" s="1"/>
  <c r="FI17" i="72" s="1"/>
  <c r="FG29" i="72"/>
  <c r="FH29" i="72" s="1" a="1"/>
  <c r="FH29" i="72" s="1"/>
  <c r="FI29" i="72" s="1"/>
  <c r="FG14" i="72"/>
  <c r="FH14" i="72" s="1" a="1"/>
  <c r="FH14" i="72" s="1"/>
  <c r="FI14" i="72" s="1"/>
  <c r="EJ33" i="72"/>
  <c r="EK33" i="72" s="1" a="1"/>
  <c r="EK33" i="72" s="1"/>
  <c r="EL33" i="72" s="1"/>
  <c r="EJ25" i="72"/>
  <c r="EK25" i="72" s="1" a="1"/>
  <c r="EK25" i="72" s="1"/>
  <c r="EL25" i="72" s="1"/>
  <c r="EJ17" i="72"/>
  <c r="EK17" i="72" s="1" a="1"/>
  <c r="EK17" i="72" s="1"/>
  <c r="EL17" i="72" s="1"/>
  <c r="EJ29" i="72"/>
  <c r="EK29" i="72" s="1" a="1"/>
  <c r="EK29" i="72" s="1"/>
  <c r="EL29" i="72" s="1"/>
  <c r="EJ21" i="72"/>
  <c r="EK21" i="72" s="1" a="1"/>
  <c r="EK21" i="72" s="1"/>
  <c r="EL21" i="72" s="1"/>
  <c r="EJ31" i="72"/>
  <c r="EK31" i="72" s="1" a="1"/>
  <c r="EK31" i="72" s="1"/>
  <c r="EL31" i="72" s="1"/>
  <c r="EJ20" i="72"/>
  <c r="EK20" i="72" s="1" a="1"/>
  <c r="EK20" i="72" s="1"/>
  <c r="EL20" i="72" s="1"/>
  <c r="EJ26" i="72"/>
  <c r="EK26" i="72" s="1" a="1"/>
  <c r="EK26" i="72" s="1"/>
  <c r="EL26" i="72" s="1"/>
  <c r="EJ15" i="72"/>
  <c r="EK15" i="72" s="1" a="1"/>
  <c r="EK15" i="72" s="1"/>
  <c r="EL15" i="72" s="1"/>
  <c r="EJ34" i="72"/>
  <c r="EK34" i="72" s="1" a="1"/>
  <c r="EK34" i="72" s="1"/>
  <c r="EL34" i="72" s="1"/>
  <c r="EJ19" i="72"/>
  <c r="EK19" i="72" s="1" a="1"/>
  <c r="EK19" i="72" s="1"/>
  <c r="EL19" i="72" s="1"/>
  <c r="EJ32" i="72"/>
  <c r="EK32" i="72" s="1" a="1"/>
  <c r="EK32" i="72" s="1"/>
  <c r="EL32" i="72" s="1"/>
  <c r="EJ18" i="72"/>
  <c r="EK18" i="72" s="1" a="1"/>
  <c r="EK18" i="72" s="1"/>
  <c r="EL18" i="72" s="1"/>
  <c r="EJ30" i="72"/>
  <c r="EK30" i="72" s="1" a="1"/>
  <c r="EK30" i="72" s="1"/>
  <c r="EL30" i="72" s="1"/>
  <c r="EJ16" i="72"/>
  <c r="EK16" i="72" s="1" a="1"/>
  <c r="EK16" i="72" s="1"/>
  <c r="EL16" i="72" s="1"/>
  <c r="EJ28" i="72"/>
  <c r="EK28" i="72" s="1" a="1"/>
  <c r="EK28" i="72" s="1"/>
  <c r="EL28" i="72" s="1"/>
  <c r="EJ14" i="72"/>
  <c r="EK14" i="72" s="1" a="1"/>
  <c r="EK14" i="72" s="1"/>
  <c r="EL14" i="72" s="1"/>
  <c r="EJ27" i="72"/>
  <c r="EK27" i="72" s="1" a="1"/>
  <c r="EK27" i="72" s="1"/>
  <c r="EL27" i="72" s="1"/>
  <c r="EJ24" i="72"/>
  <c r="EK24" i="72" s="1" a="1"/>
  <c r="EK24" i="72" s="1"/>
  <c r="EL24" i="72" s="1"/>
  <c r="EJ23" i="72"/>
  <c r="EK23" i="72" s="1" a="1"/>
  <c r="EK23" i="72" s="1"/>
  <c r="EL23" i="72" s="1"/>
  <c r="EJ22" i="72"/>
  <c r="EK22" i="72" s="1" a="1"/>
  <c r="EK22" i="72" s="1"/>
  <c r="EL22" i="72" s="1"/>
  <c r="NF31" i="72"/>
  <c r="NG31" i="72" s="1" a="1"/>
  <c r="NG31" i="72" s="1"/>
  <c r="NH31" i="72" s="1"/>
  <c r="NF23" i="72"/>
  <c r="NG23" i="72" s="1" a="1"/>
  <c r="NG23" i="72" s="1"/>
  <c r="NH23" i="72" s="1"/>
  <c r="NF15" i="72"/>
  <c r="NG15" i="72" s="1" a="1"/>
  <c r="NG15" i="72" s="1"/>
  <c r="NH15" i="72" s="1"/>
  <c r="NF27" i="72"/>
  <c r="NG27" i="72" s="1" a="1"/>
  <c r="NG27" i="72" s="1"/>
  <c r="NH27" i="72" s="1"/>
  <c r="NF19" i="72"/>
  <c r="NG19" i="72" s="1" a="1"/>
  <c r="NG19" i="72" s="1"/>
  <c r="NH19" i="72" s="1"/>
  <c r="NF34" i="72"/>
  <c r="NG34" i="72" s="1" a="1"/>
  <c r="NG34" i="72" s="1"/>
  <c r="NH34" i="72" s="1"/>
  <c r="NF24" i="72"/>
  <c r="NG24" i="72" s="1" a="1"/>
  <c r="NG24" i="72" s="1"/>
  <c r="NH24" i="72" s="1"/>
  <c r="NF29" i="72"/>
  <c r="NG29" i="72" s="1" a="1"/>
  <c r="NG29" i="72" s="1"/>
  <c r="NH29" i="72" s="1"/>
  <c r="NF18" i="72"/>
  <c r="NG18" i="72" s="1" a="1"/>
  <c r="NG18" i="72" s="1"/>
  <c r="NH18" i="72" s="1"/>
  <c r="NF22" i="72"/>
  <c r="NG22" i="72" s="1" a="1"/>
  <c r="NG22" i="72" s="1"/>
  <c r="NH22" i="72" s="1"/>
  <c r="NF21" i="72"/>
  <c r="NG21" i="72" s="1" a="1"/>
  <c r="NG21" i="72" s="1"/>
  <c r="NH21" i="72" s="1"/>
  <c r="NF33" i="72"/>
  <c r="NG33" i="72" s="1" a="1"/>
  <c r="NG33" i="72" s="1"/>
  <c r="NH33" i="72" s="1"/>
  <c r="NF20" i="72"/>
  <c r="NG20" i="72" s="1" a="1"/>
  <c r="NG20" i="72" s="1"/>
  <c r="NH20" i="72" s="1"/>
  <c r="NF32" i="72"/>
  <c r="NG32" i="72" s="1" a="1"/>
  <c r="NG32" i="72" s="1"/>
  <c r="NH32" i="72" s="1"/>
  <c r="NF17" i="72"/>
  <c r="NG17" i="72" s="1" a="1"/>
  <c r="NG17" i="72" s="1"/>
  <c r="NH17" i="72" s="1"/>
  <c r="NF30" i="72"/>
  <c r="NG30" i="72" s="1" a="1"/>
  <c r="NG30" i="72" s="1"/>
  <c r="NH30" i="72" s="1"/>
  <c r="NF16" i="72"/>
  <c r="NG16" i="72" s="1" a="1"/>
  <c r="NG16" i="72" s="1"/>
  <c r="NH16" i="72" s="1"/>
  <c r="NF28" i="72"/>
  <c r="NG28" i="72" s="1" a="1"/>
  <c r="NG28" i="72" s="1"/>
  <c r="NH28" i="72" s="1"/>
  <c r="NF14" i="72"/>
  <c r="NG14" i="72" s="1" a="1"/>
  <c r="NG14" i="72" s="1"/>
  <c r="NH14" i="72" s="1"/>
  <c r="NF26" i="72"/>
  <c r="NG26" i="72" s="1" a="1"/>
  <c r="NG26" i="72" s="1"/>
  <c r="NH26" i="72" s="1"/>
  <c r="NF25" i="72"/>
  <c r="NG25" i="72" s="1" a="1"/>
  <c r="NG25" i="72" s="1"/>
  <c r="NH25" i="72" s="1"/>
  <c r="BS32" i="72"/>
  <c r="BT32" i="72" s="1" a="1"/>
  <c r="BT32" i="72" s="1"/>
  <c r="BU32" i="72" s="1"/>
  <c r="BS24" i="72"/>
  <c r="BT24" i="72" s="1" a="1"/>
  <c r="BT24" i="72" s="1"/>
  <c r="BU24" i="72" s="1"/>
  <c r="BS28" i="72"/>
  <c r="BT28" i="72" s="1" a="1"/>
  <c r="BT28" i="72" s="1"/>
  <c r="BU28" i="72" s="1"/>
  <c r="BS20" i="72"/>
  <c r="BT20" i="72" s="1" a="1"/>
  <c r="BT20" i="72" s="1"/>
  <c r="BU20" i="72" s="1"/>
  <c r="BS30" i="72"/>
  <c r="BT30" i="72" s="1" a="1"/>
  <c r="BT30" i="72" s="1"/>
  <c r="BU30" i="72" s="1"/>
  <c r="BS19" i="72"/>
  <c r="BT19" i="72" s="1" a="1"/>
  <c r="BT19" i="72" s="1"/>
  <c r="BU19" i="72" s="1"/>
  <c r="BS25" i="72"/>
  <c r="BT25" i="72" s="1" a="1"/>
  <c r="BT25" i="72" s="1"/>
  <c r="BU25" i="72" s="1"/>
  <c r="BS15" i="72"/>
  <c r="BT15" i="72" s="1" a="1"/>
  <c r="BT15" i="72" s="1"/>
  <c r="BU15" i="72" s="1"/>
  <c r="BS26" i="72"/>
  <c r="BT26" i="72" s="1" a="1"/>
  <c r="BT26" i="72" s="1"/>
  <c r="BU26" i="72" s="1"/>
  <c r="BS23" i="72"/>
  <c r="BT23" i="72" s="1" a="1"/>
  <c r="BT23" i="72" s="1"/>
  <c r="BU23" i="72" s="1"/>
  <c r="BS22" i="72"/>
  <c r="BT22" i="72" s="1" a="1"/>
  <c r="BT22" i="72" s="1"/>
  <c r="BU22" i="72" s="1"/>
  <c r="BS34" i="72"/>
  <c r="BT34" i="72" s="1" a="1"/>
  <c r="BT34" i="72" s="1"/>
  <c r="BU34" i="72" s="1"/>
  <c r="BS21" i="72"/>
  <c r="BT21" i="72" s="1" a="1"/>
  <c r="BT21" i="72" s="1"/>
  <c r="BU21" i="72" s="1"/>
  <c r="BS33" i="72"/>
  <c r="BT33" i="72" s="1" a="1"/>
  <c r="BT33" i="72" s="1"/>
  <c r="BU33" i="72" s="1"/>
  <c r="BS18" i="72"/>
  <c r="BT18" i="72" s="1" a="1"/>
  <c r="BT18" i="72" s="1"/>
  <c r="BU18" i="72" s="1"/>
  <c r="BS31" i="72"/>
  <c r="BT31" i="72" s="1" a="1"/>
  <c r="BT31" i="72" s="1"/>
  <c r="BU31" i="72" s="1"/>
  <c r="BS17" i="72"/>
  <c r="BT17" i="72" s="1" a="1"/>
  <c r="BT17" i="72" s="1"/>
  <c r="BU17" i="72" s="1"/>
  <c r="BS29" i="72"/>
  <c r="BT29" i="72" s="1" a="1"/>
  <c r="BT29" i="72" s="1"/>
  <c r="BU29" i="72" s="1"/>
  <c r="BS16" i="72"/>
  <c r="BT16" i="72" s="1" a="1"/>
  <c r="BT16" i="72" s="1"/>
  <c r="BU16" i="72" s="1"/>
  <c r="BS27" i="72"/>
  <c r="BT27" i="72" s="1" a="1"/>
  <c r="BT27" i="72" s="1"/>
  <c r="BU27" i="72" s="1"/>
  <c r="BS14" i="72"/>
  <c r="BT14" i="72" s="1" a="1"/>
  <c r="BT14" i="72" s="1"/>
  <c r="BU14" i="72" s="1"/>
  <c r="GD31" i="72"/>
  <c r="GE31" i="72" s="1" a="1"/>
  <c r="GE31" i="72" s="1"/>
  <c r="GF31" i="72" s="1"/>
  <c r="GD23" i="72"/>
  <c r="GE23" i="72" s="1" a="1"/>
  <c r="GE23" i="72" s="1"/>
  <c r="GF23" i="72" s="1"/>
  <c r="GD15" i="72"/>
  <c r="GE15" i="72" s="1" a="1"/>
  <c r="GE15" i="72" s="1"/>
  <c r="GF15" i="72" s="1"/>
  <c r="GD27" i="72"/>
  <c r="GE27" i="72" s="1" a="1"/>
  <c r="GE27" i="72" s="1"/>
  <c r="GF27" i="72" s="1"/>
  <c r="GD19" i="72"/>
  <c r="GE19" i="72" s="1" a="1"/>
  <c r="GE19" i="72" s="1"/>
  <c r="GF19" i="72" s="1"/>
  <c r="GD32" i="72"/>
  <c r="GE32" i="72" s="1" a="1"/>
  <c r="GE32" i="72" s="1"/>
  <c r="GF32" i="72" s="1"/>
  <c r="GD21" i="72"/>
  <c r="GE21" i="72" s="1" a="1"/>
  <c r="GE21" i="72" s="1"/>
  <c r="GF21" i="72" s="1"/>
  <c r="GD26" i="72"/>
  <c r="GE26" i="72" s="1" a="1"/>
  <c r="GE26" i="72" s="1"/>
  <c r="GF26" i="72" s="1"/>
  <c r="GD16" i="72"/>
  <c r="GE16" i="72" s="1" a="1"/>
  <c r="GE16" i="72" s="1"/>
  <c r="GF16" i="72" s="1"/>
  <c r="GD34" i="72"/>
  <c r="GE34" i="72" s="1" a="1"/>
  <c r="GE34" i="72" s="1"/>
  <c r="GF34" i="72" s="1"/>
  <c r="GD20" i="72"/>
  <c r="GE20" i="72" s="1" a="1"/>
  <c r="GE20" i="72" s="1"/>
  <c r="GF20" i="72" s="1"/>
  <c r="GD33" i="72"/>
  <c r="GE33" i="72" s="1" a="1"/>
  <c r="GE33" i="72" s="1"/>
  <c r="GF33" i="72" s="1"/>
  <c r="GD18" i="72"/>
  <c r="GE18" i="72" s="1" a="1"/>
  <c r="GE18" i="72" s="1"/>
  <c r="GF18" i="72" s="1"/>
  <c r="GD30" i="72"/>
  <c r="GE30" i="72" s="1" a="1"/>
  <c r="GE30" i="72" s="1"/>
  <c r="GF30" i="72" s="1"/>
  <c r="GD17" i="72"/>
  <c r="GE17" i="72" s="1" a="1"/>
  <c r="GE17" i="72" s="1"/>
  <c r="GF17" i="72" s="1"/>
  <c r="GD29" i="72"/>
  <c r="GE29" i="72" s="1" a="1"/>
  <c r="GE29" i="72" s="1"/>
  <c r="GF29" i="72" s="1"/>
  <c r="GD14" i="72"/>
  <c r="GE14" i="72" s="1" a="1"/>
  <c r="GE14" i="72" s="1"/>
  <c r="GF14" i="72" s="1"/>
  <c r="GD28" i="72"/>
  <c r="GE28" i="72" s="1" a="1"/>
  <c r="GE28" i="72" s="1"/>
  <c r="GF28" i="72" s="1"/>
  <c r="GD25" i="72"/>
  <c r="GE25" i="72" s="1" a="1"/>
  <c r="GE25" i="72" s="1"/>
  <c r="GF25" i="72" s="1"/>
  <c r="GD24" i="72"/>
  <c r="GE24" i="72" s="1" a="1"/>
  <c r="GE24" i="72" s="1"/>
  <c r="GF24" i="72" s="1"/>
  <c r="GD22" i="72"/>
  <c r="GE22" i="72" s="1" a="1"/>
  <c r="GE22" i="72" s="1"/>
  <c r="GF22" i="72" s="1"/>
  <c r="JR27" i="72"/>
  <c r="JS27" i="72" s="1" a="1"/>
  <c r="JS27" i="72" s="1"/>
  <c r="JT27" i="72" s="1"/>
  <c r="JR19" i="72"/>
  <c r="JS19" i="72" s="1" a="1"/>
  <c r="JS19" i="72" s="1"/>
  <c r="JT19" i="72" s="1"/>
  <c r="JR31" i="72"/>
  <c r="JS31" i="72" s="1" a="1"/>
  <c r="JS31" i="72" s="1"/>
  <c r="JT31" i="72" s="1"/>
  <c r="JR23" i="72"/>
  <c r="JS23" i="72" s="1" a="1"/>
  <c r="JS23" i="72" s="1"/>
  <c r="JT23" i="72" s="1"/>
  <c r="JR15" i="72"/>
  <c r="JS15" i="72" s="1" a="1"/>
  <c r="JS15" i="72" s="1"/>
  <c r="JT15" i="72" s="1"/>
  <c r="JR33" i="72"/>
  <c r="JS33" i="72" s="1" a="1"/>
  <c r="JS33" i="72" s="1"/>
  <c r="JT33" i="72" s="1"/>
  <c r="JR22" i="72"/>
  <c r="JS22" i="72" s="1" a="1"/>
  <c r="JS22" i="72" s="1"/>
  <c r="JT22" i="72" s="1"/>
  <c r="JR28" i="72"/>
  <c r="JS28" i="72" s="1" a="1"/>
  <c r="JS28" i="72" s="1"/>
  <c r="JT28" i="72" s="1"/>
  <c r="JR17" i="72"/>
  <c r="JS17" i="72" s="1" a="1"/>
  <c r="JS17" i="72" s="1"/>
  <c r="JT17" i="72" s="1"/>
  <c r="JR21" i="72"/>
  <c r="JS21" i="72" s="1" a="1"/>
  <c r="JS21" i="72" s="1"/>
  <c r="JT21" i="72" s="1"/>
  <c r="JR34" i="72"/>
  <c r="JS34" i="72" s="1" a="1"/>
  <c r="JS34" i="72" s="1"/>
  <c r="JT34" i="72" s="1"/>
  <c r="JR20" i="72"/>
  <c r="JS20" i="72" s="1" a="1"/>
  <c r="JS20" i="72" s="1"/>
  <c r="JT20" i="72" s="1"/>
  <c r="JR32" i="72"/>
  <c r="JS32" i="72" s="1" a="1"/>
  <c r="JS32" i="72" s="1"/>
  <c r="JT32" i="72" s="1"/>
  <c r="JR18" i="72"/>
  <c r="JS18" i="72" s="1" a="1"/>
  <c r="JS18" i="72" s="1"/>
  <c r="JT18" i="72" s="1"/>
  <c r="JR30" i="72"/>
  <c r="JS30" i="72" s="1" a="1"/>
  <c r="JS30" i="72" s="1"/>
  <c r="JT30" i="72" s="1"/>
  <c r="JR16" i="72"/>
  <c r="JS16" i="72" s="1" a="1"/>
  <c r="JS16" i="72" s="1"/>
  <c r="JT16" i="72" s="1"/>
  <c r="JR29" i="72"/>
  <c r="JS29" i="72" s="1" a="1"/>
  <c r="JS29" i="72" s="1"/>
  <c r="JT29" i="72" s="1"/>
  <c r="JR14" i="72"/>
  <c r="JS14" i="72" s="1" a="1"/>
  <c r="JS14" i="72" s="1"/>
  <c r="JT14" i="72" s="1"/>
  <c r="JR26" i="72"/>
  <c r="JS26" i="72" s="1" a="1"/>
  <c r="JS26" i="72" s="1"/>
  <c r="JT26" i="72" s="1"/>
  <c r="JR25" i="72"/>
  <c r="JS25" i="72" s="1" a="1"/>
  <c r="JS25" i="72" s="1"/>
  <c r="JT25" i="72" s="1"/>
  <c r="JR24" i="72"/>
  <c r="JS24" i="72" s="1" a="1"/>
  <c r="JS24" i="72" s="1"/>
  <c r="JT24" i="72" s="1"/>
  <c r="MI28" i="72"/>
  <c r="MJ28" i="72" s="1" a="1"/>
  <c r="MJ28" i="72" s="1"/>
  <c r="MK28" i="72" s="1"/>
  <c r="MI20" i="72"/>
  <c r="MJ20" i="72" s="1" a="1"/>
  <c r="MJ20" i="72" s="1"/>
  <c r="MK20" i="72" s="1"/>
  <c r="MI32" i="72"/>
  <c r="MJ32" i="72" s="1" a="1"/>
  <c r="MJ32" i="72" s="1"/>
  <c r="MK32" i="72" s="1"/>
  <c r="MI24" i="72"/>
  <c r="MJ24" i="72" s="1" a="1"/>
  <c r="MJ24" i="72" s="1"/>
  <c r="MK24" i="72" s="1"/>
  <c r="MI16" i="72"/>
  <c r="MJ16" i="72" s="1" a="1"/>
  <c r="MJ16" i="72" s="1"/>
  <c r="MK16" i="72" s="1"/>
  <c r="MI34" i="72"/>
  <c r="MJ34" i="72" s="1" a="1"/>
  <c r="MJ34" i="72" s="1"/>
  <c r="MK34" i="72" s="1"/>
  <c r="MI23" i="72"/>
  <c r="MJ23" i="72" s="1" a="1"/>
  <c r="MJ23" i="72" s="1"/>
  <c r="MK23" i="72" s="1"/>
  <c r="MI29" i="72"/>
  <c r="MJ29" i="72" s="1" a="1"/>
  <c r="MJ29" i="72" s="1"/>
  <c r="MK29" i="72" s="1"/>
  <c r="MI18" i="72"/>
  <c r="MJ18" i="72" s="1" a="1"/>
  <c r="MJ18" i="72" s="1"/>
  <c r="MK18" i="72" s="1"/>
  <c r="MI30" i="72"/>
  <c r="MJ30" i="72" s="1" a="1"/>
  <c r="MJ30" i="72" s="1"/>
  <c r="MK30" i="72" s="1"/>
  <c r="MI15" i="72"/>
  <c r="MJ15" i="72" s="1" a="1"/>
  <c r="MJ15" i="72" s="1"/>
  <c r="MK15" i="72" s="1"/>
  <c r="MI27" i="72"/>
  <c r="MJ27" i="72" s="1" a="1"/>
  <c r="MJ27" i="72" s="1"/>
  <c r="MK27" i="72" s="1"/>
  <c r="MI14" i="72"/>
  <c r="MJ14" i="72" s="1" a="1"/>
  <c r="MJ14" i="72" s="1"/>
  <c r="MK14" i="72" s="1"/>
  <c r="MI26" i="72"/>
  <c r="MJ26" i="72" s="1" a="1"/>
  <c r="MJ26" i="72" s="1"/>
  <c r="MK26" i="72" s="1"/>
  <c r="MI25" i="72"/>
  <c r="MJ25" i="72" s="1" a="1"/>
  <c r="MJ25" i="72" s="1"/>
  <c r="MK25" i="72" s="1"/>
  <c r="MI22" i="72"/>
  <c r="MJ22" i="72" s="1" a="1"/>
  <c r="MJ22" i="72" s="1"/>
  <c r="MK22" i="72" s="1"/>
  <c r="MI21" i="72"/>
  <c r="MJ21" i="72" s="1" a="1"/>
  <c r="MJ21" i="72" s="1"/>
  <c r="MK21" i="72" s="1"/>
  <c r="MI33" i="72"/>
  <c r="MJ33" i="72" s="1" a="1"/>
  <c r="MJ33" i="72" s="1"/>
  <c r="MK33" i="72" s="1"/>
  <c r="MI19" i="72"/>
  <c r="MJ19" i="72" s="1" a="1"/>
  <c r="MJ19" i="72" s="1"/>
  <c r="MK19" i="72" s="1"/>
  <c r="MI31" i="72"/>
  <c r="MJ31" i="72" s="1" a="1"/>
  <c r="MJ31" i="72" s="1"/>
  <c r="MK31" i="72" s="1"/>
  <c r="MI17" i="72"/>
  <c r="MJ17" i="72" s="1" a="1"/>
  <c r="MJ17" i="72" s="1"/>
  <c r="MK17" i="72" s="1"/>
  <c r="DM30" i="72"/>
  <c r="DN30" i="72" s="1" a="1"/>
  <c r="DN30" i="72" s="1"/>
  <c r="DO30" i="72" s="1"/>
  <c r="DM22" i="72"/>
  <c r="DN22" i="72" s="1" a="1"/>
  <c r="DN22" i="72" s="1"/>
  <c r="DO22" i="72" s="1"/>
  <c r="DM14" i="72"/>
  <c r="DN14" i="72" s="1" a="1"/>
  <c r="DN14" i="72" s="1"/>
  <c r="DO14" i="72" s="1"/>
  <c r="DM34" i="72"/>
  <c r="DN34" i="72" s="1" a="1"/>
  <c r="DN34" i="72" s="1"/>
  <c r="DO34" i="72" s="1"/>
  <c r="DM26" i="72"/>
  <c r="DN26" i="72" s="1" a="1"/>
  <c r="DN26" i="72" s="1"/>
  <c r="DO26" i="72" s="1"/>
  <c r="DM18" i="72"/>
  <c r="DN18" i="72" s="1" a="1"/>
  <c r="DN18" i="72" s="1"/>
  <c r="DO18" i="72" s="1"/>
  <c r="DM31" i="72"/>
  <c r="DN31" i="72" s="1" a="1"/>
  <c r="DN31" i="72" s="1"/>
  <c r="DO31" i="72" s="1"/>
  <c r="DM20" i="72"/>
  <c r="DN20" i="72" s="1" a="1"/>
  <c r="DN20" i="72" s="1"/>
  <c r="DO20" i="72" s="1"/>
  <c r="DM25" i="72"/>
  <c r="DN25" i="72" s="1" a="1"/>
  <c r="DN25" i="72" s="1"/>
  <c r="DO25" i="72" s="1"/>
  <c r="DM15" i="72"/>
  <c r="DN15" i="72" s="1" a="1"/>
  <c r="DN15" i="72" s="1"/>
  <c r="DO15" i="72" s="1"/>
  <c r="DM27" i="72"/>
  <c r="DN27" i="72" s="1" a="1"/>
  <c r="DN27" i="72" s="1"/>
  <c r="DO27" i="72" s="1"/>
  <c r="DM24" i="72"/>
  <c r="DN24" i="72" s="1" a="1"/>
  <c r="DN24" i="72" s="1"/>
  <c r="DO24" i="72" s="1"/>
  <c r="DM23" i="72"/>
  <c r="DN23" i="72" s="1" a="1"/>
  <c r="DN23" i="72" s="1"/>
  <c r="DO23" i="72" s="1"/>
  <c r="DM21" i="72"/>
  <c r="DN21" i="72" s="1" a="1"/>
  <c r="DN21" i="72" s="1"/>
  <c r="DO21" i="72" s="1"/>
  <c r="DM33" i="72"/>
  <c r="DN33" i="72" s="1" a="1"/>
  <c r="DN33" i="72" s="1"/>
  <c r="DO33" i="72" s="1"/>
  <c r="DM19" i="72"/>
  <c r="DN19" i="72" s="1" a="1"/>
  <c r="DN19" i="72" s="1"/>
  <c r="DO19" i="72" s="1"/>
  <c r="DM32" i="72"/>
  <c r="DN32" i="72" s="1" a="1"/>
  <c r="DN32" i="72" s="1"/>
  <c r="DO32" i="72" s="1"/>
  <c r="DM17" i="72"/>
  <c r="DN17" i="72" s="1" a="1"/>
  <c r="DN17" i="72" s="1"/>
  <c r="DO17" i="72" s="1"/>
  <c r="DM29" i="72"/>
  <c r="DN29" i="72" s="1" a="1"/>
  <c r="DN29" i="72" s="1"/>
  <c r="DO29" i="72" s="1"/>
  <c r="DM16" i="72"/>
  <c r="DN16" i="72" s="1" a="1"/>
  <c r="DN16" i="72" s="1"/>
  <c r="DO16" i="72" s="1"/>
  <c r="DM28" i="72"/>
  <c r="DN28" i="72" s="1" a="1"/>
  <c r="DN28" i="72" s="1"/>
  <c r="DO28" i="72" s="1"/>
  <c r="HA34" i="72"/>
  <c r="HB34" i="72" s="1" a="1"/>
  <c r="HB34" i="72" s="1"/>
  <c r="HC34" i="72" s="1"/>
  <c r="HA26" i="72"/>
  <c r="HB26" i="72" s="1" a="1"/>
  <c r="HB26" i="72" s="1"/>
  <c r="HC26" i="72" s="1"/>
  <c r="HA18" i="72"/>
  <c r="HB18" i="72" s="1" a="1"/>
  <c r="HB18" i="72" s="1"/>
  <c r="HC18" i="72" s="1"/>
  <c r="HA30" i="72"/>
  <c r="HB30" i="72" s="1" a="1"/>
  <c r="HB30" i="72" s="1"/>
  <c r="HC30" i="72" s="1"/>
  <c r="HA22" i="72"/>
  <c r="HB22" i="72" s="1" a="1"/>
  <c r="HB22" i="72" s="1"/>
  <c r="HC22" i="72" s="1"/>
  <c r="HA14" i="72"/>
  <c r="HB14" i="72" s="1" a="1"/>
  <c r="HB14" i="72" s="1"/>
  <c r="HC14" i="72" s="1"/>
  <c r="HA32" i="72"/>
  <c r="HB32" i="72" s="1" a="1"/>
  <c r="HB32" i="72" s="1"/>
  <c r="HC32" i="72" s="1"/>
  <c r="HA21" i="72"/>
  <c r="HB21" i="72" s="1" a="1"/>
  <c r="HB21" i="72" s="1"/>
  <c r="HC21" i="72" s="1"/>
  <c r="HA27" i="72"/>
  <c r="HB27" i="72" s="1" a="1"/>
  <c r="HB27" i="72" s="1"/>
  <c r="HC27" i="72" s="1"/>
  <c r="HA16" i="72"/>
  <c r="HB16" i="72" s="1" a="1"/>
  <c r="HB16" i="72" s="1"/>
  <c r="HC16" i="72" s="1"/>
  <c r="HA28" i="72"/>
  <c r="HB28" i="72" s="1" a="1"/>
  <c r="HB28" i="72" s="1"/>
  <c r="HC28" i="72" s="1"/>
  <c r="HA25" i="72"/>
  <c r="HB25" i="72" s="1" a="1"/>
  <c r="HB25" i="72" s="1"/>
  <c r="HC25" i="72" s="1"/>
  <c r="HA24" i="72"/>
  <c r="HB24" i="72" s="1" a="1"/>
  <c r="HB24" i="72" s="1"/>
  <c r="HC24" i="72" s="1"/>
  <c r="HA23" i="72"/>
  <c r="HB23" i="72" s="1" a="1"/>
  <c r="HB23" i="72" s="1"/>
  <c r="HC23" i="72" s="1"/>
  <c r="HA20" i="72"/>
  <c r="HB20" i="72" s="1" a="1"/>
  <c r="HB20" i="72" s="1"/>
  <c r="HC20" i="72" s="1"/>
  <c r="HA33" i="72"/>
  <c r="HB33" i="72" s="1" a="1"/>
  <c r="HB33" i="72" s="1"/>
  <c r="HC33" i="72" s="1"/>
  <c r="HA19" i="72"/>
  <c r="HB19" i="72" s="1" a="1"/>
  <c r="HB19" i="72" s="1"/>
  <c r="HC19" i="72" s="1"/>
  <c r="HA31" i="72"/>
  <c r="HB31" i="72" s="1" a="1"/>
  <c r="HB31" i="72" s="1"/>
  <c r="HC31" i="72" s="1"/>
  <c r="HA17" i="72"/>
  <c r="HB17" i="72" s="1" a="1"/>
  <c r="HB17" i="72" s="1"/>
  <c r="HC17" i="72" s="1"/>
  <c r="HA29" i="72"/>
  <c r="HB29" i="72" s="1" a="1"/>
  <c r="HB29" i="72" s="1"/>
  <c r="HC29" i="72" s="1"/>
  <c r="HA15" i="72"/>
  <c r="HB15" i="72" s="1" a="1"/>
  <c r="HB15" i="72" s="1"/>
  <c r="HC15" i="72" s="1"/>
  <c r="RQ30" i="72"/>
  <c r="RR30" i="72" s="1" a="1"/>
  <c r="RR30" i="72" s="1"/>
  <c r="RS30" i="72" s="1"/>
  <c r="RQ22" i="72"/>
  <c r="RR22" i="72" s="1" a="1"/>
  <c r="RR22" i="72" s="1"/>
  <c r="RS22" i="72" s="1"/>
  <c r="RQ14" i="72"/>
  <c r="RR14" i="72" s="1" a="1"/>
  <c r="RR14" i="72" s="1"/>
  <c r="RS14" i="72" s="1"/>
  <c r="RQ34" i="72"/>
  <c r="RR34" i="72" s="1" a="1"/>
  <c r="RR34" i="72" s="1"/>
  <c r="RS34" i="72" s="1"/>
  <c r="RQ26" i="72"/>
  <c r="RR26" i="72" s="1" a="1"/>
  <c r="RR26" i="72" s="1"/>
  <c r="RS26" i="72" s="1"/>
  <c r="RQ18" i="72"/>
  <c r="RR18" i="72" s="1" a="1"/>
  <c r="RR18" i="72" s="1"/>
  <c r="RS18" i="72" s="1"/>
  <c r="RQ29" i="72"/>
  <c r="RR29" i="72" s="1" a="1"/>
  <c r="RR29" i="72" s="1"/>
  <c r="RS29" i="72" s="1"/>
  <c r="RQ19" i="72"/>
  <c r="RR19" i="72" s="1" a="1"/>
  <c r="RR19" i="72" s="1"/>
  <c r="RS19" i="72" s="1"/>
  <c r="RQ28" i="72"/>
  <c r="RR28" i="72" s="1" a="1"/>
  <c r="RR28" i="72" s="1"/>
  <c r="RS28" i="72" s="1"/>
  <c r="RQ17" i="72"/>
  <c r="RR17" i="72" s="1" a="1"/>
  <c r="RR17" i="72" s="1"/>
  <c r="RS17" i="72" s="1"/>
  <c r="RQ27" i="72"/>
  <c r="RR27" i="72" s="1" a="1"/>
  <c r="RR27" i="72" s="1"/>
  <c r="RS27" i="72" s="1"/>
  <c r="RQ25" i="72"/>
  <c r="RR25" i="72" s="1" a="1"/>
  <c r="RR25" i="72" s="1"/>
  <c r="RS25" i="72" s="1"/>
  <c r="RQ15" i="72"/>
  <c r="RR15" i="72" s="1" a="1"/>
  <c r="RR15" i="72" s="1"/>
  <c r="RS15" i="72" s="1"/>
  <c r="RQ33" i="72"/>
  <c r="RR33" i="72" s="1" a="1"/>
  <c r="RR33" i="72" s="1"/>
  <c r="RS33" i="72" s="1"/>
  <c r="RQ23" i="72"/>
  <c r="RR23" i="72" s="1" a="1"/>
  <c r="RR23" i="72" s="1"/>
  <c r="RS23" i="72" s="1"/>
  <c r="RQ32" i="72"/>
  <c r="RR32" i="72" s="1" a="1"/>
  <c r="RR32" i="72" s="1"/>
  <c r="RS32" i="72" s="1"/>
  <c r="RQ21" i="72"/>
  <c r="RR21" i="72" s="1" a="1"/>
  <c r="RR21" i="72" s="1"/>
  <c r="RS21" i="72" s="1"/>
  <c r="RQ31" i="72"/>
  <c r="RR31" i="72" s="1" a="1"/>
  <c r="RR31" i="72" s="1"/>
  <c r="RS31" i="72" s="1"/>
  <c r="RQ20" i="72"/>
  <c r="RR20" i="72" s="1" a="1"/>
  <c r="RR20" i="72" s="1"/>
  <c r="RS20" i="72" s="1"/>
  <c r="RQ16" i="72"/>
  <c r="RR16" i="72" s="1" a="1"/>
  <c r="RR16" i="72" s="1"/>
  <c r="RS16" i="72" s="1"/>
  <c r="RQ24" i="72"/>
  <c r="RR24" i="72" s="1" a="1"/>
  <c r="RR24" i="72" s="1"/>
  <c r="RS24" i="72" s="1"/>
  <c r="SN33" i="72"/>
  <c r="SO33" i="72" s="1" a="1"/>
  <c r="SO33" i="72" s="1"/>
  <c r="SP33" i="72" s="1"/>
  <c r="SN25" i="72"/>
  <c r="SO25" i="72" s="1" a="1"/>
  <c r="SO25" i="72" s="1"/>
  <c r="SP25" i="72" s="1"/>
  <c r="SN17" i="72"/>
  <c r="SO17" i="72" s="1" a="1"/>
  <c r="SO17" i="72" s="1"/>
  <c r="SP17" i="72" s="1"/>
  <c r="SN29" i="72"/>
  <c r="SO29" i="72" s="1" a="1"/>
  <c r="SO29" i="72" s="1"/>
  <c r="SP29" i="72" s="1"/>
  <c r="SN21" i="72"/>
  <c r="SO21" i="72" s="1" a="1"/>
  <c r="SO21" i="72" s="1"/>
  <c r="SP21" i="72" s="1"/>
  <c r="SN30" i="72"/>
  <c r="SO30" i="72" s="1" a="1"/>
  <c r="SO30" i="72" s="1"/>
  <c r="SP30" i="72" s="1"/>
  <c r="SN19" i="72"/>
  <c r="SO19" i="72" s="1" a="1"/>
  <c r="SO19" i="72" s="1"/>
  <c r="SP19" i="72" s="1"/>
  <c r="SN28" i="72"/>
  <c r="SO28" i="72" s="1" a="1"/>
  <c r="SO28" i="72" s="1"/>
  <c r="SP28" i="72" s="1"/>
  <c r="SN18" i="72"/>
  <c r="SO18" i="72" s="1" a="1"/>
  <c r="SO18" i="72" s="1"/>
  <c r="SP18" i="72" s="1"/>
  <c r="SN27" i="72"/>
  <c r="SO27" i="72" s="1" a="1"/>
  <c r="SO27" i="72" s="1"/>
  <c r="SP27" i="72" s="1"/>
  <c r="SN16" i="72"/>
  <c r="SO16" i="72" s="1" a="1"/>
  <c r="SO16" i="72" s="1"/>
  <c r="SP16" i="72" s="1"/>
  <c r="SN26" i="72"/>
  <c r="SO26" i="72" s="1" a="1"/>
  <c r="SO26" i="72" s="1"/>
  <c r="SP26" i="72" s="1"/>
  <c r="SN15" i="72"/>
  <c r="SO15" i="72" s="1" a="1"/>
  <c r="SO15" i="72" s="1"/>
  <c r="SP15" i="72" s="1"/>
  <c r="SN34" i="72"/>
  <c r="SO34" i="72" s="1" a="1"/>
  <c r="SO34" i="72" s="1"/>
  <c r="SP34" i="72" s="1"/>
  <c r="SN23" i="72"/>
  <c r="SO23" i="72" s="1" a="1"/>
  <c r="SO23" i="72" s="1"/>
  <c r="SP23" i="72" s="1"/>
  <c r="SN32" i="72"/>
  <c r="SO32" i="72" s="1" a="1"/>
  <c r="SO32" i="72" s="1"/>
  <c r="SP32" i="72" s="1"/>
  <c r="SN22" i="72"/>
  <c r="SO22" i="72" s="1" a="1"/>
  <c r="SO22" i="72" s="1"/>
  <c r="SP22" i="72" s="1"/>
  <c r="SN31" i="72"/>
  <c r="SO31" i="72" s="1" a="1"/>
  <c r="SO31" i="72" s="1"/>
  <c r="SP31" i="72" s="1"/>
  <c r="SN20" i="72"/>
  <c r="SO20" i="72" s="1" a="1"/>
  <c r="SO20" i="72" s="1"/>
  <c r="SP20" i="72" s="1"/>
  <c r="SN24" i="72"/>
  <c r="SO24" i="72" s="1" a="1"/>
  <c r="SO24" i="72" s="1"/>
  <c r="SP24" i="72" s="1"/>
  <c r="SN14" i="72"/>
  <c r="SO14" i="72" s="1" a="1"/>
  <c r="SO14" i="72" s="1"/>
  <c r="SP14" i="72" s="1"/>
  <c r="HX29" i="72"/>
  <c r="HY29" i="72" s="1" a="1"/>
  <c r="HY29" i="72" s="1"/>
  <c r="HZ29" i="72" s="1"/>
  <c r="HX21" i="72"/>
  <c r="HY21" i="72" s="1" a="1"/>
  <c r="HY21" i="72" s="1"/>
  <c r="HZ21" i="72" s="1"/>
  <c r="HX33" i="72"/>
  <c r="HY33" i="72" s="1" a="1"/>
  <c r="HY33" i="72" s="1"/>
  <c r="HZ33" i="72" s="1"/>
  <c r="HX25" i="72"/>
  <c r="HY25" i="72" s="1" a="1"/>
  <c r="HY25" i="72" s="1"/>
  <c r="HZ25" i="72" s="1"/>
  <c r="HX17" i="72"/>
  <c r="HY17" i="72" s="1" a="1"/>
  <c r="HY17" i="72" s="1"/>
  <c r="HZ17" i="72" s="1"/>
  <c r="HX32" i="72"/>
  <c r="HY32" i="72" s="1" a="1"/>
  <c r="HY32" i="72" s="1"/>
  <c r="HZ32" i="72" s="1"/>
  <c r="HX22" i="72"/>
  <c r="HY22" i="72" s="1" a="1"/>
  <c r="HY22" i="72" s="1"/>
  <c r="HZ22" i="72" s="1"/>
  <c r="HX27" i="72"/>
  <c r="HY27" i="72" s="1" a="1"/>
  <c r="HY27" i="72" s="1"/>
  <c r="HZ27" i="72" s="1"/>
  <c r="HX16" i="72"/>
  <c r="HY16" i="72" s="1" a="1"/>
  <c r="HY16" i="72" s="1"/>
  <c r="HZ16" i="72" s="1"/>
  <c r="HX20" i="72"/>
  <c r="HY20" i="72" s="1" a="1"/>
  <c r="HY20" i="72" s="1"/>
  <c r="HZ20" i="72" s="1"/>
  <c r="HX34" i="72"/>
  <c r="HY34" i="72" s="1" a="1"/>
  <c r="HY34" i="72" s="1"/>
  <c r="HZ34" i="72" s="1"/>
  <c r="HX19" i="72"/>
  <c r="HY19" i="72" s="1" a="1"/>
  <c r="HY19" i="72" s="1"/>
  <c r="HZ19" i="72" s="1"/>
  <c r="HX31" i="72"/>
  <c r="HY31" i="72" s="1" a="1"/>
  <c r="HY31" i="72" s="1"/>
  <c r="HZ31" i="72" s="1"/>
  <c r="HX18" i="72"/>
  <c r="HY18" i="72" s="1" a="1"/>
  <c r="HY18" i="72" s="1"/>
  <c r="HZ18" i="72" s="1"/>
  <c r="HX30" i="72"/>
  <c r="HY30" i="72" s="1" a="1"/>
  <c r="HY30" i="72" s="1"/>
  <c r="HZ30" i="72" s="1"/>
  <c r="HX15" i="72"/>
  <c r="HY15" i="72" s="1" a="1"/>
  <c r="HY15" i="72" s="1"/>
  <c r="HZ15" i="72" s="1"/>
  <c r="HX28" i="72"/>
  <c r="HY28" i="72" s="1" a="1"/>
  <c r="HY28" i="72" s="1"/>
  <c r="HZ28" i="72" s="1"/>
  <c r="HX14" i="72"/>
  <c r="HY14" i="72" s="1" a="1"/>
  <c r="HY14" i="72" s="1"/>
  <c r="HZ14" i="72" s="1"/>
  <c r="HX26" i="72"/>
  <c r="HY26" i="72" s="1" a="1"/>
  <c r="HY26" i="72" s="1"/>
  <c r="HZ26" i="72" s="1"/>
  <c r="HX24" i="72"/>
  <c r="HY24" i="72" s="1" a="1"/>
  <c r="HY24" i="72" s="1"/>
  <c r="HZ24" i="72" s="1"/>
  <c r="HX23" i="72"/>
  <c r="HY23" i="72" s="1" a="1"/>
  <c r="HY23" i="72" s="1"/>
  <c r="HZ23" i="72" s="1"/>
  <c r="KO30" i="72"/>
  <c r="KP30" i="72" s="1" a="1"/>
  <c r="KP30" i="72" s="1"/>
  <c r="KQ30" i="72" s="1"/>
  <c r="KO22" i="72"/>
  <c r="KP22" i="72" s="1" a="1"/>
  <c r="KP22" i="72" s="1"/>
  <c r="KQ22" i="72" s="1"/>
  <c r="KO14" i="72"/>
  <c r="KP14" i="72" s="1" a="1"/>
  <c r="KP14" i="72" s="1"/>
  <c r="KQ14" i="72" s="1"/>
  <c r="KO34" i="72"/>
  <c r="KP34" i="72" s="1" a="1"/>
  <c r="KP34" i="72" s="1"/>
  <c r="KQ34" i="72" s="1"/>
  <c r="KO26" i="72"/>
  <c r="KP26" i="72" s="1" a="1"/>
  <c r="KP26" i="72" s="1"/>
  <c r="KQ26" i="72" s="1"/>
  <c r="KO18" i="72"/>
  <c r="KP18" i="72" s="1" a="1"/>
  <c r="KP18" i="72" s="1"/>
  <c r="KQ18" i="72" s="1"/>
  <c r="KO33" i="72"/>
  <c r="KP33" i="72" s="1" a="1"/>
  <c r="KP33" i="72" s="1"/>
  <c r="KQ33" i="72" s="1"/>
  <c r="KO23" i="72"/>
  <c r="KP23" i="72" s="1" a="1"/>
  <c r="KP23" i="72" s="1"/>
  <c r="KQ23" i="72" s="1"/>
  <c r="KO28" i="72"/>
  <c r="KP28" i="72" s="1" a="1"/>
  <c r="KP28" i="72" s="1"/>
  <c r="KQ28" i="72" s="1"/>
  <c r="KO17" i="72"/>
  <c r="KP17" i="72" s="1" a="1"/>
  <c r="KP17" i="72" s="1"/>
  <c r="KQ17" i="72" s="1"/>
  <c r="KO29" i="72"/>
  <c r="KP29" i="72" s="1" a="1"/>
  <c r="KP29" i="72" s="1"/>
  <c r="KQ29" i="72" s="1"/>
  <c r="KO15" i="72"/>
  <c r="KP15" i="72" s="1" a="1"/>
  <c r="KP15" i="72" s="1"/>
  <c r="KQ15" i="72" s="1"/>
  <c r="KO27" i="72"/>
  <c r="KP27" i="72" s="1" a="1"/>
  <c r="KP27" i="72" s="1"/>
  <c r="KQ27" i="72" s="1"/>
  <c r="KO25" i="72"/>
  <c r="KP25" i="72" s="1" a="1"/>
  <c r="KP25" i="72" s="1"/>
  <c r="KQ25" i="72" s="1"/>
  <c r="KO24" i="72"/>
  <c r="KP24" i="72" s="1" a="1"/>
  <c r="KP24" i="72" s="1"/>
  <c r="KQ24" i="72" s="1"/>
  <c r="KO21" i="72"/>
  <c r="KP21" i="72" s="1" a="1"/>
  <c r="KP21" i="72" s="1"/>
  <c r="KQ21" i="72" s="1"/>
  <c r="KO20" i="72"/>
  <c r="KP20" i="72" s="1" a="1"/>
  <c r="KP20" i="72" s="1"/>
  <c r="KQ20" i="72" s="1"/>
  <c r="KO32" i="72"/>
  <c r="KP32" i="72" s="1" a="1"/>
  <c r="KP32" i="72" s="1"/>
  <c r="KQ32" i="72" s="1"/>
  <c r="KO19" i="72"/>
  <c r="KP19" i="72" s="1" a="1"/>
  <c r="KP19" i="72" s="1"/>
  <c r="KQ19" i="72" s="1"/>
  <c r="KO31" i="72"/>
  <c r="KP31" i="72" s="1" a="1"/>
  <c r="KP31" i="72" s="1"/>
  <c r="KQ31" i="72" s="1"/>
  <c r="KO16" i="72"/>
  <c r="KP16" i="72" s="1" a="1"/>
  <c r="KP16" i="72" s="1"/>
  <c r="KQ16" i="72" s="1"/>
  <c r="LL33" i="72"/>
  <c r="LM33" i="72" s="1" a="1"/>
  <c r="LM33" i="72" s="1"/>
  <c r="LN33" i="72" s="1"/>
  <c r="LL25" i="72"/>
  <c r="LM25" i="72" s="1" a="1"/>
  <c r="LM25" i="72" s="1"/>
  <c r="LN25" i="72" s="1"/>
  <c r="LL17" i="72"/>
  <c r="LM17" i="72" s="1" a="1"/>
  <c r="LM17" i="72" s="1"/>
  <c r="LN17" i="72" s="1"/>
  <c r="LL29" i="72"/>
  <c r="LM29" i="72" s="1" a="1"/>
  <c r="LM29" i="72" s="1"/>
  <c r="LN29" i="72" s="1"/>
  <c r="LL21" i="72"/>
  <c r="LM21" i="72" s="1" a="1"/>
  <c r="LM21" i="72" s="1"/>
  <c r="LN21" i="72" s="1"/>
  <c r="LL34" i="72"/>
  <c r="LM34" i="72" s="1" a="1"/>
  <c r="LM34" i="72" s="1"/>
  <c r="LN34" i="72" s="1"/>
  <c r="LL23" i="72"/>
  <c r="LM23" i="72" s="1" a="1"/>
  <c r="LM23" i="72" s="1"/>
  <c r="LN23" i="72" s="1"/>
  <c r="LL28" i="72"/>
  <c r="LM28" i="72" s="1" a="1"/>
  <c r="LM28" i="72" s="1"/>
  <c r="LN28" i="72" s="1"/>
  <c r="LL18" i="72"/>
  <c r="LM18" i="72" s="1" a="1"/>
  <c r="LM18" i="72" s="1"/>
  <c r="LN18" i="72" s="1"/>
  <c r="LL22" i="72"/>
  <c r="LM22" i="72" s="1" a="1"/>
  <c r="LM22" i="72" s="1"/>
  <c r="LN22" i="72" s="1"/>
  <c r="LL20" i="72"/>
  <c r="LM20" i="72" s="1" a="1"/>
  <c r="LM20" i="72" s="1"/>
  <c r="LN20" i="72" s="1"/>
  <c r="LL32" i="72"/>
  <c r="LM32" i="72" s="1" a="1"/>
  <c r="LM32" i="72" s="1"/>
  <c r="LN32" i="72" s="1"/>
  <c r="LL19" i="72"/>
  <c r="LM19" i="72" s="1" a="1"/>
  <c r="LM19" i="72" s="1"/>
  <c r="LN19" i="72" s="1"/>
  <c r="LL31" i="72"/>
  <c r="LM31" i="72" s="1" a="1"/>
  <c r="LM31" i="72" s="1"/>
  <c r="LN31" i="72" s="1"/>
  <c r="LL16" i="72"/>
  <c r="LM16" i="72" s="1" a="1"/>
  <c r="LM16" i="72" s="1"/>
  <c r="LN16" i="72" s="1"/>
  <c r="LL30" i="72"/>
  <c r="LM30" i="72" s="1" a="1"/>
  <c r="LM30" i="72" s="1"/>
  <c r="LN30" i="72" s="1"/>
  <c r="LL15" i="72"/>
  <c r="LM15" i="72" s="1" a="1"/>
  <c r="LM15" i="72" s="1"/>
  <c r="LN15" i="72" s="1"/>
  <c r="LL27" i="72"/>
  <c r="LM27" i="72" s="1" a="1"/>
  <c r="LM27" i="72" s="1"/>
  <c r="LN27" i="72" s="1"/>
  <c r="LL14" i="72"/>
  <c r="LM14" i="72" s="1" a="1"/>
  <c r="LM14" i="72" s="1"/>
  <c r="LN14" i="72" s="1"/>
  <c r="LL26" i="72"/>
  <c r="LM26" i="72" s="1" a="1"/>
  <c r="LM26" i="72" s="1"/>
  <c r="LN26" i="72" s="1"/>
  <c r="LL24" i="72"/>
  <c r="LM24" i="72" s="1" a="1"/>
  <c r="LM24" i="72" s="1"/>
  <c r="LN24" i="72" s="1"/>
  <c r="AP7" i="75"/>
  <c r="AP8" i="75"/>
  <c r="AP9" i="75"/>
  <c r="AP10" i="75"/>
  <c r="AP11" i="75"/>
  <c r="AP12" i="75"/>
  <c r="AP13" i="75"/>
  <c r="AP14" i="75"/>
  <c r="AP25" i="75"/>
  <c r="AP6" i="75"/>
  <c r="KW14" i="72" l="1" a="1"/>
  <c r="KW14" i="72" s="1"/>
  <c r="KS14" i="72" a="1"/>
  <c r="KS14" i="72" s="1"/>
  <c r="KT14" i="72" a="1"/>
  <c r="KT14" i="72" s="1"/>
  <c r="KX14" i="72" a="1"/>
  <c r="KX14" i="72" s="1"/>
  <c r="KV14" i="72" a="1"/>
  <c r="KV14" i="72" s="1"/>
  <c r="KY14" i="72" a="1"/>
  <c r="KY14" i="72" s="1"/>
  <c r="KR14" i="72" a="1"/>
  <c r="KR14" i="72" s="1"/>
  <c r="KU14" i="72" a="1"/>
  <c r="KU14" i="72" s="1"/>
  <c r="KD14" i="72" a="1"/>
  <c r="KD14" i="72" s="1"/>
  <c r="LA22" i="72" a="1"/>
  <c r="LA22" i="72" s="1"/>
  <c r="LT22" i="72" a="1"/>
  <c r="LT22" i="72" s="1"/>
  <c r="LQ22" i="72" a="1"/>
  <c r="LQ22" i="72" s="1"/>
  <c r="LR22" i="72" a="1"/>
  <c r="LR22" i="72" s="1"/>
  <c r="LO22" i="72" a="1"/>
  <c r="LO22" i="72" s="1"/>
  <c r="LU22" i="72" a="1"/>
  <c r="LU22" i="72" s="1"/>
  <c r="LS22" i="72" a="1"/>
  <c r="LS22" i="72" s="1"/>
  <c r="LP22" i="72" a="1"/>
  <c r="LP22" i="72" s="1"/>
  <c r="LV22" i="72" a="1"/>
  <c r="LV22" i="72" s="1"/>
  <c r="KY24" i="72" a="1"/>
  <c r="KY24" i="72" s="1"/>
  <c r="KS24" i="72" a="1"/>
  <c r="KS24" i="72" s="1"/>
  <c r="KU24" i="72" a="1"/>
  <c r="KU24" i="72" s="1"/>
  <c r="KT24" i="72" a="1"/>
  <c r="KT24" i="72" s="1"/>
  <c r="KV24" i="72" a="1"/>
  <c r="KV24" i="72" s="1"/>
  <c r="KR24" i="72" a="1"/>
  <c r="KR24" i="72" s="1"/>
  <c r="KD24" i="72" a="1"/>
  <c r="KD24" i="72" s="1"/>
  <c r="KX24" i="72" a="1"/>
  <c r="KX24" i="72" s="1"/>
  <c r="KW24" i="72" a="1"/>
  <c r="KW24" i="72" s="1"/>
  <c r="LO15" i="72" a="1"/>
  <c r="LO15" i="72" s="1"/>
  <c r="LP15" i="72" a="1"/>
  <c r="LP15" i="72" s="1"/>
  <c r="LA15" i="72" a="1"/>
  <c r="LA15" i="72" s="1"/>
  <c r="LU15" i="72" a="1"/>
  <c r="LU15" i="72" s="1"/>
  <c r="LS15" i="72" a="1"/>
  <c r="LS15" i="72" s="1"/>
  <c r="LT15" i="72" a="1"/>
  <c r="LT15" i="72" s="1"/>
  <c r="LR15" i="72" a="1"/>
  <c r="LR15" i="72" s="1"/>
  <c r="LQ15" i="72" a="1"/>
  <c r="LQ15" i="72" s="1"/>
  <c r="LV15" i="72" a="1"/>
  <c r="LV15" i="72" s="1"/>
  <c r="LR18" i="72" a="1"/>
  <c r="LR18" i="72" s="1"/>
  <c r="LA18" i="72" a="1"/>
  <c r="LA18" i="72" s="1"/>
  <c r="LU18" i="72" a="1"/>
  <c r="LU18" i="72" s="1"/>
  <c r="LQ18" i="72" a="1"/>
  <c r="LQ18" i="72" s="1"/>
  <c r="LO18" i="72" a="1"/>
  <c r="LO18" i="72" s="1"/>
  <c r="LP18" i="72" a="1"/>
  <c r="LP18" i="72" s="1"/>
  <c r="LV18" i="72" a="1"/>
  <c r="LV18" i="72" s="1"/>
  <c r="LT18" i="72" a="1"/>
  <c r="LT18" i="72" s="1"/>
  <c r="LS18" i="72" a="1"/>
  <c r="LS18" i="72" s="1"/>
  <c r="LQ33" i="72" a="1"/>
  <c r="LQ33" i="72" s="1"/>
  <c r="LO33" i="72" a="1"/>
  <c r="LO33" i="72" s="1"/>
  <c r="LR33" i="72" a="1"/>
  <c r="LR33" i="72" s="1"/>
  <c r="LP33" i="72" a="1"/>
  <c r="LP33" i="72" s="1"/>
  <c r="LT33" i="72" a="1"/>
  <c r="LT33" i="72" s="1"/>
  <c r="LS33" i="72" a="1"/>
  <c r="LS33" i="72" s="1"/>
  <c r="LA33" i="72" a="1"/>
  <c r="LA33" i="72" s="1"/>
  <c r="LU33" i="72" a="1"/>
  <c r="LU33" i="72" s="1"/>
  <c r="LV33" i="72" a="1"/>
  <c r="LV33" i="72" s="1"/>
  <c r="KW25" i="72" a="1"/>
  <c r="KW25" i="72" s="1"/>
  <c r="KR25" i="72" a="1"/>
  <c r="KR25" i="72" s="1"/>
  <c r="KD25" i="72" a="1"/>
  <c r="KD25" i="72" s="1"/>
  <c r="KU25" i="72" a="1"/>
  <c r="KU25" i="72" s="1"/>
  <c r="KT25" i="72" a="1"/>
  <c r="KT25" i="72" s="1"/>
  <c r="KX25" i="72" a="1"/>
  <c r="KX25" i="72" s="1"/>
  <c r="KS25" i="72" a="1"/>
  <c r="KS25" i="72" s="1"/>
  <c r="KV25" i="72" a="1"/>
  <c r="KV25" i="72" s="1"/>
  <c r="KY25" i="72" a="1"/>
  <c r="KY25" i="72" s="1"/>
  <c r="KD18" i="72" a="1"/>
  <c r="KD18" i="72" s="1"/>
  <c r="KS18" i="72" a="1"/>
  <c r="KS18" i="72" s="1"/>
  <c r="KT18" i="72" a="1"/>
  <c r="KT18" i="72" s="1"/>
  <c r="KR18" i="72" a="1"/>
  <c r="KR18" i="72" s="1"/>
  <c r="KX18" i="72" a="1"/>
  <c r="KX18" i="72" s="1"/>
  <c r="KU18" i="72" a="1"/>
  <c r="KU18" i="72" s="1"/>
  <c r="KW18" i="72" a="1"/>
  <c r="KW18" i="72" s="1"/>
  <c r="KY18" i="72" a="1"/>
  <c r="KY18" i="72" s="1"/>
  <c r="KV18" i="72" a="1"/>
  <c r="KV18" i="72" s="1"/>
  <c r="IH26" i="72" a="1"/>
  <c r="IH26" i="72" s="1"/>
  <c r="IG26" i="72" a="1"/>
  <c r="IG26" i="72" s="1"/>
  <c r="IE26" i="72" a="1"/>
  <c r="IE26" i="72" s="1"/>
  <c r="IB26" i="72" a="1"/>
  <c r="IB26" i="72" s="1"/>
  <c r="IA26" i="72" a="1"/>
  <c r="IA26" i="72" s="1"/>
  <c r="IF26" i="72" a="1"/>
  <c r="IF26" i="72" s="1"/>
  <c r="IC26" i="72" a="1"/>
  <c r="IC26" i="72" s="1"/>
  <c r="ID26" i="72" a="1"/>
  <c r="ID26" i="72" s="1"/>
  <c r="HM26" i="72" a="1"/>
  <c r="HM26" i="72" s="1"/>
  <c r="IF34" i="72" a="1"/>
  <c r="IF34" i="72" s="1"/>
  <c r="IE34" i="72" a="1"/>
  <c r="IE34" i="72" s="1"/>
  <c r="IG34" i="72" a="1"/>
  <c r="IG34" i="72" s="1"/>
  <c r="HM34" i="72" a="1"/>
  <c r="HM34" i="72" s="1"/>
  <c r="IA34" i="72" a="1"/>
  <c r="IA34" i="72" s="1"/>
  <c r="IC34" i="72" a="1"/>
  <c r="IC34" i="72" s="1"/>
  <c r="IB34" i="72" a="1"/>
  <c r="IB34" i="72" s="1"/>
  <c r="ID34" i="72" a="1"/>
  <c r="ID34" i="72" s="1"/>
  <c r="IH34" i="72" a="1"/>
  <c r="IH34" i="72" s="1"/>
  <c r="IB33" i="72" a="1"/>
  <c r="IB33" i="72" s="1"/>
  <c r="IE33" i="72" a="1"/>
  <c r="IE33" i="72" s="1"/>
  <c r="HM33" i="72" a="1"/>
  <c r="HM33" i="72" s="1"/>
  <c r="IA33" i="72" a="1"/>
  <c r="IA33" i="72" s="1"/>
  <c r="IG33" i="72" a="1"/>
  <c r="IG33" i="72" s="1"/>
  <c r="IC33" i="72" a="1"/>
  <c r="IC33" i="72" s="1"/>
  <c r="IF33" i="72" a="1"/>
  <c r="IF33" i="72" s="1"/>
  <c r="ID33" i="72" a="1"/>
  <c r="ID33" i="72" s="1"/>
  <c r="IH33" i="72" a="1"/>
  <c r="IH33" i="72" s="1"/>
  <c r="SV32" i="72" a="1"/>
  <c r="SV32" i="72" s="1"/>
  <c r="SW32" i="72" a="1"/>
  <c r="SW32" i="72" s="1"/>
  <c r="SC32" i="72" a="1"/>
  <c r="SC32" i="72" s="1"/>
  <c r="SR32" i="72" a="1"/>
  <c r="SR32" i="72" s="1"/>
  <c r="SU32" i="72" a="1"/>
  <c r="SU32" i="72" s="1"/>
  <c r="SX32" i="72" a="1"/>
  <c r="SX32" i="72" s="1"/>
  <c r="ST32" i="72" a="1"/>
  <c r="ST32" i="72" s="1"/>
  <c r="SS32" i="72" a="1"/>
  <c r="SS32" i="72" s="1"/>
  <c r="SQ32" i="72" a="1"/>
  <c r="SQ32" i="72" s="1"/>
  <c r="SX28" i="72" a="1"/>
  <c r="SX28" i="72" s="1"/>
  <c r="SU28" i="72" a="1"/>
  <c r="SU28" i="72" s="1"/>
  <c r="SQ28" i="72" a="1"/>
  <c r="SQ28" i="72" s="1"/>
  <c r="ST28" i="72" a="1"/>
  <c r="ST28" i="72" s="1"/>
  <c r="SV28" i="72" a="1"/>
  <c r="SV28" i="72" s="1"/>
  <c r="SC28" i="72" a="1"/>
  <c r="SC28" i="72" s="1"/>
  <c r="SR28" i="72" a="1"/>
  <c r="SR28" i="72" s="1"/>
  <c r="SW28" i="72" a="1"/>
  <c r="SW28" i="72" s="1"/>
  <c r="SS28" i="72" a="1"/>
  <c r="SS28" i="72" s="1"/>
  <c r="SA24" i="72" a="1"/>
  <c r="SA24" i="72" s="1"/>
  <c r="RV24" i="72" a="1"/>
  <c r="RV24" i="72" s="1"/>
  <c r="RW24" i="72" a="1"/>
  <c r="RW24" i="72" s="1"/>
  <c r="RZ24" i="72" a="1"/>
  <c r="RZ24" i="72" s="1"/>
  <c r="RT24" i="72" a="1"/>
  <c r="RT24" i="72" s="1"/>
  <c r="RY24" i="72" a="1"/>
  <c r="RY24" i="72" s="1"/>
  <c r="RU24" i="72" a="1"/>
  <c r="RU24" i="72" s="1"/>
  <c r="RF24" i="72" a="1"/>
  <c r="RF24" i="72" s="1"/>
  <c r="RX24" i="72" a="1"/>
  <c r="RX24" i="72" s="1"/>
  <c r="SA15" i="72" a="1"/>
  <c r="SA15" i="72" s="1"/>
  <c r="RT15" i="72" a="1"/>
  <c r="RT15" i="72" s="1"/>
  <c r="RW15" i="72" a="1"/>
  <c r="RW15" i="72" s="1"/>
  <c r="RF15" i="72" a="1"/>
  <c r="RF15" i="72" s="1"/>
  <c r="RU15" i="72" a="1"/>
  <c r="RU15" i="72" s="1"/>
  <c r="RZ15" i="72" a="1"/>
  <c r="RZ15" i="72" s="1"/>
  <c r="RY15" i="72" a="1"/>
  <c r="RY15" i="72" s="1"/>
  <c r="RV15" i="72" a="1"/>
  <c r="RV15" i="72" s="1"/>
  <c r="RX15" i="72" a="1"/>
  <c r="RX15" i="72" s="1"/>
  <c r="RY26" i="72" a="1"/>
  <c r="RY26" i="72" s="1"/>
  <c r="RT26" i="72" a="1"/>
  <c r="RT26" i="72" s="1"/>
  <c r="SA26" i="72" a="1"/>
  <c r="SA26" i="72" s="1"/>
  <c r="RZ26" i="72" a="1"/>
  <c r="RZ26" i="72" s="1"/>
  <c r="RU26" i="72" a="1"/>
  <c r="RU26" i="72" s="1"/>
  <c r="RF26" i="72" a="1"/>
  <c r="RF26" i="72" s="1"/>
  <c r="RV26" i="72" a="1"/>
  <c r="RV26" i="72" s="1"/>
  <c r="RW26" i="72" a="1"/>
  <c r="RW26" i="72" s="1"/>
  <c r="RX26" i="72" a="1"/>
  <c r="RX26" i="72" s="1"/>
  <c r="HG31" i="72" a="1"/>
  <c r="HG31" i="72" s="1"/>
  <c r="HF31" i="72" a="1"/>
  <c r="HF31" i="72" s="1"/>
  <c r="HI31" i="72" a="1"/>
  <c r="HI31" i="72" s="1"/>
  <c r="HK31" i="72" a="1"/>
  <c r="HK31" i="72" s="1"/>
  <c r="HE31" i="72" a="1"/>
  <c r="HE31" i="72" s="1"/>
  <c r="GP31" i="72" a="1"/>
  <c r="GP31" i="72" s="1"/>
  <c r="HJ31" i="72" a="1"/>
  <c r="HJ31" i="72" s="1"/>
  <c r="HH31" i="72" a="1"/>
  <c r="HH31" i="72" s="1"/>
  <c r="HD31" i="72" a="1"/>
  <c r="HD31" i="72" s="1"/>
  <c r="HH16" i="72" a="1"/>
  <c r="HH16" i="72" s="1"/>
  <c r="HE16" i="72" a="1"/>
  <c r="HE16" i="72" s="1"/>
  <c r="GP16" i="72" a="1"/>
  <c r="GP16" i="72" s="1"/>
  <c r="HJ16" i="72" a="1"/>
  <c r="HJ16" i="72" s="1"/>
  <c r="HK16" i="72" a="1"/>
  <c r="HK16" i="72" s="1"/>
  <c r="HG16" i="72" a="1"/>
  <c r="HG16" i="72" s="1"/>
  <c r="HF16" i="72" a="1"/>
  <c r="HF16" i="72" s="1"/>
  <c r="HD16" i="72" a="1"/>
  <c r="HD16" i="72" s="1"/>
  <c r="HI16" i="72" a="1"/>
  <c r="HI16" i="72" s="1"/>
  <c r="HK26" i="72" a="1"/>
  <c r="HK26" i="72" s="1"/>
  <c r="HI26" i="72" a="1"/>
  <c r="HI26" i="72" s="1"/>
  <c r="HE26" i="72" a="1"/>
  <c r="HE26" i="72" s="1"/>
  <c r="GP26" i="72" a="1"/>
  <c r="GP26" i="72" s="1"/>
  <c r="HJ26" i="72" a="1"/>
  <c r="HJ26" i="72" s="1"/>
  <c r="HD26" i="72" a="1"/>
  <c r="HD26" i="72" s="1"/>
  <c r="HF26" i="72" a="1"/>
  <c r="HF26" i="72" s="1"/>
  <c r="HG26" i="72" a="1"/>
  <c r="HG26" i="72" s="1"/>
  <c r="HH26" i="72" a="1"/>
  <c r="HH26" i="72" s="1"/>
  <c r="DP33" i="72" a="1"/>
  <c r="DP33" i="72" s="1"/>
  <c r="DS33" i="72" a="1"/>
  <c r="DS33" i="72" s="1"/>
  <c r="DQ33" i="72" a="1"/>
  <c r="DQ33" i="72" s="1"/>
  <c r="DW33" i="72" a="1"/>
  <c r="DW33" i="72" s="1"/>
  <c r="DU33" i="72" a="1"/>
  <c r="DU33" i="72" s="1"/>
  <c r="DT33" i="72" a="1"/>
  <c r="DT33" i="72" s="1"/>
  <c r="DB33" i="72" a="1"/>
  <c r="DB33" i="72" s="1"/>
  <c r="DR33" i="72" a="1"/>
  <c r="DR33" i="72" s="1"/>
  <c r="DV33" i="72" a="1"/>
  <c r="DV33" i="72" s="1"/>
  <c r="DU31" i="72" a="1"/>
  <c r="DU31" i="72" s="1"/>
  <c r="DB31" i="72" a="1"/>
  <c r="DB31" i="72" s="1"/>
  <c r="DS31" i="72" a="1"/>
  <c r="DS31" i="72" s="1"/>
  <c r="DV31" i="72" a="1"/>
  <c r="DV31" i="72" s="1"/>
  <c r="DW31" i="72" a="1"/>
  <c r="DW31" i="72" s="1"/>
  <c r="DP31" i="72" a="1"/>
  <c r="DP31" i="72" s="1"/>
  <c r="DQ31" i="72" a="1"/>
  <c r="DQ31" i="72" s="1"/>
  <c r="DT31" i="72" a="1"/>
  <c r="DT31" i="72" s="1"/>
  <c r="DR31" i="72" a="1"/>
  <c r="DR31" i="72" s="1"/>
  <c r="ML31" i="72" a="1"/>
  <c r="ML31" i="72" s="1"/>
  <c r="MR31" i="72" a="1"/>
  <c r="MR31" i="72" s="1"/>
  <c r="MQ31" i="72" a="1"/>
  <c r="MQ31" i="72" s="1"/>
  <c r="LX31" i="72" a="1"/>
  <c r="LX31" i="72" s="1"/>
  <c r="MM31" i="72" a="1"/>
  <c r="MM31" i="72" s="1"/>
  <c r="MN31" i="72" a="1"/>
  <c r="MN31" i="72" s="1"/>
  <c r="MP31" i="72" a="1"/>
  <c r="MP31" i="72" s="1"/>
  <c r="MO31" i="72" a="1"/>
  <c r="MO31" i="72" s="1"/>
  <c r="MS31" i="72" a="1"/>
  <c r="MS31" i="72" s="1"/>
  <c r="MR27" i="72" a="1"/>
  <c r="MR27" i="72" s="1"/>
  <c r="MM27" i="72" a="1"/>
  <c r="MM27" i="72" s="1"/>
  <c r="LX27" i="72" a="1"/>
  <c r="LX27" i="72" s="1"/>
  <c r="ML27" i="72" a="1"/>
  <c r="ML27" i="72" s="1"/>
  <c r="MO27" i="72" a="1"/>
  <c r="MO27" i="72" s="1"/>
  <c r="MQ27" i="72" a="1"/>
  <c r="MQ27" i="72" s="1"/>
  <c r="MN27" i="72" a="1"/>
  <c r="MN27" i="72" s="1"/>
  <c r="MS27" i="72" a="1"/>
  <c r="MS27" i="72" s="1"/>
  <c r="MP27" i="72" a="1"/>
  <c r="MP27" i="72" s="1"/>
  <c r="MS24" i="72" a="1"/>
  <c r="MS24" i="72" s="1"/>
  <c r="MP24" i="72" a="1"/>
  <c r="MP24" i="72" s="1"/>
  <c r="MN24" i="72" a="1"/>
  <c r="MN24" i="72" s="1"/>
  <c r="ML24" i="72" a="1"/>
  <c r="ML24" i="72" s="1"/>
  <c r="MM24" i="72" a="1"/>
  <c r="MM24" i="72" s="1"/>
  <c r="MO24" i="72" a="1"/>
  <c r="MO24" i="72" s="1"/>
  <c r="LX24" i="72" a="1"/>
  <c r="LX24" i="72" s="1"/>
  <c r="MQ24" i="72" a="1"/>
  <c r="MQ24" i="72" s="1"/>
  <c r="MR24" i="72" a="1"/>
  <c r="MR24" i="72" s="1"/>
  <c r="JG29" i="72" a="1"/>
  <c r="JG29" i="72" s="1"/>
  <c r="JX29" i="72" a="1"/>
  <c r="JX29" i="72" s="1"/>
  <c r="KB29" i="72" a="1"/>
  <c r="KB29" i="72" s="1"/>
  <c r="JU29" i="72" a="1"/>
  <c r="JU29" i="72" s="1"/>
  <c r="JY29" i="72" a="1"/>
  <c r="JY29" i="72" s="1"/>
  <c r="KA29" i="72" a="1"/>
  <c r="KA29" i="72" s="1"/>
  <c r="JZ29" i="72" a="1"/>
  <c r="JZ29" i="72" s="1"/>
  <c r="JV29" i="72" a="1"/>
  <c r="JV29" i="72" s="1"/>
  <c r="JW29" i="72" a="1"/>
  <c r="JW29" i="72" s="1"/>
  <c r="JU17" i="72" a="1"/>
  <c r="JU17" i="72" s="1"/>
  <c r="JV17" i="72" a="1"/>
  <c r="JV17" i="72" s="1"/>
  <c r="KB17" i="72" a="1"/>
  <c r="KB17" i="72" s="1"/>
  <c r="JY17" i="72" a="1"/>
  <c r="JY17" i="72" s="1"/>
  <c r="JZ17" i="72" a="1"/>
  <c r="JZ17" i="72" s="1"/>
  <c r="JG17" i="72" a="1"/>
  <c r="JG17" i="72" s="1"/>
  <c r="JW17" i="72" a="1"/>
  <c r="JW17" i="72" s="1"/>
  <c r="KA17" i="72" a="1"/>
  <c r="KA17" i="72" s="1"/>
  <c r="JX17" i="72" a="1"/>
  <c r="JX17" i="72" s="1"/>
  <c r="JW27" i="72" a="1"/>
  <c r="JW27" i="72" s="1"/>
  <c r="KA27" i="72" a="1"/>
  <c r="KA27" i="72" s="1"/>
  <c r="JY27" i="72" a="1"/>
  <c r="JY27" i="72" s="1"/>
  <c r="JU27" i="72" a="1"/>
  <c r="JU27" i="72" s="1"/>
  <c r="JZ27" i="72" a="1"/>
  <c r="JZ27" i="72" s="1"/>
  <c r="JV27" i="72" a="1"/>
  <c r="JV27" i="72" s="1"/>
  <c r="JG27" i="72" a="1"/>
  <c r="JG27" i="72" s="1"/>
  <c r="JX27" i="72" a="1"/>
  <c r="JX27" i="72" s="1"/>
  <c r="KB27" i="72" a="1"/>
  <c r="KB27" i="72" s="1"/>
  <c r="GH30" i="72" a="1"/>
  <c r="GH30" i="72" s="1"/>
  <c r="GN30" i="72" a="1"/>
  <c r="GN30" i="72" s="1"/>
  <c r="GJ30" i="72" a="1"/>
  <c r="GJ30" i="72" s="1"/>
  <c r="GI30" i="72" a="1"/>
  <c r="GI30" i="72" s="1"/>
  <c r="GM30" i="72" a="1"/>
  <c r="GM30" i="72" s="1"/>
  <c r="FS30" i="72" a="1"/>
  <c r="FS30" i="72" s="1"/>
  <c r="GK30" i="72" a="1"/>
  <c r="GK30" i="72" s="1"/>
  <c r="GG30" i="72" a="1"/>
  <c r="GG30" i="72" s="1"/>
  <c r="GL30" i="72" a="1"/>
  <c r="GL30" i="72" s="1"/>
  <c r="GG32" i="72" a="1"/>
  <c r="GG32" i="72" s="1"/>
  <c r="GL32" i="72" a="1"/>
  <c r="GL32" i="72" s="1"/>
  <c r="GK32" i="72" a="1"/>
  <c r="GK32" i="72" s="1"/>
  <c r="GJ32" i="72" a="1"/>
  <c r="GJ32" i="72" s="1"/>
  <c r="FS32" i="72" a="1"/>
  <c r="FS32" i="72" s="1"/>
  <c r="GM32" i="72" a="1"/>
  <c r="GM32" i="72" s="1"/>
  <c r="GH32" i="72" a="1"/>
  <c r="GH32" i="72" s="1"/>
  <c r="GI32" i="72" a="1"/>
  <c r="GI32" i="72" s="1"/>
  <c r="GN32" i="72" a="1"/>
  <c r="GN32" i="72" s="1"/>
  <c r="CC16" i="72" a="1"/>
  <c r="CC16" i="72" s="1"/>
  <c r="BZ16" i="72" a="1"/>
  <c r="BZ16" i="72" s="1"/>
  <c r="BX16" i="72" a="1"/>
  <c r="BX16" i="72" s="1"/>
  <c r="BV16" i="72" a="1"/>
  <c r="BV16" i="72" s="1"/>
  <c r="BW16" i="72" a="1"/>
  <c r="BW16" i="72" s="1"/>
  <c r="BH16" i="72" a="1"/>
  <c r="BH16" i="72" s="1"/>
  <c r="BY16" i="72" a="1"/>
  <c r="BY16" i="72" s="1"/>
  <c r="CB16" i="72" a="1"/>
  <c r="CB16" i="72" s="1"/>
  <c r="CA16" i="72" a="1"/>
  <c r="CA16" i="72" s="1"/>
  <c r="BX22" i="72" a="1"/>
  <c r="BX22" i="72" s="1"/>
  <c r="CB22" i="72" a="1"/>
  <c r="CB22" i="72" s="1"/>
  <c r="BV22" i="72" a="1"/>
  <c r="BV22" i="72" s="1"/>
  <c r="BY22" i="72" a="1"/>
  <c r="BY22" i="72" s="1"/>
  <c r="BH22" i="72" a="1"/>
  <c r="BH22" i="72" s="1"/>
  <c r="BZ22" i="72" a="1"/>
  <c r="BZ22" i="72" s="1"/>
  <c r="BW22" i="72" a="1"/>
  <c r="BW22" i="72" s="1"/>
  <c r="CA22" i="72" a="1"/>
  <c r="CA22" i="72" s="1"/>
  <c r="CC22" i="72" a="1"/>
  <c r="CC22" i="72" s="1"/>
  <c r="BX28" i="72" a="1"/>
  <c r="BX28" i="72" s="1"/>
  <c r="BW28" i="72" a="1"/>
  <c r="BW28" i="72" s="1"/>
  <c r="BY28" i="72" a="1"/>
  <c r="BY28" i="72" s="1"/>
  <c r="CA28" i="72" a="1"/>
  <c r="CA28" i="72" s="1"/>
  <c r="BV28" i="72" a="1"/>
  <c r="BV28" i="72" s="1"/>
  <c r="BZ28" i="72" a="1"/>
  <c r="BZ28" i="72" s="1"/>
  <c r="CB28" i="72" a="1"/>
  <c r="CB28" i="72" s="1"/>
  <c r="BH28" i="72" a="1"/>
  <c r="BH28" i="72" s="1"/>
  <c r="CC28" i="72" a="1"/>
  <c r="CC28" i="72" s="1"/>
  <c r="MU30" i="72" a="1"/>
  <c r="MU30" i="72" s="1"/>
  <c r="NL30" i="72" a="1"/>
  <c r="NL30" i="72" s="1"/>
  <c r="NJ30" i="72" a="1"/>
  <c r="NJ30" i="72" s="1"/>
  <c r="NK30" i="72" a="1"/>
  <c r="NK30" i="72" s="1"/>
  <c r="NP30" i="72" a="1"/>
  <c r="NP30" i="72" s="1"/>
  <c r="NN30" i="72" a="1"/>
  <c r="NN30" i="72" s="1"/>
  <c r="NI30" i="72" a="1"/>
  <c r="NI30" i="72" s="1"/>
  <c r="NO30" i="72" a="1"/>
  <c r="NO30" i="72" s="1"/>
  <c r="NM30" i="72" a="1"/>
  <c r="NM30" i="72" s="1"/>
  <c r="NN29" i="72" a="1"/>
  <c r="NN29" i="72" s="1"/>
  <c r="NO29" i="72" a="1"/>
  <c r="NO29" i="72" s="1"/>
  <c r="MU29" i="72" a="1"/>
  <c r="MU29" i="72" s="1"/>
  <c r="NK29" i="72" a="1"/>
  <c r="NK29" i="72" s="1"/>
  <c r="NM29" i="72" a="1"/>
  <c r="NM29" i="72" s="1"/>
  <c r="NI29" i="72" a="1"/>
  <c r="NI29" i="72" s="1"/>
  <c r="NP29" i="72" a="1"/>
  <c r="NP29" i="72" s="1"/>
  <c r="NL29" i="72" a="1"/>
  <c r="NL29" i="72" s="1"/>
  <c r="NJ29" i="72" a="1"/>
  <c r="NJ29" i="72" s="1"/>
  <c r="EP22" i="72" a="1"/>
  <c r="EP22" i="72" s="1"/>
  <c r="EN22" i="72" a="1"/>
  <c r="EN22" i="72" s="1"/>
  <c r="ES22" i="72" a="1"/>
  <c r="ES22" i="72" s="1"/>
  <c r="EO22" i="72" a="1"/>
  <c r="EO22" i="72" s="1"/>
  <c r="DY22" i="72" a="1"/>
  <c r="DY22" i="72" s="1"/>
  <c r="EQ22" i="72" a="1"/>
  <c r="EQ22" i="72" s="1"/>
  <c r="EM22" i="72" a="1"/>
  <c r="EM22" i="72" s="1"/>
  <c r="ER22" i="72" a="1"/>
  <c r="ER22" i="72" s="1"/>
  <c r="ET22" i="72" a="1"/>
  <c r="ET22" i="72" s="1"/>
  <c r="EM18" i="72" a="1"/>
  <c r="EM18" i="72" s="1"/>
  <c r="ES18" i="72" a="1"/>
  <c r="ES18" i="72" s="1"/>
  <c r="EP18" i="72" a="1"/>
  <c r="EP18" i="72" s="1"/>
  <c r="DY18" i="72" a="1"/>
  <c r="DY18" i="72" s="1"/>
  <c r="EO18" i="72" a="1"/>
  <c r="EO18" i="72" s="1"/>
  <c r="EN18" i="72" a="1"/>
  <c r="EN18" i="72" s="1"/>
  <c r="EQ18" i="72" a="1"/>
  <c r="EQ18" i="72" s="1"/>
  <c r="ER18" i="72" a="1"/>
  <c r="ER18" i="72" s="1"/>
  <c r="ET18" i="72" a="1"/>
  <c r="ET18" i="72" s="1"/>
  <c r="ET21" i="72" a="1"/>
  <c r="ET21" i="72" s="1"/>
  <c r="ER21" i="72" a="1"/>
  <c r="ER21" i="72" s="1"/>
  <c r="EM21" i="72" a="1"/>
  <c r="EM21" i="72" s="1"/>
  <c r="EP21" i="72" a="1"/>
  <c r="EP21" i="72" s="1"/>
  <c r="ES21" i="72" a="1"/>
  <c r="ES21" i="72" s="1"/>
  <c r="DY21" i="72" a="1"/>
  <c r="DY21" i="72" s="1"/>
  <c r="EO21" i="72" a="1"/>
  <c r="EO21" i="72" s="1"/>
  <c r="EQ21" i="72" a="1"/>
  <c r="EQ21" i="72" s="1"/>
  <c r="EN21" i="72" a="1"/>
  <c r="EN21" i="72" s="1"/>
  <c r="FJ30" i="72" a="1"/>
  <c r="FJ30" i="72" s="1"/>
  <c r="FL30" i="72" a="1"/>
  <c r="FL30" i="72" s="1"/>
  <c r="FK30" i="72" a="1"/>
  <c r="FK30" i="72" s="1"/>
  <c r="FO30" i="72" a="1"/>
  <c r="FO30" i="72" s="1"/>
  <c r="FN30" i="72" a="1"/>
  <c r="FN30" i="72" s="1"/>
  <c r="FP30" i="72" a="1"/>
  <c r="FP30" i="72" s="1"/>
  <c r="FM30" i="72" a="1"/>
  <c r="FM30" i="72" s="1"/>
  <c r="EV30" i="72" a="1"/>
  <c r="EV30" i="72" s="1"/>
  <c r="FQ30" i="72" a="1"/>
  <c r="FQ30" i="72" s="1"/>
  <c r="FQ27" i="72" a="1"/>
  <c r="FQ27" i="72" s="1"/>
  <c r="EV27" i="72" a="1"/>
  <c r="EV27" i="72" s="1"/>
  <c r="FJ27" i="72" a="1"/>
  <c r="FJ27" i="72" s="1"/>
  <c r="FL27" i="72" a="1"/>
  <c r="FL27" i="72" s="1"/>
  <c r="FP27" i="72" a="1"/>
  <c r="FP27" i="72" s="1"/>
  <c r="FO27" i="72" a="1"/>
  <c r="FO27" i="72" s="1"/>
  <c r="FN27" i="72" a="1"/>
  <c r="FN27" i="72" s="1"/>
  <c r="FK27" i="72" a="1"/>
  <c r="FK27" i="72" s="1"/>
  <c r="FM27" i="72" a="1"/>
  <c r="FM27" i="72" s="1"/>
  <c r="FK20" i="72" a="1"/>
  <c r="FK20" i="72" s="1"/>
  <c r="FO20" i="72" a="1"/>
  <c r="FO20" i="72" s="1"/>
  <c r="EV20" i="72" a="1"/>
  <c r="EV20" i="72" s="1"/>
  <c r="FP20" i="72" a="1"/>
  <c r="FP20" i="72" s="1"/>
  <c r="FL20" i="72" a="1"/>
  <c r="FL20" i="72" s="1"/>
  <c r="FN20" i="72" a="1"/>
  <c r="FN20" i="72" s="1"/>
  <c r="FJ20" i="72" a="1"/>
  <c r="FJ20" i="72" s="1"/>
  <c r="FM20" i="72" a="1"/>
  <c r="FM20" i="72" s="1"/>
  <c r="FQ20" i="72" a="1"/>
  <c r="FQ20" i="72" s="1"/>
  <c r="QA27" i="72" a="1"/>
  <c r="QA27" i="72" s="1"/>
  <c r="PZ27" i="72" a="1"/>
  <c r="PZ27" i="72" s="1"/>
  <c r="QC27" i="72" a="1"/>
  <c r="QC27" i="72" s="1"/>
  <c r="QE27" i="72" a="1"/>
  <c r="QE27" i="72" s="1"/>
  <c r="QD27" i="72" a="1"/>
  <c r="QD27" i="72" s="1"/>
  <c r="QB27" i="72" a="1"/>
  <c r="QB27" i="72" s="1"/>
  <c r="QF27" i="72" a="1"/>
  <c r="QF27" i="72" s="1"/>
  <c r="PL27" i="72" a="1"/>
  <c r="PL27" i="72" s="1"/>
  <c r="QG27" i="72" a="1"/>
  <c r="QG27" i="72" s="1"/>
  <c r="QD14" i="72" a="1"/>
  <c r="QD14" i="72" s="1"/>
  <c r="QA14" i="72" a="1"/>
  <c r="QA14" i="72" s="1"/>
  <c r="QG14" i="72" a="1"/>
  <c r="QG14" i="72" s="1"/>
  <c r="QF14" i="72" a="1"/>
  <c r="QF14" i="72" s="1"/>
  <c r="PL14" i="72" a="1"/>
  <c r="PL14" i="72" s="1"/>
  <c r="QC14" i="72" a="1"/>
  <c r="QC14" i="72" s="1"/>
  <c r="PZ14" i="72" a="1"/>
  <c r="PZ14" i="72" s="1"/>
  <c r="QB14" i="72" a="1"/>
  <c r="QB14" i="72" s="1"/>
  <c r="QE14" i="72" a="1"/>
  <c r="QE14" i="72" s="1"/>
  <c r="CY34" i="72" a="1"/>
  <c r="CY34" i="72" s="1"/>
  <c r="CT34" i="72" a="1"/>
  <c r="CT34" i="72" s="1"/>
  <c r="CX34" i="72" a="1"/>
  <c r="CX34" i="72" s="1"/>
  <c r="CE34" i="72" a="1"/>
  <c r="CE34" i="72" s="1"/>
  <c r="CW34" i="72" a="1"/>
  <c r="CW34" i="72" s="1"/>
  <c r="CV34" i="72" a="1"/>
  <c r="CV34" i="72" s="1"/>
  <c r="CS34" i="72" a="1"/>
  <c r="CS34" i="72" s="1"/>
  <c r="CU34" i="72" a="1"/>
  <c r="CU34" i="72" s="1"/>
  <c r="CZ34" i="72" a="1"/>
  <c r="CZ34" i="72" s="1"/>
  <c r="CY32" i="72" a="1"/>
  <c r="CY32" i="72" s="1"/>
  <c r="CW32" i="72" a="1"/>
  <c r="CW32" i="72" s="1"/>
  <c r="CT32" i="72" a="1"/>
  <c r="CT32" i="72" s="1"/>
  <c r="CV32" i="72" a="1"/>
  <c r="CV32" i="72" s="1"/>
  <c r="CX32" i="72" a="1"/>
  <c r="CX32" i="72" s="1"/>
  <c r="CE32" i="72" a="1"/>
  <c r="CE32" i="72" s="1"/>
  <c r="CU32" i="72" a="1"/>
  <c r="CU32" i="72" s="1"/>
  <c r="CS32" i="72" a="1"/>
  <c r="CS32" i="72" s="1"/>
  <c r="CZ32" i="72" a="1"/>
  <c r="CZ32" i="72" s="1"/>
  <c r="CT23" i="72" a="1"/>
  <c r="CT23" i="72" s="1"/>
  <c r="CS23" i="72" a="1"/>
  <c r="CS23" i="72" s="1"/>
  <c r="CY23" i="72" a="1"/>
  <c r="CY23" i="72" s="1"/>
  <c r="CE23" i="72" a="1"/>
  <c r="CE23" i="72" s="1"/>
  <c r="CX23" i="72" a="1"/>
  <c r="CX23" i="72" s="1"/>
  <c r="CV23" i="72" a="1"/>
  <c r="CV23" i="72" s="1"/>
  <c r="CU23" i="72" a="1"/>
  <c r="CU23" i="72" s="1"/>
  <c r="CW23" i="72" a="1"/>
  <c r="CW23" i="72" s="1"/>
  <c r="CZ23" i="72" a="1"/>
  <c r="CZ23" i="72" s="1"/>
  <c r="OI21" i="72" a="1"/>
  <c r="OI21" i="72" s="1"/>
  <c r="OK21" i="72" a="1"/>
  <c r="OK21" i="72" s="1"/>
  <c r="OG21" i="72" a="1"/>
  <c r="OG21" i="72" s="1"/>
  <c r="OL21" i="72" a="1"/>
  <c r="OL21" i="72" s="1"/>
  <c r="OM21" i="72" a="1"/>
  <c r="OM21" i="72" s="1"/>
  <c r="OJ21" i="72" a="1"/>
  <c r="OJ21" i="72" s="1"/>
  <c r="NR21" i="72" a="1"/>
  <c r="NR21" i="72" s="1"/>
  <c r="OH21" i="72" a="1"/>
  <c r="OH21" i="72" s="1"/>
  <c r="OF21" i="72" a="1"/>
  <c r="OF21" i="72" s="1"/>
  <c r="OF19" i="72" a="1"/>
  <c r="OF19" i="72" s="1"/>
  <c r="OH19" i="72" a="1"/>
  <c r="OH19" i="72" s="1"/>
  <c r="NR19" i="72" a="1"/>
  <c r="NR19" i="72" s="1"/>
  <c r="OL19" i="72" a="1"/>
  <c r="OL19" i="72" s="1"/>
  <c r="OM19" i="72" a="1"/>
  <c r="OM19" i="72" s="1"/>
  <c r="OK19" i="72" a="1"/>
  <c r="OK19" i="72" s="1"/>
  <c r="OJ19" i="72" a="1"/>
  <c r="OJ19" i="72" s="1"/>
  <c r="OG19" i="72" a="1"/>
  <c r="OG19" i="72" s="1"/>
  <c r="OI19" i="72" a="1"/>
  <c r="OI19" i="72" s="1"/>
  <c r="OK34" i="72" a="1"/>
  <c r="OK34" i="72" s="1"/>
  <c r="OG34" i="72" a="1"/>
  <c r="OG34" i="72" s="1"/>
  <c r="NR34" i="72" a="1"/>
  <c r="NR34" i="72" s="1"/>
  <c r="OL34" i="72" a="1"/>
  <c r="OL34" i="72" s="1"/>
  <c r="OH34" i="72" a="1"/>
  <c r="OH34" i="72" s="1"/>
  <c r="OI34" i="72" a="1"/>
  <c r="OI34" i="72" s="1"/>
  <c r="OJ34" i="72" a="1"/>
  <c r="OJ34" i="72" s="1"/>
  <c r="OF34" i="72" a="1"/>
  <c r="OF34" i="72" s="1"/>
  <c r="OM34" i="72" a="1"/>
  <c r="OM34" i="72" s="1"/>
  <c r="QI30" i="72" a="1"/>
  <c r="QI30" i="72" s="1"/>
  <c r="QZ30" i="72" a="1"/>
  <c r="QZ30" i="72" s="1"/>
  <c r="RD30" i="72" a="1"/>
  <c r="RD30" i="72" s="1"/>
  <c r="QX30" i="72" a="1"/>
  <c r="QX30" i="72" s="1"/>
  <c r="RA30" i="72" a="1"/>
  <c r="RA30" i="72" s="1"/>
  <c r="QY30" i="72" a="1"/>
  <c r="QY30" i="72" s="1"/>
  <c r="RC30" i="72" a="1"/>
  <c r="RC30" i="72" s="1"/>
  <c r="QW30" i="72" a="1"/>
  <c r="QW30" i="72" s="1"/>
  <c r="RB30" i="72" a="1"/>
  <c r="RB30" i="72" s="1"/>
  <c r="RA29" i="72" a="1"/>
  <c r="RA29" i="72" s="1"/>
  <c r="RB29" i="72" a="1"/>
  <c r="RB29" i="72" s="1"/>
  <c r="QY29" i="72" a="1"/>
  <c r="QY29" i="72" s="1"/>
  <c r="QW29" i="72" a="1"/>
  <c r="QW29" i="72" s="1"/>
  <c r="QI29" i="72" a="1"/>
  <c r="QI29" i="72" s="1"/>
  <c r="QX29" i="72" a="1"/>
  <c r="QX29" i="72" s="1"/>
  <c r="QZ29" i="72" a="1"/>
  <c r="QZ29" i="72" s="1"/>
  <c r="RD29" i="72" a="1"/>
  <c r="RD29" i="72" s="1"/>
  <c r="RC29" i="72" a="1"/>
  <c r="RC29" i="72" s="1"/>
  <c r="IX18" i="72" a="1"/>
  <c r="IX18" i="72" s="1"/>
  <c r="JC18" i="72" a="1"/>
  <c r="JC18" i="72" s="1"/>
  <c r="IJ18" i="72" a="1"/>
  <c r="IJ18" i="72" s="1"/>
  <c r="IY18" i="72" a="1"/>
  <c r="IY18" i="72" s="1"/>
  <c r="IZ18" i="72" a="1"/>
  <c r="IZ18" i="72" s="1"/>
  <c r="JB18" i="72" a="1"/>
  <c r="JB18" i="72" s="1"/>
  <c r="JD18" i="72" a="1"/>
  <c r="JD18" i="72" s="1"/>
  <c r="JA18" i="72" a="1"/>
  <c r="JA18" i="72" s="1"/>
  <c r="JE18" i="72" a="1"/>
  <c r="JE18" i="72" s="1"/>
  <c r="JE14" i="72" a="1"/>
  <c r="JE14" i="72" s="1"/>
  <c r="IY14" i="72" a="1"/>
  <c r="IY14" i="72" s="1"/>
  <c r="JA14" i="72" a="1"/>
  <c r="JA14" i="72" s="1"/>
  <c r="JD14" i="72" a="1"/>
  <c r="JD14" i="72" s="1"/>
  <c r="IZ14" i="72" a="1"/>
  <c r="IZ14" i="72" s="1"/>
  <c r="IJ14" i="72" a="1"/>
  <c r="IJ14" i="72" s="1"/>
  <c r="JB14" i="72" a="1"/>
  <c r="JB14" i="72" s="1"/>
  <c r="IX14" i="72" a="1"/>
  <c r="IX14" i="72" s="1"/>
  <c r="JC14" i="72" a="1"/>
  <c r="JC14" i="72" s="1"/>
  <c r="IX16" i="72" a="1"/>
  <c r="IX16" i="72" s="1"/>
  <c r="JB16" i="72" a="1"/>
  <c r="JB16" i="72" s="1"/>
  <c r="JC16" i="72" a="1"/>
  <c r="JC16" i="72" s="1"/>
  <c r="JA16" i="72" a="1"/>
  <c r="JA16" i="72" s="1"/>
  <c r="IZ16" i="72" a="1"/>
  <c r="IZ16" i="72" s="1"/>
  <c r="JE16" i="72" a="1"/>
  <c r="JE16" i="72" s="1"/>
  <c r="IY16" i="72" a="1"/>
  <c r="IY16" i="72" s="1"/>
  <c r="IJ16" i="72" a="1"/>
  <c r="IJ16" i="72" s="1"/>
  <c r="JD16" i="72" a="1"/>
  <c r="JD16" i="72" s="1"/>
  <c r="OO31" i="72" a="1"/>
  <c r="OO31" i="72" s="1"/>
  <c r="PE31" i="72" a="1"/>
  <c r="PE31" i="72" s="1"/>
  <c r="PH31" i="72" a="1"/>
  <c r="PH31" i="72" s="1"/>
  <c r="PI31" i="72" a="1"/>
  <c r="PI31" i="72" s="1"/>
  <c r="PD31" i="72" a="1"/>
  <c r="PD31" i="72" s="1"/>
  <c r="PC31" i="72" a="1"/>
  <c r="PC31" i="72" s="1"/>
  <c r="PG31" i="72" a="1"/>
  <c r="PG31" i="72" s="1"/>
  <c r="PF31" i="72" a="1"/>
  <c r="PF31" i="72" s="1"/>
  <c r="PJ31" i="72" a="1"/>
  <c r="PJ31" i="72" s="1"/>
  <c r="PI30" i="72" a="1"/>
  <c r="PI30" i="72" s="1"/>
  <c r="PH30" i="72" a="1"/>
  <c r="PH30" i="72" s="1"/>
  <c r="OO30" i="72" a="1"/>
  <c r="OO30" i="72" s="1"/>
  <c r="PF30" i="72" a="1"/>
  <c r="PF30" i="72" s="1"/>
  <c r="PE30" i="72" a="1"/>
  <c r="PE30" i="72" s="1"/>
  <c r="PC30" i="72" a="1"/>
  <c r="PC30" i="72" s="1"/>
  <c r="PD30" i="72" a="1"/>
  <c r="PD30" i="72" s="1"/>
  <c r="PG30" i="72" a="1"/>
  <c r="PG30" i="72" s="1"/>
  <c r="PJ30" i="72" a="1"/>
  <c r="PJ30" i="72" s="1"/>
  <c r="LT30" i="72" a="1"/>
  <c r="LT30" i="72" s="1"/>
  <c r="LR30" i="72" a="1"/>
  <c r="LR30" i="72" s="1"/>
  <c r="LS30" i="72" a="1"/>
  <c r="LS30" i="72" s="1"/>
  <c r="LO30" i="72" a="1"/>
  <c r="LO30" i="72" s="1"/>
  <c r="LP30" i="72" a="1"/>
  <c r="LP30" i="72" s="1"/>
  <c r="LU30" i="72" a="1"/>
  <c r="LU30" i="72" s="1"/>
  <c r="LQ30" i="72" a="1"/>
  <c r="LQ30" i="72" s="1"/>
  <c r="LA30" i="72" a="1"/>
  <c r="LA30" i="72" s="1"/>
  <c r="LV30" i="72" a="1"/>
  <c r="LV30" i="72" s="1"/>
  <c r="KY16" i="72" a="1"/>
  <c r="KY16" i="72" s="1"/>
  <c r="KT16" i="72" a="1"/>
  <c r="KT16" i="72" s="1"/>
  <c r="KX16" i="72" a="1"/>
  <c r="KX16" i="72" s="1"/>
  <c r="KV16" i="72" a="1"/>
  <c r="KV16" i="72" s="1"/>
  <c r="KS16" i="72" a="1"/>
  <c r="KS16" i="72" s="1"/>
  <c r="KR16" i="72" a="1"/>
  <c r="KR16" i="72" s="1"/>
  <c r="KD16" i="72" a="1"/>
  <c r="KD16" i="72" s="1"/>
  <c r="KU16" i="72" a="1"/>
  <c r="KU16" i="72" s="1"/>
  <c r="KW16" i="72" a="1"/>
  <c r="KW16" i="72" s="1"/>
  <c r="KR27" i="72" a="1"/>
  <c r="KR27" i="72" s="1"/>
  <c r="KV27" i="72" a="1"/>
  <c r="KV27" i="72" s="1"/>
  <c r="KX27" i="72" a="1"/>
  <c r="KX27" i="72" s="1"/>
  <c r="KU27" i="72" a="1"/>
  <c r="KU27" i="72" s="1"/>
  <c r="KD27" i="72" a="1"/>
  <c r="KD27" i="72" s="1"/>
  <c r="KS27" i="72" a="1"/>
  <c r="KS27" i="72" s="1"/>
  <c r="KT27" i="72" a="1"/>
  <c r="KT27" i="72" s="1"/>
  <c r="KW27" i="72" a="1"/>
  <c r="KW27" i="72" s="1"/>
  <c r="KY27" i="72" a="1"/>
  <c r="KY27" i="72" s="1"/>
  <c r="KW26" i="72" a="1"/>
  <c r="KW26" i="72" s="1"/>
  <c r="KX26" i="72" a="1"/>
  <c r="KX26" i="72" s="1"/>
  <c r="KR26" i="72" a="1"/>
  <c r="KR26" i="72" s="1"/>
  <c r="KD26" i="72" a="1"/>
  <c r="KD26" i="72" s="1"/>
  <c r="KV26" i="72" a="1"/>
  <c r="KV26" i="72" s="1"/>
  <c r="KS26" i="72" a="1"/>
  <c r="KS26" i="72" s="1"/>
  <c r="KT26" i="72" a="1"/>
  <c r="KT26" i="72" s="1"/>
  <c r="KU26" i="72" a="1"/>
  <c r="KU26" i="72" s="1"/>
  <c r="KY26" i="72" a="1"/>
  <c r="KY26" i="72" s="1"/>
  <c r="IF14" i="72" a="1"/>
  <c r="IF14" i="72" s="1"/>
  <c r="IG14" i="72" a="1"/>
  <c r="IG14" i="72" s="1"/>
  <c r="ID14" i="72" a="1"/>
  <c r="ID14" i="72" s="1"/>
  <c r="IA14" i="72" a="1"/>
  <c r="IA14" i="72" s="1"/>
  <c r="IE14" i="72" a="1"/>
  <c r="IE14" i="72" s="1"/>
  <c r="IC14" i="72" a="1"/>
  <c r="IC14" i="72" s="1"/>
  <c r="IB14" i="72" a="1"/>
  <c r="IB14" i="72" s="1"/>
  <c r="HM14" i="72" a="1"/>
  <c r="HM14" i="72" s="1"/>
  <c r="IH14" i="72" a="1"/>
  <c r="IH14" i="72" s="1"/>
  <c r="IB20" i="72" a="1"/>
  <c r="IB20" i="72" s="1"/>
  <c r="IH20" i="72" a="1"/>
  <c r="IH20" i="72" s="1"/>
  <c r="IA20" i="72" a="1"/>
  <c r="IA20" i="72" s="1"/>
  <c r="HM20" i="72" a="1"/>
  <c r="HM20" i="72" s="1"/>
  <c r="IG20" i="72" a="1"/>
  <c r="IG20" i="72" s="1"/>
  <c r="IE20" i="72" a="1"/>
  <c r="IE20" i="72" s="1"/>
  <c r="IF20" i="72" a="1"/>
  <c r="IF20" i="72" s="1"/>
  <c r="ID20" i="72" a="1"/>
  <c r="ID20" i="72" s="1"/>
  <c r="IC20" i="72" a="1"/>
  <c r="IC20" i="72" s="1"/>
  <c r="IG21" i="72" a="1"/>
  <c r="IG21" i="72" s="1"/>
  <c r="IF21" i="72" a="1"/>
  <c r="IF21" i="72" s="1"/>
  <c r="HM21" i="72" a="1"/>
  <c r="HM21" i="72" s="1"/>
  <c r="IB21" i="72" a="1"/>
  <c r="IB21" i="72" s="1"/>
  <c r="IC21" i="72" a="1"/>
  <c r="IC21" i="72" s="1"/>
  <c r="IE21" i="72" a="1"/>
  <c r="IE21" i="72" s="1"/>
  <c r="ID21" i="72" a="1"/>
  <c r="ID21" i="72" s="1"/>
  <c r="IA21" i="72" a="1"/>
  <c r="IA21" i="72" s="1"/>
  <c r="IH21" i="72" a="1"/>
  <c r="IH21" i="72" s="1"/>
  <c r="SR23" i="72" a="1"/>
  <c r="SR23" i="72" s="1"/>
  <c r="SV23" i="72" a="1"/>
  <c r="SV23" i="72" s="1"/>
  <c r="ST23" i="72" a="1"/>
  <c r="ST23" i="72" s="1"/>
  <c r="SU23" i="72" a="1"/>
  <c r="SU23" i="72" s="1"/>
  <c r="SS23" i="72" a="1"/>
  <c r="SS23" i="72" s="1"/>
  <c r="SW23" i="72" a="1"/>
  <c r="SW23" i="72" s="1"/>
  <c r="SQ23" i="72" a="1"/>
  <c r="SQ23" i="72" s="1"/>
  <c r="SC23" i="72" a="1"/>
  <c r="SC23" i="72" s="1"/>
  <c r="SX23" i="72" a="1"/>
  <c r="SX23" i="72" s="1"/>
  <c r="ST19" i="72" a="1"/>
  <c r="ST19" i="72" s="1"/>
  <c r="SQ19" i="72" a="1"/>
  <c r="SQ19" i="72" s="1"/>
  <c r="SU19" i="72" a="1"/>
  <c r="SU19" i="72" s="1"/>
  <c r="SW19" i="72" a="1"/>
  <c r="SW19" i="72" s="1"/>
  <c r="SS19" i="72" a="1"/>
  <c r="SS19" i="72" s="1"/>
  <c r="SV19" i="72" a="1"/>
  <c r="SV19" i="72" s="1"/>
  <c r="SR19" i="72" a="1"/>
  <c r="SR19" i="72" s="1"/>
  <c r="SC19" i="72" a="1"/>
  <c r="SC19" i="72" s="1"/>
  <c r="SX19" i="72" a="1"/>
  <c r="SX19" i="72" s="1"/>
  <c r="SA16" i="72" a="1"/>
  <c r="SA16" i="72" s="1"/>
  <c r="RX16" i="72" a="1"/>
  <c r="RX16" i="72" s="1"/>
  <c r="RT16" i="72" a="1"/>
  <c r="RT16" i="72" s="1"/>
  <c r="RW16" i="72" a="1"/>
  <c r="RW16" i="72" s="1"/>
  <c r="RV16" i="72" a="1"/>
  <c r="RV16" i="72" s="1"/>
  <c r="RZ16" i="72" a="1"/>
  <c r="RZ16" i="72" s="1"/>
  <c r="RF16" i="72" a="1"/>
  <c r="RF16" i="72" s="1"/>
  <c r="RU16" i="72" a="1"/>
  <c r="RU16" i="72" s="1"/>
  <c r="RY16" i="72" a="1"/>
  <c r="RY16" i="72" s="1"/>
  <c r="RW25" i="72" a="1"/>
  <c r="RW25" i="72" s="1"/>
  <c r="RF25" i="72" a="1"/>
  <c r="RF25" i="72" s="1"/>
  <c r="RY25" i="72" a="1"/>
  <c r="RY25" i="72" s="1"/>
  <c r="SA25" i="72" a="1"/>
  <c r="SA25" i="72" s="1"/>
  <c r="RZ25" i="72" a="1"/>
  <c r="RZ25" i="72" s="1"/>
  <c r="RV25" i="72" a="1"/>
  <c r="RV25" i="72" s="1"/>
  <c r="RT25" i="72" a="1"/>
  <c r="RT25" i="72" s="1"/>
  <c r="RX25" i="72" a="1"/>
  <c r="RX25" i="72" s="1"/>
  <c r="RU25" i="72" a="1"/>
  <c r="RU25" i="72" s="1"/>
  <c r="RF34" i="72" a="1"/>
  <c r="RF34" i="72" s="1"/>
  <c r="RZ34" i="72" a="1"/>
  <c r="RZ34" i="72" s="1"/>
  <c r="RW34" i="72" a="1"/>
  <c r="RW34" i="72" s="1"/>
  <c r="RT34" i="72" a="1"/>
  <c r="RT34" i="72" s="1"/>
  <c r="RV34" i="72" a="1"/>
  <c r="RV34" i="72" s="1"/>
  <c r="RU34" i="72" a="1"/>
  <c r="RU34" i="72" s="1"/>
  <c r="RX34" i="72" a="1"/>
  <c r="RX34" i="72" s="1"/>
  <c r="RY34" i="72" a="1"/>
  <c r="RY34" i="72" s="1"/>
  <c r="SA34" i="72" a="1"/>
  <c r="SA34" i="72" s="1"/>
  <c r="HG19" i="72" a="1"/>
  <c r="HG19" i="72" s="1"/>
  <c r="HD19" i="72" a="1"/>
  <c r="HD19" i="72" s="1"/>
  <c r="GP19" i="72" a="1"/>
  <c r="GP19" i="72" s="1"/>
  <c r="HK19" i="72" a="1"/>
  <c r="HK19" i="72" s="1"/>
  <c r="HJ19" i="72" a="1"/>
  <c r="HJ19" i="72" s="1"/>
  <c r="HF19" i="72" a="1"/>
  <c r="HF19" i="72" s="1"/>
  <c r="HE19" i="72" a="1"/>
  <c r="HE19" i="72" s="1"/>
  <c r="HI19" i="72" a="1"/>
  <c r="HI19" i="72" s="1"/>
  <c r="HH19" i="72" a="1"/>
  <c r="HH19" i="72" s="1"/>
  <c r="GP27" i="72" a="1"/>
  <c r="GP27" i="72" s="1"/>
  <c r="HK27" i="72" a="1"/>
  <c r="HK27" i="72" s="1"/>
  <c r="HE27" i="72" a="1"/>
  <c r="HE27" i="72" s="1"/>
  <c r="HH27" i="72" a="1"/>
  <c r="HH27" i="72" s="1"/>
  <c r="HG27" i="72" a="1"/>
  <c r="HG27" i="72" s="1"/>
  <c r="HD27" i="72" a="1"/>
  <c r="HD27" i="72" s="1"/>
  <c r="HI27" i="72" a="1"/>
  <c r="HI27" i="72" s="1"/>
  <c r="HF27" i="72" a="1"/>
  <c r="HF27" i="72" s="1"/>
  <c r="HJ27" i="72" a="1"/>
  <c r="HJ27" i="72" s="1"/>
  <c r="HD34" i="72" a="1"/>
  <c r="HD34" i="72" s="1"/>
  <c r="HH34" i="72" a="1"/>
  <c r="HH34" i="72" s="1"/>
  <c r="HE34" i="72" a="1"/>
  <c r="HE34" i="72" s="1"/>
  <c r="HK34" i="72" a="1"/>
  <c r="HK34" i="72" s="1"/>
  <c r="HF34" i="72" a="1"/>
  <c r="HF34" i="72" s="1"/>
  <c r="HJ34" i="72" a="1"/>
  <c r="HJ34" i="72" s="1"/>
  <c r="HI34" i="72" a="1"/>
  <c r="HI34" i="72" s="1"/>
  <c r="GP34" i="72" a="1"/>
  <c r="GP34" i="72" s="1"/>
  <c r="HG34" i="72" a="1"/>
  <c r="HG34" i="72" s="1"/>
  <c r="DS21" i="72" a="1"/>
  <c r="DS21" i="72" s="1"/>
  <c r="DV21" i="72" a="1"/>
  <c r="DV21" i="72" s="1"/>
  <c r="DT21" i="72" a="1"/>
  <c r="DT21" i="72" s="1"/>
  <c r="DU21" i="72" a="1"/>
  <c r="DU21" i="72" s="1"/>
  <c r="DR21" i="72" a="1"/>
  <c r="DR21" i="72" s="1"/>
  <c r="DP21" i="72" a="1"/>
  <c r="DP21" i="72" s="1"/>
  <c r="DB21" i="72" a="1"/>
  <c r="DB21" i="72" s="1"/>
  <c r="DQ21" i="72" a="1"/>
  <c r="DQ21" i="72" s="1"/>
  <c r="DW21" i="72" a="1"/>
  <c r="DW21" i="72" s="1"/>
  <c r="DU18" i="72" a="1"/>
  <c r="DU18" i="72" s="1"/>
  <c r="DR18" i="72" a="1"/>
  <c r="DR18" i="72" s="1"/>
  <c r="DB18" i="72" a="1"/>
  <c r="DB18" i="72" s="1"/>
  <c r="DV18" i="72" a="1"/>
  <c r="DV18" i="72" s="1"/>
  <c r="DT18" i="72" a="1"/>
  <c r="DT18" i="72" s="1"/>
  <c r="DW18" i="72" a="1"/>
  <c r="DW18" i="72" s="1"/>
  <c r="DS18" i="72" a="1"/>
  <c r="DS18" i="72" s="1"/>
  <c r="DP18" i="72" a="1"/>
  <c r="DP18" i="72" s="1"/>
  <c r="DQ18" i="72" a="1"/>
  <c r="DQ18" i="72" s="1"/>
  <c r="MN19" i="72" a="1"/>
  <c r="MN19" i="72" s="1"/>
  <c r="MQ19" i="72" a="1"/>
  <c r="MQ19" i="72" s="1"/>
  <c r="MS19" i="72" a="1"/>
  <c r="MS19" i="72" s="1"/>
  <c r="LX19" i="72" a="1"/>
  <c r="LX19" i="72" s="1"/>
  <c r="MP19" i="72" a="1"/>
  <c r="MP19" i="72" s="1"/>
  <c r="MR19" i="72" a="1"/>
  <c r="MR19" i="72" s="1"/>
  <c r="ML19" i="72" a="1"/>
  <c r="ML19" i="72" s="1"/>
  <c r="MM19" i="72" a="1"/>
  <c r="MM19" i="72" s="1"/>
  <c r="MO19" i="72" a="1"/>
  <c r="MO19" i="72" s="1"/>
  <c r="MO15" i="72" a="1"/>
  <c r="MO15" i="72" s="1"/>
  <c r="MR15" i="72" a="1"/>
  <c r="MR15" i="72" s="1"/>
  <c r="MQ15" i="72" a="1"/>
  <c r="MQ15" i="72" s="1"/>
  <c r="MP15" i="72" a="1"/>
  <c r="MP15" i="72" s="1"/>
  <c r="MM15" i="72" a="1"/>
  <c r="MM15" i="72" s="1"/>
  <c r="LX15" i="72" a="1"/>
  <c r="LX15" i="72" s="1"/>
  <c r="MN15" i="72" a="1"/>
  <c r="MN15" i="72" s="1"/>
  <c r="ML15" i="72" a="1"/>
  <c r="ML15" i="72" s="1"/>
  <c r="MS15" i="72" a="1"/>
  <c r="MS15" i="72" s="1"/>
  <c r="MP32" i="72" a="1"/>
  <c r="MP32" i="72" s="1"/>
  <c r="MQ32" i="72" a="1"/>
  <c r="MQ32" i="72" s="1"/>
  <c r="ML32" i="72" a="1"/>
  <c r="ML32" i="72" s="1"/>
  <c r="MR32" i="72" a="1"/>
  <c r="MR32" i="72" s="1"/>
  <c r="MN32" i="72" a="1"/>
  <c r="MN32" i="72" s="1"/>
  <c r="LX32" i="72" a="1"/>
  <c r="LX32" i="72" s="1"/>
  <c r="MO32" i="72" a="1"/>
  <c r="MO32" i="72" s="1"/>
  <c r="MM32" i="72" a="1"/>
  <c r="MM32" i="72" s="1"/>
  <c r="MS32" i="72" a="1"/>
  <c r="MS32" i="72" s="1"/>
  <c r="KB16" i="72" a="1"/>
  <c r="KB16" i="72" s="1"/>
  <c r="JV16" i="72" a="1"/>
  <c r="JV16" i="72" s="1"/>
  <c r="JG16" i="72" a="1"/>
  <c r="JG16" i="72" s="1"/>
  <c r="JW16" i="72" a="1"/>
  <c r="JW16" i="72" s="1"/>
  <c r="JY16" i="72" a="1"/>
  <c r="JY16" i="72" s="1"/>
  <c r="JU16" i="72" a="1"/>
  <c r="JU16" i="72" s="1"/>
  <c r="JZ16" i="72" a="1"/>
  <c r="JZ16" i="72" s="1"/>
  <c r="KA16" i="72" a="1"/>
  <c r="KA16" i="72" s="1"/>
  <c r="JX16" i="72" a="1"/>
  <c r="JX16" i="72" s="1"/>
  <c r="KA28" i="72" a="1"/>
  <c r="KA28" i="72" s="1"/>
  <c r="JZ28" i="72" a="1"/>
  <c r="JZ28" i="72" s="1"/>
  <c r="JV28" i="72" a="1"/>
  <c r="JV28" i="72" s="1"/>
  <c r="JX28" i="72" a="1"/>
  <c r="JX28" i="72" s="1"/>
  <c r="KB28" i="72" a="1"/>
  <c r="KB28" i="72" s="1"/>
  <c r="JY28" i="72" a="1"/>
  <c r="JY28" i="72" s="1"/>
  <c r="JW28" i="72" a="1"/>
  <c r="JW28" i="72" s="1"/>
  <c r="JU28" i="72" a="1"/>
  <c r="JU28" i="72" s="1"/>
  <c r="JG28" i="72" a="1"/>
  <c r="JG28" i="72" s="1"/>
  <c r="GG22" i="72" a="1"/>
  <c r="GG22" i="72" s="1"/>
  <c r="GH22" i="72" a="1"/>
  <c r="GH22" i="72" s="1"/>
  <c r="GM22" i="72" a="1"/>
  <c r="GM22" i="72" s="1"/>
  <c r="GK22" i="72" a="1"/>
  <c r="GK22" i="72" s="1"/>
  <c r="GJ22" i="72" a="1"/>
  <c r="GJ22" i="72" s="1"/>
  <c r="FS22" i="72" a="1"/>
  <c r="FS22" i="72" s="1"/>
  <c r="GN22" i="72" a="1"/>
  <c r="GN22" i="72" s="1"/>
  <c r="GI22" i="72" a="1"/>
  <c r="GI22" i="72" s="1"/>
  <c r="GL22" i="72" a="1"/>
  <c r="GL22" i="72" s="1"/>
  <c r="GL18" i="72" a="1"/>
  <c r="GL18" i="72" s="1"/>
  <c r="GI18" i="72" a="1"/>
  <c r="GI18" i="72" s="1"/>
  <c r="GG18" i="72" a="1"/>
  <c r="GG18" i="72" s="1"/>
  <c r="GJ18" i="72" a="1"/>
  <c r="GJ18" i="72" s="1"/>
  <c r="GH18" i="72" a="1"/>
  <c r="GH18" i="72" s="1"/>
  <c r="FS18" i="72" a="1"/>
  <c r="FS18" i="72" s="1"/>
  <c r="GK18" i="72" a="1"/>
  <c r="GK18" i="72" s="1"/>
  <c r="GM18" i="72" a="1"/>
  <c r="GM18" i="72" s="1"/>
  <c r="GN18" i="72" a="1"/>
  <c r="GN18" i="72" s="1"/>
  <c r="FS19" i="72" a="1"/>
  <c r="FS19" i="72" s="1"/>
  <c r="GM19" i="72" a="1"/>
  <c r="GM19" i="72" s="1"/>
  <c r="GG19" i="72" a="1"/>
  <c r="GG19" i="72" s="1"/>
  <c r="GI19" i="72" a="1"/>
  <c r="GI19" i="72" s="1"/>
  <c r="GH19" i="72" a="1"/>
  <c r="GH19" i="72" s="1"/>
  <c r="GL19" i="72" a="1"/>
  <c r="GL19" i="72" s="1"/>
  <c r="GJ19" i="72" a="1"/>
  <c r="GJ19" i="72" s="1"/>
  <c r="GK19" i="72" a="1"/>
  <c r="GK19" i="72" s="1"/>
  <c r="GN19" i="72" a="1"/>
  <c r="GN19" i="72" s="1"/>
  <c r="BH29" i="72" a="1"/>
  <c r="BH29" i="72" s="1"/>
  <c r="CB29" i="72" a="1"/>
  <c r="CB29" i="72" s="1"/>
  <c r="BW29" i="72" a="1"/>
  <c r="BW29" i="72" s="1"/>
  <c r="BV29" i="72" a="1"/>
  <c r="BV29" i="72" s="1"/>
  <c r="BY29" i="72" a="1"/>
  <c r="BY29" i="72" s="1"/>
  <c r="CC29" i="72" a="1"/>
  <c r="CC29" i="72" s="1"/>
  <c r="BX29" i="72" a="1"/>
  <c r="BX29" i="72" s="1"/>
  <c r="CA29" i="72" a="1"/>
  <c r="CA29" i="72" s="1"/>
  <c r="BZ29" i="72" a="1"/>
  <c r="BZ29" i="72" s="1"/>
  <c r="CB23" i="72" a="1"/>
  <c r="CB23" i="72" s="1"/>
  <c r="BY23" i="72" a="1"/>
  <c r="BY23" i="72" s="1"/>
  <c r="CA23" i="72" a="1"/>
  <c r="CA23" i="72" s="1"/>
  <c r="BZ23" i="72" a="1"/>
  <c r="BZ23" i="72" s="1"/>
  <c r="BV23" i="72" a="1"/>
  <c r="BV23" i="72" s="1"/>
  <c r="BX23" i="72" a="1"/>
  <c r="BX23" i="72" s="1"/>
  <c r="BH23" i="72" a="1"/>
  <c r="BH23" i="72" s="1"/>
  <c r="BW23" i="72" a="1"/>
  <c r="BW23" i="72" s="1"/>
  <c r="CC23" i="72" a="1"/>
  <c r="CC23" i="72" s="1"/>
  <c r="CC24" i="72" a="1"/>
  <c r="CC24" i="72" s="1"/>
  <c r="CB24" i="72" a="1"/>
  <c r="CB24" i="72" s="1"/>
  <c r="BZ24" i="72" a="1"/>
  <c r="BZ24" i="72" s="1"/>
  <c r="BH24" i="72" a="1"/>
  <c r="BH24" i="72" s="1"/>
  <c r="BV24" i="72" a="1"/>
  <c r="BV24" i="72" s="1"/>
  <c r="BY24" i="72" a="1"/>
  <c r="BY24" i="72" s="1"/>
  <c r="BX24" i="72" a="1"/>
  <c r="BX24" i="72" s="1"/>
  <c r="BW24" i="72" a="1"/>
  <c r="BW24" i="72" s="1"/>
  <c r="CA24" i="72" a="1"/>
  <c r="CA24" i="72" s="1"/>
  <c r="NO17" i="72" a="1"/>
  <c r="NO17" i="72" s="1"/>
  <c r="NL17" i="72" a="1"/>
  <c r="NL17" i="72" s="1"/>
  <c r="NN17" i="72" a="1"/>
  <c r="NN17" i="72" s="1"/>
  <c r="MU17" i="72" a="1"/>
  <c r="MU17" i="72" s="1"/>
  <c r="NP17" i="72" a="1"/>
  <c r="NP17" i="72" s="1"/>
  <c r="NK17" i="72" a="1"/>
  <c r="NK17" i="72" s="1"/>
  <c r="NJ17" i="72" a="1"/>
  <c r="NJ17" i="72" s="1"/>
  <c r="NM17" i="72" a="1"/>
  <c r="NM17" i="72" s="1"/>
  <c r="NI17" i="72" a="1"/>
  <c r="NI17" i="72" s="1"/>
  <c r="NO24" i="72" a="1"/>
  <c r="NO24" i="72" s="1"/>
  <c r="NM24" i="72" a="1"/>
  <c r="NM24" i="72" s="1"/>
  <c r="NL24" i="72" a="1"/>
  <c r="NL24" i="72" s="1"/>
  <c r="NN24" i="72" a="1"/>
  <c r="NN24" i="72" s="1"/>
  <c r="NK24" i="72" a="1"/>
  <c r="NK24" i="72" s="1"/>
  <c r="NP24" i="72" a="1"/>
  <c r="NP24" i="72" s="1"/>
  <c r="NJ24" i="72" a="1"/>
  <c r="NJ24" i="72" s="1"/>
  <c r="MU24" i="72" a="1"/>
  <c r="MU24" i="72" s="1"/>
  <c r="NI24" i="72" a="1"/>
  <c r="NI24" i="72" s="1"/>
  <c r="EO23" i="72" a="1"/>
  <c r="EO23" i="72" s="1"/>
  <c r="DY23" i="72" a="1"/>
  <c r="DY23" i="72" s="1"/>
  <c r="EN23" i="72" a="1"/>
  <c r="EN23" i="72" s="1"/>
  <c r="ES23" i="72" a="1"/>
  <c r="ES23" i="72" s="1"/>
  <c r="ET23" i="72" a="1"/>
  <c r="ET23" i="72" s="1"/>
  <c r="EP23" i="72" a="1"/>
  <c r="EP23" i="72" s="1"/>
  <c r="EQ23" i="72" a="1"/>
  <c r="EQ23" i="72" s="1"/>
  <c r="EM23" i="72" a="1"/>
  <c r="EM23" i="72" s="1"/>
  <c r="ER23" i="72" a="1"/>
  <c r="ER23" i="72" s="1"/>
  <c r="ER32" i="72" a="1"/>
  <c r="ER32" i="72" s="1"/>
  <c r="EO32" i="72" a="1"/>
  <c r="EO32" i="72" s="1"/>
  <c r="ES32" i="72" a="1"/>
  <c r="ES32" i="72" s="1"/>
  <c r="EN32" i="72" a="1"/>
  <c r="EN32" i="72" s="1"/>
  <c r="DY32" i="72" a="1"/>
  <c r="DY32" i="72" s="1"/>
  <c r="EQ32" i="72" a="1"/>
  <c r="EQ32" i="72" s="1"/>
  <c r="EP32" i="72" a="1"/>
  <c r="EP32" i="72" s="1"/>
  <c r="EM32" i="72" a="1"/>
  <c r="EM32" i="72" s="1"/>
  <c r="ET32" i="72" a="1"/>
  <c r="ET32" i="72" s="1"/>
  <c r="ET29" i="72" a="1"/>
  <c r="ET29" i="72" s="1"/>
  <c r="ES29" i="72" a="1"/>
  <c r="ES29" i="72" s="1"/>
  <c r="ER29" i="72" a="1"/>
  <c r="ER29" i="72" s="1"/>
  <c r="EN29" i="72" a="1"/>
  <c r="EN29" i="72" s="1"/>
  <c r="EM29" i="72" a="1"/>
  <c r="EM29" i="72" s="1"/>
  <c r="DY29" i="72" a="1"/>
  <c r="DY29" i="72" s="1"/>
  <c r="EP29" i="72" a="1"/>
  <c r="EP29" i="72" s="1"/>
  <c r="EO29" i="72" a="1"/>
  <c r="EO29" i="72" s="1"/>
  <c r="EQ29" i="72" a="1"/>
  <c r="EQ29" i="72" s="1"/>
  <c r="FM18" i="72" a="1"/>
  <c r="FM18" i="72" s="1"/>
  <c r="EV18" i="72" a="1"/>
  <c r="EV18" i="72" s="1"/>
  <c r="FK18" i="72" a="1"/>
  <c r="FK18" i="72" s="1"/>
  <c r="FO18" i="72" a="1"/>
  <c r="FO18" i="72" s="1"/>
  <c r="FN18" i="72" a="1"/>
  <c r="FN18" i="72" s="1"/>
  <c r="FL18" i="72" a="1"/>
  <c r="FL18" i="72" s="1"/>
  <c r="FJ18" i="72" a="1"/>
  <c r="FJ18" i="72" s="1"/>
  <c r="FQ18" i="72" a="1"/>
  <c r="FQ18" i="72" s="1"/>
  <c r="FP18" i="72" a="1"/>
  <c r="FP18" i="72" s="1"/>
  <c r="FQ15" i="72" a="1"/>
  <c r="FQ15" i="72" s="1"/>
  <c r="FL15" i="72" a="1"/>
  <c r="FL15" i="72" s="1"/>
  <c r="FJ15" i="72" a="1"/>
  <c r="FJ15" i="72" s="1"/>
  <c r="FP15" i="72" a="1"/>
  <c r="FP15" i="72" s="1"/>
  <c r="FO15" i="72" a="1"/>
  <c r="FO15" i="72" s="1"/>
  <c r="EV15" i="72" a="1"/>
  <c r="EV15" i="72" s="1"/>
  <c r="FM15" i="72" a="1"/>
  <c r="FM15" i="72" s="1"/>
  <c r="FK15" i="72" a="1"/>
  <c r="FK15" i="72" s="1"/>
  <c r="FN15" i="72" a="1"/>
  <c r="FN15" i="72" s="1"/>
  <c r="FQ28" i="72" a="1"/>
  <c r="FQ28" i="72" s="1"/>
  <c r="EV28" i="72" a="1"/>
  <c r="EV28" i="72" s="1"/>
  <c r="FO28" i="72" a="1"/>
  <c r="FO28" i="72" s="1"/>
  <c r="FM28" i="72" a="1"/>
  <c r="FM28" i="72" s="1"/>
  <c r="FP28" i="72" a="1"/>
  <c r="FP28" i="72" s="1"/>
  <c r="FL28" i="72" a="1"/>
  <c r="FL28" i="72" s="1"/>
  <c r="FJ28" i="72" a="1"/>
  <c r="FJ28" i="72" s="1"/>
  <c r="FK28" i="72" a="1"/>
  <c r="FK28" i="72" s="1"/>
  <c r="FN28" i="72" a="1"/>
  <c r="FN28" i="72" s="1"/>
  <c r="QD15" i="72" a="1"/>
  <c r="QD15" i="72" s="1"/>
  <c r="QG15" i="72" a="1"/>
  <c r="QG15" i="72" s="1"/>
  <c r="QA15" i="72" a="1"/>
  <c r="QA15" i="72" s="1"/>
  <c r="PZ15" i="72" a="1"/>
  <c r="PZ15" i="72" s="1"/>
  <c r="QC15" i="72" a="1"/>
  <c r="QC15" i="72" s="1"/>
  <c r="QF15" i="72" a="1"/>
  <c r="QF15" i="72" s="1"/>
  <c r="QB15" i="72" a="1"/>
  <c r="QB15" i="72" s="1"/>
  <c r="PL15" i="72" a="1"/>
  <c r="PL15" i="72" s="1"/>
  <c r="QE15" i="72" a="1"/>
  <c r="QE15" i="72" s="1"/>
  <c r="PL25" i="72" a="1"/>
  <c r="PL25" i="72" s="1"/>
  <c r="QC25" i="72" a="1"/>
  <c r="QC25" i="72" s="1"/>
  <c r="QE25" i="72" a="1"/>
  <c r="QE25" i="72" s="1"/>
  <c r="QD25" i="72" a="1"/>
  <c r="QD25" i="72" s="1"/>
  <c r="QB25" i="72" a="1"/>
  <c r="QB25" i="72" s="1"/>
  <c r="QF25" i="72" a="1"/>
  <c r="QF25" i="72" s="1"/>
  <c r="PZ25" i="72" a="1"/>
  <c r="PZ25" i="72" s="1"/>
  <c r="QA25" i="72" a="1"/>
  <c r="QA25" i="72" s="1"/>
  <c r="QG25" i="72" a="1"/>
  <c r="QG25" i="72" s="1"/>
  <c r="CZ22" i="72" a="1"/>
  <c r="CZ22" i="72" s="1"/>
  <c r="CU22" i="72" a="1"/>
  <c r="CU22" i="72" s="1"/>
  <c r="CS22" i="72" a="1"/>
  <c r="CS22" i="72" s="1"/>
  <c r="CX22" i="72" a="1"/>
  <c r="CX22" i="72" s="1"/>
  <c r="CT22" i="72" a="1"/>
  <c r="CT22" i="72" s="1"/>
  <c r="CV22" i="72" a="1"/>
  <c r="CV22" i="72" s="1"/>
  <c r="CY22" i="72" a="1"/>
  <c r="CY22" i="72" s="1"/>
  <c r="CW22" i="72" a="1"/>
  <c r="CW22" i="72" s="1"/>
  <c r="CE22" i="72" a="1"/>
  <c r="CE22" i="72" s="1"/>
  <c r="CZ18" i="72" a="1"/>
  <c r="CZ18" i="72" s="1"/>
  <c r="CE18" i="72" a="1"/>
  <c r="CE18" i="72" s="1"/>
  <c r="CY18" i="72" a="1"/>
  <c r="CY18" i="72" s="1"/>
  <c r="CS18" i="72" a="1"/>
  <c r="CS18" i="72" s="1"/>
  <c r="CT18" i="72" a="1"/>
  <c r="CT18" i="72" s="1"/>
  <c r="CU18" i="72" a="1"/>
  <c r="CU18" i="72" s="1"/>
  <c r="CW18" i="72" a="1"/>
  <c r="CW18" i="72" s="1"/>
  <c r="CV18" i="72" a="1"/>
  <c r="CV18" i="72" s="1"/>
  <c r="CX18" i="72" a="1"/>
  <c r="CX18" i="72" s="1"/>
  <c r="CT31" i="72" a="1"/>
  <c r="CT31" i="72" s="1"/>
  <c r="CS31" i="72" a="1"/>
  <c r="CS31" i="72" s="1"/>
  <c r="CY31" i="72" a="1"/>
  <c r="CY31" i="72" s="1"/>
  <c r="CW31" i="72" a="1"/>
  <c r="CW31" i="72" s="1"/>
  <c r="CU31" i="72" a="1"/>
  <c r="CU31" i="72" s="1"/>
  <c r="CX31" i="72" a="1"/>
  <c r="CX31" i="72" s="1"/>
  <c r="CE31" i="72" a="1"/>
  <c r="CE31" i="72" s="1"/>
  <c r="CV31" i="72" a="1"/>
  <c r="CV31" i="72" s="1"/>
  <c r="CZ31" i="72" a="1"/>
  <c r="CZ31" i="72" s="1"/>
  <c r="OK23" i="72" a="1"/>
  <c r="OK23" i="72" s="1"/>
  <c r="OG23" i="72" a="1"/>
  <c r="OG23" i="72" s="1"/>
  <c r="OF23" i="72" a="1"/>
  <c r="OF23" i="72" s="1"/>
  <c r="OM23" i="72" a="1"/>
  <c r="OM23" i="72" s="1"/>
  <c r="OJ23" i="72" a="1"/>
  <c r="OJ23" i="72" s="1"/>
  <c r="OL23" i="72" a="1"/>
  <c r="OL23" i="72" s="1"/>
  <c r="OH23" i="72" a="1"/>
  <c r="OH23" i="72" s="1"/>
  <c r="OI23" i="72" a="1"/>
  <c r="OI23" i="72" s="1"/>
  <c r="NR23" i="72" a="1"/>
  <c r="NR23" i="72" s="1"/>
  <c r="OG29" i="72" a="1"/>
  <c r="OG29" i="72" s="1"/>
  <c r="OL29" i="72" a="1"/>
  <c r="OL29" i="72" s="1"/>
  <c r="NR29" i="72" a="1"/>
  <c r="NR29" i="72" s="1"/>
  <c r="OI29" i="72" a="1"/>
  <c r="OI29" i="72" s="1"/>
  <c r="OK29" i="72" a="1"/>
  <c r="OK29" i="72" s="1"/>
  <c r="OJ29" i="72" a="1"/>
  <c r="OJ29" i="72" s="1"/>
  <c r="OF29" i="72" a="1"/>
  <c r="OF29" i="72" s="1"/>
  <c r="OM29" i="72" a="1"/>
  <c r="OM29" i="72" s="1"/>
  <c r="OH29" i="72" a="1"/>
  <c r="OH29" i="72" s="1"/>
  <c r="QI16" i="72" a="1"/>
  <c r="QI16" i="72" s="1"/>
  <c r="RA16" i="72" a="1"/>
  <c r="RA16" i="72" s="1"/>
  <c r="QZ16" i="72" a="1"/>
  <c r="QZ16" i="72" s="1"/>
  <c r="RC16" i="72" a="1"/>
  <c r="RC16" i="72" s="1"/>
  <c r="QY16" i="72" a="1"/>
  <c r="QY16" i="72" s="1"/>
  <c r="QX16" i="72" a="1"/>
  <c r="QX16" i="72" s="1"/>
  <c r="RD16" i="72" a="1"/>
  <c r="RD16" i="72" s="1"/>
  <c r="RB16" i="72" a="1"/>
  <c r="RB16" i="72" s="1"/>
  <c r="QW16" i="72" a="1"/>
  <c r="QW16" i="72" s="1"/>
  <c r="RB21" i="72" a="1"/>
  <c r="RB21" i="72" s="1"/>
  <c r="RA21" i="72" a="1"/>
  <c r="RA21" i="72" s="1"/>
  <c r="QY21" i="72" a="1"/>
  <c r="QY21" i="72" s="1"/>
  <c r="RD21" i="72" a="1"/>
  <c r="RD21" i="72" s="1"/>
  <c r="QZ21" i="72" a="1"/>
  <c r="QZ21" i="72" s="1"/>
  <c r="RC21" i="72" a="1"/>
  <c r="RC21" i="72" s="1"/>
  <c r="QW21" i="72" a="1"/>
  <c r="QW21" i="72" s="1"/>
  <c r="QX21" i="72" a="1"/>
  <c r="QX21" i="72" s="1"/>
  <c r="QI21" i="72" a="1"/>
  <c r="QI21" i="72" s="1"/>
  <c r="QY15" i="72" a="1"/>
  <c r="QY15" i="72" s="1"/>
  <c r="RD15" i="72" a="1"/>
  <c r="RD15" i="72" s="1"/>
  <c r="RA15" i="72" a="1"/>
  <c r="RA15" i="72" s="1"/>
  <c r="QX15" i="72" a="1"/>
  <c r="QX15" i="72" s="1"/>
  <c r="RB15" i="72" a="1"/>
  <c r="RB15" i="72" s="1"/>
  <c r="QW15" i="72" a="1"/>
  <c r="QW15" i="72" s="1"/>
  <c r="QZ15" i="72" a="1"/>
  <c r="QZ15" i="72" s="1"/>
  <c r="QI15" i="72" a="1"/>
  <c r="QI15" i="72" s="1"/>
  <c r="RC15" i="72" a="1"/>
  <c r="RC15" i="72" s="1"/>
  <c r="IX31" i="72" a="1"/>
  <c r="IX31" i="72" s="1"/>
  <c r="JD31" i="72" a="1"/>
  <c r="JD31" i="72" s="1"/>
  <c r="JC31" i="72" a="1"/>
  <c r="JC31" i="72" s="1"/>
  <c r="IZ31" i="72" a="1"/>
  <c r="IZ31" i="72" s="1"/>
  <c r="JE31" i="72" a="1"/>
  <c r="JE31" i="72" s="1"/>
  <c r="JA31" i="72" a="1"/>
  <c r="JA31" i="72" s="1"/>
  <c r="IJ31" i="72" a="1"/>
  <c r="IJ31" i="72" s="1"/>
  <c r="IY31" i="72" a="1"/>
  <c r="IY31" i="72" s="1"/>
  <c r="JB31" i="72" a="1"/>
  <c r="JB31" i="72" s="1"/>
  <c r="JA29" i="72" a="1"/>
  <c r="JA29" i="72" s="1"/>
  <c r="IY29" i="72" a="1"/>
  <c r="IY29" i="72" s="1"/>
  <c r="IZ29" i="72" a="1"/>
  <c r="IZ29" i="72" s="1"/>
  <c r="IX29" i="72" a="1"/>
  <c r="IX29" i="72" s="1"/>
  <c r="JB29" i="72" a="1"/>
  <c r="JB29" i="72" s="1"/>
  <c r="IJ29" i="72" a="1"/>
  <c r="IJ29" i="72" s="1"/>
  <c r="JD29" i="72" a="1"/>
  <c r="JD29" i="72" s="1"/>
  <c r="JC29" i="72" a="1"/>
  <c r="JC29" i="72" s="1"/>
  <c r="JE29" i="72" a="1"/>
  <c r="JE29" i="72" s="1"/>
  <c r="IJ24" i="72" a="1"/>
  <c r="IJ24" i="72" s="1"/>
  <c r="JA24" i="72" a="1"/>
  <c r="JA24" i="72" s="1"/>
  <c r="JD24" i="72" a="1"/>
  <c r="JD24" i="72" s="1"/>
  <c r="IX24" i="72" a="1"/>
  <c r="IX24" i="72" s="1"/>
  <c r="JB24" i="72" a="1"/>
  <c r="JB24" i="72" s="1"/>
  <c r="IZ24" i="72" a="1"/>
  <c r="IZ24" i="72" s="1"/>
  <c r="JC24" i="72" a="1"/>
  <c r="JC24" i="72" s="1"/>
  <c r="IY24" i="72" a="1"/>
  <c r="IY24" i="72" s="1"/>
  <c r="JE24" i="72" a="1"/>
  <c r="JE24" i="72" s="1"/>
  <c r="PJ18" i="72" a="1"/>
  <c r="PJ18" i="72" s="1"/>
  <c r="OO18" i="72" a="1"/>
  <c r="OO18" i="72" s="1"/>
  <c r="PH18" i="72" a="1"/>
  <c r="PH18" i="72" s="1"/>
  <c r="PD18" i="72" a="1"/>
  <c r="PD18" i="72" s="1"/>
  <c r="PI18" i="72" a="1"/>
  <c r="PI18" i="72" s="1"/>
  <c r="PE18" i="72" a="1"/>
  <c r="PE18" i="72" s="1"/>
  <c r="PG18" i="72" a="1"/>
  <c r="PG18" i="72" s="1"/>
  <c r="PC18" i="72" a="1"/>
  <c r="PC18" i="72" s="1"/>
  <c r="PF18" i="72" a="1"/>
  <c r="PF18" i="72" s="1"/>
  <c r="PE14" i="72" a="1"/>
  <c r="PE14" i="72" s="1"/>
  <c r="PJ14" i="72" a="1"/>
  <c r="PJ14" i="72" s="1"/>
  <c r="PC14" i="72" a="1"/>
  <c r="PC14" i="72" s="1"/>
  <c r="PI14" i="72" a="1"/>
  <c r="PI14" i="72" s="1"/>
  <c r="PF14" i="72" a="1"/>
  <c r="PF14" i="72" s="1"/>
  <c r="OO14" i="72" a="1"/>
  <c r="OO14" i="72" s="1"/>
  <c r="PH14" i="72" a="1"/>
  <c r="PH14" i="72" s="1"/>
  <c r="PG14" i="72" a="1"/>
  <c r="PG14" i="72" s="1"/>
  <c r="PD14" i="72" a="1"/>
  <c r="PD14" i="72" s="1"/>
  <c r="KD29" i="72" a="1"/>
  <c r="KD29" i="72" s="1"/>
  <c r="KV29" i="72" a="1"/>
  <c r="KV29" i="72" s="1"/>
  <c r="KS29" i="72" a="1"/>
  <c r="KS29" i="72" s="1"/>
  <c r="KR29" i="72" a="1"/>
  <c r="KR29" i="72" s="1"/>
  <c r="KX29" i="72" a="1"/>
  <c r="KX29" i="72" s="1"/>
  <c r="KW29" i="72" a="1"/>
  <c r="KW29" i="72" s="1"/>
  <c r="KT29" i="72" a="1"/>
  <c r="KT29" i="72" s="1"/>
  <c r="KU29" i="72" a="1"/>
  <c r="KU29" i="72" s="1"/>
  <c r="KY29" i="72" a="1"/>
  <c r="KY29" i="72" s="1"/>
  <c r="LT28" i="72" a="1"/>
  <c r="LT28" i="72" s="1"/>
  <c r="LQ28" i="72" a="1"/>
  <c r="LQ28" i="72" s="1"/>
  <c r="LR28" i="72" a="1"/>
  <c r="LR28" i="72" s="1"/>
  <c r="LS28" i="72" a="1"/>
  <c r="LS28" i="72" s="1"/>
  <c r="LU28" i="72" a="1"/>
  <c r="LU28" i="72" s="1"/>
  <c r="LA28" i="72" a="1"/>
  <c r="LA28" i="72" s="1"/>
  <c r="LO28" i="72" a="1"/>
  <c r="LO28" i="72" s="1"/>
  <c r="LV28" i="72" a="1"/>
  <c r="LV28" i="72" s="1"/>
  <c r="LP28" i="72" a="1"/>
  <c r="LP28" i="72" s="1"/>
  <c r="LV16" i="72" a="1"/>
  <c r="LV16" i="72" s="1"/>
  <c r="LU16" i="72" a="1"/>
  <c r="LU16" i="72" s="1"/>
  <c r="LQ16" i="72" a="1"/>
  <c r="LQ16" i="72" s="1"/>
  <c r="LO16" i="72" a="1"/>
  <c r="LO16" i="72" s="1"/>
  <c r="LA16" i="72" a="1"/>
  <c r="LA16" i="72" s="1"/>
  <c r="LP16" i="72" a="1"/>
  <c r="LP16" i="72" s="1"/>
  <c r="LR16" i="72" a="1"/>
  <c r="LR16" i="72" s="1"/>
  <c r="LS16" i="72" a="1"/>
  <c r="LS16" i="72" s="1"/>
  <c r="LT16" i="72" a="1"/>
  <c r="LT16" i="72" s="1"/>
  <c r="LV23" i="72" a="1"/>
  <c r="LV23" i="72" s="1"/>
  <c r="LA23" i="72" a="1"/>
  <c r="LA23" i="72" s="1"/>
  <c r="LQ23" i="72" a="1"/>
  <c r="LQ23" i="72" s="1"/>
  <c r="LR23" i="72" a="1"/>
  <c r="LR23" i="72" s="1"/>
  <c r="LU23" i="72" a="1"/>
  <c r="LU23" i="72" s="1"/>
  <c r="LP23" i="72" a="1"/>
  <c r="LP23" i="72" s="1"/>
  <c r="LO23" i="72" a="1"/>
  <c r="LO23" i="72" s="1"/>
  <c r="LS23" i="72" a="1"/>
  <c r="LS23" i="72" s="1"/>
  <c r="LT23" i="72" a="1"/>
  <c r="LT23" i="72" s="1"/>
  <c r="KT31" i="72" a="1"/>
  <c r="KT31" i="72" s="1"/>
  <c r="KX31" i="72" a="1"/>
  <c r="KX31" i="72" s="1"/>
  <c r="KY31" i="72" a="1"/>
  <c r="KY31" i="72" s="1"/>
  <c r="KV31" i="72" a="1"/>
  <c r="KV31" i="72" s="1"/>
  <c r="KU31" i="72" a="1"/>
  <c r="KU31" i="72" s="1"/>
  <c r="KS31" i="72" a="1"/>
  <c r="KS31" i="72" s="1"/>
  <c r="KD31" i="72" a="1"/>
  <c r="KD31" i="72" s="1"/>
  <c r="KR31" i="72" a="1"/>
  <c r="KR31" i="72" s="1"/>
  <c r="KW31" i="72" a="1"/>
  <c r="KW31" i="72" s="1"/>
  <c r="KW15" i="72" a="1"/>
  <c r="KW15" i="72" s="1"/>
  <c r="KD15" i="72" a="1"/>
  <c r="KD15" i="72" s="1"/>
  <c r="KX15" i="72" a="1"/>
  <c r="KX15" i="72" s="1"/>
  <c r="KT15" i="72" a="1"/>
  <c r="KT15" i="72" s="1"/>
  <c r="KR15" i="72" a="1"/>
  <c r="KR15" i="72" s="1"/>
  <c r="KV15" i="72" a="1"/>
  <c r="KV15" i="72" s="1"/>
  <c r="KS15" i="72" a="1"/>
  <c r="KS15" i="72" s="1"/>
  <c r="KU15" i="72" a="1"/>
  <c r="KU15" i="72" s="1"/>
  <c r="KY15" i="72" a="1"/>
  <c r="KY15" i="72" s="1"/>
  <c r="KX34" i="72" a="1"/>
  <c r="KX34" i="72" s="1"/>
  <c r="KS34" i="72" a="1"/>
  <c r="KS34" i="72" s="1"/>
  <c r="KW34" i="72" a="1"/>
  <c r="KW34" i="72" s="1"/>
  <c r="KU34" i="72" a="1"/>
  <c r="KU34" i="72" s="1"/>
  <c r="KR34" i="72" a="1"/>
  <c r="KR34" i="72" s="1"/>
  <c r="KY34" i="72" a="1"/>
  <c r="KY34" i="72" s="1"/>
  <c r="KV34" i="72" a="1"/>
  <c r="KV34" i="72" s="1"/>
  <c r="KD34" i="72" a="1"/>
  <c r="KD34" i="72" s="1"/>
  <c r="KT34" i="72" a="1"/>
  <c r="KT34" i="72" s="1"/>
  <c r="IF28" i="72" a="1"/>
  <c r="IF28" i="72" s="1"/>
  <c r="ID28" i="72" a="1"/>
  <c r="ID28" i="72" s="1"/>
  <c r="IC28" i="72" a="1"/>
  <c r="IC28" i="72" s="1"/>
  <c r="IA28" i="72" a="1"/>
  <c r="IA28" i="72" s="1"/>
  <c r="IE28" i="72" a="1"/>
  <c r="IE28" i="72" s="1"/>
  <c r="IB28" i="72" a="1"/>
  <c r="IB28" i="72" s="1"/>
  <c r="IH28" i="72" a="1"/>
  <c r="IH28" i="72" s="1"/>
  <c r="IG28" i="72" a="1"/>
  <c r="IG28" i="72" s="1"/>
  <c r="HM28" i="72" a="1"/>
  <c r="HM28" i="72" s="1"/>
  <c r="IC16" i="72" a="1"/>
  <c r="IC16" i="72" s="1"/>
  <c r="IG16" i="72" a="1"/>
  <c r="IG16" i="72" s="1"/>
  <c r="IA16" i="72" a="1"/>
  <c r="IA16" i="72" s="1"/>
  <c r="IB16" i="72" a="1"/>
  <c r="IB16" i="72" s="1"/>
  <c r="HM16" i="72" a="1"/>
  <c r="HM16" i="72" s="1"/>
  <c r="IF16" i="72" a="1"/>
  <c r="IF16" i="72" s="1"/>
  <c r="IE16" i="72" a="1"/>
  <c r="IE16" i="72" s="1"/>
  <c r="ID16" i="72" a="1"/>
  <c r="ID16" i="72" s="1"/>
  <c r="IH16" i="72" a="1"/>
  <c r="IH16" i="72" s="1"/>
  <c r="HM29" i="72" a="1"/>
  <c r="HM29" i="72" s="1"/>
  <c r="IG29" i="72" a="1"/>
  <c r="IG29" i="72" s="1"/>
  <c r="IC29" i="72" a="1"/>
  <c r="IC29" i="72" s="1"/>
  <c r="IA29" i="72" a="1"/>
  <c r="IA29" i="72" s="1"/>
  <c r="ID29" i="72" a="1"/>
  <c r="ID29" i="72" s="1"/>
  <c r="IB29" i="72" a="1"/>
  <c r="IB29" i="72" s="1"/>
  <c r="IF29" i="72" a="1"/>
  <c r="IF29" i="72" s="1"/>
  <c r="IE29" i="72" a="1"/>
  <c r="IE29" i="72" s="1"/>
  <c r="IH29" i="72" a="1"/>
  <c r="IH29" i="72" s="1"/>
  <c r="SX34" i="72" a="1"/>
  <c r="SX34" i="72" s="1"/>
  <c r="SC34" i="72" a="1"/>
  <c r="SC34" i="72" s="1"/>
  <c r="SQ34" i="72" a="1"/>
  <c r="SQ34" i="72" s="1"/>
  <c r="ST34" i="72" a="1"/>
  <c r="ST34" i="72" s="1"/>
  <c r="SU34" i="72" a="1"/>
  <c r="SU34" i="72" s="1"/>
  <c r="SR34" i="72" a="1"/>
  <c r="SR34" i="72" s="1"/>
  <c r="SV34" i="72" a="1"/>
  <c r="SV34" i="72" s="1"/>
  <c r="SS34" i="72" a="1"/>
  <c r="SS34" i="72" s="1"/>
  <c r="SW34" i="72" a="1"/>
  <c r="SW34" i="72" s="1"/>
  <c r="SX30" i="72" a="1"/>
  <c r="SX30" i="72" s="1"/>
  <c r="SU30" i="72" a="1"/>
  <c r="SU30" i="72" s="1"/>
  <c r="SR30" i="72" a="1"/>
  <c r="SR30" i="72" s="1"/>
  <c r="SQ30" i="72" a="1"/>
  <c r="SQ30" i="72" s="1"/>
  <c r="SS30" i="72" a="1"/>
  <c r="SS30" i="72" s="1"/>
  <c r="ST30" i="72" a="1"/>
  <c r="ST30" i="72" s="1"/>
  <c r="SC30" i="72" a="1"/>
  <c r="SC30" i="72" s="1"/>
  <c r="SV30" i="72" a="1"/>
  <c r="SV30" i="72" s="1"/>
  <c r="SW30" i="72" a="1"/>
  <c r="SW30" i="72" s="1"/>
  <c r="RU20" i="72" a="1"/>
  <c r="RU20" i="72" s="1"/>
  <c r="RT20" i="72" a="1"/>
  <c r="RT20" i="72" s="1"/>
  <c r="RV20" i="72" a="1"/>
  <c r="RV20" i="72" s="1"/>
  <c r="RY20" i="72" a="1"/>
  <c r="RY20" i="72" s="1"/>
  <c r="SA20" i="72" a="1"/>
  <c r="SA20" i="72" s="1"/>
  <c r="RX20" i="72" a="1"/>
  <c r="RX20" i="72" s="1"/>
  <c r="RZ20" i="72" a="1"/>
  <c r="RZ20" i="72" s="1"/>
  <c r="RF20" i="72" a="1"/>
  <c r="RF20" i="72" s="1"/>
  <c r="RW20" i="72" a="1"/>
  <c r="RW20" i="72" s="1"/>
  <c r="RF27" i="72" a="1"/>
  <c r="RF27" i="72" s="1"/>
  <c r="RV27" i="72" a="1"/>
  <c r="RV27" i="72" s="1"/>
  <c r="RT27" i="72" a="1"/>
  <c r="RT27" i="72" s="1"/>
  <c r="RY27" i="72" a="1"/>
  <c r="RY27" i="72" s="1"/>
  <c r="RU27" i="72" a="1"/>
  <c r="RU27" i="72" s="1"/>
  <c r="RZ27" i="72" a="1"/>
  <c r="RZ27" i="72" s="1"/>
  <c r="RW27" i="72" a="1"/>
  <c r="RW27" i="72" s="1"/>
  <c r="RX27" i="72" a="1"/>
  <c r="RX27" i="72" s="1"/>
  <c r="SA27" i="72" a="1"/>
  <c r="SA27" i="72" s="1"/>
  <c r="RT14" i="72" a="1"/>
  <c r="RT14" i="72" s="1"/>
  <c r="RW14" i="72" a="1"/>
  <c r="RW14" i="72" s="1"/>
  <c r="RX14" i="72" a="1"/>
  <c r="RX14" i="72" s="1"/>
  <c r="RU14" i="72" a="1"/>
  <c r="RU14" i="72" s="1"/>
  <c r="RY14" i="72" a="1"/>
  <c r="RY14" i="72" s="1"/>
  <c r="RZ14" i="72" a="1"/>
  <c r="RZ14" i="72" s="1"/>
  <c r="RF14" i="72" a="1"/>
  <c r="RF14" i="72" s="1"/>
  <c r="RV14" i="72" a="1"/>
  <c r="RV14" i="72" s="1"/>
  <c r="SA14" i="72" a="1"/>
  <c r="SA14" i="72" s="1"/>
  <c r="HD33" i="72" a="1"/>
  <c r="HD33" i="72" s="1"/>
  <c r="HI33" i="72" a="1"/>
  <c r="HI33" i="72" s="1"/>
  <c r="HJ33" i="72" a="1"/>
  <c r="HJ33" i="72" s="1"/>
  <c r="GP33" i="72" a="1"/>
  <c r="GP33" i="72" s="1"/>
  <c r="HE33" i="72" a="1"/>
  <c r="HE33" i="72" s="1"/>
  <c r="HH33" i="72" a="1"/>
  <c r="HH33" i="72" s="1"/>
  <c r="HG33" i="72" a="1"/>
  <c r="HG33" i="72" s="1"/>
  <c r="HF33" i="72" a="1"/>
  <c r="HF33" i="72" s="1"/>
  <c r="HK33" i="72" a="1"/>
  <c r="HK33" i="72" s="1"/>
  <c r="HE21" i="72" a="1"/>
  <c r="HE21" i="72" s="1"/>
  <c r="HD21" i="72" a="1"/>
  <c r="HD21" i="72" s="1"/>
  <c r="HI21" i="72" a="1"/>
  <c r="HI21" i="72" s="1"/>
  <c r="HF21" i="72" a="1"/>
  <c r="HF21" i="72" s="1"/>
  <c r="HG21" i="72" a="1"/>
  <c r="HG21" i="72" s="1"/>
  <c r="HK21" i="72" a="1"/>
  <c r="HK21" i="72" s="1"/>
  <c r="GP21" i="72" a="1"/>
  <c r="GP21" i="72" s="1"/>
  <c r="HJ21" i="72" a="1"/>
  <c r="HJ21" i="72" s="1"/>
  <c r="HH21" i="72" a="1"/>
  <c r="HH21" i="72" s="1"/>
  <c r="DQ28" i="72" a="1"/>
  <c r="DQ28" i="72" s="1"/>
  <c r="DV28" i="72" a="1"/>
  <c r="DV28" i="72" s="1"/>
  <c r="DR28" i="72" a="1"/>
  <c r="DR28" i="72" s="1"/>
  <c r="DB28" i="72" a="1"/>
  <c r="DB28" i="72" s="1"/>
  <c r="DT28" i="72" a="1"/>
  <c r="DT28" i="72" s="1"/>
  <c r="DP28" i="72" a="1"/>
  <c r="DP28" i="72" s="1"/>
  <c r="DS28" i="72" a="1"/>
  <c r="DS28" i="72" s="1"/>
  <c r="DU28" i="72" a="1"/>
  <c r="DU28" i="72" s="1"/>
  <c r="DW28" i="72" a="1"/>
  <c r="DW28" i="72" s="1"/>
  <c r="DR23" i="72" a="1"/>
  <c r="DR23" i="72" s="1"/>
  <c r="DQ23" i="72" a="1"/>
  <c r="DQ23" i="72" s="1"/>
  <c r="DV23" i="72" a="1"/>
  <c r="DV23" i="72" s="1"/>
  <c r="DT23" i="72" a="1"/>
  <c r="DT23" i="72" s="1"/>
  <c r="DS23" i="72" a="1"/>
  <c r="DS23" i="72" s="1"/>
  <c r="DU23" i="72" a="1"/>
  <c r="DU23" i="72" s="1"/>
  <c r="DB23" i="72" a="1"/>
  <c r="DB23" i="72" s="1"/>
  <c r="DP23" i="72" a="1"/>
  <c r="DP23" i="72" s="1"/>
  <c r="DW23" i="72" a="1"/>
  <c r="DW23" i="72" s="1"/>
  <c r="DQ26" i="72" a="1"/>
  <c r="DQ26" i="72" s="1"/>
  <c r="DU26" i="72" a="1"/>
  <c r="DU26" i="72" s="1"/>
  <c r="DS26" i="72" a="1"/>
  <c r="DS26" i="72" s="1"/>
  <c r="DW26" i="72" a="1"/>
  <c r="DW26" i="72" s="1"/>
  <c r="DV26" i="72" a="1"/>
  <c r="DV26" i="72" s="1"/>
  <c r="DR26" i="72" a="1"/>
  <c r="DR26" i="72" s="1"/>
  <c r="DT26" i="72" a="1"/>
  <c r="DT26" i="72" s="1"/>
  <c r="DB26" i="72" a="1"/>
  <c r="DB26" i="72" s="1"/>
  <c r="DP26" i="72" a="1"/>
  <c r="DP26" i="72" s="1"/>
  <c r="MP33" i="72" a="1"/>
  <c r="MP33" i="72" s="1"/>
  <c r="MR33" i="72" a="1"/>
  <c r="MR33" i="72" s="1"/>
  <c r="MN33" i="72" a="1"/>
  <c r="MN33" i="72" s="1"/>
  <c r="MQ33" i="72" a="1"/>
  <c r="MQ33" i="72" s="1"/>
  <c r="MM33" i="72" a="1"/>
  <c r="MM33" i="72" s="1"/>
  <c r="LX33" i="72" a="1"/>
  <c r="LX33" i="72" s="1"/>
  <c r="MO33" i="72" a="1"/>
  <c r="MO33" i="72" s="1"/>
  <c r="ML33" i="72" a="1"/>
  <c r="ML33" i="72" s="1"/>
  <c r="MS33" i="72" a="1"/>
  <c r="MS33" i="72" s="1"/>
  <c r="LX30" i="72" a="1"/>
  <c r="LX30" i="72" s="1"/>
  <c r="MP30" i="72" a="1"/>
  <c r="MP30" i="72" s="1"/>
  <c r="MQ30" i="72" a="1"/>
  <c r="MQ30" i="72" s="1"/>
  <c r="MO30" i="72" a="1"/>
  <c r="MO30" i="72" s="1"/>
  <c r="MN30" i="72" a="1"/>
  <c r="MN30" i="72" s="1"/>
  <c r="ML30" i="72" a="1"/>
  <c r="ML30" i="72" s="1"/>
  <c r="MM30" i="72" a="1"/>
  <c r="MM30" i="72" s="1"/>
  <c r="MR30" i="72" a="1"/>
  <c r="MR30" i="72" s="1"/>
  <c r="MS30" i="72" a="1"/>
  <c r="MS30" i="72" s="1"/>
  <c r="MS20" i="72" a="1"/>
  <c r="MS20" i="72" s="1"/>
  <c r="MR20" i="72" a="1"/>
  <c r="MR20" i="72" s="1"/>
  <c r="MQ20" i="72" a="1"/>
  <c r="MQ20" i="72" s="1"/>
  <c r="MM20" i="72" a="1"/>
  <c r="MM20" i="72" s="1"/>
  <c r="MN20" i="72" a="1"/>
  <c r="MN20" i="72" s="1"/>
  <c r="LX20" i="72" a="1"/>
  <c r="LX20" i="72" s="1"/>
  <c r="MP20" i="72" a="1"/>
  <c r="MP20" i="72" s="1"/>
  <c r="ML20" i="72" a="1"/>
  <c r="ML20" i="72" s="1"/>
  <c r="MO20" i="72" a="1"/>
  <c r="MO20" i="72" s="1"/>
  <c r="KA30" i="72" a="1"/>
  <c r="KA30" i="72" s="1"/>
  <c r="KB30" i="72" a="1"/>
  <c r="KB30" i="72" s="1"/>
  <c r="JW30" i="72" a="1"/>
  <c r="JW30" i="72" s="1"/>
  <c r="JV30" i="72" a="1"/>
  <c r="JV30" i="72" s="1"/>
  <c r="JX30" i="72" a="1"/>
  <c r="JX30" i="72" s="1"/>
  <c r="JU30" i="72" a="1"/>
  <c r="JU30" i="72" s="1"/>
  <c r="JG30" i="72" a="1"/>
  <c r="JG30" i="72" s="1"/>
  <c r="JZ30" i="72" a="1"/>
  <c r="JZ30" i="72" s="1"/>
  <c r="JY30" i="72" a="1"/>
  <c r="JY30" i="72" s="1"/>
  <c r="JX22" i="72" a="1"/>
  <c r="JX22" i="72" s="1"/>
  <c r="KB22" i="72" a="1"/>
  <c r="KB22" i="72" s="1"/>
  <c r="JY22" i="72" a="1"/>
  <c r="JY22" i="72" s="1"/>
  <c r="JZ22" i="72" a="1"/>
  <c r="JZ22" i="72" s="1"/>
  <c r="JG22" i="72" a="1"/>
  <c r="JG22" i="72" s="1"/>
  <c r="KA22" i="72" a="1"/>
  <c r="KA22" i="72" s="1"/>
  <c r="JU22" i="72" a="1"/>
  <c r="JU22" i="72" s="1"/>
  <c r="JV22" i="72" a="1"/>
  <c r="JV22" i="72" s="1"/>
  <c r="JW22" i="72" a="1"/>
  <c r="JW22" i="72" s="1"/>
  <c r="GL24" i="72" a="1"/>
  <c r="GL24" i="72" s="1"/>
  <c r="GH24" i="72" a="1"/>
  <c r="GH24" i="72" s="1"/>
  <c r="GI24" i="72" a="1"/>
  <c r="GI24" i="72" s="1"/>
  <c r="FS24" i="72" a="1"/>
  <c r="FS24" i="72" s="1"/>
  <c r="GJ24" i="72" a="1"/>
  <c r="GJ24" i="72" s="1"/>
  <c r="GM24" i="72" a="1"/>
  <c r="GM24" i="72" s="1"/>
  <c r="GK24" i="72" a="1"/>
  <c r="GK24" i="72" s="1"/>
  <c r="GN24" i="72" a="1"/>
  <c r="GN24" i="72" s="1"/>
  <c r="GG24" i="72" a="1"/>
  <c r="GG24" i="72" s="1"/>
  <c r="GH33" i="72" a="1"/>
  <c r="GH33" i="72" s="1"/>
  <c r="GJ33" i="72" a="1"/>
  <c r="GJ33" i="72" s="1"/>
  <c r="GI33" i="72" a="1"/>
  <c r="GI33" i="72" s="1"/>
  <c r="GL33" i="72" a="1"/>
  <c r="GL33" i="72" s="1"/>
  <c r="GN33" i="72" a="1"/>
  <c r="GN33" i="72" s="1"/>
  <c r="GG33" i="72" a="1"/>
  <c r="GG33" i="72" s="1"/>
  <c r="FS33" i="72" a="1"/>
  <c r="FS33" i="72" s="1"/>
  <c r="GM33" i="72" a="1"/>
  <c r="GM33" i="72" s="1"/>
  <c r="GK33" i="72" a="1"/>
  <c r="GK33" i="72" s="1"/>
  <c r="GG27" i="72" a="1"/>
  <c r="GG27" i="72" s="1"/>
  <c r="GH27" i="72" a="1"/>
  <c r="GH27" i="72" s="1"/>
  <c r="GN27" i="72" a="1"/>
  <c r="GN27" i="72" s="1"/>
  <c r="GJ27" i="72" a="1"/>
  <c r="GJ27" i="72" s="1"/>
  <c r="FS27" i="72" a="1"/>
  <c r="FS27" i="72" s="1"/>
  <c r="GI27" i="72" a="1"/>
  <c r="GI27" i="72" s="1"/>
  <c r="GK27" i="72" a="1"/>
  <c r="GK27" i="72" s="1"/>
  <c r="GL27" i="72" a="1"/>
  <c r="GL27" i="72" s="1"/>
  <c r="GM27" i="72" a="1"/>
  <c r="GM27" i="72" s="1"/>
  <c r="CA17" i="72" a="1"/>
  <c r="CA17" i="72" s="1"/>
  <c r="BH17" i="72" a="1"/>
  <c r="BH17" i="72" s="1"/>
  <c r="BZ17" i="72" a="1"/>
  <c r="BZ17" i="72" s="1"/>
  <c r="CB17" i="72" a="1"/>
  <c r="CB17" i="72" s="1"/>
  <c r="BX17" i="72" a="1"/>
  <c r="BX17" i="72" s="1"/>
  <c r="BV17" i="72" a="1"/>
  <c r="BV17" i="72" s="1"/>
  <c r="BW17" i="72" a="1"/>
  <c r="BW17" i="72" s="1"/>
  <c r="BY17" i="72" a="1"/>
  <c r="BY17" i="72" s="1"/>
  <c r="CC17" i="72" a="1"/>
  <c r="CC17" i="72" s="1"/>
  <c r="CC26" i="72" a="1"/>
  <c r="CC26" i="72" s="1"/>
  <c r="BV26" i="72" a="1"/>
  <c r="BV26" i="72" s="1"/>
  <c r="CB26" i="72" a="1"/>
  <c r="CB26" i="72" s="1"/>
  <c r="BY26" i="72" a="1"/>
  <c r="BY26" i="72" s="1"/>
  <c r="BW26" i="72" a="1"/>
  <c r="BW26" i="72" s="1"/>
  <c r="CA26" i="72" a="1"/>
  <c r="CA26" i="72" s="1"/>
  <c r="BH26" i="72" a="1"/>
  <c r="BH26" i="72" s="1"/>
  <c r="BX26" i="72" a="1"/>
  <c r="BX26" i="72" s="1"/>
  <c r="BZ26" i="72" a="1"/>
  <c r="BZ26" i="72" s="1"/>
  <c r="CC32" i="72" a="1"/>
  <c r="CC32" i="72" s="1"/>
  <c r="BZ32" i="72" a="1"/>
  <c r="BZ32" i="72" s="1"/>
  <c r="BY32" i="72" a="1"/>
  <c r="BY32" i="72" s="1"/>
  <c r="BV32" i="72" a="1"/>
  <c r="BV32" i="72" s="1"/>
  <c r="CA32" i="72" a="1"/>
  <c r="CA32" i="72" s="1"/>
  <c r="BW32" i="72" a="1"/>
  <c r="BW32" i="72" s="1"/>
  <c r="BX32" i="72" a="1"/>
  <c r="BX32" i="72" s="1"/>
  <c r="BH32" i="72" a="1"/>
  <c r="BH32" i="72" s="1"/>
  <c r="CB32" i="72" a="1"/>
  <c r="CB32" i="72" s="1"/>
  <c r="NJ32" i="72" a="1"/>
  <c r="NJ32" i="72" s="1"/>
  <c r="NI32" i="72" a="1"/>
  <c r="NI32" i="72" s="1"/>
  <c r="NK32" i="72" a="1"/>
  <c r="NK32" i="72" s="1"/>
  <c r="NN32" i="72" a="1"/>
  <c r="NN32" i="72" s="1"/>
  <c r="NM32" i="72" a="1"/>
  <c r="NM32" i="72" s="1"/>
  <c r="MU32" i="72" a="1"/>
  <c r="MU32" i="72" s="1"/>
  <c r="NO32" i="72" a="1"/>
  <c r="NO32" i="72" s="1"/>
  <c r="NL32" i="72" a="1"/>
  <c r="NL32" i="72" s="1"/>
  <c r="NP32" i="72" a="1"/>
  <c r="NP32" i="72" s="1"/>
  <c r="NO34" i="72" a="1"/>
  <c r="NO34" i="72" s="1"/>
  <c r="NP34" i="72" a="1"/>
  <c r="NP34" i="72" s="1"/>
  <c r="NJ34" i="72" a="1"/>
  <c r="NJ34" i="72" s="1"/>
  <c r="NK34" i="72" a="1"/>
  <c r="NK34" i="72" s="1"/>
  <c r="MU34" i="72" a="1"/>
  <c r="MU34" i="72" s="1"/>
  <c r="NM34" i="72" a="1"/>
  <c r="NM34" i="72" s="1"/>
  <c r="NL34" i="72" a="1"/>
  <c r="NL34" i="72" s="1"/>
  <c r="NI34" i="72" a="1"/>
  <c r="NI34" i="72" s="1"/>
  <c r="NN34" i="72" a="1"/>
  <c r="NN34" i="72" s="1"/>
  <c r="ET24" i="72" a="1"/>
  <c r="ET24" i="72" s="1"/>
  <c r="EN24" i="72" a="1"/>
  <c r="EN24" i="72" s="1"/>
  <c r="EQ24" i="72" a="1"/>
  <c r="EQ24" i="72" s="1"/>
  <c r="EM24" i="72" a="1"/>
  <c r="EM24" i="72" s="1"/>
  <c r="EO24" i="72" a="1"/>
  <c r="EO24" i="72" s="1"/>
  <c r="ER24" i="72" a="1"/>
  <c r="ER24" i="72" s="1"/>
  <c r="EP24" i="72" a="1"/>
  <c r="EP24" i="72" s="1"/>
  <c r="DY24" i="72" a="1"/>
  <c r="DY24" i="72" s="1"/>
  <c r="ES24" i="72" a="1"/>
  <c r="ES24" i="72" s="1"/>
  <c r="ET19" i="72" a="1"/>
  <c r="ET19" i="72" s="1"/>
  <c r="ES19" i="72" a="1"/>
  <c r="ES19" i="72" s="1"/>
  <c r="EQ19" i="72" a="1"/>
  <c r="EQ19" i="72" s="1"/>
  <c r="EP19" i="72" a="1"/>
  <c r="EP19" i="72" s="1"/>
  <c r="ER19" i="72" a="1"/>
  <c r="ER19" i="72" s="1"/>
  <c r="EO19" i="72" a="1"/>
  <c r="EO19" i="72" s="1"/>
  <c r="DY19" i="72" a="1"/>
  <c r="DY19" i="72" s="1"/>
  <c r="EN19" i="72" a="1"/>
  <c r="EN19" i="72" s="1"/>
  <c r="EM19" i="72" a="1"/>
  <c r="EM19" i="72" s="1"/>
  <c r="EM17" i="72" a="1"/>
  <c r="EM17" i="72" s="1"/>
  <c r="EQ17" i="72" a="1"/>
  <c r="EQ17" i="72" s="1"/>
  <c r="EN17" i="72" a="1"/>
  <c r="EN17" i="72" s="1"/>
  <c r="EP17" i="72" a="1"/>
  <c r="EP17" i="72" s="1"/>
  <c r="EO17" i="72" a="1"/>
  <c r="EO17" i="72" s="1"/>
  <c r="ER17" i="72" a="1"/>
  <c r="ER17" i="72" s="1"/>
  <c r="ET17" i="72" a="1"/>
  <c r="ET17" i="72" s="1"/>
  <c r="ES17" i="72" a="1"/>
  <c r="ES17" i="72" s="1"/>
  <c r="DY17" i="72" a="1"/>
  <c r="DY17" i="72" s="1"/>
  <c r="FL33" i="72" a="1"/>
  <c r="FL33" i="72" s="1"/>
  <c r="FJ33" i="72" a="1"/>
  <c r="FJ33" i="72" s="1"/>
  <c r="FK33" i="72" a="1"/>
  <c r="FK33" i="72" s="1"/>
  <c r="EV33" i="72" a="1"/>
  <c r="EV33" i="72" s="1"/>
  <c r="FN33" i="72" a="1"/>
  <c r="FN33" i="72" s="1"/>
  <c r="FP33" i="72" a="1"/>
  <c r="FP33" i="72" s="1"/>
  <c r="FM33" i="72" a="1"/>
  <c r="FM33" i="72" s="1"/>
  <c r="FO33" i="72" a="1"/>
  <c r="FO33" i="72" s="1"/>
  <c r="FQ33" i="72" a="1"/>
  <c r="FQ33" i="72" s="1"/>
  <c r="FN26" i="72" a="1"/>
  <c r="FN26" i="72" s="1"/>
  <c r="FL26" i="72" a="1"/>
  <c r="FL26" i="72" s="1"/>
  <c r="FJ26" i="72" a="1"/>
  <c r="FJ26" i="72" s="1"/>
  <c r="FK26" i="72" a="1"/>
  <c r="FK26" i="72" s="1"/>
  <c r="FO26" i="72" a="1"/>
  <c r="FO26" i="72" s="1"/>
  <c r="FP26" i="72" a="1"/>
  <c r="FP26" i="72" s="1"/>
  <c r="EV26" i="72" a="1"/>
  <c r="EV26" i="72" s="1"/>
  <c r="FQ26" i="72" a="1"/>
  <c r="FQ26" i="72" s="1"/>
  <c r="FM26" i="72" a="1"/>
  <c r="FM26" i="72" s="1"/>
  <c r="QG18" i="72" a="1"/>
  <c r="QG18" i="72" s="1"/>
  <c r="QA18" i="72" a="1"/>
  <c r="QA18" i="72" s="1"/>
  <c r="QC18" i="72" a="1"/>
  <c r="QC18" i="72" s="1"/>
  <c r="PL18" i="72" a="1"/>
  <c r="PL18" i="72" s="1"/>
  <c r="QF18" i="72" a="1"/>
  <c r="QF18" i="72" s="1"/>
  <c r="QE18" i="72" a="1"/>
  <c r="QE18" i="72" s="1"/>
  <c r="QD18" i="72" a="1"/>
  <c r="QD18" i="72" s="1"/>
  <c r="QB18" i="72" a="1"/>
  <c r="QB18" i="72" s="1"/>
  <c r="PZ18" i="72" a="1"/>
  <c r="PZ18" i="72" s="1"/>
  <c r="QC29" i="72" a="1"/>
  <c r="QC29" i="72" s="1"/>
  <c r="QE29" i="72" a="1"/>
  <c r="QE29" i="72" s="1"/>
  <c r="PZ29" i="72" a="1"/>
  <c r="PZ29" i="72" s="1"/>
  <c r="PL29" i="72" a="1"/>
  <c r="PL29" i="72" s="1"/>
  <c r="QB29" i="72" a="1"/>
  <c r="QB29" i="72" s="1"/>
  <c r="QF29" i="72" a="1"/>
  <c r="QF29" i="72" s="1"/>
  <c r="QD29" i="72" a="1"/>
  <c r="QD29" i="72" s="1"/>
  <c r="QA29" i="72" a="1"/>
  <c r="QA29" i="72" s="1"/>
  <c r="QG29" i="72" a="1"/>
  <c r="QG29" i="72" s="1"/>
  <c r="QG20" i="72" a="1"/>
  <c r="QG20" i="72" s="1"/>
  <c r="PL20" i="72" a="1"/>
  <c r="PL20" i="72" s="1"/>
  <c r="QF20" i="72" a="1"/>
  <c r="QF20" i="72" s="1"/>
  <c r="QB20" i="72" a="1"/>
  <c r="QB20" i="72" s="1"/>
  <c r="PZ20" i="72" a="1"/>
  <c r="PZ20" i="72" s="1"/>
  <c r="QA20" i="72" a="1"/>
  <c r="QA20" i="72" s="1"/>
  <c r="QD20" i="72" a="1"/>
  <c r="QD20" i="72" s="1"/>
  <c r="QE20" i="72" a="1"/>
  <c r="QE20" i="72" s="1"/>
  <c r="QC20" i="72" a="1"/>
  <c r="QC20" i="72" s="1"/>
  <c r="CE24" i="72" a="1"/>
  <c r="CE24" i="72" s="1"/>
  <c r="CZ24" i="72" a="1"/>
  <c r="CZ24" i="72" s="1"/>
  <c r="CV24" i="72" a="1"/>
  <c r="CV24" i="72" s="1"/>
  <c r="CY24" i="72" a="1"/>
  <c r="CY24" i="72" s="1"/>
  <c r="CU24" i="72" a="1"/>
  <c r="CU24" i="72" s="1"/>
  <c r="CT24" i="72" a="1"/>
  <c r="CT24" i="72" s="1"/>
  <c r="CW24" i="72" a="1"/>
  <c r="CW24" i="72" s="1"/>
  <c r="CX24" i="72" a="1"/>
  <c r="CX24" i="72" s="1"/>
  <c r="CS24" i="72" a="1"/>
  <c r="CS24" i="72" s="1"/>
  <c r="CV33" i="72" a="1"/>
  <c r="CV33" i="72" s="1"/>
  <c r="CX33" i="72" a="1"/>
  <c r="CX33" i="72" s="1"/>
  <c r="CE33" i="72" a="1"/>
  <c r="CE33" i="72" s="1"/>
  <c r="CW33" i="72" a="1"/>
  <c r="CW33" i="72" s="1"/>
  <c r="CU33" i="72" a="1"/>
  <c r="CU33" i="72" s="1"/>
  <c r="CY33" i="72" a="1"/>
  <c r="CY33" i="72" s="1"/>
  <c r="CS33" i="72" a="1"/>
  <c r="CS33" i="72" s="1"/>
  <c r="CT33" i="72" a="1"/>
  <c r="CT33" i="72" s="1"/>
  <c r="CZ33" i="72" a="1"/>
  <c r="CZ33" i="72" s="1"/>
  <c r="CW19" i="72" a="1"/>
  <c r="CW19" i="72" s="1"/>
  <c r="CV19" i="72" a="1"/>
  <c r="CV19" i="72" s="1"/>
  <c r="CZ19" i="72" a="1"/>
  <c r="CZ19" i="72" s="1"/>
  <c r="CX19" i="72" a="1"/>
  <c r="CX19" i="72" s="1"/>
  <c r="CU19" i="72" a="1"/>
  <c r="CU19" i="72" s="1"/>
  <c r="CS19" i="72" a="1"/>
  <c r="CS19" i="72" s="1"/>
  <c r="CE19" i="72" a="1"/>
  <c r="CE19" i="72" s="1"/>
  <c r="CY19" i="72" a="1"/>
  <c r="CY19" i="72" s="1"/>
  <c r="CT19" i="72" a="1"/>
  <c r="CT19" i="72" s="1"/>
  <c r="OI25" i="72" a="1"/>
  <c r="OI25" i="72" s="1"/>
  <c r="NR25" i="72" a="1"/>
  <c r="NR25" i="72" s="1"/>
  <c r="OF25" i="72" a="1"/>
  <c r="OF25" i="72" s="1"/>
  <c r="OJ25" i="72" a="1"/>
  <c r="OJ25" i="72" s="1"/>
  <c r="OL25" i="72" a="1"/>
  <c r="OL25" i="72" s="1"/>
  <c r="OM25" i="72" a="1"/>
  <c r="OM25" i="72" s="1"/>
  <c r="OG25" i="72" a="1"/>
  <c r="OG25" i="72" s="1"/>
  <c r="OH25" i="72" a="1"/>
  <c r="OH25" i="72" s="1"/>
  <c r="OK25" i="72" a="1"/>
  <c r="OK25" i="72" s="1"/>
  <c r="OH24" i="72" a="1"/>
  <c r="OH24" i="72" s="1"/>
  <c r="OK24" i="72" a="1"/>
  <c r="OK24" i="72" s="1"/>
  <c r="OG24" i="72" a="1"/>
  <c r="OG24" i="72" s="1"/>
  <c r="OI24" i="72" a="1"/>
  <c r="OI24" i="72" s="1"/>
  <c r="OJ24" i="72" a="1"/>
  <c r="OJ24" i="72" s="1"/>
  <c r="OF24" i="72" a="1"/>
  <c r="OF24" i="72" s="1"/>
  <c r="OL24" i="72" a="1"/>
  <c r="OL24" i="72" s="1"/>
  <c r="NR24" i="72" a="1"/>
  <c r="NR24" i="72" s="1"/>
  <c r="OM24" i="72" a="1"/>
  <c r="OM24" i="72" s="1"/>
  <c r="QX18" i="72" a="1"/>
  <c r="QX18" i="72" s="1"/>
  <c r="RC18" i="72" a="1"/>
  <c r="RC18" i="72" s="1"/>
  <c r="QI18" i="72" a="1"/>
  <c r="QI18" i="72" s="1"/>
  <c r="QZ18" i="72" a="1"/>
  <c r="QZ18" i="72" s="1"/>
  <c r="RD18" i="72" a="1"/>
  <c r="RD18" i="72" s="1"/>
  <c r="QY18" i="72" a="1"/>
  <c r="QY18" i="72" s="1"/>
  <c r="RB18" i="72" a="1"/>
  <c r="RB18" i="72" s="1"/>
  <c r="RA18" i="72" a="1"/>
  <c r="RA18" i="72" s="1"/>
  <c r="QW18" i="72" a="1"/>
  <c r="QW18" i="72" s="1"/>
  <c r="RA32" i="72" a="1"/>
  <c r="RA32" i="72" s="1"/>
  <c r="QW32" i="72" a="1"/>
  <c r="QW32" i="72" s="1"/>
  <c r="QY32" i="72" a="1"/>
  <c r="QY32" i="72" s="1"/>
  <c r="QI32" i="72" a="1"/>
  <c r="QI32" i="72" s="1"/>
  <c r="QZ32" i="72" a="1"/>
  <c r="QZ32" i="72" s="1"/>
  <c r="RC32" i="72" a="1"/>
  <c r="RC32" i="72" s="1"/>
  <c r="RB32" i="72" a="1"/>
  <c r="RB32" i="72" s="1"/>
  <c r="QX32" i="72" a="1"/>
  <c r="QX32" i="72" s="1"/>
  <c r="RD32" i="72" a="1"/>
  <c r="RD32" i="72" s="1"/>
  <c r="QW23" i="72" a="1"/>
  <c r="QW23" i="72" s="1"/>
  <c r="QZ23" i="72" a="1"/>
  <c r="QZ23" i="72" s="1"/>
  <c r="QY23" i="72" a="1"/>
  <c r="QY23" i="72" s="1"/>
  <c r="QI23" i="72" a="1"/>
  <c r="QI23" i="72" s="1"/>
  <c r="RB23" i="72" a="1"/>
  <c r="RB23" i="72" s="1"/>
  <c r="RC23" i="72" a="1"/>
  <c r="RC23" i="72" s="1"/>
  <c r="QX23" i="72" a="1"/>
  <c r="QX23" i="72" s="1"/>
  <c r="RA23" i="72" a="1"/>
  <c r="RA23" i="72" s="1"/>
  <c r="RD23" i="72" a="1"/>
  <c r="RD23" i="72" s="1"/>
  <c r="JB19" i="72" a="1"/>
  <c r="JB19" i="72" s="1"/>
  <c r="JD19" i="72" a="1"/>
  <c r="JD19" i="72" s="1"/>
  <c r="IZ19" i="72" a="1"/>
  <c r="IZ19" i="72" s="1"/>
  <c r="IX19" i="72" a="1"/>
  <c r="IX19" i="72" s="1"/>
  <c r="JA19" i="72" a="1"/>
  <c r="JA19" i="72" s="1"/>
  <c r="IY19" i="72" a="1"/>
  <c r="IY19" i="72" s="1"/>
  <c r="JC19" i="72" a="1"/>
  <c r="JC19" i="72" s="1"/>
  <c r="IJ19" i="72" a="1"/>
  <c r="IJ19" i="72" s="1"/>
  <c r="JE19" i="72" a="1"/>
  <c r="JE19" i="72" s="1"/>
  <c r="JE17" i="72" a="1"/>
  <c r="JE17" i="72" s="1"/>
  <c r="IZ17" i="72" a="1"/>
  <c r="IZ17" i="72" s="1"/>
  <c r="JD17" i="72" a="1"/>
  <c r="JD17" i="72" s="1"/>
  <c r="JC17" i="72" a="1"/>
  <c r="JC17" i="72" s="1"/>
  <c r="IY17" i="72" a="1"/>
  <c r="IY17" i="72" s="1"/>
  <c r="JB17" i="72" a="1"/>
  <c r="JB17" i="72" s="1"/>
  <c r="IJ17" i="72" a="1"/>
  <c r="IJ17" i="72" s="1"/>
  <c r="JA17" i="72" a="1"/>
  <c r="JA17" i="72" s="1"/>
  <c r="IX17" i="72" a="1"/>
  <c r="IX17" i="72" s="1"/>
  <c r="IZ32" i="72" a="1"/>
  <c r="IZ32" i="72" s="1"/>
  <c r="JB32" i="72" a="1"/>
  <c r="JB32" i="72" s="1"/>
  <c r="IX32" i="72" a="1"/>
  <c r="IX32" i="72" s="1"/>
  <c r="JD32" i="72" a="1"/>
  <c r="JD32" i="72" s="1"/>
  <c r="IJ32" i="72" a="1"/>
  <c r="IJ32" i="72" s="1"/>
  <c r="JA32" i="72" a="1"/>
  <c r="JA32" i="72" s="1"/>
  <c r="JC32" i="72" a="1"/>
  <c r="JC32" i="72" s="1"/>
  <c r="IY32" i="72" a="1"/>
  <c r="IY32" i="72" s="1"/>
  <c r="JE32" i="72" a="1"/>
  <c r="JE32" i="72" s="1"/>
  <c r="PG32" i="72" a="1"/>
  <c r="PG32" i="72" s="1"/>
  <c r="PI32" i="72" a="1"/>
  <c r="PI32" i="72" s="1"/>
  <c r="PD32" i="72" a="1"/>
  <c r="PD32" i="72" s="1"/>
  <c r="PH32" i="72" a="1"/>
  <c r="PH32" i="72" s="1"/>
  <c r="PE32" i="72" a="1"/>
  <c r="PE32" i="72" s="1"/>
  <c r="OO32" i="72" a="1"/>
  <c r="OO32" i="72" s="1"/>
  <c r="PF32" i="72" a="1"/>
  <c r="PF32" i="72" s="1"/>
  <c r="PC32" i="72" a="1"/>
  <c r="PC32" i="72" s="1"/>
  <c r="PJ32" i="72" a="1"/>
  <c r="PJ32" i="72" s="1"/>
  <c r="PI24" i="72" a="1"/>
  <c r="PI24" i="72" s="1"/>
  <c r="PH24" i="72" a="1"/>
  <c r="PH24" i="72" s="1"/>
  <c r="PF24" i="72" a="1"/>
  <c r="PF24" i="72" s="1"/>
  <c r="PD24" i="72" a="1"/>
  <c r="PD24" i="72" s="1"/>
  <c r="PE24" i="72" a="1"/>
  <c r="PE24" i="72" s="1"/>
  <c r="PG24" i="72" a="1"/>
  <c r="PG24" i="72" s="1"/>
  <c r="PC24" i="72" a="1"/>
  <c r="PC24" i="72" s="1"/>
  <c r="OO24" i="72" a="1"/>
  <c r="OO24" i="72" s="1"/>
  <c r="PJ24" i="72" a="1"/>
  <c r="PJ24" i="72" s="1"/>
  <c r="KW19" i="72" a="1"/>
  <c r="KW19" i="72" s="1"/>
  <c r="KX19" i="72" a="1"/>
  <c r="KX19" i="72" s="1"/>
  <c r="KY19" i="72" a="1"/>
  <c r="KY19" i="72" s="1"/>
  <c r="KS19" i="72" a="1"/>
  <c r="KS19" i="72" s="1"/>
  <c r="KR19" i="72" a="1"/>
  <c r="KR19" i="72" s="1"/>
  <c r="KU19" i="72" a="1"/>
  <c r="KU19" i="72" s="1"/>
  <c r="KD19" i="72" a="1"/>
  <c r="KD19" i="72" s="1"/>
  <c r="KT19" i="72" a="1"/>
  <c r="KT19" i="72" s="1"/>
  <c r="KV19" i="72" a="1"/>
  <c r="KV19" i="72" s="1"/>
  <c r="SX14" i="72" a="1"/>
  <c r="SX14" i="72" s="1"/>
  <c r="SU14" i="72" a="1"/>
  <c r="SU14" i="72" s="1"/>
  <c r="SW14" i="72" a="1"/>
  <c r="SW14" i="72" s="1"/>
  <c r="SC14" i="72" a="1"/>
  <c r="SC14" i="72" s="1"/>
  <c r="SV14" i="72" a="1"/>
  <c r="SV14" i="72" s="1"/>
  <c r="SS14" i="72" a="1"/>
  <c r="SS14" i="72" s="1"/>
  <c r="SR14" i="72" a="1"/>
  <c r="SR14" i="72" s="1"/>
  <c r="SQ14" i="72" a="1"/>
  <c r="SQ14" i="72" s="1"/>
  <c r="ST14" i="72" a="1"/>
  <c r="ST14" i="72" s="1"/>
  <c r="SW15" i="72" a="1"/>
  <c r="SW15" i="72" s="1"/>
  <c r="SR15" i="72" a="1"/>
  <c r="SR15" i="72" s="1"/>
  <c r="SQ15" i="72" a="1"/>
  <c r="SQ15" i="72" s="1"/>
  <c r="SV15" i="72" a="1"/>
  <c r="SV15" i="72" s="1"/>
  <c r="SC15" i="72" a="1"/>
  <c r="SC15" i="72" s="1"/>
  <c r="SX15" i="72" a="1"/>
  <c r="SX15" i="72" s="1"/>
  <c r="SS15" i="72" a="1"/>
  <c r="SS15" i="72" s="1"/>
  <c r="ST15" i="72" a="1"/>
  <c r="ST15" i="72" s="1"/>
  <c r="SU15" i="72" a="1"/>
  <c r="SU15" i="72" s="1"/>
  <c r="SR21" i="72" a="1"/>
  <c r="SR21" i="72" s="1"/>
  <c r="SC21" i="72" a="1"/>
  <c r="SC21" i="72" s="1"/>
  <c r="SW21" i="72" a="1"/>
  <c r="SW21" i="72" s="1"/>
  <c r="SS21" i="72" a="1"/>
  <c r="SS21" i="72" s="1"/>
  <c r="SV21" i="72" a="1"/>
  <c r="SV21" i="72" s="1"/>
  <c r="ST21" i="72" a="1"/>
  <c r="ST21" i="72" s="1"/>
  <c r="SQ21" i="72" a="1"/>
  <c r="SQ21" i="72" s="1"/>
  <c r="SU21" i="72" a="1"/>
  <c r="SU21" i="72" s="1"/>
  <c r="SX21" i="72" a="1"/>
  <c r="SX21" i="72" s="1"/>
  <c r="RZ31" i="72" a="1"/>
  <c r="RZ31" i="72" s="1"/>
  <c r="RT31" i="72" a="1"/>
  <c r="RT31" i="72" s="1"/>
  <c r="SA31" i="72" a="1"/>
  <c r="SA31" i="72" s="1"/>
  <c r="RY31" i="72" a="1"/>
  <c r="RY31" i="72" s="1"/>
  <c r="RU31" i="72" a="1"/>
  <c r="RU31" i="72" s="1"/>
  <c r="RF31" i="72" a="1"/>
  <c r="RF31" i="72" s="1"/>
  <c r="RW31" i="72" a="1"/>
  <c r="RW31" i="72" s="1"/>
  <c r="RX31" i="72" a="1"/>
  <c r="RX31" i="72" s="1"/>
  <c r="RV31" i="72" a="1"/>
  <c r="RV31" i="72" s="1"/>
  <c r="RZ17" i="72" a="1"/>
  <c r="RZ17" i="72" s="1"/>
  <c r="RY17" i="72" a="1"/>
  <c r="RY17" i="72" s="1"/>
  <c r="RV17" i="72" a="1"/>
  <c r="RV17" i="72" s="1"/>
  <c r="RU17" i="72" a="1"/>
  <c r="RU17" i="72" s="1"/>
  <c r="RT17" i="72" a="1"/>
  <c r="RT17" i="72" s="1"/>
  <c r="RX17" i="72" a="1"/>
  <c r="RX17" i="72" s="1"/>
  <c r="RF17" i="72" a="1"/>
  <c r="RF17" i="72" s="1"/>
  <c r="RW17" i="72" a="1"/>
  <c r="RW17" i="72" s="1"/>
  <c r="SA17" i="72" a="1"/>
  <c r="SA17" i="72" s="1"/>
  <c r="RU22" i="72" a="1"/>
  <c r="RU22" i="72" s="1"/>
  <c r="RV22" i="72" a="1"/>
  <c r="RV22" i="72" s="1"/>
  <c r="RF22" i="72" a="1"/>
  <c r="RF22" i="72" s="1"/>
  <c r="RZ22" i="72" a="1"/>
  <c r="RZ22" i="72" s="1"/>
  <c r="RT22" i="72" a="1"/>
  <c r="RT22" i="72" s="1"/>
  <c r="RY22" i="72" a="1"/>
  <c r="RY22" i="72" s="1"/>
  <c r="SA22" i="72" a="1"/>
  <c r="SA22" i="72" s="1"/>
  <c r="RW22" i="72" a="1"/>
  <c r="RW22" i="72" s="1"/>
  <c r="RX22" i="72" a="1"/>
  <c r="RX22" i="72" s="1"/>
  <c r="HF20" i="72" a="1"/>
  <c r="HF20" i="72" s="1"/>
  <c r="HJ20" i="72" a="1"/>
  <c r="HJ20" i="72" s="1"/>
  <c r="HD20" i="72" a="1"/>
  <c r="HD20" i="72" s="1"/>
  <c r="GP20" i="72" a="1"/>
  <c r="GP20" i="72" s="1"/>
  <c r="HI20" i="72" a="1"/>
  <c r="HI20" i="72" s="1"/>
  <c r="HH20" i="72" a="1"/>
  <c r="HH20" i="72" s="1"/>
  <c r="HG20" i="72" a="1"/>
  <c r="HG20" i="72" s="1"/>
  <c r="HE20" i="72" a="1"/>
  <c r="HE20" i="72" s="1"/>
  <c r="HK20" i="72" a="1"/>
  <c r="HK20" i="72" s="1"/>
  <c r="HG32" i="72" a="1"/>
  <c r="HG32" i="72" s="1"/>
  <c r="HJ32" i="72" a="1"/>
  <c r="HJ32" i="72" s="1"/>
  <c r="HK32" i="72" a="1"/>
  <c r="HK32" i="72" s="1"/>
  <c r="HI32" i="72" a="1"/>
  <c r="HI32" i="72" s="1"/>
  <c r="HD32" i="72" a="1"/>
  <c r="HD32" i="72" s="1"/>
  <c r="HH32" i="72" a="1"/>
  <c r="HH32" i="72" s="1"/>
  <c r="HE32" i="72" a="1"/>
  <c r="HE32" i="72" s="1"/>
  <c r="GP32" i="72" a="1"/>
  <c r="GP32" i="72" s="1"/>
  <c r="HF32" i="72" a="1"/>
  <c r="HF32" i="72" s="1"/>
  <c r="DU16" i="72" a="1"/>
  <c r="DU16" i="72" s="1"/>
  <c r="DV16" i="72" a="1"/>
  <c r="DV16" i="72" s="1"/>
  <c r="DB16" i="72" a="1"/>
  <c r="DB16" i="72" s="1"/>
  <c r="DW16" i="72" a="1"/>
  <c r="DW16" i="72" s="1"/>
  <c r="DS16" i="72" a="1"/>
  <c r="DS16" i="72" s="1"/>
  <c r="DQ16" i="72" a="1"/>
  <c r="DQ16" i="72" s="1"/>
  <c r="DR16" i="72" a="1"/>
  <c r="DR16" i="72" s="1"/>
  <c r="DP16" i="72" a="1"/>
  <c r="DP16" i="72" s="1"/>
  <c r="DT16" i="72" a="1"/>
  <c r="DT16" i="72" s="1"/>
  <c r="DR24" i="72" a="1"/>
  <c r="DR24" i="72" s="1"/>
  <c r="DV24" i="72" a="1"/>
  <c r="DV24" i="72" s="1"/>
  <c r="DS24" i="72" a="1"/>
  <c r="DS24" i="72" s="1"/>
  <c r="DT24" i="72" a="1"/>
  <c r="DT24" i="72" s="1"/>
  <c r="DP24" i="72" a="1"/>
  <c r="DP24" i="72" s="1"/>
  <c r="DB24" i="72" a="1"/>
  <c r="DB24" i="72" s="1"/>
  <c r="DU24" i="72" a="1"/>
  <c r="DU24" i="72" s="1"/>
  <c r="DQ24" i="72" a="1"/>
  <c r="DQ24" i="72" s="1"/>
  <c r="DW24" i="72" a="1"/>
  <c r="DW24" i="72" s="1"/>
  <c r="DB34" i="72" a="1"/>
  <c r="DB34" i="72" s="1"/>
  <c r="DS34" i="72" a="1"/>
  <c r="DS34" i="72" s="1"/>
  <c r="DR34" i="72" a="1"/>
  <c r="DR34" i="72" s="1"/>
  <c r="DU34" i="72" a="1"/>
  <c r="DU34" i="72" s="1"/>
  <c r="DQ34" i="72" a="1"/>
  <c r="DQ34" i="72" s="1"/>
  <c r="DP34" i="72" a="1"/>
  <c r="DP34" i="72" s="1"/>
  <c r="DV34" i="72" a="1"/>
  <c r="DV34" i="72" s="1"/>
  <c r="DW34" i="72" a="1"/>
  <c r="DW34" i="72" s="1"/>
  <c r="DT34" i="72" a="1"/>
  <c r="DT34" i="72" s="1"/>
  <c r="MN21" i="72" a="1"/>
  <c r="MN21" i="72" s="1"/>
  <c r="ML21" i="72" a="1"/>
  <c r="ML21" i="72" s="1"/>
  <c r="MQ21" i="72" a="1"/>
  <c r="MQ21" i="72" s="1"/>
  <c r="MM21" i="72" a="1"/>
  <c r="MM21" i="72" s="1"/>
  <c r="MP21" i="72" a="1"/>
  <c r="MP21" i="72" s="1"/>
  <c r="MR21" i="72" a="1"/>
  <c r="MR21" i="72" s="1"/>
  <c r="LX21" i="72" a="1"/>
  <c r="LX21" i="72" s="1"/>
  <c r="MO21" i="72" a="1"/>
  <c r="MO21" i="72" s="1"/>
  <c r="MS21" i="72" a="1"/>
  <c r="MS21" i="72" s="1"/>
  <c r="MN18" i="72" a="1"/>
  <c r="MN18" i="72" s="1"/>
  <c r="MR18" i="72" a="1"/>
  <c r="MR18" i="72" s="1"/>
  <c r="LX18" i="72" a="1"/>
  <c r="LX18" i="72" s="1"/>
  <c r="MP18" i="72" a="1"/>
  <c r="MP18" i="72" s="1"/>
  <c r="MO18" i="72" a="1"/>
  <c r="MO18" i="72" s="1"/>
  <c r="MM18" i="72" a="1"/>
  <c r="MM18" i="72" s="1"/>
  <c r="MQ18" i="72" a="1"/>
  <c r="MQ18" i="72" s="1"/>
  <c r="ML18" i="72" a="1"/>
  <c r="ML18" i="72" s="1"/>
  <c r="MS18" i="72" a="1"/>
  <c r="MS18" i="72" s="1"/>
  <c r="MO28" i="72" a="1"/>
  <c r="MO28" i="72" s="1"/>
  <c r="MP28" i="72" a="1"/>
  <c r="MP28" i="72" s="1"/>
  <c r="MR28" i="72" a="1"/>
  <c r="MR28" i="72" s="1"/>
  <c r="ML28" i="72" a="1"/>
  <c r="ML28" i="72" s="1"/>
  <c r="MN28" i="72" a="1"/>
  <c r="MN28" i="72" s="1"/>
  <c r="MQ28" i="72" a="1"/>
  <c r="MQ28" i="72" s="1"/>
  <c r="MM28" i="72" a="1"/>
  <c r="MM28" i="72" s="1"/>
  <c r="LX28" i="72" a="1"/>
  <c r="LX28" i="72" s="1"/>
  <c r="MS28" i="72" a="1"/>
  <c r="MS28" i="72" s="1"/>
  <c r="KB18" i="72" a="1"/>
  <c r="KB18" i="72" s="1"/>
  <c r="JV18" i="72" a="1"/>
  <c r="JV18" i="72" s="1"/>
  <c r="JU18" i="72" a="1"/>
  <c r="JU18" i="72" s="1"/>
  <c r="JG18" i="72" a="1"/>
  <c r="JG18" i="72" s="1"/>
  <c r="JW18" i="72" a="1"/>
  <c r="JW18" i="72" s="1"/>
  <c r="KA18" i="72" a="1"/>
  <c r="KA18" i="72" s="1"/>
  <c r="JZ18" i="72" a="1"/>
  <c r="JZ18" i="72" s="1"/>
  <c r="JX18" i="72" a="1"/>
  <c r="JX18" i="72" s="1"/>
  <c r="JY18" i="72" a="1"/>
  <c r="JY18" i="72" s="1"/>
  <c r="JU33" i="72" a="1"/>
  <c r="JU33" i="72" s="1"/>
  <c r="KB33" i="72" a="1"/>
  <c r="KB33" i="72" s="1"/>
  <c r="JX33" i="72" a="1"/>
  <c r="JX33" i="72" s="1"/>
  <c r="JV33" i="72" a="1"/>
  <c r="JV33" i="72" s="1"/>
  <c r="KA33" i="72" a="1"/>
  <c r="KA33" i="72" s="1"/>
  <c r="JG33" i="72" a="1"/>
  <c r="JG33" i="72" s="1"/>
  <c r="JZ33" i="72" a="1"/>
  <c r="JZ33" i="72" s="1"/>
  <c r="JY33" i="72" a="1"/>
  <c r="JY33" i="72" s="1"/>
  <c r="JW33" i="72" a="1"/>
  <c r="JW33" i="72" s="1"/>
  <c r="GH25" i="72" a="1"/>
  <c r="GH25" i="72" s="1"/>
  <c r="GN25" i="72" a="1"/>
  <c r="GN25" i="72" s="1"/>
  <c r="GG25" i="72" a="1"/>
  <c r="GG25" i="72" s="1"/>
  <c r="GL25" i="72" a="1"/>
  <c r="GL25" i="72" s="1"/>
  <c r="GM25" i="72" a="1"/>
  <c r="GM25" i="72" s="1"/>
  <c r="GI25" i="72" a="1"/>
  <c r="GI25" i="72" s="1"/>
  <c r="GJ25" i="72" a="1"/>
  <c r="GJ25" i="72" s="1"/>
  <c r="FS25" i="72" a="1"/>
  <c r="FS25" i="72" s="1"/>
  <c r="GK25" i="72" a="1"/>
  <c r="GK25" i="72" s="1"/>
  <c r="GK20" i="72" a="1"/>
  <c r="GK20" i="72" s="1"/>
  <c r="GG20" i="72" a="1"/>
  <c r="GG20" i="72" s="1"/>
  <c r="GJ20" i="72" a="1"/>
  <c r="GJ20" i="72" s="1"/>
  <c r="GI20" i="72" a="1"/>
  <c r="GI20" i="72" s="1"/>
  <c r="GM20" i="72" a="1"/>
  <c r="GM20" i="72" s="1"/>
  <c r="GL20" i="72" a="1"/>
  <c r="GL20" i="72" s="1"/>
  <c r="GH20" i="72" a="1"/>
  <c r="GH20" i="72" s="1"/>
  <c r="GN20" i="72" a="1"/>
  <c r="GN20" i="72" s="1"/>
  <c r="FS20" i="72" a="1"/>
  <c r="FS20" i="72" s="1"/>
  <c r="GN15" i="72" a="1"/>
  <c r="GN15" i="72" s="1"/>
  <c r="GI15" i="72" a="1"/>
  <c r="GI15" i="72" s="1"/>
  <c r="GM15" i="72" a="1"/>
  <c r="GM15" i="72" s="1"/>
  <c r="FS15" i="72" a="1"/>
  <c r="FS15" i="72" s="1"/>
  <c r="GK15" i="72" a="1"/>
  <c r="GK15" i="72" s="1"/>
  <c r="GG15" i="72" a="1"/>
  <c r="GG15" i="72" s="1"/>
  <c r="GJ15" i="72" a="1"/>
  <c r="GJ15" i="72" s="1"/>
  <c r="GH15" i="72" a="1"/>
  <c r="GH15" i="72" s="1"/>
  <c r="GL15" i="72" a="1"/>
  <c r="GL15" i="72" s="1"/>
  <c r="BH31" i="72" a="1"/>
  <c r="BH31" i="72" s="1"/>
  <c r="BV31" i="72" a="1"/>
  <c r="BV31" i="72" s="1"/>
  <c r="BX31" i="72" a="1"/>
  <c r="BX31" i="72" s="1"/>
  <c r="BZ31" i="72" a="1"/>
  <c r="BZ31" i="72" s="1"/>
  <c r="CB31" i="72" a="1"/>
  <c r="CB31" i="72" s="1"/>
  <c r="CA31" i="72" a="1"/>
  <c r="CA31" i="72" s="1"/>
  <c r="BY31" i="72" a="1"/>
  <c r="BY31" i="72" s="1"/>
  <c r="BW31" i="72" a="1"/>
  <c r="BW31" i="72" s="1"/>
  <c r="CC31" i="72" a="1"/>
  <c r="CC31" i="72" s="1"/>
  <c r="CC15" i="72" a="1"/>
  <c r="CC15" i="72" s="1"/>
  <c r="BW15" i="72" a="1"/>
  <c r="BW15" i="72" s="1"/>
  <c r="BH15" i="72" a="1"/>
  <c r="BH15" i="72" s="1"/>
  <c r="BZ15" i="72" a="1"/>
  <c r="BZ15" i="72" s="1"/>
  <c r="BV15" i="72" a="1"/>
  <c r="BV15" i="72" s="1"/>
  <c r="CA15" i="72" a="1"/>
  <c r="CA15" i="72" s="1"/>
  <c r="BY15" i="72" a="1"/>
  <c r="BY15" i="72" s="1"/>
  <c r="BX15" i="72" a="1"/>
  <c r="BX15" i="72" s="1"/>
  <c r="CB15" i="72" a="1"/>
  <c r="CB15" i="72" s="1"/>
  <c r="MU25" i="72" a="1"/>
  <c r="MU25" i="72" s="1"/>
  <c r="NM25" i="72" a="1"/>
  <c r="NM25" i="72" s="1"/>
  <c r="NL25" i="72" a="1"/>
  <c r="NL25" i="72" s="1"/>
  <c r="NI25" i="72" a="1"/>
  <c r="NI25" i="72" s="1"/>
  <c r="NO25" i="72" a="1"/>
  <c r="NO25" i="72" s="1"/>
  <c r="NJ25" i="72" a="1"/>
  <c r="NJ25" i="72" s="1"/>
  <c r="NN25" i="72" a="1"/>
  <c r="NN25" i="72" s="1"/>
  <c r="NK25" i="72" a="1"/>
  <c r="NK25" i="72" s="1"/>
  <c r="NP25" i="72" a="1"/>
  <c r="NP25" i="72" s="1"/>
  <c r="NN20" i="72" a="1"/>
  <c r="NN20" i="72" s="1"/>
  <c r="NO20" i="72" a="1"/>
  <c r="NO20" i="72" s="1"/>
  <c r="NM20" i="72" a="1"/>
  <c r="NM20" i="72" s="1"/>
  <c r="MU20" i="72" a="1"/>
  <c r="MU20" i="72" s="1"/>
  <c r="NJ20" i="72" a="1"/>
  <c r="NJ20" i="72" s="1"/>
  <c r="NP20" i="72" a="1"/>
  <c r="NP20" i="72" s="1"/>
  <c r="NL20" i="72" a="1"/>
  <c r="NL20" i="72" s="1"/>
  <c r="NI20" i="72" a="1"/>
  <c r="NI20" i="72" s="1"/>
  <c r="NK20" i="72" a="1"/>
  <c r="NK20" i="72" s="1"/>
  <c r="NM19" i="72" a="1"/>
  <c r="NM19" i="72" s="1"/>
  <c r="NI19" i="72" a="1"/>
  <c r="NI19" i="72" s="1"/>
  <c r="NK19" i="72" a="1"/>
  <c r="NK19" i="72" s="1"/>
  <c r="NP19" i="72" a="1"/>
  <c r="NP19" i="72" s="1"/>
  <c r="NL19" i="72" a="1"/>
  <c r="NL19" i="72" s="1"/>
  <c r="MU19" i="72" a="1"/>
  <c r="MU19" i="72" s="1"/>
  <c r="NJ19" i="72" a="1"/>
  <c r="NJ19" i="72" s="1"/>
  <c r="NO19" i="72" a="1"/>
  <c r="NO19" i="72" s="1"/>
  <c r="NN19" i="72" a="1"/>
  <c r="NN19" i="72" s="1"/>
  <c r="EP27" i="72" a="1"/>
  <c r="EP27" i="72" s="1"/>
  <c r="EO27" i="72" a="1"/>
  <c r="EO27" i="72" s="1"/>
  <c r="ER27" i="72" a="1"/>
  <c r="ER27" i="72" s="1"/>
  <c r="EQ27" i="72" a="1"/>
  <c r="EQ27" i="72" s="1"/>
  <c r="EN27" i="72" a="1"/>
  <c r="EN27" i="72" s="1"/>
  <c r="ES27" i="72" a="1"/>
  <c r="ES27" i="72" s="1"/>
  <c r="EM27" i="72" a="1"/>
  <c r="EM27" i="72" s="1"/>
  <c r="DY27" i="72" a="1"/>
  <c r="DY27" i="72" s="1"/>
  <c r="ET27" i="72" a="1"/>
  <c r="ET27" i="72" s="1"/>
  <c r="DY34" i="72" a="1"/>
  <c r="DY34" i="72" s="1"/>
  <c r="EO34" i="72" a="1"/>
  <c r="EO34" i="72" s="1"/>
  <c r="ES34" i="72" a="1"/>
  <c r="ES34" i="72" s="1"/>
  <c r="EM34" i="72" a="1"/>
  <c r="EM34" i="72" s="1"/>
  <c r="EP34" i="72" a="1"/>
  <c r="EP34" i="72" s="1"/>
  <c r="EQ34" i="72" a="1"/>
  <c r="EQ34" i="72" s="1"/>
  <c r="ER34" i="72" a="1"/>
  <c r="ER34" i="72" s="1"/>
  <c r="EN34" i="72" a="1"/>
  <c r="EN34" i="72" s="1"/>
  <c r="ET34" i="72" a="1"/>
  <c r="ET34" i="72" s="1"/>
  <c r="ET25" i="72" a="1"/>
  <c r="ET25" i="72" s="1"/>
  <c r="EP25" i="72" a="1"/>
  <c r="EP25" i="72" s="1"/>
  <c r="ER25" i="72" a="1"/>
  <c r="ER25" i="72" s="1"/>
  <c r="ES25" i="72" a="1"/>
  <c r="ES25" i="72" s="1"/>
  <c r="EN25" i="72" a="1"/>
  <c r="EN25" i="72" s="1"/>
  <c r="EO25" i="72" a="1"/>
  <c r="EO25" i="72" s="1"/>
  <c r="DY25" i="72" a="1"/>
  <c r="DY25" i="72" s="1"/>
  <c r="EQ25" i="72" a="1"/>
  <c r="EQ25" i="72" s="1"/>
  <c r="EM25" i="72" a="1"/>
  <c r="EM25" i="72" s="1"/>
  <c r="FL19" i="72" a="1"/>
  <c r="FL19" i="72" s="1"/>
  <c r="FO19" i="72" a="1"/>
  <c r="FO19" i="72" s="1"/>
  <c r="FP19" i="72" a="1"/>
  <c r="FP19" i="72" s="1"/>
  <c r="FN19" i="72" a="1"/>
  <c r="FN19" i="72" s="1"/>
  <c r="EV19" i="72" a="1"/>
  <c r="EV19" i="72" s="1"/>
  <c r="FM19" i="72" a="1"/>
  <c r="FM19" i="72" s="1"/>
  <c r="FK19" i="72" a="1"/>
  <c r="FK19" i="72" s="1"/>
  <c r="FJ19" i="72" a="1"/>
  <c r="FJ19" i="72" s="1"/>
  <c r="FQ19" i="72" a="1"/>
  <c r="FQ19" i="72" s="1"/>
  <c r="FK21" i="72" a="1"/>
  <c r="FK21" i="72" s="1"/>
  <c r="FN21" i="72" a="1"/>
  <c r="FN21" i="72" s="1"/>
  <c r="FJ21" i="72" a="1"/>
  <c r="FJ21" i="72" s="1"/>
  <c r="FM21" i="72" a="1"/>
  <c r="FM21" i="72" s="1"/>
  <c r="FO21" i="72" a="1"/>
  <c r="FO21" i="72" s="1"/>
  <c r="FP21" i="72" a="1"/>
  <c r="FP21" i="72" s="1"/>
  <c r="EV21" i="72" a="1"/>
  <c r="EV21" i="72" s="1"/>
  <c r="FL21" i="72" a="1"/>
  <c r="FL21" i="72" s="1"/>
  <c r="FQ21" i="72" a="1"/>
  <c r="FQ21" i="72" s="1"/>
  <c r="QG34" i="72" a="1"/>
  <c r="QG34" i="72" s="1"/>
  <c r="PL34" i="72" a="1"/>
  <c r="PL34" i="72" s="1"/>
  <c r="PZ34" i="72" a="1"/>
  <c r="PZ34" i="72" s="1"/>
  <c r="QD34" i="72" a="1"/>
  <c r="QD34" i="72" s="1"/>
  <c r="QA34" i="72" a="1"/>
  <c r="QA34" i="72" s="1"/>
  <c r="QC34" i="72" a="1"/>
  <c r="QC34" i="72" s="1"/>
  <c r="QB34" i="72" a="1"/>
  <c r="QB34" i="72" s="1"/>
  <c r="QF34" i="72" a="1"/>
  <c r="QF34" i="72" s="1"/>
  <c r="QE34" i="72" a="1"/>
  <c r="QE34" i="72" s="1"/>
  <c r="QA17" i="72" a="1"/>
  <c r="QA17" i="72" s="1"/>
  <c r="PZ17" i="72" a="1"/>
  <c r="PZ17" i="72" s="1"/>
  <c r="QE17" i="72" a="1"/>
  <c r="QE17" i="72" s="1"/>
  <c r="QC17" i="72" a="1"/>
  <c r="QC17" i="72" s="1"/>
  <c r="QB17" i="72" a="1"/>
  <c r="QB17" i="72" s="1"/>
  <c r="QF17" i="72" a="1"/>
  <c r="QF17" i="72" s="1"/>
  <c r="QD17" i="72" a="1"/>
  <c r="QD17" i="72" s="1"/>
  <c r="PL17" i="72" a="1"/>
  <c r="PL17" i="72" s="1"/>
  <c r="QG17" i="72" a="1"/>
  <c r="QG17" i="72" s="1"/>
  <c r="QD28" i="72" a="1"/>
  <c r="QD28" i="72" s="1"/>
  <c r="QC28" i="72" a="1"/>
  <c r="QC28" i="72" s="1"/>
  <c r="PL28" i="72" a="1"/>
  <c r="PL28" i="72" s="1"/>
  <c r="QF28" i="72" a="1"/>
  <c r="QF28" i="72" s="1"/>
  <c r="QE28" i="72" a="1"/>
  <c r="QE28" i="72" s="1"/>
  <c r="QB28" i="72" a="1"/>
  <c r="QB28" i="72" s="1"/>
  <c r="PZ28" i="72" a="1"/>
  <c r="PZ28" i="72" s="1"/>
  <c r="QA28" i="72" a="1"/>
  <c r="QA28" i="72" s="1"/>
  <c r="QG28" i="72" a="1"/>
  <c r="QG28" i="72" s="1"/>
  <c r="CV26" i="72" a="1"/>
  <c r="CV26" i="72" s="1"/>
  <c r="CT26" i="72" a="1"/>
  <c r="CT26" i="72" s="1"/>
  <c r="CW26" i="72" a="1"/>
  <c r="CW26" i="72" s="1"/>
  <c r="CZ26" i="72" a="1"/>
  <c r="CZ26" i="72" s="1"/>
  <c r="CE26" i="72" a="1"/>
  <c r="CE26" i="72" s="1"/>
  <c r="CY26" i="72" a="1"/>
  <c r="CY26" i="72" s="1"/>
  <c r="CS26" i="72" a="1"/>
  <c r="CS26" i="72" s="1"/>
  <c r="CU26" i="72" a="1"/>
  <c r="CU26" i="72" s="1"/>
  <c r="CX26" i="72" a="1"/>
  <c r="CX26" i="72" s="1"/>
  <c r="CS14" i="72" a="1"/>
  <c r="CS14" i="72" s="1"/>
  <c r="CW14" i="72" a="1"/>
  <c r="CW14" i="72" s="1"/>
  <c r="CU14" i="72" a="1"/>
  <c r="CU14" i="72" s="1"/>
  <c r="CV14" i="72" a="1"/>
  <c r="CV14" i="72" s="1"/>
  <c r="CT14" i="72" a="1"/>
  <c r="CT14" i="72" s="1"/>
  <c r="CX14" i="72" a="1"/>
  <c r="CX14" i="72" s="1"/>
  <c r="CE14" i="72" a="1"/>
  <c r="CE14" i="72" s="1"/>
  <c r="CY14" i="72" a="1"/>
  <c r="CY14" i="72" s="1"/>
  <c r="CZ14" i="72" a="1"/>
  <c r="CZ14" i="72" s="1"/>
  <c r="CV27" i="72" a="1"/>
  <c r="CV27" i="72" s="1"/>
  <c r="CW27" i="72" a="1"/>
  <c r="CW27" i="72" s="1"/>
  <c r="CT27" i="72" a="1"/>
  <c r="CT27" i="72" s="1"/>
  <c r="CS27" i="72" a="1"/>
  <c r="CS27" i="72" s="1"/>
  <c r="CU27" i="72" a="1"/>
  <c r="CU27" i="72" s="1"/>
  <c r="CY27" i="72" a="1"/>
  <c r="CY27" i="72" s="1"/>
  <c r="CX27" i="72" a="1"/>
  <c r="CX27" i="72" s="1"/>
  <c r="CE27" i="72" a="1"/>
  <c r="CE27" i="72" s="1"/>
  <c r="CZ27" i="72" a="1"/>
  <c r="CZ27" i="72" s="1"/>
  <c r="OG27" i="72" a="1"/>
  <c r="OG27" i="72" s="1"/>
  <c r="OI27" i="72" a="1"/>
  <c r="OI27" i="72" s="1"/>
  <c r="OH27" i="72" a="1"/>
  <c r="OH27" i="72" s="1"/>
  <c r="NR27" i="72" a="1"/>
  <c r="NR27" i="72" s="1"/>
  <c r="OL27" i="72" a="1"/>
  <c r="OL27" i="72" s="1"/>
  <c r="OK27" i="72" a="1"/>
  <c r="OK27" i="72" s="1"/>
  <c r="OJ27" i="72" a="1"/>
  <c r="OJ27" i="72" s="1"/>
  <c r="OF27" i="72" a="1"/>
  <c r="OF27" i="72" s="1"/>
  <c r="OM27" i="72" a="1"/>
  <c r="OM27" i="72" s="1"/>
  <c r="OM14" i="72" a="1"/>
  <c r="OM14" i="72" s="1"/>
  <c r="OL14" i="72" a="1"/>
  <c r="OL14" i="72" s="1"/>
  <c r="OG14" i="72" a="1"/>
  <c r="OG14" i="72" s="1"/>
  <c r="OI14" i="72" a="1"/>
  <c r="OI14" i="72" s="1"/>
  <c r="OF14" i="72" a="1"/>
  <c r="OF14" i="72" s="1"/>
  <c r="NR14" i="72" a="1"/>
  <c r="NR14" i="72" s="1"/>
  <c r="OJ14" i="72" a="1"/>
  <c r="OJ14" i="72" s="1"/>
  <c r="OK14" i="72" a="1"/>
  <c r="OK14" i="72" s="1"/>
  <c r="OH14" i="72" a="1"/>
  <c r="OH14" i="72" s="1"/>
  <c r="RB22" i="72" a="1"/>
  <c r="RB22" i="72" s="1"/>
  <c r="QI22" i="72" a="1"/>
  <c r="QI22" i="72" s="1"/>
  <c r="QZ22" i="72" a="1"/>
  <c r="QZ22" i="72" s="1"/>
  <c r="RA22" i="72" a="1"/>
  <c r="RA22" i="72" s="1"/>
  <c r="QW22" i="72" a="1"/>
  <c r="QW22" i="72" s="1"/>
  <c r="RD22" i="72" a="1"/>
  <c r="RD22" i="72" s="1"/>
  <c r="RC22" i="72" a="1"/>
  <c r="RC22" i="72" s="1"/>
  <c r="QY22" i="72" a="1"/>
  <c r="QY22" i="72" s="1"/>
  <c r="QX22" i="72" a="1"/>
  <c r="QX22" i="72" s="1"/>
  <c r="QI33" i="72" a="1"/>
  <c r="QI33" i="72" s="1"/>
  <c r="RB33" i="72" a="1"/>
  <c r="RB33" i="72" s="1"/>
  <c r="RA33" i="72" a="1"/>
  <c r="RA33" i="72" s="1"/>
  <c r="QZ33" i="72" a="1"/>
  <c r="QZ33" i="72" s="1"/>
  <c r="QX33" i="72" a="1"/>
  <c r="QX33" i="72" s="1"/>
  <c r="QY33" i="72" a="1"/>
  <c r="QY33" i="72" s="1"/>
  <c r="QW33" i="72" a="1"/>
  <c r="QW33" i="72" s="1"/>
  <c r="RC33" i="72" a="1"/>
  <c r="RC33" i="72" s="1"/>
  <c r="RD33" i="72" a="1"/>
  <c r="RD33" i="72" s="1"/>
  <c r="QZ31" i="72" a="1"/>
  <c r="QZ31" i="72" s="1"/>
  <c r="RA31" i="72" a="1"/>
  <c r="RA31" i="72" s="1"/>
  <c r="RC31" i="72" a="1"/>
  <c r="RC31" i="72" s="1"/>
  <c r="QY31" i="72" a="1"/>
  <c r="QY31" i="72" s="1"/>
  <c r="RB31" i="72" a="1"/>
  <c r="RB31" i="72" s="1"/>
  <c r="RD31" i="72" a="1"/>
  <c r="RD31" i="72" s="1"/>
  <c r="QI31" i="72" a="1"/>
  <c r="QI31" i="72" s="1"/>
  <c r="QX31" i="72" a="1"/>
  <c r="QX31" i="72" s="1"/>
  <c r="QW31" i="72" a="1"/>
  <c r="QW31" i="72" s="1"/>
  <c r="JE34" i="72" a="1"/>
  <c r="JE34" i="72" s="1"/>
  <c r="JC34" i="72" a="1"/>
  <c r="JC34" i="72" s="1"/>
  <c r="IJ34" i="72" a="1"/>
  <c r="IJ34" i="72" s="1"/>
  <c r="JB34" i="72" a="1"/>
  <c r="JB34" i="72" s="1"/>
  <c r="IY34" i="72" a="1"/>
  <c r="IY34" i="72" s="1"/>
  <c r="IX34" i="72" a="1"/>
  <c r="IX34" i="72" s="1"/>
  <c r="JA34" i="72" a="1"/>
  <c r="JA34" i="72" s="1"/>
  <c r="IZ34" i="72" a="1"/>
  <c r="IZ34" i="72" s="1"/>
  <c r="JD34" i="72" a="1"/>
  <c r="JD34" i="72" s="1"/>
  <c r="JD27" i="72" a="1"/>
  <c r="JD27" i="72" s="1"/>
  <c r="JA27" i="72" a="1"/>
  <c r="JA27" i="72" s="1"/>
  <c r="JC27" i="72" a="1"/>
  <c r="JC27" i="72" s="1"/>
  <c r="IY27" i="72" a="1"/>
  <c r="IY27" i="72" s="1"/>
  <c r="JE27" i="72" a="1"/>
  <c r="JE27" i="72" s="1"/>
  <c r="JB27" i="72" a="1"/>
  <c r="JB27" i="72" s="1"/>
  <c r="IZ27" i="72" a="1"/>
  <c r="IZ27" i="72" s="1"/>
  <c r="IX27" i="72" a="1"/>
  <c r="IX27" i="72" s="1"/>
  <c r="IJ27" i="72" a="1"/>
  <c r="IJ27" i="72" s="1"/>
  <c r="PJ26" i="72" a="1"/>
  <c r="PJ26" i="72" s="1"/>
  <c r="PD26" i="72" a="1"/>
  <c r="PD26" i="72" s="1"/>
  <c r="PH26" i="72" a="1"/>
  <c r="PH26" i="72" s="1"/>
  <c r="OO26" i="72" a="1"/>
  <c r="OO26" i="72" s="1"/>
  <c r="PI26" i="72" a="1"/>
  <c r="PI26" i="72" s="1"/>
  <c r="PF26" i="72" a="1"/>
  <c r="PF26" i="72" s="1"/>
  <c r="PE26" i="72" a="1"/>
  <c r="PE26" i="72" s="1"/>
  <c r="PC26" i="72" a="1"/>
  <c r="PC26" i="72" s="1"/>
  <c r="PG26" i="72" a="1"/>
  <c r="PG26" i="72" s="1"/>
  <c r="PD20" i="72" a="1"/>
  <c r="PD20" i="72" s="1"/>
  <c r="PC20" i="72" a="1"/>
  <c r="PC20" i="72" s="1"/>
  <c r="OO20" i="72" a="1"/>
  <c r="OO20" i="72" s="1"/>
  <c r="PF20" i="72" a="1"/>
  <c r="PF20" i="72" s="1"/>
  <c r="PJ20" i="72" a="1"/>
  <c r="PJ20" i="72" s="1"/>
  <c r="PG20" i="72" a="1"/>
  <c r="PG20" i="72" s="1"/>
  <c r="PI20" i="72" a="1"/>
  <c r="PI20" i="72" s="1"/>
  <c r="PE20" i="72" a="1"/>
  <c r="PE20" i="72" s="1"/>
  <c r="PH20" i="72" a="1"/>
  <c r="PH20" i="72" s="1"/>
  <c r="PF17" i="72" a="1"/>
  <c r="PF17" i="72" s="1"/>
  <c r="PJ17" i="72" a="1"/>
  <c r="PJ17" i="72" s="1"/>
  <c r="PC17" i="72" a="1"/>
  <c r="PC17" i="72" s="1"/>
  <c r="OO17" i="72" a="1"/>
  <c r="OO17" i="72" s="1"/>
  <c r="PE17" i="72" a="1"/>
  <c r="PE17" i="72" s="1"/>
  <c r="PD17" i="72" a="1"/>
  <c r="PD17" i="72" s="1"/>
  <c r="PG17" i="72" a="1"/>
  <c r="PG17" i="72" s="1"/>
  <c r="PH17" i="72" a="1"/>
  <c r="PH17" i="72" s="1"/>
  <c r="PI17" i="72" a="1"/>
  <c r="PI17" i="72" s="1"/>
  <c r="LU31" i="72" a="1"/>
  <c r="LU31" i="72" s="1"/>
  <c r="LT31" i="72" a="1"/>
  <c r="LT31" i="72" s="1"/>
  <c r="LO31" i="72" a="1"/>
  <c r="LO31" i="72" s="1"/>
  <c r="LQ31" i="72" a="1"/>
  <c r="LQ31" i="72" s="1"/>
  <c r="LA31" i="72" a="1"/>
  <c r="LA31" i="72" s="1"/>
  <c r="LR31" i="72" a="1"/>
  <c r="LR31" i="72" s="1"/>
  <c r="LS31" i="72" a="1"/>
  <c r="LS31" i="72" s="1"/>
  <c r="LP31" i="72" a="1"/>
  <c r="LP31" i="72" s="1"/>
  <c r="LV31" i="72" a="1"/>
  <c r="LV31" i="72" s="1"/>
  <c r="IA15" i="72" a="1"/>
  <c r="IA15" i="72" s="1"/>
  <c r="ID15" i="72" a="1"/>
  <c r="ID15" i="72" s="1"/>
  <c r="IE15" i="72" a="1"/>
  <c r="IE15" i="72" s="1"/>
  <c r="HM15" i="72" a="1"/>
  <c r="HM15" i="72" s="1"/>
  <c r="IB15" i="72" a="1"/>
  <c r="IB15" i="72" s="1"/>
  <c r="IF15" i="72" a="1"/>
  <c r="IF15" i="72" s="1"/>
  <c r="IG15" i="72" a="1"/>
  <c r="IG15" i="72" s="1"/>
  <c r="IC15" i="72" a="1"/>
  <c r="IC15" i="72" s="1"/>
  <c r="IH15" i="72" a="1"/>
  <c r="IH15" i="72" s="1"/>
  <c r="LQ24" i="72" a="1"/>
  <c r="LQ24" i="72" s="1"/>
  <c r="LT24" i="72" a="1"/>
  <c r="LT24" i="72" s="1"/>
  <c r="LS24" i="72" a="1"/>
  <c r="LS24" i="72" s="1"/>
  <c r="LA24" i="72" a="1"/>
  <c r="LA24" i="72" s="1"/>
  <c r="LR24" i="72" a="1"/>
  <c r="LR24" i="72" s="1"/>
  <c r="LV24" i="72" a="1"/>
  <c r="LV24" i="72" s="1"/>
  <c r="LP24" i="72" a="1"/>
  <c r="LP24" i="72" s="1"/>
  <c r="LU24" i="72" a="1"/>
  <c r="LU24" i="72" s="1"/>
  <c r="LO24" i="72" a="1"/>
  <c r="LO24" i="72" s="1"/>
  <c r="LQ21" i="72" a="1"/>
  <c r="LQ21" i="72" s="1"/>
  <c r="LS21" i="72" a="1"/>
  <c r="LS21" i="72" s="1"/>
  <c r="LP21" i="72" a="1"/>
  <c r="LP21" i="72" s="1"/>
  <c r="LA21" i="72" a="1"/>
  <c r="LA21" i="72" s="1"/>
  <c r="LR21" i="72" a="1"/>
  <c r="LR21" i="72" s="1"/>
  <c r="LT21" i="72" a="1"/>
  <c r="LT21" i="72" s="1"/>
  <c r="LU21" i="72" a="1"/>
  <c r="LU21" i="72" s="1"/>
  <c r="LO21" i="72" a="1"/>
  <c r="LO21" i="72" s="1"/>
  <c r="LV21" i="72" a="1"/>
  <c r="LV21" i="72" s="1"/>
  <c r="KT32" i="72" a="1"/>
  <c r="KT32" i="72" s="1"/>
  <c r="KV32" i="72" a="1"/>
  <c r="KV32" i="72" s="1"/>
  <c r="KW32" i="72" a="1"/>
  <c r="KW32" i="72" s="1"/>
  <c r="KY32" i="72" a="1"/>
  <c r="KY32" i="72" s="1"/>
  <c r="KS32" i="72" a="1"/>
  <c r="KS32" i="72" s="1"/>
  <c r="KR32" i="72" a="1"/>
  <c r="KR32" i="72" s="1"/>
  <c r="KU32" i="72" a="1"/>
  <c r="KU32" i="72" s="1"/>
  <c r="KD32" i="72" a="1"/>
  <c r="KD32" i="72" s="1"/>
  <c r="KX32" i="72" a="1"/>
  <c r="KX32" i="72" s="1"/>
  <c r="KD17" i="72" a="1"/>
  <c r="KD17" i="72" s="1"/>
  <c r="KU17" i="72" a="1"/>
  <c r="KU17" i="72" s="1"/>
  <c r="KW17" i="72" a="1"/>
  <c r="KW17" i="72" s="1"/>
  <c r="KR17" i="72" a="1"/>
  <c r="KR17" i="72" s="1"/>
  <c r="KS17" i="72" a="1"/>
  <c r="KS17" i="72" s="1"/>
  <c r="KV17" i="72" a="1"/>
  <c r="KV17" i="72" s="1"/>
  <c r="KX17" i="72" a="1"/>
  <c r="KX17" i="72" s="1"/>
  <c r="KT17" i="72" a="1"/>
  <c r="KT17" i="72" s="1"/>
  <c r="KY17" i="72" a="1"/>
  <c r="KY17" i="72" s="1"/>
  <c r="KX22" i="72" a="1"/>
  <c r="KX22" i="72" s="1"/>
  <c r="KT22" i="72" a="1"/>
  <c r="KT22" i="72" s="1"/>
  <c r="KV22" i="72" a="1"/>
  <c r="KV22" i="72" s="1"/>
  <c r="KU22" i="72" a="1"/>
  <c r="KU22" i="72" s="1"/>
  <c r="KS22" i="72" a="1"/>
  <c r="KS22" i="72" s="1"/>
  <c r="KD22" i="72" a="1"/>
  <c r="KD22" i="72" s="1"/>
  <c r="KR22" i="72" a="1"/>
  <c r="KR22" i="72" s="1"/>
  <c r="KW22" i="72" a="1"/>
  <c r="KW22" i="72" s="1"/>
  <c r="KY22" i="72" a="1"/>
  <c r="KY22" i="72" s="1"/>
  <c r="IB30" i="72" a="1"/>
  <c r="IB30" i="72" s="1"/>
  <c r="IC30" i="72" a="1"/>
  <c r="IC30" i="72" s="1"/>
  <c r="IA30" i="72" a="1"/>
  <c r="IA30" i="72" s="1"/>
  <c r="IG30" i="72" a="1"/>
  <c r="IG30" i="72" s="1"/>
  <c r="HM30" i="72" a="1"/>
  <c r="HM30" i="72" s="1"/>
  <c r="IE30" i="72" a="1"/>
  <c r="IE30" i="72" s="1"/>
  <c r="ID30" i="72" a="1"/>
  <c r="ID30" i="72" s="1"/>
  <c r="IF30" i="72" a="1"/>
  <c r="IF30" i="72" s="1"/>
  <c r="IH30" i="72" a="1"/>
  <c r="IH30" i="72" s="1"/>
  <c r="IG22" i="72" a="1"/>
  <c r="IG22" i="72" s="1"/>
  <c r="ID22" i="72" a="1"/>
  <c r="ID22" i="72" s="1"/>
  <c r="HM22" i="72" a="1"/>
  <c r="HM22" i="72" s="1"/>
  <c r="IC22" i="72" a="1"/>
  <c r="IC22" i="72" s="1"/>
  <c r="IB22" i="72" a="1"/>
  <c r="IB22" i="72" s="1"/>
  <c r="IE22" i="72" a="1"/>
  <c r="IE22" i="72" s="1"/>
  <c r="IF22" i="72" a="1"/>
  <c r="IF22" i="72" s="1"/>
  <c r="IA22" i="72" a="1"/>
  <c r="IA22" i="72" s="1"/>
  <c r="IH22" i="72" a="1"/>
  <c r="IH22" i="72" s="1"/>
  <c r="SU24" i="72" a="1"/>
  <c r="SU24" i="72" s="1"/>
  <c r="ST24" i="72" a="1"/>
  <c r="ST24" i="72" s="1"/>
  <c r="SS24" i="72" a="1"/>
  <c r="SS24" i="72" s="1"/>
  <c r="SR24" i="72" a="1"/>
  <c r="SR24" i="72" s="1"/>
  <c r="SW24" i="72" a="1"/>
  <c r="SW24" i="72" s="1"/>
  <c r="SV24" i="72" a="1"/>
  <c r="SV24" i="72" s="1"/>
  <c r="SX24" i="72" a="1"/>
  <c r="SX24" i="72" s="1"/>
  <c r="SQ24" i="72" a="1"/>
  <c r="SQ24" i="72" s="1"/>
  <c r="SC24" i="72" a="1"/>
  <c r="SC24" i="72" s="1"/>
  <c r="SR26" i="72" a="1"/>
  <c r="SR26" i="72" s="1"/>
  <c r="SW26" i="72" a="1"/>
  <c r="SW26" i="72" s="1"/>
  <c r="ST26" i="72" a="1"/>
  <c r="ST26" i="72" s="1"/>
  <c r="SQ26" i="72" a="1"/>
  <c r="SQ26" i="72" s="1"/>
  <c r="SU26" i="72" a="1"/>
  <c r="SU26" i="72" s="1"/>
  <c r="SV26" i="72" a="1"/>
  <c r="SV26" i="72" s="1"/>
  <c r="SS26" i="72" a="1"/>
  <c r="SS26" i="72" s="1"/>
  <c r="SC26" i="72" a="1"/>
  <c r="SC26" i="72" s="1"/>
  <c r="SX26" i="72" a="1"/>
  <c r="SX26" i="72" s="1"/>
  <c r="SS29" i="72" a="1"/>
  <c r="SS29" i="72" s="1"/>
  <c r="ST29" i="72" a="1"/>
  <c r="ST29" i="72" s="1"/>
  <c r="SQ29" i="72" a="1"/>
  <c r="SQ29" i="72" s="1"/>
  <c r="SU29" i="72" a="1"/>
  <c r="SU29" i="72" s="1"/>
  <c r="SR29" i="72" a="1"/>
  <c r="SR29" i="72" s="1"/>
  <c r="SV29" i="72" a="1"/>
  <c r="SV29" i="72" s="1"/>
  <c r="SC29" i="72" a="1"/>
  <c r="SC29" i="72" s="1"/>
  <c r="SW29" i="72" a="1"/>
  <c r="SW29" i="72" s="1"/>
  <c r="SX29" i="72" a="1"/>
  <c r="SX29" i="72" s="1"/>
  <c r="RY21" i="72" a="1"/>
  <c r="RY21" i="72" s="1"/>
  <c r="RZ21" i="72" a="1"/>
  <c r="RZ21" i="72" s="1"/>
  <c r="RW21" i="72" a="1"/>
  <c r="RW21" i="72" s="1"/>
  <c r="SA21" i="72" a="1"/>
  <c r="SA21" i="72" s="1"/>
  <c r="RF21" i="72" a="1"/>
  <c r="RF21" i="72" s="1"/>
  <c r="RX21" i="72" a="1"/>
  <c r="RX21" i="72" s="1"/>
  <c r="RV21" i="72" a="1"/>
  <c r="RV21" i="72" s="1"/>
  <c r="RU21" i="72" a="1"/>
  <c r="RU21" i="72" s="1"/>
  <c r="RT21" i="72" a="1"/>
  <c r="RT21" i="72" s="1"/>
  <c r="RV28" i="72" a="1"/>
  <c r="RV28" i="72" s="1"/>
  <c r="RY28" i="72" a="1"/>
  <c r="RY28" i="72" s="1"/>
  <c r="SA28" i="72" a="1"/>
  <c r="SA28" i="72" s="1"/>
  <c r="RX28" i="72" a="1"/>
  <c r="RX28" i="72" s="1"/>
  <c r="RU28" i="72" a="1"/>
  <c r="RU28" i="72" s="1"/>
  <c r="RT28" i="72" a="1"/>
  <c r="RT28" i="72" s="1"/>
  <c r="RZ28" i="72" a="1"/>
  <c r="RZ28" i="72" s="1"/>
  <c r="RF28" i="72" a="1"/>
  <c r="RF28" i="72" s="1"/>
  <c r="RW28" i="72" a="1"/>
  <c r="RW28" i="72" s="1"/>
  <c r="RZ30" i="72" a="1"/>
  <c r="RZ30" i="72" s="1"/>
  <c r="RU30" i="72" a="1"/>
  <c r="RU30" i="72" s="1"/>
  <c r="RX30" i="72" a="1"/>
  <c r="RX30" i="72" s="1"/>
  <c r="RF30" i="72" a="1"/>
  <c r="RF30" i="72" s="1"/>
  <c r="RV30" i="72" a="1"/>
  <c r="RV30" i="72" s="1"/>
  <c r="SA30" i="72" a="1"/>
  <c r="SA30" i="72" s="1"/>
  <c r="RW30" i="72" a="1"/>
  <c r="RW30" i="72" s="1"/>
  <c r="RY30" i="72" a="1"/>
  <c r="RY30" i="72" s="1"/>
  <c r="RT30" i="72" a="1"/>
  <c r="RT30" i="72" s="1"/>
  <c r="HF23" i="72" a="1"/>
  <c r="HF23" i="72" s="1"/>
  <c r="HE23" i="72" a="1"/>
  <c r="HE23" i="72" s="1"/>
  <c r="HI23" i="72" a="1"/>
  <c r="HI23" i="72" s="1"/>
  <c r="HH23" i="72" a="1"/>
  <c r="HH23" i="72" s="1"/>
  <c r="HJ23" i="72" a="1"/>
  <c r="HJ23" i="72" s="1"/>
  <c r="HK23" i="72" a="1"/>
  <c r="HK23" i="72" s="1"/>
  <c r="HD23" i="72" a="1"/>
  <c r="HD23" i="72" s="1"/>
  <c r="GP23" i="72" a="1"/>
  <c r="GP23" i="72" s="1"/>
  <c r="HG23" i="72" a="1"/>
  <c r="HG23" i="72" s="1"/>
  <c r="HE14" i="72" a="1"/>
  <c r="HE14" i="72" s="1"/>
  <c r="HI14" i="72" a="1"/>
  <c r="HI14" i="72" s="1"/>
  <c r="HH14" i="72" a="1"/>
  <c r="HH14" i="72" s="1"/>
  <c r="HF14" i="72" a="1"/>
  <c r="HF14" i="72" s="1"/>
  <c r="GP14" i="72" a="1"/>
  <c r="GP14" i="72" s="1"/>
  <c r="HG14" i="72" a="1"/>
  <c r="HG14" i="72" s="1"/>
  <c r="HD14" i="72" a="1"/>
  <c r="HD14" i="72" s="1"/>
  <c r="HK14" i="72" a="1"/>
  <c r="HK14" i="72" s="1"/>
  <c r="HJ14" i="72" a="1"/>
  <c r="HJ14" i="72" s="1"/>
  <c r="DU29" i="72" a="1"/>
  <c r="DU29" i="72" s="1"/>
  <c r="DP29" i="72" a="1"/>
  <c r="DP29" i="72" s="1"/>
  <c r="DQ29" i="72" a="1"/>
  <c r="DQ29" i="72" s="1"/>
  <c r="DS29" i="72" a="1"/>
  <c r="DS29" i="72" s="1"/>
  <c r="DV29" i="72" a="1"/>
  <c r="DV29" i="72" s="1"/>
  <c r="DR29" i="72" a="1"/>
  <c r="DR29" i="72" s="1"/>
  <c r="DT29" i="72" a="1"/>
  <c r="DT29" i="72" s="1"/>
  <c r="DB29" i="72" a="1"/>
  <c r="DB29" i="72" s="1"/>
  <c r="DW29" i="72" a="1"/>
  <c r="DW29" i="72" s="1"/>
  <c r="DW27" i="72" a="1"/>
  <c r="DW27" i="72" s="1"/>
  <c r="DU27" i="72" a="1"/>
  <c r="DU27" i="72" s="1"/>
  <c r="DV27" i="72" a="1"/>
  <c r="DV27" i="72" s="1"/>
  <c r="DR27" i="72" a="1"/>
  <c r="DR27" i="72" s="1"/>
  <c r="DQ27" i="72" a="1"/>
  <c r="DQ27" i="72" s="1"/>
  <c r="DS27" i="72" a="1"/>
  <c r="DS27" i="72" s="1"/>
  <c r="DT27" i="72" a="1"/>
  <c r="DT27" i="72" s="1"/>
  <c r="DB27" i="72" a="1"/>
  <c r="DB27" i="72" s="1"/>
  <c r="DP27" i="72" a="1"/>
  <c r="DP27" i="72" s="1"/>
  <c r="DR14" i="72" a="1"/>
  <c r="DR14" i="72" s="1"/>
  <c r="DS14" i="72" a="1"/>
  <c r="DS14" i="72" s="1"/>
  <c r="DT14" i="72" a="1"/>
  <c r="DT14" i="72" s="1"/>
  <c r="DQ14" i="72" a="1"/>
  <c r="DQ14" i="72" s="1"/>
  <c r="DB14" i="72" a="1"/>
  <c r="DB14" i="72" s="1"/>
  <c r="DP14" i="72" a="1"/>
  <c r="DP14" i="72" s="1"/>
  <c r="DW14" i="72" a="1"/>
  <c r="DW14" i="72" s="1"/>
  <c r="DV14" i="72" a="1"/>
  <c r="DV14" i="72" s="1"/>
  <c r="DU14" i="72" a="1"/>
  <c r="DU14" i="72" s="1"/>
  <c r="MS22" i="72" a="1"/>
  <c r="MS22" i="72" s="1"/>
  <c r="MP22" i="72" a="1"/>
  <c r="MP22" i="72" s="1"/>
  <c r="MM22" i="72" a="1"/>
  <c r="MM22" i="72" s="1"/>
  <c r="MR22" i="72" a="1"/>
  <c r="MR22" i="72" s="1"/>
  <c r="MN22" i="72" a="1"/>
  <c r="MN22" i="72" s="1"/>
  <c r="MQ22" i="72" a="1"/>
  <c r="MQ22" i="72" s="1"/>
  <c r="MO22" i="72" a="1"/>
  <c r="MO22" i="72" s="1"/>
  <c r="LX22" i="72" a="1"/>
  <c r="LX22" i="72" s="1"/>
  <c r="ML22" i="72" a="1"/>
  <c r="ML22" i="72" s="1"/>
  <c r="LX29" i="72" a="1"/>
  <c r="LX29" i="72" s="1"/>
  <c r="MM29" i="72" a="1"/>
  <c r="MM29" i="72" s="1"/>
  <c r="MN29" i="72" a="1"/>
  <c r="MN29" i="72" s="1"/>
  <c r="MP29" i="72" a="1"/>
  <c r="MP29" i="72" s="1"/>
  <c r="MR29" i="72" a="1"/>
  <c r="MR29" i="72" s="1"/>
  <c r="MQ29" i="72" a="1"/>
  <c r="MQ29" i="72" s="1"/>
  <c r="MO29" i="72" a="1"/>
  <c r="MO29" i="72" s="1"/>
  <c r="ML29" i="72" a="1"/>
  <c r="ML29" i="72" s="1"/>
  <c r="MS29" i="72" a="1"/>
  <c r="MS29" i="72" s="1"/>
  <c r="JX24" i="72" a="1"/>
  <c r="JX24" i="72" s="1"/>
  <c r="JG24" i="72" a="1"/>
  <c r="JG24" i="72" s="1"/>
  <c r="JV24" i="72" a="1"/>
  <c r="JV24" i="72" s="1"/>
  <c r="KB24" i="72" a="1"/>
  <c r="KB24" i="72" s="1"/>
  <c r="KA24" i="72" a="1"/>
  <c r="KA24" i="72" s="1"/>
  <c r="JY24" i="72" a="1"/>
  <c r="JY24" i="72" s="1"/>
  <c r="JZ24" i="72" a="1"/>
  <c r="JZ24" i="72" s="1"/>
  <c r="JU24" i="72" a="1"/>
  <c r="JU24" i="72" s="1"/>
  <c r="JW24" i="72" a="1"/>
  <c r="JW24" i="72" s="1"/>
  <c r="JU32" i="72" a="1"/>
  <c r="JU32" i="72" s="1"/>
  <c r="JZ32" i="72" a="1"/>
  <c r="JZ32" i="72" s="1"/>
  <c r="JY32" i="72" a="1"/>
  <c r="JY32" i="72" s="1"/>
  <c r="KA32" i="72" a="1"/>
  <c r="KA32" i="72" s="1"/>
  <c r="JG32" i="72" a="1"/>
  <c r="JG32" i="72" s="1"/>
  <c r="JX32" i="72" a="1"/>
  <c r="JX32" i="72" s="1"/>
  <c r="KB32" i="72" a="1"/>
  <c r="KB32" i="72" s="1"/>
  <c r="JW32" i="72" a="1"/>
  <c r="JW32" i="72" s="1"/>
  <c r="JV32" i="72" a="1"/>
  <c r="JV32" i="72" s="1"/>
  <c r="JU15" i="72" a="1"/>
  <c r="JU15" i="72" s="1"/>
  <c r="JG15" i="72" a="1"/>
  <c r="JG15" i="72" s="1"/>
  <c r="JY15" i="72" a="1"/>
  <c r="JY15" i="72" s="1"/>
  <c r="JW15" i="72" a="1"/>
  <c r="JW15" i="72" s="1"/>
  <c r="JV15" i="72" a="1"/>
  <c r="JV15" i="72" s="1"/>
  <c r="JX15" i="72" a="1"/>
  <c r="JX15" i="72" s="1"/>
  <c r="KB15" i="72" a="1"/>
  <c r="KB15" i="72" s="1"/>
  <c r="JZ15" i="72" a="1"/>
  <c r="JZ15" i="72" s="1"/>
  <c r="KA15" i="72" a="1"/>
  <c r="KA15" i="72" s="1"/>
  <c r="GM28" i="72" a="1"/>
  <c r="GM28" i="72" s="1"/>
  <c r="GK28" i="72" a="1"/>
  <c r="GK28" i="72" s="1"/>
  <c r="GL28" i="72" a="1"/>
  <c r="GL28" i="72" s="1"/>
  <c r="FS28" i="72" a="1"/>
  <c r="FS28" i="72" s="1"/>
  <c r="GI28" i="72" a="1"/>
  <c r="GI28" i="72" s="1"/>
  <c r="GH28" i="72" a="1"/>
  <c r="GH28" i="72" s="1"/>
  <c r="GJ28" i="72" a="1"/>
  <c r="GJ28" i="72" s="1"/>
  <c r="GN28" i="72" a="1"/>
  <c r="GN28" i="72" s="1"/>
  <c r="GG28" i="72" a="1"/>
  <c r="GG28" i="72" s="1"/>
  <c r="GM34" i="72" a="1"/>
  <c r="GM34" i="72" s="1"/>
  <c r="GH34" i="72" a="1"/>
  <c r="GH34" i="72" s="1"/>
  <c r="FS34" i="72" a="1"/>
  <c r="FS34" i="72" s="1"/>
  <c r="GG34" i="72" a="1"/>
  <c r="GG34" i="72" s="1"/>
  <c r="GI34" i="72" a="1"/>
  <c r="GI34" i="72" s="1"/>
  <c r="GL34" i="72" a="1"/>
  <c r="GL34" i="72" s="1"/>
  <c r="GN34" i="72" a="1"/>
  <c r="GN34" i="72" s="1"/>
  <c r="GJ34" i="72" a="1"/>
  <c r="GJ34" i="72" s="1"/>
  <c r="GK34" i="72" a="1"/>
  <c r="GK34" i="72" s="1"/>
  <c r="GM23" i="72" a="1"/>
  <c r="GM23" i="72" s="1"/>
  <c r="GN23" i="72" a="1"/>
  <c r="GN23" i="72" s="1"/>
  <c r="GJ23" i="72" a="1"/>
  <c r="GJ23" i="72" s="1"/>
  <c r="GK23" i="72" a="1"/>
  <c r="GK23" i="72" s="1"/>
  <c r="GG23" i="72" a="1"/>
  <c r="GG23" i="72" s="1"/>
  <c r="GL23" i="72" a="1"/>
  <c r="GL23" i="72" s="1"/>
  <c r="GI23" i="72" a="1"/>
  <c r="GI23" i="72" s="1"/>
  <c r="GH23" i="72" a="1"/>
  <c r="GH23" i="72" s="1"/>
  <c r="FS23" i="72" a="1"/>
  <c r="FS23" i="72" s="1"/>
  <c r="BV18" i="72" a="1"/>
  <c r="BV18" i="72" s="1"/>
  <c r="BY18" i="72" a="1"/>
  <c r="BY18" i="72" s="1"/>
  <c r="BX18" i="72" a="1"/>
  <c r="BX18" i="72" s="1"/>
  <c r="BH18" i="72" a="1"/>
  <c r="BH18" i="72" s="1"/>
  <c r="CA18" i="72" a="1"/>
  <c r="CA18" i="72" s="1"/>
  <c r="CB18" i="72" a="1"/>
  <c r="CB18" i="72" s="1"/>
  <c r="BW18" i="72" a="1"/>
  <c r="BW18" i="72" s="1"/>
  <c r="BZ18" i="72" a="1"/>
  <c r="BZ18" i="72" s="1"/>
  <c r="CC18" i="72" a="1"/>
  <c r="CC18" i="72" s="1"/>
  <c r="BZ25" i="72" a="1"/>
  <c r="BZ25" i="72" s="1"/>
  <c r="CB25" i="72" a="1"/>
  <c r="CB25" i="72" s="1"/>
  <c r="CA25" i="72" a="1"/>
  <c r="CA25" i="72" s="1"/>
  <c r="BW25" i="72" a="1"/>
  <c r="BW25" i="72" s="1"/>
  <c r="BV25" i="72" a="1"/>
  <c r="BV25" i="72" s="1"/>
  <c r="BH25" i="72" a="1"/>
  <c r="BH25" i="72" s="1"/>
  <c r="BX25" i="72" a="1"/>
  <c r="BX25" i="72" s="1"/>
  <c r="BY25" i="72" a="1"/>
  <c r="BY25" i="72" s="1"/>
  <c r="CC25" i="72" a="1"/>
  <c r="CC25" i="72" s="1"/>
  <c r="NK26" i="72" a="1"/>
  <c r="NK26" i="72" s="1"/>
  <c r="NJ26" i="72" a="1"/>
  <c r="NJ26" i="72" s="1"/>
  <c r="NN26" i="72" a="1"/>
  <c r="NN26" i="72" s="1"/>
  <c r="NO26" i="72" a="1"/>
  <c r="NO26" i="72" s="1"/>
  <c r="NI26" i="72" a="1"/>
  <c r="NI26" i="72" s="1"/>
  <c r="NL26" i="72" a="1"/>
  <c r="NL26" i="72" s="1"/>
  <c r="MU26" i="72" a="1"/>
  <c r="MU26" i="72" s="1"/>
  <c r="NM26" i="72" a="1"/>
  <c r="NM26" i="72" s="1"/>
  <c r="NP26" i="72" a="1"/>
  <c r="NP26" i="72" s="1"/>
  <c r="NP33" i="72" a="1"/>
  <c r="NP33" i="72" s="1"/>
  <c r="NJ33" i="72" a="1"/>
  <c r="NJ33" i="72" s="1"/>
  <c r="NI33" i="72" a="1"/>
  <c r="NI33" i="72" s="1"/>
  <c r="NK33" i="72" a="1"/>
  <c r="NK33" i="72" s="1"/>
  <c r="NM33" i="72" a="1"/>
  <c r="NM33" i="72" s="1"/>
  <c r="NN33" i="72" a="1"/>
  <c r="NN33" i="72" s="1"/>
  <c r="NL33" i="72" a="1"/>
  <c r="NL33" i="72" s="1"/>
  <c r="NO33" i="72" a="1"/>
  <c r="NO33" i="72" s="1"/>
  <c r="MU33" i="72" a="1"/>
  <c r="MU33" i="72" s="1"/>
  <c r="NJ27" i="72" a="1"/>
  <c r="NJ27" i="72" s="1"/>
  <c r="NO27" i="72" a="1"/>
  <c r="NO27" i="72" s="1"/>
  <c r="NP27" i="72" a="1"/>
  <c r="NP27" i="72" s="1"/>
  <c r="NI27" i="72" a="1"/>
  <c r="NI27" i="72" s="1"/>
  <c r="NN27" i="72" a="1"/>
  <c r="NN27" i="72" s="1"/>
  <c r="MU27" i="72" a="1"/>
  <c r="MU27" i="72" s="1"/>
  <c r="NM27" i="72" a="1"/>
  <c r="NM27" i="72" s="1"/>
  <c r="NK27" i="72" a="1"/>
  <c r="NK27" i="72" s="1"/>
  <c r="NL27" i="72" a="1"/>
  <c r="NL27" i="72" s="1"/>
  <c r="EQ14" i="72" a="1"/>
  <c r="EQ14" i="72" s="1"/>
  <c r="ER14" i="72" a="1"/>
  <c r="ER14" i="72" s="1"/>
  <c r="EP14" i="72" a="1"/>
  <c r="EP14" i="72" s="1"/>
  <c r="EM14" i="72" a="1"/>
  <c r="EM14" i="72" s="1"/>
  <c r="EO14" i="72" a="1"/>
  <c r="EO14" i="72" s="1"/>
  <c r="ET14" i="72" a="1"/>
  <c r="ET14" i="72" s="1"/>
  <c r="EN14" i="72" a="1"/>
  <c r="EN14" i="72" s="1"/>
  <c r="ES14" i="72" a="1"/>
  <c r="ES14" i="72" s="1"/>
  <c r="DY14" i="72" a="1"/>
  <c r="DY14" i="72" s="1"/>
  <c r="EM15" i="72" a="1"/>
  <c r="EM15" i="72" s="1"/>
  <c r="ES15" i="72" a="1"/>
  <c r="ES15" i="72" s="1"/>
  <c r="EO15" i="72" a="1"/>
  <c r="EO15" i="72" s="1"/>
  <c r="DY15" i="72" a="1"/>
  <c r="DY15" i="72" s="1"/>
  <c r="EN15" i="72" a="1"/>
  <c r="EN15" i="72" s="1"/>
  <c r="EP15" i="72" a="1"/>
  <c r="EP15" i="72" s="1"/>
  <c r="ER15" i="72" a="1"/>
  <c r="ER15" i="72" s="1"/>
  <c r="EQ15" i="72" a="1"/>
  <c r="EQ15" i="72" s="1"/>
  <c r="ET15" i="72" a="1"/>
  <c r="ET15" i="72" s="1"/>
  <c r="ET33" i="72" a="1"/>
  <c r="ET33" i="72" s="1"/>
  <c r="ER33" i="72" a="1"/>
  <c r="ER33" i="72" s="1"/>
  <c r="EP33" i="72" a="1"/>
  <c r="EP33" i="72" s="1"/>
  <c r="EN33" i="72" a="1"/>
  <c r="EN33" i="72" s="1"/>
  <c r="EO33" i="72" a="1"/>
  <c r="EO33" i="72" s="1"/>
  <c r="EQ33" i="72" a="1"/>
  <c r="EQ33" i="72" s="1"/>
  <c r="ES33" i="72" a="1"/>
  <c r="ES33" i="72" s="1"/>
  <c r="EM33" i="72" a="1"/>
  <c r="EM33" i="72" s="1"/>
  <c r="DY33" i="72" a="1"/>
  <c r="DY33" i="72" s="1"/>
  <c r="EV34" i="72" a="1"/>
  <c r="EV34" i="72" s="1"/>
  <c r="FN34" i="72" a="1"/>
  <c r="FN34" i="72" s="1"/>
  <c r="FJ34" i="72" a="1"/>
  <c r="FJ34" i="72" s="1"/>
  <c r="FP34" i="72" a="1"/>
  <c r="FP34" i="72" s="1"/>
  <c r="FO34" i="72" a="1"/>
  <c r="FO34" i="72" s="1"/>
  <c r="FK34" i="72" a="1"/>
  <c r="FK34" i="72" s="1"/>
  <c r="FL34" i="72" a="1"/>
  <c r="FL34" i="72" s="1"/>
  <c r="FM34" i="72" a="1"/>
  <c r="FM34" i="72" s="1"/>
  <c r="FQ34" i="72" a="1"/>
  <c r="FQ34" i="72" s="1"/>
  <c r="FK31" i="72" a="1"/>
  <c r="FK31" i="72" s="1"/>
  <c r="EV31" i="72" a="1"/>
  <c r="EV31" i="72" s="1"/>
  <c r="FP31" i="72" a="1"/>
  <c r="FP31" i="72" s="1"/>
  <c r="FN31" i="72" a="1"/>
  <c r="FN31" i="72" s="1"/>
  <c r="FM31" i="72" a="1"/>
  <c r="FM31" i="72" s="1"/>
  <c r="FJ31" i="72" a="1"/>
  <c r="FJ31" i="72" s="1"/>
  <c r="FO31" i="72" a="1"/>
  <c r="FO31" i="72" s="1"/>
  <c r="FL31" i="72" a="1"/>
  <c r="FL31" i="72" s="1"/>
  <c r="FQ31" i="72" a="1"/>
  <c r="FQ31" i="72" s="1"/>
  <c r="PL21" i="72" a="1"/>
  <c r="PL21" i="72" s="1"/>
  <c r="QA21" i="72" a="1"/>
  <c r="QA21" i="72" s="1"/>
  <c r="QE21" i="72" a="1"/>
  <c r="QE21" i="72" s="1"/>
  <c r="QB21" i="72" a="1"/>
  <c r="QB21" i="72" s="1"/>
  <c r="PZ21" i="72" a="1"/>
  <c r="PZ21" i="72" s="1"/>
  <c r="QC21" i="72" a="1"/>
  <c r="QC21" i="72" s="1"/>
  <c r="QF21" i="72" a="1"/>
  <c r="QF21" i="72" s="1"/>
  <c r="QD21" i="72" a="1"/>
  <c r="QD21" i="72" s="1"/>
  <c r="QG21" i="72" a="1"/>
  <c r="QG21" i="72" s="1"/>
  <c r="QG33" i="72" a="1"/>
  <c r="QG33" i="72" s="1"/>
  <c r="QD33" i="72" a="1"/>
  <c r="QD33" i="72" s="1"/>
  <c r="QC33" i="72" a="1"/>
  <c r="QC33" i="72" s="1"/>
  <c r="QE33" i="72" a="1"/>
  <c r="QE33" i="72" s="1"/>
  <c r="QA33" i="72" a="1"/>
  <c r="QA33" i="72" s="1"/>
  <c r="QF33" i="72" a="1"/>
  <c r="QF33" i="72" s="1"/>
  <c r="QB33" i="72" a="1"/>
  <c r="QB33" i="72" s="1"/>
  <c r="PZ33" i="72" a="1"/>
  <c r="PZ33" i="72" s="1"/>
  <c r="PL33" i="72" a="1"/>
  <c r="PL33" i="72" s="1"/>
  <c r="QG16" i="72" a="1"/>
  <c r="QG16" i="72" s="1"/>
  <c r="QA16" i="72" a="1"/>
  <c r="QA16" i="72" s="1"/>
  <c r="PL16" i="72" a="1"/>
  <c r="PL16" i="72" s="1"/>
  <c r="QB16" i="72" a="1"/>
  <c r="QB16" i="72" s="1"/>
  <c r="QF16" i="72" a="1"/>
  <c r="QF16" i="72" s="1"/>
  <c r="QD16" i="72" a="1"/>
  <c r="QD16" i="72" s="1"/>
  <c r="QE16" i="72" a="1"/>
  <c r="QE16" i="72" s="1"/>
  <c r="QC16" i="72" a="1"/>
  <c r="QC16" i="72" s="1"/>
  <c r="PZ16" i="72" a="1"/>
  <c r="PZ16" i="72" s="1"/>
  <c r="CT28" i="72" a="1"/>
  <c r="CT28" i="72" s="1"/>
  <c r="CZ28" i="72" a="1"/>
  <c r="CZ28" i="72" s="1"/>
  <c r="CE28" i="72" a="1"/>
  <c r="CE28" i="72" s="1"/>
  <c r="CW28" i="72" a="1"/>
  <c r="CW28" i="72" s="1"/>
  <c r="CS28" i="72" a="1"/>
  <c r="CS28" i="72" s="1"/>
  <c r="CV28" i="72" a="1"/>
  <c r="CV28" i="72" s="1"/>
  <c r="CU28" i="72" a="1"/>
  <c r="CU28" i="72" s="1"/>
  <c r="CY28" i="72" a="1"/>
  <c r="CY28" i="72" s="1"/>
  <c r="CX28" i="72" a="1"/>
  <c r="CX28" i="72" s="1"/>
  <c r="CZ25" i="72" a="1"/>
  <c r="CZ25" i="72" s="1"/>
  <c r="CX25" i="72" a="1"/>
  <c r="CX25" i="72" s="1"/>
  <c r="CU25" i="72" a="1"/>
  <c r="CU25" i="72" s="1"/>
  <c r="CE25" i="72" a="1"/>
  <c r="CE25" i="72" s="1"/>
  <c r="CS25" i="72" a="1"/>
  <c r="CS25" i="72" s="1"/>
  <c r="CW25" i="72" a="1"/>
  <c r="CW25" i="72" s="1"/>
  <c r="CT25" i="72" a="1"/>
  <c r="CT25" i="72" s="1"/>
  <c r="CY25" i="72" a="1"/>
  <c r="CY25" i="72" s="1"/>
  <c r="CV25" i="72" a="1"/>
  <c r="CV25" i="72" s="1"/>
  <c r="OG17" i="72" a="1"/>
  <c r="OG17" i="72" s="1"/>
  <c r="OH17" i="72" a="1"/>
  <c r="OH17" i="72" s="1"/>
  <c r="OI17" i="72" a="1"/>
  <c r="OI17" i="72" s="1"/>
  <c r="OL17" i="72" a="1"/>
  <c r="OL17" i="72" s="1"/>
  <c r="OJ17" i="72" a="1"/>
  <c r="OJ17" i="72" s="1"/>
  <c r="OK17" i="72" a="1"/>
  <c r="OK17" i="72" s="1"/>
  <c r="NR17" i="72" a="1"/>
  <c r="NR17" i="72" s="1"/>
  <c r="OM17" i="72" a="1"/>
  <c r="OM17" i="72" s="1"/>
  <c r="OF17" i="72" a="1"/>
  <c r="OF17" i="72" s="1"/>
  <c r="OM15" i="72" a="1"/>
  <c r="OM15" i="72" s="1"/>
  <c r="OJ15" i="72" a="1"/>
  <c r="OJ15" i="72" s="1"/>
  <c r="OI15" i="72" a="1"/>
  <c r="OI15" i="72" s="1"/>
  <c r="OF15" i="72" a="1"/>
  <c r="OF15" i="72" s="1"/>
  <c r="OK15" i="72" a="1"/>
  <c r="OK15" i="72" s="1"/>
  <c r="OH15" i="72" a="1"/>
  <c r="OH15" i="72" s="1"/>
  <c r="OG15" i="72" a="1"/>
  <c r="OG15" i="72" s="1"/>
  <c r="OL15" i="72" a="1"/>
  <c r="OL15" i="72" s="1"/>
  <c r="NR15" i="72" a="1"/>
  <c r="NR15" i="72" s="1"/>
  <c r="OF22" i="72" a="1"/>
  <c r="OF22" i="72" s="1"/>
  <c r="OM22" i="72" a="1"/>
  <c r="OM22" i="72" s="1"/>
  <c r="OG22" i="72" a="1"/>
  <c r="OG22" i="72" s="1"/>
  <c r="OK22" i="72" a="1"/>
  <c r="OK22" i="72" s="1"/>
  <c r="NR22" i="72" a="1"/>
  <c r="NR22" i="72" s="1"/>
  <c r="OI22" i="72" a="1"/>
  <c r="OI22" i="72" s="1"/>
  <c r="OJ22" i="72" a="1"/>
  <c r="OJ22" i="72" s="1"/>
  <c r="OH22" i="72" a="1"/>
  <c r="OH22" i="72" s="1"/>
  <c r="OL22" i="72" a="1"/>
  <c r="OL22" i="72" s="1"/>
  <c r="RA24" i="72" a="1"/>
  <c r="RA24" i="72" s="1"/>
  <c r="RC24" i="72" a="1"/>
  <c r="RC24" i="72" s="1"/>
  <c r="RD24" i="72" a="1"/>
  <c r="RD24" i="72" s="1"/>
  <c r="QZ24" i="72" a="1"/>
  <c r="QZ24" i="72" s="1"/>
  <c r="QX24" i="72" a="1"/>
  <c r="QX24" i="72" s="1"/>
  <c r="QW24" i="72" a="1"/>
  <c r="QW24" i="72" s="1"/>
  <c r="QY24" i="72" a="1"/>
  <c r="QY24" i="72" s="1"/>
  <c r="RB24" i="72" a="1"/>
  <c r="RB24" i="72" s="1"/>
  <c r="QI24" i="72" a="1"/>
  <c r="QI24" i="72" s="1"/>
  <c r="QW14" i="72" a="1"/>
  <c r="QW14" i="72" s="1"/>
  <c r="RC14" i="72" a="1"/>
  <c r="RC14" i="72" s="1"/>
  <c r="RD14" i="72" a="1"/>
  <c r="RD14" i="72" s="1"/>
  <c r="QZ14" i="72" a="1"/>
  <c r="QZ14" i="72" s="1"/>
  <c r="QI14" i="72" a="1"/>
  <c r="QI14" i="72" s="1"/>
  <c r="QY14" i="72" a="1"/>
  <c r="QY14" i="72" s="1"/>
  <c r="RA14" i="72" a="1"/>
  <c r="RA14" i="72" s="1"/>
  <c r="QX14" i="72" a="1"/>
  <c r="QX14" i="72" s="1"/>
  <c r="RB14" i="72" a="1"/>
  <c r="RB14" i="72" s="1"/>
  <c r="QI19" i="72" a="1"/>
  <c r="QI19" i="72" s="1"/>
  <c r="RB19" i="72" a="1"/>
  <c r="RB19" i="72" s="1"/>
  <c r="QX19" i="72" a="1"/>
  <c r="QX19" i="72" s="1"/>
  <c r="QW19" i="72" a="1"/>
  <c r="QW19" i="72" s="1"/>
  <c r="RA19" i="72" a="1"/>
  <c r="RA19" i="72" s="1"/>
  <c r="QY19" i="72" a="1"/>
  <c r="QY19" i="72" s="1"/>
  <c r="RC19" i="72" a="1"/>
  <c r="RC19" i="72" s="1"/>
  <c r="QZ19" i="72" a="1"/>
  <c r="QZ19" i="72" s="1"/>
  <c r="RD19" i="72" a="1"/>
  <c r="RD19" i="72" s="1"/>
  <c r="JE21" i="72" a="1"/>
  <c r="JE21" i="72" s="1"/>
  <c r="IZ21" i="72" a="1"/>
  <c r="IZ21" i="72" s="1"/>
  <c r="IJ21" i="72" a="1"/>
  <c r="IJ21" i="72" s="1"/>
  <c r="JD21" i="72" a="1"/>
  <c r="JD21" i="72" s="1"/>
  <c r="JA21" i="72" a="1"/>
  <c r="JA21" i="72" s="1"/>
  <c r="JB21" i="72" a="1"/>
  <c r="JB21" i="72" s="1"/>
  <c r="IY21" i="72" a="1"/>
  <c r="IY21" i="72" s="1"/>
  <c r="IX21" i="72" a="1"/>
  <c r="IX21" i="72" s="1"/>
  <c r="JC21" i="72" a="1"/>
  <c r="JC21" i="72" s="1"/>
  <c r="JA22" i="72" a="1"/>
  <c r="JA22" i="72" s="1"/>
  <c r="IZ22" i="72" a="1"/>
  <c r="IZ22" i="72" s="1"/>
  <c r="JB22" i="72" a="1"/>
  <c r="JB22" i="72" s="1"/>
  <c r="JC22" i="72" a="1"/>
  <c r="JC22" i="72" s="1"/>
  <c r="IJ22" i="72" a="1"/>
  <c r="IJ22" i="72" s="1"/>
  <c r="IX22" i="72" a="1"/>
  <c r="IX22" i="72" s="1"/>
  <c r="JD22" i="72" a="1"/>
  <c r="JD22" i="72" s="1"/>
  <c r="IY22" i="72" a="1"/>
  <c r="IY22" i="72" s="1"/>
  <c r="JE22" i="72" a="1"/>
  <c r="JE22" i="72" s="1"/>
  <c r="PJ27" i="72" a="1"/>
  <c r="PJ27" i="72" s="1"/>
  <c r="PD27" i="72" a="1"/>
  <c r="PD27" i="72" s="1"/>
  <c r="PI27" i="72" a="1"/>
  <c r="PI27" i="72" s="1"/>
  <c r="PE27" i="72" a="1"/>
  <c r="PE27" i="72" s="1"/>
  <c r="PH27" i="72" a="1"/>
  <c r="PH27" i="72" s="1"/>
  <c r="PF27" i="72" a="1"/>
  <c r="PF27" i="72" s="1"/>
  <c r="PC27" i="72" a="1"/>
  <c r="PC27" i="72" s="1"/>
  <c r="OO27" i="72" a="1"/>
  <c r="OO27" i="72" s="1"/>
  <c r="PG27" i="72" a="1"/>
  <c r="PG27" i="72" s="1"/>
  <c r="PI34" i="72" a="1"/>
  <c r="PI34" i="72" s="1"/>
  <c r="PG34" i="72" a="1"/>
  <c r="PG34" i="72" s="1"/>
  <c r="PD34" i="72" a="1"/>
  <c r="PD34" i="72" s="1"/>
  <c r="PF34" i="72" a="1"/>
  <c r="PF34" i="72" s="1"/>
  <c r="PC34" i="72" a="1"/>
  <c r="PC34" i="72" s="1"/>
  <c r="OO34" i="72" a="1"/>
  <c r="OO34" i="72" s="1"/>
  <c r="PE34" i="72" a="1"/>
  <c r="PE34" i="72" s="1"/>
  <c r="PH34" i="72" a="1"/>
  <c r="PH34" i="72" s="1"/>
  <c r="PJ34" i="72" a="1"/>
  <c r="PJ34" i="72" s="1"/>
  <c r="PE25" i="72" a="1"/>
  <c r="PE25" i="72" s="1"/>
  <c r="PD25" i="72" a="1"/>
  <c r="PD25" i="72" s="1"/>
  <c r="PF25" i="72" a="1"/>
  <c r="PF25" i="72" s="1"/>
  <c r="OO25" i="72" a="1"/>
  <c r="OO25" i="72" s="1"/>
  <c r="PC25" i="72" a="1"/>
  <c r="PC25" i="72" s="1"/>
  <c r="PH25" i="72" a="1"/>
  <c r="PH25" i="72" s="1"/>
  <c r="PI25" i="72" a="1"/>
  <c r="PI25" i="72" s="1"/>
  <c r="PG25" i="72" a="1"/>
  <c r="PG25" i="72" s="1"/>
  <c r="PJ25" i="72" a="1"/>
  <c r="PJ25" i="72" s="1"/>
  <c r="IE27" i="72" a="1"/>
  <c r="IE27" i="72" s="1"/>
  <c r="HM27" i="72" a="1"/>
  <c r="HM27" i="72" s="1"/>
  <c r="IB27" i="72" a="1"/>
  <c r="IB27" i="72" s="1"/>
  <c r="IA27" i="72" a="1"/>
  <c r="IA27" i="72" s="1"/>
  <c r="ID27" i="72" a="1"/>
  <c r="ID27" i="72" s="1"/>
  <c r="IC27" i="72" a="1"/>
  <c r="IC27" i="72" s="1"/>
  <c r="IF27" i="72" a="1"/>
  <c r="IF27" i="72" s="1"/>
  <c r="IG27" i="72" a="1"/>
  <c r="IG27" i="72" s="1"/>
  <c r="IH27" i="72" a="1"/>
  <c r="IH27" i="72" s="1"/>
  <c r="LV19" i="72" a="1"/>
  <c r="LV19" i="72" s="1"/>
  <c r="LU19" i="72" a="1"/>
  <c r="LU19" i="72" s="1"/>
  <c r="LQ19" i="72" a="1"/>
  <c r="LQ19" i="72" s="1"/>
  <c r="LS19" i="72" a="1"/>
  <c r="LS19" i="72" s="1"/>
  <c r="LP19" i="72" a="1"/>
  <c r="LP19" i="72" s="1"/>
  <c r="LT19" i="72" a="1"/>
  <c r="LT19" i="72" s="1"/>
  <c r="LR19" i="72" a="1"/>
  <c r="LR19" i="72" s="1"/>
  <c r="LA19" i="72" a="1"/>
  <c r="LA19" i="72" s="1"/>
  <c r="LO19" i="72" a="1"/>
  <c r="LO19" i="72" s="1"/>
  <c r="LV26" i="72" a="1"/>
  <c r="LV26" i="72" s="1"/>
  <c r="LQ26" i="72" a="1"/>
  <c r="LQ26" i="72" s="1"/>
  <c r="LO26" i="72" a="1"/>
  <c r="LO26" i="72" s="1"/>
  <c r="LS26" i="72" a="1"/>
  <c r="LS26" i="72" s="1"/>
  <c r="LA26" i="72" a="1"/>
  <c r="LA26" i="72" s="1"/>
  <c r="LT26" i="72" a="1"/>
  <c r="LT26" i="72" s="1"/>
  <c r="LU26" i="72" a="1"/>
  <c r="LU26" i="72" s="1"/>
  <c r="LP26" i="72" a="1"/>
  <c r="LP26" i="72" s="1"/>
  <c r="LR26" i="72" a="1"/>
  <c r="LR26" i="72" s="1"/>
  <c r="LS32" i="72" a="1"/>
  <c r="LS32" i="72" s="1"/>
  <c r="LR32" i="72" a="1"/>
  <c r="LR32" i="72" s="1"/>
  <c r="LU32" i="72" a="1"/>
  <c r="LU32" i="72" s="1"/>
  <c r="LQ32" i="72" a="1"/>
  <c r="LQ32" i="72" s="1"/>
  <c r="LA32" i="72" a="1"/>
  <c r="LA32" i="72" s="1"/>
  <c r="LO32" i="72" a="1"/>
  <c r="LO32" i="72" s="1"/>
  <c r="LP32" i="72" a="1"/>
  <c r="LP32" i="72" s="1"/>
  <c r="LT32" i="72" a="1"/>
  <c r="LT32" i="72" s="1"/>
  <c r="LV32" i="72" a="1"/>
  <c r="LV32" i="72" s="1"/>
  <c r="LV29" i="72" a="1"/>
  <c r="LV29" i="72" s="1"/>
  <c r="LS29" i="72" a="1"/>
  <c r="LS29" i="72" s="1"/>
  <c r="LO29" i="72" a="1"/>
  <c r="LO29" i="72" s="1"/>
  <c r="LR29" i="72" a="1"/>
  <c r="LR29" i="72" s="1"/>
  <c r="LQ29" i="72" a="1"/>
  <c r="LQ29" i="72" s="1"/>
  <c r="LA29" i="72" a="1"/>
  <c r="LA29" i="72" s="1"/>
  <c r="LU29" i="72" a="1"/>
  <c r="LU29" i="72" s="1"/>
  <c r="LP29" i="72" a="1"/>
  <c r="LP29" i="72" s="1"/>
  <c r="LT29" i="72" a="1"/>
  <c r="LT29" i="72" s="1"/>
  <c r="KW20" i="72" a="1"/>
  <c r="KW20" i="72" s="1"/>
  <c r="KT20" i="72" a="1"/>
  <c r="KT20" i="72" s="1"/>
  <c r="KX20" i="72" a="1"/>
  <c r="KX20" i="72" s="1"/>
  <c r="KR20" i="72" a="1"/>
  <c r="KR20" i="72" s="1"/>
  <c r="KU20" i="72" a="1"/>
  <c r="KU20" i="72" s="1"/>
  <c r="KY20" i="72" a="1"/>
  <c r="KY20" i="72" s="1"/>
  <c r="KD20" i="72" a="1"/>
  <c r="KD20" i="72" s="1"/>
  <c r="KV20" i="72" a="1"/>
  <c r="KV20" i="72" s="1"/>
  <c r="KS20" i="72" a="1"/>
  <c r="KS20" i="72" s="1"/>
  <c r="KW28" i="72" a="1"/>
  <c r="KW28" i="72" s="1"/>
  <c r="KV28" i="72" a="1"/>
  <c r="KV28" i="72" s="1"/>
  <c r="KY28" i="72" a="1"/>
  <c r="KY28" i="72" s="1"/>
  <c r="KR28" i="72" a="1"/>
  <c r="KR28" i="72" s="1"/>
  <c r="KX28" i="72" a="1"/>
  <c r="KX28" i="72" s="1"/>
  <c r="KU28" i="72" a="1"/>
  <c r="KU28" i="72" s="1"/>
  <c r="KS28" i="72" a="1"/>
  <c r="KS28" i="72" s="1"/>
  <c r="KT28" i="72" a="1"/>
  <c r="KT28" i="72" s="1"/>
  <c r="KD28" i="72" a="1"/>
  <c r="KD28" i="72" s="1"/>
  <c r="KU30" i="72" a="1"/>
  <c r="KU30" i="72" s="1"/>
  <c r="KW30" i="72" a="1"/>
  <c r="KW30" i="72" s="1"/>
  <c r="KD30" i="72" a="1"/>
  <c r="KD30" i="72" s="1"/>
  <c r="KT30" i="72" a="1"/>
  <c r="KT30" i="72" s="1"/>
  <c r="KX30" i="72" a="1"/>
  <c r="KX30" i="72" s="1"/>
  <c r="KR30" i="72" a="1"/>
  <c r="KR30" i="72" s="1"/>
  <c r="KS30" i="72" a="1"/>
  <c r="KS30" i="72" s="1"/>
  <c r="KY30" i="72" a="1"/>
  <c r="KY30" i="72" s="1"/>
  <c r="KV30" i="72" a="1"/>
  <c r="KV30" i="72" s="1"/>
  <c r="IH18" i="72" a="1"/>
  <c r="IH18" i="72" s="1"/>
  <c r="IB18" i="72" a="1"/>
  <c r="IB18" i="72" s="1"/>
  <c r="IA18" i="72" a="1"/>
  <c r="IA18" i="72" s="1"/>
  <c r="ID18" i="72" a="1"/>
  <c r="ID18" i="72" s="1"/>
  <c r="IC18" i="72" a="1"/>
  <c r="IC18" i="72" s="1"/>
  <c r="IE18" i="72" a="1"/>
  <c r="IE18" i="72" s="1"/>
  <c r="IF18" i="72" a="1"/>
  <c r="IF18" i="72" s="1"/>
  <c r="HM18" i="72" a="1"/>
  <c r="HM18" i="72" s="1"/>
  <c r="IG18" i="72" a="1"/>
  <c r="IG18" i="72" s="1"/>
  <c r="IF32" i="72" a="1"/>
  <c r="IF32" i="72" s="1"/>
  <c r="IE32" i="72" a="1"/>
  <c r="IE32" i="72" s="1"/>
  <c r="IB32" i="72" a="1"/>
  <c r="IB32" i="72" s="1"/>
  <c r="IA32" i="72" a="1"/>
  <c r="IA32" i="72" s="1"/>
  <c r="IC32" i="72" a="1"/>
  <c r="IC32" i="72" s="1"/>
  <c r="IG32" i="72" a="1"/>
  <c r="IG32" i="72" s="1"/>
  <c r="HM32" i="72" a="1"/>
  <c r="HM32" i="72" s="1"/>
  <c r="ID32" i="72" a="1"/>
  <c r="ID32" i="72" s="1"/>
  <c r="IH32" i="72" a="1"/>
  <c r="IH32" i="72" s="1"/>
  <c r="SS20" i="72" a="1"/>
  <c r="SS20" i="72" s="1"/>
  <c r="SQ20" i="72" a="1"/>
  <c r="SQ20" i="72" s="1"/>
  <c r="SR20" i="72" a="1"/>
  <c r="SR20" i="72" s="1"/>
  <c r="ST20" i="72" a="1"/>
  <c r="ST20" i="72" s="1"/>
  <c r="SC20" i="72" a="1"/>
  <c r="SC20" i="72" s="1"/>
  <c r="SU20" i="72" a="1"/>
  <c r="SU20" i="72" s="1"/>
  <c r="SV20" i="72" a="1"/>
  <c r="SV20" i="72" s="1"/>
  <c r="SW20" i="72" a="1"/>
  <c r="SW20" i="72" s="1"/>
  <c r="SX20" i="72" a="1"/>
  <c r="SX20" i="72" s="1"/>
  <c r="ST16" i="72" a="1"/>
  <c r="ST16" i="72" s="1"/>
  <c r="SV16" i="72" a="1"/>
  <c r="SV16" i="72" s="1"/>
  <c r="SC16" i="72" a="1"/>
  <c r="SC16" i="72" s="1"/>
  <c r="SU16" i="72" a="1"/>
  <c r="SU16" i="72" s="1"/>
  <c r="SQ16" i="72" a="1"/>
  <c r="SQ16" i="72" s="1"/>
  <c r="SS16" i="72" a="1"/>
  <c r="SS16" i="72" s="1"/>
  <c r="SR16" i="72" a="1"/>
  <c r="SR16" i="72" s="1"/>
  <c r="SW16" i="72" a="1"/>
  <c r="SW16" i="72" s="1"/>
  <c r="SX16" i="72" a="1"/>
  <c r="SX16" i="72" s="1"/>
  <c r="SX17" i="72" a="1"/>
  <c r="SX17" i="72" s="1"/>
  <c r="SR17" i="72" a="1"/>
  <c r="SR17" i="72" s="1"/>
  <c r="SC17" i="72" a="1"/>
  <c r="SC17" i="72" s="1"/>
  <c r="SU17" i="72" a="1"/>
  <c r="SU17" i="72" s="1"/>
  <c r="SV17" i="72" a="1"/>
  <c r="SV17" i="72" s="1"/>
  <c r="SW17" i="72" a="1"/>
  <c r="SW17" i="72" s="1"/>
  <c r="ST17" i="72" a="1"/>
  <c r="ST17" i="72" s="1"/>
  <c r="SS17" i="72" a="1"/>
  <c r="SS17" i="72" s="1"/>
  <c r="SQ17" i="72" a="1"/>
  <c r="SQ17" i="72" s="1"/>
  <c r="RX32" i="72" a="1"/>
  <c r="RX32" i="72" s="1"/>
  <c r="RU32" i="72" a="1"/>
  <c r="RU32" i="72" s="1"/>
  <c r="SA32" i="72" a="1"/>
  <c r="SA32" i="72" s="1"/>
  <c r="RV32" i="72" a="1"/>
  <c r="RV32" i="72" s="1"/>
  <c r="RW32" i="72" a="1"/>
  <c r="RW32" i="72" s="1"/>
  <c r="RF32" i="72" a="1"/>
  <c r="RF32" i="72" s="1"/>
  <c r="RT32" i="72" a="1"/>
  <c r="RT32" i="72" s="1"/>
  <c r="RY32" i="72" a="1"/>
  <c r="RY32" i="72" s="1"/>
  <c r="RZ32" i="72" a="1"/>
  <c r="RZ32" i="72" s="1"/>
  <c r="RX19" i="72" a="1"/>
  <c r="RX19" i="72" s="1"/>
  <c r="RW19" i="72" a="1"/>
  <c r="RW19" i="72" s="1"/>
  <c r="RF19" i="72" a="1"/>
  <c r="RF19" i="72" s="1"/>
  <c r="SA19" i="72" a="1"/>
  <c r="SA19" i="72" s="1"/>
  <c r="RZ19" i="72" a="1"/>
  <c r="RZ19" i="72" s="1"/>
  <c r="RT19" i="72" a="1"/>
  <c r="RT19" i="72" s="1"/>
  <c r="RU19" i="72" a="1"/>
  <c r="RU19" i="72" s="1"/>
  <c r="RY19" i="72" a="1"/>
  <c r="RY19" i="72" s="1"/>
  <c r="RV19" i="72" a="1"/>
  <c r="RV19" i="72" s="1"/>
  <c r="HJ15" i="72" a="1"/>
  <c r="HJ15" i="72" s="1"/>
  <c r="HD15" i="72" a="1"/>
  <c r="HD15" i="72" s="1"/>
  <c r="HI15" i="72" a="1"/>
  <c r="HI15" i="72" s="1"/>
  <c r="HH15" i="72" a="1"/>
  <c r="HH15" i="72" s="1"/>
  <c r="HE15" i="72" a="1"/>
  <c r="HE15" i="72" s="1"/>
  <c r="GP15" i="72" a="1"/>
  <c r="GP15" i="72" s="1"/>
  <c r="HG15" i="72" a="1"/>
  <c r="HG15" i="72" s="1"/>
  <c r="HK15" i="72" a="1"/>
  <c r="HK15" i="72" s="1"/>
  <c r="HF15" i="72" a="1"/>
  <c r="HF15" i="72" s="1"/>
  <c r="HK24" i="72" a="1"/>
  <c r="HK24" i="72" s="1"/>
  <c r="HD24" i="72" a="1"/>
  <c r="HD24" i="72" s="1"/>
  <c r="HI24" i="72" a="1"/>
  <c r="HI24" i="72" s="1"/>
  <c r="GP24" i="72" a="1"/>
  <c r="GP24" i="72" s="1"/>
  <c r="HG24" i="72" a="1"/>
  <c r="HG24" i="72" s="1"/>
  <c r="HF24" i="72" a="1"/>
  <c r="HF24" i="72" s="1"/>
  <c r="HE24" i="72" a="1"/>
  <c r="HE24" i="72" s="1"/>
  <c r="HJ24" i="72" a="1"/>
  <c r="HJ24" i="72" s="1"/>
  <c r="HH24" i="72" a="1"/>
  <c r="HH24" i="72" s="1"/>
  <c r="HG22" i="72" a="1"/>
  <c r="HG22" i="72" s="1"/>
  <c r="HI22" i="72" a="1"/>
  <c r="HI22" i="72" s="1"/>
  <c r="GP22" i="72" a="1"/>
  <c r="GP22" i="72" s="1"/>
  <c r="HD22" i="72" a="1"/>
  <c r="HD22" i="72" s="1"/>
  <c r="HK22" i="72" a="1"/>
  <c r="HK22" i="72" s="1"/>
  <c r="HE22" i="72" a="1"/>
  <c r="HE22" i="72" s="1"/>
  <c r="HF22" i="72" a="1"/>
  <c r="HF22" i="72" s="1"/>
  <c r="HJ22" i="72" a="1"/>
  <c r="HJ22" i="72" s="1"/>
  <c r="HH22" i="72" a="1"/>
  <c r="HH22" i="72" s="1"/>
  <c r="DP17" i="72" a="1"/>
  <c r="DP17" i="72" s="1"/>
  <c r="DR17" i="72" a="1"/>
  <c r="DR17" i="72" s="1"/>
  <c r="DV17" i="72" a="1"/>
  <c r="DV17" i="72" s="1"/>
  <c r="DQ17" i="72" a="1"/>
  <c r="DQ17" i="72" s="1"/>
  <c r="DS17" i="72" a="1"/>
  <c r="DS17" i="72" s="1"/>
  <c r="DU17" i="72" a="1"/>
  <c r="DU17" i="72" s="1"/>
  <c r="DW17" i="72" a="1"/>
  <c r="DW17" i="72" s="1"/>
  <c r="DB17" i="72" a="1"/>
  <c r="DB17" i="72" s="1"/>
  <c r="DT17" i="72" a="1"/>
  <c r="DT17" i="72" s="1"/>
  <c r="DP15" i="72" a="1"/>
  <c r="DP15" i="72" s="1"/>
  <c r="DB15" i="72" a="1"/>
  <c r="DB15" i="72" s="1"/>
  <c r="DQ15" i="72" a="1"/>
  <c r="DQ15" i="72" s="1"/>
  <c r="DS15" i="72" a="1"/>
  <c r="DS15" i="72" s="1"/>
  <c r="DU15" i="72" a="1"/>
  <c r="DU15" i="72" s="1"/>
  <c r="DV15" i="72" a="1"/>
  <c r="DV15" i="72" s="1"/>
  <c r="DT15" i="72" a="1"/>
  <c r="DT15" i="72" s="1"/>
  <c r="DR15" i="72" a="1"/>
  <c r="DR15" i="72" s="1"/>
  <c r="DW15" i="72" a="1"/>
  <c r="DW15" i="72" s="1"/>
  <c r="DV22" i="72" a="1"/>
  <c r="DV22" i="72" s="1"/>
  <c r="DB22" i="72" a="1"/>
  <c r="DB22" i="72" s="1"/>
  <c r="DP22" i="72" a="1"/>
  <c r="DP22" i="72" s="1"/>
  <c r="DU22" i="72" a="1"/>
  <c r="DU22" i="72" s="1"/>
  <c r="DR22" i="72" a="1"/>
  <c r="DR22" i="72" s="1"/>
  <c r="DW22" i="72" a="1"/>
  <c r="DW22" i="72" s="1"/>
  <c r="DQ22" i="72" a="1"/>
  <c r="DQ22" i="72" s="1"/>
  <c r="DT22" i="72" a="1"/>
  <c r="DT22" i="72" s="1"/>
  <c r="DS22" i="72" a="1"/>
  <c r="DS22" i="72" s="1"/>
  <c r="MS25" i="72" a="1"/>
  <c r="MS25" i="72" s="1"/>
  <c r="MM25" i="72" a="1"/>
  <c r="MM25" i="72" s="1"/>
  <c r="MN25" i="72" a="1"/>
  <c r="MN25" i="72" s="1"/>
  <c r="MP25" i="72" a="1"/>
  <c r="MP25" i="72" s="1"/>
  <c r="MO25" i="72" a="1"/>
  <c r="MO25" i="72" s="1"/>
  <c r="ML25" i="72" a="1"/>
  <c r="ML25" i="72" s="1"/>
  <c r="LX25" i="72" a="1"/>
  <c r="LX25" i="72" s="1"/>
  <c r="MR25" i="72" a="1"/>
  <c r="MR25" i="72" s="1"/>
  <c r="MQ25" i="72" a="1"/>
  <c r="MQ25" i="72" s="1"/>
  <c r="MR23" i="72" a="1"/>
  <c r="MR23" i="72" s="1"/>
  <c r="MQ23" i="72" a="1"/>
  <c r="MQ23" i="72" s="1"/>
  <c r="LX23" i="72" a="1"/>
  <c r="LX23" i="72" s="1"/>
  <c r="MO23" i="72" a="1"/>
  <c r="MO23" i="72" s="1"/>
  <c r="MN23" i="72" a="1"/>
  <c r="MN23" i="72" s="1"/>
  <c r="ML23" i="72" a="1"/>
  <c r="ML23" i="72" s="1"/>
  <c r="MP23" i="72" a="1"/>
  <c r="MP23" i="72" s="1"/>
  <c r="MM23" i="72" a="1"/>
  <c r="MM23" i="72" s="1"/>
  <c r="MS23" i="72" a="1"/>
  <c r="MS23" i="72" s="1"/>
  <c r="JW25" i="72" a="1"/>
  <c r="JW25" i="72" s="1"/>
  <c r="JU25" i="72" a="1"/>
  <c r="JU25" i="72" s="1"/>
  <c r="JZ25" i="72" a="1"/>
  <c r="JZ25" i="72" s="1"/>
  <c r="JG25" i="72" a="1"/>
  <c r="JG25" i="72" s="1"/>
  <c r="JX25" i="72" a="1"/>
  <c r="JX25" i="72" s="1"/>
  <c r="JY25" i="72" a="1"/>
  <c r="JY25" i="72" s="1"/>
  <c r="JV25" i="72" a="1"/>
  <c r="JV25" i="72" s="1"/>
  <c r="KA25" i="72" a="1"/>
  <c r="KA25" i="72" s="1"/>
  <c r="KB25" i="72" a="1"/>
  <c r="KB25" i="72" s="1"/>
  <c r="JW20" i="72" a="1"/>
  <c r="JW20" i="72" s="1"/>
  <c r="JX20" i="72" a="1"/>
  <c r="JX20" i="72" s="1"/>
  <c r="JY20" i="72" a="1"/>
  <c r="JY20" i="72" s="1"/>
  <c r="KB20" i="72" a="1"/>
  <c r="KB20" i="72" s="1"/>
  <c r="JV20" i="72" a="1"/>
  <c r="JV20" i="72" s="1"/>
  <c r="JZ20" i="72" a="1"/>
  <c r="JZ20" i="72" s="1"/>
  <c r="JU20" i="72" a="1"/>
  <c r="JU20" i="72" s="1"/>
  <c r="JG20" i="72" a="1"/>
  <c r="JG20" i="72" s="1"/>
  <c r="KA20" i="72" a="1"/>
  <c r="KA20" i="72" s="1"/>
  <c r="JY23" i="72" a="1"/>
  <c r="JY23" i="72" s="1"/>
  <c r="KA23" i="72" a="1"/>
  <c r="KA23" i="72" s="1"/>
  <c r="JV23" i="72" a="1"/>
  <c r="JV23" i="72" s="1"/>
  <c r="JW23" i="72" a="1"/>
  <c r="JW23" i="72" s="1"/>
  <c r="JU23" i="72" a="1"/>
  <c r="JU23" i="72" s="1"/>
  <c r="JG23" i="72" a="1"/>
  <c r="JG23" i="72" s="1"/>
  <c r="KB23" i="72" a="1"/>
  <c r="KB23" i="72" s="1"/>
  <c r="JZ23" i="72" a="1"/>
  <c r="JZ23" i="72" s="1"/>
  <c r="JX23" i="72" a="1"/>
  <c r="JX23" i="72" s="1"/>
  <c r="FS14" i="72" a="1"/>
  <c r="FS14" i="72" s="1"/>
  <c r="GL14" i="72" a="1"/>
  <c r="GL14" i="72" s="1"/>
  <c r="GJ14" i="72" a="1"/>
  <c r="GJ14" i="72" s="1"/>
  <c r="GM14" i="72" a="1"/>
  <c r="GM14" i="72" s="1"/>
  <c r="GK14" i="72" a="1"/>
  <c r="GK14" i="72" s="1"/>
  <c r="GG14" i="72" a="1"/>
  <c r="GG14" i="72" s="1"/>
  <c r="GH14" i="72" a="1"/>
  <c r="GH14" i="72" s="1"/>
  <c r="GI14" i="72" a="1"/>
  <c r="GI14" i="72" s="1"/>
  <c r="GN14" i="72" a="1"/>
  <c r="GN14" i="72" s="1"/>
  <c r="GJ16" i="72" a="1"/>
  <c r="GJ16" i="72" s="1"/>
  <c r="GL16" i="72" a="1"/>
  <c r="GL16" i="72" s="1"/>
  <c r="FS16" i="72" a="1"/>
  <c r="FS16" i="72" s="1"/>
  <c r="GG16" i="72" a="1"/>
  <c r="GG16" i="72" s="1"/>
  <c r="GK16" i="72" a="1"/>
  <c r="GK16" i="72" s="1"/>
  <c r="GN16" i="72" a="1"/>
  <c r="GN16" i="72" s="1"/>
  <c r="GI16" i="72" a="1"/>
  <c r="GI16" i="72" s="1"/>
  <c r="GH16" i="72" a="1"/>
  <c r="GH16" i="72" s="1"/>
  <c r="GM16" i="72" a="1"/>
  <c r="GM16" i="72" s="1"/>
  <c r="GI31" i="72" a="1"/>
  <c r="GI31" i="72" s="1"/>
  <c r="FS31" i="72" a="1"/>
  <c r="FS31" i="72" s="1"/>
  <c r="GJ31" i="72" a="1"/>
  <c r="GJ31" i="72" s="1"/>
  <c r="GM31" i="72" a="1"/>
  <c r="GM31" i="72" s="1"/>
  <c r="GH31" i="72" a="1"/>
  <c r="GH31" i="72" s="1"/>
  <c r="GK31" i="72" a="1"/>
  <c r="GK31" i="72" s="1"/>
  <c r="GG31" i="72" a="1"/>
  <c r="GG31" i="72" s="1"/>
  <c r="GL31" i="72" a="1"/>
  <c r="GL31" i="72" s="1"/>
  <c r="GN31" i="72" a="1"/>
  <c r="GN31" i="72" s="1"/>
  <c r="CC33" i="72" a="1"/>
  <c r="CC33" i="72" s="1"/>
  <c r="CA33" i="72" a="1"/>
  <c r="CA33" i="72" s="1"/>
  <c r="CB33" i="72" a="1"/>
  <c r="CB33" i="72" s="1"/>
  <c r="BV33" i="72" a="1"/>
  <c r="BV33" i="72" s="1"/>
  <c r="G33" i="72" s="1"/>
  <c r="BY33" i="72" a="1"/>
  <c r="BY33" i="72" s="1"/>
  <c r="BZ33" i="72" a="1"/>
  <c r="BZ33" i="72" s="1"/>
  <c r="BH33" i="72" a="1"/>
  <c r="BH33" i="72" s="1"/>
  <c r="BW33" i="72" a="1"/>
  <c r="BW33" i="72" s="1"/>
  <c r="BX33" i="72" a="1"/>
  <c r="BX33" i="72" s="1"/>
  <c r="BV19" i="72" a="1"/>
  <c r="BV19" i="72" s="1"/>
  <c r="BZ19" i="72" a="1"/>
  <c r="BZ19" i="72" s="1"/>
  <c r="BY19" i="72" a="1"/>
  <c r="BY19" i="72" s="1"/>
  <c r="BH19" i="72" a="1"/>
  <c r="BH19" i="72" s="1"/>
  <c r="CA19" i="72" a="1"/>
  <c r="CA19" i="72" s="1"/>
  <c r="CB19" i="72" a="1"/>
  <c r="CB19" i="72" s="1"/>
  <c r="BW19" i="72" a="1"/>
  <c r="BW19" i="72" s="1"/>
  <c r="BX19" i="72" a="1"/>
  <c r="BX19" i="72" s="1"/>
  <c r="CC19" i="72" a="1"/>
  <c r="CC19" i="72" s="1"/>
  <c r="NP14" i="72" a="1"/>
  <c r="NP14" i="72" s="1"/>
  <c r="NM14" i="72" a="1"/>
  <c r="NM14" i="72" s="1"/>
  <c r="NK14" i="72" a="1"/>
  <c r="NK14" i="72" s="1"/>
  <c r="NI14" i="72" a="1"/>
  <c r="NI14" i="72" s="1"/>
  <c r="NJ14" i="72" a="1"/>
  <c r="NJ14" i="72" s="1"/>
  <c r="NL14" i="72" a="1"/>
  <c r="NL14" i="72" s="1"/>
  <c r="NN14" i="72" a="1"/>
  <c r="NN14" i="72" s="1"/>
  <c r="MU14" i="72" a="1"/>
  <c r="MU14" i="72" s="1"/>
  <c r="NO14" i="72" a="1"/>
  <c r="NO14" i="72" s="1"/>
  <c r="NN21" i="72" a="1"/>
  <c r="NN21" i="72" s="1"/>
  <c r="NJ21" i="72" a="1"/>
  <c r="NJ21" i="72" s="1"/>
  <c r="NL21" i="72" a="1"/>
  <c r="NL21" i="72" s="1"/>
  <c r="NO21" i="72" a="1"/>
  <c r="NO21" i="72" s="1"/>
  <c r="NK21" i="72" a="1"/>
  <c r="NK21" i="72" s="1"/>
  <c r="NM21" i="72" a="1"/>
  <c r="NM21" i="72" s="1"/>
  <c r="NP21" i="72" a="1"/>
  <c r="NP21" i="72" s="1"/>
  <c r="NI21" i="72" a="1"/>
  <c r="NI21" i="72" s="1"/>
  <c r="MU21" i="72" a="1"/>
  <c r="MU21" i="72" s="1"/>
  <c r="NO15" i="72" a="1"/>
  <c r="NO15" i="72" s="1"/>
  <c r="NK15" i="72" a="1"/>
  <c r="NK15" i="72" s="1"/>
  <c r="NP15" i="72" a="1"/>
  <c r="NP15" i="72" s="1"/>
  <c r="NJ15" i="72" a="1"/>
  <c r="NJ15" i="72" s="1"/>
  <c r="NI15" i="72" a="1"/>
  <c r="NI15" i="72" s="1"/>
  <c r="NL15" i="72" a="1"/>
  <c r="NL15" i="72" s="1"/>
  <c r="NN15" i="72" a="1"/>
  <c r="NN15" i="72" s="1"/>
  <c r="MU15" i="72" a="1"/>
  <c r="MU15" i="72" s="1"/>
  <c r="NM15" i="72" a="1"/>
  <c r="NM15" i="72" s="1"/>
  <c r="ET28" i="72" a="1"/>
  <c r="ET28" i="72" s="1"/>
  <c r="EM28" i="72" a="1"/>
  <c r="EM28" i="72" s="1"/>
  <c r="DY28" i="72" a="1"/>
  <c r="DY28" i="72" s="1"/>
  <c r="ER28" i="72" a="1"/>
  <c r="ER28" i="72" s="1"/>
  <c r="EO28" i="72" a="1"/>
  <c r="EO28" i="72" s="1"/>
  <c r="ES28" i="72" a="1"/>
  <c r="ES28" i="72" s="1"/>
  <c r="EP28" i="72" a="1"/>
  <c r="EP28" i="72" s="1"/>
  <c r="EN28" i="72" a="1"/>
  <c r="EN28" i="72" s="1"/>
  <c r="EQ28" i="72" a="1"/>
  <c r="EQ28" i="72" s="1"/>
  <c r="DY26" i="72" a="1"/>
  <c r="DY26" i="72" s="1"/>
  <c r="EM26" i="72" a="1"/>
  <c r="EM26" i="72" s="1"/>
  <c r="EP26" i="72" a="1"/>
  <c r="EP26" i="72" s="1"/>
  <c r="ER26" i="72" a="1"/>
  <c r="ER26" i="72" s="1"/>
  <c r="EQ26" i="72" a="1"/>
  <c r="EQ26" i="72" s="1"/>
  <c r="EN26" i="72" a="1"/>
  <c r="EN26" i="72" s="1"/>
  <c r="ES26" i="72" a="1"/>
  <c r="ES26" i="72" s="1"/>
  <c r="EO26" i="72" a="1"/>
  <c r="EO26" i="72" s="1"/>
  <c r="ET26" i="72" a="1"/>
  <c r="ET26" i="72" s="1"/>
  <c r="FJ14" i="72" a="1"/>
  <c r="FJ14" i="72" s="1"/>
  <c r="FK14" i="72" a="1"/>
  <c r="FK14" i="72" s="1"/>
  <c r="FP14" i="72" a="1"/>
  <c r="FP14" i="72" s="1"/>
  <c r="FM14" i="72" a="1"/>
  <c r="FM14" i="72" s="1"/>
  <c r="FN14" i="72" a="1"/>
  <c r="FN14" i="72" s="1"/>
  <c r="FL14" i="72" a="1"/>
  <c r="FL14" i="72" s="1"/>
  <c r="EV14" i="72" a="1"/>
  <c r="EV14" i="72" s="1"/>
  <c r="FQ14" i="72" a="1"/>
  <c r="FQ14" i="72" s="1"/>
  <c r="FO14" i="72" a="1"/>
  <c r="FO14" i="72" s="1"/>
  <c r="FN22" i="72" a="1"/>
  <c r="FN22" i="72" s="1"/>
  <c r="FK22" i="72" a="1"/>
  <c r="FK22" i="72" s="1"/>
  <c r="EV22" i="72" a="1"/>
  <c r="EV22" i="72" s="1"/>
  <c r="FP22" i="72" a="1"/>
  <c r="FP22" i="72" s="1"/>
  <c r="FM22" i="72" a="1"/>
  <c r="FM22" i="72" s="1"/>
  <c r="FO22" i="72" a="1"/>
  <c r="FO22" i="72" s="1"/>
  <c r="FL22" i="72" a="1"/>
  <c r="FL22" i="72" s="1"/>
  <c r="FJ22" i="72" a="1"/>
  <c r="FJ22" i="72" s="1"/>
  <c r="FQ22" i="72" a="1"/>
  <c r="FQ22" i="72" s="1"/>
  <c r="FQ16" i="72" a="1"/>
  <c r="FQ16" i="72" s="1"/>
  <c r="FN16" i="72" a="1"/>
  <c r="FN16" i="72" s="1"/>
  <c r="FO16" i="72" a="1"/>
  <c r="FO16" i="72" s="1"/>
  <c r="FM16" i="72" a="1"/>
  <c r="FM16" i="72" s="1"/>
  <c r="FJ16" i="72" a="1"/>
  <c r="FJ16" i="72" s="1"/>
  <c r="FK16" i="72" a="1"/>
  <c r="FK16" i="72" s="1"/>
  <c r="EV16" i="72" a="1"/>
  <c r="EV16" i="72" s="1"/>
  <c r="FL16" i="72" a="1"/>
  <c r="FL16" i="72" s="1"/>
  <c r="FP16" i="72" a="1"/>
  <c r="FP16" i="72" s="1"/>
  <c r="QD22" i="72" a="1"/>
  <c r="QD22" i="72" s="1"/>
  <c r="QF22" i="72" a="1"/>
  <c r="QF22" i="72" s="1"/>
  <c r="QB22" i="72" a="1"/>
  <c r="QB22" i="72" s="1"/>
  <c r="QC22" i="72" a="1"/>
  <c r="QC22" i="72" s="1"/>
  <c r="QE22" i="72" a="1"/>
  <c r="QE22" i="72" s="1"/>
  <c r="PZ22" i="72" a="1"/>
  <c r="PZ22" i="72" s="1"/>
  <c r="QA22" i="72" a="1"/>
  <c r="QA22" i="72" s="1"/>
  <c r="PL22" i="72" a="1"/>
  <c r="PL22" i="72" s="1"/>
  <c r="QG22" i="72" a="1"/>
  <c r="QG22" i="72" s="1"/>
  <c r="QE19" i="72" a="1"/>
  <c r="QE19" i="72" s="1"/>
  <c r="QF19" i="72" a="1"/>
  <c r="QF19" i="72" s="1"/>
  <c r="QD19" i="72" a="1"/>
  <c r="QD19" i="72" s="1"/>
  <c r="QB19" i="72" a="1"/>
  <c r="QB19" i="72" s="1"/>
  <c r="QC19" i="72" a="1"/>
  <c r="QC19" i="72" s="1"/>
  <c r="PZ19" i="72" a="1"/>
  <c r="PZ19" i="72" s="1"/>
  <c r="QA19" i="72" a="1"/>
  <c r="QA19" i="72" s="1"/>
  <c r="PL19" i="72" a="1"/>
  <c r="PL19" i="72" s="1"/>
  <c r="QG19" i="72" a="1"/>
  <c r="QG19" i="72" s="1"/>
  <c r="QG24" i="72" a="1"/>
  <c r="QG24" i="72" s="1"/>
  <c r="PZ24" i="72" a="1"/>
  <c r="PZ24" i="72" s="1"/>
  <c r="QE24" i="72" a="1"/>
  <c r="QE24" i="72" s="1"/>
  <c r="QC24" i="72" a="1"/>
  <c r="QC24" i="72" s="1"/>
  <c r="QD24" i="72" a="1"/>
  <c r="QD24" i="72" s="1"/>
  <c r="QB24" i="72" a="1"/>
  <c r="QB24" i="72" s="1"/>
  <c r="QA24" i="72" a="1"/>
  <c r="QA24" i="72" s="1"/>
  <c r="QF24" i="72" a="1"/>
  <c r="QF24" i="72" s="1"/>
  <c r="PL24" i="72" a="1"/>
  <c r="PL24" i="72" s="1"/>
  <c r="CE16" i="72" a="1"/>
  <c r="CE16" i="72" s="1"/>
  <c r="CU16" i="72" a="1"/>
  <c r="CU16" i="72" s="1"/>
  <c r="CZ16" i="72" a="1"/>
  <c r="CZ16" i="72" s="1"/>
  <c r="CW16" i="72" a="1"/>
  <c r="CW16" i="72" s="1"/>
  <c r="CY16" i="72" a="1"/>
  <c r="CY16" i="72" s="1"/>
  <c r="CX16" i="72" a="1"/>
  <c r="CX16" i="72" s="1"/>
  <c r="CV16" i="72" a="1"/>
  <c r="CV16" i="72" s="1"/>
  <c r="CS16" i="72" a="1"/>
  <c r="CS16" i="72" s="1"/>
  <c r="CT16" i="72" a="1"/>
  <c r="CT16" i="72" s="1"/>
  <c r="CU20" i="72" a="1"/>
  <c r="CU20" i="72" s="1"/>
  <c r="CS20" i="72" a="1"/>
  <c r="CS20" i="72" s="1"/>
  <c r="CZ20" i="72" a="1"/>
  <c r="CZ20" i="72" s="1"/>
  <c r="CV20" i="72" a="1"/>
  <c r="CV20" i="72" s="1"/>
  <c r="CW20" i="72" a="1"/>
  <c r="CW20" i="72" s="1"/>
  <c r="CY20" i="72" a="1"/>
  <c r="CY20" i="72" s="1"/>
  <c r="CX20" i="72" a="1"/>
  <c r="CX20" i="72" s="1"/>
  <c r="CT20" i="72" a="1"/>
  <c r="CT20" i="72" s="1"/>
  <c r="CE20" i="72" a="1"/>
  <c r="CE20" i="72" s="1"/>
  <c r="OF32" i="72" a="1"/>
  <c r="OF32" i="72" s="1"/>
  <c r="OH32" i="72" a="1"/>
  <c r="OH32" i="72" s="1"/>
  <c r="OM32" i="72" a="1"/>
  <c r="OM32" i="72" s="1"/>
  <c r="OJ32" i="72" a="1"/>
  <c r="OJ32" i="72" s="1"/>
  <c r="NR32" i="72" a="1"/>
  <c r="NR32" i="72" s="1"/>
  <c r="OI32" i="72" a="1"/>
  <c r="OI32" i="72" s="1"/>
  <c r="OG32" i="72" a="1"/>
  <c r="OG32" i="72" s="1"/>
  <c r="OL32" i="72" a="1"/>
  <c r="OL32" i="72" s="1"/>
  <c r="OK32" i="72" a="1"/>
  <c r="OK32" i="72" s="1"/>
  <c r="NR28" i="72" a="1"/>
  <c r="NR28" i="72" s="1"/>
  <c r="OI28" i="72" a="1"/>
  <c r="OI28" i="72" s="1"/>
  <c r="OL28" i="72" a="1"/>
  <c r="OL28" i="72" s="1"/>
  <c r="OJ28" i="72" a="1"/>
  <c r="OJ28" i="72" s="1"/>
  <c r="OH28" i="72" a="1"/>
  <c r="OH28" i="72" s="1"/>
  <c r="OM28" i="72" a="1"/>
  <c r="OM28" i="72" s="1"/>
  <c r="OK28" i="72" a="1"/>
  <c r="OK28" i="72" s="1"/>
  <c r="OF28" i="72" a="1"/>
  <c r="OF28" i="72" s="1"/>
  <c r="OG28" i="72" a="1"/>
  <c r="OG28" i="72" s="1"/>
  <c r="OF30" i="72" a="1"/>
  <c r="OF30" i="72" s="1"/>
  <c r="NR30" i="72" a="1"/>
  <c r="NR30" i="72" s="1"/>
  <c r="OL30" i="72" a="1"/>
  <c r="OL30" i="72" s="1"/>
  <c r="OG30" i="72" a="1"/>
  <c r="OG30" i="72" s="1"/>
  <c r="OI30" i="72" a="1"/>
  <c r="OI30" i="72" s="1"/>
  <c r="OH30" i="72" a="1"/>
  <c r="OH30" i="72" s="1"/>
  <c r="OM30" i="72" a="1"/>
  <c r="OM30" i="72" s="1"/>
  <c r="OK30" i="72" a="1"/>
  <c r="OK30" i="72" s="1"/>
  <c r="OJ30" i="72" a="1"/>
  <c r="OJ30" i="72" s="1"/>
  <c r="QZ26" i="72" a="1"/>
  <c r="QZ26" i="72" s="1"/>
  <c r="QW26" i="72" a="1"/>
  <c r="QW26" i="72" s="1"/>
  <c r="QX26" i="72" a="1"/>
  <c r="QX26" i="72" s="1"/>
  <c r="QI26" i="72" a="1"/>
  <c r="QI26" i="72" s="1"/>
  <c r="RC26" i="72" a="1"/>
  <c r="RC26" i="72" s="1"/>
  <c r="RA26" i="72" a="1"/>
  <c r="RA26" i="72" s="1"/>
  <c r="QY26" i="72" a="1"/>
  <c r="QY26" i="72" s="1"/>
  <c r="RD26" i="72" a="1"/>
  <c r="RD26" i="72" s="1"/>
  <c r="RB26" i="72" a="1"/>
  <c r="RB26" i="72" s="1"/>
  <c r="QZ25" i="72" a="1"/>
  <c r="QZ25" i="72" s="1"/>
  <c r="QX25" i="72" a="1"/>
  <c r="QX25" i="72" s="1"/>
  <c r="RC25" i="72" a="1"/>
  <c r="RC25" i="72" s="1"/>
  <c r="QI25" i="72" a="1"/>
  <c r="QI25" i="72" s="1"/>
  <c r="QW25" i="72" a="1"/>
  <c r="QW25" i="72" s="1"/>
  <c r="RB25" i="72" a="1"/>
  <c r="RB25" i="72" s="1"/>
  <c r="QY25" i="72" a="1"/>
  <c r="QY25" i="72" s="1"/>
  <c r="RA25" i="72" a="1"/>
  <c r="RA25" i="72" s="1"/>
  <c r="RD25" i="72" a="1"/>
  <c r="RD25" i="72" s="1"/>
  <c r="RB27" i="72" a="1"/>
  <c r="RB27" i="72" s="1"/>
  <c r="RA27" i="72" a="1"/>
  <c r="RA27" i="72" s="1"/>
  <c r="QY27" i="72" a="1"/>
  <c r="QY27" i="72" s="1"/>
  <c r="RC27" i="72" a="1"/>
  <c r="RC27" i="72" s="1"/>
  <c r="QW27" i="72" a="1"/>
  <c r="QW27" i="72" s="1"/>
  <c r="QI27" i="72" a="1"/>
  <c r="QI27" i="72" s="1"/>
  <c r="QZ27" i="72" a="1"/>
  <c r="QZ27" i="72" s="1"/>
  <c r="QX27" i="72" a="1"/>
  <c r="QX27" i="72" s="1"/>
  <c r="RD27" i="72" a="1"/>
  <c r="RD27" i="72" s="1"/>
  <c r="JA23" i="72" a="1"/>
  <c r="JA23" i="72" s="1"/>
  <c r="JC23" i="72" a="1"/>
  <c r="JC23" i="72" s="1"/>
  <c r="IZ23" i="72" a="1"/>
  <c r="IZ23" i="72" s="1"/>
  <c r="IY23" i="72" a="1"/>
  <c r="IY23" i="72" s="1"/>
  <c r="JD23" i="72" a="1"/>
  <c r="JD23" i="72" s="1"/>
  <c r="JB23" i="72" a="1"/>
  <c r="JB23" i="72" s="1"/>
  <c r="IJ23" i="72" a="1"/>
  <c r="IJ23" i="72" s="1"/>
  <c r="IX23" i="72" a="1"/>
  <c r="IX23" i="72" s="1"/>
  <c r="JE23" i="72" a="1"/>
  <c r="JE23" i="72" s="1"/>
  <c r="JD33" i="72" a="1"/>
  <c r="JD33" i="72" s="1"/>
  <c r="JA33" i="72" a="1"/>
  <c r="JA33" i="72" s="1"/>
  <c r="IY33" i="72" a="1"/>
  <c r="IY33" i="72" s="1"/>
  <c r="IZ33" i="72" a="1"/>
  <c r="IZ33" i="72" s="1"/>
  <c r="IJ33" i="72" a="1"/>
  <c r="IJ33" i="72" s="1"/>
  <c r="JC33" i="72" a="1"/>
  <c r="JC33" i="72" s="1"/>
  <c r="JE33" i="72" a="1"/>
  <c r="JE33" i="72" s="1"/>
  <c r="IX33" i="72" a="1"/>
  <c r="IX33" i="72" s="1"/>
  <c r="JB33" i="72" a="1"/>
  <c r="JB33" i="72" s="1"/>
  <c r="PI15" i="72" a="1"/>
  <c r="PI15" i="72" s="1"/>
  <c r="OO15" i="72" a="1"/>
  <c r="OO15" i="72" s="1"/>
  <c r="PC15" i="72" a="1"/>
  <c r="PC15" i="72" s="1"/>
  <c r="PG15" i="72" a="1"/>
  <c r="PG15" i="72" s="1"/>
  <c r="PH15" i="72" a="1"/>
  <c r="PH15" i="72" s="1"/>
  <c r="PE15" i="72" a="1"/>
  <c r="PE15" i="72" s="1"/>
  <c r="PF15" i="72" a="1"/>
  <c r="PF15" i="72" s="1"/>
  <c r="PD15" i="72" a="1"/>
  <c r="PD15" i="72" s="1"/>
  <c r="PJ15" i="72" a="1"/>
  <c r="PJ15" i="72" s="1"/>
  <c r="PJ22" i="72" a="1"/>
  <c r="PJ22" i="72" s="1"/>
  <c r="PF22" i="72" a="1"/>
  <c r="PF22" i="72" s="1"/>
  <c r="PI22" i="72" a="1"/>
  <c r="PI22" i="72" s="1"/>
  <c r="PH22" i="72" a="1"/>
  <c r="PH22" i="72" s="1"/>
  <c r="PD22" i="72" a="1"/>
  <c r="PD22" i="72" s="1"/>
  <c r="OO22" i="72" a="1"/>
  <c r="OO22" i="72" s="1"/>
  <c r="PG22" i="72" a="1"/>
  <c r="PG22" i="72" s="1"/>
  <c r="PC22" i="72" a="1"/>
  <c r="PC22" i="72" s="1"/>
  <c r="PE22" i="72" a="1"/>
  <c r="PE22" i="72" s="1"/>
  <c r="PH33" i="72" a="1"/>
  <c r="PH33" i="72" s="1"/>
  <c r="PG33" i="72" a="1"/>
  <c r="PG33" i="72" s="1"/>
  <c r="PE33" i="72" a="1"/>
  <c r="PE33" i="72" s="1"/>
  <c r="PI33" i="72" a="1"/>
  <c r="PI33" i="72" s="1"/>
  <c r="PC33" i="72" a="1"/>
  <c r="PC33" i="72" s="1"/>
  <c r="OO33" i="72" a="1"/>
  <c r="OO33" i="72" s="1"/>
  <c r="PF33" i="72" a="1"/>
  <c r="PF33" i="72" s="1"/>
  <c r="PD33" i="72" a="1"/>
  <c r="PD33" i="72" s="1"/>
  <c r="PJ33" i="72" a="1"/>
  <c r="PJ33" i="72" s="1"/>
  <c r="LR34" i="72" a="1"/>
  <c r="LR34" i="72" s="1"/>
  <c r="LS34" i="72" a="1"/>
  <c r="LS34" i="72" s="1"/>
  <c r="LQ34" i="72" a="1"/>
  <c r="LQ34" i="72" s="1"/>
  <c r="LA34" i="72" a="1"/>
  <c r="LA34" i="72" s="1"/>
  <c r="LP34" i="72" a="1"/>
  <c r="LP34" i="72" s="1"/>
  <c r="LU34" i="72" a="1"/>
  <c r="LU34" i="72" s="1"/>
  <c r="LT34" i="72" a="1"/>
  <c r="LT34" i="72" s="1"/>
  <c r="LO34" i="72" a="1"/>
  <c r="LO34" i="72" s="1"/>
  <c r="LV34" i="72" a="1"/>
  <c r="LV34" i="72" s="1"/>
  <c r="LQ20" i="72" a="1"/>
  <c r="LQ20" i="72" s="1"/>
  <c r="LA20" i="72" a="1"/>
  <c r="LA20" i="72" s="1"/>
  <c r="LS20" i="72" a="1"/>
  <c r="LS20" i="72" s="1"/>
  <c r="LO20" i="72" a="1"/>
  <c r="LO20" i="72" s="1"/>
  <c r="LU20" i="72" a="1"/>
  <c r="LU20" i="72" s="1"/>
  <c r="LT20" i="72" a="1"/>
  <c r="LT20" i="72" s="1"/>
  <c r="LP20" i="72" a="1"/>
  <c r="LP20" i="72" s="1"/>
  <c r="LR20" i="72" a="1"/>
  <c r="LR20" i="72" s="1"/>
  <c r="LV20" i="72" a="1"/>
  <c r="LV20" i="72" s="1"/>
  <c r="LV17" i="72" a="1"/>
  <c r="LV17" i="72" s="1"/>
  <c r="LA17" i="72" a="1"/>
  <c r="LA17" i="72" s="1"/>
  <c r="LR17" i="72" a="1"/>
  <c r="LR17" i="72" s="1"/>
  <c r="LO17" i="72" a="1"/>
  <c r="LO17" i="72" s="1"/>
  <c r="LQ17" i="72" a="1"/>
  <c r="LQ17" i="72" s="1"/>
  <c r="LS17" i="72" a="1"/>
  <c r="LS17" i="72" s="1"/>
  <c r="LU17" i="72" a="1"/>
  <c r="LU17" i="72" s="1"/>
  <c r="LT17" i="72" a="1"/>
  <c r="LT17" i="72" s="1"/>
  <c r="LP17" i="72" a="1"/>
  <c r="LP17" i="72" s="1"/>
  <c r="KW21" i="72" a="1"/>
  <c r="KW21" i="72" s="1"/>
  <c r="KD21" i="72" a="1"/>
  <c r="KD21" i="72" s="1"/>
  <c r="KV21" i="72" a="1"/>
  <c r="KV21" i="72" s="1"/>
  <c r="KX21" i="72" a="1"/>
  <c r="KX21" i="72" s="1"/>
  <c r="KT21" i="72" a="1"/>
  <c r="KT21" i="72" s="1"/>
  <c r="KR21" i="72" a="1"/>
  <c r="KR21" i="72" s="1"/>
  <c r="KY21" i="72" a="1"/>
  <c r="KY21" i="72" s="1"/>
  <c r="KU21" i="72" a="1"/>
  <c r="KU21" i="72" s="1"/>
  <c r="KS21" i="72" a="1"/>
  <c r="KS21" i="72" s="1"/>
  <c r="KD23" i="72" a="1"/>
  <c r="KD23" i="72" s="1"/>
  <c r="KR23" i="72" a="1"/>
  <c r="KR23" i="72" s="1"/>
  <c r="KW23" i="72" a="1"/>
  <c r="KW23" i="72" s="1"/>
  <c r="KV23" i="72" a="1"/>
  <c r="KV23" i="72" s="1"/>
  <c r="KT23" i="72" a="1"/>
  <c r="KT23" i="72" s="1"/>
  <c r="KU23" i="72" a="1"/>
  <c r="KU23" i="72" s="1"/>
  <c r="KY23" i="72" a="1"/>
  <c r="KY23" i="72" s="1"/>
  <c r="KS23" i="72" a="1"/>
  <c r="KS23" i="72" s="1"/>
  <c r="KX23" i="72" a="1"/>
  <c r="KX23" i="72" s="1"/>
  <c r="IH23" i="72" a="1"/>
  <c r="IH23" i="72" s="1"/>
  <c r="ID23" i="72" a="1"/>
  <c r="ID23" i="72" s="1"/>
  <c r="IA23" i="72" a="1"/>
  <c r="IA23" i="72" s="1"/>
  <c r="IB23" i="72" a="1"/>
  <c r="IB23" i="72" s="1"/>
  <c r="IC23" i="72" a="1"/>
  <c r="IC23" i="72" s="1"/>
  <c r="IF23" i="72" a="1"/>
  <c r="IF23" i="72" s="1"/>
  <c r="IE23" i="72" a="1"/>
  <c r="IE23" i="72" s="1"/>
  <c r="IG23" i="72" a="1"/>
  <c r="IG23" i="72" s="1"/>
  <c r="HM23" i="72" a="1"/>
  <c r="HM23" i="72" s="1"/>
  <c r="IE31" i="72" a="1"/>
  <c r="IE31" i="72" s="1"/>
  <c r="ID31" i="72" a="1"/>
  <c r="ID31" i="72" s="1"/>
  <c r="HM31" i="72" a="1"/>
  <c r="HM31" i="72" s="1"/>
  <c r="IB31" i="72" a="1"/>
  <c r="IB31" i="72" s="1"/>
  <c r="IF31" i="72" a="1"/>
  <c r="IF31" i="72" s="1"/>
  <c r="IC31" i="72" a="1"/>
  <c r="IC31" i="72" s="1"/>
  <c r="IA31" i="72" a="1"/>
  <c r="IA31" i="72" s="1"/>
  <c r="IG31" i="72" a="1"/>
  <c r="IG31" i="72" s="1"/>
  <c r="IH31" i="72" a="1"/>
  <c r="IH31" i="72" s="1"/>
  <c r="IH17" i="72" a="1"/>
  <c r="IH17" i="72" s="1"/>
  <c r="IA17" i="72" a="1"/>
  <c r="IA17" i="72" s="1"/>
  <c r="ID17" i="72" a="1"/>
  <c r="ID17" i="72" s="1"/>
  <c r="IF17" i="72" a="1"/>
  <c r="IF17" i="72" s="1"/>
  <c r="IC17" i="72" a="1"/>
  <c r="IC17" i="72" s="1"/>
  <c r="IE17" i="72" a="1"/>
  <c r="IE17" i="72" s="1"/>
  <c r="IB17" i="72" a="1"/>
  <c r="IB17" i="72" s="1"/>
  <c r="IG17" i="72" a="1"/>
  <c r="IG17" i="72" s="1"/>
  <c r="HM17" i="72" a="1"/>
  <c r="HM17" i="72" s="1"/>
  <c r="SU31" i="72" a="1"/>
  <c r="SU31" i="72" s="1"/>
  <c r="SW31" i="72" a="1"/>
  <c r="SW31" i="72" s="1"/>
  <c r="SR31" i="72" a="1"/>
  <c r="SR31" i="72" s="1"/>
  <c r="SC31" i="72" a="1"/>
  <c r="SC31" i="72" s="1"/>
  <c r="SV31" i="72" a="1"/>
  <c r="SV31" i="72" s="1"/>
  <c r="SS31" i="72" a="1"/>
  <c r="SS31" i="72" s="1"/>
  <c r="SQ31" i="72" a="1"/>
  <c r="SQ31" i="72" s="1"/>
  <c r="ST31" i="72" a="1"/>
  <c r="ST31" i="72" s="1"/>
  <c r="SX31" i="72" a="1"/>
  <c r="SX31" i="72" s="1"/>
  <c r="SS27" i="72" a="1"/>
  <c r="SS27" i="72" s="1"/>
  <c r="SV27" i="72" a="1"/>
  <c r="SV27" i="72" s="1"/>
  <c r="ST27" i="72" a="1"/>
  <c r="ST27" i="72" s="1"/>
  <c r="SR27" i="72" a="1"/>
  <c r="SR27" i="72" s="1"/>
  <c r="SW27" i="72" a="1"/>
  <c r="SW27" i="72" s="1"/>
  <c r="SQ27" i="72" a="1"/>
  <c r="SQ27" i="72" s="1"/>
  <c r="SC27" i="72" a="1"/>
  <c r="SC27" i="72" s="1"/>
  <c r="SU27" i="72" a="1"/>
  <c r="SU27" i="72" s="1"/>
  <c r="SX27" i="72" a="1"/>
  <c r="SX27" i="72" s="1"/>
  <c r="SR25" i="72" a="1"/>
  <c r="SR25" i="72" s="1"/>
  <c r="SU25" i="72" a="1"/>
  <c r="SU25" i="72" s="1"/>
  <c r="SV25" i="72" a="1"/>
  <c r="SV25" i="72" s="1"/>
  <c r="SC25" i="72" a="1"/>
  <c r="SC25" i="72" s="1"/>
  <c r="SQ25" i="72" a="1"/>
  <c r="SQ25" i="72" s="1"/>
  <c r="ST25" i="72" a="1"/>
  <c r="ST25" i="72" s="1"/>
  <c r="SX25" i="72" a="1"/>
  <c r="SX25" i="72" s="1"/>
  <c r="SW25" i="72" a="1"/>
  <c r="SW25" i="72" s="1"/>
  <c r="SS25" i="72" a="1"/>
  <c r="SS25" i="72" s="1"/>
  <c r="SA23" i="72" a="1"/>
  <c r="SA23" i="72" s="1"/>
  <c r="RF23" i="72" a="1"/>
  <c r="RF23" i="72" s="1"/>
  <c r="RY23" i="72" a="1"/>
  <c r="RY23" i="72" s="1"/>
  <c r="RX23" i="72" a="1"/>
  <c r="RX23" i="72" s="1"/>
  <c r="RV23" i="72" a="1"/>
  <c r="RV23" i="72" s="1"/>
  <c r="RW23" i="72" a="1"/>
  <c r="RW23" i="72" s="1"/>
  <c r="RZ23" i="72" a="1"/>
  <c r="RZ23" i="72" s="1"/>
  <c r="RT23" i="72" a="1"/>
  <c r="RT23" i="72" s="1"/>
  <c r="RU23" i="72" a="1"/>
  <c r="RU23" i="72" s="1"/>
  <c r="RT29" i="72" a="1"/>
  <c r="RT29" i="72" s="1"/>
  <c r="RW29" i="72" a="1"/>
  <c r="RW29" i="72" s="1"/>
  <c r="SA29" i="72" a="1"/>
  <c r="SA29" i="72" s="1"/>
  <c r="RU29" i="72" a="1"/>
  <c r="RU29" i="72" s="1"/>
  <c r="RY29" i="72" a="1"/>
  <c r="RY29" i="72" s="1"/>
  <c r="RV29" i="72" a="1"/>
  <c r="RV29" i="72" s="1"/>
  <c r="RZ29" i="72" a="1"/>
  <c r="RZ29" i="72" s="1"/>
  <c r="RX29" i="72" a="1"/>
  <c r="RX29" i="72" s="1"/>
  <c r="RF29" i="72" a="1"/>
  <c r="RF29" i="72" s="1"/>
  <c r="HJ29" i="72" a="1"/>
  <c r="HJ29" i="72" s="1"/>
  <c r="HD29" i="72" a="1"/>
  <c r="HD29" i="72" s="1"/>
  <c r="HI29" i="72" a="1"/>
  <c r="HI29" i="72" s="1"/>
  <c r="GP29" i="72" a="1"/>
  <c r="GP29" i="72" s="1"/>
  <c r="HF29" i="72" a="1"/>
  <c r="HF29" i="72" s="1"/>
  <c r="HE29" i="72" a="1"/>
  <c r="HE29" i="72" s="1"/>
  <c r="HG29" i="72" a="1"/>
  <c r="HG29" i="72" s="1"/>
  <c r="HH29" i="72" a="1"/>
  <c r="HH29" i="72" s="1"/>
  <c r="HK29" i="72" a="1"/>
  <c r="HK29" i="72" s="1"/>
  <c r="HF25" i="72" a="1"/>
  <c r="HF25" i="72" s="1"/>
  <c r="HI25" i="72" a="1"/>
  <c r="HI25" i="72" s="1"/>
  <c r="HK25" i="72" a="1"/>
  <c r="HK25" i="72" s="1"/>
  <c r="HH25" i="72" a="1"/>
  <c r="HH25" i="72" s="1"/>
  <c r="GP25" i="72" a="1"/>
  <c r="GP25" i="72" s="1"/>
  <c r="HG25" i="72" a="1"/>
  <c r="HG25" i="72" s="1"/>
  <c r="HE25" i="72" a="1"/>
  <c r="HE25" i="72" s="1"/>
  <c r="HD25" i="72" a="1"/>
  <c r="HD25" i="72" s="1"/>
  <c r="HJ25" i="72" a="1"/>
  <c r="HJ25" i="72" s="1"/>
  <c r="HJ30" i="72" a="1"/>
  <c r="HJ30" i="72" s="1"/>
  <c r="GP30" i="72" a="1"/>
  <c r="GP30" i="72" s="1"/>
  <c r="HE30" i="72" a="1"/>
  <c r="HE30" i="72" s="1"/>
  <c r="HG30" i="72" a="1"/>
  <c r="HG30" i="72" s="1"/>
  <c r="HI30" i="72" a="1"/>
  <c r="HI30" i="72" s="1"/>
  <c r="HK30" i="72" a="1"/>
  <c r="HK30" i="72" s="1"/>
  <c r="HF30" i="72" a="1"/>
  <c r="HF30" i="72" s="1"/>
  <c r="HH30" i="72" a="1"/>
  <c r="HH30" i="72" s="1"/>
  <c r="HD30" i="72" a="1"/>
  <c r="HD30" i="72" s="1"/>
  <c r="DP32" i="72" a="1"/>
  <c r="DP32" i="72" s="1"/>
  <c r="DW32" i="72" a="1"/>
  <c r="DW32" i="72" s="1"/>
  <c r="DS32" i="72" a="1"/>
  <c r="DS32" i="72" s="1"/>
  <c r="DR32" i="72" a="1"/>
  <c r="DR32" i="72" s="1"/>
  <c r="DU32" i="72" a="1"/>
  <c r="DU32" i="72" s="1"/>
  <c r="DQ32" i="72" a="1"/>
  <c r="DQ32" i="72" s="1"/>
  <c r="DV32" i="72" a="1"/>
  <c r="DV32" i="72" s="1"/>
  <c r="DT32" i="72" a="1"/>
  <c r="DT32" i="72" s="1"/>
  <c r="DB32" i="72" a="1"/>
  <c r="DB32" i="72" s="1"/>
  <c r="DU25" i="72" a="1"/>
  <c r="DU25" i="72" s="1"/>
  <c r="DR25" i="72" a="1"/>
  <c r="DR25" i="72" s="1"/>
  <c r="DP25" i="72" a="1"/>
  <c r="DP25" i="72" s="1"/>
  <c r="DQ25" i="72" a="1"/>
  <c r="DQ25" i="72" s="1"/>
  <c r="DV25" i="72" a="1"/>
  <c r="DV25" i="72" s="1"/>
  <c r="DW25" i="72" a="1"/>
  <c r="DW25" i="72" s="1"/>
  <c r="DS25" i="72" a="1"/>
  <c r="DS25" i="72" s="1"/>
  <c r="DB25" i="72" a="1"/>
  <c r="DB25" i="72" s="1"/>
  <c r="DT25" i="72" a="1"/>
  <c r="DT25" i="72" s="1"/>
  <c r="DT30" i="72" a="1"/>
  <c r="DT30" i="72" s="1"/>
  <c r="DU30" i="72" a="1"/>
  <c r="DU30" i="72" s="1"/>
  <c r="DP30" i="72" a="1"/>
  <c r="DP30" i="72" s="1"/>
  <c r="DV30" i="72" a="1"/>
  <c r="DV30" i="72" s="1"/>
  <c r="DS30" i="72" a="1"/>
  <c r="DS30" i="72" s="1"/>
  <c r="DR30" i="72" a="1"/>
  <c r="DR30" i="72" s="1"/>
  <c r="DQ30" i="72" a="1"/>
  <c r="DQ30" i="72" s="1"/>
  <c r="DB30" i="72" a="1"/>
  <c r="DB30" i="72" s="1"/>
  <c r="DW30" i="72" a="1"/>
  <c r="DW30" i="72" s="1"/>
  <c r="MS26" i="72" a="1"/>
  <c r="MS26" i="72" s="1"/>
  <c r="MM26" i="72" a="1"/>
  <c r="MM26" i="72" s="1"/>
  <c r="MN26" i="72" a="1"/>
  <c r="MN26" i="72" s="1"/>
  <c r="MQ26" i="72" a="1"/>
  <c r="MQ26" i="72" s="1"/>
  <c r="ML26" i="72" a="1"/>
  <c r="ML26" i="72" s="1"/>
  <c r="LX26" i="72" a="1"/>
  <c r="LX26" i="72" s="1"/>
  <c r="MR26" i="72" a="1"/>
  <c r="MR26" i="72" s="1"/>
  <c r="MP26" i="72" a="1"/>
  <c r="MP26" i="72" s="1"/>
  <c r="MO26" i="72" a="1"/>
  <c r="MO26" i="72" s="1"/>
  <c r="MS34" i="72" a="1"/>
  <c r="MS34" i="72" s="1"/>
  <c r="MN34" i="72" a="1"/>
  <c r="MN34" i="72" s="1"/>
  <c r="MR34" i="72" a="1"/>
  <c r="MR34" i="72" s="1"/>
  <c r="LX34" i="72" a="1"/>
  <c r="LX34" i="72" s="1"/>
  <c r="MO34" i="72" a="1"/>
  <c r="MO34" i="72" s="1"/>
  <c r="MM34" i="72" a="1"/>
  <c r="MM34" i="72" s="1"/>
  <c r="MP34" i="72" a="1"/>
  <c r="MP34" i="72" s="1"/>
  <c r="MQ34" i="72" a="1"/>
  <c r="MQ34" i="72" s="1"/>
  <c r="ML34" i="72" a="1"/>
  <c r="ML34" i="72" s="1"/>
  <c r="KB26" i="72" a="1"/>
  <c r="KB26" i="72" s="1"/>
  <c r="JU26" i="72" a="1"/>
  <c r="JU26" i="72" s="1"/>
  <c r="JY26" i="72" a="1"/>
  <c r="JY26" i="72" s="1"/>
  <c r="JW26" i="72" a="1"/>
  <c r="JW26" i="72" s="1"/>
  <c r="KA26" i="72" a="1"/>
  <c r="KA26" i="72" s="1"/>
  <c r="JG26" i="72" a="1"/>
  <c r="JG26" i="72" s="1"/>
  <c r="JZ26" i="72" a="1"/>
  <c r="JZ26" i="72" s="1"/>
  <c r="JX26" i="72" a="1"/>
  <c r="JX26" i="72" s="1"/>
  <c r="JV26" i="72" a="1"/>
  <c r="JV26" i="72" s="1"/>
  <c r="JZ34" i="72" a="1"/>
  <c r="JZ34" i="72" s="1"/>
  <c r="JW34" i="72" a="1"/>
  <c r="JW34" i="72" s="1"/>
  <c r="JV34" i="72" a="1"/>
  <c r="JV34" i="72" s="1"/>
  <c r="JY34" i="72" a="1"/>
  <c r="JY34" i="72" s="1"/>
  <c r="KA34" i="72" a="1"/>
  <c r="KA34" i="72" s="1"/>
  <c r="JU34" i="72" a="1"/>
  <c r="JU34" i="72" s="1"/>
  <c r="KB34" i="72" a="1"/>
  <c r="KB34" i="72" s="1"/>
  <c r="JG34" i="72" a="1"/>
  <c r="JG34" i="72" s="1"/>
  <c r="JX34" i="72" a="1"/>
  <c r="JX34" i="72" s="1"/>
  <c r="JG31" i="72" a="1"/>
  <c r="JG31" i="72" s="1"/>
  <c r="KB31" i="72" a="1"/>
  <c r="KB31" i="72" s="1"/>
  <c r="JY31" i="72" a="1"/>
  <c r="JY31" i="72" s="1"/>
  <c r="JZ31" i="72" a="1"/>
  <c r="JZ31" i="72" s="1"/>
  <c r="JV31" i="72" a="1"/>
  <c r="JV31" i="72" s="1"/>
  <c r="KA31" i="72" a="1"/>
  <c r="KA31" i="72" s="1"/>
  <c r="JX31" i="72" a="1"/>
  <c r="JX31" i="72" s="1"/>
  <c r="JW31" i="72" a="1"/>
  <c r="JW31" i="72" s="1"/>
  <c r="JU31" i="72" a="1"/>
  <c r="JU31" i="72" s="1"/>
  <c r="GN29" i="72" a="1"/>
  <c r="GN29" i="72" s="1"/>
  <c r="FS29" i="72" a="1"/>
  <c r="FS29" i="72" s="1"/>
  <c r="GK29" i="72" a="1"/>
  <c r="GK29" i="72" s="1"/>
  <c r="GG29" i="72" a="1"/>
  <c r="GG29" i="72" s="1"/>
  <c r="GH29" i="72" a="1"/>
  <c r="GH29" i="72" s="1"/>
  <c r="GL29" i="72" a="1"/>
  <c r="GL29" i="72" s="1"/>
  <c r="GJ29" i="72" a="1"/>
  <c r="GJ29" i="72" s="1"/>
  <c r="GI29" i="72" a="1"/>
  <c r="GI29" i="72" s="1"/>
  <c r="GM29" i="72" a="1"/>
  <c r="GM29" i="72" s="1"/>
  <c r="GG26" i="72" a="1"/>
  <c r="GG26" i="72" s="1"/>
  <c r="GJ26" i="72" a="1"/>
  <c r="GJ26" i="72" s="1"/>
  <c r="GK26" i="72" a="1"/>
  <c r="GK26" i="72" s="1"/>
  <c r="GM26" i="72" a="1"/>
  <c r="GM26" i="72" s="1"/>
  <c r="GI26" i="72" a="1"/>
  <c r="GI26" i="72" s="1"/>
  <c r="GL26" i="72" a="1"/>
  <c r="GL26" i="72" s="1"/>
  <c r="GH26" i="72" a="1"/>
  <c r="GH26" i="72" s="1"/>
  <c r="FS26" i="72" a="1"/>
  <c r="FS26" i="72" s="1"/>
  <c r="GN26" i="72" a="1"/>
  <c r="GN26" i="72" s="1"/>
  <c r="CC14" i="72" a="1"/>
  <c r="CC14" i="72" s="1"/>
  <c r="BW14" i="72" a="1"/>
  <c r="BW14" i="72" s="1"/>
  <c r="BV14" i="72" a="1"/>
  <c r="BV14" i="72" s="1"/>
  <c r="BH14" i="72" a="1"/>
  <c r="BH14" i="72" s="1"/>
  <c r="BY14" i="72" a="1"/>
  <c r="BY14" i="72" s="1"/>
  <c r="CB14" i="72" a="1"/>
  <c r="CB14" i="72" s="1"/>
  <c r="BX14" i="72" a="1"/>
  <c r="BX14" i="72" s="1"/>
  <c r="BZ14" i="72" a="1"/>
  <c r="BZ14" i="72" s="1"/>
  <c r="CA14" i="72" a="1"/>
  <c r="CA14" i="72" s="1"/>
  <c r="CB21" i="72" a="1"/>
  <c r="CB21" i="72" s="1"/>
  <c r="BY21" i="72" a="1"/>
  <c r="BY21" i="72" s="1"/>
  <c r="BX21" i="72" a="1"/>
  <c r="BX21" i="72" s="1"/>
  <c r="BZ21" i="72" a="1"/>
  <c r="BZ21" i="72" s="1"/>
  <c r="CA21" i="72" a="1"/>
  <c r="CA21" i="72" s="1"/>
  <c r="BW21" i="72" a="1"/>
  <c r="BW21" i="72" s="1"/>
  <c r="BV21" i="72" a="1"/>
  <c r="BV21" i="72" s="1"/>
  <c r="G21" i="72" s="1"/>
  <c r="BH21" i="72" a="1"/>
  <c r="BH21" i="72" s="1"/>
  <c r="CC21" i="72" a="1"/>
  <c r="CC21" i="72" s="1"/>
  <c r="BW30" i="72" a="1"/>
  <c r="BW30" i="72" s="1"/>
  <c r="BH30" i="72" a="1"/>
  <c r="BH30" i="72" s="1"/>
  <c r="BZ30" i="72" a="1"/>
  <c r="BZ30" i="72" s="1"/>
  <c r="BV30" i="72" a="1"/>
  <c r="BV30" i="72" s="1"/>
  <c r="BY30" i="72" a="1"/>
  <c r="BY30" i="72" s="1"/>
  <c r="CA30" i="72" a="1"/>
  <c r="CA30" i="72" s="1"/>
  <c r="CB30" i="72" a="1"/>
  <c r="CB30" i="72" s="1"/>
  <c r="BX30" i="72" a="1"/>
  <c r="BX30" i="72" s="1"/>
  <c r="CC30" i="72" a="1"/>
  <c r="CC30" i="72" s="1"/>
  <c r="NL28" i="72" a="1"/>
  <c r="NL28" i="72" s="1"/>
  <c r="NN28" i="72" a="1"/>
  <c r="NN28" i="72" s="1"/>
  <c r="NJ28" i="72" a="1"/>
  <c r="NJ28" i="72" s="1"/>
  <c r="NK28" i="72" a="1"/>
  <c r="NK28" i="72" s="1"/>
  <c r="MU28" i="72" a="1"/>
  <c r="MU28" i="72" s="1"/>
  <c r="NI28" i="72" a="1"/>
  <c r="NI28" i="72" s="1"/>
  <c r="NM28" i="72" a="1"/>
  <c r="NM28" i="72" s="1"/>
  <c r="NO28" i="72" a="1"/>
  <c r="NO28" i="72" s="1"/>
  <c r="NP28" i="72" a="1"/>
  <c r="NP28" i="72" s="1"/>
  <c r="NM22" i="72" a="1"/>
  <c r="NM22" i="72" s="1"/>
  <c r="NP22" i="72" a="1"/>
  <c r="NP22" i="72" s="1"/>
  <c r="MU22" i="72" a="1"/>
  <c r="MU22" i="72" s="1"/>
  <c r="NI22" i="72" a="1"/>
  <c r="NI22" i="72" s="1"/>
  <c r="NL22" i="72" a="1"/>
  <c r="NL22" i="72" s="1"/>
  <c r="NN22" i="72" a="1"/>
  <c r="NN22" i="72" s="1"/>
  <c r="NJ22" i="72" a="1"/>
  <c r="NJ22" i="72" s="1"/>
  <c r="NK22" i="72" a="1"/>
  <c r="NK22" i="72" s="1"/>
  <c r="NO22" i="72" a="1"/>
  <c r="NO22" i="72" s="1"/>
  <c r="NM23" i="72" a="1"/>
  <c r="NM23" i="72" s="1"/>
  <c r="NO23" i="72" a="1"/>
  <c r="NO23" i="72" s="1"/>
  <c r="NK23" i="72" a="1"/>
  <c r="NK23" i="72" s="1"/>
  <c r="NI23" i="72" a="1"/>
  <c r="NI23" i="72" s="1"/>
  <c r="NJ23" i="72" a="1"/>
  <c r="NJ23" i="72" s="1"/>
  <c r="NN23" i="72" a="1"/>
  <c r="NN23" i="72" s="1"/>
  <c r="NL23" i="72" a="1"/>
  <c r="NL23" i="72" s="1"/>
  <c r="NP23" i="72" a="1"/>
  <c r="NP23" i="72" s="1"/>
  <c r="MU23" i="72" a="1"/>
  <c r="MU23" i="72" s="1"/>
  <c r="EM16" i="72" a="1"/>
  <c r="EM16" i="72" s="1"/>
  <c r="EN16" i="72" a="1"/>
  <c r="EN16" i="72" s="1"/>
  <c r="EO16" i="72" a="1"/>
  <c r="EO16" i="72" s="1"/>
  <c r="EP16" i="72" a="1"/>
  <c r="EP16" i="72" s="1"/>
  <c r="ER16" i="72" a="1"/>
  <c r="ER16" i="72" s="1"/>
  <c r="EQ16" i="72" a="1"/>
  <c r="EQ16" i="72" s="1"/>
  <c r="ES16" i="72" a="1"/>
  <c r="ES16" i="72" s="1"/>
  <c r="DY16" i="72" a="1"/>
  <c r="DY16" i="72" s="1"/>
  <c r="ET16" i="72" a="1"/>
  <c r="ET16" i="72" s="1"/>
  <c r="ET20" i="72" a="1"/>
  <c r="ET20" i="72" s="1"/>
  <c r="DY20" i="72" a="1"/>
  <c r="DY20" i="72" s="1"/>
  <c r="EO20" i="72" a="1"/>
  <c r="EO20" i="72" s="1"/>
  <c r="EP20" i="72" a="1"/>
  <c r="EP20" i="72" s="1"/>
  <c r="ES20" i="72" a="1"/>
  <c r="ES20" i="72" s="1"/>
  <c r="EQ20" i="72" a="1"/>
  <c r="EQ20" i="72" s="1"/>
  <c r="EN20" i="72" a="1"/>
  <c r="EN20" i="72" s="1"/>
  <c r="EM20" i="72" a="1"/>
  <c r="EM20" i="72" s="1"/>
  <c r="ER20" i="72" a="1"/>
  <c r="ER20" i="72" s="1"/>
  <c r="FQ29" i="72" a="1"/>
  <c r="FQ29" i="72" s="1"/>
  <c r="FJ29" i="72" a="1"/>
  <c r="FJ29" i="72" s="1"/>
  <c r="FM29" i="72" a="1"/>
  <c r="FM29" i="72" s="1"/>
  <c r="EV29" i="72" a="1"/>
  <c r="EV29" i="72" s="1"/>
  <c r="FO29" i="72" a="1"/>
  <c r="FO29" i="72" s="1"/>
  <c r="FK29" i="72" a="1"/>
  <c r="FK29" i="72" s="1"/>
  <c r="FP29" i="72" a="1"/>
  <c r="FP29" i="72" s="1"/>
  <c r="FL29" i="72" a="1"/>
  <c r="FL29" i="72" s="1"/>
  <c r="FN29" i="72" a="1"/>
  <c r="FN29" i="72" s="1"/>
  <c r="FQ23" i="72" a="1"/>
  <c r="FQ23" i="72" s="1"/>
  <c r="FL23" i="72" a="1"/>
  <c r="FL23" i="72" s="1"/>
  <c r="EV23" i="72" a="1"/>
  <c r="EV23" i="72" s="1"/>
  <c r="FJ23" i="72" a="1"/>
  <c r="FJ23" i="72" s="1"/>
  <c r="FN23" i="72" a="1"/>
  <c r="FN23" i="72" s="1"/>
  <c r="FK23" i="72" a="1"/>
  <c r="FK23" i="72" s="1"/>
  <c r="FM23" i="72" a="1"/>
  <c r="FM23" i="72" s="1"/>
  <c r="FP23" i="72" a="1"/>
  <c r="FP23" i="72" s="1"/>
  <c r="FO23" i="72" a="1"/>
  <c r="FO23" i="72" s="1"/>
  <c r="FQ24" i="72" a="1"/>
  <c r="FQ24" i="72" s="1"/>
  <c r="FP24" i="72" a="1"/>
  <c r="FP24" i="72" s="1"/>
  <c r="FN24" i="72" a="1"/>
  <c r="FN24" i="72" s="1"/>
  <c r="FL24" i="72" a="1"/>
  <c r="FL24" i="72" s="1"/>
  <c r="FM24" i="72" a="1"/>
  <c r="FM24" i="72" s="1"/>
  <c r="FK24" i="72" a="1"/>
  <c r="FK24" i="72" s="1"/>
  <c r="FK35" i="72" s="1"/>
  <c r="FO24" i="72" a="1"/>
  <c r="FO24" i="72" s="1"/>
  <c r="EV24" i="72" a="1"/>
  <c r="EV24" i="72" s="1"/>
  <c r="FJ24" i="72" a="1"/>
  <c r="FJ24" i="72" s="1"/>
  <c r="QD23" i="72" a="1"/>
  <c r="QD23" i="72" s="1"/>
  <c r="QB23" i="72" a="1"/>
  <c r="QB23" i="72" s="1"/>
  <c r="PZ23" i="72" a="1"/>
  <c r="PZ23" i="72" s="1"/>
  <c r="PL23" i="72" a="1"/>
  <c r="PL23" i="72" s="1"/>
  <c r="QA23" i="72" a="1"/>
  <c r="QA23" i="72" s="1"/>
  <c r="QF23" i="72" a="1"/>
  <c r="QF23" i="72" s="1"/>
  <c r="QC23" i="72" a="1"/>
  <c r="QC23" i="72" s="1"/>
  <c r="QE23" i="72" a="1"/>
  <c r="QE23" i="72" s="1"/>
  <c r="QG23" i="72" a="1"/>
  <c r="QG23" i="72" s="1"/>
  <c r="QF30" i="72" a="1"/>
  <c r="QF30" i="72" s="1"/>
  <c r="QE30" i="72" a="1"/>
  <c r="QE30" i="72" s="1"/>
  <c r="QA30" i="72" a="1"/>
  <c r="QA30" i="72" s="1"/>
  <c r="PL30" i="72" a="1"/>
  <c r="PL30" i="72" s="1"/>
  <c r="QB30" i="72" a="1"/>
  <c r="QB30" i="72" s="1"/>
  <c r="QD30" i="72" a="1"/>
  <c r="QD30" i="72" s="1"/>
  <c r="QC30" i="72" a="1"/>
  <c r="QC30" i="72" s="1"/>
  <c r="PZ30" i="72" a="1"/>
  <c r="PZ30" i="72" s="1"/>
  <c r="QG30" i="72" a="1"/>
  <c r="QG30" i="72" s="1"/>
  <c r="QF32" i="72" a="1"/>
  <c r="QF32" i="72" s="1"/>
  <c r="QA32" i="72" a="1"/>
  <c r="QA32" i="72" s="1"/>
  <c r="QE32" i="72" a="1"/>
  <c r="QE32" i="72" s="1"/>
  <c r="QC32" i="72" a="1"/>
  <c r="QC32" i="72" s="1"/>
  <c r="QB32" i="72" a="1"/>
  <c r="QB32" i="72" s="1"/>
  <c r="PL32" i="72" a="1"/>
  <c r="PL32" i="72" s="1"/>
  <c r="PZ32" i="72" a="1"/>
  <c r="PZ32" i="72" s="1"/>
  <c r="QD32" i="72" a="1"/>
  <c r="QD32" i="72" s="1"/>
  <c r="QG32" i="72" a="1"/>
  <c r="QG32" i="72" s="1"/>
  <c r="CV29" i="72" a="1"/>
  <c r="CV29" i="72" s="1"/>
  <c r="CZ29" i="72" a="1"/>
  <c r="CZ29" i="72" s="1"/>
  <c r="CE29" i="72" a="1"/>
  <c r="CE29" i="72" s="1"/>
  <c r="CS29" i="72" a="1"/>
  <c r="CS29" i="72" s="1"/>
  <c r="CY29" i="72" a="1"/>
  <c r="CY29" i="72" s="1"/>
  <c r="CX29" i="72" a="1"/>
  <c r="CX29" i="72" s="1"/>
  <c r="CU29" i="72" a="1"/>
  <c r="CU29" i="72" s="1"/>
  <c r="CT29" i="72" a="1"/>
  <c r="CT29" i="72" s="1"/>
  <c r="CW29" i="72" a="1"/>
  <c r="CW29" i="72" s="1"/>
  <c r="CS30" i="72" a="1"/>
  <c r="CS30" i="72" s="1"/>
  <c r="CE30" i="72" a="1"/>
  <c r="CE30" i="72" s="1"/>
  <c r="CY30" i="72" a="1"/>
  <c r="CY30" i="72" s="1"/>
  <c r="CU30" i="72" a="1"/>
  <c r="CU30" i="72" s="1"/>
  <c r="CW30" i="72" a="1"/>
  <c r="CW30" i="72" s="1"/>
  <c r="CT30" i="72" a="1"/>
  <c r="CT30" i="72" s="1"/>
  <c r="CX30" i="72" a="1"/>
  <c r="CX30" i="72" s="1"/>
  <c r="CZ30" i="72" a="1"/>
  <c r="CZ30" i="72" s="1"/>
  <c r="CV30" i="72" a="1"/>
  <c r="CV30" i="72" s="1"/>
  <c r="OG20" i="72" a="1"/>
  <c r="OG20" i="72" s="1"/>
  <c r="OK20" i="72" a="1"/>
  <c r="OK20" i="72" s="1"/>
  <c r="OL20" i="72" a="1"/>
  <c r="OL20" i="72" s="1"/>
  <c r="OH20" i="72" a="1"/>
  <c r="OH20" i="72" s="1"/>
  <c r="OF20" i="72" a="1"/>
  <c r="OF20" i="72" s="1"/>
  <c r="OI20" i="72" a="1"/>
  <c r="OI20" i="72" s="1"/>
  <c r="OJ20" i="72" a="1"/>
  <c r="OJ20" i="72" s="1"/>
  <c r="NR20" i="72" a="1"/>
  <c r="NR20" i="72" s="1"/>
  <c r="OM20" i="72" a="1"/>
  <c r="OM20" i="72" s="1"/>
  <c r="OL16" i="72" a="1"/>
  <c r="OL16" i="72" s="1"/>
  <c r="OF16" i="72" a="1"/>
  <c r="OF16" i="72" s="1"/>
  <c r="OK16" i="72" a="1"/>
  <c r="OK16" i="72" s="1"/>
  <c r="NR16" i="72" a="1"/>
  <c r="NR16" i="72" s="1"/>
  <c r="OI16" i="72" a="1"/>
  <c r="OI16" i="72" s="1"/>
  <c r="OG16" i="72" a="1"/>
  <c r="OG16" i="72" s="1"/>
  <c r="OH16" i="72" a="1"/>
  <c r="OH16" i="72" s="1"/>
  <c r="OJ16" i="72" a="1"/>
  <c r="OJ16" i="72" s="1"/>
  <c r="OM16" i="72" a="1"/>
  <c r="OM16" i="72" s="1"/>
  <c r="NR18" i="72" a="1"/>
  <c r="NR18" i="72" s="1"/>
  <c r="OF18" i="72" a="1"/>
  <c r="OF18" i="72" s="1"/>
  <c r="OK18" i="72" a="1"/>
  <c r="OK18" i="72" s="1"/>
  <c r="OI18" i="72" a="1"/>
  <c r="OI18" i="72" s="1"/>
  <c r="OG18" i="72" a="1"/>
  <c r="OG18" i="72" s="1"/>
  <c r="OH18" i="72" a="1"/>
  <c r="OH18" i="72" s="1"/>
  <c r="OL18" i="72" a="1"/>
  <c r="OL18" i="72" s="1"/>
  <c r="OJ18" i="72" a="1"/>
  <c r="OJ18" i="72" s="1"/>
  <c r="OM18" i="72" a="1"/>
  <c r="OM18" i="72" s="1"/>
  <c r="RA34" i="72" a="1"/>
  <c r="RA34" i="72" s="1"/>
  <c r="QW34" i="72" a="1"/>
  <c r="QW34" i="72" s="1"/>
  <c r="QX34" i="72" a="1"/>
  <c r="QX34" i="72" s="1"/>
  <c r="QY34" i="72" a="1"/>
  <c r="QY34" i="72" s="1"/>
  <c r="RD34" i="72" a="1"/>
  <c r="RD34" i="72" s="1"/>
  <c r="QZ34" i="72" a="1"/>
  <c r="QZ34" i="72" s="1"/>
  <c r="RC34" i="72" a="1"/>
  <c r="RC34" i="72" s="1"/>
  <c r="RB34" i="72" a="1"/>
  <c r="RB34" i="72" s="1"/>
  <c r="QI34" i="72" a="1"/>
  <c r="QI34" i="72" s="1"/>
  <c r="QX17" i="72" a="1"/>
  <c r="QX17" i="72" s="1"/>
  <c r="RC17" i="72" a="1"/>
  <c r="RC17" i="72" s="1"/>
  <c r="QI17" i="72" a="1"/>
  <c r="QI17" i="72" s="1"/>
  <c r="RB17" i="72" a="1"/>
  <c r="RB17" i="72" s="1"/>
  <c r="QW17" i="72" a="1"/>
  <c r="QW17" i="72" s="1"/>
  <c r="QZ17" i="72" a="1"/>
  <c r="QZ17" i="72" s="1"/>
  <c r="QY17" i="72" a="1"/>
  <c r="QY17" i="72" s="1"/>
  <c r="RA17" i="72" a="1"/>
  <c r="RA17" i="72" s="1"/>
  <c r="RD17" i="72" a="1"/>
  <c r="RD17" i="72" s="1"/>
  <c r="JC15" i="72" a="1"/>
  <c r="JC15" i="72" s="1"/>
  <c r="IY15" i="72" a="1"/>
  <c r="IY15" i="72" s="1"/>
  <c r="IJ15" i="72" a="1"/>
  <c r="IJ15" i="72" s="1"/>
  <c r="JD15" i="72" a="1"/>
  <c r="JD15" i="72" s="1"/>
  <c r="IZ15" i="72" a="1"/>
  <c r="IZ15" i="72" s="1"/>
  <c r="JA15" i="72" a="1"/>
  <c r="JA15" i="72" s="1"/>
  <c r="JE15" i="72" a="1"/>
  <c r="JE15" i="72" s="1"/>
  <c r="IX15" i="72" a="1"/>
  <c r="IX15" i="72" s="1"/>
  <c r="JB15" i="72" a="1"/>
  <c r="JB15" i="72" s="1"/>
  <c r="IZ25" i="72" a="1"/>
  <c r="IZ25" i="72" s="1"/>
  <c r="JB25" i="72" a="1"/>
  <c r="JB25" i="72" s="1"/>
  <c r="JD25" i="72" a="1"/>
  <c r="JD25" i="72" s="1"/>
  <c r="IX25" i="72" a="1"/>
  <c r="IX25" i="72" s="1"/>
  <c r="JC25" i="72" a="1"/>
  <c r="JC25" i="72" s="1"/>
  <c r="JA25" i="72" a="1"/>
  <c r="JA25" i="72" s="1"/>
  <c r="IJ25" i="72" a="1"/>
  <c r="IJ25" i="72" s="1"/>
  <c r="IY25" i="72" a="1"/>
  <c r="IY25" i="72" s="1"/>
  <c r="JE25" i="72" a="1"/>
  <c r="JE25" i="72" s="1"/>
  <c r="JA20" i="72" a="1"/>
  <c r="JA20" i="72" s="1"/>
  <c r="JB20" i="72" a="1"/>
  <c r="JB20" i="72" s="1"/>
  <c r="IY20" i="72" a="1"/>
  <c r="IY20" i="72" s="1"/>
  <c r="JD20" i="72" a="1"/>
  <c r="JD20" i="72" s="1"/>
  <c r="IJ20" i="72" a="1"/>
  <c r="IJ20" i="72" s="1"/>
  <c r="IZ20" i="72" a="1"/>
  <c r="IZ20" i="72" s="1"/>
  <c r="IX20" i="72" a="1"/>
  <c r="IX20" i="72" s="1"/>
  <c r="JC20" i="72" a="1"/>
  <c r="JC20" i="72" s="1"/>
  <c r="JE20" i="72" a="1"/>
  <c r="JE20" i="72" s="1"/>
  <c r="PJ28" i="72" a="1"/>
  <c r="PJ28" i="72" s="1"/>
  <c r="OO28" i="72" a="1"/>
  <c r="OO28" i="72" s="1"/>
  <c r="PF28" i="72" a="1"/>
  <c r="PF28" i="72" s="1"/>
  <c r="PH28" i="72" a="1"/>
  <c r="PH28" i="72" s="1"/>
  <c r="PE28" i="72" a="1"/>
  <c r="PE28" i="72" s="1"/>
  <c r="PI28" i="72" a="1"/>
  <c r="PI28" i="72" s="1"/>
  <c r="PC28" i="72" a="1"/>
  <c r="PC28" i="72" s="1"/>
  <c r="PD28" i="72" a="1"/>
  <c r="PD28" i="72" s="1"/>
  <c r="PG28" i="72" a="1"/>
  <c r="PG28" i="72" s="1"/>
  <c r="PI23" i="72" a="1"/>
  <c r="PI23" i="72" s="1"/>
  <c r="PF23" i="72" a="1"/>
  <c r="PF23" i="72" s="1"/>
  <c r="PE23" i="72" a="1"/>
  <c r="PE23" i="72" s="1"/>
  <c r="PH23" i="72" a="1"/>
  <c r="PH23" i="72" s="1"/>
  <c r="PC23" i="72" a="1"/>
  <c r="PC23" i="72" s="1"/>
  <c r="PD23" i="72" a="1"/>
  <c r="PD23" i="72" s="1"/>
  <c r="PG23" i="72" a="1"/>
  <c r="PG23" i="72" s="1"/>
  <c r="OO23" i="72" a="1"/>
  <c r="OO23" i="72" s="1"/>
  <c r="PJ23" i="72" a="1"/>
  <c r="PJ23" i="72" s="1"/>
  <c r="PC21" i="72" a="1"/>
  <c r="PC21" i="72" s="1"/>
  <c r="PH21" i="72" a="1"/>
  <c r="PH21" i="72" s="1"/>
  <c r="PE21" i="72" a="1"/>
  <c r="PE21" i="72" s="1"/>
  <c r="PF21" i="72" a="1"/>
  <c r="PF21" i="72" s="1"/>
  <c r="PD21" i="72" a="1"/>
  <c r="PD21" i="72" s="1"/>
  <c r="OO21" i="72" a="1"/>
  <c r="OO21" i="72" s="1"/>
  <c r="PG21" i="72" a="1"/>
  <c r="PG21" i="72" s="1"/>
  <c r="PI21" i="72" a="1"/>
  <c r="PI21" i="72" s="1"/>
  <c r="PJ21" i="72" a="1"/>
  <c r="PJ21" i="72" s="1"/>
  <c r="LS14" i="72" a="1"/>
  <c r="LS14" i="72" s="1"/>
  <c r="LR14" i="72" a="1"/>
  <c r="LR14" i="72" s="1"/>
  <c r="LO14" i="72" a="1"/>
  <c r="LO14" i="72" s="1"/>
  <c r="LO35" i="72" s="1"/>
  <c r="LQ14" i="72" a="1"/>
  <c r="LQ14" i="72" s="1"/>
  <c r="LP14" i="72" a="1"/>
  <c r="LP14" i="72" s="1"/>
  <c r="LP35" i="72" s="1"/>
  <c r="LA14" i="72" a="1"/>
  <c r="LA14" i="72" s="1"/>
  <c r="LU14" i="72" a="1"/>
  <c r="LU14" i="72" s="1"/>
  <c r="LT14" i="72" a="1"/>
  <c r="LT14" i="72" s="1"/>
  <c r="LV14" i="72" a="1"/>
  <c r="LV14" i="72" s="1"/>
  <c r="LV27" i="72" a="1"/>
  <c r="LV27" i="72" s="1"/>
  <c r="LQ27" i="72" a="1"/>
  <c r="LQ27" i="72" s="1"/>
  <c r="LA27" i="72" a="1"/>
  <c r="LA27" i="72" s="1"/>
  <c r="LS27" i="72" a="1"/>
  <c r="LS27" i="72" s="1"/>
  <c r="LU27" i="72" a="1"/>
  <c r="LU27" i="72" s="1"/>
  <c r="LP27" i="72" a="1"/>
  <c r="LP27" i="72" s="1"/>
  <c r="LR27" i="72" a="1"/>
  <c r="LR27" i="72" s="1"/>
  <c r="LO27" i="72" a="1"/>
  <c r="LO27" i="72" s="1"/>
  <c r="LT27" i="72" a="1"/>
  <c r="LT27" i="72" s="1"/>
  <c r="LT25" i="72" a="1"/>
  <c r="LT25" i="72" s="1"/>
  <c r="LQ25" i="72" a="1"/>
  <c r="LQ25" i="72" s="1"/>
  <c r="LS25" i="72" a="1"/>
  <c r="LS25" i="72" s="1"/>
  <c r="LU25" i="72" a="1"/>
  <c r="LU25" i="72" s="1"/>
  <c r="LA25" i="72" a="1"/>
  <c r="LA25" i="72" s="1"/>
  <c r="LR25" i="72" a="1"/>
  <c r="LR25" i="72" s="1"/>
  <c r="LO25" i="72" a="1"/>
  <c r="LO25" i="72" s="1"/>
  <c r="LP25" i="72" a="1"/>
  <c r="LP25" i="72" s="1"/>
  <c r="LV25" i="72" a="1"/>
  <c r="LV25" i="72" s="1"/>
  <c r="KT33" i="72" a="1"/>
  <c r="KT33" i="72" s="1"/>
  <c r="KS33" i="72" a="1"/>
  <c r="KS33" i="72" s="1"/>
  <c r="KV33" i="72" a="1"/>
  <c r="KV33" i="72" s="1"/>
  <c r="KR33" i="72" a="1"/>
  <c r="KR33" i="72" s="1"/>
  <c r="KD33" i="72" a="1"/>
  <c r="KD33" i="72" s="1"/>
  <c r="KW33" i="72" a="1"/>
  <c r="KW33" i="72" s="1"/>
  <c r="KY33" i="72" a="1"/>
  <c r="KY33" i="72" s="1"/>
  <c r="KU33" i="72" a="1"/>
  <c r="KU33" i="72" s="1"/>
  <c r="KX33" i="72" a="1"/>
  <c r="KX33" i="72" s="1"/>
  <c r="IH24" i="72" a="1"/>
  <c r="IH24" i="72" s="1"/>
  <c r="IB24" i="72" a="1"/>
  <c r="IB24" i="72" s="1"/>
  <c r="IE24" i="72" a="1"/>
  <c r="IE24" i="72" s="1"/>
  <c r="ID24" i="72" a="1"/>
  <c r="ID24" i="72" s="1"/>
  <c r="IA24" i="72" a="1"/>
  <c r="IA24" i="72" s="1"/>
  <c r="IC24" i="72" a="1"/>
  <c r="IC24" i="72" s="1"/>
  <c r="HM24" i="72" a="1"/>
  <c r="HM24" i="72" s="1"/>
  <c r="IF24" i="72" a="1"/>
  <c r="IF24" i="72" s="1"/>
  <c r="IG24" i="72" a="1"/>
  <c r="IG24" i="72" s="1"/>
  <c r="IA19" i="72" a="1"/>
  <c r="IA19" i="72" s="1"/>
  <c r="IB19" i="72" a="1"/>
  <c r="IB19" i="72" s="1"/>
  <c r="IG19" i="72" a="1"/>
  <c r="IG19" i="72" s="1"/>
  <c r="IE19" i="72" a="1"/>
  <c r="IE19" i="72" s="1"/>
  <c r="IF19" i="72" a="1"/>
  <c r="IF19" i="72" s="1"/>
  <c r="IC19" i="72" a="1"/>
  <c r="IC19" i="72" s="1"/>
  <c r="HM19" i="72" a="1"/>
  <c r="HM19" i="72" s="1"/>
  <c r="ID19" i="72" a="1"/>
  <c r="ID19" i="72" s="1"/>
  <c r="IH19" i="72" a="1"/>
  <c r="IH19" i="72" s="1"/>
  <c r="IB25" i="72" a="1"/>
  <c r="IB25" i="72" s="1"/>
  <c r="IE25" i="72" a="1"/>
  <c r="IE25" i="72" s="1"/>
  <c r="HM25" i="72" a="1"/>
  <c r="HM25" i="72" s="1"/>
  <c r="IC25" i="72" a="1"/>
  <c r="IC25" i="72" s="1"/>
  <c r="ID25" i="72" a="1"/>
  <c r="ID25" i="72" s="1"/>
  <c r="IF25" i="72" a="1"/>
  <c r="IF25" i="72" s="1"/>
  <c r="IG25" i="72" a="1"/>
  <c r="IG25" i="72" s="1"/>
  <c r="IA25" i="72" a="1"/>
  <c r="IA25" i="72" s="1"/>
  <c r="IH25" i="72" a="1"/>
  <c r="IH25" i="72" s="1"/>
  <c r="SC22" i="72" a="1"/>
  <c r="SC22" i="72" s="1"/>
  <c r="SU22" i="72" a="1"/>
  <c r="SU22" i="72" s="1"/>
  <c r="ST22" i="72" a="1"/>
  <c r="ST22" i="72" s="1"/>
  <c r="SV22" i="72" a="1"/>
  <c r="SV22" i="72" s="1"/>
  <c r="SS22" i="72" a="1"/>
  <c r="SS22" i="72" s="1"/>
  <c r="SW22" i="72" a="1"/>
  <c r="SW22" i="72" s="1"/>
  <c r="SQ22" i="72" a="1"/>
  <c r="SQ22" i="72" s="1"/>
  <c r="SR22" i="72" a="1"/>
  <c r="SR22" i="72" s="1"/>
  <c r="SX22" i="72" a="1"/>
  <c r="SX22" i="72" s="1"/>
  <c r="SS18" i="72" a="1"/>
  <c r="SS18" i="72" s="1"/>
  <c r="SC18" i="72" a="1"/>
  <c r="SC18" i="72" s="1"/>
  <c r="SU18" i="72" a="1"/>
  <c r="SU18" i="72" s="1"/>
  <c r="SV18" i="72" a="1"/>
  <c r="SV18" i="72" s="1"/>
  <c r="SW18" i="72" a="1"/>
  <c r="SW18" i="72" s="1"/>
  <c r="SR18" i="72" a="1"/>
  <c r="SR18" i="72" s="1"/>
  <c r="SQ18" i="72" a="1"/>
  <c r="SQ18" i="72" s="1"/>
  <c r="ST18" i="72" a="1"/>
  <c r="ST18" i="72" s="1"/>
  <c r="SX18" i="72" a="1"/>
  <c r="SX18" i="72" s="1"/>
  <c r="SR33" i="72" a="1"/>
  <c r="SR33" i="72" s="1"/>
  <c r="SU33" i="72" a="1"/>
  <c r="SU33" i="72" s="1"/>
  <c r="SC33" i="72" a="1"/>
  <c r="SC33" i="72" s="1"/>
  <c r="SW33" i="72" a="1"/>
  <c r="SW33" i="72" s="1"/>
  <c r="SV33" i="72" a="1"/>
  <c r="SV33" i="72" s="1"/>
  <c r="SQ33" i="72" a="1"/>
  <c r="SQ33" i="72" s="1"/>
  <c r="SS33" i="72" a="1"/>
  <c r="SS33" i="72" s="1"/>
  <c r="ST33" i="72" a="1"/>
  <c r="ST33" i="72" s="1"/>
  <c r="SX33" i="72" a="1"/>
  <c r="SX33" i="72" s="1"/>
  <c r="RY33" i="72" a="1"/>
  <c r="RY33" i="72" s="1"/>
  <c r="RU33" i="72" a="1"/>
  <c r="RU33" i="72" s="1"/>
  <c r="RX33" i="72" a="1"/>
  <c r="RX33" i="72" s="1"/>
  <c r="RW33" i="72" a="1"/>
  <c r="RW33" i="72" s="1"/>
  <c r="RT33" i="72" a="1"/>
  <c r="RT33" i="72" s="1"/>
  <c r="RF33" i="72" a="1"/>
  <c r="RF33" i="72" s="1"/>
  <c r="RV33" i="72" a="1"/>
  <c r="RV33" i="72" s="1"/>
  <c r="RZ33" i="72" a="1"/>
  <c r="RZ33" i="72" s="1"/>
  <c r="SA33" i="72" a="1"/>
  <c r="SA33" i="72" s="1"/>
  <c r="RY18" i="72" a="1"/>
  <c r="RY18" i="72" s="1"/>
  <c r="RW18" i="72" a="1"/>
  <c r="RW18" i="72" s="1"/>
  <c r="SA18" i="72" a="1"/>
  <c r="SA18" i="72" s="1"/>
  <c r="RX18" i="72" a="1"/>
  <c r="RX18" i="72" s="1"/>
  <c r="RT18" i="72" a="1"/>
  <c r="RT18" i="72" s="1"/>
  <c r="RF18" i="72" a="1"/>
  <c r="RF18" i="72" s="1"/>
  <c r="RZ18" i="72" a="1"/>
  <c r="RZ18" i="72" s="1"/>
  <c r="RV18" i="72" a="1"/>
  <c r="RV18" i="72" s="1"/>
  <c r="RU18" i="72" a="1"/>
  <c r="RU18" i="72" s="1"/>
  <c r="HH17" i="72" a="1"/>
  <c r="HH17" i="72" s="1"/>
  <c r="HF17" i="72" a="1"/>
  <c r="HF17" i="72" s="1"/>
  <c r="HE17" i="72" a="1"/>
  <c r="HE17" i="72" s="1"/>
  <c r="HG17" i="72" a="1"/>
  <c r="HG17" i="72" s="1"/>
  <c r="GP17" i="72" a="1"/>
  <c r="GP17" i="72" s="1"/>
  <c r="HJ17" i="72" a="1"/>
  <c r="HJ17" i="72" s="1"/>
  <c r="HI17" i="72" a="1"/>
  <c r="HI17" i="72" s="1"/>
  <c r="HD17" i="72" a="1"/>
  <c r="HD17" i="72" s="1"/>
  <c r="HK17" i="72" a="1"/>
  <c r="HK17" i="72" s="1"/>
  <c r="HK28" i="72" a="1"/>
  <c r="HK28" i="72" s="1"/>
  <c r="HF28" i="72" a="1"/>
  <c r="HF28" i="72" s="1"/>
  <c r="HD28" i="72" a="1"/>
  <c r="HD28" i="72" s="1"/>
  <c r="HG28" i="72" a="1"/>
  <c r="HG28" i="72" s="1"/>
  <c r="GP28" i="72" a="1"/>
  <c r="GP28" i="72" s="1"/>
  <c r="HH28" i="72" a="1"/>
  <c r="HH28" i="72" s="1"/>
  <c r="HJ28" i="72" a="1"/>
  <c r="HJ28" i="72" s="1"/>
  <c r="HE28" i="72" a="1"/>
  <c r="HE28" i="72" s="1"/>
  <c r="HI28" i="72" a="1"/>
  <c r="HI28" i="72" s="1"/>
  <c r="HF18" i="72" a="1"/>
  <c r="HF18" i="72" s="1"/>
  <c r="GP18" i="72" a="1"/>
  <c r="GP18" i="72" s="1"/>
  <c r="HH18" i="72" a="1"/>
  <c r="HH18" i="72" s="1"/>
  <c r="HD18" i="72" a="1"/>
  <c r="HD18" i="72" s="1"/>
  <c r="HI18" i="72" a="1"/>
  <c r="HI18" i="72" s="1"/>
  <c r="HJ18" i="72" a="1"/>
  <c r="HJ18" i="72" s="1"/>
  <c r="HE18" i="72" a="1"/>
  <c r="HE18" i="72" s="1"/>
  <c r="HG18" i="72" a="1"/>
  <c r="HG18" i="72" s="1"/>
  <c r="HK18" i="72" a="1"/>
  <c r="HK18" i="72" s="1"/>
  <c r="DV19" i="72" a="1"/>
  <c r="DV19" i="72" s="1"/>
  <c r="DR19" i="72" a="1"/>
  <c r="DR19" i="72" s="1"/>
  <c r="DU19" i="72" a="1"/>
  <c r="DU19" i="72" s="1"/>
  <c r="DP19" i="72" a="1"/>
  <c r="DP19" i="72" s="1"/>
  <c r="DB19" i="72" a="1"/>
  <c r="DB19" i="72" s="1"/>
  <c r="DS19" i="72" a="1"/>
  <c r="DS19" i="72" s="1"/>
  <c r="DQ19" i="72" a="1"/>
  <c r="DQ19" i="72" s="1"/>
  <c r="DW19" i="72" a="1"/>
  <c r="DW19" i="72" s="1"/>
  <c r="DT19" i="72" a="1"/>
  <c r="DT19" i="72" s="1"/>
  <c r="DV20" i="72" a="1"/>
  <c r="DV20" i="72" s="1"/>
  <c r="DQ20" i="72" a="1"/>
  <c r="DQ20" i="72" s="1"/>
  <c r="DP20" i="72" a="1"/>
  <c r="DP20" i="72" s="1"/>
  <c r="DS20" i="72" a="1"/>
  <c r="DS20" i="72" s="1"/>
  <c r="DB20" i="72" a="1"/>
  <c r="DB20" i="72" s="1"/>
  <c r="DR20" i="72" a="1"/>
  <c r="DR20" i="72" s="1"/>
  <c r="DT20" i="72" a="1"/>
  <c r="DT20" i="72" s="1"/>
  <c r="DU20" i="72" a="1"/>
  <c r="DU20" i="72" s="1"/>
  <c r="DW20" i="72" a="1"/>
  <c r="DW20" i="72" s="1"/>
  <c r="MO17" i="72" a="1"/>
  <c r="MO17" i="72" s="1"/>
  <c r="MP17" i="72" a="1"/>
  <c r="MP17" i="72" s="1"/>
  <c r="LX17" i="72" a="1"/>
  <c r="LX17" i="72" s="1"/>
  <c r="ML17" i="72" a="1"/>
  <c r="ML17" i="72" s="1"/>
  <c r="MN17" i="72" a="1"/>
  <c r="MN17" i="72" s="1"/>
  <c r="MR17" i="72" a="1"/>
  <c r="MR17" i="72" s="1"/>
  <c r="MQ17" i="72" a="1"/>
  <c r="MQ17" i="72" s="1"/>
  <c r="MM17" i="72" a="1"/>
  <c r="MM17" i="72" s="1"/>
  <c r="MS17" i="72" a="1"/>
  <c r="MS17" i="72" s="1"/>
  <c r="MS14" i="72" a="1"/>
  <c r="MS14" i="72" s="1"/>
  <c r="MM14" i="72" a="1"/>
  <c r="MM14" i="72" s="1"/>
  <c r="LX14" i="72" a="1"/>
  <c r="LX14" i="72" s="1"/>
  <c r="LX35" i="72" s="1"/>
  <c r="LY14" i="72" s="1"/>
  <c r="MQ14" i="72" a="1"/>
  <c r="MQ14" i="72" s="1"/>
  <c r="MR14" i="72" a="1"/>
  <c r="MR14" i="72" s="1"/>
  <c r="MP14" i="72" a="1"/>
  <c r="MP14" i="72" s="1"/>
  <c r="MN14" i="72" a="1"/>
  <c r="MN14" i="72" s="1"/>
  <c r="ML14" i="72" a="1"/>
  <c r="ML14" i="72" s="1"/>
  <c r="MO14" i="72" a="1"/>
  <c r="MO14" i="72" s="1"/>
  <c r="MS16" i="72" a="1"/>
  <c r="MS16" i="72" s="1"/>
  <c r="ML16" i="72" a="1"/>
  <c r="ML16" i="72" s="1"/>
  <c r="MP16" i="72" a="1"/>
  <c r="MP16" i="72" s="1"/>
  <c r="MQ16" i="72" a="1"/>
  <c r="MQ16" i="72" s="1"/>
  <c r="MM16" i="72" a="1"/>
  <c r="MM16" i="72" s="1"/>
  <c r="MO16" i="72" a="1"/>
  <c r="MO16" i="72" s="1"/>
  <c r="MN16" i="72" a="1"/>
  <c r="MN16" i="72" s="1"/>
  <c r="MR16" i="72" a="1"/>
  <c r="MR16" i="72" s="1"/>
  <c r="LX16" i="72" a="1"/>
  <c r="LX16" i="72" s="1"/>
  <c r="JZ14" i="72" a="1"/>
  <c r="JZ14" i="72" s="1"/>
  <c r="JY14" i="72" a="1"/>
  <c r="JY14" i="72" s="1"/>
  <c r="JX14" i="72" a="1"/>
  <c r="JX14" i="72" s="1"/>
  <c r="JW14" i="72" a="1"/>
  <c r="JW14" i="72" s="1"/>
  <c r="KA14" i="72" a="1"/>
  <c r="KA14" i="72" s="1"/>
  <c r="KB14" i="72" a="1"/>
  <c r="KB14" i="72" s="1"/>
  <c r="JU14" i="72" a="1"/>
  <c r="JU14" i="72" s="1"/>
  <c r="JV14" i="72" a="1"/>
  <c r="JV14" i="72" s="1"/>
  <c r="JV35" i="72" s="1"/>
  <c r="JG14" i="72" a="1"/>
  <c r="JG14" i="72" s="1"/>
  <c r="KA21" i="72" a="1"/>
  <c r="KA21" i="72" s="1"/>
  <c r="JY21" i="72" a="1"/>
  <c r="JY21" i="72" s="1"/>
  <c r="JG21" i="72" a="1"/>
  <c r="JG21" i="72" s="1"/>
  <c r="JW21" i="72" a="1"/>
  <c r="JW21" i="72" s="1"/>
  <c r="JV21" i="72" a="1"/>
  <c r="JV21" i="72" s="1"/>
  <c r="JU21" i="72" a="1"/>
  <c r="JU21" i="72" s="1"/>
  <c r="JX21" i="72" a="1"/>
  <c r="JX21" i="72" s="1"/>
  <c r="KB21" i="72" a="1"/>
  <c r="KB21" i="72" s="1"/>
  <c r="JZ21" i="72" a="1"/>
  <c r="JZ21" i="72" s="1"/>
  <c r="JX19" i="72" a="1"/>
  <c r="JX19" i="72" s="1"/>
  <c r="JY19" i="72" a="1"/>
  <c r="JY19" i="72" s="1"/>
  <c r="JU19" i="72" a="1"/>
  <c r="JU19" i="72" s="1"/>
  <c r="KA19" i="72" a="1"/>
  <c r="KA19" i="72" s="1"/>
  <c r="JG19" i="72" a="1"/>
  <c r="JG19" i="72" s="1"/>
  <c r="KB19" i="72" a="1"/>
  <c r="KB19" i="72" s="1"/>
  <c r="JZ19" i="72" a="1"/>
  <c r="JZ19" i="72" s="1"/>
  <c r="JV19" i="72" a="1"/>
  <c r="JV19" i="72" s="1"/>
  <c r="JW19" i="72" a="1"/>
  <c r="JW19" i="72" s="1"/>
  <c r="GK17" i="72" a="1"/>
  <c r="GK17" i="72" s="1"/>
  <c r="GJ17" i="72" a="1"/>
  <c r="GJ17" i="72" s="1"/>
  <c r="FS17" i="72" a="1"/>
  <c r="FS17" i="72" s="1"/>
  <c r="GH17" i="72" a="1"/>
  <c r="GH17" i="72" s="1"/>
  <c r="GM17" i="72" a="1"/>
  <c r="GM17" i="72" s="1"/>
  <c r="GL17" i="72" a="1"/>
  <c r="GL17" i="72" s="1"/>
  <c r="GI17" i="72" a="1"/>
  <c r="GI17" i="72" s="1"/>
  <c r="GN17" i="72" a="1"/>
  <c r="GN17" i="72" s="1"/>
  <c r="GG17" i="72" a="1"/>
  <c r="GG17" i="72" s="1"/>
  <c r="GH21" i="72" a="1"/>
  <c r="GH21" i="72" s="1"/>
  <c r="GI21" i="72" a="1"/>
  <c r="GI21" i="72" s="1"/>
  <c r="GM21" i="72" a="1"/>
  <c r="GM21" i="72" s="1"/>
  <c r="GL21" i="72" a="1"/>
  <c r="GL21" i="72" s="1"/>
  <c r="GJ21" i="72" a="1"/>
  <c r="GJ21" i="72" s="1"/>
  <c r="GG21" i="72" a="1"/>
  <c r="GG21" i="72" s="1"/>
  <c r="GN21" i="72" a="1"/>
  <c r="GN21" i="72" s="1"/>
  <c r="GK21" i="72" a="1"/>
  <c r="GK21" i="72" s="1"/>
  <c r="FS21" i="72" a="1"/>
  <c r="FS21" i="72" s="1"/>
  <c r="CC27" i="72" a="1"/>
  <c r="CC27" i="72" s="1"/>
  <c r="BZ27" i="72" a="1"/>
  <c r="BZ27" i="72" s="1"/>
  <c r="BX27" i="72" a="1"/>
  <c r="BX27" i="72" s="1"/>
  <c r="CA27" i="72" a="1"/>
  <c r="CA27" i="72" s="1"/>
  <c r="CB27" i="72" a="1"/>
  <c r="CB27" i="72" s="1"/>
  <c r="BH27" i="72" a="1"/>
  <c r="BH27" i="72" s="1"/>
  <c r="BW27" i="72" a="1"/>
  <c r="BW27" i="72" s="1"/>
  <c r="BV27" i="72" a="1"/>
  <c r="BV27" i="72" s="1"/>
  <c r="BY27" i="72" a="1"/>
  <c r="BY27" i="72" s="1"/>
  <c r="CA34" i="72" a="1"/>
  <c r="CA34" i="72" s="1"/>
  <c r="BV34" i="72" a="1"/>
  <c r="BV34" i="72" s="1"/>
  <c r="G34" i="72" s="1"/>
  <c r="BZ34" i="72" a="1"/>
  <c r="BZ34" i="72" s="1"/>
  <c r="CB34" i="72" a="1"/>
  <c r="CB34" i="72" s="1"/>
  <c r="BX34" i="72" a="1"/>
  <c r="BX34" i="72" s="1"/>
  <c r="BW34" i="72" a="1"/>
  <c r="BW34" i="72" s="1"/>
  <c r="BY34" i="72" a="1"/>
  <c r="BY34" i="72" s="1"/>
  <c r="BH34" i="72" a="1"/>
  <c r="BH34" i="72" s="1"/>
  <c r="CC34" i="72" a="1"/>
  <c r="CC34" i="72" s="1"/>
  <c r="CA20" i="72" a="1"/>
  <c r="CA20" i="72" s="1"/>
  <c r="CB20" i="72" a="1"/>
  <c r="CB20" i="72" s="1"/>
  <c r="BZ20" i="72" a="1"/>
  <c r="BZ20" i="72" s="1"/>
  <c r="BW20" i="72" a="1"/>
  <c r="BW20" i="72" s="1"/>
  <c r="BY20" i="72" a="1"/>
  <c r="BY20" i="72" s="1"/>
  <c r="BH20" i="72" a="1"/>
  <c r="BH20" i="72" s="1"/>
  <c r="BV20" i="72" a="1"/>
  <c r="BV20" i="72" s="1"/>
  <c r="BX20" i="72" a="1"/>
  <c r="BX20" i="72" s="1"/>
  <c r="CC20" i="72" a="1"/>
  <c r="CC20" i="72" s="1"/>
  <c r="NO16" i="72" a="1"/>
  <c r="NO16" i="72" s="1"/>
  <c r="NK16" i="72" a="1"/>
  <c r="NK16" i="72" s="1"/>
  <c r="MU16" i="72" a="1"/>
  <c r="MU16" i="72" s="1"/>
  <c r="NM16" i="72" a="1"/>
  <c r="NM16" i="72" s="1"/>
  <c r="NN16" i="72" a="1"/>
  <c r="NN16" i="72" s="1"/>
  <c r="NJ16" i="72" a="1"/>
  <c r="NJ16" i="72" s="1"/>
  <c r="NI16" i="72" a="1"/>
  <c r="NI16" i="72" s="1"/>
  <c r="NL16" i="72" a="1"/>
  <c r="NL16" i="72" s="1"/>
  <c r="NP16" i="72" a="1"/>
  <c r="NP16" i="72" s="1"/>
  <c r="NP18" i="72" a="1"/>
  <c r="NP18" i="72" s="1"/>
  <c r="NL18" i="72" a="1"/>
  <c r="NL18" i="72" s="1"/>
  <c r="NO18" i="72" a="1"/>
  <c r="NO18" i="72" s="1"/>
  <c r="NN18" i="72" a="1"/>
  <c r="NN18" i="72" s="1"/>
  <c r="NI18" i="72" a="1"/>
  <c r="NI18" i="72" s="1"/>
  <c r="NK18" i="72" a="1"/>
  <c r="NK18" i="72" s="1"/>
  <c r="NJ18" i="72" a="1"/>
  <c r="NJ18" i="72" s="1"/>
  <c r="NM18" i="72" a="1"/>
  <c r="NM18" i="72" s="1"/>
  <c r="MU18" i="72" a="1"/>
  <c r="MU18" i="72" s="1"/>
  <c r="MU31" i="72" a="1"/>
  <c r="MU31" i="72" s="1"/>
  <c r="NJ31" i="72" a="1"/>
  <c r="NJ31" i="72" s="1"/>
  <c r="NL31" i="72" a="1"/>
  <c r="NL31" i="72" s="1"/>
  <c r="NN31" i="72" a="1"/>
  <c r="NN31" i="72" s="1"/>
  <c r="NP31" i="72" a="1"/>
  <c r="NP31" i="72" s="1"/>
  <c r="NI31" i="72" a="1"/>
  <c r="NI31" i="72" s="1"/>
  <c r="NM31" i="72" a="1"/>
  <c r="NM31" i="72" s="1"/>
  <c r="NO31" i="72" a="1"/>
  <c r="NO31" i="72" s="1"/>
  <c r="NK31" i="72" a="1"/>
  <c r="NK31" i="72" s="1"/>
  <c r="ET30" i="72" a="1"/>
  <c r="ET30" i="72" s="1"/>
  <c r="ER30" i="72" a="1"/>
  <c r="ER30" i="72" s="1"/>
  <c r="EQ30" i="72" a="1"/>
  <c r="EQ30" i="72" s="1"/>
  <c r="EN30" i="72" a="1"/>
  <c r="EN30" i="72" s="1"/>
  <c r="EM30" i="72" a="1"/>
  <c r="EM30" i="72" s="1"/>
  <c r="EO30" i="72" a="1"/>
  <c r="EO30" i="72" s="1"/>
  <c r="ES30" i="72" a="1"/>
  <c r="ES30" i="72" s="1"/>
  <c r="DY30" i="72" a="1"/>
  <c r="DY30" i="72" s="1"/>
  <c r="EP30" i="72" a="1"/>
  <c r="EP30" i="72" s="1"/>
  <c r="EQ31" i="72" a="1"/>
  <c r="EQ31" i="72" s="1"/>
  <c r="EO31" i="72" a="1"/>
  <c r="EO31" i="72" s="1"/>
  <c r="ER31" i="72" a="1"/>
  <c r="ER31" i="72" s="1"/>
  <c r="EP31" i="72" a="1"/>
  <c r="EP31" i="72" s="1"/>
  <c r="ES31" i="72" a="1"/>
  <c r="ES31" i="72" s="1"/>
  <c r="EM31" i="72" a="1"/>
  <c r="EM31" i="72" s="1"/>
  <c r="EN31" i="72" a="1"/>
  <c r="EN31" i="72" s="1"/>
  <c r="DY31" i="72" a="1"/>
  <c r="DY31" i="72" s="1"/>
  <c r="ET31" i="72" a="1"/>
  <c r="ET31" i="72" s="1"/>
  <c r="FP17" i="72" a="1"/>
  <c r="FP17" i="72" s="1"/>
  <c r="FN17" i="72" a="1"/>
  <c r="FN17" i="72" s="1"/>
  <c r="FL17" i="72" a="1"/>
  <c r="FL17" i="72" s="1"/>
  <c r="FO17" i="72" a="1"/>
  <c r="FO17" i="72" s="1"/>
  <c r="FJ17" i="72" a="1"/>
  <c r="FJ17" i="72" s="1"/>
  <c r="EV17" i="72" a="1"/>
  <c r="EV17" i="72" s="1"/>
  <c r="FK17" i="72" a="1"/>
  <c r="FK17" i="72" s="1"/>
  <c r="FM17" i="72" a="1"/>
  <c r="FM17" i="72" s="1"/>
  <c r="FQ17" i="72" a="1"/>
  <c r="FQ17" i="72" s="1"/>
  <c r="FJ25" i="72" a="1"/>
  <c r="FJ25" i="72" s="1"/>
  <c r="EV25" i="72" a="1"/>
  <c r="EV25" i="72" s="1"/>
  <c r="FP25" i="72" a="1"/>
  <c r="FP25" i="72" s="1"/>
  <c r="FO25" i="72" a="1"/>
  <c r="FO25" i="72" s="1"/>
  <c r="FM25" i="72" a="1"/>
  <c r="FM25" i="72" s="1"/>
  <c r="FN25" i="72" a="1"/>
  <c r="FN25" i="72" s="1"/>
  <c r="FL25" i="72" a="1"/>
  <c r="FL25" i="72" s="1"/>
  <c r="FK25" i="72" a="1"/>
  <c r="FK25" i="72" s="1"/>
  <c r="FQ25" i="72" a="1"/>
  <c r="FQ25" i="72" s="1"/>
  <c r="FQ32" i="72" a="1"/>
  <c r="FQ32" i="72" s="1"/>
  <c r="FN32" i="72" a="1"/>
  <c r="FN32" i="72" s="1"/>
  <c r="EV32" i="72" a="1"/>
  <c r="EV32" i="72" s="1"/>
  <c r="FO32" i="72" a="1"/>
  <c r="FO32" i="72" s="1"/>
  <c r="FM32" i="72" a="1"/>
  <c r="FM32" i="72" s="1"/>
  <c r="FL32" i="72" a="1"/>
  <c r="FL32" i="72" s="1"/>
  <c r="FK32" i="72" a="1"/>
  <c r="FK32" i="72" s="1"/>
  <c r="FP32" i="72" a="1"/>
  <c r="FP32" i="72" s="1"/>
  <c r="FJ32" i="72" a="1"/>
  <c r="FJ32" i="72" s="1"/>
  <c r="QD26" i="72" a="1"/>
  <c r="QD26" i="72" s="1"/>
  <c r="QF26" i="72" a="1"/>
  <c r="QF26" i="72" s="1"/>
  <c r="QA26" i="72" a="1"/>
  <c r="QA26" i="72" s="1"/>
  <c r="QB26" i="72" a="1"/>
  <c r="QB26" i="72" s="1"/>
  <c r="QC26" i="72" a="1"/>
  <c r="QC26" i="72" s="1"/>
  <c r="PZ26" i="72" a="1"/>
  <c r="PZ26" i="72" s="1"/>
  <c r="PL26" i="72" a="1"/>
  <c r="PL26" i="72" s="1"/>
  <c r="QE26" i="72" a="1"/>
  <c r="QE26" i="72" s="1"/>
  <c r="QG26" i="72" a="1"/>
  <c r="QG26" i="72" s="1"/>
  <c r="QF31" i="72" a="1"/>
  <c r="QF31" i="72" s="1"/>
  <c r="QA31" i="72" a="1"/>
  <c r="QA31" i="72" s="1"/>
  <c r="QD31" i="72" a="1"/>
  <c r="QD31" i="72" s="1"/>
  <c r="QB31" i="72" a="1"/>
  <c r="QB31" i="72" s="1"/>
  <c r="QC31" i="72" a="1"/>
  <c r="QC31" i="72" s="1"/>
  <c r="PL31" i="72" a="1"/>
  <c r="PL31" i="72" s="1"/>
  <c r="PZ31" i="72" a="1"/>
  <c r="PZ31" i="72" s="1"/>
  <c r="QE31" i="72" a="1"/>
  <c r="QE31" i="72" s="1"/>
  <c r="QG31" i="72" a="1"/>
  <c r="QG31" i="72" s="1"/>
  <c r="CU21" i="72" a="1"/>
  <c r="CU21" i="72" s="1"/>
  <c r="CS21" i="72" a="1"/>
  <c r="CS21" i="72" s="1"/>
  <c r="CV21" i="72" a="1"/>
  <c r="CV21" i="72" s="1"/>
  <c r="CY21" i="72" a="1"/>
  <c r="CY21" i="72" s="1"/>
  <c r="CW21" i="72" a="1"/>
  <c r="CW21" i="72" s="1"/>
  <c r="CX21" i="72" a="1"/>
  <c r="CX21" i="72" s="1"/>
  <c r="CT21" i="72" a="1"/>
  <c r="CT21" i="72" s="1"/>
  <c r="CE21" i="72" a="1"/>
  <c r="CE21" i="72" s="1"/>
  <c r="CZ21" i="72" a="1"/>
  <c r="CZ21" i="72" s="1"/>
  <c r="CU17" i="72" a="1"/>
  <c r="CU17" i="72" s="1"/>
  <c r="CW17" i="72" a="1"/>
  <c r="CW17" i="72" s="1"/>
  <c r="CT17" i="72" a="1"/>
  <c r="CT17" i="72" s="1"/>
  <c r="CS17" i="72" a="1"/>
  <c r="CS17" i="72" s="1"/>
  <c r="CY17" i="72" a="1"/>
  <c r="CY17" i="72" s="1"/>
  <c r="CX17" i="72" a="1"/>
  <c r="CX17" i="72" s="1"/>
  <c r="CE17" i="72" a="1"/>
  <c r="CE17" i="72" s="1"/>
  <c r="CV17" i="72" a="1"/>
  <c r="CV17" i="72" s="1"/>
  <c r="CZ17" i="72" a="1"/>
  <c r="CZ17" i="72" s="1"/>
  <c r="CY15" i="72" a="1"/>
  <c r="CY15" i="72" s="1"/>
  <c r="CS15" i="72" a="1"/>
  <c r="CS15" i="72" s="1"/>
  <c r="CZ15" i="72" a="1"/>
  <c r="CZ15" i="72" s="1"/>
  <c r="CV15" i="72" a="1"/>
  <c r="CV15" i="72" s="1"/>
  <c r="CW15" i="72" a="1"/>
  <c r="CW15" i="72" s="1"/>
  <c r="CU15" i="72" a="1"/>
  <c r="CU15" i="72" s="1"/>
  <c r="CX15" i="72" a="1"/>
  <c r="CX15" i="72" s="1"/>
  <c r="CE15" i="72" a="1"/>
  <c r="CE15" i="72" s="1"/>
  <c r="CT15" i="72" a="1"/>
  <c r="CT15" i="72" s="1"/>
  <c r="NR33" i="72" a="1"/>
  <c r="NR33" i="72" s="1"/>
  <c r="OK33" i="72" a="1"/>
  <c r="OK33" i="72" s="1"/>
  <c r="OJ33" i="72" a="1"/>
  <c r="OJ33" i="72" s="1"/>
  <c r="OG33" i="72" a="1"/>
  <c r="OG33" i="72" s="1"/>
  <c r="OI33" i="72" a="1"/>
  <c r="OI33" i="72" s="1"/>
  <c r="OM33" i="72" a="1"/>
  <c r="OM33" i="72" s="1"/>
  <c r="OF33" i="72" a="1"/>
  <c r="OF33" i="72" s="1"/>
  <c r="OL33" i="72" a="1"/>
  <c r="OL33" i="72" s="1"/>
  <c r="OH33" i="72" a="1"/>
  <c r="OH33" i="72" s="1"/>
  <c r="NR31" i="72" a="1"/>
  <c r="NR31" i="72" s="1"/>
  <c r="OL31" i="72" a="1"/>
  <c r="OL31" i="72" s="1"/>
  <c r="OG31" i="72" a="1"/>
  <c r="OG31" i="72" s="1"/>
  <c r="OJ31" i="72" a="1"/>
  <c r="OJ31" i="72" s="1"/>
  <c r="OI31" i="72" a="1"/>
  <c r="OI31" i="72" s="1"/>
  <c r="OH31" i="72" a="1"/>
  <c r="OH31" i="72" s="1"/>
  <c r="OK31" i="72" a="1"/>
  <c r="OK31" i="72" s="1"/>
  <c r="OF31" i="72" a="1"/>
  <c r="OF31" i="72" s="1"/>
  <c r="OM31" i="72" a="1"/>
  <c r="OM31" i="72" s="1"/>
  <c r="OF26" i="72" a="1"/>
  <c r="OF26" i="72" s="1"/>
  <c r="OH26" i="72" a="1"/>
  <c r="OH26" i="72" s="1"/>
  <c r="OL26" i="72" a="1"/>
  <c r="OL26" i="72" s="1"/>
  <c r="OJ26" i="72" a="1"/>
  <c r="OJ26" i="72" s="1"/>
  <c r="OG26" i="72" a="1"/>
  <c r="OG26" i="72" s="1"/>
  <c r="OK26" i="72" a="1"/>
  <c r="OK26" i="72" s="1"/>
  <c r="OI26" i="72" a="1"/>
  <c r="OI26" i="72" s="1"/>
  <c r="NR26" i="72" a="1"/>
  <c r="NR26" i="72" s="1"/>
  <c r="OM26" i="72" a="1"/>
  <c r="OM26" i="72" s="1"/>
  <c r="QY20" i="72" a="1"/>
  <c r="QY20" i="72" s="1"/>
  <c r="RB20" i="72" a="1"/>
  <c r="RB20" i="72" s="1"/>
  <c r="QW20" i="72" a="1"/>
  <c r="QW20" i="72" s="1"/>
  <c r="QI20" i="72" a="1"/>
  <c r="QI20" i="72" s="1"/>
  <c r="QZ20" i="72" a="1"/>
  <c r="QZ20" i="72" s="1"/>
  <c r="RA20" i="72" a="1"/>
  <c r="RA20" i="72" s="1"/>
  <c r="QX20" i="72" a="1"/>
  <c r="QX20" i="72" s="1"/>
  <c r="RC20" i="72" a="1"/>
  <c r="RC20" i="72" s="1"/>
  <c r="RD20" i="72" a="1"/>
  <c r="RD20" i="72" s="1"/>
  <c r="RA28" i="72" a="1"/>
  <c r="RA28" i="72" s="1"/>
  <c r="QI28" i="72" a="1"/>
  <c r="QI28" i="72" s="1"/>
  <c r="RD28" i="72" a="1"/>
  <c r="RD28" i="72" s="1"/>
  <c r="QY28" i="72" a="1"/>
  <c r="QY28" i="72" s="1"/>
  <c r="QX28" i="72" a="1"/>
  <c r="QX28" i="72" s="1"/>
  <c r="QW28" i="72" a="1"/>
  <c r="QW28" i="72" s="1"/>
  <c r="QZ28" i="72" a="1"/>
  <c r="QZ28" i="72" s="1"/>
  <c r="RB28" i="72" a="1"/>
  <c r="RB28" i="72" s="1"/>
  <c r="RC28" i="72" a="1"/>
  <c r="RC28" i="72" s="1"/>
  <c r="JA30" i="72" a="1"/>
  <c r="JA30" i="72" s="1"/>
  <c r="JC30" i="72" a="1"/>
  <c r="JC30" i="72" s="1"/>
  <c r="IJ30" i="72" a="1"/>
  <c r="IJ30" i="72" s="1"/>
  <c r="JD30" i="72" a="1"/>
  <c r="JD30" i="72" s="1"/>
  <c r="JE30" i="72" a="1"/>
  <c r="JE30" i="72" s="1"/>
  <c r="IZ30" i="72" a="1"/>
  <c r="IZ30" i="72" s="1"/>
  <c r="IX30" i="72" a="1"/>
  <c r="IX30" i="72" s="1"/>
  <c r="JB30" i="72" a="1"/>
  <c r="JB30" i="72" s="1"/>
  <c r="IY30" i="72" a="1"/>
  <c r="IY30" i="72" s="1"/>
  <c r="IY26" i="72" a="1"/>
  <c r="IY26" i="72" s="1"/>
  <c r="JB26" i="72" a="1"/>
  <c r="JB26" i="72" s="1"/>
  <c r="JC26" i="72" a="1"/>
  <c r="JC26" i="72" s="1"/>
  <c r="IZ26" i="72" a="1"/>
  <c r="IZ26" i="72" s="1"/>
  <c r="IX26" i="72" a="1"/>
  <c r="IX26" i="72" s="1"/>
  <c r="JA26" i="72" a="1"/>
  <c r="JA26" i="72" s="1"/>
  <c r="JD26" i="72" a="1"/>
  <c r="JD26" i="72" s="1"/>
  <c r="JE26" i="72" a="1"/>
  <c r="JE26" i="72" s="1"/>
  <c r="IJ26" i="72" a="1"/>
  <c r="IJ26" i="72" s="1"/>
  <c r="JE28" i="72" a="1"/>
  <c r="JE28" i="72" s="1"/>
  <c r="JB28" i="72" a="1"/>
  <c r="JB28" i="72" s="1"/>
  <c r="JA28" i="72" a="1"/>
  <c r="JA28" i="72" s="1"/>
  <c r="IY28" i="72" a="1"/>
  <c r="IY28" i="72" s="1"/>
  <c r="IX28" i="72" a="1"/>
  <c r="IX28" i="72" s="1"/>
  <c r="JC28" i="72" a="1"/>
  <c r="JC28" i="72" s="1"/>
  <c r="IZ28" i="72" a="1"/>
  <c r="IZ28" i="72" s="1"/>
  <c r="JD28" i="72" a="1"/>
  <c r="JD28" i="72" s="1"/>
  <c r="IJ28" i="72" a="1"/>
  <c r="IJ28" i="72" s="1"/>
  <c r="PJ16" i="72" a="1"/>
  <c r="PJ16" i="72" s="1"/>
  <c r="PD16" i="72" a="1"/>
  <c r="PD16" i="72" s="1"/>
  <c r="PG16" i="72" a="1"/>
  <c r="PG16" i="72" s="1"/>
  <c r="OO16" i="72" a="1"/>
  <c r="OO16" i="72" s="1"/>
  <c r="PF16" i="72" a="1"/>
  <c r="PF16" i="72" s="1"/>
  <c r="PI16" i="72" a="1"/>
  <c r="PI16" i="72" s="1"/>
  <c r="PC16" i="72" a="1"/>
  <c r="PC16" i="72" s="1"/>
  <c r="PE16" i="72" a="1"/>
  <c r="PE16" i="72" s="1"/>
  <c r="PH16" i="72" a="1"/>
  <c r="PH16" i="72" s="1"/>
  <c r="PD19" i="72" a="1"/>
  <c r="PD19" i="72" s="1"/>
  <c r="PG19" i="72" a="1"/>
  <c r="PG19" i="72" s="1"/>
  <c r="PJ19" i="72" a="1"/>
  <c r="PJ19" i="72" s="1"/>
  <c r="PH19" i="72" a="1"/>
  <c r="PH19" i="72" s="1"/>
  <c r="PC19" i="72" a="1"/>
  <c r="PC19" i="72" s="1"/>
  <c r="PF19" i="72" a="1"/>
  <c r="PF19" i="72" s="1"/>
  <c r="OO19" i="72" a="1"/>
  <c r="OO19" i="72" s="1"/>
  <c r="PI19" i="72" a="1"/>
  <c r="PI19" i="72" s="1"/>
  <c r="PE19" i="72" a="1"/>
  <c r="PE19" i="72" s="1"/>
  <c r="PF29" i="72" a="1"/>
  <c r="PF29" i="72" s="1"/>
  <c r="PI29" i="72" a="1"/>
  <c r="PI29" i="72" s="1"/>
  <c r="PC29" i="72" a="1"/>
  <c r="PC29" i="72" s="1"/>
  <c r="PD29" i="72" a="1"/>
  <c r="PD29" i="72" s="1"/>
  <c r="PH29" i="72" a="1"/>
  <c r="PH29" i="72" s="1"/>
  <c r="PG29" i="72" a="1"/>
  <c r="PG29" i="72" s="1"/>
  <c r="PE29" i="72" a="1"/>
  <c r="PE29" i="72" s="1"/>
  <c r="OO29" i="72" a="1"/>
  <c r="OO29" i="72" s="1"/>
  <c r="PJ29" i="72" a="1"/>
  <c r="PJ29" i="72" s="1"/>
  <c r="G18" i="89"/>
  <c r="U5" i="90"/>
  <c r="U3" i="90" s="1"/>
  <c r="U4" i="90"/>
  <c r="U2" i="90" s="1"/>
  <c r="G27" i="72" l="1"/>
  <c r="LY16" i="72"/>
  <c r="LY26" i="72"/>
  <c r="MM35" i="72"/>
  <c r="H21" i="72"/>
  <c r="GH35" i="72"/>
  <c r="LY23" i="72"/>
  <c r="LY17" i="72"/>
  <c r="LY29" i="72"/>
  <c r="EM35" i="72"/>
  <c r="G30" i="72"/>
  <c r="LY34" i="72"/>
  <c r="MU35" i="72"/>
  <c r="MV14" i="72" s="1"/>
  <c r="MV26" i="72"/>
  <c r="G18" i="72"/>
  <c r="GP35" i="72"/>
  <c r="GQ30" i="72" s="1"/>
  <c r="GQ14" i="72"/>
  <c r="LY35" i="72"/>
  <c r="MV22" i="72"/>
  <c r="JG35" i="72"/>
  <c r="JH15" i="72" s="1"/>
  <c r="JH14" i="72"/>
  <c r="GQ29" i="72"/>
  <c r="GG35" i="72"/>
  <c r="MV27" i="72"/>
  <c r="JU35" i="72"/>
  <c r="MV23" i="72"/>
  <c r="G19" i="72"/>
  <c r="JH23" i="72"/>
  <c r="G20" i="72"/>
  <c r="ML35" i="72"/>
  <c r="GQ28" i="72"/>
  <c r="BI20" i="72"/>
  <c r="BH35" i="72"/>
  <c r="BI32" i="72" s="1"/>
  <c r="BI14" i="72"/>
  <c r="DZ31" i="72"/>
  <c r="H27" i="72"/>
  <c r="GQ18" i="72"/>
  <c r="BV35" i="72"/>
  <c r="G14" i="72"/>
  <c r="NJ35" i="72"/>
  <c r="BI33" i="72"/>
  <c r="LY25" i="72"/>
  <c r="GQ22" i="72"/>
  <c r="GQ24" i="72"/>
  <c r="DY35" i="72"/>
  <c r="DZ16" i="72" s="1"/>
  <c r="DZ14" i="72"/>
  <c r="G25" i="72"/>
  <c r="BI15" i="72"/>
  <c r="LY18" i="72"/>
  <c r="GQ32" i="72"/>
  <c r="SR35" i="72"/>
  <c r="BI17" i="72"/>
  <c r="JH30" i="72"/>
  <c r="LY30" i="72"/>
  <c r="BI23" i="72"/>
  <c r="LY32" i="72"/>
  <c r="PZ35" i="72"/>
  <c r="H34" i="72"/>
  <c r="H30" i="72"/>
  <c r="DZ30" i="72"/>
  <c r="MV31" i="72"/>
  <c r="MV16" i="72"/>
  <c r="H20" i="72"/>
  <c r="BI27" i="72"/>
  <c r="H14" i="72"/>
  <c r="BW35" i="72"/>
  <c r="NI35" i="72"/>
  <c r="FS35" i="72"/>
  <c r="FT15" i="72" s="1"/>
  <c r="JH25" i="72"/>
  <c r="IX35" i="72"/>
  <c r="H25" i="72"/>
  <c r="DP35" i="72"/>
  <c r="HE35" i="72"/>
  <c r="CT35" i="72"/>
  <c r="MV25" i="72"/>
  <c r="H15" i="72"/>
  <c r="MV34" i="72"/>
  <c r="MV32" i="72"/>
  <c r="FT24" i="72"/>
  <c r="JH22" i="72"/>
  <c r="RF35" i="72"/>
  <c r="RG15" i="72" s="1"/>
  <c r="RG14" i="72"/>
  <c r="OO35" i="72"/>
  <c r="OP25" i="72" s="1"/>
  <c r="DZ23" i="72"/>
  <c r="MV17" i="72"/>
  <c r="G24" i="72"/>
  <c r="LY15" i="72"/>
  <c r="RG16" i="72"/>
  <c r="IA35" i="72"/>
  <c r="DZ18" i="72"/>
  <c r="DZ22" i="72"/>
  <c r="BI28" i="72"/>
  <c r="JH17" i="72"/>
  <c r="KR35" i="72"/>
  <c r="BI30" i="72"/>
  <c r="JH21" i="72"/>
  <c r="RG33" i="72"/>
  <c r="MV18" i="72"/>
  <c r="LA35" i="72"/>
  <c r="LB20" i="72" s="1"/>
  <c r="OP23" i="72"/>
  <c r="DZ20" i="72"/>
  <c r="BI21" i="72"/>
  <c r="JH26" i="72"/>
  <c r="GQ25" i="72"/>
  <c r="BI19" i="72"/>
  <c r="DC17" i="72"/>
  <c r="LB29" i="72"/>
  <c r="QW35" i="72"/>
  <c r="MV33" i="72"/>
  <c r="BI18" i="72"/>
  <c r="JH24" i="72"/>
  <c r="DB35" i="72"/>
  <c r="DC24" i="72" s="1"/>
  <c r="DC14" i="72"/>
  <c r="MV19" i="72"/>
  <c r="G31" i="72"/>
  <c r="JH33" i="72"/>
  <c r="LY28" i="72"/>
  <c r="DZ17" i="72"/>
  <c r="H32" i="72"/>
  <c r="BI26" i="72"/>
  <c r="LY20" i="72"/>
  <c r="RG20" i="72"/>
  <c r="BI24" i="72"/>
  <c r="G23" i="72"/>
  <c r="JH16" i="72"/>
  <c r="GQ19" i="72"/>
  <c r="OP31" i="72"/>
  <c r="PL35" i="72"/>
  <c r="PM20" i="72" s="1"/>
  <c r="LY24" i="72"/>
  <c r="DC31" i="72"/>
  <c r="GQ26" i="72"/>
  <c r="GQ31" i="72"/>
  <c r="LB18" i="72"/>
  <c r="LB15" i="72"/>
  <c r="QX35" i="72"/>
  <c r="PM21" i="72"/>
  <c r="DQ35" i="72"/>
  <c r="HD35" i="72"/>
  <c r="GQ23" i="72"/>
  <c r="LB21" i="72"/>
  <c r="BI31" i="72"/>
  <c r="SD21" i="72"/>
  <c r="SC35" i="72"/>
  <c r="SD14" i="72" s="1"/>
  <c r="PM29" i="72"/>
  <c r="H17" i="72"/>
  <c r="DC26" i="72"/>
  <c r="GQ33" i="72"/>
  <c r="PM25" i="72"/>
  <c r="DZ29" i="72"/>
  <c r="JH28" i="72"/>
  <c r="DC21" i="72"/>
  <c r="GQ34" i="72"/>
  <c r="GQ27" i="72"/>
  <c r="IY35" i="72"/>
  <c r="H22" i="72"/>
  <c r="RG26" i="72"/>
  <c r="RG24" i="72"/>
  <c r="H31" i="72"/>
  <c r="DC34" i="72"/>
  <c r="DC16" i="72"/>
  <c r="RG17" i="72"/>
  <c r="OP32" i="72"/>
  <c r="PM18" i="72"/>
  <c r="G32" i="72"/>
  <c r="H26" i="72"/>
  <c r="LY33" i="72"/>
  <c r="RU35" i="72"/>
  <c r="SD30" i="72"/>
  <c r="PC35" i="72"/>
  <c r="MV24" i="72"/>
  <c r="G29" i="72"/>
  <c r="FT18" i="72"/>
  <c r="LY19" i="72"/>
  <c r="MV29" i="72"/>
  <c r="G28" i="72"/>
  <c r="GQ16" i="72"/>
  <c r="LB33" i="72"/>
  <c r="NR35" i="72"/>
  <c r="NS26" i="72" s="1"/>
  <c r="NS14" i="72"/>
  <c r="CS35" i="72"/>
  <c r="PM28" i="72"/>
  <c r="DZ34" i="72"/>
  <c r="MV20" i="72"/>
  <c r="FT20" i="72"/>
  <c r="JH18" i="72"/>
  <c r="LY21" i="72"/>
  <c r="GQ20" i="72"/>
  <c r="DZ19" i="72"/>
  <c r="DZ24" i="72"/>
  <c r="FT33" i="72"/>
  <c r="DC23" i="72"/>
  <c r="PM15" i="72"/>
  <c r="EN35" i="72"/>
  <c r="DZ32" i="72"/>
  <c r="H29" i="72"/>
  <c r="FT22" i="72"/>
  <c r="RG34" i="72"/>
  <c r="RG25" i="72"/>
  <c r="HM35" i="72"/>
  <c r="HN25" i="72" s="1"/>
  <c r="QA35" i="72"/>
  <c r="BI22" i="72"/>
  <c r="BI16" i="72"/>
  <c r="QI35" i="72"/>
  <c r="QJ33" i="72" s="1"/>
  <c r="QJ14" i="72"/>
  <c r="DZ33" i="72"/>
  <c r="FT23" i="72"/>
  <c r="JH32" i="72"/>
  <c r="LY22" i="72"/>
  <c r="OF35" i="72"/>
  <c r="DZ25" i="72"/>
  <c r="G15" i="72"/>
  <c r="RG31" i="72"/>
  <c r="FT27" i="72"/>
  <c r="HN28" i="72"/>
  <c r="PD35" i="72"/>
  <c r="OP18" i="72"/>
  <c r="H24" i="72"/>
  <c r="DC18" i="72"/>
  <c r="NS34" i="72"/>
  <c r="DZ21" i="72"/>
  <c r="H16" i="72"/>
  <c r="G17" i="72"/>
  <c r="DC33" i="72"/>
  <c r="SD28" i="72"/>
  <c r="LB22" i="72"/>
  <c r="KS35" i="72"/>
  <c r="QJ34" i="72"/>
  <c r="JH34" i="72"/>
  <c r="SD25" i="72"/>
  <c r="IB35" i="72"/>
  <c r="HN23" i="72"/>
  <c r="EV35" i="72"/>
  <c r="EW17" i="72" s="1"/>
  <c r="EW16" i="72"/>
  <c r="FJ35" i="72"/>
  <c r="DZ28" i="72"/>
  <c r="H19" i="72"/>
  <c r="H33" i="72"/>
  <c r="DC15" i="72"/>
  <c r="GQ15" i="72"/>
  <c r="OP27" i="72"/>
  <c r="OG35" i="72"/>
  <c r="PM16" i="72"/>
  <c r="BI25" i="72"/>
  <c r="H18" i="72"/>
  <c r="HN22" i="72"/>
  <c r="OP17" i="72"/>
  <c r="CE35" i="72"/>
  <c r="CF15" i="72" s="1"/>
  <c r="EW19" i="72"/>
  <c r="DZ27" i="72"/>
  <c r="FT25" i="72"/>
  <c r="RG22" i="72"/>
  <c r="SQ35" i="72"/>
  <c r="G26" i="72"/>
  <c r="GQ21" i="72"/>
  <c r="RT35" i="72"/>
  <c r="LB16" i="72"/>
  <c r="LB28" i="72"/>
  <c r="NS23" i="72"/>
  <c r="H23" i="72"/>
  <c r="BI29" i="72"/>
  <c r="OP30" i="72"/>
  <c r="IJ35" i="72"/>
  <c r="IK14" i="72" s="1"/>
  <c r="QJ30" i="72"/>
  <c r="NS19" i="72"/>
  <c r="CF32" i="72"/>
  <c r="MV30" i="72"/>
  <c r="H28" i="72"/>
  <c r="G22" i="72"/>
  <c r="G16" i="72"/>
  <c r="FT32" i="72"/>
  <c r="FT30" i="72"/>
  <c r="JH27" i="72"/>
  <c r="JH29" i="72"/>
  <c r="LY27" i="72"/>
  <c r="LY31" i="72"/>
  <c r="HN26" i="72"/>
  <c r="KD35" i="72"/>
  <c r="KE25" i="72" s="1"/>
  <c r="P13" i="90"/>
  <c r="P12" i="90"/>
  <c r="P11" i="90"/>
  <c r="HN30" i="72" l="1"/>
  <c r="HN14" i="72"/>
  <c r="IK19" i="72"/>
  <c r="CF27" i="72"/>
  <c r="QJ15" i="72"/>
  <c r="QJ24" i="72"/>
  <c r="CF26" i="72"/>
  <c r="LB14" i="72"/>
  <c r="RG35" i="72"/>
  <c r="NS24" i="72"/>
  <c r="LB17" i="72"/>
  <c r="H35" i="72"/>
  <c r="CF23" i="72"/>
  <c r="NS17" i="72"/>
  <c r="DC25" i="72"/>
  <c r="KE28" i="72"/>
  <c r="MV35" i="72"/>
  <c r="NS20" i="72"/>
  <c r="IK34" i="72"/>
  <c r="OP21" i="72"/>
  <c r="IK15" i="72"/>
  <c r="KE17" i="72"/>
  <c r="PM19" i="72"/>
  <c r="DC22" i="72"/>
  <c r="JH19" i="72"/>
  <c r="RG18" i="72"/>
  <c r="KE24" i="72"/>
  <c r="CF14" i="72"/>
  <c r="EW20" i="72"/>
  <c r="EW18" i="72"/>
  <c r="QJ35" i="72"/>
  <c r="IK17" i="72"/>
  <c r="NS35" i="72"/>
  <c r="IK31" i="72"/>
  <c r="EW30" i="72"/>
  <c r="CF34" i="72"/>
  <c r="KE30" i="72"/>
  <c r="EW32" i="72"/>
  <c r="QJ20" i="72"/>
  <c r="LB30" i="72"/>
  <c r="RG21" i="72"/>
  <c r="EW14" i="72"/>
  <c r="NS22" i="72"/>
  <c r="QJ25" i="72"/>
  <c r="PM30" i="72"/>
  <c r="OP15" i="72"/>
  <c r="RG28" i="72"/>
  <c r="NS15" i="72"/>
  <c r="PM22" i="72"/>
  <c r="GQ17" i="72"/>
  <c r="DZ15" i="72"/>
  <c r="EW33" i="72"/>
  <c r="NS21" i="72"/>
  <c r="EW28" i="72"/>
  <c r="IK29" i="72"/>
  <c r="KE31" i="72"/>
  <c r="QJ32" i="72"/>
  <c r="QJ29" i="72"/>
  <c r="PM33" i="72"/>
  <c r="CF29" i="72"/>
  <c r="KE16" i="72"/>
  <c r="OP14" i="72"/>
  <c r="DC28" i="72"/>
  <c r="QJ31" i="72"/>
  <c r="SD31" i="72"/>
  <c r="OP28" i="72"/>
  <c r="QJ28" i="72"/>
  <c r="PM32" i="72"/>
  <c r="KE18" i="72"/>
  <c r="CF18" i="72"/>
  <c r="KE34" i="72"/>
  <c r="DC27" i="72"/>
  <c r="DZ26" i="72"/>
  <c r="DC20" i="72"/>
  <c r="QJ17" i="72"/>
  <c r="GQ35" i="72"/>
  <c r="FT26" i="72"/>
  <c r="RG19" i="72"/>
  <c r="MV21" i="72"/>
  <c r="NS32" i="72"/>
  <c r="HN31" i="72"/>
  <c r="FT16" i="72"/>
  <c r="NS16" i="72"/>
  <c r="CF25" i="72"/>
  <c r="IK21" i="72"/>
  <c r="CF24" i="72"/>
  <c r="EW26" i="72"/>
  <c r="CF30" i="72"/>
  <c r="OP26" i="72"/>
  <c r="CF16" i="72"/>
  <c r="NS18" i="72"/>
  <c r="PM34" i="72"/>
  <c r="SD24" i="72"/>
  <c r="DZ35" i="72"/>
  <c r="BI35" i="72"/>
  <c r="JH35" i="72"/>
  <c r="HN19" i="72"/>
  <c r="IK27" i="72"/>
  <c r="SD20" i="72"/>
  <c r="HN17" i="72"/>
  <c r="IK22" i="72"/>
  <c r="MV15" i="72"/>
  <c r="LB32" i="72"/>
  <c r="DC32" i="72"/>
  <c r="IK26" i="72"/>
  <c r="SD18" i="72"/>
  <c r="IK28" i="72"/>
  <c r="KE15" i="72"/>
  <c r="IK35" i="72"/>
  <c r="QJ16" i="72"/>
  <c r="CF19" i="72"/>
  <c r="HN34" i="72"/>
  <c r="IK18" i="72"/>
  <c r="SD35" i="72"/>
  <c r="EW31" i="72"/>
  <c r="KE27" i="72"/>
  <c r="PM24" i="72"/>
  <c r="CF21" i="72"/>
  <c r="PM17" i="72"/>
  <c r="OP20" i="72"/>
  <c r="DC29" i="72"/>
  <c r="FT14" i="72"/>
  <c r="QJ26" i="72"/>
  <c r="RG23" i="72"/>
  <c r="EW27" i="72"/>
  <c r="IK24" i="72"/>
  <c r="RG27" i="72"/>
  <c r="NS25" i="72"/>
  <c r="SD26" i="72"/>
  <c r="OP34" i="72"/>
  <c r="OP33" i="72"/>
  <c r="G35" i="72"/>
  <c r="KE33" i="72"/>
  <c r="HN24" i="72"/>
  <c r="LB27" i="72"/>
  <c r="SD16" i="72"/>
  <c r="SD33" i="72"/>
  <c r="SD17" i="72"/>
  <c r="NS30" i="72"/>
  <c r="JH20" i="72"/>
  <c r="LB19" i="72"/>
  <c r="IK23" i="72"/>
  <c r="HN32" i="72"/>
  <c r="FT21" i="72"/>
  <c r="OP29" i="72"/>
  <c r="DC19" i="72"/>
  <c r="PM26" i="72"/>
  <c r="KE32" i="72"/>
  <c r="NS29" i="72"/>
  <c r="HN33" i="72"/>
  <c r="KE26" i="72"/>
  <c r="CF17" i="72"/>
  <c r="EW29" i="72"/>
  <c r="SD19" i="72"/>
  <c r="EW15" i="72"/>
  <c r="LB23" i="72"/>
  <c r="OP24" i="72"/>
  <c r="EW24" i="72"/>
  <c r="RG29" i="72"/>
  <c r="SD22" i="72"/>
  <c r="PM27" i="72"/>
  <c r="HN20" i="72"/>
  <c r="FT19" i="72"/>
  <c r="NS27" i="72"/>
  <c r="SD29" i="72"/>
  <c r="KE20" i="72"/>
  <c r="CF20" i="72"/>
  <c r="KE21" i="72"/>
  <c r="QJ27" i="72"/>
  <c r="LB31" i="72"/>
  <c r="EW34" i="72"/>
  <c r="PM31" i="72"/>
  <c r="PM23" i="72"/>
  <c r="NS31" i="72"/>
  <c r="EW22" i="72"/>
  <c r="EW23" i="72"/>
  <c r="CF28" i="72"/>
  <c r="KE29" i="72"/>
  <c r="IK16" i="72"/>
  <c r="HN29" i="72"/>
  <c r="CF22" i="72"/>
  <c r="DC35" i="72"/>
  <c r="CF33" i="72"/>
  <c r="KE19" i="72"/>
  <c r="QJ19" i="72"/>
  <c r="RG32" i="72"/>
  <c r="OP22" i="72"/>
  <c r="LB25" i="72"/>
  <c r="HN21" i="72"/>
  <c r="QJ22" i="72"/>
  <c r="RG30" i="72"/>
  <c r="KE23" i="72"/>
  <c r="NS28" i="72"/>
  <c r="SD27" i="72"/>
  <c r="HN15" i="72"/>
  <c r="FT28" i="72"/>
  <c r="LB26" i="72"/>
  <c r="JH31" i="72"/>
  <c r="EW21" i="72"/>
  <c r="FT17" i="72"/>
  <c r="HN18" i="72"/>
  <c r="EW25" i="72"/>
  <c r="OP16" i="72"/>
  <c r="LB24" i="72"/>
  <c r="KE14" i="72"/>
  <c r="IK32" i="72"/>
  <c r="KE22" i="72"/>
  <c r="QJ18" i="72"/>
  <c r="QJ21" i="72"/>
  <c r="SD32" i="72"/>
  <c r="PM14" i="72"/>
  <c r="SD23" i="72"/>
  <c r="CF31" i="72"/>
  <c r="SD34" i="72"/>
  <c r="QJ23" i="72"/>
  <c r="HN27" i="72"/>
  <c r="HN16" i="72"/>
  <c r="SD15" i="72"/>
  <c r="LB34" i="72"/>
  <c r="NS33" i="72"/>
  <c r="FT31" i="72"/>
  <c r="IK25" i="72"/>
  <c r="FT34" i="72"/>
  <c r="DC30" i="72"/>
  <c r="FT29" i="72"/>
  <c r="MV28" i="72"/>
  <c r="IK30" i="72"/>
  <c r="OP19" i="72"/>
  <c r="BI34" i="72"/>
  <c r="IK20" i="72"/>
  <c r="IK33" i="72"/>
  <c r="C14" i="69"/>
  <c r="OP35" i="72" l="1"/>
  <c r="PM35" i="72"/>
  <c r="FT35" i="72"/>
  <c r="CF35" i="72"/>
  <c r="EW35" i="72"/>
  <c r="HN35" i="72"/>
  <c r="LB35" i="72"/>
  <c r="KE35" i="72"/>
  <c r="B5" i="89"/>
  <c r="F10" i="89"/>
  <c r="AC50" i="61" s="1"/>
  <c r="E10" i="89"/>
  <c r="T50" i="61" s="1"/>
  <c r="G15" i="57"/>
  <c r="E171" i="94" l="1"/>
  <c r="E17" i="94"/>
  <c r="AB3" i="97" s="1"/>
  <c r="D11" i="97" s="1"/>
  <c r="L25" i="57"/>
  <c r="L30" i="57"/>
  <c r="L24" i="57"/>
  <c r="L29" i="57"/>
  <c r="L32" i="57"/>
  <c r="L28" i="57"/>
  <c r="L31" i="57"/>
  <c r="L27" i="57"/>
  <c r="L23" i="57"/>
  <c r="L26" i="57"/>
  <c r="AU40" i="61"/>
  <c r="C2295" i="100"/>
  <c r="B2361" i="100"/>
  <c r="C2383" i="100"/>
  <c r="B2317" i="100"/>
  <c r="B2383" i="100"/>
  <c r="B2339" i="100"/>
  <c r="C2339" i="100"/>
  <c r="C2361" i="100"/>
  <c r="C2317" i="100"/>
  <c r="B2295" i="100"/>
  <c r="AB25" i="97" l="1"/>
  <c r="D331" i="97" s="1"/>
  <c r="AB27" i="97"/>
  <c r="D359" i="97" s="1"/>
  <c r="Z13" i="74"/>
  <c r="Z19" i="74" s="1"/>
  <c r="Z17" i="74" l="1"/>
  <c r="Z15" i="74"/>
  <c r="Z18" i="74"/>
  <c r="Z16" i="74"/>
  <c r="X1" i="12"/>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Q14" i="57" l="1"/>
  <c r="F19" i="57" l="1"/>
  <c r="I4" i="99" s="1"/>
  <c r="M31" i="43" l="1"/>
  <c r="M32" i="43" l="1"/>
  <c r="M33" i="43" s="1"/>
  <c r="M34" i="43" s="1"/>
  <c r="M35" i="43" s="1"/>
  <c r="J36" i="43" s="1"/>
  <c r="J37" i="43" s="1"/>
  <c r="J38" i="43" s="1"/>
  <c r="J39" i="43" s="1"/>
  <c r="J40" i="43" s="1"/>
  <c r="J41" i="43" s="1"/>
  <c r="J42" i="43" s="1"/>
  <c r="M29" i="43"/>
  <c r="M28" i="43" s="1"/>
  <c r="M27" i="43" s="1"/>
  <c r="M26" i="43" s="1"/>
  <c r="M25" i="43" s="1"/>
  <c r="M24" i="43" s="1"/>
  <c r="AK25" i="75" l="1"/>
  <c r="AK14" i="75"/>
  <c r="AK13" i="75"/>
  <c r="AK12" i="75"/>
  <c r="AK11" i="75"/>
  <c r="AK10" i="75"/>
  <c r="AK9" i="75"/>
  <c r="AK8" i="75"/>
  <c r="AK7" i="75"/>
  <c r="AK6" i="75"/>
  <c r="AL25" i="75"/>
  <c r="AL14" i="75"/>
  <c r="AL13" i="75"/>
  <c r="AL12" i="75"/>
  <c r="AL11" i="75"/>
  <c r="AL10" i="75"/>
  <c r="AL9" i="75"/>
  <c r="AL8" i="75"/>
  <c r="AL7" i="75"/>
  <c r="AL6" i="75"/>
  <c r="AN25" i="75" l="1"/>
  <c r="AN14" i="75"/>
  <c r="AN13" i="75"/>
  <c r="AN12" i="75"/>
  <c r="AN11" i="75"/>
  <c r="AN10" i="75"/>
  <c r="AN9" i="75"/>
  <c r="AN8" i="75"/>
  <c r="AK4" i="75"/>
  <c r="W2" i="57" l="1"/>
  <c r="D35" i="57" l="1"/>
  <c r="D38" i="57"/>
  <c r="D41" i="57"/>
  <c r="D33" i="57"/>
  <c r="D36" i="57"/>
  <c r="D39" i="57"/>
  <c r="D42" i="57"/>
  <c r="D34" i="57"/>
  <c r="D37" i="57"/>
  <c r="D40" i="57"/>
  <c r="J32" i="57"/>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AE406" i="99" l="1"/>
  <c r="AE364" i="99"/>
  <c r="M309" i="99"/>
  <c r="M258" i="99"/>
  <c r="M406" i="99"/>
  <c r="M364" i="99"/>
  <c r="M292" i="99"/>
  <c r="CE231" i="99"/>
  <c r="AE385" i="99"/>
  <c r="M345" i="99"/>
  <c r="AE275" i="99"/>
  <c r="BN231" i="99"/>
  <c r="M385" i="99"/>
  <c r="M326" i="99"/>
  <c r="M275" i="99"/>
  <c r="AW231" i="99"/>
  <c r="AE231" i="99"/>
  <c r="AE177" i="99"/>
  <c r="AE130" i="99"/>
  <c r="AE76" i="99"/>
  <c r="M231" i="99"/>
  <c r="M177" i="99"/>
  <c r="M130" i="99"/>
  <c r="M76" i="99"/>
  <c r="AE206" i="99"/>
  <c r="AE152" i="99"/>
  <c r="AE101" i="99"/>
  <c r="AE47" i="99"/>
  <c r="M206" i="99"/>
  <c r="M152" i="99"/>
  <c r="M101" i="99"/>
  <c r="M47" i="99"/>
  <c r="M22" i="99"/>
  <c r="AE22" i="99"/>
  <c r="AA408" i="99"/>
  <c r="AA366" i="99"/>
  <c r="I311" i="99"/>
  <c r="I260" i="99"/>
  <c r="I408" i="99"/>
  <c r="I366" i="99"/>
  <c r="I294" i="99"/>
  <c r="CA233" i="99"/>
  <c r="AA387" i="99"/>
  <c r="I347" i="99"/>
  <c r="AA277" i="99"/>
  <c r="BJ233" i="99"/>
  <c r="I387" i="99"/>
  <c r="I328" i="99"/>
  <c r="I277" i="99"/>
  <c r="AS233" i="99"/>
  <c r="AA233" i="99"/>
  <c r="AA179" i="99"/>
  <c r="AA132" i="99"/>
  <c r="AA78" i="99"/>
  <c r="I233" i="99"/>
  <c r="I179" i="99"/>
  <c r="I132" i="99"/>
  <c r="I78" i="99"/>
  <c r="AA208" i="99"/>
  <c r="AA154" i="99"/>
  <c r="AA103" i="99"/>
  <c r="AA49" i="99"/>
  <c r="I208" i="99"/>
  <c r="I154" i="99"/>
  <c r="I103" i="99"/>
  <c r="I49" i="99"/>
  <c r="I24" i="99"/>
  <c r="AA24" i="99"/>
  <c r="AB409" i="99"/>
  <c r="AB367" i="99"/>
  <c r="J312" i="99"/>
  <c r="J261" i="99"/>
  <c r="J409" i="99"/>
  <c r="J367" i="99"/>
  <c r="J295" i="99"/>
  <c r="CB234" i="99"/>
  <c r="AB388" i="99"/>
  <c r="J348" i="99"/>
  <c r="AB278" i="99"/>
  <c r="BK234" i="99"/>
  <c r="J388" i="99"/>
  <c r="J329" i="99"/>
  <c r="J278" i="99"/>
  <c r="AT234" i="99"/>
  <c r="AB234" i="99"/>
  <c r="AB180" i="99"/>
  <c r="AB133" i="99"/>
  <c r="AB79" i="99"/>
  <c r="J234" i="99"/>
  <c r="J180" i="99"/>
  <c r="J133" i="99"/>
  <c r="J79" i="99"/>
  <c r="AB209" i="99"/>
  <c r="AB155" i="99"/>
  <c r="AB104" i="99"/>
  <c r="AB50" i="99"/>
  <c r="J209" i="99"/>
  <c r="J155" i="99"/>
  <c r="J104" i="99"/>
  <c r="J50" i="99"/>
  <c r="AB25" i="99"/>
  <c r="J25" i="99"/>
  <c r="M390" i="99"/>
  <c r="M331" i="99"/>
  <c r="M280" i="99"/>
  <c r="AW236" i="99"/>
  <c r="AE411" i="99"/>
  <c r="AE369" i="99"/>
  <c r="M314" i="99"/>
  <c r="M263" i="99"/>
  <c r="AE236" i="99"/>
  <c r="M411" i="99"/>
  <c r="M369" i="99"/>
  <c r="M297" i="99"/>
  <c r="CE236" i="99"/>
  <c r="AE390" i="99"/>
  <c r="M350" i="99"/>
  <c r="AE280" i="99"/>
  <c r="BN236" i="99"/>
  <c r="M211" i="99"/>
  <c r="M157" i="99"/>
  <c r="M106" i="99"/>
  <c r="M52" i="99"/>
  <c r="AE182" i="99"/>
  <c r="AE135" i="99"/>
  <c r="AE81" i="99"/>
  <c r="AE27" i="99"/>
  <c r="M236" i="99"/>
  <c r="M182" i="99"/>
  <c r="M135" i="99"/>
  <c r="M81" i="99"/>
  <c r="AE211" i="99"/>
  <c r="AE157" i="99"/>
  <c r="AE106" i="99"/>
  <c r="AE52" i="99"/>
  <c r="M27" i="99"/>
  <c r="AD391" i="99"/>
  <c r="L351" i="99"/>
  <c r="AD281" i="99"/>
  <c r="BM237" i="99"/>
  <c r="L391" i="99"/>
  <c r="L332" i="99"/>
  <c r="L281" i="99"/>
  <c r="AV237" i="99"/>
  <c r="AD412" i="99"/>
  <c r="AD370" i="99"/>
  <c r="L315" i="99"/>
  <c r="L264" i="99"/>
  <c r="AD237" i="99"/>
  <c r="L412" i="99"/>
  <c r="L370" i="99"/>
  <c r="L298" i="99"/>
  <c r="CD237" i="99"/>
  <c r="AD212" i="99"/>
  <c r="AD158" i="99"/>
  <c r="AD107" i="99"/>
  <c r="AD53" i="99"/>
  <c r="L212" i="99"/>
  <c r="L158" i="99"/>
  <c r="L107" i="99"/>
  <c r="L53" i="99"/>
  <c r="AD183" i="99"/>
  <c r="AD136" i="99"/>
  <c r="AD82" i="99"/>
  <c r="AD28" i="99"/>
  <c r="L237" i="99"/>
  <c r="L183" i="99"/>
  <c r="L136" i="99"/>
  <c r="L82" i="99"/>
  <c r="L28" i="99"/>
  <c r="AE387" i="99"/>
  <c r="M347" i="99"/>
  <c r="AE277" i="99"/>
  <c r="BN233" i="99"/>
  <c r="M387" i="99"/>
  <c r="M328" i="99"/>
  <c r="M277" i="99"/>
  <c r="AW233" i="99"/>
  <c r="AE408" i="99"/>
  <c r="AE366" i="99"/>
  <c r="M311" i="99"/>
  <c r="M260" i="99"/>
  <c r="M408" i="99"/>
  <c r="M366" i="99"/>
  <c r="M294" i="99"/>
  <c r="CE233" i="99"/>
  <c r="AE208" i="99"/>
  <c r="AE154" i="99"/>
  <c r="AE103" i="99"/>
  <c r="AE49" i="99"/>
  <c r="M208" i="99"/>
  <c r="M154" i="99"/>
  <c r="M103" i="99"/>
  <c r="M49" i="99"/>
  <c r="AE233" i="99"/>
  <c r="AE179" i="99"/>
  <c r="AE132" i="99"/>
  <c r="AE78" i="99"/>
  <c r="M233" i="99"/>
  <c r="M179" i="99"/>
  <c r="M132" i="99"/>
  <c r="M78" i="99"/>
  <c r="AE24" i="99"/>
  <c r="M24" i="99"/>
  <c r="AC409" i="99"/>
  <c r="AC367" i="99"/>
  <c r="K312" i="99"/>
  <c r="K261" i="99"/>
  <c r="K409" i="99"/>
  <c r="K367" i="99"/>
  <c r="K295" i="99"/>
  <c r="CC234" i="99"/>
  <c r="AC388" i="99"/>
  <c r="K348" i="99"/>
  <c r="AC278" i="99"/>
  <c r="BL234" i="99"/>
  <c r="K388" i="99"/>
  <c r="K329" i="99"/>
  <c r="K278" i="99"/>
  <c r="AU234" i="99"/>
  <c r="AC234" i="99"/>
  <c r="AC180" i="99"/>
  <c r="AC133" i="99"/>
  <c r="AC79" i="99"/>
  <c r="K234" i="99"/>
  <c r="K180" i="99"/>
  <c r="K133" i="99"/>
  <c r="K79" i="99"/>
  <c r="AC209" i="99"/>
  <c r="AC155" i="99"/>
  <c r="AC104" i="99"/>
  <c r="AC50" i="99"/>
  <c r="K209" i="99"/>
  <c r="K155" i="99"/>
  <c r="K104" i="99"/>
  <c r="K50" i="99"/>
  <c r="K25" i="99"/>
  <c r="AC25" i="99"/>
  <c r="AB390" i="99"/>
  <c r="J350" i="99"/>
  <c r="AB280" i="99"/>
  <c r="BK236" i="99"/>
  <c r="J390" i="99"/>
  <c r="J331" i="99"/>
  <c r="J280" i="99"/>
  <c r="AT236" i="99"/>
  <c r="AB411" i="99"/>
  <c r="AB369" i="99"/>
  <c r="J314" i="99"/>
  <c r="J263" i="99"/>
  <c r="J411" i="99"/>
  <c r="J369" i="99"/>
  <c r="J297" i="99"/>
  <c r="CB236" i="99"/>
  <c r="AB211" i="99"/>
  <c r="AB157" i="99"/>
  <c r="AB106" i="99"/>
  <c r="AB52" i="99"/>
  <c r="J211" i="99"/>
  <c r="J157" i="99"/>
  <c r="J106" i="99"/>
  <c r="J52" i="99"/>
  <c r="AB236" i="99"/>
  <c r="AB182" i="99"/>
  <c r="AB135" i="99"/>
  <c r="AB81" i="99"/>
  <c r="AB27" i="99"/>
  <c r="J236" i="99"/>
  <c r="J182" i="99"/>
  <c r="J135" i="99"/>
  <c r="J81" i="99"/>
  <c r="J27" i="99"/>
  <c r="J408" i="99"/>
  <c r="J366" i="99"/>
  <c r="J294" i="99"/>
  <c r="CB233" i="99"/>
  <c r="AB387" i="99"/>
  <c r="J347" i="99"/>
  <c r="AB277" i="99"/>
  <c r="BK233" i="99"/>
  <c r="J387" i="99"/>
  <c r="J328" i="99"/>
  <c r="J277" i="99"/>
  <c r="AT233" i="99"/>
  <c r="AB408" i="99"/>
  <c r="AB366" i="99"/>
  <c r="J311" i="99"/>
  <c r="J260" i="99"/>
  <c r="J233" i="99"/>
  <c r="J179" i="99"/>
  <c r="J132" i="99"/>
  <c r="J78" i="99"/>
  <c r="AB208" i="99"/>
  <c r="AB154" i="99"/>
  <c r="AB103" i="99"/>
  <c r="AB49" i="99"/>
  <c r="J208" i="99"/>
  <c r="J154" i="99"/>
  <c r="J103" i="99"/>
  <c r="J49" i="99"/>
  <c r="AB233" i="99"/>
  <c r="AB179" i="99"/>
  <c r="AB132" i="99"/>
  <c r="AB78" i="99"/>
  <c r="J24" i="99"/>
  <c r="AB24" i="99"/>
  <c r="AD410" i="99"/>
  <c r="AD368" i="99"/>
  <c r="L313" i="99"/>
  <c r="L262" i="99"/>
  <c r="L410" i="99"/>
  <c r="L368" i="99"/>
  <c r="L296" i="99"/>
  <c r="CD235" i="99"/>
  <c r="AD389" i="99"/>
  <c r="L349" i="99"/>
  <c r="AD279" i="99"/>
  <c r="BM235" i="99"/>
  <c r="L389" i="99"/>
  <c r="L330" i="99"/>
  <c r="L279" i="99"/>
  <c r="AV235" i="99"/>
  <c r="AD235" i="99"/>
  <c r="AD181" i="99"/>
  <c r="AD134" i="99"/>
  <c r="AD80" i="99"/>
  <c r="AD26" i="99"/>
  <c r="L235" i="99"/>
  <c r="L181" i="99"/>
  <c r="L134" i="99"/>
  <c r="L80" i="99"/>
  <c r="AD210" i="99"/>
  <c r="AD156" i="99"/>
  <c r="AD105" i="99"/>
  <c r="AD51" i="99"/>
  <c r="L210" i="99"/>
  <c r="L156" i="99"/>
  <c r="L105" i="99"/>
  <c r="L51" i="99"/>
  <c r="L26" i="99"/>
  <c r="AC390" i="99"/>
  <c r="K350" i="99"/>
  <c r="AC280" i="99"/>
  <c r="BL236" i="99"/>
  <c r="K390" i="99"/>
  <c r="K331" i="99"/>
  <c r="K280" i="99"/>
  <c r="AU236" i="99"/>
  <c r="AC411" i="99"/>
  <c r="AC369" i="99"/>
  <c r="K314" i="99"/>
  <c r="K263" i="99"/>
  <c r="K411" i="99"/>
  <c r="K369" i="99"/>
  <c r="K297" i="99"/>
  <c r="CC236" i="99"/>
  <c r="AC211" i="99"/>
  <c r="AC157" i="99"/>
  <c r="AC106" i="99"/>
  <c r="AC52" i="99"/>
  <c r="K211" i="99"/>
  <c r="K157" i="99"/>
  <c r="K106" i="99"/>
  <c r="K52" i="99"/>
  <c r="AC236" i="99"/>
  <c r="AC182" i="99"/>
  <c r="AC135" i="99"/>
  <c r="AC81" i="99"/>
  <c r="AC27" i="99"/>
  <c r="K236" i="99"/>
  <c r="K182" i="99"/>
  <c r="K135" i="99"/>
  <c r="K81" i="99"/>
  <c r="K27" i="99"/>
  <c r="K385" i="99"/>
  <c r="K326" i="99"/>
  <c r="K275" i="99"/>
  <c r="AU231" i="99"/>
  <c r="AC406" i="99"/>
  <c r="AC364" i="99"/>
  <c r="K309" i="99"/>
  <c r="K258" i="99"/>
  <c r="K406" i="99"/>
  <c r="K364" i="99"/>
  <c r="K292" i="99"/>
  <c r="CC231" i="99"/>
  <c r="AC385" i="99"/>
  <c r="K345" i="99"/>
  <c r="AC275" i="99"/>
  <c r="BL231" i="99"/>
  <c r="K206" i="99"/>
  <c r="K152" i="99"/>
  <c r="K101" i="99"/>
  <c r="K47" i="99"/>
  <c r="AC231" i="99"/>
  <c r="AC177" i="99"/>
  <c r="AC130" i="99"/>
  <c r="AC76" i="99"/>
  <c r="K231" i="99"/>
  <c r="K177" i="99"/>
  <c r="K130" i="99"/>
  <c r="K76" i="99"/>
  <c r="AC206" i="99"/>
  <c r="AC152" i="99"/>
  <c r="AC101" i="99"/>
  <c r="AC47" i="99"/>
  <c r="K22" i="99"/>
  <c r="AC22" i="99"/>
  <c r="K408" i="99"/>
  <c r="K366" i="99"/>
  <c r="K294" i="99"/>
  <c r="CC233" i="99"/>
  <c r="AC387" i="99"/>
  <c r="K347" i="99"/>
  <c r="AC277" i="99"/>
  <c r="BL233" i="99"/>
  <c r="K387" i="99"/>
  <c r="K328" i="99"/>
  <c r="K277" i="99"/>
  <c r="AU233" i="99"/>
  <c r="AC408" i="99"/>
  <c r="AC366" i="99"/>
  <c r="K311" i="99"/>
  <c r="K260" i="99"/>
  <c r="K233" i="99"/>
  <c r="K179" i="99"/>
  <c r="K132" i="99"/>
  <c r="K78" i="99"/>
  <c r="AC208" i="99"/>
  <c r="AC154" i="99"/>
  <c r="AC103" i="99"/>
  <c r="AC49" i="99"/>
  <c r="K208" i="99"/>
  <c r="K154" i="99"/>
  <c r="K103" i="99"/>
  <c r="K49" i="99"/>
  <c r="AC233" i="99"/>
  <c r="AC179" i="99"/>
  <c r="AC132" i="99"/>
  <c r="AC78" i="99"/>
  <c r="AC24" i="99"/>
  <c r="K24" i="99"/>
  <c r="AE410" i="99"/>
  <c r="AE368" i="99"/>
  <c r="M313" i="99"/>
  <c r="M262" i="99"/>
  <c r="M410" i="99"/>
  <c r="M368" i="99"/>
  <c r="M296" i="99"/>
  <c r="CE235" i="99"/>
  <c r="AE389" i="99"/>
  <c r="M349" i="99"/>
  <c r="AE279" i="99"/>
  <c r="BN235" i="99"/>
  <c r="M389" i="99"/>
  <c r="M330" i="99"/>
  <c r="M279" i="99"/>
  <c r="AW235" i="99"/>
  <c r="AE235" i="99"/>
  <c r="AE181" i="99"/>
  <c r="AE134" i="99"/>
  <c r="AE80" i="99"/>
  <c r="AE26" i="99"/>
  <c r="M235" i="99"/>
  <c r="M181" i="99"/>
  <c r="M134" i="99"/>
  <c r="M80" i="99"/>
  <c r="AE210" i="99"/>
  <c r="AE156" i="99"/>
  <c r="AE105" i="99"/>
  <c r="AE51" i="99"/>
  <c r="M210" i="99"/>
  <c r="M156" i="99"/>
  <c r="M105" i="99"/>
  <c r="M51" i="99"/>
  <c r="M26" i="99"/>
  <c r="L390" i="99"/>
  <c r="L331" i="99"/>
  <c r="L280" i="99"/>
  <c r="AV236" i="99"/>
  <c r="AD411" i="99"/>
  <c r="AD369" i="99"/>
  <c r="L314" i="99"/>
  <c r="L263" i="99"/>
  <c r="AD236" i="99"/>
  <c r="L411" i="99"/>
  <c r="L369" i="99"/>
  <c r="L297" i="99"/>
  <c r="CD236" i="99"/>
  <c r="AD390" i="99"/>
  <c r="L350" i="99"/>
  <c r="AD280" i="99"/>
  <c r="BM236" i="99"/>
  <c r="L211" i="99"/>
  <c r="L157" i="99"/>
  <c r="L106" i="99"/>
  <c r="L52" i="99"/>
  <c r="AD182" i="99"/>
  <c r="AD135" i="99"/>
  <c r="AD81" i="99"/>
  <c r="AD27" i="99"/>
  <c r="L236" i="99"/>
  <c r="L182" i="99"/>
  <c r="L135" i="99"/>
  <c r="L81" i="99"/>
  <c r="AD211" i="99"/>
  <c r="AD157" i="99"/>
  <c r="AD106" i="99"/>
  <c r="AD52" i="99"/>
  <c r="L27" i="99"/>
  <c r="I407" i="99"/>
  <c r="I365" i="99"/>
  <c r="I293" i="99"/>
  <c r="CA232" i="99"/>
  <c r="AA386" i="99"/>
  <c r="I346" i="99"/>
  <c r="AA276" i="99"/>
  <c r="BJ232" i="99"/>
  <c r="I386" i="99"/>
  <c r="I327" i="99"/>
  <c r="I276" i="99"/>
  <c r="AS232" i="99"/>
  <c r="AA407" i="99"/>
  <c r="AA365" i="99"/>
  <c r="I310" i="99"/>
  <c r="I259" i="99"/>
  <c r="I232" i="99"/>
  <c r="I178" i="99"/>
  <c r="I131" i="99"/>
  <c r="I77" i="99"/>
  <c r="AA207" i="99"/>
  <c r="AA153" i="99"/>
  <c r="AA102" i="99"/>
  <c r="AA48" i="99"/>
  <c r="I207" i="99"/>
  <c r="I153" i="99"/>
  <c r="I102" i="99"/>
  <c r="I48" i="99"/>
  <c r="AA232" i="99"/>
  <c r="AA178" i="99"/>
  <c r="AA131" i="99"/>
  <c r="AA77" i="99"/>
  <c r="AA23" i="99"/>
  <c r="I23" i="99"/>
  <c r="AD387" i="99"/>
  <c r="L347" i="99"/>
  <c r="AD277" i="99"/>
  <c r="BM233" i="99"/>
  <c r="L387" i="99"/>
  <c r="L328" i="99"/>
  <c r="L277" i="99"/>
  <c r="AV233" i="99"/>
  <c r="AD408" i="99"/>
  <c r="AD366" i="99"/>
  <c r="L311" i="99"/>
  <c r="L260" i="99"/>
  <c r="L408" i="99"/>
  <c r="L366" i="99"/>
  <c r="L294" i="99"/>
  <c r="CD233" i="99"/>
  <c r="AD208" i="99"/>
  <c r="AD154" i="99"/>
  <c r="AD103" i="99"/>
  <c r="AD49" i="99"/>
  <c r="L208" i="99"/>
  <c r="L154" i="99"/>
  <c r="L103" i="99"/>
  <c r="L49" i="99"/>
  <c r="AD233" i="99"/>
  <c r="AD179" i="99"/>
  <c r="AD132" i="99"/>
  <c r="AD78" i="99"/>
  <c r="L233" i="99"/>
  <c r="L179" i="99"/>
  <c r="L132" i="99"/>
  <c r="L78" i="99"/>
  <c r="L24" i="99"/>
  <c r="AD24" i="99"/>
  <c r="K389" i="99"/>
  <c r="K330" i="99"/>
  <c r="K279" i="99"/>
  <c r="AU235" i="99"/>
  <c r="AC410" i="99"/>
  <c r="AC368" i="99"/>
  <c r="K313" i="99"/>
  <c r="K262" i="99"/>
  <c r="K410" i="99"/>
  <c r="K368" i="99"/>
  <c r="K296" i="99"/>
  <c r="CC235" i="99"/>
  <c r="AC389" i="99"/>
  <c r="K349" i="99"/>
  <c r="AC279" i="99"/>
  <c r="BL235" i="99"/>
  <c r="K210" i="99"/>
  <c r="K156" i="99"/>
  <c r="K105" i="99"/>
  <c r="K51" i="99"/>
  <c r="AC235" i="99"/>
  <c r="AC181" i="99"/>
  <c r="AC134" i="99"/>
  <c r="AC80" i="99"/>
  <c r="AC26" i="99"/>
  <c r="K235" i="99"/>
  <c r="K181" i="99"/>
  <c r="K134" i="99"/>
  <c r="K80" i="99"/>
  <c r="AC210" i="99"/>
  <c r="AC156" i="99"/>
  <c r="AC105" i="99"/>
  <c r="AC51" i="99"/>
  <c r="K26" i="99"/>
  <c r="AE391" i="99"/>
  <c r="M351" i="99"/>
  <c r="AE281" i="99"/>
  <c r="BN237" i="99"/>
  <c r="M391" i="99"/>
  <c r="M332" i="99"/>
  <c r="M281" i="99"/>
  <c r="AW237" i="99"/>
  <c r="AE412" i="99"/>
  <c r="AE370" i="99"/>
  <c r="M315" i="99"/>
  <c r="M264" i="99"/>
  <c r="AE237" i="99"/>
  <c r="M412" i="99"/>
  <c r="M370" i="99"/>
  <c r="M298" i="99"/>
  <c r="CE237" i="99"/>
  <c r="AE212" i="99"/>
  <c r="AE158" i="99"/>
  <c r="AE107" i="99"/>
  <c r="AE53" i="99"/>
  <c r="M212" i="99"/>
  <c r="M158" i="99"/>
  <c r="M107" i="99"/>
  <c r="M53" i="99"/>
  <c r="AE183" i="99"/>
  <c r="AE136" i="99"/>
  <c r="AE82" i="99"/>
  <c r="AE28" i="99"/>
  <c r="M237" i="99"/>
  <c r="M183" i="99"/>
  <c r="M136" i="99"/>
  <c r="M82" i="99"/>
  <c r="M28" i="99"/>
  <c r="AB386" i="99"/>
  <c r="J346" i="99"/>
  <c r="AB276" i="99"/>
  <c r="BK232" i="99"/>
  <c r="J386" i="99"/>
  <c r="J327" i="99"/>
  <c r="J276" i="99"/>
  <c r="AT232" i="99"/>
  <c r="AB407" i="99"/>
  <c r="AB365" i="99"/>
  <c r="J310" i="99"/>
  <c r="J259" i="99"/>
  <c r="J407" i="99"/>
  <c r="J365" i="99"/>
  <c r="J293" i="99"/>
  <c r="CB232" i="99"/>
  <c r="AB207" i="99"/>
  <c r="AB153" i="99"/>
  <c r="AB102" i="99"/>
  <c r="AB48" i="99"/>
  <c r="J207" i="99"/>
  <c r="J153" i="99"/>
  <c r="J102" i="99"/>
  <c r="J48" i="99"/>
  <c r="AB232" i="99"/>
  <c r="AB178" i="99"/>
  <c r="AB131" i="99"/>
  <c r="AB77" i="99"/>
  <c r="J232" i="99"/>
  <c r="J178" i="99"/>
  <c r="J131" i="99"/>
  <c r="J77" i="99"/>
  <c r="J23" i="99"/>
  <c r="AB23" i="99"/>
  <c r="L409" i="99"/>
  <c r="L367" i="99"/>
  <c r="L295" i="99"/>
  <c r="CD234" i="99"/>
  <c r="AD388" i="99"/>
  <c r="L348" i="99"/>
  <c r="AD278" i="99"/>
  <c r="BM234" i="99"/>
  <c r="L388" i="99"/>
  <c r="L329" i="99"/>
  <c r="L278" i="99"/>
  <c r="AV234" i="99"/>
  <c r="AD409" i="99"/>
  <c r="AD367" i="99"/>
  <c r="L312" i="99"/>
  <c r="L261" i="99"/>
  <c r="L234" i="99"/>
  <c r="L180" i="99"/>
  <c r="L133" i="99"/>
  <c r="L79" i="99"/>
  <c r="AD209" i="99"/>
  <c r="AD155" i="99"/>
  <c r="AD104" i="99"/>
  <c r="AD50" i="99"/>
  <c r="L209" i="99"/>
  <c r="L155" i="99"/>
  <c r="L104" i="99"/>
  <c r="L50" i="99"/>
  <c r="AD234" i="99"/>
  <c r="AD180" i="99"/>
  <c r="AD133" i="99"/>
  <c r="AD79" i="99"/>
  <c r="L25" i="99"/>
  <c r="AD25" i="99"/>
  <c r="AA389" i="99"/>
  <c r="I349" i="99"/>
  <c r="AA279" i="99"/>
  <c r="BJ235" i="99"/>
  <c r="I389" i="99"/>
  <c r="I330" i="99"/>
  <c r="I279" i="99"/>
  <c r="AS235" i="99"/>
  <c r="AA410" i="99"/>
  <c r="AA368" i="99"/>
  <c r="I313" i="99"/>
  <c r="I262" i="99"/>
  <c r="I410" i="99"/>
  <c r="I368" i="99"/>
  <c r="I296" i="99"/>
  <c r="CA235" i="99"/>
  <c r="AA210" i="99"/>
  <c r="AA156" i="99"/>
  <c r="AA105" i="99"/>
  <c r="AA51" i="99"/>
  <c r="I210" i="99"/>
  <c r="I156" i="99"/>
  <c r="I105" i="99"/>
  <c r="I51" i="99"/>
  <c r="AA235" i="99"/>
  <c r="AA181" i="99"/>
  <c r="AA134" i="99"/>
  <c r="AA80" i="99"/>
  <c r="AA26" i="99"/>
  <c r="I235" i="99"/>
  <c r="I181" i="99"/>
  <c r="I134" i="99"/>
  <c r="I80" i="99"/>
  <c r="I26" i="99"/>
  <c r="J412" i="99"/>
  <c r="J370" i="99"/>
  <c r="J298" i="99"/>
  <c r="CB237" i="99"/>
  <c r="AB391" i="99"/>
  <c r="J351" i="99"/>
  <c r="AB281" i="99"/>
  <c r="BK237" i="99"/>
  <c r="J391" i="99"/>
  <c r="J332" i="99"/>
  <c r="J281" i="99"/>
  <c r="AT237" i="99"/>
  <c r="AB412" i="99"/>
  <c r="AB370" i="99"/>
  <c r="J315" i="99"/>
  <c r="J264" i="99"/>
  <c r="AB237" i="99"/>
  <c r="J237" i="99"/>
  <c r="J183" i="99"/>
  <c r="J136" i="99"/>
  <c r="J82" i="99"/>
  <c r="AB212" i="99"/>
  <c r="AB158" i="99"/>
  <c r="AB107" i="99"/>
  <c r="AB53" i="99"/>
  <c r="J212" i="99"/>
  <c r="J158" i="99"/>
  <c r="J107" i="99"/>
  <c r="J53" i="99"/>
  <c r="AB183" i="99"/>
  <c r="AB136" i="99"/>
  <c r="AB82" i="99"/>
  <c r="AB28" i="99"/>
  <c r="J28" i="99"/>
  <c r="M386" i="99"/>
  <c r="M327" i="99"/>
  <c r="M276" i="99"/>
  <c r="AW232" i="99"/>
  <c r="AE407" i="99"/>
  <c r="AE365" i="99"/>
  <c r="M310" i="99"/>
  <c r="M259" i="99"/>
  <c r="M407" i="99"/>
  <c r="M365" i="99"/>
  <c r="M293" i="99"/>
  <c r="CE232" i="99"/>
  <c r="AE386" i="99"/>
  <c r="M346" i="99"/>
  <c r="AE276" i="99"/>
  <c r="BN232" i="99"/>
  <c r="M207" i="99"/>
  <c r="M153" i="99"/>
  <c r="M102" i="99"/>
  <c r="M48" i="99"/>
  <c r="AE232" i="99"/>
  <c r="AE178" i="99"/>
  <c r="AE131" i="99"/>
  <c r="AE77" i="99"/>
  <c r="M232" i="99"/>
  <c r="M178" i="99"/>
  <c r="M131" i="99"/>
  <c r="M77" i="99"/>
  <c r="AE207" i="99"/>
  <c r="AE153" i="99"/>
  <c r="AE102" i="99"/>
  <c r="AE48" i="99"/>
  <c r="AE23" i="99"/>
  <c r="M23" i="99"/>
  <c r="AC386" i="99"/>
  <c r="K346" i="99"/>
  <c r="AC276" i="99"/>
  <c r="BL232" i="99"/>
  <c r="K386" i="99"/>
  <c r="K327" i="99"/>
  <c r="K276" i="99"/>
  <c r="AU232" i="99"/>
  <c r="AC407" i="99"/>
  <c r="AC365" i="99"/>
  <c r="K310" i="99"/>
  <c r="K259" i="99"/>
  <c r="K407" i="99"/>
  <c r="K365" i="99"/>
  <c r="K293" i="99"/>
  <c r="CC232" i="99"/>
  <c r="AC207" i="99"/>
  <c r="AC153" i="99"/>
  <c r="AC102" i="99"/>
  <c r="AC48" i="99"/>
  <c r="K207" i="99"/>
  <c r="K153" i="99"/>
  <c r="K102" i="99"/>
  <c r="K48" i="99"/>
  <c r="AC232" i="99"/>
  <c r="AC178" i="99"/>
  <c r="AC131" i="99"/>
  <c r="AC77" i="99"/>
  <c r="K232" i="99"/>
  <c r="K178" i="99"/>
  <c r="K131" i="99"/>
  <c r="K77" i="99"/>
  <c r="AC23" i="99"/>
  <c r="K23" i="99"/>
  <c r="I388" i="99"/>
  <c r="I329" i="99"/>
  <c r="I278" i="99"/>
  <c r="AS234" i="99"/>
  <c r="AA409" i="99"/>
  <c r="AA367" i="99"/>
  <c r="I312" i="99"/>
  <c r="I261" i="99"/>
  <c r="I409" i="99"/>
  <c r="I367" i="99"/>
  <c r="I295" i="99"/>
  <c r="CA234" i="99"/>
  <c r="AA388" i="99"/>
  <c r="I348" i="99"/>
  <c r="AA278" i="99"/>
  <c r="BJ234" i="99"/>
  <c r="I209" i="99"/>
  <c r="I155" i="99"/>
  <c r="I104" i="99"/>
  <c r="I50" i="99"/>
  <c r="AA234" i="99"/>
  <c r="AA180" i="99"/>
  <c r="AA133" i="99"/>
  <c r="AA79" i="99"/>
  <c r="I234" i="99"/>
  <c r="I180" i="99"/>
  <c r="I133" i="99"/>
  <c r="I79" i="99"/>
  <c r="AA209" i="99"/>
  <c r="AA155" i="99"/>
  <c r="AA104" i="99"/>
  <c r="AA50" i="99"/>
  <c r="AA25" i="99"/>
  <c r="I25" i="99"/>
  <c r="J389" i="99"/>
  <c r="J330" i="99"/>
  <c r="J279" i="99"/>
  <c r="AT235" i="99"/>
  <c r="AB410" i="99"/>
  <c r="AB368" i="99"/>
  <c r="J313" i="99"/>
  <c r="J262" i="99"/>
  <c r="J410" i="99"/>
  <c r="J368" i="99"/>
  <c r="J296" i="99"/>
  <c r="CB235" i="99"/>
  <c r="AB389" i="99"/>
  <c r="J349" i="99"/>
  <c r="AB279" i="99"/>
  <c r="BK235" i="99"/>
  <c r="J210" i="99"/>
  <c r="J156" i="99"/>
  <c r="J105" i="99"/>
  <c r="J51" i="99"/>
  <c r="AB235" i="99"/>
  <c r="AB181" i="99"/>
  <c r="AB134" i="99"/>
  <c r="AB80" i="99"/>
  <c r="AB26" i="99"/>
  <c r="J235" i="99"/>
  <c r="J181" i="99"/>
  <c r="J134" i="99"/>
  <c r="J80" i="99"/>
  <c r="AB210" i="99"/>
  <c r="AB156" i="99"/>
  <c r="AB105" i="99"/>
  <c r="AB51" i="99"/>
  <c r="J26" i="99"/>
  <c r="AA412" i="99"/>
  <c r="AA370" i="99"/>
  <c r="I315" i="99"/>
  <c r="I264" i="99"/>
  <c r="AA237" i="99"/>
  <c r="I412" i="99"/>
  <c r="I370" i="99"/>
  <c r="I298" i="99"/>
  <c r="CA237" i="99"/>
  <c r="AA391" i="99"/>
  <c r="I351" i="99"/>
  <c r="AA281" i="99"/>
  <c r="BJ237" i="99"/>
  <c r="I391" i="99"/>
  <c r="I332" i="99"/>
  <c r="I281" i="99"/>
  <c r="AS237" i="99"/>
  <c r="AA183" i="99"/>
  <c r="AA136" i="99"/>
  <c r="AA82" i="99"/>
  <c r="AA28" i="99"/>
  <c r="I237" i="99"/>
  <c r="I183" i="99"/>
  <c r="I136" i="99"/>
  <c r="I82" i="99"/>
  <c r="AA212" i="99"/>
  <c r="AA158" i="99"/>
  <c r="AA107" i="99"/>
  <c r="AA53" i="99"/>
  <c r="I212" i="99"/>
  <c r="I158" i="99"/>
  <c r="I107" i="99"/>
  <c r="I53" i="99"/>
  <c r="I28" i="99"/>
  <c r="J385" i="99"/>
  <c r="J326" i="99"/>
  <c r="J275" i="99"/>
  <c r="AT231" i="99"/>
  <c r="AB406" i="99"/>
  <c r="AB364" i="99"/>
  <c r="J309" i="99"/>
  <c r="J258" i="99"/>
  <c r="J406" i="99"/>
  <c r="J364" i="99"/>
  <c r="J292" i="99"/>
  <c r="CB231" i="99"/>
  <c r="AB385" i="99"/>
  <c r="J345" i="99"/>
  <c r="AB275" i="99"/>
  <c r="BK231" i="99"/>
  <c r="J206" i="99"/>
  <c r="J152" i="99"/>
  <c r="J101" i="99"/>
  <c r="J47" i="99"/>
  <c r="AB231" i="99"/>
  <c r="AB177" i="99"/>
  <c r="AB130" i="99"/>
  <c r="AB76" i="99"/>
  <c r="J231" i="99"/>
  <c r="J177" i="99"/>
  <c r="J130" i="99"/>
  <c r="J76" i="99"/>
  <c r="AB206" i="99"/>
  <c r="AB152" i="99"/>
  <c r="AB101" i="99"/>
  <c r="AB47" i="99"/>
  <c r="AB22" i="99"/>
  <c r="J22" i="99"/>
  <c r="AD406" i="99"/>
  <c r="AD364" i="99"/>
  <c r="L309" i="99"/>
  <c r="L258" i="99"/>
  <c r="L406" i="99"/>
  <c r="L364" i="99"/>
  <c r="L292" i="99"/>
  <c r="CD231" i="99"/>
  <c r="AD385" i="99"/>
  <c r="L345" i="99"/>
  <c r="AD275" i="99"/>
  <c r="BM231" i="99"/>
  <c r="L385" i="99"/>
  <c r="L326" i="99"/>
  <c r="L275" i="99"/>
  <c r="AV231" i="99"/>
  <c r="AD231" i="99"/>
  <c r="AD177" i="99"/>
  <c r="AD130" i="99"/>
  <c r="AD76" i="99"/>
  <c r="L231" i="99"/>
  <c r="L177" i="99"/>
  <c r="L130" i="99"/>
  <c r="L76" i="99"/>
  <c r="AD206" i="99"/>
  <c r="AD152" i="99"/>
  <c r="AD101" i="99"/>
  <c r="AD47" i="99"/>
  <c r="L206" i="99"/>
  <c r="L152" i="99"/>
  <c r="L101" i="99"/>
  <c r="L47" i="99"/>
  <c r="AD22" i="99"/>
  <c r="L22" i="99"/>
  <c r="L386" i="99"/>
  <c r="L327" i="99"/>
  <c r="L276" i="99"/>
  <c r="AV232" i="99"/>
  <c r="AD407" i="99"/>
  <c r="AD365" i="99"/>
  <c r="L310" i="99"/>
  <c r="L259" i="99"/>
  <c r="L407" i="99"/>
  <c r="L365" i="99"/>
  <c r="L293" i="99"/>
  <c r="CD232" i="99"/>
  <c r="AD386" i="99"/>
  <c r="L346" i="99"/>
  <c r="AD276" i="99"/>
  <c r="BM232" i="99"/>
  <c r="L207" i="99"/>
  <c r="L153" i="99"/>
  <c r="L102" i="99"/>
  <c r="L48" i="99"/>
  <c r="AD232" i="99"/>
  <c r="AD178" i="99"/>
  <c r="AD131" i="99"/>
  <c r="AD77" i="99"/>
  <c r="L232" i="99"/>
  <c r="L178" i="99"/>
  <c r="L131" i="99"/>
  <c r="L77" i="99"/>
  <c r="AD207" i="99"/>
  <c r="AD153" i="99"/>
  <c r="AD102" i="99"/>
  <c r="AD48" i="99"/>
  <c r="AD23" i="99"/>
  <c r="L23" i="99"/>
  <c r="M409" i="99"/>
  <c r="M367" i="99"/>
  <c r="M295" i="99"/>
  <c r="CE234" i="99"/>
  <c r="AE388" i="99"/>
  <c r="M348" i="99"/>
  <c r="AE278" i="99"/>
  <c r="BN234" i="99"/>
  <c r="M388" i="99"/>
  <c r="M329" i="99"/>
  <c r="M278" i="99"/>
  <c r="AW234" i="99"/>
  <c r="AE409" i="99"/>
  <c r="AE367" i="99"/>
  <c r="M312" i="99"/>
  <c r="M261" i="99"/>
  <c r="M234" i="99"/>
  <c r="M180" i="99"/>
  <c r="M133" i="99"/>
  <c r="M79" i="99"/>
  <c r="AE209" i="99"/>
  <c r="AE155" i="99"/>
  <c r="AE104" i="99"/>
  <c r="AE50" i="99"/>
  <c r="M209" i="99"/>
  <c r="M155" i="99"/>
  <c r="M104" i="99"/>
  <c r="M50" i="99"/>
  <c r="AE234" i="99"/>
  <c r="AE180" i="99"/>
  <c r="AE133" i="99"/>
  <c r="AE79" i="99"/>
  <c r="AE25" i="99"/>
  <c r="M25" i="99"/>
  <c r="I411" i="99"/>
  <c r="I369" i="99"/>
  <c r="I297" i="99"/>
  <c r="CA236" i="99"/>
  <c r="AA390" i="99"/>
  <c r="I350" i="99"/>
  <c r="AA280" i="99"/>
  <c r="BJ236" i="99"/>
  <c r="I390" i="99"/>
  <c r="I331" i="99"/>
  <c r="I280" i="99"/>
  <c r="AS236" i="99"/>
  <c r="AA411" i="99"/>
  <c r="AA369" i="99"/>
  <c r="I314" i="99"/>
  <c r="I263" i="99"/>
  <c r="I236" i="99"/>
  <c r="I182" i="99"/>
  <c r="I135" i="99"/>
  <c r="I81" i="99"/>
  <c r="AA211" i="99"/>
  <c r="AA157" i="99"/>
  <c r="AA106" i="99"/>
  <c r="AA52" i="99"/>
  <c r="I211" i="99"/>
  <c r="I157" i="99"/>
  <c r="I106" i="99"/>
  <c r="I52" i="99"/>
  <c r="AA236" i="99"/>
  <c r="AA182" i="99"/>
  <c r="AA135" i="99"/>
  <c r="AA81" i="99"/>
  <c r="AA27" i="99"/>
  <c r="I27" i="99"/>
  <c r="K412" i="99"/>
  <c r="K370" i="99"/>
  <c r="K298" i="99"/>
  <c r="CC237" i="99"/>
  <c r="AC391" i="99"/>
  <c r="K351" i="99"/>
  <c r="AC281" i="99"/>
  <c r="BL237" i="99"/>
  <c r="K391" i="99"/>
  <c r="K332" i="99"/>
  <c r="K281" i="99"/>
  <c r="AU237" i="99"/>
  <c r="AC412" i="99"/>
  <c r="AC370" i="99"/>
  <c r="K315" i="99"/>
  <c r="K264" i="99"/>
  <c r="AC237" i="99"/>
  <c r="K237" i="99"/>
  <c r="K183" i="99"/>
  <c r="K136" i="99"/>
  <c r="K82" i="99"/>
  <c r="AC212" i="99"/>
  <c r="AC158" i="99"/>
  <c r="AC107" i="99"/>
  <c r="AC53" i="99"/>
  <c r="K212" i="99"/>
  <c r="K158" i="99"/>
  <c r="K107" i="99"/>
  <c r="K53" i="99"/>
  <c r="AC183" i="99"/>
  <c r="AC136" i="99"/>
  <c r="AC82" i="99"/>
  <c r="AC28" i="99"/>
  <c r="K28" i="99"/>
  <c r="K414" i="99"/>
  <c r="K393" i="99"/>
  <c r="K372" i="99"/>
  <c r="K334" i="99"/>
  <c r="K300" i="99"/>
  <c r="K283" i="99"/>
  <c r="CC239" i="99"/>
  <c r="AU239" i="99"/>
  <c r="K239" i="99"/>
  <c r="K214" i="99"/>
  <c r="K185" i="99"/>
  <c r="K160" i="99"/>
  <c r="K138" i="99"/>
  <c r="K109" i="99"/>
  <c r="K84" i="99"/>
  <c r="K55" i="99"/>
  <c r="K30" i="99"/>
  <c r="AC414" i="99"/>
  <c r="AC393" i="99"/>
  <c r="AC372" i="99"/>
  <c r="K353" i="99"/>
  <c r="K317" i="99"/>
  <c r="AC283" i="99"/>
  <c r="K266" i="99"/>
  <c r="BL239" i="99"/>
  <c r="AC239" i="99"/>
  <c r="AC214" i="99"/>
  <c r="AC185" i="99"/>
  <c r="AC160" i="99"/>
  <c r="AC138" i="99"/>
  <c r="AC109" i="99"/>
  <c r="AC84" i="99"/>
  <c r="AC55" i="99"/>
  <c r="AC30" i="99"/>
  <c r="I414" i="99"/>
  <c r="I393" i="99"/>
  <c r="I372" i="99"/>
  <c r="I334" i="99"/>
  <c r="I300" i="99"/>
  <c r="I283" i="99"/>
  <c r="CA239" i="99"/>
  <c r="AS239" i="99"/>
  <c r="I239" i="99"/>
  <c r="I214" i="99"/>
  <c r="I185" i="99"/>
  <c r="I160" i="99"/>
  <c r="I138" i="99"/>
  <c r="I109" i="99"/>
  <c r="I84" i="99"/>
  <c r="I55" i="99"/>
  <c r="I30" i="99"/>
  <c r="AA414" i="99"/>
  <c r="AA393" i="99"/>
  <c r="AA372" i="99"/>
  <c r="I353" i="99"/>
  <c r="I317" i="99"/>
  <c r="AA283" i="99"/>
  <c r="I266" i="99"/>
  <c r="BJ239" i="99"/>
  <c r="AA239" i="99"/>
  <c r="AA214" i="99"/>
  <c r="AA185" i="99"/>
  <c r="AA160" i="99"/>
  <c r="AA138" i="99"/>
  <c r="AA109" i="99"/>
  <c r="AA84" i="99"/>
  <c r="AA55" i="99"/>
  <c r="AA30" i="99"/>
  <c r="J414" i="99"/>
  <c r="J393" i="99"/>
  <c r="J372" i="99"/>
  <c r="J334" i="99"/>
  <c r="J300" i="99"/>
  <c r="J283" i="99"/>
  <c r="CB239" i="99"/>
  <c r="AT239" i="99"/>
  <c r="J239" i="99"/>
  <c r="J214" i="99"/>
  <c r="J185" i="99"/>
  <c r="J160" i="99"/>
  <c r="J138" i="99"/>
  <c r="J109" i="99"/>
  <c r="J84" i="99"/>
  <c r="J55" i="99"/>
  <c r="J30" i="99"/>
  <c r="AB414" i="99"/>
  <c r="AB393" i="99"/>
  <c r="AB372" i="99"/>
  <c r="J353" i="99"/>
  <c r="J317" i="99"/>
  <c r="AB283" i="99"/>
  <c r="J266" i="99"/>
  <c r="BK239" i="99"/>
  <c r="AB239" i="99"/>
  <c r="AB214" i="99"/>
  <c r="AB185" i="99"/>
  <c r="AB160" i="99"/>
  <c r="AB138" i="99"/>
  <c r="AB109" i="99"/>
  <c r="AB84" i="99"/>
  <c r="AB55" i="99"/>
  <c r="AB30" i="99"/>
  <c r="AE413" i="99"/>
  <c r="AE392" i="99"/>
  <c r="AE371" i="99"/>
  <c r="M352" i="99"/>
  <c r="M316" i="99"/>
  <c r="AE282" i="99"/>
  <c r="M265" i="99"/>
  <c r="BN238" i="99"/>
  <c r="AE238" i="99"/>
  <c r="AE213" i="99"/>
  <c r="AE184" i="99"/>
  <c r="AE159" i="99"/>
  <c r="AE137" i="99"/>
  <c r="AE108" i="99"/>
  <c r="AE83" i="99"/>
  <c r="AE54" i="99"/>
  <c r="AE29" i="99"/>
  <c r="M413" i="99"/>
  <c r="M392" i="99"/>
  <c r="M371" i="99"/>
  <c r="M333" i="99"/>
  <c r="M299" i="99"/>
  <c r="M282" i="99"/>
  <c r="CE238" i="99"/>
  <c r="AW238" i="99"/>
  <c r="M238" i="99"/>
  <c r="M213" i="99"/>
  <c r="M184" i="99"/>
  <c r="M159" i="99"/>
  <c r="M137" i="99"/>
  <c r="M108" i="99"/>
  <c r="M83" i="99"/>
  <c r="M54" i="99"/>
  <c r="M29" i="99"/>
  <c r="L415" i="99"/>
  <c r="L394" i="99"/>
  <c r="L373" i="99"/>
  <c r="L335" i="99"/>
  <c r="L301" i="99"/>
  <c r="L284" i="99"/>
  <c r="CD240" i="99"/>
  <c r="AV240" i="99"/>
  <c r="L240" i="99"/>
  <c r="L215" i="99"/>
  <c r="L186" i="99"/>
  <c r="L161" i="99"/>
  <c r="L139" i="99"/>
  <c r="L110" i="99"/>
  <c r="L85" i="99"/>
  <c r="L56" i="99"/>
  <c r="L31" i="99"/>
  <c r="AD415" i="99"/>
  <c r="AD394" i="99"/>
  <c r="AD373" i="99"/>
  <c r="L354" i="99"/>
  <c r="L318" i="99"/>
  <c r="AD284" i="99"/>
  <c r="L267" i="99"/>
  <c r="BM240" i="99"/>
  <c r="AD240" i="99"/>
  <c r="AD215" i="99"/>
  <c r="AD186" i="99"/>
  <c r="AD161" i="99"/>
  <c r="AD139" i="99"/>
  <c r="AD110" i="99"/>
  <c r="AD85" i="99"/>
  <c r="AD56" i="99"/>
  <c r="AD31" i="99"/>
  <c r="AB413" i="99"/>
  <c r="AB392" i="99"/>
  <c r="AB371" i="99"/>
  <c r="J352" i="99"/>
  <c r="J316" i="99"/>
  <c r="AB282" i="99"/>
  <c r="J265" i="99"/>
  <c r="BK238" i="99"/>
  <c r="AB238" i="99"/>
  <c r="AB213" i="99"/>
  <c r="AB184" i="99"/>
  <c r="AB159" i="99"/>
  <c r="AB137" i="99"/>
  <c r="AB108" i="99"/>
  <c r="AB83" i="99"/>
  <c r="AB54" i="99"/>
  <c r="AB29" i="99"/>
  <c r="J413" i="99"/>
  <c r="J392" i="99"/>
  <c r="J371" i="99"/>
  <c r="J333" i="99"/>
  <c r="J299" i="99"/>
  <c r="J282" i="99"/>
  <c r="CB238" i="99"/>
  <c r="AT238" i="99"/>
  <c r="J238" i="99"/>
  <c r="J213" i="99"/>
  <c r="J184" i="99"/>
  <c r="J159" i="99"/>
  <c r="J137" i="99"/>
  <c r="J108" i="99"/>
  <c r="J83" i="99"/>
  <c r="J54" i="99"/>
  <c r="J29" i="99"/>
  <c r="J415" i="99"/>
  <c r="J394" i="99"/>
  <c r="J373" i="99"/>
  <c r="J335" i="99"/>
  <c r="J301" i="99"/>
  <c r="J284" i="99"/>
  <c r="CB240" i="99"/>
  <c r="AT240" i="99"/>
  <c r="J240" i="99"/>
  <c r="J215" i="99"/>
  <c r="J186" i="99"/>
  <c r="J161" i="99"/>
  <c r="J139" i="99"/>
  <c r="J110" i="99"/>
  <c r="J85" i="99"/>
  <c r="J56" i="99"/>
  <c r="J31" i="99"/>
  <c r="AB415" i="99"/>
  <c r="AB394" i="99"/>
  <c r="AB373" i="99"/>
  <c r="J354" i="99"/>
  <c r="J318" i="99"/>
  <c r="AB284" i="99"/>
  <c r="J267" i="99"/>
  <c r="BK240" i="99"/>
  <c r="AB240" i="99"/>
  <c r="AB215" i="99"/>
  <c r="AB186" i="99"/>
  <c r="AB161" i="99"/>
  <c r="AB139" i="99"/>
  <c r="AB110" i="99"/>
  <c r="AB85" i="99"/>
  <c r="AB56" i="99"/>
  <c r="AB31" i="99"/>
  <c r="I413" i="99"/>
  <c r="I392" i="99"/>
  <c r="I371" i="99"/>
  <c r="I333" i="99"/>
  <c r="I299" i="99"/>
  <c r="I282" i="99"/>
  <c r="CA238" i="99"/>
  <c r="AS238" i="99"/>
  <c r="I238" i="99"/>
  <c r="I213" i="99"/>
  <c r="I184" i="99"/>
  <c r="I159" i="99"/>
  <c r="I137" i="99"/>
  <c r="I108" i="99"/>
  <c r="I83" i="99"/>
  <c r="I54" i="99"/>
  <c r="I29" i="99"/>
  <c r="AA413" i="99"/>
  <c r="AA392" i="99"/>
  <c r="AA371" i="99"/>
  <c r="I352" i="99"/>
  <c r="I316" i="99"/>
  <c r="AA282" i="99"/>
  <c r="I265" i="99"/>
  <c r="BJ238" i="99"/>
  <c r="AA238" i="99"/>
  <c r="AA213" i="99"/>
  <c r="AA184" i="99"/>
  <c r="AA159" i="99"/>
  <c r="AA137" i="99"/>
  <c r="AA108" i="99"/>
  <c r="AA83" i="99"/>
  <c r="AA54" i="99"/>
  <c r="AA29" i="99"/>
  <c r="AC413" i="99"/>
  <c r="AC392" i="99"/>
  <c r="AC371" i="99"/>
  <c r="K352" i="99"/>
  <c r="K316" i="99"/>
  <c r="AC282" i="99"/>
  <c r="K265" i="99"/>
  <c r="BL238" i="99"/>
  <c r="AC238" i="99"/>
  <c r="AC213" i="99"/>
  <c r="AC184" i="99"/>
  <c r="AC159" i="99"/>
  <c r="AC137" i="99"/>
  <c r="AC108" i="99"/>
  <c r="AC83" i="99"/>
  <c r="AC54" i="99"/>
  <c r="AC29" i="99"/>
  <c r="K413" i="99"/>
  <c r="K392" i="99"/>
  <c r="K371" i="99"/>
  <c r="K333" i="99"/>
  <c r="K299" i="99"/>
  <c r="K282" i="99"/>
  <c r="CC238" i="99"/>
  <c r="AU238" i="99"/>
  <c r="K238" i="99"/>
  <c r="K213" i="99"/>
  <c r="K184" i="99"/>
  <c r="K159" i="99"/>
  <c r="K137" i="99"/>
  <c r="K108" i="99"/>
  <c r="K83" i="99"/>
  <c r="K54" i="99"/>
  <c r="K29" i="99"/>
  <c r="K415" i="99"/>
  <c r="K394" i="99"/>
  <c r="K373" i="99"/>
  <c r="K335" i="99"/>
  <c r="K301" i="99"/>
  <c r="K284" i="99"/>
  <c r="CC240" i="99"/>
  <c r="AU240" i="99"/>
  <c r="K240" i="99"/>
  <c r="K215" i="99"/>
  <c r="K186" i="99"/>
  <c r="K161" i="99"/>
  <c r="K139" i="99"/>
  <c r="K110" i="99"/>
  <c r="K85" i="99"/>
  <c r="K56" i="99"/>
  <c r="K31" i="99"/>
  <c r="AC415" i="99"/>
  <c r="AC394" i="99"/>
  <c r="AC373" i="99"/>
  <c r="K354" i="99"/>
  <c r="K318" i="99"/>
  <c r="AC284" i="99"/>
  <c r="K267" i="99"/>
  <c r="BL240" i="99"/>
  <c r="AC240" i="99"/>
  <c r="AC215" i="99"/>
  <c r="AC186" i="99"/>
  <c r="AC161" i="99"/>
  <c r="AC139" i="99"/>
  <c r="AC110" i="99"/>
  <c r="AC85" i="99"/>
  <c r="AC56" i="99"/>
  <c r="AC31" i="99"/>
  <c r="AD413" i="99"/>
  <c r="AD392" i="99"/>
  <c r="AD371" i="99"/>
  <c r="L352" i="99"/>
  <c r="L316" i="99"/>
  <c r="AD282" i="99"/>
  <c r="L265" i="99"/>
  <c r="BM238" i="99"/>
  <c r="AD238" i="99"/>
  <c r="AD213" i="99"/>
  <c r="AD184" i="99"/>
  <c r="AD159" i="99"/>
  <c r="AD137" i="99"/>
  <c r="AD108" i="99"/>
  <c r="AD83" i="99"/>
  <c r="AD54" i="99"/>
  <c r="AD29" i="99"/>
  <c r="L413" i="99"/>
  <c r="L392" i="99"/>
  <c r="L371" i="99"/>
  <c r="L333" i="99"/>
  <c r="L299" i="99"/>
  <c r="L282" i="99"/>
  <c r="CD238" i="99"/>
  <c r="AV238" i="99"/>
  <c r="L238" i="99"/>
  <c r="L213" i="99"/>
  <c r="L184" i="99"/>
  <c r="L159" i="99"/>
  <c r="L137" i="99"/>
  <c r="L108" i="99"/>
  <c r="L83" i="99"/>
  <c r="L54" i="99"/>
  <c r="L29" i="99"/>
  <c r="AD414" i="99"/>
  <c r="AD393" i="99"/>
  <c r="AD372" i="99"/>
  <c r="L353" i="99"/>
  <c r="L317" i="99"/>
  <c r="AD283" i="99"/>
  <c r="L266" i="99"/>
  <c r="BM239" i="99"/>
  <c r="AD239" i="99"/>
  <c r="AD214" i="99"/>
  <c r="AD185" i="99"/>
  <c r="AD160" i="99"/>
  <c r="AD138" i="99"/>
  <c r="AD109" i="99"/>
  <c r="AD84" i="99"/>
  <c r="AD55" i="99"/>
  <c r="AD30" i="99"/>
  <c r="L414" i="99"/>
  <c r="L393" i="99"/>
  <c r="L372" i="99"/>
  <c r="L334" i="99"/>
  <c r="L300" i="99"/>
  <c r="L283" i="99"/>
  <c r="CD239" i="99"/>
  <c r="AV239" i="99"/>
  <c r="L239" i="99"/>
  <c r="L214" i="99"/>
  <c r="L185" i="99"/>
  <c r="L160" i="99"/>
  <c r="L138" i="99"/>
  <c r="L109" i="99"/>
  <c r="L84" i="99"/>
  <c r="L55" i="99"/>
  <c r="L30" i="99"/>
  <c r="AA415" i="99"/>
  <c r="AA394" i="99"/>
  <c r="AA373" i="99"/>
  <c r="I354" i="99"/>
  <c r="I318" i="99"/>
  <c r="AA284" i="99"/>
  <c r="I267" i="99"/>
  <c r="BJ240" i="99"/>
  <c r="AA240" i="99"/>
  <c r="AA215" i="99"/>
  <c r="AA186" i="99"/>
  <c r="AA161" i="99"/>
  <c r="AA139" i="99"/>
  <c r="AA110" i="99"/>
  <c r="AA85" i="99"/>
  <c r="AA56" i="99"/>
  <c r="AA31" i="99"/>
  <c r="I415" i="99"/>
  <c r="I394" i="99"/>
  <c r="I373" i="99"/>
  <c r="I335" i="99"/>
  <c r="I301" i="99"/>
  <c r="I284" i="99"/>
  <c r="CA240" i="99"/>
  <c r="AS240" i="99"/>
  <c r="I240" i="99"/>
  <c r="I215" i="99"/>
  <c r="I186" i="99"/>
  <c r="I161" i="99"/>
  <c r="I139" i="99"/>
  <c r="I110" i="99"/>
  <c r="I85" i="99"/>
  <c r="I56" i="99"/>
  <c r="I31" i="99"/>
  <c r="AE414" i="99"/>
  <c r="AE393" i="99"/>
  <c r="AE372" i="99"/>
  <c r="M353" i="99"/>
  <c r="M317" i="99"/>
  <c r="AE283" i="99"/>
  <c r="M266" i="99"/>
  <c r="BN239" i="99"/>
  <c r="AE239" i="99"/>
  <c r="AE214" i="99"/>
  <c r="AE185" i="99"/>
  <c r="AE160" i="99"/>
  <c r="AE138" i="99"/>
  <c r="AE109" i="99"/>
  <c r="AE84" i="99"/>
  <c r="AE55" i="99"/>
  <c r="AE30" i="99"/>
  <c r="M414" i="99"/>
  <c r="M393" i="99"/>
  <c r="M372" i="99"/>
  <c r="M334" i="99"/>
  <c r="M300" i="99"/>
  <c r="M283" i="99"/>
  <c r="CE239" i="99"/>
  <c r="AW239" i="99"/>
  <c r="M239" i="99"/>
  <c r="M214" i="99"/>
  <c r="M185" i="99"/>
  <c r="M160" i="99"/>
  <c r="M138" i="99"/>
  <c r="M109" i="99"/>
  <c r="M84" i="99"/>
  <c r="M55" i="99"/>
  <c r="M30" i="99"/>
  <c r="M415" i="99"/>
  <c r="M394" i="99"/>
  <c r="M373" i="99"/>
  <c r="M335" i="99"/>
  <c r="M301" i="99"/>
  <c r="M284" i="99"/>
  <c r="CE240" i="99"/>
  <c r="AW240" i="99"/>
  <c r="M240" i="99"/>
  <c r="M215" i="99"/>
  <c r="M186" i="99"/>
  <c r="M161" i="99"/>
  <c r="M139" i="99"/>
  <c r="M110" i="99"/>
  <c r="M85" i="99"/>
  <c r="M56" i="99"/>
  <c r="M31" i="99"/>
  <c r="AE415" i="99"/>
  <c r="AE394" i="99"/>
  <c r="AE373" i="99"/>
  <c r="M354" i="99"/>
  <c r="M318" i="99"/>
  <c r="AE284" i="99"/>
  <c r="M267" i="99"/>
  <c r="BN240" i="99"/>
  <c r="AE240" i="99"/>
  <c r="AE215" i="99"/>
  <c r="AE186" i="99"/>
  <c r="AE161" i="99"/>
  <c r="AE139" i="99"/>
  <c r="AE110" i="99"/>
  <c r="AE85" i="99"/>
  <c r="AE56" i="99"/>
  <c r="AE31" i="99"/>
  <c r="A18" i="36" l="1"/>
  <c r="A19" i="36"/>
  <c r="A20" i="36"/>
  <c r="A21" i="36"/>
  <c r="A22" i="36"/>
  <c r="A23" i="36"/>
  <c r="X13" i="75" l="1"/>
  <c r="X10" i="75"/>
  <c r="X9" i="75"/>
  <c r="X12" i="75"/>
  <c r="X11" i="75"/>
  <c r="AR10" i="75"/>
  <c r="AR13" i="75"/>
  <c r="AR9" i="75"/>
  <c r="AR14" i="75"/>
  <c r="AR6" i="75"/>
  <c r="AR12" i="75"/>
  <c r="AR8" i="75"/>
  <c r="AR25" i="75"/>
  <c r="AR11" i="75"/>
  <c r="AR7" i="75"/>
  <c r="AQ25" i="75"/>
  <c r="AQ10" i="75"/>
  <c r="AQ13" i="75"/>
  <c r="AQ9" i="75"/>
  <c r="AQ14" i="75"/>
  <c r="AQ6" i="75"/>
  <c r="AQ12" i="75"/>
  <c r="AQ8" i="75"/>
  <c r="AQ11" i="75"/>
  <c r="AQ7" i="75"/>
  <c r="H75" i="59"/>
  <c r="H74" i="59"/>
  <c r="H76" i="59"/>
  <c r="H73" i="59"/>
  <c r="D4" i="74"/>
  <c r="C19" i="43"/>
  <c r="L4" i="94" l="1"/>
  <c r="L3" i="94" s="1"/>
  <c r="D11" i="65"/>
  <c r="H5" i="12"/>
  <c r="C30" i="74"/>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H32" i="70" l="1"/>
  <c r="U140" i="61" l="1"/>
  <c r="U139" i="61"/>
  <c r="U138" i="61"/>
  <c r="U137" i="61"/>
  <c r="U136" i="61"/>
  <c r="U135" i="61"/>
  <c r="U134" i="61"/>
  <c r="U133" i="61"/>
  <c r="U132" i="61"/>
  <c r="U131" i="61"/>
  <c r="U130" i="61"/>
  <c r="U129" i="61"/>
  <c r="U128" i="61"/>
  <c r="U127" i="61"/>
  <c r="U126" i="61"/>
  <c r="U125" i="61"/>
  <c r="U124" i="61"/>
  <c r="U123" i="61"/>
  <c r="U122" i="61"/>
  <c r="U121" i="61"/>
  <c r="U120" i="61"/>
  <c r="U141" i="61" l="1"/>
  <c r="V12" i="76" l="1"/>
  <c r="AA12" i="76" s="1"/>
  <c r="V13" i="76"/>
  <c r="AA13" i="76" s="1"/>
  <c r="V14" i="76"/>
  <c r="AA14" i="76" s="1"/>
  <c r="V15" i="76"/>
  <c r="AA15" i="76" s="1"/>
  <c r="V16" i="76"/>
  <c r="AA16" i="76" s="1"/>
  <c r="V17" i="76"/>
  <c r="AA17" i="76" s="1"/>
  <c r="V18" i="76"/>
  <c r="AA18" i="76" s="1"/>
  <c r="V19" i="76"/>
  <c r="AA19" i="76" s="1"/>
  <c r="V20" i="76"/>
  <c r="AA20" i="76" s="1"/>
  <c r="V21" i="76"/>
  <c r="AA21" i="76" s="1"/>
  <c r="V22" i="76"/>
  <c r="AA22" i="76" s="1"/>
  <c r="V23" i="76"/>
  <c r="AA23" i="76" s="1"/>
  <c r="V24" i="76"/>
  <c r="AA24" i="76" s="1"/>
  <c r="V25" i="76"/>
  <c r="AA25" i="76" s="1"/>
  <c r="V26" i="76"/>
  <c r="AA26" i="76" s="1"/>
  <c r="V27" i="76"/>
  <c r="AA27" i="76" s="1"/>
  <c r="V28" i="76"/>
  <c r="AA28" i="76" s="1"/>
  <c r="V29" i="76"/>
  <c r="AA29" i="76" s="1"/>
  <c r="V30" i="76"/>
  <c r="AA30" i="76" s="1"/>
  <c r="V31" i="76"/>
  <c r="AA31" i="76" s="1"/>
  <c r="V32" i="76"/>
  <c r="AA32" i="76" s="1"/>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5" i="43"/>
  <c r="C44" i="43"/>
  <c r="C43" i="43"/>
  <c r="C42" i="43"/>
  <c r="C41" i="43"/>
  <c r="C40" i="43"/>
  <c r="C39" i="43"/>
  <c r="C38" i="43"/>
  <c r="C37" i="43"/>
  <c r="H2" i="59" l="1"/>
  <c r="AD25" i="75" l="1"/>
  <c r="B25" i="75" s="1"/>
  <c r="D114" i="61" s="1"/>
  <c r="AD7" i="75"/>
  <c r="B7" i="75" s="1"/>
  <c r="D96" i="61" s="1"/>
  <c r="AD8" i="75"/>
  <c r="B8" i="75" s="1"/>
  <c r="D97" i="61" s="1"/>
  <c r="AD9" i="75"/>
  <c r="B9" i="75" s="1"/>
  <c r="D98" i="61" s="1"/>
  <c r="AD10" i="75"/>
  <c r="B10" i="75" s="1"/>
  <c r="D99" i="61" s="1"/>
  <c r="AD11" i="75"/>
  <c r="B11" i="75" s="1"/>
  <c r="D100" i="61" s="1"/>
  <c r="AD12" i="75"/>
  <c r="B12" i="75" s="1"/>
  <c r="D101" i="61" s="1"/>
  <c r="AD13" i="75"/>
  <c r="B13" i="75" s="1"/>
  <c r="D102" i="61" s="1"/>
  <c r="AD14" i="75"/>
  <c r="B14" i="75" s="1"/>
  <c r="D103" i="61" s="1"/>
  <c r="AD6" i="75"/>
  <c r="B6" i="75" s="1"/>
  <c r="AU114" i="61" l="1"/>
  <c r="AY114" i="61"/>
  <c r="K114" i="61"/>
  <c r="U114" i="61"/>
  <c r="AJ114" i="61"/>
  <c r="D95" i="61"/>
  <c r="H4" i="70"/>
  <c r="H3" i="70" s="1"/>
  <c r="R18" i="61" l="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J5" i="36" l="1"/>
  <c r="C4" i="75" l="1"/>
  <c r="E4" i="70"/>
  <c r="K24" i="75" l="1"/>
  <c r="RI2" i="72" s="1"/>
  <c r="N24" i="75"/>
  <c r="K23" i="75"/>
  <c r="QL2" i="72" s="1"/>
  <c r="N23" i="75"/>
  <c r="K22" i="75"/>
  <c r="PO2" i="72" s="1"/>
  <c r="N22" i="75"/>
  <c r="K21" i="75"/>
  <c r="OR2" i="72" s="1"/>
  <c r="N21" i="75"/>
  <c r="K20" i="75"/>
  <c r="NU2" i="72" s="1"/>
  <c r="N20" i="75"/>
  <c r="K19" i="75"/>
  <c r="MX2" i="72" s="1"/>
  <c r="N19" i="75"/>
  <c r="K18" i="75"/>
  <c r="MA2" i="72" s="1"/>
  <c r="N18" i="75"/>
  <c r="K17" i="75"/>
  <c r="LD2" i="72" s="1"/>
  <c r="N17" i="75"/>
  <c r="K16" i="75"/>
  <c r="KG2" i="72" s="1"/>
  <c r="N16" i="75"/>
  <c r="Q2" i="98"/>
  <c r="K15" i="75"/>
  <c r="JJ2" i="72" s="1"/>
  <c r="N15" i="75"/>
  <c r="P4" i="75"/>
  <c r="P3" i="75"/>
  <c r="N12" i="75"/>
  <c r="K8" i="75"/>
  <c r="DE2" i="72" s="1"/>
  <c r="K6" i="75"/>
  <c r="BK2" i="72" s="1"/>
  <c r="N7" i="75"/>
  <c r="N25" i="75"/>
  <c r="N8" i="75"/>
  <c r="N13" i="75"/>
  <c r="K9" i="75"/>
  <c r="K11" i="75"/>
  <c r="K12" i="75"/>
  <c r="N14" i="75"/>
  <c r="K10" i="75"/>
  <c r="N9" i="75"/>
  <c r="N10" i="75"/>
  <c r="K14" i="75"/>
  <c r="N11" i="75"/>
  <c r="K7" i="75"/>
  <c r="CH2" i="72" s="1"/>
  <c r="K25" i="75"/>
  <c r="N6" i="75"/>
  <c r="K13" i="75"/>
  <c r="J17" i="36"/>
  <c r="AG17" i="36"/>
  <c r="LE12" i="72" l="1"/>
  <c r="LD12" i="72"/>
  <c r="LK12" i="72"/>
  <c r="LG12" i="72"/>
  <c r="LJ12" i="72"/>
  <c r="LI12" i="72"/>
  <c r="LH12" i="72"/>
  <c r="LF12" i="72"/>
  <c r="LH30" i="72"/>
  <c r="LH32" i="72"/>
  <c r="LH25" i="72"/>
  <c r="LI33" i="72"/>
  <c r="LI25" i="72"/>
  <c r="LI17" i="72"/>
  <c r="LH15" i="72"/>
  <c r="LH33" i="72"/>
  <c r="LH19" i="72"/>
  <c r="LH22" i="72"/>
  <c r="LI32" i="72"/>
  <c r="LI24" i="72"/>
  <c r="LI16" i="72"/>
  <c r="LH34" i="72"/>
  <c r="LH21" i="72"/>
  <c r="LH24" i="72"/>
  <c r="LD4" i="72"/>
  <c r="LI29" i="72"/>
  <c r="LI21" i="72"/>
  <c r="LH28" i="72"/>
  <c r="LI30" i="72"/>
  <c r="LI18" i="72"/>
  <c r="LI28" i="72"/>
  <c r="LI15" i="72"/>
  <c r="LI26" i="72"/>
  <c r="LH20" i="72"/>
  <c r="LI23" i="72"/>
  <c r="LH31" i="72"/>
  <c r="LI22" i="72"/>
  <c r="LH23" i="72"/>
  <c r="LH26" i="72"/>
  <c r="LI34" i="72"/>
  <c r="LI20" i="72"/>
  <c r="LH17" i="72"/>
  <c r="LH27" i="72"/>
  <c r="LI31" i="72"/>
  <c r="LI19" i="72"/>
  <c r="LH14" i="72"/>
  <c r="LH18" i="72"/>
  <c r="LH29" i="72"/>
  <c r="LH16" i="72"/>
  <c r="LI27" i="72"/>
  <c r="LI14" i="72"/>
  <c r="LD50" i="72"/>
  <c r="LE30" i="72"/>
  <c r="LF30" i="72" s="1"/>
  <c r="LG26" i="72"/>
  <c r="LG29" i="72"/>
  <c r="LG17" i="72"/>
  <c r="LE17" i="72"/>
  <c r="LF17" i="72" s="1"/>
  <c r="LG30" i="72"/>
  <c r="LE14" i="72"/>
  <c r="LG22" i="72"/>
  <c r="LE19" i="72"/>
  <c r="LF19" i="72" s="1"/>
  <c r="LG31" i="72"/>
  <c r="LE18" i="72"/>
  <c r="LF18" i="72" s="1"/>
  <c r="LE21" i="72"/>
  <c r="LF21" i="72" s="1"/>
  <c r="LJ34" i="72"/>
  <c r="LK28" i="72"/>
  <c r="LK30" i="72"/>
  <c r="LJ18" i="72"/>
  <c r="LJ29" i="72"/>
  <c r="LJ17" i="72"/>
  <c r="LJ27" i="72"/>
  <c r="LJ21" i="72"/>
  <c r="LJ23" i="72"/>
  <c r="LK26" i="72"/>
  <c r="LJ19" i="72"/>
  <c r="LK14" i="72"/>
  <c r="LK31" i="72"/>
  <c r="LK16" i="72"/>
  <c r="LJ33" i="72"/>
  <c r="LJ26" i="72"/>
  <c r="LJ20" i="72"/>
  <c r="LJ30" i="72"/>
  <c r="LK18" i="72"/>
  <c r="LJ28" i="72"/>
  <c r="LJ22" i="72"/>
  <c r="LJ24" i="72"/>
  <c r="LJ15" i="72"/>
  <c r="LJ25" i="72"/>
  <c r="LJ14" i="72"/>
  <c r="LK29" i="72"/>
  <c r="LK15" i="72"/>
  <c r="LK25" i="72"/>
  <c r="LK33" i="72"/>
  <c r="LK20" i="72"/>
  <c r="LK32" i="72"/>
  <c r="LK21" i="72"/>
  <c r="LJ32" i="72"/>
  <c r="LK22" i="72"/>
  <c r="LK27" i="72"/>
  <c r="LK34" i="72"/>
  <c r="LK17" i="72"/>
  <c r="LK24" i="72"/>
  <c r="LK19" i="72"/>
  <c r="LJ16" i="72"/>
  <c r="LJ31" i="72"/>
  <c r="LK23" i="72"/>
  <c r="LD33" i="72"/>
  <c r="LE33" i="72" s="1"/>
  <c r="LF33" i="72" s="1"/>
  <c r="LD29" i="72"/>
  <c r="LE29" i="72" s="1"/>
  <c r="LF29" i="72" s="1"/>
  <c r="LD22" i="72"/>
  <c r="LE22" i="72" s="1"/>
  <c r="LF22" i="72" s="1"/>
  <c r="LD15" i="72"/>
  <c r="LG15" i="72" s="1"/>
  <c r="LD21" i="72"/>
  <c r="LG21" i="72" s="1"/>
  <c r="LD18" i="72"/>
  <c r="LG18" i="72" s="1"/>
  <c r="LD28" i="72"/>
  <c r="LG28" i="72" s="1"/>
  <c r="LD20" i="72"/>
  <c r="LE20" i="72" s="1"/>
  <c r="LF20" i="72" s="1"/>
  <c r="LD16" i="72"/>
  <c r="LG16" i="72" s="1"/>
  <c r="LD31" i="72"/>
  <c r="LE31" i="72" s="1"/>
  <c r="LF31" i="72" s="1"/>
  <c r="LD30" i="72"/>
  <c r="LD26" i="72"/>
  <c r="LE26" i="72" s="1"/>
  <c r="LF26" i="72" s="1"/>
  <c r="LD32" i="72"/>
  <c r="LG32" i="72" s="1"/>
  <c r="LD27" i="72"/>
  <c r="LE27" i="72" s="1"/>
  <c r="LF27" i="72" s="1"/>
  <c r="LD24" i="72"/>
  <c r="LG24" i="72" s="1"/>
  <c r="LD25" i="72"/>
  <c r="LG25" i="72" s="1"/>
  <c r="LD19" i="72"/>
  <c r="LG19" i="72" s="1"/>
  <c r="LD17" i="72"/>
  <c r="LD34" i="72"/>
  <c r="LE34" i="72" s="1"/>
  <c r="LF34" i="72" s="1"/>
  <c r="LD23" i="72"/>
  <c r="LE23" i="72" s="1"/>
  <c r="LF23" i="72" s="1"/>
  <c r="LD14" i="72"/>
  <c r="OS12" i="72"/>
  <c r="OV21" i="72"/>
  <c r="OV29" i="72"/>
  <c r="OR12" i="72"/>
  <c r="OV22" i="72"/>
  <c r="OV19" i="72"/>
  <c r="OY12" i="72"/>
  <c r="OV15" i="72"/>
  <c r="OV23" i="72"/>
  <c r="OV31" i="72"/>
  <c r="OV12" i="72"/>
  <c r="OV18" i="72"/>
  <c r="OU12" i="72"/>
  <c r="OV14" i="72"/>
  <c r="OX12" i="72"/>
  <c r="OV16" i="72"/>
  <c r="OV24" i="72"/>
  <c r="OV32" i="72"/>
  <c r="OV34" i="72"/>
  <c r="OV27" i="72"/>
  <c r="OW12" i="72"/>
  <c r="OV17" i="72"/>
  <c r="OV25" i="72"/>
  <c r="OV33" i="72"/>
  <c r="OV26" i="72"/>
  <c r="OT12" i="72"/>
  <c r="OV20" i="72"/>
  <c r="OV28" i="72"/>
  <c r="OV30" i="72"/>
  <c r="OW30" i="72"/>
  <c r="OW22" i="72"/>
  <c r="OW14" i="72"/>
  <c r="OW29" i="72"/>
  <c r="OW21" i="72"/>
  <c r="OY14" i="72"/>
  <c r="OW34" i="72"/>
  <c r="OW26" i="72"/>
  <c r="OW18" i="72"/>
  <c r="OW33" i="72"/>
  <c r="OW20" i="72"/>
  <c r="OW32" i="72"/>
  <c r="OW19" i="72"/>
  <c r="OW28" i="72"/>
  <c r="OW16" i="72"/>
  <c r="OW27" i="72"/>
  <c r="OW15" i="72"/>
  <c r="OW25" i="72"/>
  <c r="OW24" i="72"/>
  <c r="OW23" i="72"/>
  <c r="OR4" i="72"/>
  <c r="OW17" i="72"/>
  <c r="OW31" i="72"/>
  <c r="OR50" i="72"/>
  <c r="OS29" i="72"/>
  <c r="OT29" i="72" s="1"/>
  <c r="OS27" i="72"/>
  <c r="OT27" i="72" s="1"/>
  <c r="OU16" i="72"/>
  <c r="OU15" i="72"/>
  <c r="OU23" i="72"/>
  <c r="OS14" i="72"/>
  <c r="OS23" i="72"/>
  <c r="OT23" i="72" s="1"/>
  <c r="OU19" i="72"/>
  <c r="OU26" i="72"/>
  <c r="OU14" i="72"/>
  <c r="OS28" i="72"/>
  <c r="OT28" i="72" s="1"/>
  <c r="OU18" i="72"/>
  <c r="OS18" i="72"/>
  <c r="OT18" i="72" s="1"/>
  <c r="OU30" i="72"/>
  <c r="OS21" i="72"/>
  <c r="OT21" i="72" s="1"/>
  <c r="OS16" i="72"/>
  <c r="OT16" i="72" s="1"/>
  <c r="OY26" i="72"/>
  <c r="OX28" i="72"/>
  <c r="OY33" i="72"/>
  <c r="OY28" i="72"/>
  <c r="OX15" i="72"/>
  <c r="OX27" i="72"/>
  <c r="OX25" i="72"/>
  <c r="OX23" i="72"/>
  <c r="OX14" i="72"/>
  <c r="OX18" i="72"/>
  <c r="OY31" i="72"/>
  <c r="OY20" i="72"/>
  <c r="OY21" i="72"/>
  <c r="OX17" i="72"/>
  <c r="OX16" i="72"/>
  <c r="OY34" i="72"/>
  <c r="OX30" i="72"/>
  <c r="OY16" i="72"/>
  <c r="OY23" i="72"/>
  <c r="OX19" i="72"/>
  <c r="OX20" i="72"/>
  <c r="OY27" i="72"/>
  <c r="OY29" i="72"/>
  <c r="OX31" i="72"/>
  <c r="OX29" i="72"/>
  <c r="OY17" i="72"/>
  <c r="OX24" i="72"/>
  <c r="OY25" i="72"/>
  <c r="OY19" i="72"/>
  <c r="OY24" i="72"/>
  <c r="OX26" i="72"/>
  <c r="OY15" i="72"/>
  <c r="OX33" i="72"/>
  <c r="OY22" i="72"/>
  <c r="OX22" i="72"/>
  <c r="OX34" i="72"/>
  <c r="OY32" i="72"/>
  <c r="OY30" i="72"/>
  <c r="OX21" i="72"/>
  <c r="OY18" i="72"/>
  <c r="OX32" i="72"/>
  <c r="OR30" i="72"/>
  <c r="OS30" i="72" s="1"/>
  <c r="OT30" i="72" s="1"/>
  <c r="OR25" i="72"/>
  <c r="OS25" i="72" s="1"/>
  <c r="OT25" i="72" s="1"/>
  <c r="OR17" i="72"/>
  <c r="OU17" i="72" s="1"/>
  <c r="OR31" i="72"/>
  <c r="OS31" i="72" s="1"/>
  <c r="OT31" i="72" s="1"/>
  <c r="OR18" i="72"/>
  <c r="OR23" i="72"/>
  <c r="OR27" i="72"/>
  <c r="OU27" i="72" s="1"/>
  <c r="OR32" i="72"/>
  <c r="OS32" i="72" s="1"/>
  <c r="OT32" i="72" s="1"/>
  <c r="OR26" i="72"/>
  <c r="OS26" i="72" s="1"/>
  <c r="OT26" i="72" s="1"/>
  <c r="OR34" i="72"/>
  <c r="OS34" i="72" s="1"/>
  <c r="OT34" i="72" s="1"/>
  <c r="OR33" i="72"/>
  <c r="OS33" i="72" s="1"/>
  <c r="OT33" i="72" s="1"/>
  <c r="OR24" i="72"/>
  <c r="OU24" i="72" s="1"/>
  <c r="OR29" i="72"/>
  <c r="OU29" i="72" s="1"/>
  <c r="OR14" i="72"/>
  <c r="OR15" i="72"/>
  <c r="OS15" i="72" s="1"/>
  <c r="OT15" i="72" s="1"/>
  <c r="OR21" i="72"/>
  <c r="OU21" i="72" s="1"/>
  <c r="OR28" i="72"/>
  <c r="OU28" i="72" s="1"/>
  <c r="OR20" i="72"/>
  <c r="OS20" i="72" s="1"/>
  <c r="OT20" i="72" s="1"/>
  <c r="OR22" i="72"/>
  <c r="OS22" i="72" s="1"/>
  <c r="OT22" i="72" s="1"/>
  <c r="OR19" i="72"/>
  <c r="OS19" i="72" s="1"/>
  <c r="OT19" i="72" s="1"/>
  <c r="OR16" i="72"/>
  <c r="MB12" i="72"/>
  <c r="MH12" i="72"/>
  <c r="ME12" i="72"/>
  <c r="MG12" i="72"/>
  <c r="MF12" i="72"/>
  <c r="MC12" i="72"/>
  <c r="MA12" i="72"/>
  <c r="MD12" i="72"/>
  <c r="ME25" i="72"/>
  <c r="ME27" i="72"/>
  <c r="ME20" i="72"/>
  <c r="ME29" i="72"/>
  <c r="MF32" i="72"/>
  <c r="MF24" i="72"/>
  <c r="MF16" i="72"/>
  <c r="ME18" i="72"/>
  <c r="ME17" i="72"/>
  <c r="MF31" i="72"/>
  <c r="MF23" i="72"/>
  <c r="MF15" i="72"/>
  <c r="ME21" i="72"/>
  <c r="ME19" i="72"/>
  <c r="ME33" i="72"/>
  <c r="ME16" i="72"/>
  <c r="ME32" i="72"/>
  <c r="MF28" i="72"/>
  <c r="MF20" i="72"/>
  <c r="ME23" i="72"/>
  <c r="ME22" i="72"/>
  <c r="MF25" i="72"/>
  <c r="ME15" i="72"/>
  <c r="ME14" i="72"/>
  <c r="MF22" i="72"/>
  <c r="ME34" i="72"/>
  <c r="ME24" i="72"/>
  <c r="MF33" i="72"/>
  <c r="MF19" i="72"/>
  <c r="MF30" i="72"/>
  <c r="MF18" i="72"/>
  <c r="MF29" i="72"/>
  <c r="MF17" i="72"/>
  <c r="MF27" i="72"/>
  <c r="MF14" i="72"/>
  <c r="ME28" i="72"/>
  <c r="MF26" i="72"/>
  <c r="ME31" i="72"/>
  <c r="ME26" i="72"/>
  <c r="ME30" i="72"/>
  <c r="MF34" i="72"/>
  <c r="MA50" i="72"/>
  <c r="MF21" i="72"/>
  <c r="MA4" i="72"/>
  <c r="MD27" i="72"/>
  <c r="MB29" i="72"/>
  <c r="MC29" i="72" s="1"/>
  <c r="MD30" i="72"/>
  <c r="MD19" i="72"/>
  <c r="MB26" i="72"/>
  <c r="MC26" i="72" s="1"/>
  <c r="MB31" i="72"/>
  <c r="MC31" i="72" s="1"/>
  <c r="MB16" i="72"/>
  <c r="MC16" i="72" s="1"/>
  <c r="MD26" i="72"/>
  <c r="MD34" i="72"/>
  <c r="MB14" i="72"/>
  <c r="MD17" i="72"/>
  <c r="MD21" i="72"/>
  <c r="MB17" i="72"/>
  <c r="MC17" i="72" s="1"/>
  <c r="MH16" i="72"/>
  <c r="MA14" i="72"/>
  <c r="MH24" i="72"/>
  <c r="MG17" i="72"/>
  <c r="MH17" i="72"/>
  <c r="MG18" i="72"/>
  <c r="MG15" i="72"/>
  <c r="MH21" i="72"/>
  <c r="MG31" i="72"/>
  <c r="MG14" i="72"/>
  <c r="MH25" i="72"/>
  <c r="MH33" i="72"/>
  <c r="MG34" i="72"/>
  <c r="MH30" i="72"/>
  <c r="MG20" i="72"/>
  <c r="MH23" i="72"/>
  <c r="MH29" i="72"/>
  <c r="MH32" i="72"/>
  <c r="MH34" i="72"/>
  <c r="MG25" i="72"/>
  <c r="MG22" i="72"/>
  <c r="MH18" i="72"/>
  <c r="MG24" i="72"/>
  <c r="MH19" i="72"/>
  <c r="MH20" i="72"/>
  <c r="MG29" i="72"/>
  <c r="MH26" i="72"/>
  <c r="MG26" i="72"/>
  <c r="MG21" i="72"/>
  <c r="MH27" i="72"/>
  <c r="MG27" i="72"/>
  <c r="MH15" i="72"/>
  <c r="MG30" i="72"/>
  <c r="MG16" i="72"/>
  <c r="MH31" i="72"/>
  <c r="MG33" i="72"/>
  <c r="MG19" i="72"/>
  <c r="MG23" i="72"/>
  <c r="MH14" i="72"/>
  <c r="MH35" i="72" s="1"/>
  <c r="MH22" i="72"/>
  <c r="MG28" i="72"/>
  <c r="MG32" i="72"/>
  <c r="MH28" i="72"/>
  <c r="MA29" i="72"/>
  <c r="MD29" i="72" s="1"/>
  <c r="MA34" i="72"/>
  <c r="MB34" i="72" s="1"/>
  <c r="MC34" i="72" s="1"/>
  <c r="MA15" i="72"/>
  <c r="MB15" i="72" s="1"/>
  <c r="MC15" i="72" s="1"/>
  <c r="MA33" i="72"/>
  <c r="MD33" i="72" s="1"/>
  <c r="MA24" i="72"/>
  <c r="MD24" i="72" s="1"/>
  <c r="MA17" i="72"/>
  <c r="MA31" i="72"/>
  <c r="MD31" i="72" s="1"/>
  <c r="MA27" i="72"/>
  <c r="MB27" i="72" s="1"/>
  <c r="MC27" i="72" s="1"/>
  <c r="MA23" i="72"/>
  <c r="MD23" i="72" s="1"/>
  <c r="MA26" i="72"/>
  <c r="MA20" i="72"/>
  <c r="MB20" i="72" s="1"/>
  <c r="MC20" i="72" s="1"/>
  <c r="MA28" i="72"/>
  <c r="MB28" i="72" s="1"/>
  <c r="MC28" i="72" s="1"/>
  <c r="MA21" i="72"/>
  <c r="MB21" i="72" s="1"/>
  <c r="MC21" i="72" s="1"/>
  <c r="MA16" i="72"/>
  <c r="MD16" i="72" s="1"/>
  <c r="MA22" i="72"/>
  <c r="MB22" i="72" s="1"/>
  <c r="MC22" i="72" s="1"/>
  <c r="MA19" i="72"/>
  <c r="MB19" i="72" s="1"/>
  <c r="MC19" i="72" s="1"/>
  <c r="MA32" i="72"/>
  <c r="MB32" i="72" s="1"/>
  <c r="MC32" i="72" s="1"/>
  <c r="MA30" i="72"/>
  <c r="MB30" i="72" s="1"/>
  <c r="MC30" i="72" s="1"/>
  <c r="MA25" i="72"/>
  <c r="MB25" i="72" s="1"/>
  <c r="MC25" i="72" s="1"/>
  <c r="MA18" i="72"/>
  <c r="MB18" i="72" s="1"/>
  <c r="MC18" i="72" s="1"/>
  <c r="CL32" i="72"/>
  <c r="CL28" i="72"/>
  <c r="CL24" i="72"/>
  <c r="CL20" i="72"/>
  <c r="CL16" i="72"/>
  <c r="CM31" i="72"/>
  <c r="CM27" i="72"/>
  <c r="CM23" i="72"/>
  <c r="CM19" i="72"/>
  <c r="CM15" i="72"/>
  <c r="CL31" i="72"/>
  <c r="CL27" i="72"/>
  <c r="CL23" i="72"/>
  <c r="CL19" i="72"/>
  <c r="CL15" i="72"/>
  <c r="CM34" i="72"/>
  <c r="CM30" i="72"/>
  <c r="CM26" i="72"/>
  <c r="CM22" i="72"/>
  <c r="CM18" i="72"/>
  <c r="CM14" i="72"/>
  <c r="CL34" i="72"/>
  <c r="CL30" i="72"/>
  <c r="CL26" i="72"/>
  <c r="CL22" i="72"/>
  <c r="CL18" i="72"/>
  <c r="CL14" i="72"/>
  <c r="CM33" i="72"/>
  <c r="CM29" i="72"/>
  <c r="CM25" i="72"/>
  <c r="CM21" i="72"/>
  <c r="CM17" i="72"/>
  <c r="CL33" i="72"/>
  <c r="CL29" i="72"/>
  <c r="CL25" i="72"/>
  <c r="CL21" i="72"/>
  <c r="CL17" i="72"/>
  <c r="CH4" i="72"/>
  <c r="CM32" i="72"/>
  <c r="CM28" i="72"/>
  <c r="CM24" i="72"/>
  <c r="CM20" i="72"/>
  <c r="CM16" i="72"/>
  <c r="CM12" i="72"/>
  <c r="CH50" i="72"/>
  <c r="CO12" i="72"/>
  <c r="CH12" i="72"/>
  <c r="CL12" i="72"/>
  <c r="CK12" i="72"/>
  <c r="CI12" i="72"/>
  <c r="CN12" i="72"/>
  <c r="CJ12" i="72"/>
  <c r="CK27" i="72"/>
  <c r="CK14" i="72"/>
  <c r="CI34" i="72"/>
  <c r="CJ34" i="72" s="1"/>
  <c r="CI33" i="72"/>
  <c r="CJ33" i="72" s="1"/>
  <c r="CI17" i="72"/>
  <c r="CJ17" i="72" s="1"/>
  <c r="CK30" i="72"/>
  <c r="CI29" i="72"/>
  <c r="CJ29" i="72" s="1"/>
  <c r="CK22" i="72"/>
  <c r="CK26" i="72"/>
  <c r="CI26" i="72"/>
  <c r="CJ26" i="72" s="1"/>
  <c r="CI18" i="72"/>
  <c r="CJ18" i="72" s="1"/>
  <c r="CK20" i="72"/>
  <c r="CO17" i="72"/>
  <c r="CN21" i="72"/>
  <c r="CO29" i="72"/>
  <c r="CO25" i="72"/>
  <c r="CN32" i="72"/>
  <c r="CN25" i="72"/>
  <c r="CO14" i="72"/>
  <c r="CN29" i="72"/>
  <c r="CN19" i="72"/>
  <c r="CN16" i="72"/>
  <c r="CN28" i="72"/>
  <c r="CO30" i="72"/>
  <c r="CN26" i="72"/>
  <c r="CN23" i="72"/>
  <c r="CO15" i="72"/>
  <c r="CO26" i="72"/>
  <c r="CO24" i="72"/>
  <c r="CN20" i="72"/>
  <c r="CN33" i="72"/>
  <c r="CN31" i="72"/>
  <c r="CN24" i="72"/>
  <c r="CN14" i="72"/>
  <c r="CO22" i="72"/>
  <c r="CO33" i="72"/>
  <c r="CO18" i="72"/>
  <c r="CN17" i="72"/>
  <c r="CO23" i="72"/>
  <c r="CN34" i="72"/>
  <c r="CO34" i="72"/>
  <c r="CO31" i="72"/>
  <c r="CO27" i="72"/>
  <c r="CN22" i="72"/>
  <c r="CO16" i="72"/>
  <c r="CO21" i="72"/>
  <c r="CO20" i="72"/>
  <c r="CN30" i="72"/>
  <c r="CN15" i="72"/>
  <c r="CO28" i="72"/>
  <c r="CO19" i="72"/>
  <c r="CO32" i="72"/>
  <c r="CN18" i="72"/>
  <c r="CN27" i="72"/>
  <c r="CH15" i="72"/>
  <c r="CI15" i="72" s="1"/>
  <c r="CJ15" i="72" s="1"/>
  <c r="CH32" i="72"/>
  <c r="CK32" i="72" s="1"/>
  <c r="CH30" i="72"/>
  <c r="CI30" i="72" s="1"/>
  <c r="CJ30" i="72" s="1"/>
  <c r="CH26" i="72"/>
  <c r="CH31" i="72"/>
  <c r="CK31" i="72" s="1"/>
  <c r="CH24" i="72"/>
  <c r="CI24" i="72" s="1"/>
  <c r="CJ24" i="72" s="1"/>
  <c r="CH27" i="72"/>
  <c r="CI27" i="72" s="1"/>
  <c r="CJ27" i="72" s="1"/>
  <c r="CH25" i="72"/>
  <c r="CK25" i="72" s="1"/>
  <c r="CH16" i="72"/>
  <c r="CK16" i="72" s="1"/>
  <c r="CH34" i="72"/>
  <c r="CK34" i="72" s="1"/>
  <c r="CH17" i="72"/>
  <c r="CK17" i="72" s="1"/>
  <c r="CH21" i="72"/>
  <c r="CI21" i="72" s="1"/>
  <c r="CJ21" i="72" s="1"/>
  <c r="CH33" i="72"/>
  <c r="CK33" i="72" s="1"/>
  <c r="CH18" i="72"/>
  <c r="CK18" i="72" s="1"/>
  <c r="CH22" i="72"/>
  <c r="CI22" i="72" s="1"/>
  <c r="CJ22" i="72" s="1"/>
  <c r="CH29" i="72"/>
  <c r="CK29" i="72" s="1"/>
  <c r="CH28" i="72"/>
  <c r="CK28" i="72" s="1"/>
  <c r="CH23" i="72"/>
  <c r="CI23" i="72" s="1"/>
  <c r="CJ23" i="72" s="1"/>
  <c r="CH14" i="72"/>
  <c r="CH20" i="72"/>
  <c r="CI20" i="72" s="1"/>
  <c r="CJ20" i="72" s="1"/>
  <c r="CH19" i="72"/>
  <c r="CK19" i="72" s="1"/>
  <c r="AM11" i="75"/>
  <c r="FV2" i="72"/>
  <c r="AM9" i="75"/>
  <c r="EB2" i="72"/>
  <c r="AM14" i="75"/>
  <c r="IM2" i="72"/>
  <c r="PP12" i="72"/>
  <c r="PV12" i="72"/>
  <c r="PU12" i="72"/>
  <c r="PS12" i="72"/>
  <c r="PT12" i="72"/>
  <c r="PR12" i="72"/>
  <c r="PQ12" i="72"/>
  <c r="PO12" i="72"/>
  <c r="PS20" i="72"/>
  <c r="PS21" i="72"/>
  <c r="PT27" i="72"/>
  <c r="PT19" i="72"/>
  <c r="PS16" i="72"/>
  <c r="PS19" i="72"/>
  <c r="PS15" i="72"/>
  <c r="PT34" i="72"/>
  <c r="PT26" i="72"/>
  <c r="PT18" i="72"/>
  <c r="PS33" i="72"/>
  <c r="PS30" i="72"/>
  <c r="PS28" i="72"/>
  <c r="PS31" i="72"/>
  <c r="PT31" i="72"/>
  <c r="PT23" i="72"/>
  <c r="PT15" i="72"/>
  <c r="PS34" i="72"/>
  <c r="PT25" i="72"/>
  <c r="PS32" i="72"/>
  <c r="PS29" i="72"/>
  <c r="PT24" i="72"/>
  <c r="PS24" i="72"/>
  <c r="PS23" i="72"/>
  <c r="PT33" i="72"/>
  <c r="PT21" i="72"/>
  <c r="PS17" i="72"/>
  <c r="PS22" i="72"/>
  <c r="PT32" i="72"/>
  <c r="PT20" i="72"/>
  <c r="PS26" i="72"/>
  <c r="PT30" i="72"/>
  <c r="PT17" i="72"/>
  <c r="PS18" i="72"/>
  <c r="PT29" i="72"/>
  <c r="PT16" i="72"/>
  <c r="PS27" i="72"/>
  <c r="PT28" i="72"/>
  <c r="PT14" i="72"/>
  <c r="PS14" i="72"/>
  <c r="PT22" i="72"/>
  <c r="PS25" i="72"/>
  <c r="PO4" i="72"/>
  <c r="PO50" i="72"/>
  <c r="PP21" i="72"/>
  <c r="PQ21" i="72" s="1"/>
  <c r="PR14" i="72"/>
  <c r="PR20" i="72"/>
  <c r="PR17" i="72"/>
  <c r="PP17" i="72"/>
  <c r="PQ17" i="72" s="1"/>
  <c r="PP32" i="72"/>
  <c r="PQ32" i="72" s="1"/>
  <c r="PP18" i="72"/>
  <c r="PQ18" i="72" s="1"/>
  <c r="PP16" i="72"/>
  <c r="PQ16" i="72" s="1"/>
  <c r="PR32" i="72"/>
  <c r="PR18" i="72"/>
  <c r="PR26" i="72"/>
  <c r="PR22" i="72"/>
  <c r="PP22" i="72"/>
  <c r="PQ22" i="72" s="1"/>
  <c r="PP25" i="72"/>
  <c r="PQ25" i="72" s="1"/>
  <c r="PU19" i="72"/>
  <c r="PV28" i="72"/>
  <c r="PV33" i="72"/>
  <c r="PU31" i="72"/>
  <c r="PU25" i="72"/>
  <c r="PV34" i="72"/>
  <c r="PV22" i="72"/>
  <c r="PV21" i="72"/>
  <c r="PU23" i="72"/>
  <c r="PU16" i="72"/>
  <c r="PU28" i="72"/>
  <c r="PV18" i="72"/>
  <c r="PU32" i="72"/>
  <c r="PU26" i="72"/>
  <c r="PV17" i="72"/>
  <c r="PU17" i="72"/>
  <c r="PU30" i="72"/>
  <c r="PU24" i="72"/>
  <c r="PV29" i="72"/>
  <c r="PU18" i="72"/>
  <c r="PU29" i="72"/>
  <c r="PV15" i="72"/>
  <c r="PU22" i="72"/>
  <c r="PU34" i="72"/>
  <c r="PV31" i="72"/>
  <c r="PV19" i="72"/>
  <c r="PU15" i="72"/>
  <c r="PU20" i="72"/>
  <c r="PV27" i="72"/>
  <c r="PV26" i="72"/>
  <c r="PV14" i="72"/>
  <c r="PV25" i="72"/>
  <c r="PU14" i="72"/>
  <c r="PU33" i="72"/>
  <c r="PV30" i="72"/>
  <c r="PV23" i="72"/>
  <c r="PV24" i="72"/>
  <c r="PV32" i="72"/>
  <c r="PV16" i="72"/>
  <c r="PU21" i="72"/>
  <c r="PV20" i="72"/>
  <c r="PU27" i="72"/>
  <c r="PO16" i="72"/>
  <c r="PR16" i="72" s="1"/>
  <c r="PO21" i="72"/>
  <c r="PR21" i="72" s="1"/>
  <c r="PO28" i="72"/>
  <c r="PR28" i="72" s="1"/>
  <c r="PO18" i="72"/>
  <c r="PO15" i="72"/>
  <c r="PP15" i="72" s="1"/>
  <c r="PQ15" i="72" s="1"/>
  <c r="PO29" i="72"/>
  <c r="PR29" i="72" s="1"/>
  <c r="PO25" i="72"/>
  <c r="PR25" i="72" s="1"/>
  <c r="PO20" i="72"/>
  <c r="PP20" i="72" s="1"/>
  <c r="PQ20" i="72" s="1"/>
  <c r="PO22" i="72"/>
  <c r="PO27" i="72"/>
  <c r="PR27" i="72" s="1"/>
  <c r="PO24" i="72"/>
  <c r="PR24" i="72" s="1"/>
  <c r="PO26" i="72"/>
  <c r="PP26" i="72" s="1"/>
  <c r="PQ26" i="72" s="1"/>
  <c r="PO19" i="72"/>
  <c r="PP19" i="72" s="1"/>
  <c r="PQ19" i="72" s="1"/>
  <c r="PO33" i="72"/>
  <c r="PP33" i="72" s="1"/>
  <c r="PQ33" i="72" s="1"/>
  <c r="PO31" i="72"/>
  <c r="PP31" i="72" s="1"/>
  <c r="PQ31" i="72" s="1"/>
  <c r="PO17" i="72"/>
  <c r="PO32" i="72"/>
  <c r="PO34" i="72"/>
  <c r="PR34" i="72" s="1"/>
  <c r="PO14" i="72"/>
  <c r="PP14" i="72" s="1"/>
  <c r="PO23" i="72"/>
  <c r="PP23" i="72" s="1"/>
  <c r="PQ23" i="72" s="1"/>
  <c r="PO30" i="72"/>
  <c r="PR30" i="72" s="1"/>
  <c r="JN33" i="72"/>
  <c r="JN31" i="72"/>
  <c r="JN26" i="72"/>
  <c r="JN22" i="72"/>
  <c r="JN18" i="72"/>
  <c r="JN14" i="72"/>
  <c r="JJ4" i="72"/>
  <c r="JN30" i="72"/>
  <c r="JO25" i="72"/>
  <c r="JO21" i="72"/>
  <c r="JO17" i="72"/>
  <c r="JN29" i="72"/>
  <c r="JN25" i="72"/>
  <c r="JN21" i="72"/>
  <c r="JN17" i="72"/>
  <c r="JJ12" i="72"/>
  <c r="JO28" i="72"/>
  <c r="JO24" i="72"/>
  <c r="JO20" i="72"/>
  <c r="JO16" i="72"/>
  <c r="JO12" i="72"/>
  <c r="JN28" i="72"/>
  <c r="JN24" i="72"/>
  <c r="JN20" i="72"/>
  <c r="JN16" i="72"/>
  <c r="JO27" i="72"/>
  <c r="JO23" i="72"/>
  <c r="JO19" i="72"/>
  <c r="JO15" i="72"/>
  <c r="JN34" i="72"/>
  <c r="JN27" i="72"/>
  <c r="JN23" i="72"/>
  <c r="JN19" i="72"/>
  <c r="JN15" i="72"/>
  <c r="JN32" i="72"/>
  <c r="JO26" i="72"/>
  <c r="JO22" i="72"/>
  <c r="JO18" i="72"/>
  <c r="JO14" i="72"/>
  <c r="JO32" i="72"/>
  <c r="JO31" i="72"/>
  <c r="JO30" i="72"/>
  <c r="JO34" i="72"/>
  <c r="JO33" i="72"/>
  <c r="JP12" i="72"/>
  <c r="JQ12" i="72"/>
  <c r="JL12" i="72"/>
  <c r="JO29" i="72"/>
  <c r="JJ50" i="72"/>
  <c r="JK12" i="72"/>
  <c r="JN12" i="72"/>
  <c r="JM12" i="72"/>
  <c r="JM18" i="72"/>
  <c r="JK23" i="72"/>
  <c r="JL23" i="72" s="1"/>
  <c r="JK30" i="72"/>
  <c r="JL30" i="72" s="1"/>
  <c r="JM21" i="72"/>
  <c r="JM17" i="72"/>
  <c r="JM33" i="72"/>
  <c r="JM19" i="72"/>
  <c r="JM27" i="72"/>
  <c r="JK22" i="72"/>
  <c r="JL22" i="72" s="1"/>
  <c r="JK20" i="72"/>
  <c r="JL20" i="72" s="1"/>
  <c r="JK26" i="72"/>
  <c r="JL26" i="72" s="1"/>
  <c r="JM25" i="72"/>
  <c r="JM26" i="72"/>
  <c r="JP34" i="72"/>
  <c r="JP14" i="72"/>
  <c r="JP23" i="72"/>
  <c r="JQ15" i="72"/>
  <c r="JQ21" i="72"/>
  <c r="JQ34" i="72"/>
  <c r="JP25" i="72"/>
  <c r="JQ18" i="72"/>
  <c r="JQ17" i="72"/>
  <c r="JQ20" i="72"/>
  <c r="JQ31" i="72"/>
  <c r="JP26" i="72"/>
  <c r="JP32" i="72"/>
  <c r="JP27" i="72"/>
  <c r="JP28" i="72"/>
  <c r="JQ25" i="72"/>
  <c r="JP24" i="72"/>
  <c r="JP18" i="72"/>
  <c r="JP17" i="72"/>
  <c r="JQ28" i="72"/>
  <c r="JQ32" i="72"/>
  <c r="JQ19" i="72"/>
  <c r="JP33" i="72"/>
  <c r="JP29" i="72"/>
  <c r="JP22" i="72"/>
  <c r="JQ29" i="72"/>
  <c r="JQ30" i="72"/>
  <c r="JQ24" i="72"/>
  <c r="JQ14" i="72"/>
  <c r="JQ23" i="72"/>
  <c r="JQ27" i="72"/>
  <c r="JQ16" i="72"/>
  <c r="JQ26" i="72"/>
  <c r="JP15" i="72"/>
  <c r="JP16" i="72"/>
  <c r="JP20" i="72"/>
  <c r="JP19" i="72"/>
  <c r="JQ22" i="72"/>
  <c r="JP21" i="72"/>
  <c r="JP31" i="72"/>
  <c r="JQ33" i="72"/>
  <c r="JP30" i="72"/>
  <c r="JJ15" i="72"/>
  <c r="JK15" i="72" s="1"/>
  <c r="JL15" i="72" s="1"/>
  <c r="JJ17" i="72"/>
  <c r="JK17" i="72" s="1"/>
  <c r="JL17" i="72" s="1"/>
  <c r="JJ29" i="72"/>
  <c r="JM29" i="72" s="1"/>
  <c r="JJ34" i="72"/>
  <c r="JK34" i="72" s="1"/>
  <c r="JL34" i="72" s="1"/>
  <c r="JJ18" i="72"/>
  <c r="JK18" i="72" s="1"/>
  <c r="JL18" i="72" s="1"/>
  <c r="JJ28" i="72"/>
  <c r="JM28" i="72" s="1"/>
  <c r="JJ26" i="72"/>
  <c r="JJ25" i="72"/>
  <c r="JK25" i="72" s="1"/>
  <c r="JL25" i="72" s="1"/>
  <c r="JJ27" i="72"/>
  <c r="JK27" i="72" s="1"/>
  <c r="JL27" i="72" s="1"/>
  <c r="JJ16" i="72"/>
  <c r="JM16" i="72" s="1"/>
  <c r="JJ21" i="72"/>
  <c r="JK21" i="72" s="1"/>
  <c r="JL21" i="72" s="1"/>
  <c r="JJ24" i="72"/>
  <c r="JK24" i="72" s="1"/>
  <c r="JL24" i="72" s="1"/>
  <c r="JJ14" i="72"/>
  <c r="JJ22" i="72"/>
  <c r="JM22" i="72" s="1"/>
  <c r="JJ32" i="72"/>
  <c r="JM32" i="72" s="1"/>
  <c r="JJ33" i="72"/>
  <c r="JK33" i="72" s="1"/>
  <c r="JL33" i="72" s="1"/>
  <c r="JJ23" i="72"/>
  <c r="JM23" i="72" s="1"/>
  <c r="JJ30" i="72"/>
  <c r="JM30" i="72" s="1"/>
  <c r="JJ19" i="72"/>
  <c r="JK19" i="72" s="1"/>
  <c r="JL19" i="72" s="1"/>
  <c r="JJ31" i="72"/>
  <c r="JM31" i="72" s="1"/>
  <c r="JJ20" i="72"/>
  <c r="JM20" i="72" s="1"/>
  <c r="AM13" i="75"/>
  <c r="HP2" i="72"/>
  <c r="AM10" i="75"/>
  <c r="EY2" i="72"/>
  <c r="AA2" i="6" a="1"/>
  <c r="AA2" i="6" s="1"/>
  <c r="A37" i="43" a="1"/>
  <c r="A37" i="43" s="1"/>
  <c r="MY12" i="72"/>
  <c r="MX12" i="72"/>
  <c r="NE12" i="72"/>
  <c r="ND12" i="72"/>
  <c r="NB12" i="72"/>
  <c r="NA12" i="72"/>
  <c r="NC12" i="72"/>
  <c r="MZ12" i="72"/>
  <c r="NB28" i="72"/>
  <c r="NB20" i="72"/>
  <c r="NB32" i="72"/>
  <c r="NB23" i="72"/>
  <c r="NB14" i="72"/>
  <c r="NB31" i="72"/>
  <c r="NB22" i="72"/>
  <c r="NB30" i="72"/>
  <c r="NB21" i="72"/>
  <c r="NB29" i="72"/>
  <c r="NB19" i="72"/>
  <c r="NB27" i="72"/>
  <c r="NB18" i="72"/>
  <c r="NB26" i="72"/>
  <c r="NB17" i="72"/>
  <c r="NB34" i="72"/>
  <c r="NB25" i="72"/>
  <c r="NB16" i="72"/>
  <c r="NB33" i="72"/>
  <c r="NB24" i="72"/>
  <c r="NB15" i="72"/>
  <c r="MX4" i="72"/>
  <c r="NC29" i="72"/>
  <c r="NC21" i="72"/>
  <c r="NC28" i="72"/>
  <c r="NC20" i="72"/>
  <c r="NC33" i="72"/>
  <c r="NC25" i="72"/>
  <c r="NC17" i="72"/>
  <c r="NC31" i="72"/>
  <c r="NC18" i="72"/>
  <c r="NC30" i="72"/>
  <c r="NC16" i="72"/>
  <c r="NC26" i="72"/>
  <c r="NC14" i="72"/>
  <c r="NC24" i="72"/>
  <c r="NC23" i="72"/>
  <c r="NC34" i="72"/>
  <c r="NC22" i="72"/>
  <c r="NC32" i="72"/>
  <c r="NC19" i="72"/>
  <c r="NC27" i="72"/>
  <c r="NC15" i="72"/>
  <c r="MX50" i="72"/>
  <c r="NA21" i="72"/>
  <c r="NA15" i="72"/>
  <c r="MY32" i="72"/>
  <c r="MZ32" i="72" s="1"/>
  <c r="MY26" i="72"/>
  <c r="MZ26" i="72" s="1"/>
  <c r="NA16" i="72"/>
  <c r="NA26" i="72"/>
  <c r="MY34" i="72"/>
  <c r="MZ34" i="72" s="1"/>
  <c r="MY22" i="72"/>
  <c r="MZ22" i="72" s="1"/>
  <c r="MY28" i="72"/>
  <c r="MZ28" i="72" s="1"/>
  <c r="NA32" i="72"/>
  <c r="MY25" i="72"/>
  <c r="MZ25" i="72" s="1"/>
  <c r="MY24" i="72"/>
  <c r="MZ24" i="72" s="1"/>
  <c r="NA28" i="72"/>
  <c r="MY18" i="72"/>
  <c r="MZ18" i="72" s="1"/>
  <c r="NA30" i="72"/>
  <c r="MY21" i="72"/>
  <c r="MZ21" i="72" s="1"/>
  <c r="NA19" i="72"/>
  <c r="NA18" i="72"/>
  <c r="NE14" i="72"/>
  <c r="NE17" i="72"/>
  <c r="NE34" i="72"/>
  <c r="ND15" i="72"/>
  <c r="NE31" i="72"/>
  <c r="ND29" i="72"/>
  <c r="ND30" i="72"/>
  <c r="NE29" i="72"/>
  <c r="ND19" i="72"/>
  <c r="ND16" i="72"/>
  <c r="ND28" i="72"/>
  <c r="NE22" i="72"/>
  <c r="ND14" i="72"/>
  <c r="ND26" i="72"/>
  <c r="NE28" i="72"/>
  <c r="NE20" i="72"/>
  <c r="ND27" i="72"/>
  <c r="NE32" i="72"/>
  <c r="NE30" i="72"/>
  <c r="ND22" i="72"/>
  <c r="ND17" i="72"/>
  <c r="NE33" i="72"/>
  <c r="ND25" i="72"/>
  <c r="ND32" i="72"/>
  <c r="ND18" i="72"/>
  <c r="ND33" i="72"/>
  <c r="NE23" i="72"/>
  <c r="NE27" i="72"/>
  <c r="NE19" i="72"/>
  <c r="NE25" i="72"/>
  <c r="ND21" i="72"/>
  <c r="NE16" i="72"/>
  <c r="NE21" i="72"/>
  <c r="NE26" i="72"/>
  <c r="ND20" i="72"/>
  <c r="ND24" i="72"/>
  <c r="NE18" i="72"/>
  <c r="ND23" i="72"/>
  <c r="NE15" i="72"/>
  <c r="ND31" i="72"/>
  <c r="NE24" i="72"/>
  <c r="ND34" i="72"/>
  <c r="MX23" i="72"/>
  <c r="MY23" i="72" s="1"/>
  <c r="MZ23" i="72" s="1"/>
  <c r="MX16" i="72"/>
  <c r="MY16" i="72" s="1"/>
  <c r="MZ16" i="72" s="1"/>
  <c r="MX32" i="72"/>
  <c r="MX24" i="72"/>
  <c r="NA24" i="72" s="1"/>
  <c r="MX30" i="72"/>
  <c r="MY30" i="72" s="1"/>
  <c r="MZ30" i="72" s="1"/>
  <c r="MX34" i="72"/>
  <c r="NA34" i="72" s="1"/>
  <c r="MX22" i="72"/>
  <c r="NA22" i="72" s="1"/>
  <c r="MX29" i="72"/>
  <c r="NA29" i="72" s="1"/>
  <c r="MX33" i="72"/>
  <c r="MY33" i="72" s="1"/>
  <c r="MZ33" i="72" s="1"/>
  <c r="MX14" i="72"/>
  <c r="MX26" i="72"/>
  <c r="MX18" i="72"/>
  <c r="MX25" i="72"/>
  <c r="NA25" i="72" s="1"/>
  <c r="MX17" i="72"/>
  <c r="NA17" i="72" s="1"/>
  <c r="MX20" i="72"/>
  <c r="MY20" i="72" s="1"/>
  <c r="MZ20" i="72" s="1"/>
  <c r="MX19" i="72"/>
  <c r="MY19" i="72" s="1"/>
  <c r="MZ19" i="72" s="1"/>
  <c r="MX27" i="72"/>
  <c r="NA27" i="72" s="1"/>
  <c r="MX31" i="72"/>
  <c r="NA31" i="72" s="1"/>
  <c r="MX28" i="72"/>
  <c r="MX21" i="72"/>
  <c r="MX15" i="72"/>
  <c r="MY15" i="72" s="1"/>
  <c r="MZ15" i="72" s="1"/>
  <c r="QM12" i="72"/>
  <c r="QL12" i="72"/>
  <c r="QS12" i="72"/>
  <c r="QR12" i="72"/>
  <c r="QO12" i="72"/>
  <c r="QQ12" i="72"/>
  <c r="QP12" i="72"/>
  <c r="QN12" i="72"/>
  <c r="QP34" i="72"/>
  <c r="QP26" i="72"/>
  <c r="QP18" i="72"/>
  <c r="QP27" i="72"/>
  <c r="QP17" i="72"/>
  <c r="QP25" i="72"/>
  <c r="QP16" i="72"/>
  <c r="QP33" i="72"/>
  <c r="QP24" i="72"/>
  <c r="QP15" i="72"/>
  <c r="QP32" i="72"/>
  <c r="QP23" i="72"/>
  <c r="QP14" i="72"/>
  <c r="QL4" i="72"/>
  <c r="QP31" i="72"/>
  <c r="QP22" i="72"/>
  <c r="QP30" i="72"/>
  <c r="QP21" i="72"/>
  <c r="QP29" i="72"/>
  <c r="QP20" i="72"/>
  <c r="QP28" i="72"/>
  <c r="QP19" i="72"/>
  <c r="QQ29" i="72"/>
  <c r="QQ21" i="72"/>
  <c r="QQ28" i="72"/>
  <c r="QQ20" i="72"/>
  <c r="QQ33" i="72"/>
  <c r="QQ25" i="72"/>
  <c r="QQ17" i="72"/>
  <c r="QQ32" i="72"/>
  <c r="QQ19" i="72"/>
  <c r="QQ31" i="72"/>
  <c r="QQ18" i="72"/>
  <c r="QQ27" i="72"/>
  <c r="QQ15" i="72"/>
  <c r="QQ26" i="72"/>
  <c r="QQ14" i="72"/>
  <c r="QQ24" i="72"/>
  <c r="QQ23" i="72"/>
  <c r="QQ34" i="72"/>
  <c r="QQ22" i="72"/>
  <c r="QL50" i="72"/>
  <c r="QQ30" i="72"/>
  <c r="QQ16" i="72"/>
  <c r="QO18" i="72"/>
  <c r="QM16" i="72"/>
  <c r="QN16" i="72" s="1"/>
  <c r="QM25" i="72"/>
  <c r="QN25" i="72" s="1"/>
  <c r="QO15" i="72"/>
  <c r="QO16" i="72"/>
  <c r="QM18" i="72"/>
  <c r="QN18" i="72" s="1"/>
  <c r="QM27" i="72"/>
  <c r="QN27" i="72" s="1"/>
  <c r="QO30" i="72"/>
  <c r="QM19" i="72"/>
  <c r="QN19" i="72" s="1"/>
  <c r="QM23" i="72"/>
  <c r="QN23" i="72" s="1"/>
  <c r="QM22" i="72"/>
  <c r="QN22" i="72" s="1"/>
  <c r="QO22" i="72"/>
  <c r="QO17" i="72"/>
  <c r="QO32" i="72"/>
  <c r="QO20" i="72"/>
  <c r="QM20" i="72"/>
  <c r="QN20" i="72" s="1"/>
  <c r="QO27" i="72"/>
  <c r="QM30" i="72"/>
  <c r="QN30" i="72" s="1"/>
  <c r="QO19" i="72"/>
  <c r="QR26" i="72"/>
  <c r="QR20" i="72"/>
  <c r="QS21" i="72"/>
  <c r="QS23" i="72"/>
  <c r="QR27" i="72"/>
  <c r="QS15" i="72"/>
  <c r="QR21" i="72"/>
  <c r="QR30" i="72"/>
  <c r="QS17" i="72"/>
  <c r="QR32" i="72"/>
  <c r="QS25" i="72"/>
  <c r="QS14" i="72"/>
  <c r="QS30" i="72"/>
  <c r="QR14" i="72"/>
  <c r="QR29" i="72"/>
  <c r="QS18" i="72"/>
  <c r="QS29" i="72"/>
  <c r="QR33" i="72"/>
  <c r="QR17" i="72"/>
  <c r="QR16" i="72"/>
  <c r="QR24" i="72"/>
  <c r="QR25" i="72"/>
  <c r="QR23" i="72"/>
  <c r="QS24" i="72"/>
  <c r="QS31" i="72"/>
  <c r="QR28" i="72"/>
  <c r="QR19" i="72"/>
  <c r="QS32" i="72"/>
  <c r="QS16" i="72"/>
  <c r="QS19" i="72"/>
  <c r="QR34" i="72"/>
  <c r="QS34" i="72"/>
  <c r="QS33" i="72"/>
  <c r="QR18" i="72"/>
  <c r="QR31" i="72"/>
  <c r="QS20" i="72"/>
  <c r="QS26" i="72"/>
  <c r="QR22" i="72"/>
  <c r="QS28" i="72"/>
  <c r="QS22" i="72"/>
  <c r="QS27" i="72"/>
  <c r="QR15" i="72"/>
  <c r="QL14" i="72"/>
  <c r="QO14" i="72" s="1"/>
  <c r="QL33" i="72"/>
  <c r="QM33" i="72" s="1"/>
  <c r="QN33" i="72" s="1"/>
  <c r="QL30" i="72"/>
  <c r="QL34" i="72"/>
  <c r="QO34" i="72" s="1"/>
  <c r="QL29" i="72"/>
  <c r="QO29" i="72" s="1"/>
  <c r="QL18" i="72"/>
  <c r="QL15" i="72"/>
  <c r="QM15" i="72" s="1"/>
  <c r="QN15" i="72" s="1"/>
  <c r="QL20" i="72"/>
  <c r="QL27" i="72"/>
  <c r="QL25" i="72"/>
  <c r="QO25" i="72" s="1"/>
  <c r="QL26" i="72"/>
  <c r="QO26" i="72" s="1"/>
  <c r="QL28" i="72"/>
  <c r="QO28" i="72" s="1"/>
  <c r="QL23" i="72"/>
  <c r="QO23" i="72" s="1"/>
  <c r="QL17" i="72"/>
  <c r="QM17" i="72" s="1"/>
  <c r="QN17" i="72" s="1"/>
  <c r="QL22" i="72"/>
  <c r="QL16" i="72"/>
  <c r="QL24" i="72"/>
  <c r="QM24" i="72" s="1"/>
  <c r="QN24" i="72" s="1"/>
  <c r="QL19" i="72"/>
  <c r="QL31" i="72"/>
  <c r="QM31" i="72" s="1"/>
  <c r="QN31" i="72" s="1"/>
  <c r="QL21" i="72"/>
  <c r="QO21" i="72" s="1"/>
  <c r="QL32" i="72"/>
  <c r="QM32" i="72" s="1"/>
  <c r="QN32" i="72" s="1"/>
  <c r="BK4" i="72"/>
  <c r="BP12" i="72"/>
  <c r="BP27" i="72"/>
  <c r="BP19" i="72"/>
  <c r="BO32" i="72"/>
  <c r="BO24" i="72"/>
  <c r="BO16" i="72"/>
  <c r="BP34" i="72"/>
  <c r="BP26" i="72"/>
  <c r="BP18" i="72"/>
  <c r="BO31" i="72"/>
  <c r="BO23" i="72"/>
  <c r="BO15" i="72"/>
  <c r="BP33" i="72"/>
  <c r="BP25" i="72"/>
  <c r="BP17" i="72"/>
  <c r="BO30" i="72"/>
  <c r="BO22" i="72"/>
  <c r="BO14" i="72"/>
  <c r="BP32" i="72"/>
  <c r="BP24" i="72"/>
  <c r="BP16" i="72"/>
  <c r="BO29" i="72"/>
  <c r="BO21" i="72"/>
  <c r="BP31" i="72"/>
  <c r="BP23" i="72"/>
  <c r="BP15" i="72"/>
  <c r="BO28" i="72"/>
  <c r="BO20" i="72"/>
  <c r="BP30" i="72"/>
  <c r="BP22" i="72"/>
  <c r="BP14" i="72"/>
  <c r="BO27" i="72"/>
  <c r="BO19" i="72"/>
  <c r="BP29" i="72"/>
  <c r="BP21" i="72"/>
  <c r="BO34" i="72"/>
  <c r="BO26" i="72"/>
  <c r="BO18" i="72"/>
  <c r="BP28" i="72"/>
  <c r="BP20" i="72"/>
  <c r="BO33" i="72"/>
  <c r="BO25" i="72"/>
  <c r="BO17" i="72"/>
  <c r="BL12" i="72"/>
  <c r="BK12" i="72"/>
  <c r="BK50" i="72"/>
  <c r="BR12" i="72"/>
  <c r="BO12" i="72"/>
  <c r="BN12" i="72"/>
  <c r="BQ12" i="72"/>
  <c r="BM12" i="72"/>
  <c r="BL21" i="72"/>
  <c r="BN21" i="72"/>
  <c r="BN18" i="72"/>
  <c r="BN17" i="72"/>
  <c r="BL17" i="72"/>
  <c r="BN15" i="72"/>
  <c r="BL30" i="72"/>
  <c r="BL25" i="72"/>
  <c r="BL28" i="72"/>
  <c r="BN33" i="72"/>
  <c r="BN23" i="72"/>
  <c r="BN34" i="72"/>
  <c r="BL23" i="72"/>
  <c r="BN19" i="72"/>
  <c r="BL24" i="72"/>
  <c r="BN20" i="72"/>
  <c r="BL18" i="72"/>
  <c r="BL20" i="72"/>
  <c r="BQ33" i="72"/>
  <c r="BR19" i="72"/>
  <c r="BR18" i="72"/>
  <c r="BQ29" i="72"/>
  <c r="BQ19" i="72"/>
  <c r="BQ24" i="72"/>
  <c r="BR17" i="72"/>
  <c r="BR20" i="72"/>
  <c r="BQ25" i="72"/>
  <c r="BR24" i="72"/>
  <c r="BR23" i="72"/>
  <c r="BR30" i="72"/>
  <c r="BR16" i="72"/>
  <c r="BQ30" i="72"/>
  <c r="BR34" i="72"/>
  <c r="BR28" i="72"/>
  <c r="BQ23" i="72"/>
  <c r="BQ28" i="72"/>
  <c r="BR29" i="72"/>
  <c r="BR32" i="72"/>
  <c r="BQ21" i="72"/>
  <c r="BR15" i="72"/>
  <c r="BR31" i="72"/>
  <c r="BQ34" i="72"/>
  <c r="BQ20" i="72"/>
  <c r="BR33" i="72"/>
  <c r="BR22" i="72"/>
  <c r="BR21" i="72"/>
  <c r="BQ18" i="72"/>
  <c r="BR27" i="72"/>
  <c r="BQ14" i="72"/>
  <c r="BQ22" i="72"/>
  <c r="BR25" i="72"/>
  <c r="BQ32" i="72"/>
  <c r="BQ27" i="72"/>
  <c r="BR14" i="72"/>
  <c r="BQ17" i="72"/>
  <c r="BQ15" i="72"/>
  <c r="BQ31" i="72"/>
  <c r="BR26" i="72"/>
  <c r="BQ16" i="72"/>
  <c r="BQ26" i="72"/>
  <c r="BK29" i="72"/>
  <c r="BK28" i="72"/>
  <c r="BK20" i="72"/>
  <c r="BK33" i="72"/>
  <c r="BK19" i="72"/>
  <c r="BK24" i="72"/>
  <c r="BK30" i="72"/>
  <c r="BK22" i="72"/>
  <c r="BN22" i="72" s="1"/>
  <c r="BK14" i="72"/>
  <c r="BK23" i="72"/>
  <c r="BK16" i="72"/>
  <c r="BN16" i="72" s="1"/>
  <c r="BK17" i="72"/>
  <c r="BK32" i="72"/>
  <c r="BL32" i="72" s="1"/>
  <c r="BK15" i="72"/>
  <c r="BK26" i="72"/>
  <c r="BK31" i="72"/>
  <c r="BK27" i="72"/>
  <c r="BK21" i="72"/>
  <c r="BK25" i="72"/>
  <c r="BN25" i="72" s="1"/>
  <c r="BK18" i="72"/>
  <c r="BK34" i="72"/>
  <c r="AM25" i="75"/>
  <c r="SF2" i="72"/>
  <c r="AM12" i="75"/>
  <c r="GS2" i="72"/>
  <c r="DI31" i="72"/>
  <c r="DI27" i="72"/>
  <c r="DI23" i="72"/>
  <c r="DI19" i="72"/>
  <c r="DI15" i="72"/>
  <c r="DJ34" i="72"/>
  <c r="DJ30" i="72"/>
  <c r="DJ26" i="72"/>
  <c r="DJ22" i="72"/>
  <c r="DJ18" i="72"/>
  <c r="DJ14" i="72"/>
  <c r="DI34" i="72"/>
  <c r="DI30" i="72"/>
  <c r="DI26" i="72"/>
  <c r="DI22" i="72"/>
  <c r="DI18" i="72"/>
  <c r="DI14" i="72"/>
  <c r="DJ33" i="72"/>
  <c r="DJ29" i="72"/>
  <c r="DJ25" i="72"/>
  <c r="DJ21" i="72"/>
  <c r="DJ17" i="72"/>
  <c r="DI33" i="72"/>
  <c r="DI29" i="72"/>
  <c r="DI25" i="72"/>
  <c r="DI21" i="72"/>
  <c r="DI17" i="72"/>
  <c r="DJ32" i="72"/>
  <c r="DJ28" i="72"/>
  <c r="DJ24" i="72"/>
  <c r="DJ20" i="72"/>
  <c r="DJ16" i="72"/>
  <c r="DI32" i="72"/>
  <c r="DI28" i="72"/>
  <c r="DI24" i="72"/>
  <c r="DI20" i="72"/>
  <c r="DI16" i="72"/>
  <c r="DL12" i="72"/>
  <c r="DJ31" i="72"/>
  <c r="DJ27" i="72"/>
  <c r="DJ23" i="72"/>
  <c r="DJ19" i="72"/>
  <c r="DJ15" i="72"/>
  <c r="DK12" i="72"/>
  <c r="DF12" i="72"/>
  <c r="DG12" i="72"/>
  <c r="DE50" i="72"/>
  <c r="DI12" i="72"/>
  <c r="DH12" i="72"/>
  <c r="DE12" i="72"/>
  <c r="DE4" i="72"/>
  <c r="DJ12" i="72"/>
  <c r="DH31" i="72"/>
  <c r="DH34" i="72"/>
  <c r="DF31" i="72"/>
  <c r="DG31" i="72" s="1"/>
  <c r="DH32" i="72"/>
  <c r="DF32" i="72"/>
  <c r="DG32" i="72" s="1"/>
  <c r="DH23" i="72"/>
  <c r="DF23" i="72"/>
  <c r="DG23" i="72" s="1"/>
  <c r="DF18" i="72"/>
  <c r="DG18" i="72" s="1"/>
  <c r="DF30" i="72"/>
  <c r="DG30" i="72" s="1"/>
  <c r="DF14" i="72"/>
  <c r="DF28" i="72"/>
  <c r="DG28" i="72" s="1"/>
  <c r="DF29" i="72"/>
  <c r="DG29" i="72" s="1"/>
  <c r="DF26" i="72"/>
  <c r="DG26" i="72" s="1"/>
  <c r="DE16" i="72"/>
  <c r="DH29" i="72"/>
  <c r="DH26" i="72"/>
  <c r="DF16" i="72"/>
  <c r="DG16" i="72" s="1"/>
  <c r="DK23" i="72"/>
  <c r="DK21" i="72"/>
  <c r="DK24" i="72"/>
  <c r="DK22" i="72"/>
  <c r="DK25" i="72"/>
  <c r="DK20" i="72"/>
  <c r="DL19" i="72"/>
  <c r="DL34" i="72"/>
  <c r="DL31" i="72"/>
  <c r="DL24" i="72"/>
  <c r="DK14" i="72"/>
  <c r="DK16" i="72"/>
  <c r="DL22" i="72"/>
  <c r="DL15" i="72"/>
  <c r="DL27" i="72"/>
  <c r="DK33" i="72"/>
  <c r="DK30" i="72"/>
  <c r="DK26" i="72"/>
  <c r="DL16" i="72"/>
  <c r="DK27" i="72"/>
  <c r="DL30" i="72"/>
  <c r="DK15" i="72"/>
  <c r="DK32" i="72"/>
  <c r="DL23" i="72"/>
  <c r="DL28" i="72"/>
  <c r="DK31" i="72"/>
  <c r="DK28" i="72"/>
  <c r="DL25" i="72"/>
  <c r="DL17" i="72"/>
  <c r="DL20" i="72"/>
  <c r="DK19" i="72"/>
  <c r="DK18" i="72"/>
  <c r="DL14" i="72"/>
  <c r="DL35" i="72" s="1"/>
  <c r="DL32" i="72"/>
  <c r="DK29" i="72"/>
  <c r="DL21" i="72"/>
  <c r="DK34" i="72"/>
  <c r="DL33" i="72"/>
  <c r="DL18" i="72"/>
  <c r="DL29" i="72"/>
  <c r="DK17" i="72"/>
  <c r="DK35" i="72" s="1"/>
  <c r="DL26" i="72"/>
  <c r="DE23" i="72"/>
  <c r="DE34" i="72"/>
  <c r="DF34" i="72" s="1"/>
  <c r="DG34" i="72" s="1"/>
  <c r="DE15" i="72"/>
  <c r="DH15" i="72" s="1"/>
  <c r="DE17" i="72"/>
  <c r="DF17" i="72" s="1"/>
  <c r="DG17" i="72" s="1"/>
  <c r="DE18" i="72"/>
  <c r="DH18" i="72" s="1"/>
  <c r="DE24" i="72"/>
  <c r="DF24" i="72" s="1"/>
  <c r="DG24" i="72" s="1"/>
  <c r="DE21" i="72"/>
  <c r="DF21" i="72" s="1"/>
  <c r="DG21" i="72" s="1"/>
  <c r="DE33" i="72"/>
  <c r="DH33" i="72" s="1"/>
  <c r="DE31" i="72"/>
  <c r="DE26" i="72"/>
  <c r="DE14" i="72"/>
  <c r="DE28" i="72"/>
  <c r="DH28" i="72" s="1"/>
  <c r="DE19" i="72"/>
  <c r="DH19" i="72" s="1"/>
  <c r="DE22" i="72"/>
  <c r="DH22" i="72" s="1"/>
  <c r="DE25" i="72"/>
  <c r="DH25" i="72" s="1"/>
  <c r="DE27" i="72"/>
  <c r="DF27" i="72" s="1"/>
  <c r="DG27" i="72" s="1"/>
  <c r="DE32" i="72"/>
  <c r="DE30" i="72"/>
  <c r="DH30" i="72" s="1"/>
  <c r="DE29" i="72"/>
  <c r="DE20" i="72"/>
  <c r="DH20" i="72" s="1"/>
  <c r="KH12" i="72"/>
  <c r="KN12" i="72"/>
  <c r="KM12" i="72"/>
  <c r="KK12" i="72"/>
  <c r="KL12" i="72"/>
  <c r="KJ12" i="72"/>
  <c r="KI12" i="72"/>
  <c r="KG12" i="72"/>
  <c r="KK28" i="72"/>
  <c r="KK20" i="72"/>
  <c r="KK29" i="72"/>
  <c r="KK19" i="72"/>
  <c r="KK27" i="72"/>
  <c r="KK18" i="72"/>
  <c r="KK26" i="72"/>
  <c r="KK17" i="72"/>
  <c r="KK34" i="72"/>
  <c r="KK25" i="72"/>
  <c r="KK16" i="72"/>
  <c r="KK33" i="72"/>
  <c r="KK24" i="72"/>
  <c r="KK15" i="72"/>
  <c r="KK32" i="72"/>
  <c r="KK23" i="72"/>
  <c r="KK14" i="72"/>
  <c r="KK31" i="72"/>
  <c r="KK22" i="72"/>
  <c r="KK30" i="72"/>
  <c r="KK21" i="72"/>
  <c r="KL32" i="72"/>
  <c r="KL24" i="72"/>
  <c r="KL16" i="72"/>
  <c r="KL31" i="72"/>
  <c r="KL23" i="72"/>
  <c r="KL15" i="72"/>
  <c r="KL28" i="72"/>
  <c r="KL20" i="72"/>
  <c r="KL25" i="72"/>
  <c r="KL22" i="72"/>
  <c r="KL33" i="72"/>
  <c r="KL19" i="72"/>
  <c r="KL30" i="72"/>
  <c r="KL18" i="72"/>
  <c r="KL29" i="72"/>
  <c r="KL17" i="72"/>
  <c r="KL27" i="72"/>
  <c r="KL14" i="72"/>
  <c r="KL26" i="72"/>
  <c r="KL34" i="72"/>
  <c r="KL21" i="72"/>
  <c r="KG50" i="72"/>
  <c r="KG4" i="72"/>
  <c r="KJ21" i="72"/>
  <c r="KJ23" i="72"/>
  <c r="KH18" i="72"/>
  <c r="KI18" i="72" s="1"/>
  <c r="KH17" i="72"/>
  <c r="KI17" i="72" s="1"/>
  <c r="KH30" i="72"/>
  <c r="KI30" i="72" s="1"/>
  <c r="KH22" i="72"/>
  <c r="KI22" i="72" s="1"/>
  <c r="KH14" i="72"/>
  <c r="KH26" i="72"/>
  <c r="KI26" i="72" s="1"/>
  <c r="KH24" i="72"/>
  <c r="KI24" i="72" s="1"/>
  <c r="KH34" i="72"/>
  <c r="KI34" i="72" s="1"/>
  <c r="KH21" i="72"/>
  <c r="KI21" i="72" s="1"/>
  <c r="KH23" i="72"/>
  <c r="KI23" i="72" s="1"/>
  <c r="KM28" i="72"/>
  <c r="KN32" i="72"/>
  <c r="KN23" i="72"/>
  <c r="KM32" i="72"/>
  <c r="KN27" i="72"/>
  <c r="KM34" i="72"/>
  <c r="KM26" i="72"/>
  <c r="KM16" i="72"/>
  <c r="KM30" i="72"/>
  <c r="KM33" i="72"/>
  <c r="KN30" i="72"/>
  <c r="KM29" i="72"/>
  <c r="KM31" i="72"/>
  <c r="KN14" i="72"/>
  <c r="KN16" i="72"/>
  <c r="KN17" i="72"/>
  <c r="KM14" i="72"/>
  <c r="KM22" i="72"/>
  <c r="KM23" i="72"/>
  <c r="KM25" i="72"/>
  <c r="KM18" i="72"/>
  <c r="KM24" i="72"/>
  <c r="KN28" i="72"/>
  <c r="KN29" i="72"/>
  <c r="KM17" i="72"/>
  <c r="KN24" i="72"/>
  <c r="KN34" i="72"/>
  <c r="KN33" i="72"/>
  <c r="KM20" i="72"/>
  <c r="KM19" i="72"/>
  <c r="KN20" i="72"/>
  <c r="KN18" i="72"/>
  <c r="KM15" i="72"/>
  <c r="KM21" i="72"/>
  <c r="KN25" i="72"/>
  <c r="KN19" i="72"/>
  <c r="KN15" i="72"/>
  <c r="KN21" i="72"/>
  <c r="KN31" i="72"/>
  <c r="KN22" i="72"/>
  <c r="KN26" i="72"/>
  <c r="KM27" i="72"/>
  <c r="KG25" i="72"/>
  <c r="KH25" i="72" s="1"/>
  <c r="KI25" i="72" s="1"/>
  <c r="KG15" i="72"/>
  <c r="KJ15" i="72" s="1"/>
  <c r="KG32" i="72"/>
  <c r="KJ32" i="72" s="1"/>
  <c r="KG19" i="72"/>
  <c r="KH19" i="72" s="1"/>
  <c r="KI19" i="72" s="1"/>
  <c r="KG30" i="72"/>
  <c r="KJ30" i="72" s="1"/>
  <c r="KG22" i="72"/>
  <c r="KJ22" i="72" s="1"/>
  <c r="KG34" i="72"/>
  <c r="KJ34" i="72" s="1"/>
  <c r="KG26" i="72"/>
  <c r="KJ26" i="72" s="1"/>
  <c r="KG24" i="72"/>
  <c r="KJ24" i="72" s="1"/>
  <c r="KG29" i="72"/>
  <c r="KJ29" i="72" s="1"/>
  <c r="KG28" i="72"/>
  <c r="KJ28" i="72" s="1"/>
  <c r="KG33" i="72"/>
  <c r="KJ33" i="72" s="1"/>
  <c r="KG21" i="72"/>
  <c r="KG17" i="72"/>
  <c r="KJ17" i="72" s="1"/>
  <c r="KG23" i="72"/>
  <c r="KG20" i="72"/>
  <c r="KH20" i="72" s="1"/>
  <c r="KI20" i="72" s="1"/>
  <c r="KG16" i="72"/>
  <c r="KJ16" i="72" s="1"/>
  <c r="KG27" i="72"/>
  <c r="KH27" i="72" s="1"/>
  <c r="KI27" i="72" s="1"/>
  <c r="KG31" i="72"/>
  <c r="KH31" i="72" s="1"/>
  <c r="KI31" i="72" s="1"/>
  <c r="KG14" i="72"/>
  <c r="KG18" i="72"/>
  <c r="KJ18" i="72" s="1"/>
  <c r="NV12" i="72"/>
  <c r="NX12" i="72"/>
  <c r="OB12" i="72"/>
  <c r="OA12" i="72"/>
  <c r="NZ12" i="72"/>
  <c r="NY12" i="72"/>
  <c r="NW12" i="72"/>
  <c r="NU12" i="72"/>
  <c r="NY31" i="72"/>
  <c r="NY23" i="72"/>
  <c r="NY15" i="72"/>
  <c r="NY29" i="72"/>
  <c r="NY20" i="72"/>
  <c r="NY28" i="72"/>
  <c r="NY19" i="72"/>
  <c r="NY27" i="72"/>
  <c r="NY18" i="72"/>
  <c r="NY26" i="72"/>
  <c r="NY17" i="72"/>
  <c r="NY34" i="72"/>
  <c r="NY25" i="72"/>
  <c r="NY16" i="72"/>
  <c r="NU4" i="72"/>
  <c r="NY33" i="72"/>
  <c r="NY24" i="72"/>
  <c r="NY14" i="72"/>
  <c r="NY32" i="72"/>
  <c r="NY22" i="72"/>
  <c r="NY30" i="72"/>
  <c r="NY21" i="72"/>
  <c r="NZ31" i="72"/>
  <c r="NZ23" i="72"/>
  <c r="NZ15" i="72"/>
  <c r="NZ30" i="72"/>
  <c r="NZ22" i="72"/>
  <c r="NZ14" i="72"/>
  <c r="NZ27" i="72"/>
  <c r="NZ19" i="72"/>
  <c r="NZ24" i="72"/>
  <c r="NZ34" i="72"/>
  <c r="NZ21" i="72"/>
  <c r="NZ32" i="72"/>
  <c r="NZ18" i="72"/>
  <c r="NZ29" i="72"/>
  <c r="NZ17" i="72"/>
  <c r="NZ28" i="72"/>
  <c r="NZ16" i="72"/>
  <c r="NZ26" i="72"/>
  <c r="NZ25" i="72"/>
  <c r="NU50" i="72"/>
  <c r="NZ33" i="72"/>
  <c r="NZ20" i="72"/>
  <c r="NV31" i="72"/>
  <c r="NW31" i="72" s="1"/>
  <c r="NX27" i="72"/>
  <c r="NV26" i="72"/>
  <c r="NW26" i="72" s="1"/>
  <c r="NX28" i="72"/>
  <c r="NV28" i="72"/>
  <c r="NW28" i="72" s="1"/>
  <c r="NV32" i="72"/>
  <c r="NW32" i="72" s="1"/>
  <c r="NV29" i="72"/>
  <c r="NW29" i="72" s="1"/>
  <c r="NX34" i="72"/>
  <c r="NV34" i="72"/>
  <c r="NW34" i="72" s="1"/>
  <c r="NX19" i="72"/>
  <c r="NX20" i="72"/>
  <c r="NX30" i="72"/>
  <c r="NX15" i="72"/>
  <c r="NV30" i="72"/>
  <c r="NW30" i="72" s="1"/>
  <c r="OB31" i="72"/>
  <c r="OA28" i="72"/>
  <c r="OA20" i="72"/>
  <c r="OB14" i="72"/>
  <c r="OA25" i="72"/>
  <c r="OB17" i="72"/>
  <c r="OA14" i="72"/>
  <c r="OA32" i="72"/>
  <c r="OB21" i="72"/>
  <c r="OA31" i="72"/>
  <c r="OA26" i="72"/>
  <c r="OA18" i="72"/>
  <c r="OB32" i="72"/>
  <c r="OB26" i="72"/>
  <c r="OB24" i="72"/>
  <c r="OB25" i="72"/>
  <c r="OB33" i="72"/>
  <c r="OA23" i="72"/>
  <c r="OA22" i="72"/>
  <c r="OA21" i="72"/>
  <c r="OB18" i="72"/>
  <c r="OB34" i="72"/>
  <c r="OB27" i="72"/>
  <c r="OA33" i="72"/>
  <c r="OB30" i="72"/>
  <c r="OA15" i="72"/>
  <c r="OA19" i="72"/>
  <c r="OB29" i="72"/>
  <c r="OB19" i="72"/>
  <c r="OA17" i="72"/>
  <c r="OB28" i="72"/>
  <c r="OB22" i="72"/>
  <c r="OA34" i="72"/>
  <c r="OA29" i="72"/>
  <c r="OA27" i="72"/>
  <c r="OA30" i="72"/>
  <c r="OB20" i="72"/>
  <c r="OB16" i="72"/>
  <c r="OB23" i="72"/>
  <c r="OB15" i="72"/>
  <c r="OA16" i="72"/>
  <c r="OA24" i="72"/>
  <c r="NU23" i="72"/>
  <c r="NV23" i="72" s="1"/>
  <c r="NW23" i="72" s="1"/>
  <c r="NU34" i="72"/>
  <c r="NU19" i="72"/>
  <c r="NV19" i="72" s="1"/>
  <c r="NW19" i="72" s="1"/>
  <c r="NU26" i="72"/>
  <c r="NX26" i="72" s="1"/>
  <c r="NU14" i="72"/>
  <c r="NU18" i="72"/>
  <c r="NV18" i="72" s="1"/>
  <c r="NW18" i="72" s="1"/>
  <c r="NU27" i="72"/>
  <c r="NV27" i="72" s="1"/>
  <c r="NW27" i="72" s="1"/>
  <c r="NU16" i="72"/>
  <c r="NX16" i="72" s="1"/>
  <c r="NU17" i="72"/>
  <c r="NV17" i="72" s="1"/>
  <c r="NW17" i="72" s="1"/>
  <c r="NU28" i="72"/>
  <c r="NU20" i="72"/>
  <c r="NV20" i="72" s="1"/>
  <c r="NW20" i="72" s="1"/>
  <c r="NU30" i="72"/>
  <c r="NU29" i="72"/>
  <c r="NX29" i="72" s="1"/>
  <c r="NU15" i="72"/>
  <c r="NV15" i="72" s="1"/>
  <c r="NW15" i="72" s="1"/>
  <c r="NU33" i="72"/>
  <c r="NX33" i="72" s="1"/>
  <c r="NU22" i="72"/>
  <c r="NV22" i="72" s="1"/>
  <c r="NW22" i="72" s="1"/>
  <c r="NU25" i="72"/>
  <c r="NX25" i="72" s="1"/>
  <c r="NU32" i="72"/>
  <c r="NX32" i="72" s="1"/>
  <c r="NU21" i="72"/>
  <c r="NV21" i="72" s="1"/>
  <c r="NW21" i="72" s="1"/>
  <c r="NU31" i="72"/>
  <c r="NX31" i="72" s="1"/>
  <c r="NU24" i="72"/>
  <c r="NX24" i="72" s="1"/>
  <c r="RJ12" i="72"/>
  <c r="RP12" i="72"/>
  <c r="RM12" i="72"/>
  <c r="RL12" i="72"/>
  <c r="RO12" i="72"/>
  <c r="RN12" i="72"/>
  <c r="RK12" i="72"/>
  <c r="RI12" i="72"/>
  <c r="RM29" i="72"/>
  <c r="RM21" i="72"/>
  <c r="RM33" i="72"/>
  <c r="RM24" i="72"/>
  <c r="RM15" i="72"/>
  <c r="RM32" i="72"/>
  <c r="RM23" i="72"/>
  <c r="RM14" i="72"/>
  <c r="RM31" i="72"/>
  <c r="RM22" i="72"/>
  <c r="RM30" i="72"/>
  <c r="RM20" i="72"/>
  <c r="RM28" i="72"/>
  <c r="RM19" i="72"/>
  <c r="RM27" i="72"/>
  <c r="RM18" i="72"/>
  <c r="RM26" i="72"/>
  <c r="RM17" i="72"/>
  <c r="RM34" i="72"/>
  <c r="RM25" i="72"/>
  <c r="RM16" i="72"/>
  <c r="RN30" i="72"/>
  <c r="RN22" i="72"/>
  <c r="RN14" i="72"/>
  <c r="RN29" i="72"/>
  <c r="RN21" i="72"/>
  <c r="RN34" i="72"/>
  <c r="RN26" i="72"/>
  <c r="RN18" i="72"/>
  <c r="RN33" i="72"/>
  <c r="RN20" i="72"/>
  <c r="RI50" i="72"/>
  <c r="RN32" i="72"/>
  <c r="RN19" i="72"/>
  <c r="RN28" i="72"/>
  <c r="RN16" i="72"/>
  <c r="RN27" i="72"/>
  <c r="RN15" i="72"/>
  <c r="RN25" i="72"/>
  <c r="RN24" i="72"/>
  <c r="RN23" i="72"/>
  <c r="RN31" i="72"/>
  <c r="RI4" i="72"/>
  <c r="RN17" i="72"/>
  <c r="RJ19" i="72"/>
  <c r="RK19" i="72" s="1"/>
  <c r="RJ17" i="72"/>
  <c r="RK17" i="72" s="1"/>
  <c r="RL21" i="72"/>
  <c r="RL17" i="72"/>
  <c r="RJ21" i="72"/>
  <c r="RK21" i="72" s="1"/>
  <c r="RL33" i="72"/>
  <c r="RL24" i="72"/>
  <c r="RL18" i="72"/>
  <c r="RJ28" i="72"/>
  <c r="RK28" i="72" s="1"/>
  <c r="RJ32" i="72"/>
  <c r="RK32" i="72" s="1"/>
  <c r="RJ16" i="72"/>
  <c r="RK16" i="72" s="1"/>
  <c r="RJ24" i="72"/>
  <c r="RK24" i="72" s="1"/>
  <c r="RJ31" i="72"/>
  <c r="RK31" i="72" s="1"/>
  <c r="RJ30" i="72"/>
  <c r="RK30" i="72" s="1"/>
  <c r="RL34" i="72"/>
  <c r="RL28" i="72"/>
  <c r="RL20" i="72"/>
  <c r="RP21" i="72"/>
  <c r="RO18" i="72"/>
  <c r="RP19" i="72"/>
  <c r="RP27" i="72"/>
  <c r="RP26" i="72"/>
  <c r="RO30" i="72"/>
  <c r="RO33" i="72"/>
  <c r="RP31" i="72"/>
  <c r="RP20" i="72"/>
  <c r="RP15" i="72"/>
  <c r="RO24" i="72"/>
  <c r="RO34" i="72"/>
  <c r="RP24" i="72"/>
  <c r="RP32" i="72"/>
  <c r="RP30" i="72"/>
  <c r="RO20" i="72"/>
  <c r="RP33" i="72"/>
  <c r="RO31" i="72"/>
  <c r="RP29" i="72"/>
  <c r="RO28" i="72"/>
  <c r="RP34" i="72"/>
  <c r="RO26" i="72"/>
  <c r="RP17" i="72"/>
  <c r="RO25" i="72"/>
  <c r="RP22" i="72"/>
  <c r="RO19" i="72"/>
  <c r="RP14" i="72"/>
  <c r="RP28" i="72"/>
  <c r="RO16" i="72"/>
  <c r="RO29" i="72"/>
  <c r="RP23" i="72"/>
  <c r="RP25" i="72"/>
  <c r="RO22" i="72"/>
  <c r="RO27" i="72"/>
  <c r="RO23" i="72"/>
  <c r="RO32" i="72"/>
  <c r="RO21" i="72"/>
  <c r="RP18" i="72"/>
  <c r="RO17" i="72"/>
  <c r="RP16" i="72"/>
  <c r="RO14" i="72"/>
  <c r="RO15" i="72"/>
  <c r="RI31" i="72"/>
  <c r="RL31" i="72" s="1"/>
  <c r="RI20" i="72"/>
  <c r="RJ20" i="72" s="1"/>
  <c r="RK20" i="72" s="1"/>
  <c r="RI26" i="72"/>
  <c r="RL26" i="72" s="1"/>
  <c r="RI15" i="72"/>
  <c r="RL15" i="72" s="1"/>
  <c r="RI24" i="72"/>
  <c r="RI17" i="72"/>
  <c r="RI34" i="72"/>
  <c r="RJ34" i="72" s="1"/>
  <c r="RK34" i="72" s="1"/>
  <c r="RI16" i="72"/>
  <c r="RL16" i="72" s="1"/>
  <c r="RI25" i="72"/>
  <c r="RL25" i="72" s="1"/>
  <c r="RI14" i="72"/>
  <c r="RL14" i="72" s="1"/>
  <c r="RI22" i="72"/>
  <c r="RL22" i="72" s="1"/>
  <c r="RI33" i="72"/>
  <c r="RJ33" i="72" s="1"/>
  <c r="RK33" i="72" s="1"/>
  <c r="RI21" i="72"/>
  <c r="RI18" i="72"/>
  <c r="RJ18" i="72" s="1"/>
  <c r="RK18" i="72" s="1"/>
  <c r="RI19" i="72"/>
  <c r="RL19" i="72" s="1"/>
  <c r="RI30" i="72"/>
  <c r="RL30" i="72" s="1"/>
  <c r="RI23" i="72"/>
  <c r="RL23" i="72" s="1"/>
  <c r="RI32" i="72"/>
  <c r="RL32" i="72" s="1"/>
  <c r="RI27" i="72"/>
  <c r="RL27" i="72" s="1"/>
  <c r="RI29" i="72"/>
  <c r="RL29" i="72" s="1"/>
  <c r="RI28" i="72"/>
  <c r="AM24" i="75"/>
  <c r="AA24" i="75"/>
  <c r="I33" i="36" s="1"/>
  <c r="Z24" i="75"/>
  <c r="AF24" i="75"/>
  <c r="AM23" i="75"/>
  <c r="AA23" i="75"/>
  <c r="I32" i="36" s="1"/>
  <c r="Z23" i="75"/>
  <c r="AF23" i="75"/>
  <c r="AM22" i="75"/>
  <c r="AA22" i="75"/>
  <c r="I31" i="36" s="1"/>
  <c r="Z22" i="75"/>
  <c r="AF22" i="75"/>
  <c r="AM21" i="75"/>
  <c r="AF21" i="75"/>
  <c r="AA21" i="75"/>
  <c r="I30" i="36" s="1"/>
  <c r="Z21" i="75"/>
  <c r="AM20" i="75"/>
  <c r="AA20" i="75"/>
  <c r="I29" i="36" s="1"/>
  <c r="Z20" i="75"/>
  <c r="AF20" i="75"/>
  <c r="AM19" i="75"/>
  <c r="AA19" i="75"/>
  <c r="I28" i="36" s="1"/>
  <c r="Z19" i="75"/>
  <c r="AF19" i="75"/>
  <c r="AM18" i="75"/>
  <c r="AA18" i="75"/>
  <c r="I27" i="36" s="1"/>
  <c r="Z18" i="75"/>
  <c r="AF18" i="75"/>
  <c r="AM17" i="75"/>
  <c r="AA17" i="75"/>
  <c r="I26" i="36" s="1"/>
  <c r="Z17" i="75"/>
  <c r="AF17" i="75"/>
  <c r="AM16" i="75"/>
  <c r="AA16" i="75"/>
  <c r="I25" i="36" s="1"/>
  <c r="Z16" i="75"/>
  <c r="AF16" i="75"/>
  <c r="AM15" i="75"/>
  <c r="AA15" i="75"/>
  <c r="I24" i="36" s="1"/>
  <c r="Z15" i="75"/>
  <c r="AF15" i="75"/>
  <c r="K27" i="75"/>
  <c r="AE17" i="36"/>
  <c r="Y17" i="36"/>
  <c r="D476" i="94"/>
  <c r="S469" i="94" s="1"/>
  <c r="AM7" i="75"/>
  <c r="AN7" i="75" s="1"/>
  <c r="AM6" i="75"/>
  <c r="AN6" i="75" s="1"/>
  <c r="AF8" i="75"/>
  <c r="AM8" i="75"/>
  <c r="X17" i="36"/>
  <c r="V17" i="36"/>
  <c r="W17" i="36"/>
  <c r="J15" i="36"/>
  <c r="AG15" i="36"/>
  <c r="J21" i="36"/>
  <c r="AG21" i="36"/>
  <c r="J20" i="36"/>
  <c r="AG20" i="36"/>
  <c r="J16" i="36"/>
  <c r="AG16" i="36"/>
  <c r="AG23" i="36"/>
  <c r="J23" i="36"/>
  <c r="AG18" i="36"/>
  <c r="J18" i="36"/>
  <c r="AG22" i="36"/>
  <c r="J22" i="36"/>
  <c r="AG19" i="36"/>
  <c r="J19" i="36"/>
  <c r="H18" i="89"/>
  <c r="Z7" i="75"/>
  <c r="AF9" i="75"/>
  <c r="AF6" i="75"/>
  <c r="AF11" i="75"/>
  <c r="AF14" i="75"/>
  <c r="AF13" i="75"/>
  <c r="AF7" i="75"/>
  <c r="AF12" i="75"/>
  <c r="AF10" i="75"/>
  <c r="AF25" i="75"/>
  <c r="AA7" i="75"/>
  <c r="I16" i="36" s="1"/>
  <c r="AD13" i="70"/>
  <c r="AD17" i="70"/>
  <c r="AD21" i="70"/>
  <c r="AD25" i="70"/>
  <c r="AD29" i="70"/>
  <c r="AD14" i="70"/>
  <c r="AD18" i="70"/>
  <c r="AD22" i="70"/>
  <c r="AD26" i="70"/>
  <c r="AD30" i="70"/>
  <c r="AD11" i="70"/>
  <c r="AD15" i="70"/>
  <c r="AD19" i="70"/>
  <c r="AD23" i="70"/>
  <c r="AD27" i="70"/>
  <c r="AD12" i="70"/>
  <c r="AD16" i="70"/>
  <c r="AD20" i="70"/>
  <c r="F73" i="59" s="1"/>
  <c r="AD24" i="70"/>
  <c r="AD28" i="70"/>
  <c r="W62" i="33"/>
  <c r="V62" i="33"/>
  <c r="U62" i="33"/>
  <c r="T62" i="33"/>
  <c r="S62" i="33"/>
  <c r="R62" i="33"/>
  <c r="Q62" i="33"/>
  <c r="P62" i="33"/>
  <c r="O62" i="33"/>
  <c r="N62" i="33"/>
  <c r="M62" i="33"/>
  <c r="L62" i="33"/>
  <c r="K62" i="33"/>
  <c r="J62" i="33"/>
  <c r="I62" i="33"/>
  <c r="H62" i="33"/>
  <c r="G62" i="33"/>
  <c r="F62" i="33"/>
  <c r="E62" i="33"/>
  <c r="D62" i="33"/>
  <c r="C62" i="33"/>
  <c r="BM32" i="72" l="1"/>
  <c r="PQ14" i="72"/>
  <c r="RL35" i="72"/>
  <c r="G32" i="36"/>
  <c r="H32" i="36"/>
  <c r="M32" i="36" s="1"/>
  <c r="L32" i="36"/>
  <c r="N32" i="36" s="1"/>
  <c r="B46" i="43"/>
  <c r="B24" i="36"/>
  <c r="B48" i="43"/>
  <c r="B26" i="36"/>
  <c r="B50" i="43"/>
  <c r="B28" i="36"/>
  <c r="H30" i="36"/>
  <c r="M30" i="36" s="1"/>
  <c r="G30" i="36"/>
  <c r="L30" i="36" s="1"/>
  <c r="N30" i="36" s="1"/>
  <c r="B54" i="43"/>
  <c r="B32" i="36"/>
  <c r="RJ27" i="72"/>
  <c r="RK27" i="72" s="1"/>
  <c r="RJ25" i="72"/>
  <c r="RK25" i="72" s="1"/>
  <c r="NX17" i="72"/>
  <c r="NV25" i="72"/>
  <c r="NW25" i="72" s="1"/>
  <c r="NX23" i="72"/>
  <c r="KG35" i="72"/>
  <c r="KN35" i="72"/>
  <c r="KJ20" i="72"/>
  <c r="KH16" i="72"/>
  <c r="KI16" i="72" s="1"/>
  <c r="DF33" i="72"/>
  <c r="DG33" i="72" s="1"/>
  <c r="GW32" i="72"/>
  <c r="GW28" i="72"/>
  <c r="GW24" i="72"/>
  <c r="GW20" i="72"/>
  <c r="GW16" i="72"/>
  <c r="GX31" i="72"/>
  <c r="GX27" i="72"/>
  <c r="GX23" i="72"/>
  <c r="GX19" i="72"/>
  <c r="GX15" i="72"/>
  <c r="GW31" i="72"/>
  <c r="I31" i="72" s="1"/>
  <c r="GW27" i="72"/>
  <c r="GW23" i="72"/>
  <c r="GW19" i="72"/>
  <c r="GW15" i="72"/>
  <c r="GX34" i="72"/>
  <c r="GX30" i="72"/>
  <c r="GX26" i="72"/>
  <c r="GX22" i="72"/>
  <c r="GX18" i="72"/>
  <c r="GX14" i="72"/>
  <c r="GW34" i="72"/>
  <c r="GW30" i="72"/>
  <c r="GW26" i="72"/>
  <c r="GW22" i="72"/>
  <c r="GW18" i="72"/>
  <c r="GW14" i="72"/>
  <c r="GW35" i="72" s="1"/>
  <c r="GZ12" i="72"/>
  <c r="GX33" i="72"/>
  <c r="GX29" i="72"/>
  <c r="GX25" i="72"/>
  <c r="GX21" i="72"/>
  <c r="GX17" i="72"/>
  <c r="GS4" i="72"/>
  <c r="GW33" i="72"/>
  <c r="AG33" i="72" s="1"/>
  <c r="GW29" i="72"/>
  <c r="GW25" i="72"/>
  <c r="GW21" i="72"/>
  <c r="GW17" i="72"/>
  <c r="GX32" i="72"/>
  <c r="GX28" i="72"/>
  <c r="GX24" i="72"/>
  <c r="GX20" i="72"/>
  <c r="GX16" i="72"/>
  <c r="GS12" i="72"/>
  <c r="GY12" i="72"/>
  <c r="GU12" i="72"/>
  <c r="GX12" i="72"/>
  <c r="GS50" i="72"/>
  <c r="GT12" i="72"/>
  <c r="GW12" i="72"/>
  <c r="GV12" i="72"/>
  <c r="GT18" i="72"/>
  <c r="GU18" i="72" s="1"/>
  <c r="GS21" i="72"/>
  <c r="GT19" i="72"/>
  <c r="GU19" i="72" s="1"/>
  <c r="GT28" i="72"/>
  <c r="GU28" i="72" s="1"/>
  <c r="GV32" i="72"/>
  <c r="GT21" i="72"/>
  <c r="GU21" i="72" s="1"/>
  <c r="GZ24" i="72"/>
  <c r="GY17" i="72"/>
  <c r="GY29" i="72"/>
  <c r="GY23" i="72"/>
  <c r="GZ31" i="72"/>
  <c r="GY27" i="72"/>
  <c r="GZ25" i="72"/>
  <c r="GY19" i="72"/>
  <c r="GZ21" i="72"/>
  <c r="GZ20" i="72"/>
  <c r="GZ17" i="72"/>
  <c r="GZ15" i="72"/>
  <c r="GZ18" i="72"/>
  <c r="GY28" i="72"/>
  <c r="GY15" i="72"/>
  <c r="GY34" i="72"/>
  <c r="GZ28" i="72"/>
  <c r="GZ30" i="72"/>
  <c r="GZ32" i="72"/>
  <c r="GZ22" i="72"/>
  <c r="GY18" i="72"/>
  <c r="GY30" i="72"/>
  <c r="GZ14" i="72"/>
  <c r="GY32" i="72"/>
  <c r="GZ23" i="72"/>
  <c r="GY21" i="72"/>
  <c r="GZ27" i="72"/>
  <c r="GZ16" i="72"/>
  <c r="GY20" i="72"/>
  <c r="GY33" i="72"/>
  <c r="GZ29" i="72"/>
  <c r="GY25" i="72"/>
  <c r="GY22" i="72"/>
  <c r="GZ33" i="72"/>
  <c r="GY16" i="72"/>
  <c r="GY14" i="72"/>
  <c r="GZ19" i="72"/>
  <c r="GY24" i="72"/>
  <c r="GZ26" i="72"/>
  <c r="GY26" i="72"/>
  <c r="GZ34" i="72"/>
  <c r="GY31" i="72"/>
  <c r="GS26" i="72"/>
  <c r="GT26" i="72" s="1"/>
  <c r="GU26" i="72" s="1"/>
  <c r="GS34" i="72"/>
  <c r="GT34" i="72" s="1"/>
  <c r="GU34" i="72" s="1"/>
  <c r="GS16" i="72"/>
  <c r="GT16" i="72" s="1"/>
  <c r="GU16" i="72" s="1"/>
  <c r="GS24" i="72"/>
  <c r="GT24" i="72" s="1"/>
  <c r="GU24" i="72" s="1"/>
  <c r="GS28" i="72"/>
  <c r="GV28" i="72" s="1"/>
  <c r="GS19" i="72"/>
  <c r="GV19" i="72" s="1"/>
  <c r="GS30" i="72"/>
  <c r="GV30" i="72" s="1"/>
  <c r="GS29" i="72"/>
  <c r="GT29" i="72" s="1"/>
  <c r="GU29" i="72" s="1"/>
  <c r="GS14" i="72"/>
  <c r="GS23" i="72"/>
  <c r="GV23" i="72" s="1"/>
  <c r="GS15" i="72"/>
  <c r="GT15" i="72" s="1"/>
  <c r="GU15" i="72" s="1"/>
  <c r="GS25" i="72"/>
  <c r="GV25" i="72" s="1"/>
  <c r="GS18" i="72"/>
  <c r="GV18" i="72" s="1"/>
  <c r="GS27" i="72"/>
  <c r="GT27" i="72" s="1"/>
  <c r="GU27" i="72" s="1"/>
  <c r="GS20" i="72"/>
  <c r="GT20" i="72" s="1"/>
  <c r="GU20" i="72" s="1"/>
  <c r="GS32" i="72"/>
  <c r="GT32" i="72" s="1"/>
  <c r="GU32" i="72" s="1"/>
  <c r="GS31" i="72"/>
  <c r="GT31" i="72" s="1"/>
  <c r="GU31" i="72" s="1"/>
  <c r="GS22" i="72"/>
  <c r="GT22" i="72" s="1"/>
  <c r="GU22" i="72" s="1"/>
  <c r="GS33" i="72"/>
  <c r="GT33" i="72" s="1"/>
  <c r="GU33" i="72" s="1"/>
  <c r="GS17" i="72"/>
  <c r="GT17" i="72" s="1"/>
  <c r="GU17" i="72" s="1"/>
  <c r="BL14" i="72"/>
  <c r="BK35" i="72"/>
  <c r="AC14" i="72"/>
  <c r="BM25" i="72"/>
  <c r="BP35" i="72"/>
  <c r="QQ35" i="72"/>
  <c r="QP35" i="72"/>
  <c r="MX35" i="72"/>
  <c r="NA14" i="72"/>
  <c r="MY29" i="72"/>
  <c r="MZ29" i="72" s="1"/>
  <c r="JJ35" i="72"/>
  <c r="JM34" i="72"/>
  <c r="PU35" i="72"/>
  <c r="PR31" i="72"/>
  <c r="PT35" i="72"/>
  <c r="CK23" i="72"/>
  <c r="CI28" i="72"/>
  <c r="CJ28" i="72" s="1"/>
  <c r="CI32" i="72"/>
  <c r="CJ32" i="72" s="1"/>
  <c r="MD15" i="72"/>
  <c r="OU34" i="72"/>
  <c r="OU25" i="72"/>
  <c r="LG33" i="72"/>
  <c r="LE16" i="72"/>
  <c r="LF16" i="72" s="1"/>
  <c r="G26" i="36"/>
  <c r="H26" i="36"/>
  <c r="M26" i="36" s="1"/>
  <c r="KH32" i="72"/>
  <c r="KI32" i="72" s="1"/>
  <c r="KI14" i="72"/>
  <c r="KH28" i="72"/>
  <c r="KI28" i="72" s="1"/>
  <c r="DE10" i="72"/>
  <c r="E39" i="43" s="1"/>
  <c r="DG14" i="72"/>
  <c r="DF25" i="72"/>
  <c r="DG25" i="72" s="1"/>
  <c r="BM24" i="72"/>
  <c r="BN31" i="72"/>
  <c r="BM30" i="72"/>
  <c r="J22" i="72"/>
  <c r="QR35" i="72"/>
  <c r="NA23" i="72"/>
  <c r="PP29" i="72"/>
  <c r="PQ29" i="72" s="1"/>
  <c r="PR33" i="72"/>
  <c r="EF31" i="72"/>
  <c r="EF14" i="72"/>
  <c r="EG28" i="72"/>
  <c r="J28" i="72" s="1"/>
  <c r="EF27" i="72"/>
  <c r="EG23" i="72"/>
  <c r="EF23" i="72"/>
  <c r="EG19" i="72"/>
  <c r="AM19" i="72" s="1"/>
  <c r="EF19" i="72"/>
  <c r="EG32" i="72"/>
  <c r="EG15" i="72"/>
  <c r="EG34" i="72"/>
  <c r="J34" i="72" s="1"/>
  <c r="EF20" i="72"/>
  <c r="EF33" i="72"/>
  <c r="EF24" i="72"/>
  <c r="EG18" i="72"/>
  <c r="AM18" i="72" s="1"/>
  <c r="EF30" i="72"/>
  <c r="EG30" i="72"/>
  <c r="EG21" i="72"/>
  <c r="EG31" i="72"/>
  <c r="EG24" i="72"/>
  <c r="EG26" i="72"/>
  <c r="EG17" i="72"/>
  <c r="J17" i="72" s="1"/>
  <c r="EG14" i="72"/>
  <c r="EG35" i="72" s="1"/>
  <c r="EF25" i="72"/>
  <c r="EF21" i="72"/>
  <c r="AG21" i="72" s="1"/>
  <c r="EG27" i="72"/>
  <c r="EF22" i="72"/>
  <c r="EF15" i="72"/>
  <c r="EF28" i="72"/>
  <c r="EF18" i="72"/>
  <c r="AG18" i="72" s="1"/>
  <c r="EF16" i="72"/>
  <c r="AG16" i="72" s="1"/>
  <c r="EG16" i="72"/>
  <c r="EF32" i="72"/>
  <c r="EG25" i="72"/>
  <c r="J25" i="72" s="1"/>
  <c r="EG29" i="72"/>
  <c r="EG22" i="72"/>
  <c r="EF29" i="72"/>
  <c r="AG29" i="72" s="1"/>
  <c r="EG33" i="72"/>
  <c r="EF26" i="72"/>
  <c r="AG26" i="72" s="1"/>
  <c r="AH26" i="72" s="1"/>
  <c r="EE12" i="72"/>
  <c r="EF17" i="72"/>
  <c r="EH12" i="72"/>
  <c r="ED12" i="72"/>
  <c r="EF34" i="72"/>
  <c r="EG20" i="72"/>
  <c r="EB12" i="72"/>
  <c r="EI12" i="72"/>
  <c r="AM17" i="72" s="1"/>
  <c r="EC12" i="72"/>
  <c r="EG12" i="72"/>
  <c r="EB4" i="72"/>
  <c r="EB50" i="72"/>
  <c r="EF12" i="72"/>
  <c r="EC16" i="72"/>
  <c r="ED16" i="72" s="1"/>
  <c r="EC24" i="72"/>
  <c r="ED24" i="72" s="1"/>
  <c r="EC22" i="72"/>
  <c r="ED22" i="72" s="1"/>
  <c r="EC25" i="72"/>
  <c r="ED25" i="72" s="1"/>
  <c r="EI30" i="72"/>
  <c r="EI22" i="72"/>
  <c r="EI24" i="72"/>
  <c r="EH22" i="72"/>
  <c r="EH34" i="72"/>
  <c r="EI32" i="72"/>
  <c r="EH15" i="72"/>
  <c r="EH21" i="72"/>
  <c r="EH18" i="72"/>
  <c r="EH19" i="72"/>
  <c r="EI23" i="72"/>
  <c r="EH28" i="72"/>
  <c r="EI20" i="72"/>
  <c r="EI33" i="72"/>
  <c r="EI14" i="72"/>
  <c r="EH16" i="72"/>
  <c r="EH25" i="72"/>
  <c r="EH24" i="72"/>
  <c r="EH27" i="72"/>
  <c r="EH33" i="72"/>
  <c r="EH26" i="72"/>
  <c r="EH32" i="72"/>
  <c r="EH23" i="72"/>
  <c r="EI34" i="72"/>
  <c r="EI17" i="72"/>
  <c r="EI28" i="72"/>
  <c r="EH20" i="72"/>
  <c r="EH17" i="72"/>
  <c r="EI15" i="72"/>
  <c r="EI26" i="72"/>
  <c r="EI21" i="72"/>
  <c r="EI31" i="72"/>
  <c r="EH31" i="72"/>
  <c r="EH30" i="72"/>
  <c r="EI25" i="72"/>
  <c r="EH14" i="72"/>
  <c r="EI16" i="72"/>
  <c r="EI27" i="72"/>
  <c r="EI19" i="72"/>
  <c r="EI18" i="72"/>
  <c r="EH29" i="72"/>
  <c r="EI29" i="72"/>
  <c r="EB31" i="72"/>
  <c r="EE31" i="72" s="1"/>
  <c r="EB23" i="72"/>
  <c r="EC23" i="72" s="1"/>
  <c r="EB18" i="72"/>
  <c r="EC18" i="72" s="1"/>
  <c r="EB14" i="72"/>
  <c r="EE14" i="72" s="1"/>
  <c r="EB34" i="72"/>
  <c r="EC34" i="72" s="1"/>
  <c r="ED34" i="72" s="1"/>
  <c r="EB27" i="72"/>
  <c r="C27" i="72" s="1"/>
  <c r="EB21" i="72"/>
  <c r="C21" i="72" s="1"/>
  <c r="EB17" i="72"/>
  <c r="EC17" i="72" s="1"/>
  <c r="EB25" i="72"/>
  <c r="EE25" i="72" s="1"/>
  <c r="EB20" i="72"/>
  <c r="EE20" i="72" s="1"/>
  <c r="EB33" i="72"/>
  <c r="EE33" i="72" s="1"/>
  <c r="EB30" i="72"/>
  <c r="EC30" i="72" s="1"/>
  <c r="EB22" i="72"/>
  <c r="EE22" i="72" s="1"/>
  <c r="EB24" i="72"/>
  <c r="EE24" i="72" s="1"/>
  <c r="EB28" i="72"/>
  <c r="EE28" i="72" s="1"/>
  <c r="EB19" i="72"/>
  <c r="EE19" i="72" s="1"/>
  <c r="EB32" i="72"/>
  <c r="EC32" i="72" s="1"/>
  <c r="ED32" i="72" s="1"/>
  <c r="EB29" i="72"/>
  <c r="C29" i="72" s="1"/>
  <c r="EB16" i="72"/>
  <c r="EE16" i="72" s="1"/>
  <c r="EB26" i="72"/>
  <c r="EC26" i="72" s="1"/>
  <c r="ED26" i="72" s="1"/>
  <c r="EB15" i="72"/>
  <c r="EE15" i="72" s="1"/>
  <c r="MD18" i="72"/>
  <c r="MD28" i="72"/>
  <c r="OY35" i="72"/>
  <c r="LF14" i="72"/>
  <c r="NV33" i="72"/>
  <c r="NW33" i="72" s="1"/>
  <c r="KJ31" i="72"/>
  <c r="KJ27" i="72"/>
  <c r="KH29" i="72"/>
  <c r="KI29" i="72" s="1"/>
  <c r="DH24" i="72"/>
  <c r="SG12" i="72"/>
  <c r="SF12" i="72"/>
  <c r="SM12" i="72"/>
  <c r="SL12" i="72"/>
  <c r="SJ12" i="72"/>
  <c r="SI12" i="72"/>
  <c r="SK12" i="72"/>
  <c r="SH12" i="72"/>
  <c r="SK22" i="72"/>
  <c r="SK14" i="72"/>
  <c r="SJ27" i="72"/>
  <c r="SJ15" i="72"/>
  <c r="SK21" i="72"/>
  <c r="SK31" i="72"/>
  <c r="SJ19" i="72"/>
  <c r="SJ21" i="72"/>
  <c r="SK26" i="72"/>
  <c r="SK18" i="72"/>
  <c r="SJ31" i="72"/>
  <c r="SJ20" i="72"/>
  <c r="SJ33" i="72"/>
  <c r="SK33" i="72"/>
  <c r="SK24" i="72"/>
  <c r="SJ17" i="72"/>
  <c r="SK34" i="72"/>
  <c r="SK23" i="72"/>
  <c r="SJ26" i="72"/>
  <c r="SJ34" i="72"/>
  <c r="SK19" i="72"/>
  <c r="SK32" i="72"/>
  <c r="SK29" i="72"/>
  <c r="SJ22" i="72"/>
  <c r="SJ29" i="72"/>
  <c r="SK17" i="72"/>
  <c r="SJ32" i="72"/>
  <c r="SJ14" i="72"/>
  <c r="SK28" i="72"/>
  <c r="SK16" i="72"/>
  <c r="SJ28" i="72"/>
  <c r="SK27" i="72"/>
  <c r="SK15" i="72"/>
  <c r="SJ30" i="72"/>
  <c r="SJ23" i="72"/>
  <c r="SK25" i="72"/>
  <c r="SJ25" i="72"/>
  <c r="SJ16" i="72"/>
  <c r="SK30" i="72"/>
  <c r="SK20" i="72"/>
  <c r="SF50" i="72"/>
  <c r="SJ18" i="72"/>
  <c r="SJ24" i="72"/>
  <c r="SF4" i="72"/>
  <c r="SI14" i="72"/>
  <c r="SI34" i="72"/>
  <c r="SI17" i="72"/>
  <c r="SG29" i="72"/>
  <c r="SH29" i="72" s="1"/>
  <c r="SI28" i="72"/>
  <c r="SI30" i="72"/>
  <c r="SL23" i="72"/>
  <c r="SM14" i="72"/>
  <c r="SM27" i="72"/>
  <c r="SM18" i="72"/>
  <c r="SM32" i="72"/>
  <c r="SL28" i="72"/>
  <c r="SM22" i="72"/>
  <c r="SL22" i="72"/>
  <c r="SM16" i="72"/>
  <c r="SL26" i="72"/>
  <c r="SL30" i="72"/>
  <c r="SM28" i="72"/>
  <c r="SL33" i="72"/>
  <c r="SM17" i="72"/>
  <c r="SM34" i="72"/>
  <c r="SL32" i="72"/>
  <c r="SL18" i="72"/>
  <c r="SM24" i="72"/>
  <c r="SL21" i="72"/>
  <c r="SL27" i="72"/>
  <c r="SM20" i="72"/>
  <c r="SL24" i="72"/>
  <c r="SM19" i="72"/>
  <c r="SM33" i="72"/>
  <c r="SL25" i="72"/>
  <c r="SM21" i="72"/>
  <c r="SM23" i="72"/>
  <c r="SM15" i="72"/>
  <c r="SM31" i="72"/>
  <c r="SL17" i="72"/>
  <c r="SL31" i="72"/>
  <c r="SL15" i="72"/>
  <c r="SM26" i="72"/>
  <c r="SM29" i="72"/>
  <c r="SL20" i="72"/>
  <c r="SM25" i="72"/>
  <c r="SL29" i="72"/>
  <c r="SL14" i="72"/>
  <c r="SM30" i="72"/>
  <c r="SL19" i="72"/>
  <c r="SL34" i="72"/>
  <c r="SL16" i="72"/>
  <c r="SF25" i="72"/>
  <c r="SG25" i="72" s="1"/>
  <c r="SH25" i="72" s="1"/>
  <c r="SF14" i="72"/>
  <c r="SG14" i="72" s="1"/>
  <c r="SF21" i="72"/>
  <c r="SG21" i="72" s="1"/>
  <c r="SH21" i="72" s="1"/>
  <c r="SF28" i="72"/>
  <c r="SG28" i="72" s="1"/>
  <c r="SH28" i="72" s="1"/>
  <c r="SF30" i="72"/>
  <c r="SG30" i="72" s="1"/>
  <c r="SH30" i="72" s="1"/>
  <c r="SF23" i="72"/>
  <c r="SG23" i="72" s="1"/>
  <c r="SH23" i="72" s="1"/>
  <c r="SF16" i="72"/>
  <c r="SI16" i="72" s="1"/>
  <c r="SF15" i="72"/>
  <c r="SI15" i="72" s="1"/>
  <c r="SF20" i="72"/>
  <c r="SG20" i="72" s="1"/>
  <c r="SH20" i="72" s="1"/>
  <c r="SF17" i="72"/>
  <c r="SG17" i="72" s="1"/>
  <c r="SH17" i="72" s="1"/>
  <c r="SF27" i="72"/>
  <c r="SG27" i="72" s="1"/>
  <c r="SH27" i="72" s="1"/>
  <c r="SF31" i="72"/>
  <c r="SG31" i="72" s="1"/>
  <c r="SH31" i="72" s="1"/>
  <c r="SF33" i="72"/>
  <c r="SG33" i="72" s="1"/>
  <c r="SH33" i="72" s="1"/>
  <c r="SF18" i="72"/>
  <c r="SG18" i="72" s="1"/>
  <c r="SH18" i="72" s="1"/>
  <c r="SF24" i="72"/>
  <c r="SI24" i="72" s="1"/>
  <c r="SF34" i="72"/>
  <c r="SG34" i="72" s="1"/>
  <c r="SH34" i="72" s="1"/>
  <c r="SF22" i="72"/>
  <c r="SI22" i="72" s="1"/>
  <c r="SF29" i="72"/>
  <c r="SI29" i="72" s="1"/>
  <c r="SF26" i="72"/>
  <c r="SI26" i="72" s="1"/>
  <c r="SF32" i="72"/>
  <c r="SI32" i="72" s="1"/>
  <c r="SF19" i="72"/>
  <c r="SG19" i="72" s="1"/>
  <c r="SH19" i="72" s="1"/>
  <c r="BL29" i="72"/>
  <c r="BN14" i="72"/>
  <c r="J16" i="72"/>
  <c r="QM29" i="72"/>
  <c r="QN29" i="72" s="1"/>
  <c r="QM21" i="72"/>
  <c r="QN21" i="72" s="1"/>
  <c r="JQ35" i="72"/>
  <c r="JM14" i="72"/>
  <c r="JM24" i="72"/>
  <c r="JM15" i="72"/>
  <c r="PV35" i="72"/>
  <c r="PR19" i="72"/>
  <c r="PR15" i="72"/>
  <c r="PR35" i="72" s="1"/>
  <c r="CK15" i="72"/>
  <c r="MD25" i="72"/>
  <c r="LJ35" i="72"/>
  <c r="LE24" i="72"/>
  <c r="LF24" i="72" s="1"/>
  <c r="LE25" i="72"/>
  <c r="LF25" i="72" s="1"/>
  <c r="LH35" i="72"/>
  <c r="RP35" i="72"/>
  <c r="RO35" i="72"/>
  <c r="NX18" i="72"/>
  <c r="NV24" i="72"/>
  <c r="NW24" i="72" s="1"/>
  <c r="NZ35" i="72"/>
  <c r="KK35" i="72"/>
  <c r="DH16" i="72"/>
  <c r="DH27" i="72"/>
  <c r="DF20" i="72"/>
  <c r="DG20" i="72" s="1"/>
  <c r="BM20" i="72"/>
  <c r="BN24" i="72"/>
  <c r="BM17" i="72"/>
  <c r="BM21" i="72"/>
  <c r="QS35" i="72"/>
  <c r="QM26" i="72"/>
  <c r="QN26" i="72" s="1"/>
  <c r="NE35" i="72"/>
  <c r="NA33" i="72"/>
  <c r="JK14" i="72"/>
  <c r="JK32" i="72"/>
  <c r="JL32" i="72" s="1"/>
  <c r="JK16" i="72"/>
  <c r="JL16" i="72" s="1"/>
  <c r="JO35" i="72"/>
  <c r="PP27" i="72"/>
  <c r="PQ27" i="72" s="1"/>
  <c r="PR23" i="72"/>
  <c r="PP28" i="72"/>
  <c r="PQ28" i="72" s="1"/>
  <c r="FZ33" i="72"/>
  <c r="FZ29" i="72"/>
  <c r="FZ25" i="72"/>
  <c r="FZ21" i="72"/>
  <c r="FZ17" i="72"/>
  <c r="GA32" i="72"/>
  <c r="GA28" i="72"/>
  <c r="GA24" i="72"/>
  <c r="GA20" i="72"/>
  <c r="GA16" i="72"/>
  <c r="FV4" i="72"/>
  <c r="FZ32" i="72"/>
  <c r="FZ28" i="72"/>
  <c r="FZ24" i="72"/>
  <c r="FZ20" i="72"/>
  <c r="FZ16" i="72"/>
  <c r="GA31" i="72"/>
  <c r="GA27" i="72"/>
  <c r="GA23" i="72"/>
  <c r="GA19" i="72"/>
  <c r="GA15" i="72"/>
  <c r="FZ31" i="72"/>
  <c r="FZ27" i="72"/>
  <c r="FZ23" i="72"/>
  <c r="FZ19" i="72"/>
  <c r="FZ15" i="72"/>
  <c r="GA34" i="72"/>
  <c r="GA30" i="72"/>
  <c r="GA26" i="72"/>
  <c r="GA22" i="72"/>
  <c r="GA18" i="72"/>
  <c r="GA14" i="72"/>
  <c r="FW12" i="72"/>
  <c r="FZ34" i="72"/>
  <c r="FZ30" i="72"/>
  <c r="FZ26" i="72"/>
  <c r="FZ22" i="72"/>
  <c r="FZ18" i="72"/>
  <c r="FZ14" i="72"/>
  <c r="GA33" i="72"/>
  <c r="GA29" i="72"/>
  <c r="GA25" i="72"/>
  <c r="GA21" i="72"/>
  <c r="GA17" i="72"/>
  <c r="FZ12" i="72"/>
  <c r="FY12" i="72"/>
  <c r="GB12" i="72"/>
  <c r="GC12" i="72"/>
  <c r="FV12" i="72"/>
  <c r="FX12" i="72"/>
  <c r="GA12" i="72"/>
  <c r="FV50" i="72"/>
  <c r="FW21" i="72"/>
  <c r="FX21" i="72" s="1"/>
  <c r="FY24" i="72"/>
  <c r="FY32" i="72"/>
  <c r="FY18" i="72"/>
  <c r="GB20" i="72"/>
  <c r="GC26" i="72"/>
  <c r="GC25" i="72"/>
  <c r="GB22" i="72"/>
  <c r="GB19" i="72"/>
  <c r="GB16" i="72"/>
  <c r="GB21" i="72"/>
  <c r="GC14" i="72"/>
  <c r="GC17" i="72"/>
  <c r="GB32" i="72"/>
  <c r="GC34" i="72"/>
  <c r="GC31" i="72"/>
  <c r="GC28" i="72"/>
  <c r="GC20" i="72"/>
  <c r="GC27" i="72"/>
  <c r="GB27" i="72"/>
  <c r="GB17" i="72"/>
  <c r="GC21" i="72"/>
  <c r="GB31" i="72"/>
  <c r="GC22" i="72"/>
  <c r="GC33" i="72"/>
  <c r="GB30" i="72"/>
  <c r="GC32" i="72"/>
  <c r="GB26" i="72"/>
  <c r="GC16" i="72"/>
  <c r="GB29" i="72"/>
  <c r="GB34" i="72"/>
  <c r="GB24" i="72"/>
  <c r="GC19" i="72"/>
  <c r="GB14" i="72"/>
  <c r="GC29" i="72"/>
  <c r="GB33" i="72"/>
  <c r="GB25" i="72"/>
  <c r="GB15" i="72"/>
  <c r="GC23" i="72"/>
  <c r="GC24" i="72"/>
  <c r="GC30" i="72"/>
  <c r="GB23" i="72"/>
  <c r="GB18" i="72"/>
  <c r="GC15" i="72"/>
  <c r="GC18" i="72"/>
  <c r="GB28" i="72"/>
  <c r="FV33" i="72"/>
  <c r="FW33" i="72" s="1"/>
  <c r="FX33" i="72" s="1"/>
  <c r="FV18" i="72"/>
  <c r="FW18" i="72" s="1"/>
  <c r="FX18" i="72" s="1"/>
  <c r="FV23" i="72"/>
  <c r="FY23" i="72" s="1"/>
  <c r="FV27" i="72"/>
  <c r="V27" i="72" s="1"/>
  <c r="FV24" i="72"/>
  <c r="FW24" i="72" s="1"/>
  <c r="FX24" i="72" s="1"/>
  <c r="FV25" i="72"/>
  <c r="FW25" i="72" s="1"/>
  <c r="FX25" i="72" s="1"/>
  <c r="FV30" i="72"/>
  <c r="FY30" i="72" s="1"/>
  <c r="FV15" i="72"/>
  <c r="FW15" i="72" s="1"/>
  <c r="FX15" i="72" s="1"/>
  <c r="FV22" i="72"/>
  <c r="FY22" i="72" s="1"/>
  <c r="FV32" i="72"/>
  <c r="FW32" i="72" s="1"/>
  <c r="FX32" i="72" s="1"/>
  <c r="FV20" i="72"/>
  <c r="FY20" i="72" s="1"/>
  <c r="FV19" i="72"/>
  <c r="FW19" i="72" s="1"/>
  <c r="FX19" i="72" s="1"/>
  <c r="FV16" i="72"/>
  <c r="FY16" i="72" s="1"/>
  <c r="FV28" i="72"/>
  <c r="FY28" i="72" s="1"/>
  <c r="FV26" i="72"/>
  <c r="FY26" i="72" s="1"/>
  <c r="FV34" i="72"/>
  <c r="FW34" i="72" s="1"/>
  <c r="FX34" i="72" s="1"/>
  <c r="FV17" i="72"/>
  <c r="FW17" i="72" s="1"/>
  <c r="FX17" i="72" s="1"/>
  <c r="FV14" i="72"/>
  <c r="FV29" i="72"/>
  <c r="FY29" i="72" s="1"/>
  <c r="FV31" i="72"/>
  <c r="FY31" i="72" s="1"/>
  <c r="FV21" i="72"/>
  <c r="FY21" i="72" s="1"/>
  <c r="CI19" i="72"/>
  <c r="CJ19" i="72" s="1"/>
  <c r="CK24" i="72"/>
  <c r="CI25" i="72"/>
  <c r="CJ25" i="72" s="1"/>
  <c r="MD20" i="72"/>
  <c r="MD22" i="72"/>
  <c r="OS24" i="72"/>
  <c r="OT24" i="72" s="1"/>
  <c r="OS17" i="72"/>
  <c r="OT17" i="72" s="1"/>
  <c r="OU32" i="72"/>
  <c r="LE32" i="72"/>
  <c r="LF32" i="72" s="1"/>
  <c r="LE15" i="72"/>
  <c r="LF15" i="72" s="1"/>
  <c r="LG20" i="72"/>
  <c r="LE28" i="72"/>
  <c r="LF28" i="72" s="1"/>
  <c r="LG23" i="72"/>
  <c r="G28" i="36"/>
  <c r="H28" i="36"/>
  <c r="L28" i="36" s="1"/>
  <c r="N28" i="36" s="1"/>
  <c r="B53" i="43"/>
  <c r="B31" i="36"/>
  <c r="RJ29" i="72"/>
  <c r="RK29" i="72" s="1"/>
  <c r="RJ14" i="72"/>
  <c r="RN35" i="72"/>
  <c r="RM35" i="72"/>
  <c r="NU35" i="72"/>
  <c r="OA35" i="72"/>
  <c r="NV16" i="72"/>
  <c r="NW16" i="72" s="1"/>
  <c r="NV14" i="72"/>
  <c r="KH15" i="72"/>
  <c r="KI15" i="72" s="1"/>
  <c r="KJ19" i="72"/>
  <c r="KH33" i="72"/>
  <c r="KI33" i="72" s="1"/>
  <c r="DF22" i="72"/>
  <c r="DG22" i="72" s="1"/>
  <c r="BQ35" i="72"/>
  <c r="BK9" i="72" s="1"/>
  <c r="D37" i="43" s="1"/>
  <c r="BM18" i="72"/>
  <c r="BL31" i="72"/>
  <c r="BM28" i="72"/>
  <c r="BL27" i="72"/>
  <c r="BL22" i="72"/>
  <c r="QL35" i="72"/>
  <c r="QM34" i="72"/>
  <c r="QN34" i="72" s="1"/>
  <c r="QO33" i="72"/>
  <c r="MY27" i="72"/>
  <c r="MZ27" i="72" s="1"/>
  <c r="NA20" i="72"/>
  <c r="MY14" i="72"/>
  <c r="FD16" i="72"/>
  <c r="FC31" i="72"/>
  <c r="FC30" i="72"/>
  <c r="FC26" i="72"/>
  <c r="FD29" i="72"/>
  <c r="FD27" i="72"/>
  <c r="FD34" i="72"/>
  <c r="FD26" i="72"/>
  <c r="FC22" i="72"/>
  <c r="FC28" i="72"/>
  <c r="AG28" i="72" s="1"/>
  <c r="FC23" i="72"/>
  <c r="AG23" i="72" s="1"/>
  <c r="FD30" i="72"/>
  <c r="J30" i="72" s="1"/>
  <c r="FD22" i="72"/>
  <c r="FD18" i="72"/>
  <c r="FD21" i="72"/>
  <c r="J21" i="72" s="1"/>
  <c r="FD19" i="72"/>
  <c r="FC25" i="72"/>
  <c r="FC17" i="72"/>
  <c r="AG17" i="72" s="1"/>
  <c r="FD14" i="72"/>
  <c r="EY4" i="72"/>
  <c r="FC20" i="72"/>
  <c r="AG20" i="72" s="1"/>
  <c r="FC33" i="72"/>
  <c r="FC21" i="72"/>
  <c r="FF12" i="72"/>
  <c r="EZ12" i="72"/>
  <c r="FC19" i="72"/>
  <c r="FD33" i="72"/>
  <c r="J33" i="72" s="1"/>
  <c r="FC29" i="72"/>
  <c r="FD17" i="72"/>
  <c r="FD23" i="72"/>
  <c r="FD32" i="72"/>
  <c r="J32" i="72" s="1"/>
  <c r="FD24" i="72"/>
  <c r="J24" i="72" s="1"/>
  <c r="FC24" i="72"/>
  <c r="AG24" i="72" s="1"/>
  <c r="FD25" i="72"/>
  <c r="FC14" i="72"/>
  <c r="FC18" i="72"/>
  <c r="FC27" i="72"/>
  <c r="FC15" i="72"/>
  <c r="AG15" i="72" s="1"/>
  <c r="AH15" i="72" s="1"/>
  <c r="FD20" i="72"/>
  <c r="J20" i="72" s="1"/>
  <c r="FC16" i="72"/>
  <c r="FC34" i="72"/>
  <c r="AG34" i="72" s="1"/>
  <c r="AH34" i="72" s="1"/>
  <c r="FD31" i="72"/>
  <c r="FD15" i="72"/>
  <c r="FD12" i="72"/>
  <c r="EY50" i="72"/>
  <c r="FC12" i="72"/>
  <c r="FC32" i="72"/>
  <c r="I32" i="72" s="1"/>
  <c r="FB12" i="72"/>
  <c r="FE12" i="72"/>
  <c r="FD28" i="72"/>
  <c r="FA12" i="72"/>
  <c r="EY12" i="72"/>
  <c r="EZ29" i="72"/>
  <c r="FA29" i="72" s="1"/>
  <c r="EZ17" i="72"/>
  <c r="FA17" i="72" s="1"/>
  <c r="EZ27" i="72"/>
  <c r="FA27" i="72" s="1"/>
  <c r="EZ21" i="72"/>
  <c r="FA21" i="72" s="1"/>
  <c r="FE34" i="72"/>
  <c r="FF23" i="72"/>
  <c r="FE27" i="72"/>
  <c r="FF30" i="72"/>
  <c r="FF16" i="72"/>
  <c r="FF17" i="72"/>
  <c r="FF28" i="72"/>
  <c r="FF24" i="72"/>
  <c r="FE19" i="72"/>
  <c r="FF25" i="72"/>
  <c r="FF14" i="72"/>
  <c r="FE16" i="72"/>
  <c r="T16" i="72" s="1"/>
  <c r="FE29" i="72"/>
  <c r="FE15" i="72"/>
  <c r="FF26" i="72"/>
  <c r="FF21" i="72"/>
  <c r="FE31" i="72"/>
  <c r="FF22" i="72"/>
  <c r="FE23" i="72"/>
  <c r="FE21" i="72"/>
  <c r="FE14" i="72"/>
  <c r="FE20" i="72"/>
  <c r="FE28" i="72"/>
  <c r="FE30" i="72"/>
  <c r="FE17" i="72"/>
  <c r="FF32" i="72"/>
  <c r="FE22" i="72"/>
  <c r="FF19" i="72"/>
  <c r="FE33" i="72"/>
  <c r="FF15" i="72"/>
  <c r="FF29" i="72"/>
  <c r="FF31" i="72"/>
  <c r="FE26" i="72"/>
  <c r="FE18" i="72"/>
  <c r="FF20" i="72"/>
  <c r="FF18" i="72"/>
  <c r="FE32" i="72"/>
  <c r="FE25" i="72"/>
  <c r="FE24" i="72"/>
  <c r="FF34" i="72"/>
  <c r="FF33" i="72"/>
  <c r="FF27" i="72"/>
  <c r="EY16" i="72"/>
  <c r="AC16" i="72" s="1"/>
  <c r="EY17" i="72"/>
  <c r="FB17" i="72" s="1"/>
  <c r="EY19" i="72"/>
  <c r="FB19" i="72" s="1"/>
  <c r="EY14" i="72"/>
  <c r="EY28" i="72"/>
  <c r="FB28" i="72" s="1"/>
  <c r="EY32" i="72"/>
  <c r="C32" i="72" s="1"/>
  <c r="EY26" i="72"/>
  <c r="AC26" i="72" s="1"/>
  <c r="EY30" i="72"/>
  <c r="C30" i="72" s="1"/>
  <c r="EY15" i="72"/>
  <c r="AC15" i="72" s="1"/>
  <c r="EY21" i="72"/>
  <c r="FB21" i="72" s="1"/>
  <c r="EY20" i="72"/>
  <c r="EZ20" i="72" s="1"/>
  <c r="FA20" i="72" s="1"/>
  <c r="EY24" i="72"/>
  <c r="EZ24" i="72" s="1"/>
  <c r="FA24" i="72" s="1"/>
  <c r="EY25" i="72"/>
  <c r="FB25" i="72" s="1"/>
  <c r="EY18" i="72"/>
  <c r="FB18" i="72" s="1"/>
  <c r="EY22" i="72"/>
  <c r="EZ22" i="72" s="1"/>
  <c r="FA22" i="72" s="1"/>
  <c r="EY23" i="72"/>
  <c r="EZ23" i="72" s="1"/>
  <c r="FA23" i="72" s="1"/>
  <c r="EY34" i="72"/>
  <c r="AC34" i="72" s="1"/>
  <c r="EY27" i="72"/>
  <c r="FB27" i="72" s="1"/>
  <c r="EY31" i="72"/>
  <c r="FB31" i="72" s="1"/>
  <c r="EY29" i="72"/>
  <c r="FB29" i="72" s="1"/>
  <c r="EY33" i="72"/>
  <c r="EZ33" i="72" s="1"/>
  <c r="FA33" i="72" s="1"/>
  <c r="JN35" i="72"/>
  <c r="PO35" i="72"/>
  <c r="PP30" i="72"/>
  <c r="PQ30" i="72" s="1"/>
  <c r="CI16" i="72"/>
  <c r="CJ16" i="72" s="1"/>
  <c r="CM35" i="72"/>
  <c r="MC14" i="72"/>
  <c r="MB23" i="72"/>
  <c r="MC23" i="72" s="1"/>
  <c r="MF35" i="72"/>
  <c r="OX35" i="72"/>
  <c r="OU33" i="72"/>
  <c r="OT14" i="72"/>
  <c r="OW35" i="72"/>
  <c r="LD35" i="72"/>
  <c r="LG14" i="72"/>
  <c r="LG34" i="72"/>
  <c r="B29" i="36"/>
  <c r="B51" i="43"/>
  <c r="G25" i="36"/>
  <c r="M25" i="36" s="1"/>
  <c r="H25" i="36"/>
  <c r="G27" i="36"/>
  <c r="H27" i="36"/>
  <c r="M27" i="36" s="1"/>
  <c r="G29" i="36"/>
  <c r="L29" i="36" s="1"/>
  <c r="N29" i="36" s="1"/>
  <c r="H29" i="36"/>
  <c r="H31" i="36"/>
  <c r="G31" i="36"/>
  <c r="M31" i="36" s="1"/>
  <c r="L31" i="36"/>
  <c r="N31" i="36" s="1"/>
  <c r="M33" i="36"/>
  <c r="G33" i="36"/>
  <c r="H33" i="36"/>
  <c r="L33" i="36" s="1"/>
  <c r="N33" i="36" s="1"/>
  <c r="RJ23" i="72"/>
  <c r="RK23" i="72" s="1"/>
  <c r="RJ22" i="72"/>
  <c r="RK22" i="72" s="1"/>
  <c r="RJ26" i="72"/>
  <c r="RK26" i="72" s="1"/>
  <c r="NX21" i="72"/>
  <c r="NY35" i="72"/>
  <c r="KM35" i="72"/>
  <c r="KJ14" i="72"/>
  <c r="KJ35" i="72" s="1"/>
  <c r="KJ25" i="72"/>
  <c r="KL35" i="72"/>
  <c r="DE35" i="72"/>
  <c r="DE9" i="72" s="1"/>
  <c r="D39" i="43" s="1"/>
  <c r="DH17" i="72"/>
  <c r="DH14" i="72"/>
  <c r="DH21" i="72"/>
  <c r="DJ35" i="72"/>
  <c r="BN29" i="72"/>
  <c r="BM23" i="72"/>
  <c r="BL34" i="72"/>
  <c r="BO35" i="72"/>
  <c r="AG31" i="72"/>
  <c r="QO24" i="72"/>
  <c r="QO35" i="72" s="1"/>
  <c r="QM14" i="72"/>
  <c r="NB35" i="72"/>
  <c r="JP35" i="72"/>
  <c r="JK31" i="72"/>
  <c r="JL31" i="72" s="1"/>
  <c r="JK29" i="72"/>
  <c r="JL29" i="72" s="1"/>
  <c r="PP34" i="72"/>
  <c r="PQ34" i="72" s="1"/>
  <c r="CO35" i="72"/>
  <c r="CI31" i="72"/>
  <c r="CJ31" i="72" s="1"/>
  <c r="MB24" i="72"/>
  <c r="MC24" i="72" s="1"/>
  <c r="MB33" i="72"/>
  <c r="MC33" i="72" s="1"/>
  <c r="OU22" i="72"/>
  <c r="OU20" i="72"/>
  <c r="OU35" i="72" s="1"/>
  <c r="LI35" i="72"/>
  <c r="B27" i="36"/>
  <c r="B49" i="43"/>
  <c r="RJ15" i="72"/>
  <c r="RK15" i="72" s="1"/>
  <c r="NX22" i="72"/>
  <c r="DF15" i="72"/>
  <c r="DG15" i="72" s="1"/>
  <c r="AC25" i="72"/>
  <c r="BL26" i="72"/>
  <c r="BL33" i="72"/>
  <c r="BL19" i="72"/>
  <c r="BN30" i="72"/>
  <c r="BL16" i="72"/>
  <c r="J23" i="72"/>
  <c r="QM28" i="72"/>
  <c r="QN28" i="72" s="1"/>
  <c r="MY31" i="72"/>
  <c r="MZ31" i="72" s="1"/>
  <c r="HT19" i="72"/>
  <c r="AG19" i="72" s="1"/>
  <c r="HT17" i="72"/>
  <c r="HT15" i="72"/>
  <c r="HT34" i="72"/>
  <c r="HU32" i="72"/>
  <c r="HU23" i="72"/>
  <c r="HT21" i="72"/>
  <c r="HU19" i="72"/>
  <c r="HT24" i="72"/>
  <c r="HW14" i="72"/>
  <c r="HT18" i="72"/>
  <c r="HT25" i="72"/>
  <c r="AG25" i="72" s="1"/>
  <c r="AH25" i="72" s="1"/>
  <c r="HT20" i="72"/>
  <c r="HU34" i="72"/>
  <c r="HT31" i="72"/>
  <c r="HU27" i="72"/>
  <c r="HU29" i="72"/>
  <c r="J29" i="72" s="1"/>
  <c r="HU22" i="72"/>
  <c r="HT14" i="72"/>
  <c r="HT35" i="72" s="1"/>
  <c r="HU21" i="72"/>
  <c r="HU24" i="72"/>
  <c r="HT33" i="72"/>
  <c r="HT29" i="72"/>
  <c r="HU17" i="72"/>
  <c r="HT26" i="72"/>
  <c r="HU31" i="72"/>
  <c r="HT32" i="72"/>
  <c r="HU26" i="72"/>
  <c r="HU20" i="72"/>
  <c r="HT28" i="72"/>
  <c r="HU18" i="72"/>
  <c r="HT22" i="72"/>
  <c r="AG22" i="72" s="1"/>
  <c r="HT16" i="72"/>
  <c r="HU14" i="72"/>
  <c r="HU28" i="72"/>
  <c r="HT23" i="72"/>
  <c r="HU33" i="72"/>
  <c r="HU15" i="72"/>
  <c r="J15" i="72" s="1"/>
  <c r="HU25" i="72"/>
  <c r="HU16" i="72"/>
  <c r="HT27" i="72"/>
  <c r="HP50" i="72"/>
  <c r="HP4" i="72"/>
  <c r="HT30" i="72"/>
  <c r="HU30" i="72"/>
  <c r="HT12" i="72"/>
  <c r="HR12" i="72"/>
  <c r="HW12" i="72"/>
  <c r="HS12" i="72"/>
  <c r="HP12" i="72"/>
  <c r="HQ12" i="72"/>
  <c r="AL30" i="72" s="1"/>
  <c r="HU12" i="72"/>
  <c r="HV12" i="72"/>
  <c r="HQ30" i="72"/>
  <c r="HR30" i="72" s="1"/>
  <c r="HS22" i="72"/>
  <c r="HS25" i="72"/>
  <c r="HQ26" i="72"/>
  <c r="HR26" i="72" s="1"/>
  <c r="HW18" i="72"/>
  <c r="HV19" i="72"/>
  <c r="HW22" i="72"/>
  <c r="HV34" i="72"/>
  <c r="HW30" i="72"/>
  <c r="HV24" i="72"/>
  <c r="HW33" i="72"/>
  <c r="HW19" i="72"/>
  <c r="HW21" i="72"/>
  <c r="HV26" i="72"/>
  <c r="HW26" i="72"/>
  <c r="HV25" i="72"/>
  <c r="HW27" i="72"/>
  <c r="HV15" i="72"/>
  <c r="HW16" i="72"/>
  <c r="HW31" i="72"/>
  <c r="HW28" i="72"/>
  <c r="HV27" i="72"/>
  <c r="HV21" i="72"/>
  <c r="HV29" i="72"/>
  <c r="HV33" i="72"/>
  <c r="HW25" i="72"/>
  <c r="HV16" i="72"/>
  <c r="HW15" i="72"/>
  <c r="HW29" i="72"/>
  <c r="HW34" i="72"/>
  <c r="HW32" i="72"/>
  <c r="HW17" i="72"/>
  <c r="HV17" i="72"/>
  <c r="HV32" i="72"/>
  <c r="HV22" i="72"/>
  <c r="HV20" i="72"/>
  <c r="HV28" i="72"/>
  <c r="HW24" i="72"/>
  <c r="HV18" i="72"/>
  <c r="HV31" i="72"/>
  <c r="HV30" i="72"/>
  <c r="HV14" i="72"/>
  <c r="HW20" i="72"/>
  <c r="HW23" i="72"/>
  <c r="HV23" i="72"/>
  <c r="HP25" i="72"/>
  <c r="HQ25" i="72" s="1"/>
  <c r="HR25" i="72" s="1"/>
  <c r="HP28" i="72"/>
  <c r="HQ28" i="72" s="1"/>
  <c r="HR28" i="72" s="1"/>
  <c r="HP23" i="72"/>
  <c r="HQ23" i="72" s="1"/>
  <c r="HR23" i="72" s="1"/>
  <c r="HP22" i="72"/>
  <c r="HQ22" i="72" s="1"/>
  <c r="HR22" i="72" s="1"/>
  <c r="HP26" i="72"/>
  <c r="HS26" i="72" s="1"/>
  <c r="HP33" i="72"/>
  <c r="HQ33" i="72" s="1"/>
  <c r="HR33" i="72" s="1"/>
  <c r="HP15" i="72"/>
  <c r="HS15" i="72" s="1"/>
  <c r="HP21" i="72"/>
  <c r="HS21" i="72" s="1"/>
  <c r="HP18" i="72"/>
  <c r="AC18" i="72" s="1"/>
  <c r="HP16" i="72"/>
  <c r="C16" i="72" s="1"/>
  <c r="HP24" i="72"/>
  <c r="HQ24" i="72" s="1"/>
  <c r="HR24" i="72" s="1"/>
  <c r="HP30" i="72"/>
  <c r="HS30" i="72" s="1"/>
  <c r="HP29" i="72"/>
  <c r="HQ29" i="72" s="1"/>
  <c r="HR29" i="72" s="1"/>
  <c r="HP27" i="72"/>
  <c r="HS27" i="72" s="1"/>
  <c r="HP14" i="72"/>
  <c r="HQ14" i="72" s="1"/>
  <c r="HP31" i="72"/>
  <c r="HS31" i="72" s="1"/>
  <c r="HP19" i="72"/>
  <c r="HQ19" i="72" s="1"/>
  <c r="HR19" i="72" s="1"/>
  <c r="HP20" i="72"/>
  <c r="HS20" i="72" s="1"/>
  <c r="HP34" i="72"/>
  <c r="HQ34" i="72" s="1"/>
  <c r="HR34" i="72" s="1"/>
  <c r="HP32" i="72"/>
  <c r="HS32" i="72" s="1"/>
  <c r="HP17" i="72"/>
  <c r="HQ17" i="72" s="1"/>
  <c r="HR17" i="72" s="1"/>
  <c r="PP24" i="72"/>
  <c r="PQ24" i="72" s="1"/>
  <c r="CN35" i="72"/>
  <c r="CK21" i="72"/>
  <c r="CK35" i="72" s="1"/>
  <c r="CL35" i="72"/>
  <c r="MG35" i="72"/>
  <c r="MA35" i="72"/>
  <c r="MD14" i="72"/>
  <c r="OR35" i="72"/>
  <c r="OU31" i="72"/>
  <c r="OV35" i="72"/>
  <c r="LG27" i="72"/>
  <c r="RI35" i="72"/>
  <c r="B47" i="43"/>
  <c r="B25" i="36"/>
  <c r="B55" i="43"/>
  <c r="B33" i="36"/>
  <c r="B52" i="43"/>
  <c r="B30" i="36"/>
  <c r="OB35" i="72"/>
  <c r="NX14" i="72"/>
  <c r="DF19" i="72"/>
  <c r="DG19" i="72" s="1"/>
  <c r="DI35" i="72"/>
  <c r="BR35" i="72"/>
  <c r="BK10" i="72" s="1"/>
  <c r="E37" i="43" s="1"/>
  <c r="BN26" i="72"/>
  <c r="BN28" i="72"/>
  <c r="BN27" i="72"/>
  <c r="BL15" i="72"/>
  <c r="BN32" i="72"/>
  <c r="AG27" i="72"/>
  <c r="QO31" i="72"/>
  <c r="ND35" i="72"/>
  <c r="MY17" i="72"/>
  <c r="MZ17" i="72" s="1"/>
  <c r="NC35" i="72"/>
  <c r="JK28" i="72"/>
  <c r="JL28" i="72" s="1"/>
  <c r="PS35" i="72"/>
  <c r="IQ32" i="72"/>
  <c r="IR15" i="72"/>
  <c r="IQ27" i="72"/>
  <c r="I27" i="72" s="1"/>
  <c r="IR16" i="72"/>
  <c r="IR19" i="72"/>
  <c r="IR14" i="72"/>
  <c r="IR26" i="72"/>
  <c r="J26" i="72" s="1"/>
  <c r="IQ23" i="72"/>
  <c r="IR33" i="72"/>
  <c r="IR30" i="72"/>
  <c r="IR12" i="72"/>
  <c r="IR22" i="72"/>
  <c r="IQ19" i="72"/>
  <c r="IR29" i="72"/>
  <c r="IQ26" i="72"/>
  <c r="IQ22" i="72"/>
  <c r="I22" i="72" s="1"/>
  <c r="IQ20" i="72"/>
  <c r="IQ15" i="72"/>
  <c r="IR25" i="72"/>
  <c r="IQ25" i="72"/>
  <c r="IQ33" i="72"/>
  <c r="IQ18" i="72"/>
  <c r="IR28" i="72"/>
  <c r="IR17" i="72"/>
  <c r="IQ24" i="72"/>
  <c r="IR18" i="72"/>
  <c r="IR24" i="72"/>
  <c r="IQ34" i="72"/>
  <c r="IQ29" i="72"/>
  <c r="IQ16" i="72"/>
  <c r="IQ17" i="72"/>
  <c r="IR21" i="72"/>
  <c r="IQ21" i="72"/>
  <c r="IR23" i="72"/>
  <c r="IR27" i="72"/>
  <c r="J27" i="72" s="1"/>
  <c r="IR34" i="72"/>
  <c r="IR31" i="72"/>
  <c r="J31" i="72" s="1"/>
  <c r="IQ30" i="72"/>
  <c r="AG30" i="72" s="1"/>
  <c r="IQ31" i="72"/>
  <c r="IQ14" i="72"/>
  <c r="IR32" i="72"/>
  <c r="IQ28" i="72"/>
  <c r="IR20" i="72"/>
  <c r="IQ12" i="72"/>
  <c r="IP12" i="72"/>
  <c r="IS12" i="72"/>
  <c r="IT12" i="72"/>
  <c r="IO12" i="72"/>
  <c r="IM12" i="72"/>
  <c r="IM4" i="72"/>
  <c r="IN12" i="72"/>
  <c r="IM50" i="72"/>
  <c r="IP14" i="72"/>
  <c r="IP17" i="72"/>
  <c r="IP15" i="72"/>
  <c r="IN25" i="72"/>
  <c r="IO25" i="72" s="1"/>
  <c r="IN24" i="72"/>
  <c r="IO24" i="72" s="1"/>
  <c r="IT23" i="72"/>
  <c r="IS22" i="72"/>
  <c r="IS17" i="72"/>
  <c r="IS16" i="72"/>
  <c r="IT29" i="72"/>
  <c r="IT14" i="72"/>
  <c r="IT25" i="72"/>
  <c r="IT16" i="72"/>
  <c r="IS19" i="72"/>
  <c r="IS33" i="72"/>
  <c r="IT15" i="72"/>
  <c r="IS32" i="72"/>
  <c r="IS14" i="72"/>
  <c r="IT27" i="72"/>
  <c r="IT24" i="72"/>
  <c r="IT20" i="72"/>
  <c r="IT17" i="72"/>
  <c r="IS24" i="72"/>
  <c r="IS18" i="72"/>
  <c r="IS34" i="72"/>
  <c r="IT18" i="72"/>
  <c r="IS20" i="72"/>
  <c r="IT33" i="72"/>
  <c r="IS21" i="72"/>
  <c r="IS31" i="72"/>
  <c r="IS29" i="72"/>
  <c r="IT19" i="72"/>
  <c r="IT34" i="72"/>
  <c r="IS26" i="72"/>
  <c r="IS15" i="72"/>
  <c r="IT21" i="72"/>
  <c r="IT28" i="72"/>
  <c r="IS25" i="72"/>
  <c r="IS23" i="72"/>
  <c r="IS28" i="72"/>
  <c r="IS27" i="72"/>
  <c r="IS30" i="72"/>
  <c r="IT31" i="72"/>
  <c r="IT26" i="72"/>
  <c r="IT32" i="72"/>
  <c r="IT30" i="72"/>
  <c r="IT22" i="72"/>
  <c r="IM14" i="72"/>
  <c r="IM25" i="72"/>
  <c r="IP25" i="72" s="1"/>
  <c r="IM32" i="72"/>
  <c r="IP32" i="72" s="1"/>
  <c r="IM28" i="72"/>
  <c r="IN28" i="72" s="1"/>
  <c r="IO28" i="72" s="1"/>
  <c r="IM29" i="72"/>
  <c r="IP29" i="72" s="1"/>
  <c r="IM23" i="72"/>
  <c r="IP23" i="72" s="1"/>
  <c r="IM22" i="72"/>
  <c r="IN22" i="72" s="1"/>
  <c r="IO22" i="72" s="1"/>
  <c r="IM31" i="72"/>
  <c r="IP31" i="72" s="1"/>
  <c r="IM15" i="72"/>
  <c r="IN15" i="72" s="1"/>
  <c r="IO15" i="72" s="1"/>
  <c r="IM26" i="72"/>
  <c r="IN26" i="72" s="1"/>
  <c r="IO26" i="72" s="1"/>
  <c r="IM27" i="72"/>
  <c r="IN27" i="72" s="1"/>
  <c r="IO27" i="72" s="1"/>
  <c r="IM33" i="72"/>
  <c r="IP33" i="72" s="1"/>
  <c r="IM21" i="72"/>
  <c r="IN21" i="72" s="1"/>
  <c r="IO21" i="72" s="1"/>
  <c r="IM19" i="72"/>
  <c r="IN19" i="72" s="1"/>
  <c r="IO19" i="72" s="1"/>
  <c r="IM24" i="72"/>
  <c r="IP24" i="72" s="1"/>
  <c r="IM20" i="72"/>
  <c r="IN20" i="72" s="1"/>
  <c r="IO20" i="72" s="1"/>
  <c r="IM17" i="72"/>
  <c r="IN17" i="72" s="1"/>
  <c r="IO17" i="72" s="1"/>
  <c r="IM16" i="72"/>
  <c r="IP16" i="72" s="1"/>
  <c r="IM34" i="72"/>
  <c r="IN34" i="72" s="1"/>
  <c r="IO34" i="72" s="1"/>
  <c r="IM18" i="72"/>
  <c r="IP18" i="72" s="1"/>
  <c r="IM30" i="72"/>
  <c r="IP30" i="72" s="1"/>
  <c r="CH35" i="72"/>
  <c r="CI14" i="72"/>
  <c r="MD32" i="72"/>
  <c r="ME35" i="72"/>
  <c r="LK35" i="72"/>
  <c r="A24" i="75"/>
  <c r="AE24" i="75"/>
  <c r="A23" i="75"/>
  <c r="AE23" i="75"/>
  <c r="A22" i="75"/>
  <c r="AE22" i="75"/>
  <c r="A21" i="75"/>
  <c r="AE21" i="75"/>
  <c r="A20" i="75"/>
  <c r="AE20" i="75"/>
  <c r="A19" i="75"/>
  <c r="AE19" i="75"/>
  <c r="A18" i="75"/>
  <c r="AE18" i="75"/>
  <c r="A17" i="75"/>
  <c r="AE17" i="75"/>
  <c r="A16" i="75"/>
  <c r="AE16" i="75"/>
  <c r="A15" i="75"/>
  <c r="AE15" i="75"/>
  <c r="S453" i="94"/>
  <c r="S461" i="94"/>
  <c r="S437" i="94"/>
  <c r="S445" i="94"/>
  <c r="AE20" i="36"/>
  <c r="Y20" i="36"/>
  <c r="Y24" i="36"/>
  <c r="AE18" i="36"/>
  <c r="Y18" i="36"/>
  <c r="AE21" i="36"/>
  <c r="Y21" i="36"/>
  <c r="AE23" i="36"/>
  <c r="Y23" i="36"/>
  <c r="AE22" i="36"/>
  <c r="Y22" i="36"/>
  <c r="AE16" i="36"/>
  <c r="Y16" i="36"/>
  <c r="AE15" i="36"/>
  <c r="Y15" i="36"/>
  <c r="AE19" i="36"/>
  <c r="Y19" i="36"/>
  <c r="U22" i="12"/>
  <c r="G8" i="99"/>
  <c r="W389" i="97"/>
  <c r="W390" i="97" s="1"/>
  <c r="S177" i="94"/>
  <c r="S220" i="94"/>
  <c r="AN4" i="75"/>
  <c r="F75" i="59"/>
  <c r="F74" i="59"/>
  <c r="F76" i="59"/>
  <c r="W20" i="36"/>
  <c r="X20" i="36"/>
  <c r="V20" i="36"/>
  <c r="W21" i="36"/>
  <c r="X21" i="36"/>
  <c r="V21" i="36"/>
  <c r="V22" i="36"/>
  <c r="W22" i="36"/>
  <c r="X22" i="36"/>
  <c r="X23" i="36"/>
  <c r="V23" i="36"/>
  <c r="W23" i="36"/>
  <c r="X16" i="36"/>
  <c r="V16" i="36"/>
  <c r="W16" i="36"/>
  <c r="W24" i="36"/>
  <c r="X24" i="36"/>
  <c r="V24" i="36"/>
  <c r="V15" i="36"/>
  <c r="X15" i="36"/>
  <c r="W15" i="36"/>
  <c r="V19" i="36"/>
  <c r="W19" i="36"/>
  <c r="X19" i="36"/>
  <c r="W18" i="36"/>
  <c r="X18" i="36"/>
  <c r="V18" i="36"/>
  <c r="T17" i="36"/>
  <c r="R17" i="36"/>
  <c r="G31" i="70"/>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E8" i="75"/>
  <c r="AE6" i="75"/>
  <c r="A6" i="75"/>
  <c r="A11" i="75"/>
  <c r="AE25" i="75"/>
  <c r="A25" i="75"/>
  <c r="AE11" i="75"/>
  <c r="A7" i="75"/>
  <c r="AE12" i="75"/>
  <c r="A12" i="75"/>
  <c r="AE13" i="75"/>
  <c r="A13" i="75"/>
  <c r="AE7" i="75"/>
  <c r="A8" i="75"/>
  <c r="AE10" i="75"/>
  <c r="A10" i="75"/>
  <c r="AE9" i="75"/>
  <c r="A9" i="75"/>
  <c r="AE14" i="75"/>
  <c r="A14" i="75"/>
  <c r="O7" i="75"/>
  <c r="AB7" i="75" s="1"/>
  <c r="AA9" i="75"/>
  <c r="I18" i="36" s="1"/>
  <c r="Z9" i="75"/>
  <c r="AA13" i="75"/>
  <c r="I22" i="36" s="1"/>
  <c r="Z13" i="75"/>
  <c r="Z8" i="75"/>
  <c r="AA8" i="75"/>
  <c r="I17" i="36" s="1"/>
  <c r="Z11" i="75"/>
  <c r="AA11" i="75"/>
  <c r="I20" i="36" s="1"/>
  <c r="Z12" i="75"/>
  <c r="AA12" i="75"/>
  <c r="I21" i="36" s="1"/>
  <c r="Z25" i="75"/>
  <c r="AA25" i="75"/>
  <c r="I34" i="36" s="1"/>
  <c r="Z6" i="75"/>
  <c r="AA6" i="75"/>
  <c r="I15" i="36" s="1"/>
  <c r="G15" i="36" s="1"/>
  <c r="AA10" i="75"/>
  <c r="I19" i="36" s="1"/>
  <c r="Z10" i="75"/>
  <c r="AA14" i="75"/>
  <c r="I23" i="36" s="1"/>
  <c r="Z14" i="75"/>
  <c r="AH16" i="72" l="1"/>
  <c r="AH23" i="72"/>
  <c r="SH14" i="72"/>
  <c r="ED30" i="72"/>
  <c r="AH18" i="72"/>
  <c r="AO17" i="72"/>
  <c r="V32" i="72"/>
  <c r="F25" i="72"/>
  <c r="AF25" i="72"/>
  <c r="HR14" i="72"/>
  <c r="T28" i="72"/>
  <c r="V16" i="72"/>
  <c r="T32" i="72"/>
  <c r="F19" i="72"/>
  <c r="ED17" i="72"/>
  <c r="D17" i="72"/>
  <c r="AD17" i="72"/>
  <c r="V29" i="72"/>
  <c r="V19" i="72"/>
  <c r="AH17" i="72"/>
  <c r="ED18" i="72"/>
  <c r="ED23" i="72"/>
  <c r="T30" i="72"/>
  <c r="V21" i="72"/>
  <c r="T29" i="72"/>
  <c r="V17" i="72"/>
  <c r="T27" i="72"/>
  <c r="G34" i="36"/>
  <c r="H34" i="36"/>
  <c r="L34" i="36" s="1"/>
  <c r="N34" i="36" s="1"/>
  <c r="M34" i="36"/>
  <c r="AH27" i="72"/>
  <c r="FY27" i="72"/>
  <c r="AK28" i="72"/>
  <c r="AR28" i="72"/>
  <c r="AV28" i="72" s="1"/>
  <c r="AW28" i="72" s="1"/>
  <c r="AS28" i="72" s="1"/>
  <c r="AM28" i="72"/>
  <c r="C26" i="72"/>
  <c r="EC21" i="72"/>
  <c r="GY35" i="72"/>
  <c r="IN33" i="72"/>
  <c r="IO33" i="72" s="1"/>
  <c r="IP28" i="72"/>
  <c r="IN31" i="72"/>
  <c r="IO31" i="72" s="1"/>
  <c r="IP19" i="72"/>
  <c r="HS18" i="72"/>
  <c r="HS16" i="72"/>
  <c r="F16" i="72" s="1"/>
  <c r="HQ15" i="72"/>
  <c r="HR15" i="72" s="1"/>
  <c r="HS29" i="72"/>
  <c r="HQ31" i="72"/>
  <c r="HR31" i="72" s="1"/>
  <c r="HU35" i="72"/>
  <c r="HW35" i="72"/>
  <c r="HP10" i="72" s="1"/>
  <c r="E44" i="43" s="1"/>
  <c r="I19" i="72"/>
  <c r="BM26" i="72"/>
  <c r="C25" i="72"/>
  <c r="I14" i="72"/>
  <c r="C33" i="72"/>
  <c r="DH35" i="72"/>
  <c r="LG35" i="72"/>
  <c r="FB23" i="72"/>
  <c r="FB15" i="72"/>
  <c r="AF15" i="72" s="1"/>
  <c r="FB20" i="72"/>
  <c r="EZ19" i="72"/>
  <c r="FA19" i="72" s="1"/>
  <c r="FB24" i="72"/>
  <c r="EZ34" i="72"/>
  <c r="FA34" i="72" s="1"/>
  <c r="I28" i="72"/>
  <c r="FW30" i="72"/>
  <c r="FX30" i="72" s="1"/>
  <c r="FY17" i="72"/>
  <c r="F17" i="72" s="1"/>
  <c r="FY33" i="72"/>
  <c r="FW29" i="72"/>
  <c r="FX29" i="72" s="1"/>
  <c r="FY15" i="72"/>
  <c r="I15" i="72"/>
  <c r="AC24" i="72"/>
  <c r="JM35" i="72"/>
  <c r="AK30" i="72"/>
  <c r="AN30" i="72" s="1"/>
  <c r="AK15" i="72"/>
  <c r="AR17" i="72"/>
  <c r="AV17" i="72" s="1"/>
  <c r="AW17" i="72" s="1"/>
  <c r="AS17" i="72" s="1"/>
  <c r="AL18" i="72"/>
  <c r="AL23" i="72"/>
  <c r="AR25" i="72"/>
  <c r="AV25" i="72" s="1"/>
  <c r="AW25" i="72" s="1"/>
  <c r="AS25" i="72" s="1"/>
  <c r="AL26" i="72"/>
  <c r="AM29" i="72"/>
  <c r="AL33" i="72"/>
  <c r="AM20" i="72"/>
  <c r="AO20" i="72" s="1"/>
  <c r="BM29" i="72"/>
  <c r="SG22" i="72"/>
  <c r="SH22" i="72" s="1"/>
  <c r="SI19" i="72"/>
  <c r="SG26" i="72"/>
  <c r="SH26" i="72" s="1"/>
  <c r="SG16" i="72"/>
  <c r="SH16" i="72" s="1"/>
  <c r="SI21" i="72"/>
  <c r="AF21" i="72" s="1"/>
  <c r="EC28" i="72"/>
  <c r="EC20" i="72"/>
  <c r="EE34" i="72"/>
  <c r="EC31" i="72"/>
  <c r="ED31" i="72" s="1"/>
  <c r="EC14" i="72"/>
  <c r="I18" i="72"/>
  <c r="C22" i="72"/>
  <c r="T22" i="72" s="1"/>
  <c r="J14" i="72"/>
  <c r="C14" i="72"/>
  <c r="T14" i="72" s="1"/>
  <c r="GS35" i="72"/>
  <c r="GV24" i="72"/>
  <c r="GV15" i="72"/>
  <c r="GV33" i="72"/>
  <c r="GV22" i="72"/>
  <c r="V30" i="72"/>
  <c r="BM33" i="72"/>
  <c r="BM34" i="72"/>
  <c r="D34" i="72"/>
  <c r="AD34" i="72"/>
  <c r="FB26" i="72"/>
  <c r="C34" i="72"/>
  <c r="GB35" i="72"/>
  <c r="AG32" i="72"/>
  <c r="AF24" i="72"/>
  <c r="AK29" i="72"/>
  <c r="AM31" i="72"/>
  <c r="AR32" i="72"/>
  <c r="AV32" i="72" s="1"/>
  <c r="AW32" i="72" s="1"/>
  <c r="AS32" i="72" s="1"/>
  <c r="NA35" i="72"/>
  <c r="GT23" i="72"/>
  <c r="GU23" i="72" s="1"/>
  <c r="IS35" i="72"/>
  <c r="IP22" i="72"/>
  <c r="IP26" i="72"/>
  <c r="IN23" i="72"/>
  <c r="IO23" i="72" s="1"/>
  <c r="AF32" i="72"/>
  <c r="NX35" i="72"/>
  <c r="HQ20" i="72"/>
  <c r="HR20" i="72" s="1"/>
  <c r="HS33" i="72"/>
  <c r="HQ21" i="72"/>
  <c r="HR21" i="72" s="1"/>
  <c r="LD9" i="72"/>
  <c r="D48" i="43" s="1"/>
  <c r="F48" i="43" s="1"/>
  <c r="RI9" i="72"/>
  <c r="D55" i="43" s="1"/>
  <c r="F55" i="43" s="1"/>
  <c r="MA9" i="72"/>
  <c r="D49" i="43" s="1"/>
  <c r="F49" i="43" s="1"/>
  <c r="QL9" i="72"/>
  <c r="D54" i="43" s="1"/>
  <c r="F54" i="43" s="1"/>
  <c r="MX9" i="72"/>
  <c r="D50" i="43" s="1"/>
  <c r="F50" i="43" s="1"/>
  <c r="PO9" i="72"/>
  <c r="D53" i="43" s="1"/>
  <c r="F53" i="43" s="1"/>
  <c r="NU9" i="72"/>
  <c r="D51" i="43" s="1"/>
  <c r="F51" i="43" s="1"/>
  <c r="SF9" i="72"/>
  <c r="D56" i="43" s="1"/>
  <c r="F56" i="43" s="1"/>
  <c r="OR9" i="72"/>
  <c r="D52" i="43" s="1"/>
  <c r="F52" i="43" s="1"/>
  <c r="JJ9" i="72"/>
  <c r="D46" i="43" s="1"/>
  <c r="KG9" i="72"/>
  <c r="D47" i="43" s="1"/>
  <c r="F47" i="43" s="1"/>
  <c r="AG14" i="72"/>
  <c r="AC33" i="72"/>
  <c r="AH33" i="72" s="1"/>
  <c r="L25" i="36"/>
  <c r="N25" i="36" s="1"/>
  <c r="MB35" i="72"/>
  <c r="F27" i="36" s="1"/>
  <c r="FF35" i="72"/>
  <c r="FB33" i="72"/>
  <c r="F33" i="72" s="1"/>
  <c r="EZ30" i="72"/>
  <c r="FA30" i="72" s="1"/>
  <c r="E30" i="72" s="1"/>
  <c r="EZ26" i="72"/>
  <c r="FA26" i="72" s="1"/>
  <c r="EZ28" i="72"/>
  <c r="FA28" i="72" s="1"/>
  <c r="FV35" i="72"/>
  <c r="FW22" i="72"/>
  <c r="FX22" i="72" s="1"/>
  <c r="FW20" i="72"/>
  <c r="FX20" i="72" s="1"/>
  <c r="JL14" i="72"/>
  <c r="JL35" i="72" s="1"/>
  <c r="JK35" i="72"/>
  <c r="F24" i="36" s="1"/>
  <c r="C24" i="72"/>
  <c r="T24" i="72" s="1"/>
  <c r="MA10" i="72"/>
  <c r="E49" i="43" s="1"/>
  <c r="G49" i="43" s="1"/>
  <c r="LD10" i="72"/>
  <c r="E48" i="43" s="1"/>
  <c r="G48" i="43" s="1"/>
  <c r="RI10" i="72"/>
  <c r="E55" i="43" s="1"/>
  <c r="G55" i="43" s="1"/>
  <c r="JJ10" i="72"/>
  <c r="E46" i="43" s="1"/>
  <c r="NU10" i="72"/>
  <c r="E51" i="43" s="1"/>
  <c r="G51" i="43" s="1"/>
  <c r="KG10" i="72"/>
  <c r="E47" i="43" s="1"/>
  <c r="G47" i="43" s="1"/>
  <c r="PO10" i="72"/>
  <c r="E53" i="43" s="1"/>
  <c r="G53" i="43" s="1"/>
  <c r="QL10" i="72"/>
  <c r="E54" i="43" s="1"/>
  <c r="G54" i="43" s="1"/>
  <c r="SF10" i="72"/>
  <c r="E56" i="43" s="1"/>
  <c r="G56" i="43" s="1"/>
  <c r="MX10" i="72"/>
  <c r="E50" i="43" s="1"/>
  <c r="G50" i="43" s="1"/>
  <c r="OR10" i="72"/>
  <c r="E52" i="43" s="1"/>
  <c r="G52" i="43" s="1"/>
  <c r="I26" i="72"/>
  <c r="AK31" i="72"/>
  <c r="AK23" i="72"/>
  <c r="AL22" i="72"/>
  <c r="AM24" i="72"/>
  <c r="AL27" i="72"/>
  <c r="AR33" i="72"/>
  <c r="AV33" i="72" s="1"/>
  <c r="AW33" i="72" s="1"/>
  <c r="AS33" i="72" s="1"/>
  <c r="AM34" i="72"/>
  <c r="AL14" i="72"/>
  <c r="AL15" i="72"/>
  <c r="AL16" i="72"/>
  <c r="SL35" i="72"/>
  <c r="SI20" i="72"/>
  <c r="SI23" i="72"/>
  <c r="SI33" i="72"/>
  <c r="SJ35" i="72"/>
  <c r="EI35" i="72"/>
  <c r="EE32" i="72"/>
  <c r="F32" i="72" s="1"/>
  <c r="EE17" i="72"/>
  <c r="EE35" i="72" s="1"/>
  <c r="EC33" i="72"/>
  <c r="ED33" i="72" s="1"/>
  <c r="EC15" i="72"/>
  <c r="ED15" i="72" s="1"/>
  <c r="AC22" i="72"/>
  <c r="GT14" i="72"/>
  <c r="GV31" i="72"/>
  <c r="AF31" i="72" s="1"/>
  <c r="AC21" i="72"/>
  <c r="GV20" i="72"/>
  <c r="B56" i="43"/>
  <c r="B34" i="36"/>
  <c r="IP21" i="72"/>
  <c r="HS34" i="72"/>
  <c r="AK16" i="72"/>
  <c r="AM25" i="72"/>
  <c r="AL29" i="72"/>
  <c r="BN35" i="72"/>
  <c r="IT35" i="72"/>
  <c r="IM10" i="72" s="1"/>
  <c r="E45" i="43" s="1"/>
  <c r="IP20" i="72"/>
  <c r="AF20" i="72" s="1"/>
  <c r="IN16" i="72"/>
  <c r="IO16" i="72" s="1"/>
  <c r="IN29" i="72"/>
  <c r="IO29" i="72" s="1"/>
  <c r="BM15" i="72"/>
  <c r="C28" i="72"/>
  <c r="HS17" i="72"/>
  <c r="HQ32" i="72"/>
  <c r="HR32" i="72" s="1"/>
  <c r="I33" i="72"/>
  <c r="T21" i="72"/>
  <c r="C17" i="72"/>
  <c r="T17" i="72" s="1"/>
  <c r="MC35" i="72"/>
  <c r="EY35" i="72"/>
  <c r="EZ14" i="72"/>
  <c r="EZ15" i="72"/>
  <c r="FA15" i="72" s="1"/>
  <c r="FB34" i="72"/>
  <c r="FB32" i="72"/>
  <c r="EZ18" i="72"/>
  <c r="FA18" i="72" s="1"/>
  <c r="BM31" i="72"/>
  <c r="AC19" i="72"/>
  <c r="AH19" i="72" s="1"/>
  <c r="RK14" i="72"/>
  <c r="RK35" i="72" s="1"/>
  <c r="RJ35" i="72"/>
  <c r="F33" i="36" s="1"/>
  <c r="FW14" i="72"/>
  <c r="FY25" i="72"/>
  <c r="FY34" i="72"/>
  <c r="FW23" i="72"/>
  <c r="FX23" i="72" s="1"/>
  <c r="E23" i="72" s="1"/>
  <c r="C15" i="72"/>
  <c r="AK34" i="72"/>
  <c r="AK22" i="72"/>
  <c r="AR18" i="72"/>
  <c r="AV18" i="72" s="1"/>
  <c r="AW18" i="72" s="1"/>
  <c r="AS18" i="72" s="1"/>
  <c r="AM22" i="72"/>
  <c r="AO22" i="72" s="1"/>
  <c r="AR24" i="72"/>
  <c r="AV24" i="72" s="1"/>
  <c r="AW24" i="72" s="1"/>
  <c r="AS24" i="72" s="1"/>
  <c r="AR26" i="72"/>
  <c r="AV26" i="72" s="1"/>
  <c r="AW26" i="72" s="1"/>
  <c r="AS26" i="72" s="1"/>
  <c r="AM27" i="72"/>
  <c r="AO27" i="72" s="1"/>
  <c r="AM30" i="72"/>
  <c r="AO30" i="72" s="1"/>
  <c r="AR34" i="72"/>
  <c r="AV34" i="72" s="1"/>
  <c r="AW34" i="72" s="1"/>
  <c r="AS34" i="72" s="1"/>
  <c r="AM14" i="72"/>
  <c r="SI18" i="72"/>
  <c r="SI35" i="72" s="1"/>
  <c r="SI31" i="72"/>
  <c r="F31" i="72" s="1"/>
  <c r="SG24" i="72"/>
  <c r="SH24" i="72" s="1"/>
  <c r="SG15" i="72"/>
  <c r="SH15" i="72" s="1"/>
  <c r="EB35" i="72"/>
  <c r="EC19" i="72"/>
  <c r="ED19" i="72" s="1"/>
  <c r="EC27" i="72"/>
  <c r="ED27" i="72" s="1"/>
  <c r="EE18" i="72"/>
  <c r="I16" i="72"/>
  <c r="D24" i="72"/>
  <c r="AC31" i="72"/>
  <c r="KH35" i="72"/>
  <c r="F25" i="36" s="1"/>
  <c r="BM14" i="72"/>
  <c r="BL35" i="72"/>
  <c r="F15" i="36" s="1"/>
  <c r="GZ35" i="72"/>
  <c r="GS10" i="72" s="1"/>
  <c r="E43" i="43" s="1"/>
  <c r="GV34" i="72"/>
  <c r="GV17" i="72"/>
  <c r="GT30" i="72"/>
  <c r="GU30" i="72" s="1"/>
  <c r="PP35" i="72"/>
  <c r="F31" i="36" s="1"/>
  <c r="IM35" i="72"/>
  <c r="IP34" i="72"/>
  <c r="IN30" i="72"/>
  <c r="IO30" i="72" s="1"/>
  <c r="IP27" i="72"/>
  <c r="I30" i="72"/>
  <c r="AC28" i="72"/>
  <c r="AH28" i="72" s="1"/>
  <c r="CH9" i="72"/>
  <c r="D38" i="43" s="1"/>
  <c r="HP35" i="72"/>
  <c r="HS19" i="72"/>
  <c r="HS24" i="72"/>
  <c r="F24" i="72" s="1"/>
  <c r="HS28" i="72"/>
  <c r="F28" i="72" s="1"/>
  <c r="HS23" i="72"/>
  <c r="AF23" i="72" s="1"/>
  <c r="QN14" i="72"/>
  <c r="QN35" i="72" s="1"/>
  <c r="QM35" i="72"/>
  <c r="F32" i="36" s="1"/>
  <c r="AC17" i="72"/>
  <c r="AC35" i="72" s="1"/>
  <c r="M29" i="36"/>
  <c r="OS35" i="72"/>
  <c r="F30" i="36" s="1"/>
  <c r="FE35" i="72"/>
  <c r="EY9" i="72" s="1"/>
  <c r="D41" i="43" s="1"/>
  <c r="EZ31" i="72"/>
  <c r="FA31" i="72" s="1"/>
  <c r="EZ16" i="72"/>
  <c r="FA16" i="72" s="1"/>
  <c r="FC35" i="72"/>
  <c r="FD35" i="72"/>
  <c r="I17" i="72"/>
  <c r="C19" i="72"/>
  <c r="FW16" i="72"/>
  <c r="FX16" i="72" s="1"/>
  <c r="FW31" i="72"/>
  <c r="FX31" i="72" s="1"/>
  <c r="FY19" i="72"/>
  <c r="AF19" i="72" s="1"/>
  <c r="GA35" i="72"/>
  <c r="I20" i="72"/>
  <c r="AK33" i="72"/>
  <c r="AK19" i="72"/>
  <c r="AO19" i="72" s="1"/>
  <c r="AK21" i="72"/>
  <c r="AM15" i="72"/>
  <c r="AO15" i="72" s="1"/>
  <c r="AM16" i="72"/>
  <c r="AO16" i="72" s="1"/>
  <c r="AL19" i="72"/>
  <c r="AR20" i="72"/>
  <c r="AV20" i="72" s="1"/>
  <c r="AW20" i="72" s="1"/>
  <c r="AS20" i="72" s="1"/>
  <c r="AL21" i="72"/>
  <c r="AR23" i="72"/>
  <c r="AV23" i="72" s="1"/>
  <c r="AW23" i="72" s="1"/>
  <c r="AS23" i="72" s="1"/>
  <c r="AR27" i="72"/>
  <c r="AV27" i="72" s="1"/>
  <c r="AW27" i="72" s="1"/>
  <c r="AS27" i="72" s="1"/>
  <c r="AR16" i="72"/>
  <c r="AV16" i="72" s="1"/>
  <c r="AW16" i="72" s="1"/>
  <c r="AS16" i="72" s="1"/>
  <c r="SF35" i="72"/>
  <c r="SG32" i="72"/>
  <c r="SH32" i="72" s="1"/>
  <c r="SI25" i="72"/>
  <c r="SK35" i="72"/>
  <c r="EE29" i="72"/>
  <c r="F29" i="72" s="1"/>
  <c r="EE26" i="72"/>
  <c r="F26" i="72" s="1"/>
  <c r="EE21" i="72"/>
  <c r="F21" i="72"/>
  <c r="AD24" i="72"/>
  <c r="C31" i="72"/>
  <c r="KI35" i="72"/>
  <c r="AC27" i="72"/>
  <c r="GV14" i="72"/>
  <c r="GV26" i="72"/>
  <c r="GV29" i="72"/>
  <c r="PQ35" i="72"/>
  <c r="IN32" i="72"/>
  <c r="IO32" i="72" s="1"/>
  <c r="IQ35" i="72"/>
  <c r="AC23" i="72"/>
  <c r="HQ18" i="72"/>
  <c r="HR18" i="72" s="1"/>
  <c r="E18" i="72" s="1"/>
  <c r="HQ27" i="72"/>
  <c r="HR27" i="72" s="1"/>
  <c r="J18" i="72"/>
  <c r="BM16" i="72"/>
  <c r="AC20" i="72"/>
  <c r="AH20" i="72" s="1"/>
  <c r="C18" i="72"/>
  <c r="OT35" i="72"/>
  <c r="FB30" i="72"/>
  <c r="AF30" i="72" s="1"/>
  <c r="FB14" i="72"/>
  <c r="FB22" i="72"/>
  <c r="F22" i="72" s="1"/>
  <c r="EZ25" i="72"/>
  <c r="FA25" i="72" s="1"/>
  <c r="J19" i="72"/>
  <c r="AC32" i="72"/>
  <c r="NW14" i="72"/>
  <c r="NW35" i="72" s="1"/>
  <c r="NV35" i="72"/>
  <c r="F29" i="36" s="1"/>
  <c r="FY14" i="72"/>
  <c r="FW27" i="72"/>
  <c r="FX27" i="72" s="1"/>
  <c r="FZ35" i="72"/>
  <c r="E17" i="72"/>
  <c r="AE17" i="72"/>
  <c r="V28" i="72"/>
  <c r="I24" i="72"/>
  <c r="AK18" i="72"/>
  <c r="AO18" i="72" s="1"/>
  <c r="AK24" i="72"/>
  <c r="AK32" i="72"/>
  <c r="AM21" i="72"/>
  <c r="AO21" i="72" s="1"/>
  <c r="AR22" i="72"/>
  <c r="AV22" i="72" s="1"/>
  <c r="AW22" i="72" s="1"/>
  <c r="AS22" i="72" s="1"/>
  <c r="AL28" i="72"/>
  <c r="AR30" i="72"/>
  <c r="AV30" i="72" s="1"/>
  <c r="AW30" i="72" s="1"/>
  <c r="AS30" i="72" s="1"/>
  <c r="BD30" i="72" s="1"/>
  <c r="AL32" i="72"/>
  <c r="AL17" i="72"/>
  <c r="AR19" i="72"/>
  <c r="AV19" i="72" s="1"/>
  <c r="AW19" i="72" s="1"/>
  <c r="AS19" i="72" s="1"/>
  <c r="AC30" i="72"/>
  <c r="AH30" i="72" s="1"/>
  <c r="SI27" i="72"/>
  <c r="F27" i="72" s="1"/>
  <c r="LE35" i="72"/>
  <c r="F26" i="36" s="1"/>
  <c r="EH35" i="72"/>
  <c r="EE23" i="72"/>
  <c r="EE30" i="72"/>
  <c r="EE27" i="72"/>
  <c r="AF27" i="72" s="1"/>
  <c r="EC29" i="72"/>
  <c r="ED29" i="72" s="1"/>
  <c r="EF35" i="72"/>
  <c r="E24" i="72"/>
  <c r="AE24" i="72"/>
  <c r="GV21" i="72"/>
  <c r="GV27" i="72"/>
  <c r="GT25" i="72"/>
  <c r="GU25" i="72" s="1"/>
  <c r="CJ14" i="72"/>
  <c r="CJ35" i="72" s="1"/>
  <c r="CI35" i="72"/>
  <c r="F16" i="36" s="1"/>
  <c r="IN18" i="72"/>
  <c r="IO18" i="72" s="1"/>
  <c r="C23" i="72"/>
  <c r="T23" i="72" s="1"/>
  <c r="HV35" i="72"/>
  <c r="HP9" i="72" s="1"/>
  <c r="D44" i="43" s="1"/>
  <c r="HS14" i="72"/>
  <c r="HQ16" i="72"/>
  <c r="HR16" i="72" s="1"/>
  <c r="F30" i="72"/>
  <c r="C20" i="72"/>
  <c r="V20" i="72" s="1"/>
  <c r="CH10" i="72"/>
  <c r="E38" i="43" s="1"/>
  <c r="I25" i="72"/>
  <c r="EZ32" i="72"/>
  <c r="FA32" i="72" s="1"/>
  <c r="AE32" i="72" s="1"/>
  <c r="FB16" i="72"/>
  <c r="AF16" i="72" s="1"/>
  <c r="I23" i="72"/>
  <c r="BM22" i="72"/>
  <c r="GC35" i="72"/>
  <c r="FV10" i="72" s="1"/>
  <c r="E42" i="43" s="1"/>
  <c r="FW28" i="72"/>
  <c r="FX28" i="72" s="1"/>
  <c r="FW26" i="72"/>
  <c r="FX26" i="72" s="1"/>
  <c r="I34" i="72"/>
  <c r="AK14" i="72"/>
  <c r="AK25" i="72"/>
  <c r="AK20" i="72"/>
  <c r="AR21" i="72"/>
  <c r="AV21" i="72" s="1"/>
  <c r="AW21" i="72" s="1"/>
  <c r="AS21" i="72" s="1"/>
  <c r="AL25" i="72"/>
  <c r="AL31" i="72"/>
  <c r="AM32" i="72"/>
  <c r="AO32" i="72" s="1"/>
  <c r="AL20" i="72"/>
  <c r="AM23" i="72"/>
  <c r="AO23" i="72" s="1"/>
  <c r="AL24" i="72"/>
  <c r="SM35" i="72"/>
  <c r="LF35" i="72"/>
  <c r="I29" i="72"/>
  <c r="DF35" i="72"/>
  <c r="F17" i="36" s="1"/>
  <c r="I21" i="72"/>
  <c r="D25" i="72"/>
  <c r="AC29" i="72"/>
  <c r="GV16" i="72"/>
  <c r="GX35" i="72"/>
  <c r="IN14" i="72"/>
  <c r="IR35" i="72"/>
  <c r="MD35" i="72"/>
  <c r="BM19" i="72"/>
  <c r="D19" i="72"/>
  <c r="AD19" i="72"/>
  <c r="L27" i="36"/>
  <c r="N27" i="36" s="1"/>
  <c r="MZ14" i="72"/>
  <c r="MZ35" i="72" s="1"/>
  <c r="MY35" i="72"/>
  <c r="F28" i="36" s="1"/>
  <c r="BM27" i="72"/>
  <c r="D27" i="72"/>
  <c r="AD27" i="72"/>
  <c r="M28" i="36"/>
  <c r="AK27" i="72"/>
  <c r="AK26" i="72"/>
  <c r="AK17" i="72"/>
  <c r="AM26" i="72"/>
  <c r="AO26" i="72" s="1"/>
  <c r="AR29" i="72"/>
  <c r="AV29" i="72" s="1"/>
  <c r="AW29" i="72" s="1"/>
  <c r="AS29" i="72" s="1"/>
  <c r="AR31" i="72"/>
  <c r="AV31" i="72" s="1"/>
  <c r="AW31" i="72" s="1"/>
  <c r="AS31" i="72" s="1"/>
  <c r="AM33" i="72"/>
  <c r="AO33" i="72" s="1"/>
  <c r="AL34" i="72"/>
  <c r="AR14" i="72"/>
  <c r="AR15" i="72"/>
  <c r="AV15" i="72" s="1"/>
  <c r="AW15" i="72" s="1"/>
  <c r="AS15" i="72" s="1"/>
  <c r="DG35" i="72"/>
  <c r="L26" i="36"/>
  <c r="N26" i="36" s="1"/>
  <c r="E25" i="72"/>
  <c r="AE25" i="72"/>
  <c r="Z54" i="72"/>
  <c r="Z61" i="72"/>
  <c r="Z43" i="72"/>
  <c r="Z64" i="72"/>
  <c r="Z53" i="72"/>
  <c r="Z58" i="72"/>
  <c r="Z56" i="72"/>
  <c r="Z45" i="72"/>
  <c r="Z50" i="72"/>
  <c r="Z48" i="72"/>
  <c r="Z37" i="72"/>
  <c r="R38" i="72"/>
  <c r="S49" i="72" s="1"/>
  <c r="Z60" i="72"/>
  <c r="Z42" i="72"/>
  <c r="Z40" i="72"/>
  <c r="Z39" i="72"/>
  <c r="Z52" i="72"/>
  <c r="Z65" i="72"/>
  <c r="Z63" i="72"/>
  <c r="Z62" i="72"/>
  <c r="Z44" i="72"/>
  <c r="Z57" i="72"/>
  <c r="Z55" i="72"/>
  <c r="Z59" i="72"/>
  <c r="Z49" i="72"/>
  <c r="Z47" i="72"/>
  <c r="Z46" i="72"/>
  <c r="Z51" i="72"/>
  <c r="Z41" i="72"/>
  <c r="AH39" i="72"/>
  <c r="AB17" i="70"/>
  <c r="AB19" i="70"/>
  <c r="AB13" i="70"/>
  <c r="AB25" i="70"/>
  <c r="AB27" i="70"/>
  <c r="AB21" i="70"/>
  <c r="AB22" i="70"/>
  <c r="AB15" i="70"/>
  <c r="AB29" i="70"/>
  <c r="AB24" i="70"/>
  <c r="AB18" i="70"/>
  <c r="AB12" i="70"/>
  <c r="AB14" i="70"/>
  <c r="AB26" i="70"/>
  <c r="AB20" i="70"/>
  <c r="AB10" i="70"/>
  <c r="AB11" i="70"/>
  <c r="AB23" i="70"/>
  <c r="AB28" i="70"/>
  <c r="AB16" i="70"/>
  <c r="AB30" i="70"/>
  <c r="S22" i="36"/>
  <c r="U21" i="36"/>
  <c r="U16" i="36"/>
  <c r="U18" i="36"/>
  <c r="U24" i="36"/>
  <c r="U19" i="36"/>
  <c r="U23" i="36"/>
  <c r="U20" i="36"/>
  <c r="U17" i="36"/>
  <c r="M479" i="94"/>
  <c r="M477" i="94" s="1"/>
  <c r="O478" i="94"/>
  <c r="H5" i="94"/>
  <c r="H9" i="94"/>
  <c r="T15" i="36"/>
  <c r="O10" i="75"/>
  <c r="AB10" i="75" s="1"/>
  <c r="O8" i="75"/>
  <c r="AB8" i="75" s="1"/>
  <c r="O12" i="75"/>
  <c r="AB12" i="75" s="1"/>
  <c r="O9" i="75"/>
  <c r="AB9" i="75" s="1"/>
  <c r="T20" i="36"/>
  <c r="R20" i="36"/>
  <c r="R19" i="36"/>
  <c r="T19" i="36"/>
  <c r="R22" i="36"/>
  <c r="T24" i="36"/>
  <c r="T21" i="36"/>
  <c r="S21" i="36"/>
  <c r="R23" i="36"/>
  <c r="T23" i="36"/>
  <c r="T16" i="36"/>
  <c r="R16" i="36"/>
  <c r="R15" i="36"/>
  <c r="R18" i="36"/>
  <c r="T18" i="36"/>
  <c r="R24" i="36"/>
  <c r="R21" i="36"/>
  <c r="S16" i="36"/>
  <c r="S24" i="36"/>
  <c r="S23" i="36"/>
  <c r="S17" i="36"/>
  <c r="S19" i="36"/>
  <c r="S20" i="36"/>
  <c r="S18" i="36"/>
  <c r="K23" i="36"/>
  <c r="K22" i="36"/>
  <c r="K19" i="36"/>
  <c r="K20" i="36"/>
  <c r="K21" i="36"/>
  <c r="K15" i="36"/>
  <c r="B17" i="36"/>
  <c r="B39" i="43"/>
  <c r="B23" i="36"/>
  <c r="B45" i="43"/>
  <c r="B20" i="36"/>
  <c r="B42" i="43"/>
  <c r="B18" i="36"/>
  <c r="B40" i="43"/>
  <c r="B21" i="36"/>
  <c r="B43" i="43"/>
  <c r="B22" i="36"/>
  <c r="B44" i="43"/>
  <c r="B19" i="36"/>
  <c r="B41" i="43"/>
  <c r="B15" i="36"/>
  <c r="B37" i="43"/>
  <c r="AE5" i="75"/>
  <c r="O6" i="75"/>
  <c r="AB6" i="75" s="1"/>
  <c r="Z14" i="72" l="1"/>
  <c r="Z16" i="72"/>
  <c r="AA16" i="72" s="1"/>
  <c r="Z26" i="72"/>
  <c r="AA26" i="72" s="1"/>
  <c r="Z18" i="72"/>
  <c r="AA18" i="72" s="1"/>
  <c r="Z34" i="72"/>
  <c r="AA34" i="72" s="1"/>
  <c r="Z15" i="72"/>
  <c r="AA15" i="72" s="1"/>
  <c r="Z25" i="72"/>
  <c r="AA25" i="72" s="1"/>
  <c r="D26" i="72"/>
  <c r="ED21" i="72"/>
  <c r="D21" i="72"/>
  <c r="AD21" i="72"/>
  <c r="F23" i="72"/>
  <c r="F15" i="72"/>
  <c r="AA30" i="36"/>
  <c r="AD30" i="36"/>
  <c r="AB30" i="36"/>
  <c r="AC30" i="36"/>
  <c r="Q30" i="36"/>
  <c r="AK30" i="36" s="1"/>
  <c r="O30" i="36"/>
  <c r="AI30" i="36" s="1"/>
  <c r="P30" i="36"/>
  <c r="AJ30" i="36" s="1"/>
  <c r="AH30" i="36"/>
  <c r="AL30" i="36" s="1"/>
  <c r="AD31" i="72"/>
  <c r="AN17" i="72"/>
  <c r="BD17" i="72"/>
  <c r="AB29" i="36"/>
  <c r="AA29" i="36"/>
  <c r="AC29" i="36"/>
  <c r="AD29" i="36"/>
  <c r="O29" i="36"/>
  <c r="AI29" i="36" s="1"/>
  <c r="Q29" i="36"/>
  <c r="AK29" i="36" s="1"/>
  <c r="P29" i="36"/>
  <c r="AH29" i="36"/>
  <c r="AL29" i="36" s="1"/>
  <c r="AJ29" i="36"/>
  <c r="AN34" i="72"/>
  <c r="BD34" i="72"/>
  <c r="E32" i="72"/>
  <c r="Z29" i="72"/>
  <c r="AA29" i="72" s="1"/>
  <c r="AK35" i="72"/>
  <c r="D22" i="72"/>
  <c r="AD26" i="36"/>
  <c r="AC26" i="36"/>
  <c r="AA26" i="36"/>
  <c r="AB26" i="36"/>
  <c r="P26" i="36"/>
  <c r="AJ26" i="36" s="1"/>
  <c r="Q26" i="36"/>
  <c r="AK26" i="36" s="1"/>
  <c r="O26" i="36"/>
  <c r="AI26" i="36" s="1"/>
  <c r="AH26" i="36"/>
  <c r="AL26" i="36" s="1"/>
  <c r="D16" i="72"/>
  <c r="T31" i="72"/>
  <c r="V31" i="72"/>
  <c r="BD19" i="72"/>
  <c r="AN19" i="72"/>
  <c r="AF17" i="72"/>
  <c r="V15" i="72"/>
  <c r="T15" i="72"/>
  <c r="AO25" i="72"/>
  <c r="BD16" i="72"/>
  <c r="AN16" i="72"/>
  <c r="AG35" i="72"/>
  <c r="AH14" i="72"/>
  <c r="V34" i="72"/>
  <c r="ED20" i="72"/>
  <c r="D20" i="72"/>
  <c r="AD20" i="72"/>
  <c r="AD29" i="72"/>
  <c r="AN18" i="72"/>
  <c r="BD18" i="72"/>
  <c r="AD26" i="72"/>
  <c r="V14" i="72"/>
  <c r="SH35" i="72"/>
  <c r="BD20" i="72"/>
  <c r="AN20" i="72"/>
  <c r="E22" i="72"/>
  <c r="AE22" i="72"/>
  <c r="AO31" i="72"/>
  <c r="FB35" i="72"/>
  <c r="Z31" i="72"/>
  <c r="AA31" i="72" s="1"/>
  <c r="Z22" i="72"/>
  <c r="AA22" i="72" s="1"/>
  <c r="E26" i="72"/>
  <c r="AE26" i="72"/>
  <c r="T26" i="72"/>
  <c r="F20" i="72"/>
  <c r="AH22" i="72"/>
  <c r="FA14" i="72"/>
  <c r="FA35" i="72" s="1"/>
  <c r="EZ35" i="72"/>
  <c r="F19" i="36" s="1"/>
  <c r="EB10" i="72"/>
  <c r="E40" i="43" s="1"/>
  <c r="AE30" i="72"/>
  <c r="E27" i="72"/>
  <c r="AE27" i="72"/>
  <c r="AN31" i="72"/>
  <c r="BD31" i="72"/>
  <c r="HS35" i="72"/>
  <c r="D32" i="72"/>
  <c r="FY35" i="72"/>
  <c r="D31" i="72"/>
  <c r="AO34" i="72"/>
  <c r="V26" i="72"/>
  <c r="BD33" i="72"/>
  <c r="AN33" i="72"/>
  <c r="AO28" i="72"/>
  <c r="T20" i="72"/>
  <c r="T34" i="72"/>
  <c r="IP35" i="72"/>
  <c r="ED28" i="72"/>
  <c r="AD28" i="72"/>
  <c r="D28" i="72"/>
  <c r="AL35" i="72"/>
  <c r="AN35" i="72" s="1"/>
  <c r="AN14" i="72"/>
  <c r="BD25" i="72"/>
  <c r="AN25" i="72"/>
  <c r="D30" i="72"/>
  <c r="Z30" i="72"/>
  <c r="AA30" i="72" s="1"/>
  <c r="E31" i="72"/>
  <c r="AE31" i="72"/>
  <c r="F14" i="72"/>
  <c r="AO29" i="72"/>
  <c r="AD32" i="72"/>
  <c r="AE18" i="72"/>
  <c r="V23" i="72"/>
  <c r="AN32" i="72"/>
  <c r="BD32" i="72"/>
  <c r="T18" i="72"/>
  <c r="Z23" i="72"/>
  <c r="AA23" i="72" s="1"/>
  <c r="GV35" i="72"/>
  <c r="AF29" i="72"/>
  <c r="AE23" i="72"/>
  <c r="AD15" i="72"/>
  <c r="AF14" i="72"/>
  <c r="BD27" i="72"/>
  <c r="AN27" i="72"/>
  <c r="AB27" i="36"/>
  <c r="AA27" i="36"/>
  <c r="AD27" i="36"/>
  <c r="AC27" i="36"/>
  <c r="P27" i="36"/>
  <c r="AJ27" i="36" s="1"/>
  <c r="Q27" i="36"/>
  <c r="AK27" i="36" s="1"/>
  <c r="O27" i="36"/>
  <c r="AI27" i="36" s="1"/>
  <c r="AH27" i="36"/>
  <c r="AL27" i="36" s="1"/>
  <c r="IM9" i="72"/>
  <c r="D45" i="43" s="1"/>
  <c r="AD33" i="72"/>
  <c r="ED14" i="72"/>
  <c r="ED35" i="72" s="1"/>
  <c r="EC35" i="72"/>
  <c r="F18" i="36" s="1"/>
  <c r="AN26" i="72"/>
  <c r="BD26" i="72"/>
  <c r="Z24" i="72"/>
  <c r="AA24" i="72" s="1"/>
  <c r="V33" i="72"/>
  <c r="T33" i="72"/>
  <c r="D23" i="72"/>
  <c r="AH24" i="72"/>
  <c r="AF33" i="72"/>
  <c r="AD30" i="72"/>
  <c r="E19" i="72"/>
  <c r="AE19" i="72"/>
  <c r="E16" i="72"/>
  <c r="AE16" i="72"/>
  <c r="AN15" i="72"/>
  <c r="BD15" i="72"/>
  <c r="V22" i="72"/>
  <c r="AB28" i="36"/>
  <c r="AD28" i="36"/>
  <c r="AA28" i="36"/>
  <c r="AC28" i="36"/>
  <c r="P28" i="36"/>
  <c r="AJ28" i="36" s="1"/>
  <c r="Q28" i="36"/>
  <c r="AK28" i="36" s="1"/>
  <c r="O28" i="36"/>
  <c r="AI28" i="36" s="1"/>
  <c r="AH28" i="36"/>
  <c r="AL28" i="36" s="1"/>
  <c r="IO14" i="72"/>
  <c r="IO35" i="72" s="1"/>
  <c r="IN35" i="72"/>
  <c r="F23" i="36" s="1"/>
  <c r="Z17" i="72"/>
  <c r="AA17" i="72" s="1"/>
  <c r="AD14" i="72"/>
  <c r="D15" i="72"/>
  <c r="EY10" i="72"/>
  <c r="E41" i="43" s="1"/>
  <c r="E34" i="72"/>
  <c r="AE34" i="72"/>
  <c r="AV14" i="72"/>
  <c r="AW14" i="72" s="1"/>
  <c r="AS14" i="72" s="1"/>
  <c r="AS35" i="72" s="1"/>
  <c r="AR35" i="72"/>
  <c r="AT35" i="72" s="1"/>
  <c r="AF26" i="72"/>
  <c r="AH32" i="72"/>
  <c r="Z32" i="72"/>
  <c r="AA32" i="72" s="1"/>
  <c r="Z20" i="72"/>
  <c r="AA20" i="72" s="1"/>
  <c r="AF28" i="72"/>
  <c r="Z27" i="72"/>
  <c r="AA27" i="72" s="1"/>
  <c r="BD21" i="72"/>
  <c r="AN21" i="72"/>
  <c r="D14" i="72"/>
  <c r="F18" i="72"/>
  <c r="AF18" i="72"/>
  <c r="AM35" i="72"/>
  <c r="AO35" i="72" s="1"/>
  <c r="AO14" i="72"/>
  <c r="FX14" i="72"/>
  <c r="FX35" i="72" s="1"/>
  <c r="FW35" i="72"/>
  <c r="F20" i="36" s="1"/>
  <c r="E15" i="72"/>
  <c r="AE15" i="72"/>
  <c r="AO24" i="72"/>
  <c r="V24" i="72"/>
  <c r="Q24" i="72"/>
  <c r="D33" i="72"/>
  <c r="I35" i="72"/>
  <c r="V18" i="72"/>
  <c r="AD23" i="72"/>
  <c r="D18" i="72"/>
  <c r="T19" i="72"/>
  <c r="HQ35" i="72"/>
  <c r="F22" i="36" s="1"/>
  <c r="AF22" i="72"/>
  <c r="AB25" i="36"/>
  <c r="AD25" i="36"/>
  <c r="AC25" i="36"/>
  <c r="AA25" i="36"/>
  <c r="P25" i="36"/>
  <c r="AJ25" i="36" s="1"/>
  <c r="O25" i="36"/>
  <c r="AI25" i="36" s="1"/>
  <c r="Q25" i="36"/>
  <c r="AK25" i="36" s="1"/>
  <c r="AH25" i="36"/>
  <c r="AL25" i="36" s="1"/>
  <c r="Z19" i="72"/>
  <c r="AA19" i="72" s="1"/>
  <c r="GU14" i="72"/>
  <c r="GU35" i="72" s="1"/>
  <c r="GT35" i="72"/>
  <c r="F21" i="36" s="1"/>
  <c r="E29" i="72"/>
  <c r="AE29" i="72"/>
  <c r="BD24" i="72"/>
  <c r="AN24" i="72"/>
  <c r="AD22" i="72"/>
  <c r="Q20" i="72"/>
  <c r="S20" i="72"/>
  <c r="AZ20" i="72" s="1"/>
  <c r="L20" i="72"/>
  <c r="AD25" i="72"/>
  <c r="EB9" i="72"/>
  <c r="D40" i="43" s="1"/>
  <c r="AN28" i="72"/>
  <c r="BD28" i="72"/>
  <c r="AD16" i="72"/>
  <c r="AD32" i="36"/>
  <c r="AA32" i="36"/>
  <c r="AC32" i="36"/>
  <c r="AB32" i="36"/>
  <c r="P32" i="36"/>
  <c r="AJ32" i="36" s="1"/>
  <c r="Q32" i="36"/>
  <c r="AK32" i="36" s="1"/>
  <c r="O32" i="36"/>
  <c r="AI32" i="36" s="1"/>
  <c r="AH32" i="36"/>
  <c r="AL32" i="36" s="1"/>
  <c r="Z28" i="72"/>
  <c r="AA28" i="72" s="1"/>
  <c r="AA31" i="36"/>
  <c r="AD31" i="36"/>
  <c r="AB31" i="36"/>
  <c r="AC31" i="36"/>
  <c r="O31" i="36"/>
  <c r="AI31" i="36" s="1"/>
  <c r="P31" i="36"/>
  <c r="AJ31" i="36" s="1"/>
  <c r="Q31" i="36"/>
  <c r="AK31" i="36" s="1"/>
  <c r="AH31" i="36"/>
  <c r="AL31" i="36" s="1"/>
  <c r="BM35" i="72"/>
  <c r="AE14" i="72"/>
  <c r="E14" i="72"/>
  <c r="AB33" i="36"/>
  <c r="AC33" i="36"/>
  <c r="AA33" i="36"/>
  <c r="AD33" i="36"/>
  <c r="Q33" i="36"/>
  <c r="AK33" i="36" s="1"/>
  <c r="O33" i="36"/>
  <c r="AI33" i="36" s="1"/>
  <c r="P33" i="36"/>
  <c r="AJ33" i="36" s="1"/>
  <c r="AH33" i="36"/>
  <c r="AL33" i="36" s="1"/>
  <c r="BD29" i="72"/>
  <c r="AN29" i="72"/>
  <c r="AH21" i="72"/>
  <c r="Z21" i="72"/>
  <c r="AA21" i="72" s="1"/>
  <c r="AN22" i="72"/>
  <c r="BD22" i="72"/>
  <c r="Z33" i="72"/>
  <c r="AA33" i="72" s="1"/>
  <c r="FV9" i="72"/>
  <c r="D42" i="43" s="1"/>
  <c r="E33" i="72"/>
  <c r="AE33" i="72"/>
  <c r="C35" i="72"/>
  <c r="L31" i="72" s="1"/>
  <c r="K14" i="72"/>
  <c r="S14" i="72"/>
  <c r="AZ14" i="72" s="1"/>
  <c r="Q14" i="72"/>
  <c r="L14" i="72"/>
  <c r="M14" i="72"/>
  <c r="AF34" i="72"/>
  <c r="F34" i="72"/>
  <c r="D29" i="72"/>
  <c r="AN23" i="72"/>
  <c r="BD23" i="72"/>
  <c r="T25" i="72"/>
  <c r="S25" i="72"/>
  <c r="AZ25" i="72" s="1"/>
  <c r="L25" i="72"/>
  <c r="M25" i="72"/>
  <c r="Q25" i="72"/>
  <c r="K25" i="72"/>
  <c r="GS9" i="72"/>
  <c r="D43" i="43" s="1"/>
  <c r="AH31" i="72"/>
  <c r="AD18" i="72"/>
  <c r="AH29" i="72"/>
  <c r="HR35" i="72"/>
  <c r="V25" i="72"/>
  <c r="SG35" i="72"/>
  <c r="F34" i="36" s="1"/>
  <c r="T22" i="36"/>
  <c r="U22" i="36"/>
  <c r="AH38" i="72"/>
  <c r="AH37" i="72" s="1"/>
  <c r="AH40" i="72" s="1"/>
  <c r="H6" i="70" s="1"/>
  <c r="G17" i="94"/>
  <c r="G148" i="94"/>
  <c r="G124" i="94"/>
  <c r="G140" i="94"/>
  <c r="G132" i="94"/>
  <c r="G116" i="94"/>
  <c r="H5" i="11"/>
  <c r="L5" i="94"/>
  <c r="H6" i="12"/>
  <c r="H5" i="70"/>
  <c r="O11" i="75"/>
  <c r="U15" i="36"/>
  <c r="G213" i="94"/>
  <c r="G201" i="94"/>
  <c r="K223" i="94" s="1"/>
  <c r="G45" i="94"/>
  <c r="G31" i="94"/>
  <c r="F23" i="12"/>
  <c r="N23" i="12" s="1"/>
  <c r="S15" i="36"/>
  <c r="K16" i="36"/>
  <c r="Z16" i="36" s="1"/>
  <c r="K18" i="36"/>
  <c r="Z18" i="36" s="1"/>
  <c r="AC14" i="75"/>
  <c r="Z24" i="36"/>
  <c r="Z21" i="36"/>
  <c r="Z22" i="36"/>
  <c r="Z19" i="36"/>
  <c r="Z20" i="36"/>
  <c r="Z23" i="36"/>
  <c r="Z15" i="36"/>
  <c r="D25" i="57"/>
  <c r="D29" i="57"/>
  <c r="D23" i="57"/>
  <c r="D26" i="57"/>
  <c r="D30" i="57"/>
  <c r="D27" i="57"/>
  <c r="D31" i="57"/>
  <c r="D24" i="57"/>
  <c r="D28" i="57"/>
  <c r="D32" i="57"/>
  <c r="M24" i="72" l="1"/>
  <c r="AD35" i="72"/>
  <c r="S22" i="72"/>
  <c r="AZ22" i="72" s="1"/>
  <c r="L33" i="72"/>
  <c r="M28" i="72"/>
  <c r="Q19" i="72"/>
  <c r="Q26" i="72"/>
  <c r="L34" i="72"/>
  <c r="M15" i="72"/>
  <c r="S31" i="72"/>
  <c r="AZ31" i="72" s="1"/>
  <c r="K20" i="72"/>
  <c r="K24" i="72"/>
  <c r="Q33" i="72"/>
  <c r="R33" i="72" s="1"/>
  <c r="L28" i="72"/>
  <c r="M19" i="72"/>
  <c r="S26" i="72"/>
  <c r="AZ26" i="72" s="1"/>
  <c r="K34" i="72"/>
  <c r="M31" i="72"/>
  <c r="M18" i="72"/>
  <c r="L23" i="72"/>
  <c r="K28" i="72"/>
  <c r="L19" i="72"/>
  <c r="M26" i="72"/>
  <c r="Q34" i="72"/>
  <c r="R34" i="72" s="1"/>
  <c r="L26" i="72"/>
  <c r="M35" i="72"/>
  <c r="Q35" i="72"/>
  <c r="R35" i="72" s="1"/>
  <c r="L35" i="72"/>
  <c r="K35" i="72"/>
  <c r="S35" i="72"/>
  <c r="U16" i="72"/>
  <c r="U26" i="72"/>
  <c r="U33" i="72"/>
  <c r="W19" i="72"/>
  <c r="W18" i="72"/>
  <c r="U29" i="72"/>
  <c r="U19" i="72"/>
  <c r="U24" i="72"/>
  <c r="W17" i="72"/>
  <c r="W20" i="72"/>
  <c r="U25" i="72"/>
  <c r="W24" i="72"/>
  <c r="W23" i="72"/>
  <c r="W30" i="72"/>
  <c r="W16" i="72"/>
  <c r="U30" i="72"/>
  <c r="W34" i="72"/>
  <c r="W28" i="72"/>
  <c r="U23" i="72"/>
  <c r="U28" i="72"/>
  <c r="W29" i="72"/>
  <c r="W32" i="72"/>
  <c r="U21" i="72"/>
  <c r="W15" i="72"/>
  <c r="W31" i="72"/>
  <c r="U34" i="72"/>
  <c r="U20" i="72"/>
  <c r="W33" i="72"/>
  <c r="W22" i="72"/>
  <c r="W21" i="72"/>
  <c r="U18" i="72"/>
  <c r="W27" i="72"/>
  <c r="U14" i="72"/>
  <c r="U22" i="72"/>
  <c r="W25" i="72"/>
  <c r="U32" i="72"/>
  <c r="U27" i="72"/>
  <c r="W14" i="72"/>
  <c r="U17" i="72"/>
  <c r="U15" i="72"/>
  <c r="U31" i="72"/>
  <c r="W26" i="72"/>
  <c r="S32" i="72"/>
  <c r="AZ32" i="72" s="1"/>
  <c r="M16" i="72"/>
  <c r="M21" i="72"/>
  <c r="Q27" i="72"/>
  <c r="R27" i="72" s="1"/>
  <c r="K16" i="72"/>
  <c r="S27" i="72"/>
  <c r="AZ27" i="72" s="1"/>
  <c r="L32" i="72"/>
  <c r="L16" i="72"/>
  <c r="S21" i="72"/>
  <c r="AZ21" i="72" s="1"/>
  <c r="K32" i="72"/>
  <c r="K30" i="72"/>
  <c r="S16" i="72"/>
  <c r="AZ16" i="72" s="1"/>
  <c r="L21" i="72"/>
  <c r="Q32" i="72"/>
  <c r="R32" i="72" s="1"/>
  <c r="L30" i="72"/>
  <c r="M29" i="72"/>
  <c r="K21" i="72"/>
  <c r="Q30" i="72"/>
  <c r="R30" i="72" s="1"/>
  <c r="Q29" i="72"/>
  <c r="R29" i="72" s="1"/>
  <c r="M32" i="72"/>
  <c r="M30" i="72"/>
  <c r="K29" i="72"/>
  <c r="L27" i="72"/>
  <c r="S30" i="72"/>
  <c r="AZ30" i="72" s="1"/>
  <c r="L29" i="72"/>
  <c r="M27" i="72"/>
  <c r="Q16" i="72"/>
  <c r="R16" i="72" s="1"/>
  <c r="S29" i="72"/>
  <c r="AZ29" i="72" s="1"/>
  <c r="Q21" i="72"/>
  <c r="R21" i="72" s="1"/>
  <c r="K27" i="72"/>
  <c r="M20" i="72"/>
  <c r="Q17" i="72"/>
  <c r="R17" i="72" s="1"/>
  <c r="K18" i="72"/>
  <c r="M23" i="72"/>
  <c r="F35" i="72"/>
  <c r="BD14" i="72"/>
  <c r="Q28" i="72"/>
  <c r="R28" i="72" s="1"/>
  <c r="K26" i="72"/>
  <c r="S34" i="72"/>
  <c r="AZ34" i="72" s="1"/>
  <c r="AD34" i="36"/>
  <c r="AC34" i="36"/>
  <c r="AA34" i="36"/>
  <c r="AB34" i="36"/>
  <c r="P34" i="36"/>
  <c r="AJ34" i="36" s="1"/>
  <c r="O34" i="36"/>
  <c r="AI34" i="36" s="1"/>
  <c r="Q34" i="36"/>
  <c r="AK34" i="36" s="1"/>
  <c r="R25" i="72"/>
  <c r="R20" i="72"/>
  <c r="D35" i="72"/>
  <c r="L17" i="72"/>
  <c r="L22" i="72"/>
  <c r="AF35" i="72"/>
  <c r="Q18" i="72"/>
  <c r="R18" i="72" s="1"/>
  <c r="Q23" i="72"/>
  <c r="R23" i="72" s="1"/>
  <c r="S28" i="72"/>
  <c r="AZ28" i="72" s="1"/>
  <c r="M34" i="72"/>
  <c r="L15" i="72"/>
  <c r="R24" i="72"/>
  <c r="M17" i="72"/>
  <c r="M22" i="72"/>
  <c r="S33" i="72"/>
  <c r="AZ33" i="72" s="1"/>
  <c r="L18" i="72"/>
  <c r="K23" i="72"/>
  <c r="S15" i="72"/>
  <c r="AZ15" i="72" s="1"/>
  <c r="L24" i="72"/>
  <c r="K17" i="72"/>
  <c r="Q22" i="72"/>
  <c r="R22" i="72" s="1"/>
  <c r="K33" i="72"/>
  <c r="S18" i="72"/>
  <c r="AZ18" i="72" s="1"/>
  <c r="S23" i="72"/>
  <c r="AZ23" i="72" s="1"/>
  <c r="S19" i="72"/>
  <c r="AZ19" i="72" s="1"/>
  <c r="Q15" i="72"/>
  <c r="R15" i="72" s="1"/>
  <c r="Q31" i="72"/>
  <c r="R31" i="72" s="1"/>
  <c r="AE21" i="72"/>
  <c r="E21" i="72"/>
  <c r="AA14" i="72"/>
  <c r="AA35" i="72" s="1"/>
  <c r="Z35" i="72"/>
  <c r="S24" i="72"/>
  <c r="AZ24" i="72" s="1"/>
  <c r="S17" i="72"/>
  <c r="AZ17" i="72" s="1"/>
  <c r="K22" i="72"/>
  <c r="M33" i="72"/>
  <c r="E28" i="72"/>
  <c r="AE28" i="72"/>
  <c r="K19" i="72"/>
  <c r="E20" i="72"/>
  <c r="E35" i="72" s="1"/>
  <c r="E36" i="72" s="1"/>
  <c r="AE20" i="72"/>
  <c r="AE35" i="72" s="1"/>
  <c r="AE11" i="72" s="1"/>
  <c r="K15" i="72"/>
  <c r="K31" i="72"/>
  <c r="AH34" i="36"/>
  <c r="AL34" i="36" s="1"/>
  <c r="AB11" i="75"/>
  <c r="AC11" i="75" s="1"/>
  <c r="L6" i="94"/>
  <c r="H7" i="12"/>
  <c r="H6" i="11"/>
  <c r="L222" i="94"/>
  <c r="Y26" i="75"/>
  <c r="J36" i="12" s="1"/>
  <c r="K17" i="36"/>
  <c r="K35" i="36" s="1"/>
  <c r="AC6" i="75"/>
  <c r="AC25" i="75"/>
  <c r="AU100" i="61"/>
  <c r="AU103" i="61"/>
  <c r="AJ98" i="61"/>
  <c r="AY103" i="61"/>
  <c r="AJ102" i="61"/>
  <c r="AY101" i="61"/>
  <c r="AY95" i="61"/>
  <c r="AU99" i="61"/>
  <c r="AU101" i="61"/>
  <c r="AU98" i="61"/>
  <c r="AU102" i="61"/>
  <c r="AY102" i="61"/>
  <c r="AU96" i="61"/>
  <c r="AY96" i="61"/>
  <c r="AJ99" i="61"/>
  <c r="AY97" i="61"/>
  <c r="AJ97" i="61"/>
  <c r="AY98" i="61"/>
  <c r="AJ96" i="61"/>
  <c r="AJ101" i="61"/>
  <c r="AY100" i="61"/>
  <c r="AU95" i="61"/>
  <c r="AJ100" i="61"/>
  <c r="AY99" i="61"/>
  <c r="AJ103" i="61"/>
  <c r="AJ95" i="61"/>
  <c r="AU97" i="61"/>
  <c r="K95" i="61"/>
  <c r="U95" i="61"/>
  <c r="U102" i="61"/>
  <c r="U98" i="61"/>
  <c r="K100" i="61"/>
  <c r="U99" i="61"/>
  <c r="U96" i="61"/>
  <c r="K97" i="61"/>
  <c r="K96" i="61"/>
  <c r="U97" i="61"/>
  <c r="K98" i="61"/>
  <c r="K99" i="61"/>
  <c r="U101" i="61"/>
  <c r="K102" i="61"/>
  <c r="K101" i="61"/>
  <c r="U103" i="61"/>
  <c r="K103" i="61"/>
  <c r="U100" i="61"/>
  <c r="R26" i="72" l="1"/>
  <c r="R19" i="72"/>
  <c r="R14" i="72"/>
  <c r="K36" i="36"/>
  <c r="H6" i="94" s="1"/>
  <c r="G73" i="94" s="1"/>
  <c r="Z17" i="36"/>
  <c r="AC7" i="75"/>
  <c r="G59" i="94" l="1"/>
  <c r="E6" i="70"/>
  <c r="E7" i="12"/>
  <c r="U20" i="12" s="1"/>
  <c r="AC12" i="75"/>
  <c r="AC10" i="75"/>
  <c r="AC9" i="75"/>
  <c r="Q17" i="36" l="1"/>
  <c r="AK17" i="36" s="1"/>
  <c r="AC17" i="36"/>
  <c r="G46" i="43"/>
  <c r="F46" i="43"/>
  <c r="F40" i="43"/>
  <c r="G40" i="43"/>
  <c r="AD24" i="36"/>
  <c r="G42" i="43"/>
  <c r="F42" i="43"/>
  <c r="O17" i="36"/>
  <c r="AI17" i="36" s="1"/>
  <c r="AD17" i="36"/>
  <c r="AB17" i="36"/>
  <c r="AA17" i="36"/>
  <c r="F38" i="43"/>
  <c r="G38" i="43"/>
  <c r="E6" i="11"/>
  <c r="H5" i="89"/>
  <c r="T44" i="61"/>
  <c r="AB26" i="75"/>
  <c r="AC8" i="75"/>
  <c r="AC13" i="75"/>
  <c r="P17" i="36"/>
  <c r="AJ17" i="36" s="1"/>
  <c r="Q18" i="36" l="1"/>
  <c r="AK18" i="36" s="1"/>
  <c r="AC18" i="36"/>
  <c r="Q24" i="36"/>
  <c r="AK24" i="36" s="1"/>
  <c r="AC24" i="36"/>
  <c r="Q16" i="36"/>
  <c r="AK16" i="36" s="1"/>
  <c r="AC16" i="36"/>
  <c r="Q20" i="36"/>
  <c r="AK20" i="36" s="1"/>
  <c r="AC20" i="36"/>
  <c r="P18" i="36"/>
  <c r="AJ18" i="36" s="1"/>
  <c r="F44" i="43"/>
  <c r="G44" i="43"/>
  <c r="AD18" i="36"/>
  <c r="AA18" i="36"/>
  <c r="AB18" i="36"/>
  <c r="O18" i="36"/>
  <c r="AI18" i="36" s="1"/>
  <c r="P24" i="36"/>
  <c r="AJ24" i="36" s="1"/>
  <c r="O24" i="36"/>
  <c r="AI24" i="36" s="1"/>
  <c r="AB24" i="36"/>
  <c r="AA24" i="36"/>
  <c r="G45" i="43"/>
  <c r="AD20" i="36"/>
  <c r="AB20" i="36"/>
  <c r="P20" i="36"/>
  <c r="AJ20" i="36" s="1"/>
  <c r="AA20" i="36"/>
  <c r="O20" i="36"/>
  <c r="AI20" i="36" s="1"/>
  <c r="F45" i="43"/>
  <c r="G43" i="43"/>
  <c r="AD16" i="36"/>
  <c r="P16" i="36"/>
  <c r="AJ16" i="36" s="1"/>
  <c r="AA16" i="36"/>
  <c r="O16" i="36"/>
  <c r="AI16" i="36" s="1"/>
  <c r="AB16" i="36"/>
  <c r="F43" i="43"/>
  <c r="F41" i="43"/>
  <c r="G41" i="43"/>
  <c r="N36" i="12"/>
  <c r="N37" i="12"/>
  <c r="G39" i="43"/>
  <c r="F39" i="43"/>
  <c r="AC26" i="75"/>
  <c r="AW3" i="76" s="1"/>
  <c r="H7" i="94" s="1"/>
  <c r="C10" i="69"/>
  <c r="C4" i="69"/>
  <c r="Q19" i="36" l="1"/>
  <c r="AK19" i="36" s="1"/>
  <c r="AC19" i="36"/>
  <c r="Q21" i="36"/>
  <c r="AK21" i="36" s="1"/>
  <c r="AC21" i="36"/>
  <c r="AD22" i="36"/>
  <c r="Q22" i="36"/>
  <c r="AK22" i="36" s="1"/>
  <c r="AC22" i="36"/>
  <c r="Q23" i="36"/>
  <c r="AK23" i="36" s="1"/>
  <c r="AC23" i="36"/>
  <c r="AA22" i="36"/>
  <c r="H36" i="12"/>
  <c r="I35" i="12"/>
  <c r="AB22" i="36"/>
  <c r="O22" i="36"/>
  <c r="AI22" i="36" s="1"/>
  <c r="P22" i="36"/>
  <c r="AJ22" i="36" s="1"/>
  <c r="O23" i="36"/>
  <c r="AI23" i="36" s="1"/>
  <c r="AB23" i="36"/>
  <c r="AD23" i="36"/>
  <c r="AA23" i="36"/>
  <c r="P23" i="36"/>
  <c r="AJ23" i="36" s="1"/>
  <c r="AA21" i="36"/>
  <c r="P21" i="36"/>
  <c r="AJ21" i="36" s="1"/>
  <c r="AB21" i="36"/>
  <c r="O21" i="36"/>
  <c r="AI21" i="36" s="1"/>
  <c r="AD21" i="36"/>
  <c r="O19" i="36"/>
  <c r="AI19" i="36" s="1"/>
  <c r="AA19" i="36"/>
  <c r="AD19" i="36"/>
  <c r="P19" i="36"/>
  <c r="AJ19" i="36" s="1"/>
  <c r="AB19" i="36"/>
  <c r="E7" i="11" l="1"/>
  <c r="H4" i="12"/>
  <c r="E7" i="70" l="1"/>
  <c r="E8" i="12"/>
  <c r="U21" i="12" s="1"/>
  <c r="B7" i="43"/>
  <c r="J3" i="36"/>
  <c r="H3" i="11"/>
  <c r="B39" i="65" l="1"/>
  <c r="G101" i="94"/>
  <c r="G87" i="94"/>
  <c r="K11" i="6"/>
  <c r="K12" i="6" s="1"/>
  <c r="B6" i="43"/>
  <c r="B11" i="43"/>
  <c r="B8" i="43"/>
  <c r="R24" i="61" l="1"/>
  <c r="B15" i="65" l="1"/>
  <c r="B14" i="65"/>
  <c r="AV18" i="61" l="1"/>
  <c r="AV20" i="61"/>
  <c r="R22" i="61"/>
  <c r="R20" i="61"/>
  <c r="K12" i="61"/>
  <c r="R14" i="61"/>
  <c r="C3" i="69" s="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J1553" i="100" l="1"/>
  <c r="K10" i="61"/>
  <c r="K1553" i="100" l="1"/>
  <c r="I1553" i="100"/>
  <c r="T48" i="6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X7" i="75" s="1"/>
  <c r="M20" i="36"/>
  <c r="L15" i="36"/>
  <c r="N15" i="36" s="1"/>
  <c r="M15" i="36"/>
  <c r="A15" i="36" s="1"/>
  <c r="X6" i="75" s="1"/>
  <c r="M19" i="36"/>
  <c r="M21" i="36"/>
  <c r="M22" i="36"/>
  <c r="M24" i="36"/>
  <c r="L17" i="36"/>
  <c r="N17" i="36" s="1"/>
  <c r="AH17" i="36" s="1"/>
  <c r="AL17" i="36" s="1"/>
  <c r="M17" i="36"/>
  <c r="A17" i="36" s="1"/>
  <c r="X8" i="75" s="1"/>
  <c r="M23" i="36"/>
  <c r="M18" i="36"/>
  <c r="G70" i="59"/>
  <c r="L23" i="36"/>
  <c r="N23" i="36" s="1"/>
  <c r="AH23" i="36" s="1"/>
  <c r="AL23" i="36" s="1"/>
  <c r="L24" i="36"/>
  <c r="N24" i="36" s="1"/>
  <c r="AH24" i="36" s="1"/>
  <c r="AL24" i="36" s="1"/>
  <c r="L18" i="36"/>
  <c r="N18" i="36" s="1"/>
  <c r="AH18" i="36" s="1"/>
  <c r="AL18" i="36" s="1"/>
  <c r="L20" i="36"/>
  <c r="N20" i="36" s="1"/>
  <c r="AH20" i="36" s="1"/>
  <c r="AL20" i="36" s="1"/>
  <c r="L16" i="36"/>
  <c r="N16" i="36" s="1"/>
  <c r="AH16" i="36" s="1"/>
  <c r="AL16" i="36" s="1"/>
  <c r="L19" i="36"/>
  <c r="N19" i="36" s="1"/>
  <c r="AH19" i="36" s="1"/>
  <c r="AL19" i="36" s="1"/>
  <c r="L22" i="36"/>
  <c r="N22" i="36" s="1"/>
  <c r="AH22" i="36" s="1"/>
  <c r="AL22" i="36" s="1"/>
  <c r="L21" i="36"/>
  <c r="N21" i="36" s="1"/>
  <c r="AH21" i="36" s="1"/>
  <c r="AL21" i="36" s="1"/>
  <c r="S26" i="75" l="1" a="1"/>
  <c r="S26" i="75" s="1"/>
  <c r="F1" i="6"/>
  <c r="K1" i="6" l="1"/>
  <c r="J1" i="6"/>
  <c r="H1" i="6"/>
  <c r="K19" i="6" l="1"/>
  <c r="K20" i="6" l="1"/>
  <c r="G72" i="59" l="1"/>
  <c r="G66" i="59"/>
  <c r="E12" i="12" l="1"/>
  <c r="N12" i="12" s="1"/>
  <c r="E13" i="11" l="1"/>
  <c r="E6" i="12"/>
  <c r="E5" i="11"/>
  <c r="E5" i="70"/>
  <c r="B14" i="43"/>
  <c r="C21" i="43"/>
  <c r="C22" i="43" s="1"/>
  <c r="C23" i="43" s="1"/>
  <c r="B23" i="65"/>
  <c r="Z362" i="99" l="1"/>
  <c r="G362" i="99"/>
  <c r="G343" i="99"/>
  <c r="G324" i="99"/>
  <c r="T28" i="61"/>
  <c r="T36" i="61" s="1"/>
  <c r="C23" i="69" s="1"/>
  <c r="I13" i="11"/>
  <c r="D25" i="43"/>
  <c r="D24" i="43"/>
  <c r="B16" i="43"/>
  <c r="G32" i="70" l="1"/>
  <c r="H10" i="94" s="1"/>
  <c r="U1" i="12" l="1"/>
  <c r="AF27" i="70" l="1"/>
  <c r="Z137" i="61" s="1"/>
  <c r="AF12" i="70"/>
  <c r="AF22" i="70"/>
  <c r="AG22" i="70" s="1"/>
  <c r="AF132" i="61" s="1"/>
  <c r="AF19" i="70"/>
  <c r="AG19" i="70" s="1"/>
  <c r="AF129" i="61" s="1"/>
  <c r="AF29" i="70"/>
  <c r="Z139" i="61" s="1"/>
  <c r="AF13" i="70"/>
  <c r="AG13" i="70" s="1"/>
  <c r="AF123" i="61" s="1"/>
  <c r="AF14" i="70"/>
  <c r="Z124" i="61" s="1"/>
  <c r="AF16" i="70"/>
  <c r="AH16" i="70" s="1"/>
  <c r="AM126" i="61" s="1"/>
  <c r="AF17" i="70"/>
  <c r="Z127" i="61" s="1"/>
  <c r="AF18" i="70"/>
  <c r="Z128" i="61" s="1"/>
  <c r="AF28" i="70"/>
  <c r="Z138" i="61" s="1"/>
  <c r="AF10" i="70"/>
  <c r="AF26" i="70"/>
  <c r="Z136" i="61" s="1"/>
  <c r="AF24" i="70"/>
  <c r="AH24" i="70" s="1"/>
  <c r="AM134" i="61" s="1"/>
  <c r="AF21" i="70"/>
  <c r="AF11" i="70"/>
  <c r="AF23" i="70"/>
  <c r="AF30" i="70"/>
  <c r="AF25" i="70"/>
  <c r="AF15" i="70"/>
  <c r="AF20" i="70"/>
  <c r="AH18" i="70" l="1"/>
  <c r="AM128" i="61" s="1"/>
  <c r="AH14" i="70"/>
  <c r="AM124" i="61" s="1"/>
  <c r="AG14" i="70"/>
  <c r="AF124" i="61" s="1"/>
  <c r="AG16" i="70"/>
  <c r="AF126" i="61" s="1"/>
  <c r="AG28" i="70"/>
  <c r="AF138" i="61" s="1"/>
  <c r="AG24" i="70"/>
  <c r="AF134" i="61" s="1"/>
  <c r="Z132" i="61"/>
  <c r="AH22" i="70"/>
  <c r="AM132" i="61" s="1"/>
  <c r="AH27" i="70"/>
  <c r="AM137" i="61" s="1"/>
  <c r="AH28" i="70"/>
  <c r="AM138" i="61" s="1"/>
  <c r="AH19" i="70"/>
  <c r="AM129" i="61" s="1"/>
  <c r="Z126" i="61"/>
  <c r="Z129" i="61"/>
  <c r="AH13" i="70"/>
  <c r="AM123" i="61" s="1"/>
  <c r="AG27" i="70"/>
  <c r="AF137" i="61" s="1"/>
  <c r="AH29" i="70"/>
  <c r="AM139" i="61" s="1"/>
  <c r="AG17" i="70"/>
  <c r="AF127" i="61" s="1"/>
  <c r="AG29" i="70"/>
  <c r="AF139" i="61" s="1"/>
  <c r="AH26" i="70"/>
  <c r="AM136" i="61" s="1"/>
  <c r="AH17" i="70"/>
  <c r="AM127" i="61" s="1"/>
  <c r="Z123" i="61"/>
  <c r="AG26" i="70"/>
  <c r="AF136" i="61" s="1"/>
  <c r="AG18" i="70"/>
  <c r="AF128" i="61" s="1"/>
  <c r="K35" i="70"/>
  <c r="Z134" i="61"/>
  <c r="AG20" i="70"/>
  <c r="AF130" i="61" s="1"/>
  <c r="Z130" i="61"/>
  <c r="AH20" i="70"/>
  <c r="AM130" i="61" s="1"/>
  <c r="AH12" i="70"/>
  <c r="AM122" i="61" s="1"/>
  <c r="Z122" i="61"/>
  <c r="AG12" i="70"/>
  <c r="AF122" i="61" s="1"/>
  <c r="AG21" i="70"/>
  <c r="AF131" i="61" s="1"/>
  <c r="Z131" i="61"/>
  <c r="AH21" i="70"/>
  <c r="AM131" i="61" s="1"/>
  <c r="AH30" i="70"/>
  <c r="AM140" i="61" s="1"/>
  <c r="Z140" i="61"/>
  <c r="AG30" i="70"/>
  <c r="AF140" i="61" s="1"/>
  <c r="K34" i="70"/>
  <c r="Z133" i="61"/>
  <c r="AH23" i="70"/>
  <c r="AM133" i="61" s="1"/>
  <c r="AG23" i="70"/>
  <c r="AF133" i="61" s="1"/>
  <c r="AH10" i="70"/>
  <c r="AM120" i="61" s="1"/>
  <c r="AG10" i="70"/>
  <c r="AF120" i="61" s="1"/>
  <c r="Z120" i="61"/>
  <c r="AG15" i="70"/>
  <c r="AF125" i="61" s="1"/>
  <c r="Z125" i="61"/>
  <c r="AH15" i="70"/>
  <c r="AM125" i="61" s="1"/>
  <c r="Z135" i="61"/>
  <c r="AH25" i="70"/>
  <c r="AM135" i="61" s="1"/>
  <c r="AG25" i="70"/>
  <c r="AF135" i="61" s="1"/>
  <c r="Z121" i="61"/>
  <c r="AG11" i="70"/>
  <c r="AF121" i="61" s="1"/>
  <c r="AH11" i="70"/>
  <c r="AM121" i="61" s="1"/>
  <c r="Z141" i="61" l="1"/>
  <c r="G15" i="76" l="1"/>
  <c r="M16" i="70"/>
  <c r="D12" i="76"/>
  <c r="M10" i="70"/>
  <c r="W10" i="70"/>
  <c r="W11" i="70" l="1"/>
  <c r="M12" i="70"/>
  <c r="W17" i="70"/>
  <c r="M19" i="70"/>
  <c r="G18" i="76"/>
  <c r="E19" i="76"/>
  <c r="G17" i="76"/>
  <c r="G22" i="76"/>
  <c r="G23" i="76"/>
  <c r="M20" i="70"/>
  <c r="G14" i="76"/>
  <c r="G21" i="76"/>
  <c r="M15" i="70"/>
  <c r="W16" i="70"/>
  <c r="W13" i="70"/>
  <c r="M13" i="70"/>
  <c r="E15" i="76"/>
  <c r="D18" i="76"/>
  <c r="D15" i="76"/>
  <c r="I15" i="76" s="1"/>
  <c r="D20" i="76"/>
  <c r="E18" i="76"/>
  <c r="G12" i="76"/>
  <c r="E12" i="76"/>
  <c r="D22" i="76" l="1"/>
  <c r="I22" i="76" s="1"/>
  <c r="D17" i="76"/>
  <c r="I17" i="76" s="1"/>
  <c r="D19" i="76"/>
  <c r="H19" i="76" s="1"/>
  <c r="D13" i="76"/>
  <c r="D14" i="76"/>
  <c r="I14" i="76" s="1"/>
  <c r="D23" i="76"/>
  <c r="I23" i="76" s="1"/>
  <c r="D16" i="76"/>
  <c r="D21" i="76"/>
  <c r="I21" i="76" s="1"/>
  <c r="W18" i="70"/>
  <c r="W12" i="70"/>
  <c r="M18" i="70"/>
  <c r="M17" i="70"/>
  <c r="M11" i="70"/>
  <c r="I18" i="76"/>
  <c r="G13" i="76"/>
  <c r="I13" i="76" s="1"/>
  <c r="W21" i="70"/>
  <c r="M21" i="70"/>
  <c r="W19" i="70"/>
  <c r="E21" i="76"/>
  <c r="E17" i="76"/>
  <c r="H17" i="76" s="1"/>
  <c r="E14" i="76"/>
  <c r="G19" i="76"/>
  <c r="E22" i="76"/>
  <c r="E16" i="76"/>
  <c r="W15" i="70"/>
  <c r="G20" i="76"/>
  <c r="I20" i="76" s="1"/>
  <c r="E20" i="76"/>
  <c r="H20" i="76" s="1"/>
  <c r="E23" i="76"/>
  <c r="G16" i="76"/>
  <c r="W20" i="70"/>
  <c r="E13" i="76"/>
  <c r="W14" i="70"/>
  <c r="M14" i="70"/>
  <c r="H15" i="76"/>
  <c r="H18" i="76"/>
  <c r="D30" i="76"/>
  <c r="D32" i="76"/>
  <c r="D31" i="76"/>
  <c r="D29" i="76"/>
  <c r="D25" i="76"/>
  <c r="I12" i="76"/>
  <c r="D28" i="76"/>
  <c r="D26" i="76"/>
  <c r="M28" i="70"/>
  <c r="W28" i="70"/>
  <c r="G27" i="76"/>
  <c r="G32" i="76"/>
  <c r="W26" i="70"/>
  <c r="M26" i="70"/>
  <c r="W29" i="70"/>
  <c r="M29" i="70"/>
  <c r="E26" i="76"/>
  <c r="W22" i="70"/>
  <c r="M22" i="70"/>
  <c r="E30" i="76"/>
  <c r="G28" i="76"/>
  <c r="E29" i="76"/>
  <c r="W24" i="70"/>
  <c r="M24" i="70"/>
  <c r="G30" i="76"/>
  <c r="D27" i="76"/>
  <c r="G31" i="76"/>
  <c r="E27" i="76"/>
  <c r="E25" i="76"/>
  <c r="G29" i="76"/>
  <c r="G26" i="76"/>
  <c r="D24" i="76"/>
  <c r="M30" i="70"/>
  <c r="W30" i="70"/>
  <c r="M27" i="70"/>
  <c r="W27" i="70"/>
  <c r="E32" i="76"/>
  <c r="G25" i="76"/>
  <c r="W23" i="70"/>
  <c r="M23" i="70"/>
  <c r="H12" i="76"/>
  <c r="M25" i="70"/>
  <c r="W25" i="70"/>
  <c r="F37" i="43"/>
  <c r="F57" i="43" s="1"/>
  <c r="G37" i="43"/>
  <c r="G57" i="43" s="1"/>
  <c r="E28" i="76"/>
  <c r="E31" i="76"/>
  <c r="I16" i="76" l="1"/>
  <c r="H13" i="76"/>
  <c r="H22" i="76"/>
  <c r="H16" i="76"/>
  <c r="I19" i="76"/>
  <c r="H14" i="76"/>
  <c r="H23" i="76"/>
  <c r="H21" i="76"/>
  <c r="AH15" i="36"/>
  <c r="AL15" i="36" s="1"/>
  <c r="Q15" i="36"/>
  <c r="AK15" i="36" s="1"/>
  <c r="AK35" i="36" s="1"/>
  <c r="E21" i="11" s="1"/>
  <c r="AC15" i="36"/>
  <c r="P23" i="70"/>
  <c r="O29" i="70"/>
  <c r="O23" i="70"/>
  <c r="O26" i="70"/>
  <c r="Q25" i="70"/>
  <c r="Q28" i="70"/>
  <c r="O19" i="70"/>
  <c r="Q10" i="70"/>
  <c r="O20" i="70"/>
  <c r="P19" i="70"/>
  <c r="Q15" i="70"/>
  <c r="P20" i="70"/>
  <c r="Q19" i="70"/>
  <c r="Q20" i="70"/>
  <c r="O10" i="70"/>
  <c r="O21" i="70"/>
  <c r="O15" i="70"/>
  <c r="P10" i="70"/>
  <c r="P21" i="70"/>
  <c r="P15" i="70"/>
  <c r="Q21" i="70"/>
  <c r="P13" i="70"/>
  <c r="Q18" i="70"/>
  <c r="Q13" i="70"/>
  <c r="O17" i="70"/>
  <c r="O11" i="70"/>
  <c r="O16" i="70"/>
  <c r="O12" i="70"/>
  <c r="P11" i="70"/>
  <c r="P16" i="70"/>
  <c r="P12" i="70"/>
  <c r="O18" i="70"/>
  <c r="Q11" i="70"/>
  <c r="Q12" i="70"/>
  <c r="O14" i="70"/>
  <c r="P17" i="70"/>
  <c r="P14" i="70"/>
  <c r="Q17" i="70"/>
  <c r="Q16" i="70"/>
  <c r="O13" i="70"/>
  <c r="Q14" i="70"/>
  <c r="P18" i="70"/>
  <c r="P24" i="70"/>
  <c r="P25" i="70"/>
  <c r="P28" i="70"/>
  <c r="Q30" i="70"/>
  <c r="O24" i="70"/>
  <c r="Q23" i="70"/>
  <c r="O28" i="70"/>
  <c r="P30" i="70"/>
  <c r="Q22" i="70"/>
  <c r="Q26" i="70"/>
  <c r="Q27" i="70"/>
  <c r="O30" i="70"/>
  <c r="P22" i="70"/>
  <c r="P26" i="70"/>
  <c r="P27" i="70"/>
  <c r="Q29" i="70"/>
  <c r="Q24" i="70"/>
  <c r="O22" i="70"/>
  <c r="O25" i="70"/>
  <c r="O27" i="70"/>
  <c r="P29" i="70"/>
  <c r="I32" i="76"/>
  <c r="I26" i="76"/>
  <c r="H25" i="76"/>
  <c r="H31" i="76"/>
  <c r="H32" i="76"/>
  <c r="H30" i="76"/>
  <c r="I29" i="76"/>
  <c r="I30" i="76"/>
  <c r="H29" i="76"/>
  <c r="I28" i="76"/>
  <c r="F18" i="76"/>
  <c r="D33" i="76"/>
  <c r="A26" i="76" s="1"/>
  <c r="L26" i="76" s="1"/>
  <c r="F26" i="76"/>
  <c r="F22" i="76"/>
  <c r="AD15" i="36"/>
  <c r="O15" i="36"/>
  <c r="AI15" i="36" s="1"/>
  <c r="P15" i="36"/>
  <c r="AJ15" i="36" s="1"/>
  <c r="AA15" i="36"/>
  <c r="AB15" i="36"/>
  <c r="F25" i="76"/>
  <c r="F32" i="76"/>
  <c r="F19" i="76"/>
  <c r="I25" i="76"/>
  <c r="F24" i="76"/>
  <c r="F30" i="76"/>
  <c r="F21" i="76"/>
  <c r="F15" i="76"/>
  <c r="G24" i="76"/>
  <c r="E24" i="76"/>
  <c r="F13" i="76"/>
  <c r="F20" i="76"/>
  <c r="F28" i="76"/>
  <c r="I27" i="76"/>
  <c r="H27" i="76"/>
  <c r="H28" i="76"/>
  <c r="F23" i="76"/>
  <c r="F27" i="76"/>
  <c r="F17" i="76"/>
  <c r="F31" i="76"/>
  <c r="H26" i="76"/>
  <c r="I31" i="76"/>
  <c r="F29" i="76"/>
  <c r="F14" i="76"/>
  <c r="F16" i="76"/>
  <c r="AH35" i="36" l="1"/>
  <c r="E17" i="11" s="1"/>
  <c r="E29" i="12" s="1"/>
  <c r="I21" i="11"/>
  <c r="E31" i="12"/>
  <c r="W25" i="76"/>
  <c r="A31" i="76"/>
  <c r="L31" i="76" s="1"/>
  <c r="AH31" i="76" s="1"/>
  <c r="W32" i="76"/>
  <c r="A30" i="76"/>
  <c r="L30" i="76" s="1"/>
  <c r="AH30" i="76" s="1"/>
  <c r="W30" i="76"/>
  <c r="W28" i="76"/>
  <c r="W27" i="76"/>
  <c r="W31" i="76"/>
  <c r="H24" i="76"/>
  <c r="A29" i="76"/>
  <c r="L29" i="76" s="1"/>
  <c r="AH29" i="76" s="1"/>
  <c r="A24" i="76"/>
  <c r="L24" i="76" s="1"/>
  <c r="AH24" i="76" s="1"/>
  <c r="W12" i="76"/>
  <c r="W16" i="76"/>
  <c r="W13" i="76"/>
  <c r="W18" i="76"/>
  <c r="W15" i="76"/>
  <c r="W23" i="76"/>
  <c r="W14" i="76"/>
  <c r="W21" i="76"/>
  <c r="W22" i="76"/>
  <c r="W19" i="76"/>
  <c r="W17" i="76"/>
  <c r="W20" i="76"/>
  <c r="I24" i="76"/>
  <c r="AJ35" i="36"/>
  <c r="A33" i="76"/>
  <c r="A18" i="76"/>
  <c r="L18" i="76" s="1"/>
  <c r="AH18" i="76" s="1"/>
  <c r="A21" i="76"/>
  <c r="L21" i="76" s="1"/>
  <c r="AH21" i="76" s="1"/>
  <c r="A23" i="76"/>
  <c r="L23" i="76" s="1"/>
  <c r="AH23" i="76" s="1"/>
  <c r="A20" i="76"/>
  <c r="L20" i="76" s="1"/>
  <c r="AH20" i="76" s="1"/>
  <c r="A15" i="76"/>
  <c r="L15" i="76" s="1"/>
  <c r="AH15" i="76" s="1"/>
  <c r="A19" i="76"/>
  <c r="L19" i="76" s="1"/>
  <c r="AH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W24" i="76"/>
  <c r="A32" i="76"/>
  <c r="L32" i="76" s="1"/>
  <c r="AH32" i="76" s="1"/>
  <c r="W26" i="76"/>
  <c r="W29" i="76"/>
  <c r="A27" i="76"/>
  <c r="L27" i="76" s="1"/>
  <c r="AH27" i="76" s="1"/>
  <c r="AI35" i="36"/>
  <c r="E11" i="11" s="1"/>
  <c r="F12" i="76"/>
  <c r="G33" i="76"/>
  <c r="E33" i="76"/>
  <c r="AH26" i="76"/>
  <c r="I17" i="11" l="1"/>
  <c r="E15" i="11"/>
  <c r="E19" i="11" s="1"/>
  <c r="W33" i="76"/>
  <c r="F33" i="76"/>
  <c r="AL35" i="36"/>
  <c r="I15" i="11" l="1"/>
  <c r="E28" i="12"/>
  <c r="AH12" i="76"/>
  <c r="AH33" i="76" s="1"/>
  <c r="L33" i="76"/>
  <c r="I11" i="11"/>
  <c r="E26"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Z28" i="76"/>
  <c r="Z29" i="76"/>
  <c r="Z13" i="76"/>
  <c r="Z17" i="76"/>
  <c r="Z31" i="76"/>
  <c r="Z21" i="76"/>
  <c r="Z15" i="76"/>
  <c r="Z22" i="76"/>
  <c r="Z26" i="76"/>
  <c r="Z18" i="76"/>
  <c r="Z20" i="76"/>
  <c r="Z19" i="76"/>
  <c r="Z25" i="76"/>
  <c r="Z24" i="76"/>
  <c r="Z32" i="76"/>
  <c r="Z30" i="76"/>
  <c r="Z12" i="76"/>
  <c r="Z14" i="76"/>
  <c r="Z23" i="76"/>
  <c r="Z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Y33" i="76" l="1"/>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F24" i="76" s="1"/>
  <c r="AI24" i="76" s="1"/>
  <c r="AD18" i="76"/>
  <c r="AD23" i="76"/>
  <c r="AD25" i="76"/>
  <c r="AD13" i="76"/>
  <c r="AD14" i="76"/>
  <c r="AD26" i="76"/>
  <c r="AD17" i="76"/>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Y26" i="72" s="1"/>
  <c r="AL19" i="76"/>
  <c r="AY21" i="72" s="1"/>
  <c r="AL17" i="76"/>
  <c r="AY19" i="72" s="1"/>
  <c r="AL28" i="76"/>
  <c r="AY30" i="72" s="1"/>
  <c r="AL13" i="76"/>
  <c r="AY15" i="72" s="1"/>
  <c r="AL12" i="76"/>
  <c r="AY14" i="72" s="1"/>
  <c r="AL27" i="76"/>
  <c r="AY29" i="72" s="1"/>
  <c r="AL30" i="76"/>
  <c r="AY32" i="72" s="1"/>
  <c r="AL23" i="76"/>
  <c r="AY25" i="72" s="1"/>
  <c r="AL31" i="76"/>
  <c r="AY33" i="72" s="1"/>
  <c r="AL15" i="76"/>
  <c r="AY17" i="72" s="1"/>
  <c r="AL18" i="76"/>
  <c r="AY20" i="72" s="1"/>
  <c r="AL21" i="76"/>
  <c r="AY23" i="72" s="1"/>
  <c r="AL25" i="76"/>
  <c r="AY27" i="72" s="1"/>
  <c r="AL32" i="76"/>
  <c r="AY34" i="72" s="1"/>
  <c r="AL20" i="76"/>
  <c r="AY22" i="72" s="1"/>
  <c r="AL16" i="76"/>
  <c r="AY18" i="72" s="1"/>
  <c r="AL29" i="76"/>
  <c r="AY31" i="72" s="1"/>
  <c r="AL22" i="76"/>
  <c r="AY24" i="72" s="1"/>
  <c r="AL26" i="76"/>
  <c r="AY28" i="72" s="1"/>
  <c r="AL14" i="76"/>
  <c r="AY16" i="72" s="1"/>
  <c r="AR30" i="76" l="1"/>
  <c r="AQ30" i="76"/>
  <c r="AR25" i="76"/>
  <c r="AQ25" i="76"/>
  <c r="G10" i="70"/>
  <c r="AR12" i="76"/>
  <c r="AQ12" i="76"/>
  <c r="AR13" i="76"/>
  <c r="AQ13" i="76"/>
  <c r="AQ20" i="76"/>
  <c r="AR20" i="76"/>
  <c r="AQ28" i="76"/>
  <c r="AR28" i="76"/>
  <c r="AR32" i="76"/>
  <c r="AQ32" i="76"/>
  <c r="AR26" i="76"/>
  <c r="AQ26" i="76"/>
  <c r="AQ17" i="76"/>
  <c r="AR17" i="76"/>
  <c r="AQ27" i="76"/>
  <c r="AR27" i="76"/>
  <c r="AR21" i="76"/>
  <c r="AQ21" i="76"/>
  <c r="AR22" i="76"/>
  <c r="AQ22" i="76"/>
  <c r="AQ29" i="76"/>
  <c r="AR29" i="76"/>
  <c r="AQ31" i="76"/>
  <c r="AR31" i="76"/>
  <c r="AQ19" i="76"/>
  <c r="AR19" i="76"/>
  <c r="AQ14" i="76"/>
  <c r="AR14" i="76"/>
  <c r="AQ18" i="76"/>
  <c r="AR18" i="76"/>
  <c r="AR15" i="76"/>
  <c r="AQ15" i="76"/>
  <c r="AR16" i="76"/>
  <c r="AQ16" i="76"/>
  <c r="AQ23" i="76"/>
  <c r="AR23" i="76"/>
  <c r="AQ24" i="76"/>
  <c r="AR24" i="76"/>
  <c r="AT18" i="76"/>
  <c r="AN18" i="76"/>
  <c r="I16" i="70" s="1"/>
  <c r="G16" i="70"/>
  <c r="J16" i="70" s="1"/>
  <c r="AS18" i="76"/>
  <c r="AM18" i="76"/>
  <c r="H16" i="70" s="1"/>
  <c r="AS28" i="76"/>
  <c r="AN28" i="76"/>
  <c r="I26" i="70" s="1"/>
  <c r="AT28" i="76"/>
  <c r="AM28" i="76"/>
  <c r="H26" i="70" s="1"/>
  <c r="G26" i="70"/>
  <c r="AS22" i="76"/>
  <c r="AT22" i="76"/>
  <c r="G20" i="70"/>
  <c r="J20" i="70" s="1"/>
  <c r="AN22" i="76"/>
  <c r="I20" i="70" s="1"/>
  <c r="AM22" i="76"/>
  <c r="H20" i="70" s="1"/>
  <c r="AS32" i="76"/>
  <c r="G30" i="70"/>
  <c r="AN32" i="76"/>
  <c r="I30" i="70" s="1"/>
  <c r="AT32" i="76"/>
  <c r="AM32" i="76"/>
  <c r="H30" i="70" s="1"/>
  <c r="AT15" i="76"/>
  <c r="G13" i="70"/>
  <c r="J13" i="70" s="1"/>
  <c r="AN15" i="76"/>
  <c r="I13" i="70" s="1"/>
  <c r="AM15" i="76"/>
  <c r="H13" i="70" s="1"/>
  <c r="AS15" i="76"/>
  <c r="AT27" i="76"/>
  <c r="AM27" i="76"/>
  <c r="H25" i="70" s="1"/>
  <c r="AN27" i="76"/>
  <c r="I25" i="70" s="1"/>
  <c r="AS27" i="76"/>
  <c r="G25" i="70"/>
  <c r="AN17" i="76"/>
  <c r="I15" i="70" s="1"/>
  <c r="AT17" i="76"/>
  <c r="G15" i="70"/>
  <c r="AS17" i="76"/>
  <c r="AM17" i="76"/>
  <c r="H15" i="70" s="1"/>
  <c r="AN26" i="76"/>
  <c r="I24" i="70" s="1"/>
  <c r="AM26" i="76"/>
  <c r="H24" i="70" s="1"/>
  <c r="AS26" i="76"/>
  <c r="G24" i="70"/>
  <c r="AT26" i="76"/>
  <c r="AS29" i="76"/>
  <c r="AM29" i="76"/>
  <c r="H27" i="70" s="1"/>
  <c r="G27" i="70"/>
  <c r="AN29" i="76"/>
  <c r="I27" i="70" s="1"/>
  <c r="AT29" i="76"/>
  <c r="AN31" i="76"/>
  <c r="I29" i="70" s="1"/>
  <c r="AT31" i="76"/>
  <c r="AM31" i="76"/>
  <c r="H29" i="70" s="1"/>
  <c r="G29" i="70"/>
  <c r="AS31" i="76"/>
  <c r="AT12" i="76"/>
  <c r="AM12" i="76"/>
  <c r="AN12" i="76"/>
  <c r="AS12" i="76"/>
  <c r="AL33" i="76"/>
  <c r="AW2" i="76" s="1"/>
  <c r="G17" i="70"/>
  <c r="J17" i="70" s="1"/>
  <c r="AM19" i="76"/>
  <c r="H17" i="70" s="1"/>
  <c r="AS19" i="76"/>
  <c r="AT19" i="76"/>
  <c r="AN19" i="76"/>
  <c r="I17" i="70" s="1"/>
  <c r="AT20" i="76"/>
  <c r="AS20" i="76"/>
  <c r="AM20" i="76"/>
  <c r="H18" i="70" s="1"/>
  <c r="G18" i="70"/>
  <c r="J18" i="70" s="1"/>
  <c r="AN20" i="76"/>
  <c r="I18" i="70" s="1"/>
  <c r="AN30" i="76"/>
  <c r="I28" i="70" s="1"/>
  <c r="AS30" i="76"/>
  <c r="AM30" i="76"/>
  <c r="H28" i="70" s="1"/>
  <c r="AT30" i="76"/>
  <c r="G28" i="70"/>
  <c r="J28" i="70" s="1"/>
  <c r="G23" i="70"/>
  <c r="J23" i="70" s="1"/>
  <c r="AT25" i="76"/>
  <c r="AN25" i="76"/>
  <c r="I23" i="70" s="1"/>
  <c r="AM25" i="76"/>
  <c r="H23" i="70" s="1"/>
  <c r="AS25" i="76"/>
  <c r="G12" i="70"/>
  <c r="AS14" i="76"/>
  <c r="AM14" i="76"/>
  <c r="H12" i="70" s="1"/>
  <c r="AN14" i="76"/>
  <c r="I12" i="70" s="1"/>
  <c r="AT14" i="76"/>
  <c r="AS16" i="76"/>
  <c r="AT16" i="76"/>
  <c r="AN16" i="76"/>
  <c r="I14" i="70" s="1"/>
  <c r="AM16" i="76"/>
  <c r="H14" i="70" s="1"/>
  <c r="G14" i="70"/>
  <c r="AT21" i="76"/>
  <c r="AN21" i="76"/>
  <c r="I19" i="70" s="1"/>
  <c r="AM21" i="76"/>
  <c r="H19" i="70" s="1"/>
  <c r="G19" i="70"/>
  <c r="J19" i="70" s="1"/>
  <c r="AS21" i="76"/>
  <c r="AN23" i="76"/>
  <c r="I21" i="70" s="1"/>
  <c r="AT23" i="76"/>
  <c r="AM23" i="76"/>
  <c r="H21" i="70" s="1"/>
  <c r="G21" i="70"/>
  <c r="J21" i="70" s="1"/>
  <c r="AS23" i="76"/>
  <c r="G11" i="70"/>
  <c r="AM13" i="76"/>
  <c r="H11" i="70" s="1"/>
  <c r="AS13" i="76"/>
  <c r="AN13" i="76"/>
  <c r="I11" i="70" s="1"/>
  <c r="AT13" i="76"/>
  <c r="G22" i="70"/>
  <c r="AN24" i="76"/>
  <c r="I22" i="70" s="1"/>
  <c r="AS24" i="76"/>
  <c r="AT24" i="76"/>
  <c r="AM24" i="76"/>
  <c r="H22" i="70" s="1"/>
  <c r="J14" i="70" l="1"/>
  <c r="U14" i="70"/>
  <c r="S14" i="70"/>
  <c r="T14" i="70"/>
  <c r="AR33" i="76"/>
  <c r="E25" i="11" s="1"/>
  <c r="AQ33" i="76"/>
  <c r="E31" i="11" s="1"/>
  <c r="J24" i="70"/>
  <c r="U24" i="70"/>
  <c r="T24" i="70"/>
  <c r="S24" i="70"/>
  <c r="J25" i="70"/>
  <c r="S25" i="70"/>
  <c r="U25" i="70"/>
  <c r="T25" i="70"/>
  <c r="J30" i="70"/>
  <c r="U30" i="70"/>
  <c r="S30" i="70"/>
  <c r="T30" i="70"/>
  <c r="J26" i="70"/>
  <c r="S26" i="70"/>
  <c r="U26" i="70"/>
  <c r="T26" i="70"/>
  <c r="J11" i="70"/>
  <c r="U11" i="70"/>
  <c r="T11" i="70"/>
  <c r="S11" i="70"/>
  <c r="J12" i="70"/>
  <c r="U12" i="70"/>
  <c r="T12" i="70"/>
  <c r="S12" i="70"/>
  <c r="J29" i="70"/>
  <c r="U29" i="70"/>
  <c r="S29" i="70"/>
  <c r="T29" i="70"/>
  <c r="J27" i="70"/>
  <c r="U27" i="70"/>
  <c r="T27" i="70"/>
  <c r="S27" i="70"/>
  <c r="J22" i="70"/>
  <c r="T22" i="70"/>
  <c r="U22" i="70"/>
  <c r="S22" i="70"/>
  <c r="C1645" i="100"/>
  <c r="B1645" i="100"/>
  <c r="C1644" i="100"/>
  <c r="B1644" i="100"/>
  <c r="J10" i="70"/>
  <c r="AU36" i="61"/>
  <c r="J15" i="70"/>
  <c r="BL6" i="76"/>
  <c r="BL7" i="76" s="1"/>
  <c r="AZ6" i="76"/>
  <c r="AZ7" i="76" s="1"/>
  <c r="H10" i="70"/>
  <c r="AM33" i="76"/>
  <c r="I10" i="70"/>
  <c r="I31" i="70" s="1"/>
  <c r="AN33" i="76"/>
  <c r="I25" i="11" l="1"/>
  <c r="E17" i="12"/>
  <c r="B30" i="65"/>
  <c r="I31" i="11"/>
  <c r="E33" i="12"/>
  <c r="J31" i="70"/>
  <c r="I34" i="70" s="1"/>
  <c r="I35" i="70" s="1"/>
  <c r="I33" i="70"/>
  <c r="H31" i="70"/>
  <c r="G38" i="11" s="1"/>
  <c r="I17" i="12" l="1"/>
  <c r="B26" i="65"/>
  <c r="G21" i="11"/>
  <c r="G31" i="12"/>
  <c r="I40" i="70"/>
  <c r="E13" i="12"/>
  <c r="E20" i="12" s="1"/>
  <c r="I39" i="70"/>
  <c r="N17" i="12"/>
  <c r="K33" i="70"/>
  <c r="K36" i="70"/>
  <c r="L33" i="70"/>
  <c r="I37" i="70"/>
  <c r="G37" i="70"/>
  <c r="G11" i="11"/>
  <c r="G12" i="12"/>
  <c r="G5" i="89"/>
  <c r="G17" i="12"/>
  <c r="G28" i="12"/>
  <c r="I5" i="89"/>
  <c r="T38" i="61"/>
  <c r="C22" i="69" s="1"/>
  <c r="G39" i="12"/>
  <c r="G27" i="12"/>
  <c r="G13" i="11" s="1"/>
  <c r="G26" i="12"/>
  <c r="G17" i="11"/>
  <c r="G33" i="12"/>
  <c r="G29" i="12"/>
  <c r="D26" i="65"/>
  <c r="D25" i="65"/>
  <c r="G31" i="11"/>
  <c r="D30" i="65"/>
  <c r="D29" i="65"/>
  <c r="G15" i="11"/>
  <c r="G23" i="12"/>
  <c r="G25" i="11"/>
  <c r="G19" i="11"/>
  <c r="T40" i="61"/>
  <c r="E32" i="11"/>
  <c r="B24" i="65"/>
  <c r="C1646" i="100" l="1"/>
  <c r="B1646" i="100"/>
  <c r="N13" i="12"/>
  <c r="G13" i="12"/>
  <c r="B27" i="65"/>
  <c r="D24" i="65"/>
  <c r="G20" i="12"/>
  <c r="I20" i="12"/>
  <c r="E24" i="12"/>
  <c r="E34" i="12"/>
  <c r="G34" i="12" s="1"/>
  <c r="I32" i="11"/>
  <c r="B31" i="65"/>
  <c r="D31" i="65" s="1"/>
  <c r="G32" i="11"/>
  <c r="E37" i="12" l="1"/>
  <c r="U24" i="12"/>
  <c r="U25" i="12" s="1"/>
  <c r="G24" i="12"/>
  <c r="B33" i="65"/>
  <c r="D27" i="65"/>
  <c r="U27" i="12" l="1"/>
  <c r="U26" i="12"/>
  <c r="B34" i="65"/>
  <c r="B35" i="65"/>
  <c r="D33" i="65"/>
  <c r="I37" i="12"/>
  <c r="G37" i="12"/>
  <c r="E41" i="12"/>
  <c r="M37" i="12"/>
  <c r="K37" i="12"/>
  <c r="I41" i="12" l="1"/>
  <c r="C27" i="43" s="1"/>
  <c r="H37" i="12" s="1"/>
  <c r="G41" i="12"/>
  <c r="K41" i="12"/>
  <c r="M41" i="12"/>
  <c r="H41" i="12" l="1"/>
  <c r="N41" i="12" s="1"/>
  <c r="C28" i="43"/>
  <c r="W10" i="76" l="1"/>
  <c r="B5" i="43"/>
  <c r="B4" i="43"/>
  <c r="B9" i="43" s="1"/>
  <c r="B12" i="43" s="1"/>
  <c r="B15" i="43" s="1"/>
  <c r="C251" i="100" l="1"/>
  <c r="AD377" i="99" a="1"/>
  <c r="B238" i="100"/>
  <c r="C766" i="100"/>
  <c r="C524" i="100"/>
  <c r="C1959" i="100"/>
  <c r="B119" i="100"/>
  <c r="C697" i="100"/>
  <c r="G271" i="99" a="1"/>
  <c r="B1766" i="100"/>
  <c r="C1248" i="100"/>
  <c r="C609" i="100"/>
  <c r="B1048" i="100"/>
  <c r="AH165" i="99" a="1"/>
  <c r="N244" i="99" a="1"/>
  <c r="C1810" i="100"/>
  <c r="B1219" i="100"/>
  <c r="C806" i="100"/>
  <c r="B771" i="100"/>
  <c r="C620" i="100"/>
  <c r="C1144" i="100"/>
  <c r="B443" i="100"/>
  <c r="C1817" i="100"/>
  <c r="C644" i="100"/>
  <c r="B786" i="100"/>
  <c r="C12" i="100"/>
  <c r="E343" i="99" a="1"/>
  <c r="B126" i="100"/>
  <c r="C666" i="100"/>
  <c r="B477" i="100"/>
  <c r="B91" i="100"/>
  <c r="L360" i="99" a="1"/>
  <c r="B516" i="100"/>
  <c r="C691" i="100"/>
  <c r="C1073" i="100"/>
  <c r="B420" i="100"/>
  <c r="M271" i="99" a="1"/>
  <c r="C1772" i="100"/>
  <c r="C902" i="100"/>
  <c r="C1612" i="100"/>
  <c r="C1564" i="100"/>
  <c r="W192" i="99" a="1"/>
  <c r="C1883" i="100"/>
  <c r="C118" i="100"/>
  <c r="C501" i="100"/>
  <c r="B1764" i="100"/>
  <c r="B342" i="100"/>
  <c r="B491" i="100"/>
  <c r="C232" i="100"/>
  <c r="C899" i="100"/>
  <c r="B1170" i="100"/>
  <c r="C1085" i="100"/>
  <c r="B438" i="100"/>
  <c r="B1110" i="100"/>
  <c r="C857" i="100"/>
  <c r="B1877" i="100"/>
  <c r="B375" i="100"/>
  <c r="M60" i="99" a="1"/>
  <c r="C869" i="100"/>
  <c r="C1909" i="100"/>
  <c r="C636" i="100"/>
  <c r="C428" i="100"/>
  <c r="C656" i="100"/>
  <c r="C773" i="100"/>
  <c r="C960" i="100"/>
  <c r="B901" i="100"/>
  <c r="C1197" i="100"/>
  <c r="B1863" i="100"/>
  <c r="B604" i="100"/>
  <c r="C649" i="100"/>
  <c r="C497" i="100"/>
  <c r="C1643" i="100"/>
  <c r="C1719" i="100"/>
  <c r="C328" i="100"/>
  <c r="B204" i="100"/>
  <c r="C575" i="100"/>
  <c r="Q244" i="99" a="1"/>
  <c r="C421" i="100"/>
  <c r="B1822" i="100"/>
  <c r="B429" i="100"/>
  <c r="AC114" i="99" a="1"/>
  <c r="B227" i="100"/>
  <c r="C1222" i="100"/>
  <c r="C760" i="100"/>
  <c r="B907" i="100"/>
  <c r="B1267" i="100"/>
  <c r="B985" i="100"/>
  <c r="B1780" i="100"/>
  <c r="C1942" i="100"/>
  <c r="B1974" i="100"/>
  <c r="BY221" i="99" a="1"/>
  <c r="C373" i="100"/>
  <c r="Y62" i="99"/>
  <c r="B1821" i="100"/>
  <c r="B1226" i="100"/>
  <c r="B1252" i="100"/>
  <c r="F93" i="99" a="1"/>
  <c r="C474" i="100"/>
  <c r="C735" i="100"/>
  <c r="C30" i="100"/>
  <c r="K398" i="99" a="1"/>
  <c r="B598" i="100"/>
  <c r="C78" i="100"/>
  <c r="C784" i="100"/>
  <c r="B857" i="100"/>
  <c r="C643" i="100"/>
  <c r="O305" i="99" a="1"/>
  <c r="C944" i="100"/>
  <c r="E37" i="99" a="1"/>
  <c r="C34" i="100"/>
  <c r="C459" i="100"/>
  <c r="C1615" i="100"/>
  <c r="C640" i="100"/>
  <c r="C1744" i="100"/>
  <c r="C1176" i="100"/>
  <c r="C1727" i="100"/>
  <c r="C1088" i="100"/>
  <c r="C1559" i="100"/>
  <c r="B919" i="100"/>
  <c r="C364" i="100"/>
  <c r="B1270" i="100"/>
  <c r="C382" i="99" a="1"/>
  <c r="C1101" i="100"/>
  <c r="K288" i="99" a="1"/>
  <c r="B26" i="100"/>
  <c r="C1691" i="100"/>
  <c r="C1911" i="100"/>
  <c r="B956" i="100"/>
  <c r="B1715" i="100"/>
  <c r="C601" i="100"/>
  <c r="B1202" i="100"/>
  <c r="AG114" i="99" a="1"/>
  <c r="C1118" i="100"/>
  <c r="C521" i="100"/>
  <c r="W383" i="99" a="1"/>
  <c r="C1770" i="100"/>
  <c r="B1819" i="100"/>
  <c r="C350" i="100"/>
  <c r="B1089" i="100"/>
  <c r="C471" i="100"/>
  <c r="B1701" i="100"/>
  <c r="B357" i="100"/>
  <c r="B684" i="100"/>
  <c r="C19" i="100"/>
  <c r="C655" i="100"/>
  <c r="B599" i="100"/>
  <c r="B950" i="100"/>
  <c r="B1609" i="100"/>
  <c r="C198" i="100"/>
  <c r="C1721" i="100"/>
  <c r="B1090" i="100"/>
  <c r="AE219" i="99" a="1"/>
  <c r="J244" i="99" a="1"/>
  <c r="C1137" i="100"/>
  <c r="BL219" i="99" a="1"/>
  <c r="B478" i="100"/>
  <c r="B1808" i="100"/>
  <c r="C721" i="100"/>
  <c r="B744" i="100"/>
  <c r="B403" i="100"/>
  <c r="B1665" i="100"/>
  <c r="C502" i="100"/>
  <c r="B329" i="100"/>
  <c r="B953" i="100"/>
  <c r="B316" i="100"/>
  <c r="C1123" i="100"/>
  <c r="C1984" i="100"/>
  <c r="B328" i="100"/>
  <c r="BP219" i="99" a="1"/>
  <c r="B1758" i="100"/>
  <c r="B1207" i="100"/>
  <c r="AU221" i="99" a="1"/>
  <c r="C931" i="100"/>
  <c r="B897" i="100"/>
  <c r="C426" i="100"/>
  <c r="B120" i="100"/>
  <c r="C473" i="100"/>
  <c r="AA377" i="99" a="1"/>
  <c r="B1125" i="100"/>
  <c r="AB143" i="99" a="1"/>
  <c r="C896" i="100"/>
  <c r="B319" i="100"/>
  <c r="B1008" i="100"/>
  <c r="C1776" i="100"/>
  <c r="B1730" i="100"/>
  <c r="C1241" i="100"/>
  <c r="C387" i="100"/>
  <c r="E192" i="99" a="1"/>
  <c r="B1228" i="100"/>
  <c r="B788" i="100"/>
  <c r="B1245" i="100"/>
  <c r="C191" i="100"/>
  <c r="B1791" i="100"/>
  <c r="B1770" i="100"/>
  <c r="C441" i="100"/>
  <c r="AB89" i="99" a="1"/>
  <c r="C820" i="100"/>
  <c r="C802" i="100"/>
  <c r="C324" i="100"/>
  <c r="B1783" i="100"/>
  <c r="C850" i="100"/>
  <c r="B497" i="100"/>
  <c r="C361" i="100"/>
  <c r="D221" i="99" a="1"/>
  <c r="C941" i="100"/>
  <c r="C187" i="100"/>
  <c r="C936" i="100"/>
  <c r="B1710" i="100"/>
  <c r="B1700" i="100"/>
  <c r="D15" i="99" a="1"/>
  <c r="C265" i="100"/>
  <c r="B1775" i="100"/>
  <c r="B551" i="100"/>
  <c r="C1726" i="100"/>
  <c r="C532" i="100"/>
  <c r="B693" i="100"/>
  <c r="B608" i="100"/>
  <c r="B616" i="100"/>
  <c r="C622" i="100"/>
  <c r="C737" i="100"/>
  <c r="G143" i="99" a="1"/>
  <c r="C1753" i="100"/>
  <c r="B437" i="100"/>
  <c r="C303" i="100"/>
  <c r="B1068" i="100"/>
  <c r="C1703" i="100"/>
  <c r="B989" i="100"/>
  <c r="C4" i="100"/>
  <c r="B565" i="100"/>
  <c r="C536" i="100"/>
  <c r="F167" i="99" a="1"/>
  <c r="C833" i="100"/>
  <c r="C436" i="100"/>
  <c r="C1001" i="100"/>
  <c r="C410" i="100"/>
  <c r="B421" i="100"/>
  <c r="B939" i="100"/>
  <c r="Z114" i="99" a="1"/>
  <c r="C1885" i="100"/>
  <c r="B1859" i="100"/>
  <c r="B1981" i="100"/>
  <c r="G356" i="99" a="1"/>
  <c r="C919" i="100"/>
  <c r="C467" i="100"/>
  <c r="B1936" i="100"/>
  <c r="B211" i="100"/>
  <c r="B1260" i="100"/>
  <c r="J37" i="99" a="1"/>
  <c r="B603" i="100"/>
  <c r="C1199" i="100"/>
  <c r="C483" i="100"/>
  <c r="B1895" i="100"/>
  <c r="C540" i="100"/>
  <c r="B427" i="100"/>
  <c r="C239" i="100"/>
  <c r="B1240" i="100"/>
  <c r="B1811" i="100"/>
  <c r="B638" i="100"/>
  <c r="C1890" i="100"/>
  <c r="B1268" i="100"/>
  <c r="C689" i="100"/>
  <c r="B1816" i="100"/>
  <c r="B1682" i="100"/>
  <c r="C1938" i="100"/>
  <c r="B400" i="100"/>
  <c r="B1815" i="100"/>
  <c r="C246" i="100"/>
  <c r="B389" i="100"/>
  <c r="C1252" i="100"/>
  <c r="C1792" i="100"/>
  <c r="C262" i="100"/>
  <c r="B860" i="100"/>
  <c r="B730" i="100"/>
  <c r="C627" i="100"/>
  <c r="C1218" i="100"/>
  <c r="C157" i="100"/>
  <c r="D403" i="99" a="1"/>
  <c r="C1762" i="100"/>
  <c r="C557" i="100"/>
  <c r="B4" i="100"/>
  <c r="B1952" i="100"/>
  <c r="W37" i="99" a="1"/>
  <c r="K221" i="99" a="1"/>
  <c r="E382" i="99" a="1"/>
  <c r="C330" i="100"/>
  <c r="H244" i="99" a="1"/>
  <c r="C195" i="100"/>
  <c r="B1145" i="100"/>
  <c r="C1804" i="100"/>
  <c r="B594" i="100"/>
  <c r="AX219" i="99" a="1"/>
  <c r="B917" i="100"/>
  <c r="C260" i="100"/>
  <c r="F246" i="99" a="1"/>
  <c r="B1026" i="100"/>
  <c r="C418" i="100"/>
  <c r="B1040" i="100"/>
  <c r="B1120" i="100"/>
  <c r="B117" i="100"/>
  <c r="C1782" i="100"/>
  <c r="C299" i="100"/>
  <c r="C220" i="100"/>
  <c r="C1906" i="100"/>
  <c r="B262" i="100"/>
  <c r="B308" i="100"/>
  <c r="B511" i="100"/>
  <c r="AB62" i="99" a="1"/>
  <c r="B1671" i="100"/>
  <c r="B577" i="100"/>
  <c r="F39" i="99" a="1"/>
  <c r="C97" i="100"/>
  <c r="B1670" i="100"/>
  <c r="V167" i="99" a="1"/>
  <c r="C923" i="100"/>
  <c r="B745" i="100"/>
  <c r="B298" i="100"/>
  <c r="C1555" i="100"/>
  <c r="C1724" i="100"/>
  <c r="B602" i="100"/>
  <c r="AG143" i="99" a="1"/>
  <c r="B1788" i="100"/>
  <c r="B494" i="100"/>
  <c r="B416" i="100"/>
  <c r="C222" i="100"/>
  <c r="C1558" i="100"/>
  <c r="C1876" i="100"/>
  <c r="B588" i="100"/>
  <c r="C1888" i="100"/>
  <c r="C827" i="100"/>
  <c r="B1561" i="100"/>
  <c r="C1878" i="100"/>
  <c r="B448" i="100"/>
  <c r="C1706" i="100"/>
  <c r="D37" i="99" a="1"/>
  <c r="B527" i="100"/>
  <c r="B24" i="100"/>
  <c r="X221" i="99" a="1"/>
  <c r="C148" i="100"/>
  <c r="C887" i="100"/>
  <c r="C1189" i="100"/>
  <c r="C703" i="100"/>
  <c r="C1015" i="100"/>
  <c r="C1171" i="100"/>
  <c r="C544" i="100"/>
  <c r="B830" i="100"/>
  <c r="B87" i="100"/>
  <c r="B622" i="100"/>
  <c r="B340" i="100"/>
  <c r="B1047" i="100"/>
  <c r="G288" i="99" a="1"/>
  <c r="B765" i="100"/>
  <c r="C1140" i="100"/>
  <c r="B1754" i="100"/>
  <c r="AD190" i="99" a="1"/>
  <c r="C862" i="100"/>
  <c r="B984" i="100"/>
  <c r="B1805" i="100"/>
  <c r="B1124" i="100"/>
  <c r="B752" i="100"/>
  <c r="C971" i="100"/>
  <c r="AN224" i="99" a="1"/>
  <c r="B306" i="100"/>
  <c r="C517" i="100"/>
  <c r="B1748" i="100"/>
  <c r="B1585" i="100"/>
  <c r="C1217" i="100"/>
  <c r="B428" i="100"/>
  <c r="B885" i="100"/>
  <c r="P305" i="99" a="1"/>
  <c r="B1699" i="100"/>
  <c r="B870" i="100"/>
  <c r="C1025" i="100"/>
  <c r="E62" i="99" a="1"/>
  <c r="C995" i="100"/>
  <c r="N4" i="99" a="1"/>
  <c r="C293" i="100"/>
  <c r="B517" i="100"/>
  <c r="C229" i="100"/>
  <c r="B386" i="100"/>
  <c r="C579" i="100"/>
  <c r="B145" i="100"/>
  <c r="B1241" i="100"/>
  <c r="C1796" i="100"/>
  <c r="C1023" i="100"/>
  <c r="B1210" i="100"/>
  <c r="AB37" i="99" a="1"/>
  <c r="C724" i="100"/>
  <c r="L165" i="99" a="1"/>
  <c r="C549" i="100"/>
  <c r="C177" i="100"/>
  <c r="C949" i="100"/>
  <c r="BW224" i="99" a="1"/>
  <c r="C572" i="100"/>
  <c r="C800" i="100"/>
  <c r="U381" i="99" a="1"/>
  <c r="B484" i="100"/>
  <c r="B284" i="100"/>
  <c r="C1845" i="100"/>
  <c r="B1117" i="100"/>
  <c r="B426" i="100"/>
  <c r="B1052" i="100"/>
  <c r="B446" i="100"/>
  <c r="C1914" i="100"/>
  <c r="B781" i="100"/>
  <c r="B1849" i="100"/>
  <c r="C1827" i="100"/>
  <c r="B727" i="100"/>
  <c r="B627" i="100"/>
  <c r="C769" i="100"/>
  <c r="B820" i="100"/>
  <c r="B1953" i="100"/>
  <c r="B499" i="100"/>
  <c r="C100" i="100"/>
  <c r="C186" i="100"/>
  <c r="C1893" i="100"/>
  <c r="BV223" i="99" a="1"/>
  <c r="C468" i="100"/>
  <c r="B1116" i="100"/>
  <c r="C1583" i="100"/>
  <c r="B1888" i="100"/>
  <c r="V221" i="99" a="1"/>
  <c r="D290" i="99" a="1"/>
  <c r="B734" i="100"/>
  <c r="C1161" i="100"/>
  <c r="W93" i="99" a="1"/>
  <c r="C49" i="100"/>
  <c r="C629" i="100"/>
  <c r="AD398" i="99" a="1"/>
  <c r="B102" i="100"/>
  <c r="B1752" i="100"/>
  <c r="B1760" i="100"/>
  <c r="B1666" i="100"/>
  <c r="C305" i="100"/>
  <c r="B1214" i="100"/>
  <c r="B373" i="100"/>
  <c r="C1839" i="100"/>
  <c r="B969" i="100"/>
  <c r="C455" i="100"/>
  <c r="B1004" i="100"/>
  <c r="C1566" i="100"/>
  <c r="C1833" i="100"/>
  <c r="C1939" i="100"/>
  <c r="B501" i="100"/>
  <c r="C69" i="100"/>
  <c r="C1082" i="100"/>
  <c r="B1093" i="100"/>
  <c r="B255" i="100"/>
  <c r="C184" i="100"/>
  <c r="C1860" i="100"/>
  <c r="B407" i="100"/>
  <c r="B976" i="100"/>
  <c r="C1175" i="100"/>
  <c r="B360" i="100"/>
  <c r="P35" i="99" a="1"/>
  <c r="B134" i="100"/>
  <c r="B927" i="100"/>
  <c r="C1963" i="100"/>
  <c r="C884" i="100"/>
  <c r="M322" i="99" a="1"/>
  <c r="C842" i="100"/>
  <c r="C1951" i="100"/>
  <c r="B216" i="100"/>
  <c r="B1945" i="100"/>
  <c r="B850" i="100"/>
  <c r="B44" i="100"/>
  <c r="B672" i="100"/>
  <c r="B1747" i="100"/>
  <c r="V403" i="99" a="1"/>
  <c r="L322" i="99" a="1"/>
  <c r="B794" i="100"/>
  <c r="C369" i="100"/>
  <c r="B141" i="100"/>
  <c r="B1732" i="100"/>
  <c r="B1962" i="100"/>
  <c r="C836" i="100"/>
  <c r="B1858" i="100"/>
  <c r="B715" i="100"/>
  <c r="C119" i="100"/>
  <c r="B496" i="100"/>
  <c r="B476" i="100"/>
  <c r="B631" i="100"/>
  <c r="B348" i="100"/>
  <c r="B1731" i="100"/>
  <c r="V91" i="99" a="1"/>
  <c r="B576" i="100"/>
  <c r="B363" i="100"/>
  <c r="B1081" i="100"/>
  <c r="B444" i="100"/>
  <c r="V273" i="99" a="1"/>
  <c r="B177" i="100"/>
  <c r="AE360" i="99" a="1"/>
  <c r="B471" i="100"/>
  <c r="W116" i="99"/>
  <c r="Y60" i="99" a="1"/>
  <c r="B685" i="100"/>
  <c r="B507" i="100"/>
  <c r="E273" i="99" a="1"/>
  <c r="C1602" i="100"/>
  <c r="B1983" i="100"/>
  <c r="B1727" i="100"/>
  <c r="B483" i="100"/>
  <c r="B169" i="100"/>
  <c r="C396" i="100"/>
  <c r="B182" i="100"/>
  <c r="B943" i="100"/>
  <c r="C1852" i="100"/>
  <c r="C61" i="100"/>
  <c r="B1078" i="100"/>
  <c r="M143" i="99" a="1"/>
  <c r="C1206" i="100"/>
  <c r="B587" i="100"/>
  <c r="C975" i="100"/>
  <c r="C954" i="100"/>
  <c r="AC60" i="99" a="1"/>
  <c r="C1962" i="100"/>
  <c r="B1696" i="100"/>
  <c r="C732" i="100"/>
  <c r="C1563" i="100"/>
  <c r="B1873" i="100"/>
  <c r="C1282" i="100"/>
  <c r="B942" i="100"/>
  <c r="BY219" i="99" a="1"/>
  <c r="M13" i="99" a="1"/>
  <c r="B764" i="100"/>
  <c r="B575" i="100"/>
  <c r="B296" i="100"/>
  <c r="AH190" i="99" a="1"/>
  <c r="D91" i="99" a="1"/>
  <c r="C744" i="100"/>
  <c r="B1925" i="100"/>
  <c r="B654" i="100"/>
  <c r="C362" i="100"/>
  <c r="C556" i="100"/>
  <c r="C1704" i="100"/>
  <c r="F221" i="99" a="1"/>
  <c r="B1034" i="100"/>
  <c r="B1692" i="100"/>
  <c r="B809" i="100"/>
  <c r="B251" i="100"/>
  <c r="C351" i="100"/>
  <c r="B797" i="100"/>
  <c r="B320" i="100"/>
  <c r="O13" i="99" a="1"/>
  <c r="C848" i="100"/>
  <c r="B613" i="100"/>
  <c r="B299" i="100"/>
  <c r="C1964" i="100"/>
  <c r="B758" i="100"/>
  <c r="C487" i="100"/>
  <c r="C1588" i="100"/>
  <c r="B1684" i="100"/>
  <c r="B285" i="100"/>
  <c r="K360" i="99" a="1"/>
  <c r="C756" i="100"/>
  <c r="B203" i="100"/>
  <c r="V401" i="99" a="1"/>
  <c r="X167" i="99" a="1"/>
  <c r="C432" i="100"/>
  <c r="B424" i="100"/>
  <c r="B692" i="100"/>
  <c r="O244" i="99" a="1"/>
  <c r="B6" i="100"/>
  <c r="C903" i="100"/>
  <c r="P60" i="99" a="1"/>
  <c r="B1148" i="100"/>
  <c r="B394" i="100"/>
  <c r="B1218" i="100"/>
  <c r="B1139" i="100"/>
  <c r="C1247" i="100"/>
  <c r="C381" i="100"/>
  <c r="C795" i="100"/>
  <c r="C1725" i="100"/>
  <c r="B889" i="100"/>
  <c r="B133" i="100"/>
  <c r="C939" i="100"/>
  <c r="P6" i="99" a="1"/>
  <c r="B503" i="100"/>
  <c r="C1034" i="100"/>
  <c r="B736" i="100"/>
  <c r="AB114" i="99" a="1"/>
  <c r="C1102" i="100"/>
  <c r="W91" i="99" a="1"/>
  <c r="B959" i="100"/>
  <c r="B792" i="100"/>
  <c r="B876" i="100"/>
  <c r="B490" i="100"/>
  <c r="C914" i="100"/>
  <c r="C585" i="100"/>
  <c r="O114" i="99" a="1"/>
  <c r="C73" i="100"/>
  <c r="B88" i="100"/>
  <c r="C853" i="100"/>
  <c r="B292" i="100"/>
  <c r="C637" i="100"/>
  <c r="C1112" i="100"/>
  <c r="V404" i="99" a="1"/>
  <c r="K271" i="99" a="1"/>
  <c r="B1832" i="100"/>
  <c r="B332" i="100"/>
  <c r="B1011" i="100"/>
  <c r="C568" i="100"/>
  <c r="E91" i="99" a="1"/>
  <c r="C1849" i="100"/>
  <c r="C1280" i="100"/>
  <c r="B1113" i="100"/>
  <c r="B679" i="100"/>
  <c r="B1180" i="100"/>
  <c r="K114" i="99" a="1"/>
  <c r="N89" i="99" a="1"/>
  <c r="C386" i="100"/>
  <c r="B704" i="100"/>
  <c r="G60" i="99" a="1"/>
  <c r="B253" i="100"/>
  <c r="Z398" i="99" a="1"/>
  <c r="X37" i="99" a="1"/>
  <c r="C1740" i="100"/>
  <c r="C1884" i="100"/>
  <c r="C1022" i="100"/>
  <c r="B303" i="100"/>
  <c r="C1788" i="100"/>
  <c r="C313" i="100"/>
  <c r="B1001" i="100"/>
  <c r="C1128" i="100"/>
  <c r="C1145" i="100"/>
  <c r="B1668" i="100"/>
  <c r="C537" i="100"/>
  <c r="L219" i="99" a="1"/>
  <c r="C395" i="100"/>
  <c r="C306" i="100"/>
  <c r="H288" i="99" a="1"/>
  <c r="B974" i="100"/>
  <c r="Z221" i="99" a="1"/>
  <c r="C224" i="100"/>
  <c r="C345" i="100"/>
  <c r="B489" i="100"/>
  <c r="C1920" i="100"/>
  <c r="B813" i="100"/>
  <c r="B929" i="100"/>
  <c r="B1914" i="100"/>
  <c r="Q190" i="99" a="1"/>
  <c r="Y13" i="99" a="1"/>
  <c r="B1135" i="100"/>
  <c r="C379" i="100"/>
  <c r="B512" i="100"/>
  <c r="C1765" i="100"/>
  <c r="B1767" i="100"/>
  <c r="B642" i="100"/>
  <c r="B1794" i="100"/>
  <c r="B237" i="100"/>
  <c r="B1213" i="100"/>
  <c r="C1245" i="100"/>
  <c r="C1930" i="100"/>
  <c r="C747" i="100"/>
  <c r="B1751" i="100"/>
  <c r="C788" i="100"/>
  <c r="B669" i="100"/>
  <c r="C1729" i="100"/>
  <c r="C708" i="100"/>
  <c r="C1240" i="100"/>
  <c r="B790" i="100"/>
  <c r="B666" i="100"/>
  <c r="BE224" i="99" a="1"/>
  <c r="C343" i="100"/>
  <c r="C1017" i="100"/>
  <c r="B541" i="100"/>
  <c r="C1160" i="100"/>
  <c r="C1018" i="100"/>
  <c r="C366" i="100"/>
  <c r="B1787" i="100"/>
  <c r="C275" i="100"/>
  <c r="C1044" i="100"/>
  <c r="AP224" i="99" a="1"/>
  <c r="C948" i="100"/>
  <c r="C1027" i="100"/>
  <c r="B457" i="100"/>
  <c r="B1036" i="100"/>
  <c r="C126" i="100"/>
  <c r="C718" i="100"/>
  <c r="B257" i="100"/>
  <c r="B1123" i="100"/>
  <c r="C595" i="100"/>
  <c r="C1815" i="100"/>
  <c r="C998" i="100"/>
  <c r="C498" i="100"/>
  <c r="O143" i="99" a="1"/>
  <c r="B673" i="100"/>
  <c r="B440" i="100"/>
  <c r="AF35" i="99" a="1"/>
  <c r="C1121" i="100"/>
  <c r="C796" i="100"/>
  <c r="B674" i="100"/>
  <c r="C491" i="100"/>
  <c r="C1194" i="100"/>
  <c r="C925" i="100"/>
  <c r="C1957" i="100"/>
  <c r="C343" i="99" a="1"/>
  <c r="C388" i="100"/>
  <c r="B948" i="100"/>
  <c r="B1279" i="100"/>
  <c r="B1153" i="100"/>
  <c r="C1013" i="100"/>
  <c r="C1138" i="100"/>
  <c r="C1090" i="100"/>
  <c r="B271" i="100"/>
  <c r="Y190" i="99" a="1"/>
  <c r="D307" i="99" a="1"/>
  <c r="C822" i="100"/>
  <c r="B828" i="100"/>
  <c r="CG219" i="99" a="1"/>
  <c r="C510" i="100"/>
  <c r="B571" i="100"/>
  <c r="B1723" i="100"/>
  <c r="C1675" i="100"/>
  <c r="B1588" i="100"/>
  <c r="C479" i="100"/>
  <c r="C1215" i="100"/>
  <c r="B99" i="100"/>
  <c r="B629" i="100"/>
  <c r="C1051" i="100"/>
  <c r="B219" i="100"/>
  <c r="C917" i="100"/>
  <c r="B1003" i="100"/>
  <c r="C1164" i="100"/>
  <c r="C1781" i="100"/>
  <c r="B1837" i="100"/>
  <c r="B90" i="100"/>
  <c r="B1122" i="100"/>
  <c r="B1025" i="100"/>
  <c r="B1002" i="100"/>
  <c r="C897" i="100"/>
  <c r="C529" i="100"/>
  <c r="I305" i="99" a="1"/>
  <c r="K89" i="99" a="1"/>
  <c r="B962" i="100"/>
  <c r="C1210" i="100"/>
  <c r="C1718" i="100"/>
  <c r="B1937" i="100"/>
  <c r="L398" i="99" a="1"/>
  <c r="C202" i="100"/>
  <c r="BL221" i="99" a="1"/>
  <c r="C1209" i="100"/>
  <c r="L89" i="99" a="1"/>
  <c r="C945" i="100"/>
  <c r="B156" i="100"/>
  <c r="C1195" i="100"/>
  <c r="C377" i="100"/>
  <c r="C438" i="100"/>
  <c r="W223" i="99" a="1"/>
  <c r="C120" i="100"/>
  <c r="C845" i="100"/>
  <c r="C1178" i="100"/>
  <c r="C1165" i="100"/>
  <c r="B925" i="100"/>
  <c r="C999" i="100"/>
  <c r="B322" i="100"/>
  <c r="B223" i="100"/>
  <c r="C824" i="100"/>
  <c r="B515" i="100"/>
  <c r="B1868" i="100"/>
  <c r="B1713" i="100"/>
  <c r="C888" i="100"/>
  <c r="B775" i="100"/>
  <c r="C398" i="100"/>
  <c r="Z360" i="99" a="1"/>
  <c r="AO221" i="99" a="1"/>
  <c r="AA35" i="99" a="1"/>
  <c r="C661" i="100"/>
  <c r="N341" i="99" a="1"/>
  <c r="B1262" i="100"/>
  <c r="C1840" i="100"/>
  <c r="C1262" i="100"/>
  <c r="C1162" i="100"/>
  <c r="B845" i="100"/>
  <c r="C1800" i="100"/>
  <c r="B1724" i="100"/>
  <c r="K305" i="99" a="1"/>
  <c r="M244" i="99" a="1"/>
  <c r="B1801" i="100"/>
  <c r="B1160" i="100"/>
  <c r="C584" i="100"/>
  <c r="BX224" i="99" a="1"/>
  <c r="B824" i="100"/>
  <c r="N288" i="99" a="1"/>
  <c r="B1738" i="100"/>
  <c r="X224" i="99" a="1"/>
  <c r="B439" i="100"/>
  <c r="C1000" i="100"/>
  <c r="B353" i="100"/>
  <c r="C790" i="100"/>
  <c r="B11" i="100"/>
  <c r="C696" i="100"/>
  <c r="C1177" i="100"/>
  <c r="C1679" i="100"/>
  <c r="B912" i="100"/>
  <c r="C111" i="100"/>
  <c r="B200" i="100"/>
  <c r="C280" i="100"/>
  <c r="C1255" i="100"/>
  <c r="C344" i="100"/>
  <c r="B987" i="100"/>
  <c r="B233" i="100"/>
  <c r="B714" i="100"/>
  <c r="B859" i="100"/>
  <c r="B1970" i="100"/>
  <c r="C891" i="100"/>
  <c r="C458" i="100"/>
  <c r="B1735" i="100"/>
  <c r="B1067" i="100"/>
  <c r="B1938" i="100"/>
  <c r="AG35" i="99" a="1"/>
  <c r="B453" i="100"/>
  <c r="C86" i="100"/>
  <c r="C726" i="100"/>
  <c r="B242" i="100"/>
  <c r="C1671" i="100"/>
  <c r="B520" i="100"/>
  <c r="B1594" i="100"/>
  <c r="C986" i="100"/>
  <c r="B729" i="100"/>
  <c r="B183" i="100"/>
  <c r="U91" i="99" a="1"/>
  <c r="C212" i="100"/>
  <c r="C1568" i="100"/>
  <c r="B327" i="100"/>
  <c r="B787" i="100"/>
  <c r="C1802" i="100"/>
  <c r="B1693" i="100"/>
  <c r="B149" i="100"/>
  <c r="C104" i="100"/>
  <c r="B881" i="100"/>
  <c r="B1278" i="100"/>
  <c r="L13" i="99" a="1"/>
  <c r="B1689" i="100"/>
  <c r="B1918" i="100"/>
  <c r="B293" i="100"/>
  <c r="E39" i="99" a="1"/>
  <c r="C89" i="100"/>
  <c r="B1032" i="100"/>
  <c r="C717" i="100"/>
  <c r="B56" i="100"/>
  <c r="C776" i="100"/>
  <c r="B932" i="100"/>
  <c r="C512" i="100"/>
  <c r="C1616" i="100"/>
  <c r="C43" i="100"/>
  <c r="B1591" i="100"/>
  <c r="B1712" i="100"/>
  <c r="B267" i="100"/>
  <c r="B1224" i="100"/>
  <c r="B111" i="100"/>
  <c r="AD114" i="99" a="1"/>
  <c r="C1812" i="100"/>
  <c r="B1184" i="100"/>
  <c r="B143" i="100"/>
  <c r="B1186" i="100"/>
  <c r="B637" i="100"/>
  <c r="C1080" i="100"/>
  <c r="B150" i="100"/>
  <c r="J398" i="99" a="1"/>
  <c r="B1717" i="100"/>
  <c r="B578" i="100"/>
  <c r="B27" i="100"/>
  <c r="C553" i="100"/>
  <c r="V15" i="99" a="1"/>
  <c r="C1773" i="100"/>
  <c r="B22" i="100"/>
  <c r="B1029" i="100"/>
  <c r="C1207" i="100"/>
  <c r="B883" i="100"/>
  <c r="B649" i="100"/>
  <c r="B1789" i="100"/>
  <c r="B379" i="100"/>
  <c r="B596" i="100"/>
  <c r="B725" i="100"/>
  <c r="BE223" i="99" a="1"/>
  <c r="B1761" i="100"/>
  <c r="C485" i="100"/>
  <c r="B1216" i="100"/>
  <c r="C22" i="100"/>
  <c r="B749" i="100"/>
  <c r="BH219" i="99" a="1"/>
  <c r="E249" i="99" a="1"/>
  <c r="C1054" i="100"/>
  <c r="U380" i="99" a="1"/>
  <c r="B1282" i="100"/>
  <c r="B814" i="100"/>
  <c r="C940" i="100"/>
  <c r="D39" i="99" a="1"/>
  <c r="M288" i="99" a="1"/>
  <c r="C121" i="100"/>
  <c r="B1840" i="100"/>
  <c r="C375" i="100"/>
  <c r="B614" i="100"/>
  <c r="B1785" i="100"/>
  <c r="C864" i="100"/>
  <c r="C970" i="100"/>
  <c r="C875" i="100"/>
  <c r="Q114" i="99" a="1"/>
  <c r="V362" i="99" a="1"/>
  <c r="B518" i="100"/>
  <c r="C1035" i="100"/>
  <c r="B249" i="100"/>
  <c r="B1884" i="100"/>
  <c r="X192" i="99"/>
  <c r="E419" i="99" a="1"/>
  <c r="B878" i="100"/>
  <c r="C1198" i="100"/>
  <c r="B1704" i="100"/>
  <c r="F169" i="99" a="1"/>
  <c r="C429" i="100"/>
  <c r="B529" i="100"/>
  <c r="W167" i="99" a="1"/>
  <c r="B310" i="100"/>
  <c r="C1173" i="100"/>
  <c r="B454" i="100"/>
  <c r="B1259" i="100"/>
  <c r="C114" i="100"/>
  <c r="B1203" i="100"/>
  <c r="C1584" i="100"/>
  <c r="C416" i="100"/>
  <c r="C1604" i="100"/>
  <c r="B1957" i="100"/>
  <c r="B1830" i="100"/>
  <c r="B381" i="100"/>
  <c r="I288" i="99" a="1"/>
  <c r="C725" i="100"/>
  <c r="B910" i="100"/>
  <c r="C380" i="99" a="1"/>
  <c r="B1900" i="100"/>
  <c r="C912" i="100"/>
  <c r="C205" i="100"/>
  <c r="B905" i="100"/>
  <c r="B634" i="100"/>
  <c r="C548" i="100"/>
  <c r="C439" i="100"/>
  <c r="B554" i="100"/>
  <c r="B392" i="100"/>
  <c r="V402" i="99" a="1"/>
  <c r="C347" i="100"/>
  <c r="B330" i="100"/>
  <c r="C1934" i="100"/>
  <c r="C70" i="100"/>
  <c r="C1203" i="100"/>
  <c r="C389" i="100"/>
  <c r="V62" i="99" a="1"/>
  <c r="B1085" i="100"/>
  <c r="C1063" i="100"/>
  <c r="B181" i="100"/>
  <c r="C659" i="100"/>
  <c r="B1017" i="100"/>
  <c r="E93" i="99" a="1"/>
  <c r="C91" i="100"/>
  <c r="C714" i="100"/>
  <c r="B52" i="100"/>
  <c r="B1043" i="100"/>
  <c r="B1824" i="100"/>
  <c r="C625" i="100"/>
  <c r="D379" i="99" a="1"/>
  <c r="F377" i="99" a="1"/>
  <c r="C547" i="100"/>
  <c r="B1258" i="100"/>
  <c r="B190" i="100"/>
  <c r="K4" i="99" a="1"/>
  <c r="C252" i="100"/>
  <c r="C910" i="100"/>
  <c r="B174" i="100"/>
  <c r="B270" i="100"/>
  <c r="C147" i="100"/>
  <c r="C58" i="100"/>
  <c r="C681" i="100"/>
  <c r="C1945" i="100"/>
  <c r="B1799" i="100"/>
  <c r="C660" i="100"/>
  <c r="F62" i="99" a="1"/>
  <c r="B1079" i="100"/>
  <c r="C253" i="100"/>
  <c r="AG89" i="99" a="1"/>
  <c r="C15" i="100"/>
  <c r="C52" i="100"/>
  <c r="B367" i="100"/>
  <c r="C1086" i="100"/>
  <c r="B1021" i="100"/>
  <c r="C752" i="100"/>
  <c r="W381" i="99" a="1"/>
  <c r="C1862" i="100"/>
  <c r="C953" i="100"/>
  <c r="B981" i="100"/>
  <c r="B1817" i="100"/>
  <c r="C1805" i="100"/>
  <c r="B1860" i="100"/>
  <c r="C1748" i="100"/>
  <c r="B1084" i="100"/>
  <c r="Y37" i="99" a="1"/>
  <c r="B1959" i="100"/>
  <c r="C1854" i="100"/>
  <c r="C1191" i="100"/>
  <c r="B871" i="100"/>
  <c r="B1012" i="100"/>
  <c r="C122" i="100"/>
  <c r="B992" i="100"/>
  <c r="C1100" i="100"/>
  <c r="AI89" i="99" a="1"/>
  <c r="B451" i="100"/>
  <c r="B199" i="100"/>
  <c r="B1853" i="100"/>
  <c r="W377" i="99" a="1"/>
  <c r="C1711" i="100"/>
  <c r="G322" i="99" a="1"/>
  <c r="B1694" i="100"/>
  <c r="B1929" i="100"/>
  <c r="C1702" i="100"/>
  <c r="B291" i="100"/>
  <c r="I360" i="99" a="1"/>
  <c r="C683" i="100"/>
  <c r="C156" i="100"/>
  <c r="C996" i="100"/>
  <c r="B990" i="100"/>
  <c r="L114" i="99" a="1"/>
  <c r="B687" i="100"/>
  <c r="C1064" i="100"/>
  <c r="B452" i="100"/>
  <c r="B879" i="100"/>
  <c r="C675" i="100"/>
  <c r="C749" i="100"/>
  <c r="C730" i="100"/>
  <c r="B1984" i="100"/>
  <c r="B877" i="100"/>
  <c r="C490" i="100"/>
  <c r="C228" i="100"/>
  <c r="I60" i="99" a="1"/>
  <c r="B755" i="100"/>
  <c r="C287" i="100"/>
  <c r="B777" i="100"/>
  <c r="C424" i="100"/>
  <c r="C372" i="100"/>
  <c r="C628" i="100"/>
  <c r="B101" i="100"/>
  <c r="C349" i="100"/>
  <c r="C1124" i="100"/>
  <c r="Q35" i="99" a="1"/>
  <c r="C700" i="100"/>
  <c r="B1975" i="100"/>
  <c r="C619" i="100"/>
  <c r="C1267" i="100"/>
  <c r="C1603" i="100"/>
  <c r="O89" i="99" a="1"/>
  <c r="I114" i="99" a="1"/>
  <c r="C1263" i="100"/>
  <c r="C1700" i="100"/>
  <c r="B513" i="100"/>
  <c r="V169" i="99" a="1"/>
  <c r="C926" i="100"/>
  <c r="C967" i="100"/>
  <c r="C1200" i="100"/>
  <c r="AF114" i="99" a="1"/>
  <c r="B404" i="100"/>
  <c r="B1763" i="100"/>
  <c r="C514" i="100"/>
  <c r="C115" i="100"/>
  <c r="B1045" i="100"/>
  <c r="C1803" i="100"/>
  <c r="C204" i="100"/>
  <c r="B369" i="100"/>
  <c r="C1683" i="100"/>
  <c r="C80" i="100"/>
  <c r="C1760" i="100"/>
  <c r="C168" i="100"/>
  <c r="C938" i="100"/>
  <c r="E167" i="99" a="1"/>
  <c r="B756" i="100"/>
  <c r="C1026" i="100"/>
  <c r="B1813" i="100"/>
  <c r="B58" i="100"/>
  <c r="B1960" i="100"/>
  <c r="D381" i="99" a="1"/>
  <c r="C761" i="100"/>
  <c r="C274" i="100"/>
  <c r="B1795" i="100"/>
  <c r="B1028" i="100"/>
  <c r="C237" i="100"/>
  <c r="B761" i="100"/>
  <c r="C943" i="100"/>
  <c r="C1793" i="100"/>
  <c r="C1708" i="100"/>
  <c r="C1226" i="100"/>
  <c r="AN221" i="99" a="1"/>
  <c r="C706" i="100"/>
  <c r="B314" i="100"/>
  <c r="B1642" i="100"/>
  <c r="B390" i="100"/>
  <c r="B1167" i="100"/>
  <c r="D380" i="99" a="1"/>
  <c r="C1746" i="100"/>
  <c r="B479" i="100"/>
  <c r="B710" i="100"/>
  <c r="C879" i="100"/>
  <c r="B606" i="100"/>
  <c r="AN223" i="99" a="1"/>
  <c r="B1006" i="100"/>
  <c r="B1676" i="100"/>
  <c r="V223" i="99" a="1"/>
  <c r="B462" i="100"/>
  <c r="AE190" i="99" a="1"/>
  <c r="B647" i="100"/>
  <c r="B839" i="100"/>
  <c r="B1687" i="100"/>
  <c r="H271" i="99" a="1"/>
  <c r="AE165" i="99" a="1"/>
  <c r="C57" i="100"/>
  <c r="D404" i="99" a="1"/>
  <c r="B1678" i="100"/>
  <c r="B1091" i="100"/>
  <c r="B289" i="100"/>
  <c r="C927" i="100"/>
  <c r="B12" i="100"/>
  <c r="C570" i="100"/>
  <c r="C1032" i="100"/>
  <c r="B81" i="100"/>
  <c r="C1594" i="100"/>
  <c r="B1643" i="100"/>
  <c r="BI221" i="99" a="1"/>
  <c r="B805" i="100"/>
  <c r="B801" i="100"/>
  <c r="C1596" i="100"/>
  <c r="B272" i="100"/>
  <c r="C885" i="100"/>
  <c r="B1728" i="100"/>
  <c r="C1947" i="100"/>
  <c r="C778" i="100"/>
  <c r="L341" i="99" a="1"/>
  <c r="B1908" i="100"/>
  <c r="C929" i="100"/>
  <c r="B1600" i="100"/>
  <c r="AE377" i="99" a="1"/>
  <c r="B1126" i="100"/>
  <c r="B263" i="100"/>
  <c r="C309" i="100"/>
  <c r="B1057" i="100"/>
  <c r="G221" i="99" a="1"/>
  <c r="C787" i="100"/>
  <c r="BF221" i="99" a="1"/>
  <c r="C1972" i="100"/>
  <c r="B500" i="100"/>
  <c r="AG13" i="99" a="1"/>
  <c r="C716" i="100"/>
  <c r="B1977" i="100"/>
  <c r="C368" i="100"/>
  <c r="C993" i="100"/>
  <c r="BE221" i="99" a="1"/>
  <c r="B1031" i="100"/>
  <c r="B455" i="100"/>
  <c r="B1867" i="100"/>
  <c r="B1741" i="100"/>
  <c r="AO223" i="99" a="1"/>
  <c r="C1269" i="100"/>
  <c r="C1978" i="100"/>
  <c r="AB219" i="99" a="1"/>
  <c r="B29" i="100"/>
  <c r="C1253" i="100"/>
  <c r="AE143" i="99" a="1"/>
  <c r="C10" i="100"/>
  <c r="C478" i="100"/>
  <c r="C362" i="99" a="1"/>
  <c r="B7" i="100"/>
  <c r="C898" i="100"/>
  <c r="C1157" i="100"/>
  <c r="B1768" i="100"/>
  <c r="Y143" i="99" a="1"/>
  <c r="B109" i="100"/>
  <c r="C1819" i="100"/>
  <c r="C1851" i="100"/>
  <c r="C381" i="99" a="1"/>
  <c r="AD13" i="99" a="1"/>
  <c r="B1716" i="100"/>
  <c r="B1097" i="100"/>
  <c r="B1586" i="100"/>
  <c r="C792" i="100"/>
  <c r="C183" i="100"/>
  <c r="C611" i="100"/>
  <c r="B664" i="100"/>
  <c r="C814" i="100"/>
  <c r="B365" i="100"/>
  <c r="E377" i="99" a="1"/>
  <c r="B1111" i="100"/>
  <c r="C1677" i="100"/>
  <c r="B1980" i="100"/>
  <c r="AQ221" i="99" a="1"/>
  <c r="C1224" i="100"/>
  <c r="C339" i="100"/>
  <c r="B773" i="100"/>
  <c r="C597" i="100"/>
  <c r="O190" i="99" a="1"/>
  <c r="C244" i="100"/>
  <c r="B1225" i="100"/>
  <c r="C1149" i="100"/>
  <c r="B1163" i="100"/>
  <c r="C79" i="100"/>
  <c r="B504" i="100"/>
  <c r="D167" i="99" a="1"/>
  <c r="I419" i="99" a="1"/>
  <c r="I13" i="99" a="1"/>
  <c r="B1074" i="100"/>
  <c r="B1777" i="100"/>
  <c r="C82" i="100"/>
  <c r="C519" i="100"/>
  <c r="C750" i="100"/>
  <c r="C342" i="100"/>
  <c r="B1176" i="100"/>
  <c r="C704" i="100"/>
  <c r="AR221" i="99" a="1"/>
  <c r="CI219" i="99" a="1"/>
  <c r="B1554" i="100"/>
  <c r="C288" i="100"/>
  <c r="B618" i="100"/>
  <c r="C734" i="100"/>
  <c r="C1739" i="100"/>
  <c r="B57" i="100"/>
  <c r="C281" i="100"/>
  <c r="C1188" i="100"/>
  <c r="B1194" i="100"/>
  <c r="C1058" i="100"/>
  <c r="B746" i="100"/>
  <c r="B941" i="100"/>
  <c r="C23" i="100"/>
  <c r="C64" i="100"/>
  <c r="B923" i="100"/>
  <c r="C250" i="100"/>
  <c r="H305" i="99" a="1"/>
  <c r="B239" i="100"/>
  <c r="B35" i="100"/>
  <c r="C594" i="100"/>
  <c r="C68" i="100"/>
  <c r="C632" i="100"/>
  <c r="C1791" i="100"/>
  <c r="B784" i="100"/>
  <c r="B834" i="100"/>
  <c r="C1585" i="100"/>
  <c r="C746" i="100"/>
  <c r="C296" i="100"/>
  <c r="B485" i="100"/>
  <c r="B83" i="100"/>
  <c r="C327" i="100"/>
  <c r="C55" i="100"/>
  <c r="B405" i="100"/>
  <c r="C987" i="100"/>
  <c r="B937" i="100"/>
  <c r="N322" i="99" a="1"/>
  <c r="B949" i="100"/>
  <c r="C1276" i="100"/>
  <c r="AD360" i="99" a="1"/>
  <c r="B1695" i="100"/>
  <c r="B815" i="100"/>
  <c r="C777" i="100"/>
  <c r="C623" i="100"/>
  <c r="B1154" i="100"/>
  <c r="C363" i="100"/>
  <c r="D249" i="99" a="1"/>
  <c r="B1954" i="100"/>
  <c r="B1273" i="100"/>
  <c r="C1717" i="100"/>
  <c r="B1950" i="100"/>
  <c r="AC360" i="99" a="1"/>
  <c r="AI219" i="99" a="1"/>
  <c r="C419" i="100"/>
  <c r="C21" i="100"/>
  <c r="B817" i="100"/>
  <c r="C819" i="100"/>
  <c r="C486" i="100"/>
  <c r="C434" i="100"/>
  <c r="C745" i="100"/>
  <c r="B899" i="100"/>
  <c r="C430" i="100"/>
  <c r="W39" i="99" a="1"/>
  <c r="B1674" i="100"/>
  <c r="B1244" i="100"/>
  <c r="B1281" i="100"/>
  <c r="B1944" i="100"/>
  <c r="C207" i="100"/>
  <c r="B1948" i="100"/>
  <c r="C894" i="100"/>
  <c r="AA114" i="99" a="1"/>
  <c r="B895" i="100"/>
  <c r="B843" i="100"/>
  <c r="C286" i="100"/>
  <c r="C886" i="100"/>
  <c r="B940" i="100"/>
  <c r="AC13" i="99" a="1"/>
  <c r="G246" i="99" a="1"/>
  <c r="B232" i="100"/>
  <c r="AB60" i="99" a="1"/>
  <c r="C1960" i="100"/>
  <c r="B1188" i="100"/>
  <c r="B85" i="100"/>
  <c r="C236" i="100"/>
  <c r="B934" i="100"/>
  <c r="B791" i="100"/>
  <c r="C285" i="100"/>
  <c r="B97" i="100"/>
  <c r="C1062" i="100"/>
  <c r="C764" i="100"/>
  <c r="G337" i="99" a="1"/>
  <c r="B1878" i="100"/>
  <c r="C209" i="100"/>
  <c r="B1254" i="100"/>
  <c r="C915" i="100"/>
  <c r="B498" i="100"/>
  <c r="C403" i="100"/>
  <c r="B1027" i="100"/>
  <c r="B1108" i="100"/>
  <c r="B472" i="100"/>
  <c r="B213" i="100"/>
  <c r="B248" i="100"/>
  <c r="B1903" i="100"/>
  <c r="B488" i="100"/>
  <c r="C145" i="100"/>
  <c r="B1923" i="100"/>
  <c r="C1737" i="100"/>
  <c r="B782" i="100"/>
  <c r="B738" i="100"/>
  <c r="C28" i="100"/>
  <c r="C602" i="100"/>
  <c r="C921" i="100"/>
  <c r="E383" i="99" a="1"/>
  <c r="B463" i="100"/>
  <c r="C664" i="100"/>
  <c r="C1557" i="100"/>
  <c r="C1757" i="100"/>
  <c r="G192" i="99" a="1"/>
  <c r="C1953" i="100"/>
  <c r="C535" i="100"/>
  <c r="B98" i="100"/>
  <c r="C445" i="100"/>
  <c r="C404" i="100"/>
  <c r="C541" i="100"/>
  <c r="B1022" i="100"/>
  <c r="C1002" i="100"/>
  <c r="B947" i="100"/>
  <c r="B241" i="100"/>
  <c r="B816" i="100"/>
  <c r="B909" i="100"/>
  <c r="B549" i="100"/>
  <c r="AC190" i="99" a="1"/>
  <c r="C1797" i="100"/>
  <c r="V37" i="99" a="1"/>
  <c r="B1739" i="100"/>
  <c r="B1855" i="100"/>
  <c r="F192" i="99"/>
  <c r="C1039" i="100"/>
  <c r="AA219" i="99" a="1"/>
  <c r="AD143" i="99" a="1"/>
  <c r="C33" i="100"/>
  <c r="C686" i="100"/>
  <c r="B1191" i="100"/>
  <c r="B766" i="100"/>
  <c r="BI219" i="99" a="1"/>
  <c r="CE219" i="99" a="1"/>
  <c r="C453" i="100"/>
  <c r="B522" i="100"/>
  <c r="B593" i="100"/>
  <c r="C72" i="100"/>
  <c r="B1896" i="100"/>
  <c r="B352" i="100"/>
  <c r="B954" i="100"/>
  <c r="B946" i="100"/>
  <c r="B1774" i="100"/>
  <c r="B799" i="100"/>
  <c r="C103" i="100"/>
  <c r="B1894" i="100"/>
  <c r="C1870" i="100"/>
  <c r="C326" i="100"/>
  <c r="B988" i="100"/>
  <c r="C292" i="100"/>
  <c r="B247" i="100"/>
  <c r="C715" i="100"/>
  <c r="C935" i="100"/>
  <c r="Z13" i="99" a="1"/>
  <c r="B1874" i="100"/>
  <c r="B1107" i="100"/>
  <c r="C1565" i="100"/>
  <c r="B406" i="100"/>
  <c r="B855" i="100"/>
  <c r="C856" i="100"/>
  <c r="B570" i="100"/>
  <c r="B64" i="100"/>
  <c r="B184" i="100"/>
  <c r="AA60" i="99" a="1"/>
  <c r="B433" i="100"/>
  <c r="C964" i="100"/>
  <c r="C560" i="100"/>
  <c r="B743" i="100"/>
  <c r="C83" i="100"/>
  <c r="AC35" i="99" a="1"/>
  <c r="AA143" i="99" a="1"/>
  <c r="B1610" i="100"/>
  <c r="C456" i="100"/>
  <c r="C1666" i="100"/>
  <c r="C284" i="100"/>
  <c r="C1567" i="100"/>
  <c r="C861" i="100"/>
  <c r="C1904" i="100"/>
  <c r="C578" i="100"/>
  <c r="B3" i="100"/>
  <c r="B76" i="100"/>
  <c r="B867" i="100"/>
  <c r="B913" i="100"/>
  <c r="B768" i="100"/>
  <c r="B1221" i="100"/>
  <c r="B789" i="100"/>
  <c r="C283" i="100"/>
  <c r="B721" i="100"/>
  <c r="C1249" i="100"/>
  <c r="C1129" i="100"/>
  <c r="B902" i="100"/>
  <c r="B339" i="100"/>
  <c r="C411" i="100"/>
  <c r="B1746" i="100"/>
  <c r="C185" i="100"/>
  <c r="B1904" i="100"/>
  <c r="B1885" i="100"/>
  <c r="B1101" i="100"/>
  <c r="B636" i="100"/>
  <c r="C359" i="100"/>
  <c r="C1024" i="100"/>
  <c r="C1079" i="100"/>
  <c r="B818" i="100"/>
  <c r="B532" i="100"/>
  <c r="X398" i="99" a="1"/>
  <c r="C669" i="100"/>
  <c r="C508" i="100"/>
  <c r="B991" i="100"/>
  <c r="C1811" i="100"/>
  <c r="B201" i="100"/>
  <c r="C892" i="100"/>
  <c r="C736" i="100"/>
  <c r="C1728" i="100"/>
  <c r="G341" i="99" a="1"/>
  <c r="B1803" i="100"/>
  <c r="B236" i="100"/>
  <c r="C751" i="100"/>
  <c r="AB271" i="99" a="1"/>
  <c r="C1007" i="100"/>
  <c r="C208" i="100"/>
  <c r="I322" i="99" a="1"/>
  <c r="C1693" i="100"/>
  <c r="AC377" i="99" a="1"/>
  <c r="C1083" i="100"/>
  <c r="I244" i="99" a="1"/>
  <c r="B904" i="100"/>
  <c r="X93" i="99" a="1"/>
  <c r="B1865" i="100"/>
  <c r="C267" i="100"/>
  <c r="C835" i="100"/>
  <c r="C1254" i="100"/>
  <c r="C443" i="100"/>
  <c r="U383" i="99" a="1"/>
  <c r="C1005" i="100"/>
  <c r="C218" i="100"/>
  <c r="I165" i="99" a="1"/>
  <c r="AA271" i="99" a="1"/>
  <c r="C988" i="100"/>
  <c r="B915" i="100"/>
  <c r="C526" i="100"/>
  <c r="B1587" i="100"/>
  <c r="B772" i="100"/>
  <c r="C446" i="100"/>
  <c r="B1870" i="100"/>
  <c r="C423" i="100"/>
  <c r="AT219" i="99" a="1"/>
  <c r="C794" i="100"/>
  <c r="C1985" i="100"/>
  <c r="B1829" i="100"/>
  <c r="B276" i="100"/>
  <c r="J305" i="99" a="1"/>
  <c r="C374" i="100"/>
  <c r="C844" i="100"/>
  <c r="B550" i="100"/>
  <c r="C1148" i="100"/>
  <c r="B737" i="100"/>
  <c r="B557" i="100"/>
  <c r="C1892" i="100"/>
  <c r="J165" i="99" a="1"/>
  <c r="B675" i="100"/>
  <c r="B301" i="100"/>
  <c r="B1064" i="100"/>
  <c r="B146" i="100"/>
  <c r="B396" i="100"/>
  <c r="AH143" i="99" a="1"/>
  <c r="C982" i="100"/>
  <c r="B1150" i="100"/>
  <c r="B1018" i="100"/>
  <c r="B480" i="100"/>
  <c r="C1114" i="100"/>
  <c r="G89" i="99" a="1"/>
  <c r="B977" i="100"/>
  <c r="B297" i="100"/>
  <c r="B436" i="100"/>
  <c r="C117" i="100"/>
  <c r="C1059" i="100"/>
  <c r="BG224" i="99" a="1"/>
  <c r="C1790" i="100"/>
  <c r="BX223" i="99" a="1"/>
  <c r="C740" i="100"/>
  <c r="B1906" i="100"/>
  <c r="J360" i="99" a="1"/>
  <c r="C852" i="100"/>
  <c r="C1799" i="100"/>
  <c r="C1067" i="100"/>
  <c r="C630" i="100"/>
  <c r="C1780" i="100"/>
  <c r="B1745" i="100"/>
  <c r="B1569" i="100"/>
  <c r="C1787" i="100"/>
  <c r="B663" i="100"/>
  <c r="B1059" i="100"/>
  <c r="B1223" i="100"/>
  <c r="C1139" i="100"/>
  <c r="B110" i="100"/>
  <c r="C702" i="100"/>
  <c r="C1822" i="100"/>
  <c r="C282" i="100"/>
  <c r="C1752" i="100"/>
  <c r="B25" i="100"/>
  <c r="B1773" i="100"/>
  <c r="Y89" i="99" a="1"/>
  <c r="B171" i="100"/>
  <c r="C781" i="100"/>
  <c r="Y91" i="99" a="1"/>
  <c r="C1089" i="100"/>
  <c r="C635" i="100"/>
  <c r="C1186" i="100"/>
  <c r="E337" i="99" a="1"/>
  <c r="B579" i="100"/>
  <c r="B1871" i="100"/>
  <c r="B1736" i="100"/>
  <c r="B167" i="100"/>
  <c r="B547" i="100"/>
  <c r="B509" i="100"/>
  <c r="B290" i="100"/>
  <c r="C1986" i="100"/>
  <c r="AF190" i="99" a="1"/>
  <c r="B916" i="100"/>
  <c r="B1127" i="100"/>
  <c r="B89" i="100"/>
  <c r="B835" i="100"/>
  <c r="C528" i="100"/>
  <c r="CC221" i="99" a="1"/>
  <c r="B584" i="100"/>
  <c r="C1913" i="100"/>
  <c r="C1918" i="100"/>
  <c r="B1679" i="100"/>
  <c r="B228" i="100"/>
  <c r="C1598" i="100"/>
  <c r="B873" i="100"/>
  <c r="C1273" i="100"/>
  <c r="B643" i="100"/>
  <c r="B1075" i="100"/>
  <c r="C174" i="100"/>
  <c r="B258" i="100"/>
  <c r="J377" i="99" a="1"/>
  <c r="C295" i="100"/>
  <c r="B62" i="100"/>
  <c r="B732" i="100"/>
  <c r="F398" i="99" a="1"/>
  <c r="B650" i="100"/>
  <c r="B123" i="100"/>
  <c r="C1281" i="100"/>
  <c r="B402" i="100"/>
  <c r="C866" i="100"/>
  <c r="C1699" i="100"/>
  <c r="C1983" i="100"/>
  <c r="C1987" i="100"/>
  <c r="C1842" i="100"/>
  <c r="C883" i="100"/>
  <c r="C289" i="100"/>
  <c r="AE271" i="99" a="1"/>
  <c r="B96" i="100"/>
  <c r="C957" i="100"/>
  <c r="C358" i="100"/>
  <c r="C1875" i="100"/>
  <c r="C860" i="100"/>
  <c r="C527" i="100"/>
  <c r="C383" i="99" a="1"/>
  <c r="C449" i="100"/>
  <c r="B523" i="100"/>
  <c r="C1006" i="100"/>
  <c r="B395" i="100"/>
  <c r="B1065" i="100"/>
  <c r="C770" i="100"/>
  <c r="B1886" i="100"/>
  <c r="C1798" i="100"/>
  <c r="B995" i="100"/>
  <c r="C1698" i="100"/>
  <c r="B1056" i="100"/>
  <c r="C261" i="100"/>
  <c r="D362" i="99" a="1"/>
  <c r="B1142" i="100"/>
  <c r="B9" i="100"/>
  <c r="AE89" i="99" a="1"/>
  <c r="C657" i="100"/>
  <c r="B560" i="100"/>
  <c r="B1961" i="100"/>
  <c r="C464" i="100"/>
  <c r="C621" i="100"/>
  <c r="C840" i="100"/>
  <c r="B51" i="100"/>
  <c r="B127" i="100"/>
  <c r="E379" i="99" a="1"/>
  <c r="B325" i="100"/>
  <c r="B568" i="100"/>
  <c r="B930" i="100"/>
  <c r="B1247" i="100"/>
  <c r="B667" i="100"/>
  <c r="C258" i="100"/>
  <c r="B1280" i="100"/>
  <c r="B748" i="100"/>
  <c r="B1882" i="100"/>
  <c r="W224" i="99" a="1"/>
  <c r="D343" i="99" a="1"/>
  <c r="B313" i="100"/>
  <c r="C1586" i="100"/>
  <c r="C698" i="100"/>
  <c r="B510" i="100"/>
  <c r="C1078" i="100"/>
  <c r="C1204" i="100"/>
  <c r="C874" i="100"/>
  <c r="C1614" i="100"/>
  <c r="B82" i="100"/>
  <c r="B514" i="100"/>
  <c r="B197" i="100"/>
  <c r="C631" i="100"/>
  <c r="AP223" i="99" a="1"/>
  <c r="C1077" i="100"/>
  <c r="C1801" i="100"/>
  <c r="C1954" i="100"/>
  <c r="C91" i="99" a="1"/>
  <c r="B644" i="100"/>
  <c r="U379" i="99" a="1"/>
  <c r="B1856" i="100"/>
  <c r="V116" i="99" a="1"/>
  <c r="B63" i="100"/>
  <c r="C729" i="100"/>
  <c r="C1182" i="100"/>
  <c r="B998" i="100"/>
  <c r="C452" i="100"/>
  <c r="B716" i="100"/>
  <c r="C1234" i="100"/>
  <c r="C545" i="100"/>
  <c r="K244" i="99" a="1"/>
  <c r="C952" i="100"/>
  <c r="B952" i="100"/>
  <c r="C1831" i="100"/>
  <c r="C1931" i="100"/>
  <c r="B1862" i="100"/>
  <c r="C695" i="100"/>
  <c r="C1820" i="100"/>
  <c r="C942" i="100"/>
  <c r="B1940" i="100"/>
  <c r="B217" i="100"/>
  <c r="B1604" i="100"/>
  <c r="B300" i="100"/>
  <c r="C614" i="100"/>
  <c r="F249" i="99" a="1"/>
  <c r="C1903" i="100"/>
  <c r="C518" i="100"/>
  <c r="C1712" i="100"/>
  <c r="B105" i="100"/>
  <c r="B487" i="100"/>
  <c r="C256" i="100"/>
  <c r="B1589" i="100"/>
  <c r="AZ219" i="99" a="1"/>
  <c r="C1029" i="100"/>
  <c r="C92" i="100"/>
  <c r="B1193" i="100"/>
  <c r="B1872" i="100"/>
  <c r="C146" i="100"/>
  <c r="C1971" i="100"/>
  <c r="C481" i="100"/>
  <c r="C813" i="100"/>
  <c r="C1867" i="100"/>
  <c r="C1601" i="100"/>
  <c r="B800" i="100"/>
  <c r="H114" i="99" a="1"/>
  <c r="B212" i="100"/>
  <c r="C1976" i="100"/>
  <c r="C1982" i="100"/>
  <c r="C933" i="100"/>
  <c r="B1164" i="100"/>
  <c r="M305" i="99" a="1"/>
  <c r="B129" i="100"/>
  <c r="C785" i="100"/>
  <c r="C102" i="100"/>
  <c r="B1927" i="100"/>
  <c r="B196" i="100"/>
  <c r="B261" i="100"/>
  <c r="G377" i="99" a="1"/>
  <c r="C937" i="100"/>
  <c r="B1073" i="100"/>
  <c r="P114" i="99" a="1"/>
  <c r="B1798" i="100"/>
  <c r="B1565" i="100"/>
  <c r="C98" i="100"/>
  <c r="B689" i="100"/>
  <c r="C422" i="100"/>
  <c r="C1928" i="100"/>
  <c r="C390" i="100"/>
  <c r="Y271" i="99" a="1"/>
  <c r="G305" i="99" a="1"/>
  <c r="C125" i="100"/>
  <c r="B383" i="100"/>
  <c r="B1901" i="100"/>
  <c r="B66" i="100"/>
  <c r="C1937" i="100"/>
  <c r="C1838" i="100"/>
  <c r="BR219" i="99" a="1"/>
  <c r="C511" i="100"/>
  <c r="B609" i="100"/>
  <c r="C47" i="100"/>
  <c r="W362" i="99" a="1"/>
  <c r="B1686" i="100"/>
  <c r="AH114" i="99" a="1"/>
  <c r="B397" i="100"/>
  <c r="C1847" i="100"/>
  <c r="C1952" i="100"/>
  <c r="C906" i="100"/>
  <c r="B589" i="100"/>
  <c r="C1257" i="100"/>
  <c r="C36" i="100"/>
  <c r="B1046" i="100"/>
  <c r="B1844" i="100"/>
  <c r="B77" i="100"/>
  <c r="B633" i="100"/>
  <c r="B720" i="100"/>
  <c r="B279" i="100"/>
  <c r="B1077" i="100"/>
  <c r="C1917" i="100"/>
  <c r="B874" i="100"/>
  <c r="B466" i="100"/>
  <c r="B938" i="100"/>
  <c r="BZ221" i="99" a="1"/>
  <c r="Z190" i="99" a="1"/>
  <c r="B1590" i="100"/>
  <c r="C859" i="100"/>
  <c r="B625" i="100"/>
  <c r="C1850" i="100"/>
  <c r="C1966" i="100"/>
  <c r="C893" i="100"/>
  <c r="B572" i="100"/>
  <c r="B778" i="100"/>
  <c r="C152" i="100"/>
  <c r="B963" i="100"/>
  <c r="B1909" i="100"/>
  <c r="C1050" i="100"/>
  <c r="C175" i="100"/>
  <c r="C95" i="100"/>
  <c r="C1016" i="100"/>
  <c r="B333" i="100"/>
  <c r="C1146" i="100"/>
  <c r="C600" i="100"/>
  <c r="C14" i="100"/>
  <c r="B50" i="100"/>
  <c r="C1682" i="100"/>
  <c r="B1612" i="100"/>
  <c r="B226" i="100"/>
  <c r="X223" i="99" a="1"/>
  <c r="V383" i="99" a="1"/>
  <c r="C270" i="100"/>
  <c r="C1043" i="100"/>
  <c r="C431" i="100"/>
  <c r="C1087" i="100"/>
  <c r="B918" i="100"/>
  <c r="B1082" i="100"/>
  <c r="B701" i="100"/>
  <c r="B1209" i="100"/>
  <c r="H35" i="99" a="1"/>
  <c r="C1130" i="100"/>
  <c r="B74" i="100"/>
  <c r="C457" i="100"/>
  <c r="AF219" i="99" a="1"/>
  <c r="C1119" i="100"/>
  <c r="C1053" i="100"/>
  <c r="C53" i="100"/>
  <c r="B646" i="100"/>
  <c r="N13" i="99" a="1"/>
  <c r="B542" i="100"/>
  <c r="CC219" i="99" a="1"/>
  <c r="B535" i="100"/>
  <c r="C268" i="100"/>
  <c r="D401" i="99" a="1"/>
  <c r="B965" i="100"/>
  <c r="B142" i="100"/>
  <c r="C1830" i="100"/>
  <c r="B349" i="100"/>
  <c r="M35" i="99" a="1"/>
  <c r="C1670" i="100"/>
  <c r="C1896" i="100"/>
  <c r="B318" i="100"/>
  <c r="B1931" i="100"/>
  <c r="C1261" i="100"/>
  <c r="C1169" i="100"/>
  <c r="B187" i="100"/>
  <c r="B1070" i="100"/>
  <c r="D223" i="99" a="1"/>
  <c r="B1602" i="100"/>
  <c r="C257" i="100"/>
  <c r="C868" i="100"/>
  <c r="B1905" i="100"/>
  <c r="C241" i="100"/>
  <c r="C847" i="100"/>
  <c r="C1674" i="100"/>
  <c r="B1707" i="100"/>
  <c r="B1013" i="100"/>
  <c r="C1894" i="100"/>
  <c r="C131" i="100"/>
  <c r="C562" i="100"/>
  <c r="P165" i="99" a="1"/>
  <c r="C525" i="100"/>
  <c r="C415" i="100"/>
  <c r="B1568" i="100"/>
  <c r="C1768" i="100"/>
  <c r="C181" i="100"/>
  <c r="C325" i="100"/>
  <c r="B1257" i="100"/>
  <c r="C1967" i="100"/>
  <c r="C1736" i="100"/>
  <c r="J419" i="99" a="1"/>
  <c r="B230" i="100"/>
  <c r="C1009" i="100"/>
  <c r="B1706" i="100"/>
  <c r="B569" i="100"/>
  <c r="C1789" i="100"/>
  <c r="B960" i="100"/>
  <c r="B1157" i="100"/>
  <c r="C1057" i="100"/>
  <c r="C1606" i="100"/>
  <c r="G165" i="99" a="1"/>
  <c r="C1950" i="100"/>
  <c r="C20" i="100"/>
  <c r="B709" i="100"/>
  <c r="B924" i="100"/>
  <c r="B1681" i="100"/>
  <c r="C610" i="100"/>
  <c r="AA165" i="99" a="1"/>
  <c r="C352" i="100"/>
  <c r="C200" i="100"/>
  <c r="B719" i="100"/>
  <c r="B591" i="100"/>
  <c r="C1107" i="100"/>
  <c r="C955" i="100"/>
  <c r="B1771" i="100"/>
  <c r="C513" i="100"/>
  <c r="C1561" i="100"/>
  <c r="C1886" i="100"/>
  <c r="B605" i="100"/>
  <c r="B753" i="100"/>
  <c r="C140" i="100"/>
  <c r="B1243" i="100"/>
  <c r="C793" i="100"/>
  <c r="B67" i="100"/>
  <c r="H341" i="99" a="1"/>
  <c r="B999" i="100"/>
  <c r="B1109" i="100"/>
  <c r="C454" i="100"/>
  <c r="C599" i="100"/>
  <c r="Y35" i="99" a="1"/>
  <c r="C895" i="100"/>
  <c r="C60" i="100"/>
  <c r="C1688" i="100"/>
  <c r="B423" i="100"/>
  <c r="C684" i="100"/>
  <c r="B168" i="100"/>
  <c r="C1899" i="100"/>
  <c r="L288" i="99" a="1"/>
  <c r="B345" i="100"/>
  <c r="C1212" i="100"/>
  <c r="C843" i="100"/>
  <c r="C723" i="100"/>
  <c r="B1146" i="100"/>
  <c r="B170" i="100"/>
  <c r="BX221" i="99" a="1"/>
  <c r="I398" i="99" a="1"/>
  <c r="C1713" i="100"/>
  <c r="J322" i="99" a="1"/>
  <c r="C1270" i="100"/>
  <c r="B401" i="100"/>
  <c r="B922" i="100"/>
  <c r="C1183" i="100"/>
  <c r="C1880" i="100"/>
  <c r="B955" i="100"/>
  <c r="C1808" i="100"/>
  <c r="B1698" i="100"/>
  <c r="C533" i="100"/>
  <c r="C1213" i="100"/>
  <c r="X377" i="99" a="1"/>
  <c r="C320" i="100"/>
  <c r="C109" i="100"/>
  <c r="Z35" i="99" a="1"/>
  <c r="C705" i="100"/>
  <c r="C1846" i="100"/>
  <c r="B317" i="100"/>
  <c r="B1889" i="100"/>
  <c r="Z60" i="99" a="1"/>
  <c r="C3" i="100"/>
  <c r="C647" i="100"/>
  <c r="B1793" i="100"/>
  <c r="C799" i="100"/>
  <c r="B16" i="100"/>
  <c r="C1125" i="100"/>
  <c r="C1061" i="100"/>
  <c r="B46" i="100"/>
  <c r="C596" i="100"/>
  <c r="C1872" i="100"/>
  <c r="C876" i="100"/>
  <c r="C1665" i="100"/>
  <c r="E248" i="99" a="1"/>
  <c r="B1158" i="100"/>
  <c r="B398" i="100"/>
  <c r="C565" i="100"/>
  <c r="B1560" i="100"/>
  <c r="B533" i="100"/>
  <c r="B198" i="100"/>
  <c r="C1238" i="100"/>
  <c r="AU219" i="99" a="1"/>
  <c r="B192" i="100"/>
  <c r="C974" i="100"/>
  <c r="V380" i="99" a="1"/>
  <c r="BA219" i="99" a="1"/>
  <c r="C1066" i="100"/>
  <c r="B1217" i="100"/>
  <c r="B419" i="100"/>
  <c r="J219" i="99" a="1"/>
  <c r="B173" i="100"/>
  <c r="C1260" i="100"/>
  <c r="AI190" i="99" a="1"/>
  <c r="C1837" i="100"/>
  <c r="B827" i="100"/>
  <c r="B849" i="100"/>
  <c r="C1933" i="100"/>
  <c r="B553" i="100"/>
  <c r="B371" i="100"/>
  <c r="C798" i="100"/>
  <c r="C1763" i="100"/>
  <c r="N143" i="99" a="1"/>
  <c r="B763" i="100"/>
  <c r="C216" i="100"/>
  <c r="C1607" i="100"/>
  <c r="B1887" i="100"/>
  <c r="B1205" i="100"/>
  <c r="N271" i="99" a="1"/>
  <c r="C346" i="100"/>
  <c r="B1102" i="100"/>
  <c r="B376" i="100"/>
  <c r="C1235" i="100"/>
  <c r="C1019" i="100"/>
  <c r="B1096" i="100"/>
  <c r="B59" i="100"/>
  <c r="B124" i="100"/>
  <c r="C1866" i="100"/>
  <c r="C1046" i="100"/>
  <c r="H322" i="99" a="1"/>
  <c r="C1202" i="100"/>
  <c r="B980" i="100"/>
  <c r="C1232" i="100"/>
  <c r="C1943" i="100"/>
  <c r="B718" i="100"/>
  <c r="BO219" i="99" a="1"/>
  <c r="H221" i="99" a="1"/>
  <c r="BW221" i="99" a="1"/>
  <c r="B1054" i="100"/>
  <c r="B54" i="100"/>
  <c r="C1275" i="100"/>
  <c r="B1608" i="100"/>
  <c r="B104" i="100"/>
  <c r="C539" i="100"/>
  <c r="B502" i="100"/>
  <c r="C405" i="100"/>
  <c r="B1861" i="100"/>
  <c r="C413" i="100"/>
  <c r="C1152" i="100"/>
  <c r="C1214" i="100"/>
  <c r="B530" i="100"/>
  <c r="C87" i="100"/>
  <c r="B713" i="100"/>
  <c r="B968" i="100"/>
  <c r="C677" i="100"/>
  <c r="C506" i="100"/>
  <c r="N35" i="99" a="1"/>
  <c r="B260" i="100"/>
  <c r="C865" i="100"/>
  <c r="B683" i="100"/>
  <c r="C266" i="100"/>
  <c r="B1838" i="100"/>
  <c r="B393" i="100"/>
  <c r="B831" i="100"/>
  <c r="C365" i="100"/>
  <c r="I190" i="99" a="1"/>
  <c r="C1036" i="100"/>
  <c r="C1901" i="100"/>
  <c r="B321" i="100"/>
  <c r="C273" i="99" a="1"/>
  <c r="B1709" i="100"/>
  <c r="C552" i="100"/>
  <c r="C110" i="100"/>
  <c r="M341" i="99" a="1"/>
  <c r="C211" i="100"/>
  <c r="V224" i="99" a="1"/>
  <c r="B893" i="100"/>
  <c r="B967" i="100"/>
  <c r="C1936" i="100"/>
  <c r="C440" i="100"/>
  <c r="C279" i="100"/>
  <c r="B378" i="100"/>
  <c r="B691" i="100"/>
  <c r="C201" i="100"/>
  <c r="C567" i="100"/>
  <c r="C29" i="100"/>
  <c r="B470" i="100"/>
  <c r="C1193" i="100"/>
  <c r="C733" i="100"/>
  <c r="C983" i="100"/>
  <c r="C340" i="100"/>
  <c r="C316" i="100"/>
  <c r="B665" i="100"/>
  <c r="C199" i="100"/>
  <c r="B926" i="100"/>
  <c r="B1800" i="100"/>
  <c r="C908" i="100"/>
  <c r="C1961" i="100"/>
  <c r="C462" i="100"/>
  <c r="B1841" i="100"/>
  <c r="B531" i="100"/>
  <c r="B222" i="100"/>
  <c r="C818" i="100"/>
  <c r="B1103" i="100"/>
  <c r="C990" i="100"/>
  <c r="C1856" i="100"/>
  <c r="C499" i="100"/>
  <c r="C414" i="100"/>
  <c r="B933" i="100"/>
  <c r="E381" i="99" a="1"/>
  <c r="B338" i="100"/>
  <c r="J288" i="99" a="1"/>
  <c r="B179" i="100"/>
  <c r="C592" i="100"/>
  <c r="E169" i="99" a="1"/>
  <c r="C617" i="100"/>
  <c r="B707" i="100"/>
  <c r="B1269" i="100"/>
  <c r="C665" i="100"/>
  <c r="B1196" i="100"/>
  <c r="H13" i="99" a="1"/>
  <c r="C391" i="100"/>
  <c r="B1274" i="100"/>
  <c r="B1277" i="100"/>
  <c r="C618" i="100"/>
  <c r="C1861" i="100"/>
  <c r="M398" i="99" a="1"/>
  <c r="C809" i="100"/>
  <c r="C1201" i="100"/>
  <c r="C348" i="100"/>
  <c r="C1681" i="100"/>
  <c r="C1268" i="100"/>
  <c r="C880" i="100"/>
  <c r="G116" i="99" a="1"/>
  <c r="AC89" i="99" a="1"/>
  <c r="C626" i="100"/>
  <c r="AH60" i="99" a="1"/>
  <c r="C243" i="100"/>
  <c r="B343" i="100"/>
  <c r="B1138" i="100"/>
  <c r="B1769" i="100"/>
  <c r="B751" i="100"/>
  <c r="B1137" i="100"/>
  <c r="B1951" i="100"/>
  <c r="W169" i="99" a="1"/>
  <c r="C965" i="100"/>
  <c r="C475" i="100"/>
  <c r="C1196" i="100"/>
  <c r="B70" i="100"/>
  <c r="B798" i="100"/>
  <c r="B442" i="100"/>
  <c r="H89" i="99" a="1"/>
  <c r="B1131" i="100"/>
  <c r="B1955" i="100"/>
  <c r="C50" i="100"/>
  <c r="C65" i="100"/>
  <c r="AA89" i="99" a="1"/>
  <c r="C1225" i="100"/>
  <c r="C1881" i="100"/>
  <c r="B231" i="100"/>
  <c r="Q165" i="99" a="1"/>
  <c r="B1178" i="100"/>
  <c r="C240" i="100"/>
  <c r="B561" i="100"/>
  <c r="C624" i="100"/>
  <c r="B1705" i="100"/>
  <c r="C1133" i="100"/>
  <c r="B676" i="100"/>
  <c r="C997" i="100"/>
  <c r="B767" i="100"/>
  <c r="C1818" i="100"/>
  <c r="B1854" i="100"/>
  <c r="C753" i="100"/>
  <c r="B1743" i="100"/>
  <c r="B144" i="100"/>
  <c r="B626" i="100"/>
  <c r="C743" i="100"/>
  <c r="B1924" i="100"/>
  <c r="B1174" i="100"/>
  <c r="B275" i="100"/>
  <c r="B1212" i="100"/>
  <c r="C150" i="100"/>
  <c r="G360" i="99" a="1"/>
  <c r="C210" i="100"/>
  <c r="B573" i="100"/>
  <c r="C178" i="100"/>
  <c r="Z219" i="99" a="1"/>
  <c r="B702" i="100"/>
  <c r="B1963" i="100"/>
  <c r="B1827" i="100"/>
  <c r="C1250" i="100"/>
  <c r="B1928" i="100"/>
  <c r="B808" i="100"/>
  <c r="B413" i="100"/>
  <c r="P7" i="99" a="1"/>
  <c r="C269" i="100"/>
  <c r="C476" i="100"/>
  <c r="B1943" i="100"/>
  <c r="C1274" i="100"/>
  <c r="C314" i="100"/>
  <c r="C1609" i="100"/>
  <c r="C1143" i="100"/>
  <c r="AF143" i="99" a="1"/>
  <c r="B1242" i="100"/>
  <c r="C767" i="100"/>
  <c r="B215" i="100"/>
  <c r="C1010" i="100"/>
  <c r="C105" i="100"/>
  <c r="C215" i="100"/>
  <c r="C323" i="100"/>
  <c r="C817" i="100"/>
  <c r="C1041" i="100"/>
  <c r="K35" i="99" a="1"/>
  <c r="B48" i="100"/>
  <c r="C1094" i="100"/>
  <c r="C877" i="100"/>
  <c r="C276" i="100"/>
  <c r="B1222" i="100"/>
  <c r="C1095" i="100"/>
  <c r="C412" i="100"/>
  <c r="C1826" i="100"/>
  <c r="C1732" i="100"/>
  <c r="C731" i="100"/>
  <c r="B908" i="100"/>
  <c r="B449" i="100"/>
  <c r="B354" i="100"/>
  <c r="B315" i="100"/>
  <c r="C1264" i="100"/>
  <c r="C197" i="100"/>
  <c r="B819" i="100"/>
  <c r="C1823" i="100"/>
  <c r="B1583" i="100"/>
  <c r="D192" i="99" a="1"/>
  <c r="C1895" i="100"/>
  <c r="B1177" i="100"/>
  <c r="C451" i="100"/>
  <c r="C1855" i="100"/>
  <c r="B1087" i="100"/>
  <c r="C1988" i="100"/>
  <c r="B1890" i="100"/>
  <c r="C1076" i="100"/>
  <c r="C1230" i="100"/>
  <c r="C757" i="100"/>
  <c r="B1197" i="100"/>
  <c r="B1042" i="100"/>
  <c r="C112" i="100"/>
  <c r="B842" i="100"/>
  <c r="B1883" i="100"/>
  <c r="B450" i="100"/>
  <c r="B347" i="100"/>
  <c r="B564" i="100"/>
  <c r="B115" i="100"/>
  <c r="C1147" i="100"/>
  <c r="C1877" i="100"/>
  <c r="F356" i="99" a="1"/>
  <c r="C394" i="100"/>
  <c r="B1826" i="100"/>
  <c r="B1086" i="100"/>
  <c r="C242" i="100"/>
  <c r="O271" i="99" a="1"/>
  <c r="BQ219" i="99" a="1"/>
  <c r="BN219" i="99" a="1"/>
  <c r="B1271" i="100"/>
  <c r="B680" i="100"/>
  <c r="C206" i="100"/>
  <c r="C1049" i="100"/>
  <c r="B1926" i="100"/>
  <c r="C1613" i="100"/>
  <c r="Y398" i="99" a="1"/>
  <c r="B979" i="100"/>
  <c r="O288" i="99" a="1"/>
  <c r="B112" i="100"/>
  <c r="G219" i="99" a="1"/>
  <c r="B1143" i="100"/>
  <c r="C907" i="100"/>
  <c r="C194" i="100"/>
  <c r="B481" i="100"/>
  <c r="P89" i="99" a="1"/>
  <c r="B1750" i="100"/>
  <c r="C580" i="100"/>
  <c r="B465" i="100"/>
  <c r="B1702" i="100"/>
  <c r="B639" i="100"/>
  <c r="B776" i="100"/>
  <c r="C667" i="100"/>
  <c r="CH219" i="99" a="1"/>
  <c r="C911" i="100"/>
  <c r="B1753" i="100"/>
  <c r="C94" i="100"/>
  <c r="B539" i="100"/>
  <c r="B882" i="100"/>
  <c r="C1754" i="100"/>
  <c r="B1823" i="100"/>
  <c r="B69" i="100"/>
  <c r="B1611" i="100"/>
  <c r="B1711" i="100"/>
  <c r="B1697" i="100"/>
  <c r="B519" i="100"/>
  <c r="B220" i="100"/>
  <c r="B147" i="100"/>
  <c r="C245" i="100"/>
  <c r="C825" i="100"/>
  <c r="B467" i="100"/>
  <c r="B103" i="100"/>
  <c r="G91" i="99" a="1"/>
  <c r="C392" i="100"/>
  <c r="C129" i="100"/>
  <c r="C1065" i="100"/>
  <c r="C1879" i="100"/>
  <c r="B21" i="100"/>
  <c r="C1868" i="100"/>
  <c r="B245" i="100"/>
  <c r="C994" i="100"/>
  <c r="C1912" i="100"/>
  <c r="D248" i="99" a="1"/>
  <c r="B699" i="100"/>
  <c r="C598" i="100"/>
  <c r="B1115" i="100"/>
  <c r="C1775" i="100"/>
  <c r="B1119" i="100"/>
  <c r="C707" i="100"/>
  <c r="B802" i="100"/>
  <c r="B936" i="100"/>
  <c r="B1250" i="100"/>
  <c r="C1117" i="100"/>
  <c r="B326" i="100"/>
  <c r="B346" i="100"/>
  <c r="C488" i="100"/>
  <c r="I143" i="99" a="1"/>
  <c r="B880" i="100"/>
  <c r="C687" i="100"/>
  <c r="C739" i="100"/>
  <c r="C956" i="100"/>
  <c r="C25" i="100"/>
  <c r="B722" i="100"/>
  <c r="B1195" i="100"/>
  <c r="B1922" i="100"/>
  <c r="B610" i="100"/>
  <c r="X169" i="99" a="1"/>
  <c r="B1669" i="100"/>
  <c r="B851" i="100"/>
  <c r="B418" i="100"/>
  <c r="N377" i="99" a="1"/>
  <c r="B1667" i="100"/>
  <c r="B459" i="100"/>
  <c r="C1192" i="100"/>
  <c r="B311" i="100"/>
  <c r="B1756" i="100"/>
  <c r="AG165" i="99" a="1"/>
  <c r="C863" i="100"/>
  <c r="C16" i="100"/>
  <c r="C1786" i="100"/>
  <c r="C607" i="100"/>
  <c r="C810" i="100"/>
  <c r="B803" i="100"/>
  <c r="B1971" i="100"/>
  <c r="B1211" i="100"/>
  <c r="B474" i="100"/>
  <c r="B1708" i="100"/>
  <c r="AB360" i="99" a="1"/>
  <c r="C124" i="100"/>
  <c r="B1276" i="100"/>
  <c r="B335" i="100"/>
  <c r="B1675" i="100"/>
  <c r="E221" i="99" a="1"/>
  <c r="D382" i="99" a="1"/>
  <c r="BK219" i="99" a="1"/>
  <c r="C1902" i="100"/>
  <c r="B185" i="100"/>
  <c r="C823" i="100"/>
  <c r="B447" i="100"/>
  <c r="B441" i="100"/>
  <c r="D169" i="99" a="1"/>
  <c r="C748" i="100"/>
  <c r="AA13" i="99" a="1"/>
  <c r="C804" i="100"/>
  <c r="C123" i="100"/>
  <c r="B1972" i="100"/>
  <c r="C1068" i="100"/>
  <c r="CD219" i="99" a="1"/>
  <c r="B252" i="100"/>
  <c r="B121" i="100"/>
  <c r="B53" i="100"/>
  <c r="B920" i="100"/>
  <c r="B1615" i="100"/>
  <c r="B657" i="100"/>
  <c r="C901" i="100"/>
  <c r="B55" i="100"/>
  <c r="H143" i="99" a="1"/>
  <c r="Y167" i="99" a="1"/>
  <c r="B431" i="100"/>
  <c r="B1864" i="100"/>
  <c r="B896" i="100"/>
  <c r="C1980" i="100"/>
  <c r="B132" i="100"/>
  <c r="B762" i="100"/>
  <c r="L271" i="99" a="1"/>
  <c r="C815" i="100"/>
  <c r="B1836" i="100"/>
  <c r="Y116" i="99" a="1"/>
  <c r="C444" i="100"/>
  <c r="B617" i="100"/>
  <c r="B1757" i="100"/>
  <c r="B1920" i="100"/>
  <c r="C8" i="100"/>
  <c r="C772" i="100"/>
  <c r="C1694" i="100"/>
  <c r="B209" i="100"/>
  <c r="C1562" i="100"/>
  <c r="C356" i="100"/>
  <c r="K377" i="99" a="1"/>
  <c r="C1755" i="100"/>
  <c r="C958" i="100"/>
  <c r="BF223" i="99" a="1"/>
  <c r="C569" i="100"/>
  <c r="B265" i="100"/>
  <c r="B361" i="100"/>
  <c r="B891" i="100"/>
  <c r="B1807" i="100"/>
  <c r="C315" i="100"/>
  <c r="V39" i="99" a="1"/>
  <c r="B1182" i="100"/>
  <c r="B536" i="100"/>
  <c r="B334" i="100"/>
  <c r="C1156" i="100"/>
  <c r="AI165" i="99" a="1"/>
  <c r="C310" i="100"/>
  <c r="B1725" i="100"/>
  <c r="B1156" i="100"/>
  <c r="C589" i="100"/>
  <c r="C482" i="100"/>
  <c r="C1159" i="100"/>
  <c r="B556" i="100"/>
  <c r="B944" i="100"/>
  <c r="B49" i="100"/>
  <c r="V192" i="99" a="1"/>
  <c r="C1709" i="100"/>
  <c r="C538" i="100"/>
  <c r="B1814" i="100"/>
  <c r="C1864" i="100"/>
  <c r="C417" i="100"/>
  <c r="C128" i="100"/>
  <c r="B854" i="100"/>
  <c r="B1149" i="100"/>
  <c r="B1737" i="100"/>
  <c r="C450" i="100"/>
  <c r="B1187" i="100"/>
  <c r="C1685" i="100"/>
  <c r="C722" i="100"/>
  <c r="B640" i="100"/>
  <c r="C577" i="100"/>
  <c r="Q89" i="99" a="1"/>
  <c r="B624" i="100"/>
  <c r="U382" i="99" a="1"/>
  <c r="B1916" i="100"/>
  <c r="B838" i="100"/>
  <c r="C1696" i="100"/>
  <c r="B586" i="100"/>
  <c r="C271" i="100"/>
  <c r="C805" i="100"/>
  <c r="K60" i="99" a="1"/>
  <c r="B152" i="100"/>
  <c r="C331" i="100"/>
  <c r="C263" i="100"/>
  <c r="Z143" i="99" a="1"/>
  <c r="C1741" i="100"/>
  <c r="P190" i="99" a="1"/>
  <c r="C1166" i="100"/>
  <c r="B1152" i="100"/>
  <c r="C1948" i="100"/>
  <c r="C1004" i="100"/>
  <c r="B100" i="100"/>
  <c r="B331" i="100"/>
  <c r="B131" i="100"/>
  <c r="C1923" i="100"/>
  <c r="B1956" i="100"/>
  <c r="C1589" i="100"/>
  <c r="C588" i="100"/>
  <c r="B130" i="100"/>
  <c r="M89" i="99" a="1"/>
  <c r="B208" i="100"/>
  <c r="C1940" i="100"/>
  <c r="CA219" i="99" a="1"/>
  <c r="B538" i="100"/>
  <c r="AW219" i="99" a="1"/>
  <c r="B898" i="100"/>
  <c r="C1841" i="100"/>
  <c r="C1599" i="100"/>
  <c r="C1814" i="100"/>
  <c r="C968" i="100"/>
  <c r="C1122" i="100"/>
  <c r="C1605" i="100"/>
  <c r="J271" i="99" a="1"/>
  <c r="B1880" i="100"/>
  <c r="C916" i="100"/>
  <c r="C127" i="100"/>
  <c r="B1564" i="100"/>
  <c r="C393" i="100"/>
  <c r="C172" i="100"/>
  <c r="B724" i="100"/>
  <c r="B997" i="100"/>
  <c r="C1038" i="100"/>
  <c r="C495" i="100"/>
  <c r="B60" i="100"/>
  <c r="B1921" i="100"/>
  <c r="B1749" i="100"/>
  <c r="C1021" i="100"/>
  <c r="C873" i="100"/>
  <c r="C564" i="100"/>
  <c r="C367" i="100"/>
  <c r="C402" i="100"/>
  <c r="C932" i="100"/>
  <c r="B612" i="100"/>
  <c r="C219" i="100"/>
  <c r="B1249" i="100"/>
  <c r="B1833" i="100"/>
  <c r="C554" i="100"/>
  <c r="C1907" i="100"/>
  <c r="B1964" i="100"/>
  <c r="C652" i="100"/>
  <c r="B205" i="100"/>
  <c r="B47" i="100"/>
  <c r="C1771" i="100"/>
  <c r="C1858" i="100"/>
  <c r="C294" i="100"/>
  <c r="C1687" i="100"/>
  <c r="J143" i="99" a="1"/>
  <c r="CB219" i="99" a="1"/>
  <c r="B900" i="100"/>
  <c r="B1088" i="100"/>
  <c r="B1772" i="100"/>
  <c r="BH221" i="99" a="1"/>
  <c r="B982" i="100"/>
  <c r="C882" i="100"/>
  <c r="B43" i="100"/>
  <c r="B1986" i="100"/>
  <c r="C230" i="100"/>
  <c r="C1174" i="100"/>
  <c r="B295" i="100"/>
  <c r="B1843" i="100"/>
  <c r="C1055" i="100"/>
  <c r="B731" i="100"/>
  <c r="B493" i="100"/>
  <c r="C76" i="100"/>
  <c r="C1219" i="100"/>
  <c r="B415" i="100"/>
  <c r="B1818" i="100"/>
  <c r="C465" i="100"/>
  <c r="B1796" i="100"/>
  <c r="C791" i="100"/>
  <c r="C821" i="100"/>
  <c r="C1052" i="100"/>
  <c r="C1132" i="100"/>
  <c r="C193" i="100"/>
  <c r="C534" i="100"/>
  <c r="B853" i="100"/>
  <c r="B1820" i="100"/>
  <c r="B1121" i="100"/>
  <c r="B391" i="100"/>
  <c r="AF89" i="99" a="1"/>
  <c r="B747" i="100"/>
  <c r="C755" i="100"/>
  <c r="C586" i="100"/>
  <c r="C1126" i="100"/>
  <c r="C1919" i="100"/>
  <c r="B741" i="100"/>
  <c r="C1908" i="100"/>
  <c r="C107" i="100"/>
  <c r="C255" i="100"/>
  <c r="B888" i="100"/>
  <c r="B1198" i="100"/>
  <c r="C400" i="100"/>
  <c r="C301" i="100"/>
  <c r="B1614" i="100"/>
  <c r="C18" i="100"/>
  <c r="C264" i="100"/>
  <c r="C173" i="100"/>
  <c r="B597" i="100"/>
  <c r="Q219" i="99" a="1"/>
  <c r="B534" i="100"/>
  <c r="B92" i="100"/>
  <c r="L143" i="99" a="1"/>
  <c r="C959" i="100"/>
  <c r="C830" i="100"/>
  <c r="C1816" i="100"/>
  <c r="C1891" i="100"/>
  <c r="B1129" i="100"/>
  <c r="B1114" i="100"/>
  <c r="C496" i="100"/>
  <c r="Q60" i="99" a="1"/>
  <c r="C1104" i="100"/>
  <c r="C832" i="100"/>
  <c r="B958" i="100"/>
  <c r="B1935" i="100"/>
  <c r="E324" i="99" a="1"/>
  <c r="C1813" i="100"/>
  <c r="AD89" i="99" a="1"/>
  <c r="C1853" i="100"/>
  <c r="C581" i="100"/>
  <c r="C322" i="100"/>
  <c r="B869" i="100"/>
  <c r="C504" i="100"/>
  <c r="B307" i="100"/>
  <c r="C26" i="100"/>
  <c r="B385" i="100"/>
  <c r="C680" i="100"/>
  <c r="B1740" i="100"/>
  <c r="C1935" i="100"/>
  <c r="C654" i="100"/>
  <c r="B75" i="100"/>
  <c r="C133" i="100"/>
  <c r="B1790" i="100"/>
  <c r="C338" i="100"/>
  <c r="C1756" i="100"/>
  <c r="B65" i="100"/>
  <c r="C1109" i="100"/>
  <c r="B157" i="100"/>
  <c r="C1783" i="100"/>
  <c r="C1701" i="100"/>
  <c r="B1136" i="100"/>
  <c r="B686" i="100"/>
  <c r="B210" i="100"/>
  <c r="B632" i="100"/>
  <c r="C780" i="100"/>
  <c r="B221" i="100"/>
  <c r="C1233" i="100"/>
  <c r="B1912" i="100"/>
  <c r="B175" i="100"/>
  <c r="B80" i="100"/>
  <c r="C846" i="100"/>
  <c r="C566" i="100"/>
  <c r="B1201" i="100"/>
  <c r="P143" i="99" a="1"/>
  <c r="B1913" i="100"/>
  <c r="B61" i="100"/>
  <c r="C831" i="100"/>
  <c r="C492" i="100"/>
  <c r="C1898" i="100"/>
  <c r="C1642" i="100"/>
  <c r="B1976" i="100"/>
  <c r="C812" i="100"/>
  <c r="B324" i="100"/>
  <c r="B1063" i="100"/>
  <c r="B660" i="100"/>
  <c r="AE114" i="99" a="1"/>
  <c r="AE60" i="99" a="1"/>
  <c r="C768" i="100"/>
  <c r="B118" i="100"/>
  <c r="B362" i="100"/>
  <c r="B1932" i="100"/>
  <c r="B1083" i="100"/>
  <c r="C1857" i="100"/>
  <c r="C797" i="100"/>
  <c r="B911" i="100"/>
  <c r="B288" i="100"/>
  <c r="B590" i="100"/>
  <c r="C1047" i="100"/>
  <c r="B372" i="100"/>
  <c r="B508" i="100"/>
  <c r="L244" i="99" a="1"/>
  <c r="C341" i="100"/>
  <c r="G13" i="99" a="1"/>
  <c r="B1939" i="100"/>
  <c r="B1979" i="100"/>
  <c r="AC398" i="99" a="1"/>
  <c r="B524" i="100"/>
  <c r="B621" i="100"/>
  <c r="C1821" i="100"/>
  <c r="B833" i="100"/>
  <c r="C1205" i="100"/>
  <c r="C1905" i="100"/>
  <c r="C231" i="100"/>
  <c r="B1845" i="100"/>
  <c r="C1135" i="100"/>
  <c r="C273" i="100"/>
  <c r="B875" i="100"/>
  <c r="B475" i="100"/>
  <c r="C1735" i="100"/>
  <c r="B623" i="100"/>
  <c r="C1981" i="100"/>
  <c r="G244" i="99" a="1"/>
  <c r="C1111" i="100"/>
  <c r="B1806" i="100"/>
  <c r="B823" i="100"/>
  <c r="AV219" i="99" a="1"/>
  <c r="C1916" i="100"/>
  <c r="B1058" i="100"/>
  <c r="C254" i="100"/>
  <c r="L305" i="99" a="1"/>
  <c r="C550" i="100"/>
  <c r="C494" i="100"/>
  <c r="C317" i="100"/>
  <c r="W380" i="99" a="1"/>
  <c r="B1599" i="100"/>
  <c r="I35" i="99" a="1"/>
  <c r="C985" i="100"/>
  <c r="B836" i="100"/>
  <c r="C741" i="100"/>
  <c r="B783" i="100"/>
  <c r="C144" i="100"/>
  <c r="B951" i="100"/>
  <c r="C333" i="100"/>
  <c r="C48" i="100"/>
  <c r="B865" i="100"/>
  <c r="C1208" i="100"/>
  <c r="M360" i="99" a="1"/>
  <c r="B153" i="100"/>
  <c r="B1941" i="100"/>
  <c r="C248" i="100"/>
  <c r="C356" i="99" a="1"/>
  <c r="B886" i="100"/>
  <c r="B1596" i="100"/>
  <c r="BG223" i="99" a="1"/>
  <c r="C648" i="100"/>
  <c r="C991" i="100"/>
  <c r="C1070" i="100"/>
  <c r="C924" i="100"/>
  <c r="B795" i="100"/>
  <c r="B1005" i="100"/>
  <c r="C1672" i="100"/>
  <c r="B1172" i="100"/>
  <c r="C425" i="100"/>
  <c r="C930" i="100"/>
  <c r="C576" i="100"/>
  <c r="B1683" i="100"/>
  <c r="C1668" i="100"/>
  <c r="B658" i="100"/>
  <c r="B1765" i="100"/>
  <c r="I377" i="99" a="1"/>
  <c r="C1113" i="100"/>
  <c r="C713" i="100"/>
  <c r="C1863" i="100"/>
  <c r="C1008" i="100"/>
  <c r="C1835" i="100"/>
  <c r="C854" i="100"/>
  <c r="F223" i="99" a="1"/>
  <c r="B678" i="100"/>
  <c r="B302" i="100"/>
  <c r="C774" i="100"/>
  <c r="C1115" i="100"/>
  <c r="B1776" i="100"/>
  <c r="B812" i="100"/>
  <c r="C1163" i="100"/>
  <c r="B1804" i="100"/>
  <c r="C116" i="100"/>
  <c r="C382" i="100"/>
  <c r="C1743" i="100"/>
  <c r="C559" i="100"/>
  <c r="C1925" i="100"/>
  <c r="C934" i="100"/>
  <c r="B566" i="100"/>
  <c r="C45" i="100"/>
  <c r="B1685" i="100"/>
  <c r="B368" i="100"/>
  <c r="C682" i="100"/>
  <c r="B1133" i="100"/>
  <c r="B601" i="100"/>
  <c r="C922" i="100"/>
  <c r="B408" i="100"/>
  <c r="J62" i="99" a="1"/>
  <c r="B945" i="100"/>
  <c r="B544" i="100"/>
  <c r="B135" i="100"/>
  <c r="C472" i="100"/>
  <c r="C1031" i="100"/>
  <c r="C966" i="100"/>
  <c r="B1714" i="100"/>
  <c r="C1764" i="100"/>
  <c r="AH219" i="99" a="1"/>
  <c r="B1848" i="100"/>
  <c r="C1733" i="100"/>
  <c r="C1871" i="100"/>
  <c r="B1733" i="100"/>
  <c r="K322" i="99" a="1"/>
  <c r="C171" i="100"/>
  <c r="B250" i="100"/>
  <c r="BF224" i="99" a="1"/>
  <c r="C226" i="100"/>
  <c r="B1050" i="100"/>
  <c r="B1869" i="100"/>
  <c r="C653" i="100"/>
  <c r="B287" i="100"/>
  <c r="B269" i="100"/>
  <c r="C979" i="100"/>
  <c r="B79" i="100"/>
  <c r="C321" i="100"/>
  <c r="B1263" i="100"/>
  <c r="B769" i="100"/>
  <c r="B759" i="100"/>
  <c r="B1968" i="100"/>
  <c r="C406" i="100"/>
  <c r="C837" i="100"/>
  <c r="B1828" i="100"/>
  <c r="B1095" i="100"/>
  <c r="C360" i="100"/>
  <c r="B537" i="100"/>
  <c r="C801" i="100"/>
  <c r="C650" i="100"/>
  <c r="BG221" i="99" a="1"/>
  <c r="C719" i="100"/>
  <c r="B1603" i="100"/>
  <c r="B1876" i="100"/>
  <c r="C1116" i="100"/>
  <c r="B1866" i="100"/>
  <c r="B796" i="100"/>
  <c r="C81" i="100"/>
  <c r="B1902" i="100"/>
  <c r="C807" i="100"/>
  <c r="C591" i="100"/>
  <c r="B711" i="100"/>
  <c r="C505" i="100"/>
  <c r="C1228" i="100"/>
  <c r="B140" i="100"/>
  <c r="B264" i="100"/>
  <c r="C1747" i="100"/>
  <c r="C290" i="99" a="1"/>
  <c r="B697" i="100"/>
  <c r="C1834" i="100"/>
  <c r="B1680" i="100"/>
  <c r="C1134" i="100"/>
  <c r="B458" i="100"/>
  <c r="C615" i="100"/>
  <c r="C507" i="100"/>
  <c r="B1062" i="100"/>
  <c r="B581" i="100"/>
  <c r="C693" i="100"/>
  <c r="C690" i="100"/>
  <c r="C1714" i="100"/>
  <c r="C62" i="100"/>
  <c r="C816" i="100"/>
  <c r="BJ219" i="99" a="1"/>
  <c r="H190" i="99" a="1"/>
  <c r="B1181" i="100"/>
  <c r="C480" i="100"/>
  <c r="AA398" i="99" a="1"/>
  <c r="X39" i="99" a="1"/>
  <c r="B387" i="100"/>
  <c r="B366" i="100"/>
  <c r="C1759" i="100"/>
  <c r="B195" i="100"/>
  <c r="C1738" i="100"/>
  <c r="H60" i="99" a="1"/>
  <c r="C808" i="100"/>
  <c r="C646" i="100"/>
  <c r="C676" i="100"/>
  <c r="B652" i="100"/>
  <c r="X62" i="99" a="1"/>
  <c r="C728" i="100"/>
  <c r="AO224" i="99" a="1"/>
  <c r="W382" i="99" a="1"/>
  <c r="B651" i="100"/>
  <c r="I89" i="99" a="1"/>
  <c r="C1608" i="100"/>
  <c r="B1973" i="100"/>
  <c r="B268" i="100"/>
  <c r="B374" i="100"/>
  <c r="B1910" i="100"/>
  <c r="C1929" i="100"/>
  <c r="B847" i="100"/>
  <c r="B1253" i="100"/>
  <c r="B1261" i="100"/>
  <c r="N8" i="99" a="1"/>
  <c r="C106" i="100"/>
  <c r="B95" i="100"/>
  <c r="B193" i="100"/>
  <c r="AP221" i="99" a="1"/>
  <c r="C754" i="100"/>
  <c r="C493" i="100"/>
  <c r="B28" i="100"/>
  <c r="B648" i="100"/>
  <c r="B562" i="100"/>
  <c r="C1003" i="100"/>
  <c r="C712" i="100"/>
  <c r="B635" i="100"/>
  <c r="C66" i="100"/>
  <c r="B866" i="100"/>
  <c r="U362" i="99" a="1"/>
  <c r="D116" i="99" a="1"/>
  <c r="B1071" i="100"/>
  <c r="C1751" i="100"/>
  <c r="C399" i="100"/>
  <c r="B1557" i="100"/>
  <c r="C992" i="100"/>
  <c r="J35" i="99" a="1"/>
  <c r="E246" i="99" a="1"/>
  <c r="C571" i="100"/>
  <c r="E380" i="99" a="1"/>
  <c r="C783" i="100"/>
  <c r="C302" i="100"/>
  <c r="C605" i="100"/>
  <c r="C500" i="100"/>
  <c r="B705" i="100"/>
  <c r="B1988" i="100"/>
  <c r="C332" i="100"/>
  <c r="B1677" i="100"/>
  <c r="B128" i="100"/>
  <c r="C972" i="100"/>
  <c r="C1910" i="100"/>
  <c r="B978" i="100"/>
  <c r="B336" i="100"/>
  <c r="B1166" i="100"/>
  <c r="Y221" i="99" a="1"/>
  <c r="B72" i="100"/>
  <c r="C1969" i="100"/>
  <c r="B957" i="100"/>
  <c r="H219" i="99" a="1"/>
  <c r="B1969" i="100"/>
  <c r="F337" i="99" a="1"/>
  <c r="B810" i="100"/>
  <c r="B595" i="100"/>
  <c r="C401" i="100"/>
  <c r="B86" i="100"/>
  <c r="AA360" i="99" a="1"/>
  <c r="C851" i="100"/>
  <c r="C141" i="100"/>
  <c r="B1847" i="100"/>
  <c r="C1774" i="100"/>
  <c r="B1601" i="100"/>
  <c r="B1204" i="100"/>
  <c r="L60" i="99" a="1"/>
  <c r="B1200" i="100"/>
  <c r="C641" i="100"/>
  <c r="AG60" i="99" a="1"/>
  <c r="B1786" i="100"/>
  <c r="AB398" i="99" a="1"/>
  <c r="B422" i="100"/>
  <c r="B1041" i="100"/>
  <c r="C663" i="100"/>
  <c r="C1968" i="100"/>
  <c r="H165" i="99" a="1"/>
  <c r="C1874" i="100"/>
  <c r="C1020" i="100"/>
  <c r="C272" i="100"/>
  <c r="C642" i="100"/>
  <c r="B1744" i="100"/>
  <c r="B1010" i="100"/>
  <c r="C6" i="100"/>
  <c r="B1098" i="100"/>
  <c r="C1734" i="100"/>
  <c r="B1879" i="100"/>
  <c r="C1742" i="100"/>
  <c r="N114" i="99" a="1"/>
  <c r="B218" i="100"/>
  <c r="B735" i="100"/>
  <c r="B863" i="100"/>
  <c r="B700" i="100"/>
  <c r="B821" i="100"/>
  <c r="C357" i="100"/>
  <c r="C1829" i="100"/>
  <c r="Z271" i="99" a="1"/>
  <c r="B356" i="100"/>
  <c r="B1891" i="100"/>
  <c r="C1958" i="100"/>
  <c r="C234" i="100"/>
  <c r="B1720" i="100"/>
  <c r="D324" i="99" a="1"/>
  <c r="C838" i="100"/>
  <c r="B281" i="100"/>
  <c r="AG271" i="99" a="1"/>
  <c r="C593" i="100"/>
  <c r="C946" i="100"/>
  <c r="C1554" i="100"/>
  <c r="D62" i="99" a="1"/>
  <c r="C170" i="100"/>
  <c r="B1072" i="100"/>
  <c r="C963" i="100"/>
  <c r="B355" i="100"/>
  <c r="C520" i="100"/>
  <c r="C142" i="100"/>
  <c r="B1949" i="100"/>
  <c r="C1277" i="100"/>
  <c r="B1562" i="100"/>
  <c r="C311" i="100"/>
  <c r="C574" i="100"/>
  <c r="B1060" i="100"/>
  <c r="B1835" i="100"/>
  <c r="B694" i="100"/>
  <c r="C67" i="100"/>
  <c r="B411" i="100"/>
  <c r="B1144" i="100"/>
  <c r="C779" i="100"/>
  <c r="B155" i="100"/>
  <c r="B1982" i="100"/>
  <c r="C437" i="100"/>
  <c r="B1140" i="100"/>
  <c r="C233" i="100"/>
  <c r="C633" i="100"/>
  <c r="B1809" i="100"/>
  <c r="C1932" i="100"/>
  <c r="B1597" i="100"/>
  <c r="C638" i="100"/>
  <c r="B1893" i="100"/>
  <c r="C782" i="100"/>
  <c r="C397" i="100"/>
  <c r="B1020" i="100"/>
  <c r="B469" i="100"/>
  <c r="B1130" i="100"/>
  <c r="B1726" i="100"/>
  <c r="C1040" i="100"/>
  <c r="C1745" i="100"/>
  <c r="C1103" i="100"/>
  <c r="B928" i="100"/>
  <c r="C558" i="100"/>
  <c r="C1676" i="100"/>
  <c r="AS219" i="99" a="1"/>
  <c r="B966" i="100"/>
  <c r="V145" i="99" a="1"/>
  <c r="B172" i="100"/>
  <c r="C871" i="100"/>
  <c r="M219" i="99" a="1"/>
  <c r="B862" i="100"/>
  <c r="B207" i="100"/>
  <c r="C135" i="100"/>
  <c r="B973" i="100"/>
  <c r="C1915" i="100"/>
  <c r="C1127" i="100"/>
  <c r="B1919" i="100"/>
  <c r="B1080" i="100"/>
  <c r="C407" i="100"/>
  <c r="C1705" i="100"/>
  <c r="AD219" i="99" a="1"/>
  <c r="B435" i="100"/>
  <c r="C291" i="100"/>
  <c r="C1695" i="100"/>
  <c r="C308" i="100"/>
  <c r="C1949" i="100"/>
  <c r="B456" i="100"/>
  <c r="C1190" i="100"/>
  <c r="B894" i="100"/>
  <c r="J190" i="99" a="1"/>
  <c r="C710" i="100"/>
  <c r="B540" i="100"/>
  <c r="C1611" i="100"/>
  <c r="AH89" i="99" a="1"/>
  <c r="AC165" i="99" a="1"/>
  <c r="C1750" i="100"/>
  <c r="C563" i="100"/>
  <c r="B468" i="100"/>
  <c r="B723" i="100"/>
  <c r="C37" i="100"/>
  <c r="B526" i="100"/>
  <c r="C980" i="100"/>
  <c r="C1806" i="100"/>
  <c r="C789" i="100"/>
  <c r="B1987" i="100"/>
  <c r="N9" i="99" a="1"/>
  <c r="B521" i="100"/>
  <c r="C573" i="100"/>
  <c r="B384" i="100"/>
  <c r="C203" i="100"/>
  <c r="C1154" i="100"/>
  <c r="C951" i="100"/>
  <c r="C143" i="100"/>
  <c r="V93" i="99" a="1"/>
  <c r="B1015" i="100"/>
  <c r="C1216" i="100"/>
  <c r="B670" i="100"/>
  <c r="P244" i="99" a="1"/>
  <c r="C470" i="100"/>
  <c r="C1921" i="100"/>
  <c r="C1673" i="100"/>
  <c r="C738" i="100"/>
  <c r="C1042" i="100"/>
  <c r="C973" i="100"/>
  <c r="C1587" i="100"/>
  <c r="C709" i="100"/>
  <c r="C7" i="100"/>
  <c r="C1716" i="100"/>
  <c r="G114" i="99" a="1"/>
  <c r="B682" i="100"/>
  <c r="C477" i="100"/>
  <c r="B214" i="100"/>
  <c r="B840" i="100"/>
  <c r="C113" i="100"/>
  <c r="B585" i="100"/>
  <c r="AC219" i="99" a="1"/>
  <c r="B619" i="100"/>
  <c r="B34" i="100"/>
  <c r="B1053" i="100"/>
  <c r="C509" i="100"/>
  <c r="B1246" i="100"/>
  <c r="AF165" i="99" a="1"/>
  <c r="B1797" i="100"/>
  <c r="B1118" i="100"/>
  <c r="B36" i="100"/>
  <c r="BW223" i="99" a="1"/>
  <c r="C337" i="99" a="1"/>
  <c r="C1167" i="100"/>
  <c r="B1105" i="100"/>
  <c r="W273" i="99" a="1"/>
  <c r="V379" i="99" a="1"/>
  <c r="M190" i="99" a="1"/>
  <c r="C981" i="100"/>
  <c r="Y165" i="99" a="1"/>
  <c r="B505" i="100"/>
  <c r="B114" i="100"/>
  <c r="B1911" i="100"/>
  <c r="B1049" i="100"/>
  <c r="B20" i="100"/>
  <c r="B506" i="100"/>
  <c r="AQ219" i="99" a="1"/>
  <c r="C759" i="100"/>
  <c r="B887" i="100"/>
  <c r="B555" i="100"/>
  <c r="B1256" i="100"/>
  <c r="P4" i="99" a="1"/>
  <c r="B125" i="100"/>
  <c r="C673" i="100"/>
  <c r="C278" i="100"/>
  <c r="B273" i="100"/>
  <c r="C1889" i="100"/>
  <c r="B892" i="100"/>
  <c r="B1206" i="100"/>
  <c r="B733" i="100"/>
  <c r="C522" i="100"/>
  <c r="B1846" i="100"/>
  <c r="C298" i="100"/>
  <c r="C380" i="100"/>
  <c r="N219" i="99" a="1"/>
  <c r="C1256" i="100"/>
  <c r="B1672" i="100"/>
  <c r="B1616" i="100"/>
  <c r="B546" i="100"/>
  <c r="C71" i="100"/>
  <c r="C928" i="100"/>
  <c r="C1556" i="100"/>
  <c r="B33" i="100"/>
  <c r="B1593" i="100"/>
  <c r="C918" i="100"/>
  <c r="B1151" i="100"/>
  <c r="C227" i="100"/>
  <c r="B688" i="100"/>
  <c r="B445" i="100"/>
  <c r="O165" i="99" a="1"/>
  <c r="C543" i="100"/>
  <c r="B116" i="100"/>
  <c r="C151" i="100"/>
  <c r="B1055" i="100"/>
  <c r="N165" i="99" a="1"/>
  <c r="P219" i="99" a="1"/>
  <c r="W398" i="99" a="1"/>
  <c r="B770" i="100"/>
  <c r="C1610" i="100"/>
  <c r="AB377" i="99" a="1"/>
  <c r="B793" i="100"/>
  <c r="C551" i="100"/>
  <c r="C427" i="100"/>
  <c r="F419" i="99" a="1"/>
  <c r="C189" i="100"/>
  <c r="B235" i="100"/>
  <c r="B1690" i="100"/>
  <c r="B1038" i="100"/>
  <c r="B659" i="100"/>
  <c r="B189" i="100"/>
  <c r="C1155" i="100"/>
  <c r="C63" i="100"/>
  <c r="C1731" i="100"/>
  <c r="B935" i="100"/>
  <c r="B1251" i="100"/>
  <c r="E224" i="99" a="1"/>
  <c r="C448" i="100"/>
  <c r="B1044" i="100"/>
  <c r="B312" i="100"/>
  <c r="C1832" i="100"/>
  <c r="B525" i="100"/>
  <c r="C408" i="100"/>
  <c r="C1597" i="100"/>
  <c r="AF377" i="99" a="1"/>
  <c r="B628" i="100"/>
  <c r="C1974" i="100"/>
  <c r="C319" i="100"/>
  <c r="H377" i="99" a="1"/>
  <c r="B574" i="100"/>
  <c r="C1105" i="100"/>
  <c r="B858" i="100"/>
  <c r="C1769" i="100"/>
  <c r="C803" i="100"/>
  <c r="C1766" i="100"/>
  <c r="C101" i="100"/>
  <c r="C1091" i="100"/>
  <c r="C976" i="100"/>
  <c r="B1907" i="100"/>
  <c r="B983" i="100"/>
  <c r="C881" i="100"/>
  <c r="B1033" i="100"/>
  <c r="B1264" i="100"/>
  <c r="B1134" i="100"/>
  <c r="C1593" i="100"/>
  <c r="B961" i="100"/>
  <c r="B1598" i="100"/>
  <c r="AB190" i="99" a="1"/>
  <c r="B1851" i="100"/>
  <c r="B1722" i="100"/>
  <c r="C1678" i="100"/>
  <c r="V381" i="99" a="1"/>
  <c r="B841" i="100"/>
  <c r="C950" i="100"/>
  <c r="F37" i="99" a="1"/>
  <c r="B194" i="100"/>
  <c r="C335" i="100"/>
  <c r="B1721" i="100"/>
  <c r="C1767" i="100"/>
  <c r="B37" i="100"/>
  <c r="C179" i="100"/>
  <c r="B832" i="100"/>
  <c r="AH13" i="99" a="1"/>
  <c r="AC271" i="99" a="1"/>
  <c r="C435" i="100"/>
  <c r="C77" i="100"/>
  <c r="C1941" i="100"/>
  <c r="C192" i="100"/>
  <c r="B71" i="100"/>
  <c r="B382" i="100"/>
  <c r="C826" i="100"/>
  <c r="B1555" i="100"/>
  <c r="B461" i="100"/>
  <c r="B1673" i="100"/>
  <c r="B1613" i="100"/>
  <c r="G35" i="99" a="1"/>
  <c r="L35" i="99" a="1"/>
  <c r="B294" i="100"/>
  <c r="C1266" i="100"/>
  <c r="M114" i="99" a="1"/>
  <c r="B180" i="100"/>
  <c r="B1155" i="100"/>
  <c r="C354" i="100"/>
  <c r="B417" i="100"/>
  <c r="C503" i="100"/>
  <c r="C1977" i="100"/>
  <c r="C300" i="100"/>
  <c r="B630" i="100"/>
  <c r="C1074" i="100"/>
  <c r="I219" i="99" a="1"/>
  <c r="B229" i="100"/>
  <c r="H356" i="99" a="1"/>
  <c r="C27" i="100"/>
  <c r="B1023" i="100"/>
  <c r="B10" i="100"/>
  <c r="B728" i="100"/>
  <c r="C1184" i="100"/>
  <c r="B1719" i="100"/>
  <c r="C849" i="100"/>
  <c r="B826" i="100"/>
  <c r="B653" i="100"/>
  <c r="C74" i="100"/>
  <c r="B1605" i="100"/>
  <c r="J13" i="99" a="1"/>
  <c r="AB13" i="99" a="1"/>
  <c r="B1567" i="100"/>
  <c r="B739" i="100"/>
  <c r="Y192" i="99" a="1"/>
  <c r="B304" i="100"/>
  <c r="C546" i="100"/>
  <c r="B1208" i="100"/>
  <c r="B266" i="100"/>
  <c r="Z377" i="99" a="1"/>
  <c r="C1887" i="100"/>
  <c r="B822" i="100"/>
  <c r="B350" i="100"/>
  <c r="B641" i="100"/>
  <c r="B804" i="100"/>
  <c r="B176" i="100"/>
  <c r="B884" i="100"/>
  <c r="B358" i="100"/>
  <c r="B1112" i="100"/>
  <c r="C1809" i="100"/>
  <c r="C132" i="100"/>
  <c r="B872" i="100"/>
  <c r="AE35" i="99" a="1"/>
  <c r="C811" i="100"/>
  <c r="B1985" i="100"/>
  <c r="C32" i="100"/>
  <c r="W62" i="99" a="1"/>
  <c r="C962" i="100"/>
  <c r="C85" i="100"/>
  <c r="B1784" i="100"/>
  <c r="C1844" i="100"/>
  <c r="C1669" i="100"/>
  <c r="C1142" i="100"/>
  <c r="AG190" i="99" a="1"/>
  <c r="B994" i="100"/>
  <c r="C603" i="100"/>
  <c r="B1248" i="100"/>
  <c r="C1229" i="100"/>
  <c r="C96" i="100"/>
  <c r="C1110" i="100"/>
  <c r="E290" i="99" a="1"/>
  <c r="B148" i="100"/>
  <c r="AC221" i="99" a="1"/>
  <c r="B1782" i="100"/>
  <c r="B1173" i="100"/>
  <c r="B615" i="100"/>
  <c r="C1723" i="100"/>
  <c r="AF60" i="99" a="1"/>
  <c r="C169" i="100"/>
  <c r="C54" i="100"/>
  <c r="B410" i="100"/>
  <c r="B806" i="100"/>
  <c r="B305" i="100"/>
  <c r="B1141" i="100"/>
  <c r="B1779" i="100"/>
  <c r="C1172" i="100"/>
  <c r="C1779" i="100"/>
  <c r="C1761" i="100"/>
  <c r="C188" i="100"/>
  <c r="C324" i="99" a="1"/>
  <c r="B1100" i="100"/>
  <c r="C1180" i="100"/>
  <c r="B151" i="100"/>
  <c r="B1917" i="100"/>
  <c r="B1934" i="100"/>
  <c r="C1824" i="100"/>
  <c r="B906" i="100"/>
  <c r="C890" i="100"/>
  <c r="Y360" i="99" a="1"/>
  <c r="BV221" i="99" a="1"/>
  <c r="B274" i="100"/>
  <c r="B234" i="100"/>
  <c r="B1189" i="100"/>
  <c r="C542" i="100"/>
  <c r="C247" i="100"/>
  <c r="B864" i="100"/>
  <c r="C182" i="100"/>
  <c r="C1569" i="100"/>
  <c r="BZ219" i="99" a="1"/>
  <c r="B341" i="100"/>
  <c r="C679" i="100"/>
  <c r="C1075" i="100"/>
  <c r="B690" i="100"/>
  <c r="C383" i="100"/>
  <c r="C433" i="100"/>
  <c r="C1882" i="100"/>
  <c r="C466" i="100"/>
  <c r="C384" i="100"/>
  <c r="C977" i="100"/>
  <c r="C35" i="100"/>
  <c r="N190" i="99" a="1"/>
  <c r="C93" i="100"/>
  <c r="L190" i="99" a="1"/>
  <c r="C376" i="100"/>
  <c r="C1096" i="100"/>
  <c r="B921" i="100"/>
  <c r="C587" i="100"/>
  <c r="C1722" i="100"/>
  <c r="C1028" i="100"/>
  <c r="AR219" i="99" a="1"/>
  <c r="B1734" i="100"/>
  <c r="C1859" i="100"/>
  <c r="C867" i="100"/>
  <c r="G398" i="99" a="1"/>
  <c r="C1246" i="100"/>
  <c r="C1869" i="100"/>
  <c r="C221" i="100"/>
  <c r="B856" i="100"/>
  <c r="B464" i="100"/>
  <c r="K190" i="99" a="1"/>
  <c r="B364" i="100"/>
  <c r="AD165" i="99" a="1"/>
  <c r="B1255" i="100"/>
  <c r="D383" i="99" a="1"/>
  <c r="C149" i="100"/>
  <c r="B1812" i="100"/>
  <c r="C1244" i="100"/>
  <c r="C692" i="100"/>
  <c r="B1039" i="100"/>
  <c r="B695" i="100"/>
  <c r="B1566" i="100"/>
  <c r="C1099" i="100"/>
  <c r="B1128" i="100"/>
  <c r="B1161" i="100"/>
  <c r="D273" i="99" a="1"/>
  <c r="C608" i="100"/>
  <c r="C130" i="100"/>
  <c r="B283" i="100"/>
  <c r="H360" i="99" a="1"/>
  <c r="C290" i="100"/>
  <c r="C1684" i="100"/>
  <c r="C1011" i="100"/>
  <c r="D337" i="99" a="1"/>
  <c r="C1873" i="100"/>
  <c r="C1689" i="100"/>
  <c r="B108" i="100"/>
  <c r="C385" i="100"/>
  <c r="C639" i="100"/>
  <c r="B677" i="100"/>
  <c r="AH35" i="99" a="1"/>
  <c r="B414" i="100"/>
  <c r="B106" i="100"/>
  <c r="C442" i="100"/>
  <c r="W379" i="99" a="1"/>
  <c r="AF13" i="99" a="1"/>
  <c r="B68" i="100"/>
  <c r="B1852" i="100"/>
  <c r="B425" i="100"/>
  <c r="C978" i="100"/>
  <c r="H337" i="99" a="1"/>
  <c r="C727" i="100"/>
  <c r="C1955" i="100"/>
  <c r="B1915" i="100"/>
  <c r="B122" i="100"/>
  <c r="C1259" i="100"/>
  <c r="B1850" i="100"/>
  <c r="B548" i="100"/>
  <c r="BV224" i="99" a="1"/>
  <c r="B492" i="100"/>
  <c r="AC143" i="99" a="1"/>
  <c r="Z165" i="99" a="1"/>
  <c r="B1227" i="100"/>
  <c r="C1900" i="100"/>
  <c r="E116" i="99"/>
  <c r="C196" i="100"/>
  <c r="C1092" i="100"/>
  <c r="N7" i="99" a="1"/>
  <c r="E223" i="99" a="1"/>
  <c r="C1231" i="100"/>
  <c r="B240" i="100"/>
  <c r="B1066" i="100"/>
  <c r="C5" i="100"/>
  <c r="B1230" i="100"/>
  <c r="C685" i="100"/>
  <c r="B84" i="100"/>
  <c r="B344" i="100"/>
  <c r="B495" i="100"/>
  <c r="D93" i="99" a="1"/>
  <c r="G167" i="99" a="1"/>
  <c r="C24" i="100"/>
  <c r="C516" i="100"/>
  <c r="B359" i="100"/>
  <c r="B1831" i="100"/>
  <c r="C688" i="100"/>
  <c r="B14" i="100"/>
  <c r="B73" i="100"/>
  <c r="C1715" i="100"/>
  <c r="B202" i="100"/>
  <c r="C134" i="100"/>
  <c r="E362" i="99" a="1"/>
  <c r="B191" i="100"/>
  <c r="B1842" i="100"/>
  <c r="B370" i="100"/>
  <c r="O35" i="99" a="1"/>
  <c r="C1170" i="100"/>
  <c r="B558" i="100"/>
  <c r="B706" i="100"/>
  <c r="B668" i="100"/>
  <c r="B225" i="100"/>
  <c r="C531" i="100"/>
  <c r="B1168" i="100"/>
  <c r="C223" i="100"/>
  <c r="C1081" i="100"/>
  <c r="C155" i="100"/>
  <c r="C1097" i="100"/>
  <c r="B774" i="100"/>
  <c r="C1843" i="100"/>
  <c r="B246" i="100"/>
  <c r="C355" i="100"/>
  <c r="C1707" i="100"/>
  <c r="B473" i="100"/>
  <c r="C99" i="100"/>
  <c r="C1956" i="100"/>
  <c r="B1778" i="100"/>
  <c r="B655" i="100"/>
  <c r="B1892" i="100"/>
  <c r="B78" i="100"/>
  <c r="B1037" i="100"/>
  <c r="B1266" i="100"/>
  <c r="B971" i="100"/>
  <c r="N305" i="99" a="1"/>
  <c r="B1275" i="100"/>
  <c r="C1045" i="100"/>
  <c r="B671" i="100"/>
  <c r="C353" i="100"/>
  <c r="B1584" i="100"/>
  <c r="C75" i="100"/>
  <c r="B1035" i="100"/>
  <c r="C1056" i="100"/>
  <c r="K341" i="99" a="1"/>
  <c r="C1120" i="100"/>
  <c r="B1556" i="100"/>
  <c r="B286" i="100"/>
  <c r="C1236" i="100"/>
  <c r="AD271" i="99" a="1"/>
  <c r="B377" i="100"/>
  <c r="C214" i="100"/>
  <c r="L377" i="99" a="1"/>
  <c r="C1590" i="100"/>
  <c r="C786" i="100"/>
  <c r="C489" i="100"/>
  <c r="B1171" i="100"/>
  <c r="K219" i="99" a="1"/>
  <c r="V382" i="99" a="1"/>
  <c r="C1258" i="100"/>
  <c r="B19" i="100"/>
  <c r="B1958" i="100"/>
  <c r="C1084" i="100"/>
  <c r="G62" i="99"/>
  <c r="K13" i="99" a="1"/>
  <c r="C889" i="100"/>
  <c r="Y377" i="99" a="1"/>
  <c r="B282" i="100"/>
  <c r="C671" i="100"/>
  <c r="AB165" i="99" a="1"/>
  <c r="J341" i="99" a="1"/>
  <c r="B1839" i="100"/>
  <c r="B244" i="100"/>
  <c r="C1237" i="100"/>
  <c r="C1271" i="100"/>
  <c r="C1778" i="100"/>
  <c r="C920" i="100"/>
  <c r="B18" i="100"/>
  <c r="B188" i="100"/>
  <c r="AE13" i="99" a="1"/>
  <c r="C616" i="100"/>
  <c r="B1967" i="100"/>
  <c r="C1048" i="100"/>
  <c r="M377" i="99" a="1"/>
  <c r="C672" i="100"/>
  <c r="B486" i="100"/>
  <c r="D145" i="99" a="1"/>
  <c r="C1730" i="100"/>
  <c r="C318" i="100"/>
  <c r="C1108" i="100"/>
  <c r="B1978" i="100"/>
  <c r="B1559" i="100"/>
  <c r="B890" i="100"/>
  <c r="B280" i="100"/>
  <c r="B996" i="100"/>
  <c r="B1169" i="100"/>
  <c r="CF219" i="99" a="1"/>
  <c r="C56" i="100"/>
  <c r="D402" i="99" a="1"/>
  <c r="C645" i="100"/>
  <c r="E398" i="99" a="1"/>
  <c r="C855" i="100"/>
  <c r="B432" i="100"/>
  <c r="B607" i="100"/>
  <c r="E356" i="99" a="1"/>
  <c r="C213" i="100"/>
  <c r="C742" i="100"/>
  <c r="C51" i="100"/>
  <c r="B5" i="100"/>
  <c r="C989" i="100"/>
  <c r="B543" i="100"/>
  <c r="B113" i="100"/>
  <c r="C909" i="100"/>
  <c r="C1785" i="100"/>
  <c r="N6" i="99" a="1"/>
  <c r="C828" i="100"/>
  <c r="B1930" i="100"/>
  <c r="C463" i="100"/>
  <c r="M165" i="99" a="1"/>
  <c r="C711" i="100"/>
  <c r="C235" i="100"/>
  <c r="B1104" i="100"/>
  <c r="B656" i="100"/>
  <c r="B620" i="100"/>
  <c r="B1069" i="100"/>
  <c r="B1946" i="100"/>
  <c r="J89" i="99" a="1"/>
  <c r="B661" i="100"/>
  <c r="C969" i="100"/>
  <c r="C46" i="100"/>
  <c r="C1136" i="100"/>
  <c r="C1680" i="100"/>
  <c r="B1810" i="100"/>
  <c r="B1132" i="100"/>
  <c r="C1600" i="100"/>
  <c r="C329" i="100"/>
  <c r="C238" i="100"/>
  <c r="D246" i="99" a="1"/>
  <c r="C460" i="100"/>
  <c r="B645" i="100"/>
  <c r="C694" i="100"/>
  <c r="C1279" i="100"/>
  <c r="C1071" i="100"/>
  <c r="C1560" i="100"/>
  <c r="I271" i="99" a="1"/>
  <c r="C720" i="100"/>
  <c r="C834" i="100"/>
  <c r="C1794" i="100"/>
  <c r="AF271" i="99" a="1"/>
  <c r="C839" i="100"/>
  <c r="C1944" i="100"/>
  <c r="B1742" i="100"/>
  <c r="B1030" i="100"/>
  <c r="B256" i="100"/>
  <c r="C1272" i="100"/>
  <c r="AY219" i="99" a="1"/>
  <c r="C1158" i="100"/>
  <c r="C590" i="100"/>
  <c r="C651" i="100"/>
  <c r="C984" i="100"/>
  <c r="C961" i="100"/>
  <c r="C1030" i="100"/>
  <c r="AB35" i="99" a="1"/>
  <c r="B825" i="100"/>
  <c r="B1563" i="100"/>
  <c r="C1242" i="100"/>
  <c r="B107" i="100"/>
  <c r="C90" i="100"/>
  <c r="C1667" i="100"/>
  <c r="C904" i="100"/>
  <c r="C88" i="100"/>
  <c r="C1690" i="100"/>
  <c r="B23" i="100"/>
  <c r="B852" i="100"/>
  <c r="G190" i="99" a="1"/>
  <c r="C613" i="100"/>
  <c r="B412" i="100"/>
  <c r="B681" i="100"/>
  <c r="C1251" i="100"/>
  <c r="B1691" i="100"/>
  <c r="B1159" i="100"/>
  <c r="C1795" i="100"/>
  <c r="C1686" i="100"/>
  <c r="B1024" i="100"/>
  <c r="C1848" i="100"/>
  <c r="B93" i="100"/>
  <c r="C668" i="100"/>
  <c r="B1762" i="100"/>
  <c r="B844" i="100"/>
  <c r="G419" i="99" a="1"/>
  <c r="B1162" i="100"/>
  <c r="C1777" i="100"/>
  <c r="B1106" i="100"/>
  <c r="B1595" i="100"/>
  <c r="C1221" i="100"/>
  <c r="C108" i="100"/>
  <c r="B94" i="100"/>
  <c r="B611" i="100"/>
  <c r="C44" i="100"/>
  <c r="C190" i="100"/>
  <c r="B698" i="100"/>
  <c r="C1060" i="100"/>
  <c r="C249" i="100"/>
  <c r="B351" i="100"/>
  <c r="C336" i="100"/>
  <c r="B970" i="100"/>
  <c r="B964" i="100"/>
  <c r="B1147" i="100"/>
  <c r="B861" i="100"/>
  <c r="B1898" i="100"/>
  <c r="C469" i="100"/>
  <c r="B1606" i="100"/>
  <c r="B811" i="100"/>
  <c r="B1966" i="100"/>
  <c r="C59" i="100"/>
  <c r="AG219" i="99" a="1"/>
  <c r="B975" i="100"/>
  <c r="B848" i="100"/>
  <c r="B380" i="100"/>
  <c r="I341" i="99" a="1"/>
  <c r="C1265" i="100"/>
  <c r="F224" i="99" a="1"/>
  <c r="B45" i="100"/>
  <c r="B1802" i="100"/>
  <c r="B1947" i="100"/>
  <c r="B1165" i="100"/>
  <c r="B931" i="100"/>
  <c r="B914" i="100"/>
  <c r="AI60" i="99" a="1"/>
  <c r="C699" i="100"/>
  <c r="U273" i="99" a="1"/>
  <c r="C1828" i="100"/>
  <c r="C765" i="100"/>
  <c r="C858" i="100"/>
  <c r="B323" i="100"/>
  <c r="B563" i="100"/>
  <c r="C1965" i="100"/>
  <c r="B1099" i="100"/>
  <c r="C1926" i="100"/>
  <c r="B1875" i="100"/>
  <c r="C841" i="100"/>
  <c r="B712" i="100"/>
  <c r="C225" i="100"/>
  <c r="C180" i="100"/>
  <c r="C1150" i="100"/>
  <c r="C11" i="100"/>
  <c r="C523" i="100"/>
  <c r="B1272" i="100"/>
  <c r="B388" i="100"/>
  <c r="C1243" i="100"/>
  <c r="B829" i="100"/>
  <c r="C1211" i="100"/>
  <c r="B779" i="100"/>
  <c r="B600" i="100"/>
  <c r="P5" i="99" a="1"/>
  <c r="C900" i="100"/>
  <c r="B1051" i="100"/>
  <c r="B559" i="100"/>
  <c r="B1881" i="100"/>
  <c r="B757" i="100"/>
  <c r="C515" i="100"/>
  <c r="AD60" i="99" a="1"/>
  <c r="B30" i="100"/>
  <c r="B592" i="100"/>
  <c r="C259" i="100"/>
  <c r="B726" i="100"/>
  <c r="C9" i="100"/>
  <c r="F248" i="99" a="1"/>
  <c r="B528" i="100"/>
  <c r="C1825" i="100"/>
  <c r="Y114" i="99" a="1"/>
  <c r="O219" i="99" a="1"/>
  <c r="B1092" i="100"/>
  <c r="K165" i="99" a="1"/>
  <c r="C870" i="100"/>
  <c r="B1729" i="100"/>
  <c r="B460" i="100"/>
  <c r="B740" i="100"/>
  <c r="AD35" i="99" a="1"/>
  <c r="C484" i="100"/>
  <c r="B1265" i="100"/>
  <c r="B868" i="100"/>
  <c r="C378" i="100"/>
  <c r="B972" i="100"/>
  <c r="C913" i="100"/>
  <c r="C304" i="100"/>
  <c r="C312" i="100"/>
  <c r="B1781" i="100"/>
  <c r="B1007" i="100"/>
  <c r="B742" i="100"/>
  <c r="C763" i="100"/>
  <c r="C878" i="100"/>
  <c r="B1607" i="100"/>
  <c r="B224" i="100"/>
  <c r="C1033" i="100"/>
  <c r="D356" i="99" a="1"/>
  <c r="Z89" i="99" a="1"/>
  <c r="B1014" i="100"/>
  <c r="C1141" i="100"/>
  <c r="C662" i="100"/>
  <c r="C612" i="100"/>
  <c r="B1179" i="100"/>
  <c r="C1647" i="100"/>
  <c r="B1094" i="100"/>
  <c r="C555" i="100"/>
  <c r="C606" i="100"/>
  <c r="C1179" i="100"/>
  <c r="J60" i="99" a="1"/>
  <c r="C1924" i="100"/>
  <c r="C1595" i="100"/>
  <c r="B1009" i="100"/>
  <c r="J114" i="99" a="1"/>
  <c r="B580" i="100"/>
  <c r="B785" i="100"/>
  <c r="C1069" i="100"/>
  <c r="B717" i="100"/>
  <c r="B1215" i="100"/>
  <c r="C1072" i="100"/>
  <c r="C84" i="100"/>
  <c r="B1965" i="100"/>
  <c r="O60" i="99" a="1"/>
  <c r="B1897" i="100"/>
  <c r="C1970" i="100"/>
  <c r="B259" i="100"/>
  <c r="B1183" i="100"/>
  <c r="C1946" i="100"/>
  <c r="C461" i="100"/>
  <c r="B278" i="100"/>
  <c r="C1093" i="100"/>
  <c r="C379" i="99" a="1"/>
  <c r="N60" i="99" a="1"/>
  <c r="G37" i="99" a="1"/>
  <c r="B1061" i="100"/>
  <c r="C670" i="100"/>
  <c r="B206" i="100"/>
  <c r="B482" i="100"/>
  <c r="C1897" i="100"/>
  <c r="B1000" i="100"/>
  <c r="C153" i="100"/>
  <c r="C1187" i="100"/>
  <c r="B434" i="100"/>
  <c r="C1758" i="100"/>
  <c r="B807" i="100"/>
  <c r="B32" i="100"/>
  <c r="B309" i="100"/>
  <c r="C217" i="100"/>
  <c r="B993" i="100"/>
  <c r="C872" i="100"/>
  <c r="B1647" i="100"/>
  <c r="B696" i="100"/>
  <c r="C1106" i="100"/>
  <c r="C1807" i="100"/>
  <c r="B545" i="100"/>
  <c r="C1185" i="100"/>
  <c r="B708" i="100"/>
  <c r="B409" i="100"/>
  <c r="C775" i="100"/>
  <c r="C1865" i="100"/>
  <c r="C447" i="100"/>
  <c r="C370" i="100"/>
  <c r="C1692" i="100"/>
  <c r="B903" i="100"/>
  <c r="B8" i="100"/>
  <c r="Y219" i="99" a="1"/>
  <c r="B15" i="100"/>
  <c r="C371" i="100"/>
  <c r="C762" i="100"/>
  <c r="AE398" i="99" a="1"/>
  <c r="B1688" i="100"/>
  <c r="B1825" i="100"/>
  <c r="BM219" i="99" a="1"/>
  <c r="B254" i="100"/>
  <c r="B1759" i="100"/>
  <c r="B1016" i="100"/>
  <c r="B662" i="100"/>
  <c r="C1749" i="100"/>
  <c r="B750" i="100"/>
  <c r="C1710" i="100"/>
  <c r="B1229" i="100"/>
  <c r="C1979" i="100"/>
  <c r="B1899" i="100"/>
  <c r="H398" i="99" a="1"/>
  <c r="C1168" i="100"/>
  <c r="C561" i="100"/>
  <c r="B1190" i="100"/>
  <c r="C1973" i="100"/>
  <c r="B1857" i="100"/>
  <c r="B986" i="100"/>
  <c r="C1720" i="100"/>
  <c r="B1175" i="100"/>
  <c r="B430" i="100"/>
  <c r="B1718" i="100"/>
  <c r="B186" i="100"/>
  <c r="C530" i="100"/>
  <c r="C334" i="100"/>
  <c r="B1558" i="100"/>
  <c r="B1185" i="100"/>
  <c r="C905" i="100"/>
  <c r="C771" i="100"/>
  <c r="C1278" i="100"/>
  <c r="N5" i="99" a="1"/>
  <c r="B243" i="100"/>
  <c r="C297" i="100"/>
  <c r="D224" i="99" a="1"/>
  <c r="C1227" i="100"/>
  <c r="C1239" i="100"/>
  <c r="B1019" i="100"/>
  <c r="W221" i="99" a="1"/>
  <c r="C1591" i="100"/>
  <c r="B1199" i="100"/>
  <c r="C337" i="100"/>
  <c r="B1933" i="100"/>
  <c r="C1697" i="100"/>
  <c r="C1151" i="100"/>
  <c r="C1927" i="100"/>
  <c r="C758" i="100"/>
  <c r="C176" i="100"/>
  <c r="B837" i="100"/>
  <c r="B703" i="100"/>
  <c r="C947" i="100"/>
  <c r="C1922" i="100"/>
  <c r="AI35" i="99" a="1"/>
  <c r="B780" i="100"/>
  <c r="AI114" i="99" a="1"/>
  <c r="C167" i="100"/>
  <c r="C674" i="100"/>
  <c r="B567" i="100"/>
  <c r="C409" i="100"/>
  <c r="C604" i="100"/>
  <c r="C1012" i="100"/>
  <c r="K143" i="99" a="1"/>
  <c r="C1037" i="100"/>
  <c r="B1792" i="100"/>
  <c r="C420" i="100"/>
  <c r="C829" i="100"/>
  <c r="B1942" i="100"/>
  <c r="B1755" i="100"/>
  <c r="C658" i="100"/>
  <c r="B1834" i="100"/>
  <c r="B337" i="100"/>
  <c r="B1076" i="100"/>
  <c r="B178" i="100"/>
  <c r="H419" i="99" a="1"/>
  <c r="C1975" i="100"/>
  <c r="B846" i="100"/>
  <c r="B1703" i="100"/>
  <c r="C1223" i="100"/>
  <c r="C1153" i="100"/>
  <c r="B1192" i="100"/>
  <c r="B754" i="100"/>
  <c r="C1784" i="100"/>
  <c r="AA190" i="99" a="1"/>
  <c r="C1014" i="100"/>
  <c r="B399" i="100"/>
  <c r="C307" i="100"/>
  <c r="C1836" i="100"/>
  <c r="B760" i="100"/>
  <c r="C1181" i="100"/>
  <c r="C1131" i="100"/>
  <c r="C634" i="100"/>
  <c r="C1098" i="100"/>
  <c r="P13" i="99" a="1"/>
  <c r="C678" i="100"/>
  <c r="B552" i="100"/>
  <c r="C701" i="100"/>
  <c r="P13" i="99" l="1"/>
  <c r="AA190" i="99"/>
  <c r="H419" i="99"/>
  <c r="K143" i="99"/>
  <c r="AI114" i="99"/>
  <c r="AI35" i="99"/>
  <c r="W221" i="99"/>
  <c r="D224" i="99"/>
  <c r="N5" i="99"/>
  <c r="H398" i="99"/>
  <c r="BM219" i="99"/>
  <c r="AE398" i="99"/>
  <c r="Y219" i="99"/>
  <c r="G37" i="99"/>
  <c r="N60" i="99"/>
  <c r="C379" i="99"/>
  <c r="O60" i="99"/>
  <c r="J114" i="99"/>
  <c r="J60" i="99"/>
  <c r="Z89" i="99"/>
  <c r="D356" i="99"/>
  <c r="AD35" i="99"/>
  <c r="K165" i="99"/>
  <c r="O219" i="99"/>
  <c r="Y114" i="99"/>
  <c r="F248" i="99"/>
  <c r="AD60" i="99"/>
  <c r="P5" i="99"/>
  <c r="U273" i="99"/>
  <c r="AI60" i="99"/>
  <c r="F224" i="99"/>
  <c r="I341" i="99"/>
  <c r="AG219" i="99"/>
  <c r="G419" i="99"/>
  <c r="G190" i="99"/>
  <c r="AB35" i="99"/>
  <c r="AY219" i="99"/>
  <c r="AF271" i="99"/>
  <c r="I271" i="99"/>
  <c r="D246" i="99"/>
  <c r="J89" i="99"/>
  <c r="M165" i="99"/>
  <c r="N6" i="99"/>
  <c r="E356" i="99"/>
  <c r="E398" i="99"/>
  <c r="D402" i="99"/>
  <c r="E402" i="99" s="1"/>
  <c r="CF219" i="99"/>
  <c r="D145" i="99"/>
  <c r="M377" i="99"/>
  <c r="AE13" i="99"/>
  <c r="J341" i="99"/>
  <c r="AB165" i="99"/>
  <c r="Y377" i="99"/>
  <c r="K13" i="99"/>
  <c r="V382" i="99"/>
  <c r="K219" i="99"/>
  <c r="L377" i="99"/>
  <c r="AD271" i="99"/>
  <c r="K341" i="99"/>
  <c r="N305" i="99"/>
  <c r="O35" i="99"/>
  <c r="E362" i="99"/>
  <c r="G167" i="99"/>
  <c r="D93" i="99"/>
  <c r="E223" i="99"/>
  <c r="N7" i="99"/>
  <c r="Z165" i="99"/>
  <c r="AC143" i="99"/>
  <c r="BV224" i="99"/>
  <c r="H337" i="99"/>
  <c r="AF13" i="99"/>
  <c r="W379" i="99"/>
  <c r="AH35" i="99"/>
  <c r="D337" i="99"/>
  <c r="H360" i="99"/>
  <c r="D273" i="99"/>
  <c r="D383" i="99"/>
  <c r="AD165" i="99"/>
  <c r="K190" i="99"/>
  <c r="G398" i="99"/>
  <c r="AR219" i="99"/>
  <c r="L190" i="99"/>
  <c r="N190" i="99"/>
  <c r="BZ219" i="99"/>
  <c r="BV221" i="99"/>
  <c r="Y360" i="99"/>
  <c r="C324" i="99"/>
  <c r="AF60" i="99"/>
  <c r="AC221" i="99"/>
  <c r="E290" i="99"/>
  <c r="AG190" i="99"/>
  <c r="W62" i="99"/>
  <c r="AE35" i="99"/>
  <c r="Z377" i="99"/>
  <c r="Y192" i="99"/>
  <c r="AB13" i="99"/>
  <c r="J13" i="99"/>
  <c r="H356" i="99"/>
  <c r="I219" i="99"/>
  <c r="M114" i="99"/>
  <c r="L35" i="99"/>
  <c r="G35" i="99"/>
  <c r="AC271" i="99"/>
  <c r="AH13" i="99"/>
  <c r="F37" i="99"/>
  <c r="V381" i="99"/>
  <c r="AB190" i="99"/>
  <c r="H377" i="99"/>
  <c r="AF377" i="99"/>
  <c r="E224" i="99"/>
  <c r="F419" i="99"/>
  <c r="AB377" i="99"/>
  <c r="W398" i="99"/>
  <c r="P219" i="99"/>
  <c r="N165" i="99"/>
  <c r="O165" i="99"/>
  <c r="N219" i="99"/>
  <c r="P4" i="99"/>
  <c r="AQ219" i="99"/>
  <c r="Y165" i="99"/>
  <c r="M190" i="99"/>
  <c r="V379" i="99"/>
  <c r="W273" i="99"/>
  <c r="C337" i="99"/>
  <c r="BW223" i="99"/>
  <c r="AF165" i="99"/>
  <c r="AC219" i="99"/>
  <c r="G114" i="99"/>
  <c r="P244" i="99"/>
  <c r="V93" i="99"/>
  <c r="N9" i="99"/>
  <c r="AC165" i="99"/>
  <c r="AH89" i="99"/>
  <c r="J190" i="99"/>
  <c r="AD219" i="99"/>
  <c r="M219" i="99"/>
  <c r="V145" i="99"/>
  <c r="AS219" i="99"/>
  <c r="D62" i="99"/>
  <c r="AG271" i="99"/>
  <c r="D324" i="99"/>
  <c r="Z271" i="99"/>
  <c r="N114" i="99"/>
  <c r="H165" i="99"/>
  <c r="AB398" i="99"/>
  <c r="AG60" i="99"/>
  <c r="L60" i="99"/>
  <c r="AA360" i="99"/>
  <c r="F337" i="99"/>
  <c r="H219" i="99"/>
  <c r="Y221" i="99"/>
  <c r="E380" i="99"/>
  <c r="E246" i="99"/>
  <c r="J35" i="99"/>
  <c r="D116" i="99"/>
  <c r="U362" i="99"/>
  <c r="AP221" i="99"/>
  <c r="N8" i="99"/>
  <c r="I89" i="99"/>
  <c r="W382" i="99"/>
  <c r="AO224" i="99"/>
  <c r="X62" i="99"/>
  <c r="H60" i="99"/>
  <c r="X39" i="99"/>
  <c r="AA398" i="99"/>
  <c r="H190" i="99"/>
  <c r="BJ219" i="99"/>
  <c r="C290" i="99"/>
  <c r="BG221" i="99"/>
  <c r="BF224" i="99"/>
  <c r="K322" i="99"/>
  <c r="AH219" i="99"/>
  <c r="J62" i="99"/>
  <c r="F223" i="99"/>
  <c r="I377" i="99"/>
  <c r="BG223" i="99"/>
  <c r="C356" i="99"/>
  <c r="M360" i="99"/>
  <c r="I35" i="99"/>
  <c r="W380" i="99"/>
  <c r="L305" i="99"/>
  <c r="AV219" i="99"/>
  <c r="G244" i="99"/>
  <c r="AC398" i="99"/>
  <c r="G13" i="99"/>
  <c r="L244" i="99"/>
  <c r="AE60" i="99"/>
  <c r="AE114" i="99"/>
  <c r="P143" i="99"/>
  <c r="AD89" i="99"/>
  <c r="E324" i="99"/>
  <c r="Q60" i="99"/>
  <c r="L143" i="99"/>
  <c r="Q219" i="99"/>
  <c r="AF89" i="99"/>
  <c r="BH221" i="99"/>
  <c r="CB219" i="99"/>
  <c r="J143" i="99"/>
  <c r="J271" i="99"/>
  <c r="AW219" i="99"/>
  <c r="CA219" i="99"/>
  <c r="M89" i="99"/>
  <c r="P190" i="99"/>
  <c r="Z143" i="99"/>
  <c r="K60" i="99"/>
  <c r="U382" i="99"/>
  <c r="Q89" i="99"/>
  <c r="V192" i="99"/>
  <c r="AI165" i="99"/>
  <c r="V39" i="99"/>
  <c r="BF223" i="99"/>
  <c r="K377" i="99"/>
  <c r="Y116" i="99"/>
  <c r="L271" i="99"/>
  <c r="Y167" i="99"/>
  <c r="H143" i="99"/>
  <c r="CD219" i="99"/>
  <c r="AA13" i="99"/>
  <c r="D169" i="99"/>
  <c r="BK219" i="99"/>
  <c r="D382" i="99"/>
  <c r="E221" i="99"/>
  <c r="AB360" i="99"/>
  <c r="AG165" i="99"/>
  <c r="N377" i="99"/>
  <c r="X169" i="99"/>
  <c r="I143" i="99"/>
  <c r="D248" i="99"/>
  <c r="G91" i="99"/>
  <c r="CH219" i="99"/>
  <c r="P89" i="99"/>
  <c r="G219" i="99"/>
  <c r="O288" i="99"/>
  <c r="Y398" i="99"/>
  <c r="BN219" i="99"/>
  <c r="BQ219" i="99"/>
  <c r="O271" i="99"/>
  <c r="F356" i="99"/>
  <c r="D192" i="99"/>
  <c r="K35" i="99"/>
  <c r="AF143" i="99"/>
  <c r="P7" i="99"/>
  <c r="Z219" i="99"/>
  <c r="G360" i="99"/>
  <c r="Q165" i="99"/>
  <c r="AA89" i="99"/>
  <c r="H89" i="99"/>
  <c r="W169" i="99"/>
  <c r="AH60" i="99"/>
  <c r="AC89" i="99"/>
  <c r="G116" i="99"/>
  <c r="M398" i="99"/>
  <c r="H13" i="99"/>
  <c r="E169" i="99"/>
  <c r="J288" i="99"/>
  <c r="E381" i="99"/>
  <c r="V224" i="99"/>
  <c r="M341" i="99"/>
  <c r="C273" i="99"/>
  <c r="I190" i="99"/>
  <c r="N35" i="99"/>
  <c r="BW221" i="99"/>
  <c r="H221" i="99"/>
  <c r="BO219" i="99"/>
  <c r="H322" i="99"/>
  <c r="N271" i="99"/>
  <c r="N143" i="99"/>
  <c r="AI190" i="99"/>
  <c r="J219" i="99"/>
  <c r="BA219" i="99"/>
  <c r="V380" i="99"/>
  <c r="AU219" i="99"/>
  <c r="E248" i="99"/>
  <c r="Z60" i="99"/>
  <c r="Z35" i="99"/>
  <c r="X377" i="99"/>
  <c r="J322" i="99"/>
  <c r="I398" i="99"/>
  <c r="BX221" i="99"/>
  <c r="L288" i="99"/>
  <c r="Y35" i="99"/>
  <c r="H341" i="99"/>
  <c r="AA165" i="99"/>
  <c r="G165" i="99"/>
  <c r="J419" i="99"/>
  <c r="P165" i="99"/>
  <c r="D223" i="99"/>
  <c r="M35" i="99"/>
  <c r="D401" i="99"/>
  <c r="E401" i="99" s="1"/>
  <c r="CC219" i="99"/>
  <c r="N13" i="99"/>
  <c r="AF219" i="99"/>
  <c r="H35" i="99"/>
  <c r="V383" i="99"/>
  <c r="X223" i="99"/>
  <c r="Z190" i="99"/>
  <c r="BZ221" i="99"/>
  <c r="AH114" i="99"/>
  <c r="W362" i="99"/>
  <c r="BR219" i="99"/>
  <c r="G305" i="99"/>
  <c r="Y271" i="99"/>
  <c r="P114" i="99"/>
  <c r="G377" i="99"/>
  <c r="M305" i="99"/>
  <c r="H114" i="99"/>
  <c r="AZ219" i="99"/>
  <c r="F249" i="99"/>
  <c r="K244" i="99"/>
  <c r="V116" i="99"/>
  <c r="U379" i="99"/>
  <c r="C91" i="99"/>
  <c r="AP223" i="99"/>
  <c r="D343" i="99"/>
  <c r="W224" i="99"/>
  <c r="E379" i="99"/>
  <c r="AE89" i="99"/>
  <c r="D362" i="99"/>
  <c r="C383" i="99"/>
  <c r="AE271" i="99"/>
  <c r="F398" i="99"/>
  <c r="J377" i="99"/>
  <c r="CC221" i="99"/>
  <c r="AF190" i="99"/>
  <c r="E337" i="99"/>
  <c r="Y91" i="99"/>
  <c r="Y89" i="99"/>
  <c r="J360" i="99"/>
  <c r="BX223" i="99"/>
  <c r="BG224" i="99"/>
  <c r="G89" i="99"/>
  <c r="AH143" i="99"/>
  <c r="J165" i="99"/>
  <c r="J305" i="99"/>
  <c r="AT219" i="99"/>
  <c r="AA271" i="99"/>
  <c r="I165" i="99"/>
  <c r="U383" i="99"/>
  <c r="X93" i="99"/>
  <c r="I244" i="99"/>
  <c r="AC377" i="99"/>
  <c r="I322" i="99"/>
  <c r="AB271" i="99"/>
  <c r="G341" i="99"/>
  <c r="X398" i="99"/>
  <c r="AA143" i="99"/>
  <c r="AC35" i="99"/>
  <c r="AA60" i="99"/>
  <c r="Z13" i="99"/>
  <c r="CE219" i="99"/>
  <c r="BI219" i="99"/>
  <c r="AD143" i="99"/>
  <c r="AA219" i="99"/>
  <c r="V37" i="99"/>
  <c r="AC190" i="99"/>
  <c r="G192" i="99"/>
  <c r="E383" i="99"/>
  <c r="G337" i="99"/>
  <c r="AB60" i="99"/>
  <c r="G246" i="99"/>
  <c r="AC13" i="99"/>
  <c r="AA114" i="99"/>
  <c r="W39" i="99"/>
  <c r="AI219" i="99"/>
  <c r="AC360" i="99"/>
  <c r="D249" i="99"/>
  <c r="AD360" i="99"/>
  <c r="N322" i="99"/>
  <c r="H305" i="99"/>
  <c r="CI219" i="99"/>
  <c r="AR221" i="99"/>
  <c r="I13" i="99"/>
  <c r="I419" i="99"/>
  <c r="D167" i="99"/>
  <c r="O190" i="99"/>
  <c r="AQ221" i="99"/>
  <c r="E377" i="99"/>
  <c r="AD13" i="99"/>
  <c r="C381" i="99"/>
  <c r="Y143" i="99"/>
  <c r="C362" i="99"/>
  <c r="AE143" i="99"/>
  <c r="AB219" i="99"/>
  <c r="AO223" i="99"/>
  <c r="BE221" i="99"/>
  <c r="AG13" i="99"/>
  <c r="BF221" i="99"/>
  <c r="G221" i="99"/>
  <c r="AE377" i="99"/>
  <c r="L341" i="99"/>
  <c r="BI221" i="99"/>
  <c r="D404" i="99"/>
  <c r="E404" i="99" s="1"/>
  <c r="AE165" i="99"/>
  <c r="H271" i="99"/>
  <c r="AE190" i="99"/>
  <c r="V223" i="99"/>
  <c r="AN223" i="99"/>
  <c r="D380" i="99"/>
  <c r="AN221" i="99"/>
  <c r="D381" i="99"/>
  <c r="E167" i="99"/>
  <c r="AF114" i="99"/>
  <c r="V169" i="99"/>
  <c r="I114" i="99"/>
  <c r="O89" i="99"/>
  <c r="Q35" i="99"/>
  <c r="I60" i="99"/>
  <c r="L114" i="99"/>
  <c r="I360" i="99"/>
  <c r="G322" i="99"/>
  <c r="W377" i="99"/>
  <c r="AI89" i="99"/>
  <c r="Y37" i="99"/>
  <c r="W381" i="99"/>
  <c r="AG89" i="99"/>
  <c r="F62" i="99"/>
  <c r="K4" i="99"/>
  <c r="F377" i="99"/>
  <c r="D379" i="99"/>
  <c r="E93" i="99"/>
  <c r="V62" i="99"/>
  <c r="V402" i="99"/>
  <c r="W402" i="99" s="1"/>
  <c r="C380" i="99"/>
  <c r="I288" i="99"/>
  <c r="W167" i="99"/>
  <c r="F169" i="99"/>
  <c r="E419" i="99"/>
  <c r="V362" i="99"/>
  <c r="Q114" i="99"/>
  <c r="M288" i="99"/>
  <c r="D39" i="99"/>
  <c r="U380" i="99"/>
  <c r="E249" i="99"/>
  <c r="BH219" i="99"/>
  <c r="BE223" i="99"/>
  <c r="V15" i="99"/>
  <c r="J398" i="99"/>
  <c r="AD114" i="99"/>
  <c r="E39" i="99"/>
  <c r="L13" i="99"/>
  <c r="U91" i="99"/>
  <c r="AG35" i="99"/>
  <c r="X224" i="99"/>
  <c r="N288" i="99"/>
  <c r="BX224" i="99"/>
  <c r="M244" i="99"/>
  <c r="K305" i="99"/>
  <c r="N341" i="99"/>
  <c r="AA35" i="99"/>
  <c r="AO221" i="99"/>
  <c r="Z360" i="99"/>
  <c r="W223" i="99"/>
  <c r="L89" i="99"/>
  <c r="BL221" i="99"/>
  <c r="L398" i="99"/>
  <c r="K89" i="99"/>
  <c r="I305" i="99"/>
  <c r="CG219" i="99"/>
  <c r="D307" i="99"/>
  <c r="Y190" i="99"/>
  <c r="C343" i="99"/>
  <c r="AF35" i="99"/>
  <c r="O143" i="99"/>
  <c r="AP224" i="99"/>
  <c r="BE224" i="99"/>
  <c r="Y13" i="99"/>
  <c r="Q190" i="99"/>
  <c r="Z221" i="99"/>
  <c r="H288" i="99"/>
  <c r="L219" i="99"/>
  <c r="X37" i="99"/>
  <c r="Z398" i="99"/>
  <c r="G60" i="99"/>
  <c r="N89" i="99"/>
  <c r="K114" i="99"/>
  <c r="E91" i="99"/>
  <c r="K271" i="99"/>
  <c r="V404" i="99"/>
  <c r="W404" i="99" s="1"/>
  <c r="O114" i="99"/>
  <c r="W91" i="99"/>
  <c r="AB114" i="99"/>
  <c r="P6" i="99"/>
  <c r="P60" i="99"/>
  <c r="O244" i="99"/>
  <c r="X167" i="99"/>
  <c r="V401" i="99"/>
  <c r="W401" i="99" s="1"/>
  <c r="K360" i="99"/>
  <c r="O13" i="99"/>
  <c r="F221" i="99"/>
  <c r="D91" i="99"/>
  <c r="AH190" i="99"/>
  <c r="M13" i="99"/>
  <c r="BY219" i="99"/>
  <c r="AC60" i="99"/>
  <c r="M143" i="99"/>
  <c r="E273" i="99"/>
  <c r="Y60" i="99"/>
  <c r="AE360" i="99"/>
  <c r="V273" i="99"/>
  <c r="V91" i="99"/>
  <c r="L322" i="99"/>
  <c r="V403" i="99"/>
  <c r="W403" i="99" s="1"/>
  <c r="M322" i="99"/>
  <c r="P35" i="99"/>
  <c r="AD398" i="99"/>
  <c r="W93" i="99"/>
  <c r="D290" i="99"/>
  <c r="V221" i="99"/>
  <c r="BV223" i="99"/>
  <c r="U381" i="99"/>
  <c r="BW224" i="99"/>
  <c r="L165" i="99"/>
  <c r="AB37" i="99"/>
  <c r="N4" i="99"/>
  <c r="E62" i="99"/>
  <c r="P305" i="99"/>
  <c r="AN224" i="99"/>
  <c r="AD190" i="99"/>
  <c r="G288" i="99"/>
  <c r="X221" i="99"/>
  <c r="D37" i="99"/>
  <c r="AG143" i="99"/>
  <c r="V167" i="99"/>
  <c r="F39" i="99"/>
  <c r="AB62" i="99"/>
  <c r="F246" i="99"/>
  <c r="AX219" i="99"/>
  <c r="H244" i="99"/>
  <c r="E382" i="99"/>
  <c r="K221" i="99"/>
  <c r="W37" i="99"/>
  <c r="D403" i="99"/>
  <c r="E403" i="99" s="1"/>
  <c r="J37" i="99"/>
  <c r="G356" i="99"/>
  <c r="Z114" i="99"/>
  <c r="F167" i="99"/>
  <c r="G143" i="99"/>
  <c r="D15" i="99"/>
  <c r="D221" i="99"/>
  <c r="AB89" i="99"/>
  <c r="E192" i="99"/>
  <c r="AB143" i="99"/>
  <c r="AA377" i="99"/>
  <c r="AU221" i="99"/>
  <c r="BP219" i="99"/>
  <c r="BL219" i="99"/>
  <c r="J244" i="99"/>
  <c r="AE219" i="99"/>
  <c r="W383" i="99"/>
  <c r="AG114" i="99"/>
  <c r="K288" i="99"/>
  <c r="C382" i="99"/>
  <c r="E37" i="99"/>
  <c r="O305" i="99"/>
  <c r="K398" i="99"/>
  <c r="F93" i="99"/>
  <c r="BY221" i="99"/>
  <c r="AC114" i="99"/>
  <c r="Q244" i="99"/>
  <c r="M60" i="99"/>
  <c r="W192" i="99"/>
  <c r="M271" i="99"/>
  <c r="L360" i="99"/>
  <c r="E343" i="99"/>
  <c r="N244" i="99"/>
  <c r="AH165" i="99"/>
  <c r="G271" i="99"/>
  <c r="AD377" i="99"/>
  <c r="Q699" i="100" a="1"/>
  <c r="P825" i="100" a="1"/>
  <c r="Q1048" i="100" a="1"/>
  <c r="Q650" i="100" a="1"/>
  <c r="P1058" i="100" a="1"/>
  <c r="Q1169" i="100" a="1"/>
  <c r="P998" i="100" a="1"/>
  <c r="P873" i="100" a="1"/>
  <c r="Q777" i="100" a="1"/>
  <c r="Q747" i="100" a="1"/>
  <c r="P551" i="100" a="1"/>
  <c r="Q1101" i="100" a="1"/>
  <c r="Q979" i="100" a="1"/>
  <c r="Q566" i="100" a="1"/>
  <c r="P747" i="100" a="1"/>
  <c r="Q600" i="100" a="1"/>
  <c r="P1101" i="100" a="1"/>
  <c r="Q960" i="100" a="1"/>
  <c r="P1048" i="100" a="1"/>
  <c r="Q1012" i="100" a="1"/>
  <c r="P717" i="100" a="1"/>
  <c r="P1023" i="100" a="1"/>
  <c r="P619" i="100" a="1"/>
  <c r="Q941" i="100" a="1"/>
  <c r="Q1075" i="100" a="1"/>
  <c r="Q681" i="100" a="1"/>
  <c r="P1169" i="100" a="1"/>
  <c r="Q1058" i="100" a="1"/>
  <c r="Q998" i="100" a="1"/>
  <c r="P600" i="100" a="1"/>
  <c r="P681" i="100" a="1"/>
  <c r="Q807" i="100" a="1"/>
  <c r="P1114" i="100" a="1"/>
  <c r="Q843" i="100" a="1"/>
  <c r="P1194" i="100" a="1"/>
  <c r="Q903" i="100" a="1"/>
  <c r="Q825" i="100" a="1"/>
  <c r="Q792" i="100" a="1"/>
  <c r="P777" i="100" a="1"/>
  <c r="Q581" i="100" a="1"/>
  <c r="P1143" i="100" a="1"/>
  <c r="P843" i="100" a="1"/>
  <c r="Q717" i="100" a="1"/>
  <c r="P903" i="100" a="1"/>
  <c r="P581" i="100" a="1"/>
  <c r="P699" i="100" a="1"/>
  <c r="P960" i="100" a="1"/>
  <c r="P650" i="100" a="1"/>
  <c r="P941" i="100" a="1"/>
  <c r="P1218" i="100" a="1"/>
  <c r="P1034" i="100" a="1"/>
  <c r="P807" i="100" a="1"/>
  <c r="Q1091" i="100" a="1"/>
  <c r="P979" i="100" a="1"/>
  <c r="Q619" i="100" a="1"/>
  <c r="Q922" i="100" a="1"/>
  <c r="Q873" i="100" a="1"/>
  <c r="Q1143" i="100" a="1"/>
  <c r="P1091" i="100" a="1"/>
  <c r="P1012" i="100" a="1"/>
  <c r="Q1023" i="100" a="1"/>
  <c r="P566" i="100" a="1"/>
  <c r="P1075" i="100" a="1"/>
  <c r="P792" i="100" a="1"/>
  <c r="Q551" i="100" a="1"/>
  <c r="P922" i="100" a="1"/>
  <c r="Q1114" i="100" a="1"/>
  <c r="Q1194" i="100" a="1"/>
  <c r="Q1034" i="100" a="1"/>
  <c r="Q1218" i="100" a="1"/>
  <c r="Q1218" i="100" l="1"/>
  <c r="Q1034" i="100"/>
  <c r="Q1194" i="100"/>
  <c r="Q1114" i="100"/>
  <c r="P922" i="100"/>
  <c r="Q551" i="100"/>
  <c r="P792" i="100"/>
  <c r="P1075" i="100"/>
  <c r="P566" i="100"/>
  <c r="Q1023" i="100"/>
  <c r="P1012" i="100"/>
  <c r="P1091" i="100"/>
  <c r="Q1143" i="100"/>
  <c r="Q873" i="100"/>
  <c r="Q922" i="100"/>
  <c r="Q619" i="100"/>
  <c r="P979" i="100"/>
  <c r="Q1091" i="100"/>
  <c r="P807" i="100"/>
  <c r="P1034" i="100"/>
  <c r="P1218" i="100"/>
  <c r="P941" i="100"/>
  <c r="P650" i="100"/>
  <c r="P960" i="100"/>
  <c r="P699" i="100"/>
  <c r="P581" i="100"/>
  <c r="P903" i="100"/>
  <c r="Q717" i="100"/>
  <c r="P843" i="100"/>
  <c r="P1143" i="100"/>
  <c r="Q581" i="100"/>
  <c r="P777" i="100"/>
  <c r="Q792" i="100"/>
  <c r="Q825" i="100"/>
  <c r="Q903" i="100"/>
  <c r="P1194" i="100"/>
  <c r="Q843" i="100"/>
  <c r="P1114" i="100"/>
  <c r="Q807" i="100"/>
  <c r="P681" i="100"/>
  <c r="P600" i="100"/>
  <c r="Q998" i="100"/>
  <c r="Q1058" i="100"/>
  <c r="P1169" i="100"/>
  <c r="Q681" i="100"/>
  <c r="Q1075" i="100"/>
  <c r="Q941" i="100"/>
  <c r="P619" i="100"/>
  <c r="P1023" i="100"/>
  <c r="P717" i="100"/>
  <c r="Q1012" i="100"/>
  <c r="P1048" i="100"/>
  <c r="Q960" i="100"/>
  <c r="P1101" i="100"/>
  <c r="Q600" i="100"/>
  <c r="P747" i="100"/>
  <c r="Q566" i="100"/>
  <c r="Q979" i="100"/>
  <c r="Q1101" i="100"/>
  <c r="P551" i="100"/>
  <c r="Q747" i="100"/>
  <c r="Q777" i="100"/>
  <c r="P873" i="100"/>
  <c r="P998" i="100"/>
  <c r="Q1169" i="100"/>
  <c r="P1058" i="100"/>
  <c r="Q650" i="100"/>
  <c r="Q1048" i="100"/>
  <c r="P825" i="100"/>
  <c r="Q699" i="100"/>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11"/>
            <color indexed="81"/>
            <rFont val="Calibri"/>
            <family val="2"/>
            <scheme val="minor"/>
          </rPr>
          <t>Enter a Volume Adjustment percentage to increase the spend in that PIM bucket.  Volume will be reallocated across the other buckets to remain at the Annual Sales Target.</t>
        </r>
      </text>
    </comment>
    <comment ref="C9" authorId="0" shapeId="0" xr:uid="{00000000-0006-0000-0300-000002000000}">
      <text>
        <r>
          <rPr>
            <b/>
            <sz val="11"/>
            <color indexed="81"/>
            <rFont val="Calibri"/>
            <family val="2"/>
            <scheme val="minor"/>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11"/>
            <color indexed="81"/>
            <rFont val="Calibri"/>
            <family val="2"/>
            <scheme val="minor"/>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11"/>
            <color indexed="81"/>
            <rFont val="Calibri"/>
            <family val="2"/>
            <scheme val="minor"/>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00000000-0006-0000-0400-000005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00000000-0006-0000-0400-000007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00000000-0006-0000-0400-000009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00000000-0006-0000-0400-00000B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00000000-0006-0000-0400-00000D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00000000-0006-0000-0400-00000F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88" authorId="2" shapeId="0" xr:uid="{5731B60A-8DB8-4E6D-B568-36CB2D21EE05}">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00000000-0006-0000-0400-000011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102" authorId="2" shapeId="0" xr:uid="{8F120B3E-FE5F-45BF-91B8-6F6C1944F71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00000000-0006-0000-0400-000013000000}">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2" shapeId="0" xr:uid="{F134013B-C3B3-4343-8BE0-BB22A5CAE876}">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22" authorId="2" shapeId="0" xr:uid="{111F0D76-C68A-4A1F-B1F8-4BAD5F3CD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6FEDA077-3C9E-4C3A-841B-5A86319DDFEC}">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0" authorId="2" shapeId="0" xr:uid="{E72F57BC-E422-4D27-8C64-9FB9C055B423}">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34" authorId="2" shapeId="0" xr:uid="{A145AF3C-5B40-425D-9636-E4976DA72827}">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8" authorId="2" shapeId="0" xr:uid="{EE648404-136D-4415-9B71-B82D0B59075A}">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42" authorId="2" shapeId="0" xr:uid="{94ACE12F-A89D-4E4B-9361-0F99C2744961}">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46" authorId="2" shapeId="0" xr:uid="{CEB0FE95-7647-4182-AECB-4C66248DAF95}">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00000000-0006-0000-0400-000015000000}">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54" authorId="2" shapeId="0" xr:uid="{D340BE2C-B64B-4C03-A04B-95507E50A575}">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8" authorId="2" shapeId="0" xr:uid="{00000000-0006-0000-0400-000017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66" authorId="2" shapeId="0" xr:uid="{00000000-0006-0000-0400-000018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74" authorId="1" shapeId="0" xr:uid="{00000000-0006-0000-0400-000019000000}">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78" authorId="2" shapeId="0" xr:uid="{F498193F-D210-4A33-A1E0-E58A1E9BD1B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82" authorId="1" shapeId="0" xr:uid="{00000000-0006-0000-0400-00001B000000}">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89"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93" authorId="1" shapeId="0" xr:uid="{00000000-0006-0000-0400-00001F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05" authorId="1" shapeId="0" xr:uid="{00000000-0006-0000-0400-000020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17" authorId="1" shapeId="0" xr:uid="{00000000-0006-0000-0400-000021000000}">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lower of rate being paid on the Prepaid or 1%.</t>
        </r>
      </text>
    </comment>
    <comment ref="K221"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29" authorId="2" shapeId="0" xr:uid="{F0132869-4C48-4865-9DE2-444CCEA0AD31}">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40" authorId="2" shapeId="0" xr:uid="{9F9111E9-65CA-4F70-81DB-3D3B3B35BB07}">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51" authorId="2" shapeId="0" xr:uid="{C7332180-3FB2-4BCA-B6DE-59F8D70834F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62" authorId="2" shapeId="0" xr:uid="{6A856D34-E6DA-444B-9065-3031860667EA}">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73" authorId="2" shapeId="0" xr:uid="{D515F355-3204-4AB9-B7D6-42AA21931EEA}">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84" authorId="2" shapeId="0" xr:uid="{20720361-28D7-4C0A-94FC-6700A53D3058}">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95" authorId="2" shapeId="0" xr:uid="{9FFC2CDA-B340-4073-B773-1880CA5BF0EF}">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06" authorId="2" shapeId="0" xr:uid="{1C9C5912-86C7-4C35-99F9-47E03294864C}">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17" authorId="2" shapeId="0" xr:uid="{1E1C72E1-EA5B-43E1-9477-44F8A64BEC24}">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28" authorId="2" shapeId="0" xr:uid="{582136E5-ECF8-481C-89C1-C5DA9BBCFD1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39" authorId="2" shapeId="0" xr:uid="{28F90147-A8C0-463B-80CC-5AFA1575BB4C}">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50" authorId="2" shapeId="0" xr:uid="{6BF32735-3790-4204-8F0E-44520C45C423}">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61" authorId="2" shapeId="0" xr:uid="{97BE9948-0BC6-4EB6-B49B-EA86CB8F9077}">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72" authorId="2" shapeId="0" xr:uid="{931C8736-021E-45A4-B77C-A7A34E78813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83" authorId="2" shapeId="0" xr:uid="{F97540DF-13BC-4F4E-BB09-42943D8C38D1}">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94" authorId="2" shapeId="0" xr:uid="{B271838C-5301-4F6E-B464-93F8A2B6517D}">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405" authorId="2" shapeId="0" xr:uid="{D6569E16-8C58-455E-A13D-4E9D3AB8B91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416" authorId="2" shapeId="0" xr:uid="{BCF384BA-FE43-4456-BF89-CE39D3E3CA5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427" authorId="2" shapeId="0" xr:uid="{3B03E152-6C83-46D5-A1B8-9294D521C6A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438" authorId="2" shapeId="0" xr:uid="{DAC2D866-2EBC-42D1-A1AA-C71DAD9C4BE3}">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446" authorId="2" shapeId="0" xr:uid="{385C33A0-CA49-4BED-ADD2-AF1A960D1B6F}">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454" authorId="2" shapeId="0" xr:uid="{3A10A5C7-A79A-4014-8A6A-ADBFC9FDC60A}">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462" authorId="2" shapeId="0" xr:uid="{CB4105CF-F7BA-404C-93AB-854DB74972C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470" authorId="2" shapeId="0" xr:uid="{B7627F02-A904-4262-85CE-30413F85FDEA}">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<sst xmlns="http://schemas.openxmlformats.org/spreadsheetml/2006/main" count="33875" uniqueCount="2229">
  <si>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</si>
  <si>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</si>
  <si>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</si>
  <si>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</si>
  <si>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</si>
  <si>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</si>
  <si>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</si>
  <si>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</si>
  <si>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</si>
  <si>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</si>
  <si>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</si>
  <si>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</si>
  <si>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</si>
  <si>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</si>
  <si>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</si>
  <si>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</si>
  <si>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</si>
  <si>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</si>
  <si>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</si>
  <si>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</si>
  <si>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</si>
  <si>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</si>
  <si>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</si>
  <si>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</si>
  <si>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</si>
  <si>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</si>
  <si>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</si>
  <si>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</si>
  <si>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</si>
  <si>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</si>
  <si>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</si>
  <si>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</si>
  <si>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</si>
  <si>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</si>
  <si>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</si>
  <si>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</si>
  <si>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</si>
  <si>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</si>
  <si>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</si>
  <si>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</si>
  <si>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</si>
  <si>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</si>
  <si>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</si>
  <si>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</si>
  <si>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</si>
  <si>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</si>
  <si>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</si>
  <si>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</si>
  <si>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</si>
  <si>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</si>
  <si>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</si>
  <si>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</si>
  <si>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</si>
  <si>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</si>
  <si>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</si>
  <si>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</si>
  <si>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</si>
  <si>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</si>
  <si>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</si>
  <si>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</si>
  <si>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</si>
  <si>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</si>
  <si>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</si>
  <si>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</si>
  <si>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</si>
  <si>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</si>
  <si>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</si>
  <si>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</si>
  <si>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</si>
  <si>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</si>
  <si>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</si>
  <si>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</si>
  <si>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</si>
  <si>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</si>
  <si>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</si>
  <si>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</si>
  <si>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</si>
  <si>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</si>
  <si>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</si>
  <si>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</si>
  <si>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</si>
  <si>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</si>
  <si>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</si>
  <si>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</si>
  <si>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</si>
  <si>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</si>
  <si>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</si>
  <si>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</si>
  <si>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</si>
  <si>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</si>
  <si>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</si>
  <si>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</si>
  <si>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</si>
  <si>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</si>
  <si>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</si>
  <si>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</si>
  <si>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</si>
  <si>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</si>
  <si>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</si>
  <si>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</si>
  <si>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</si>
  <si>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</si>
  <si>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</si>
  <si>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</si>
  <si>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</si>
  <si>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</si>
  <si>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</si>
  <si>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</si>
  <si>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</si>
  <si>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</si>
  <si>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</si>
  <si>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</si>
  <si>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</si>
  <si>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</si>
  <si>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</si>
  <si>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</si>
  <si>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</si>
  <si>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</si>
  <si>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</si>
  <si>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</si>
  <si>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</si>
  <si>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</si>
  <si>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</si>
  <si>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</si>
  <si>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</si>
  <si>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</si>
  <si>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</si>
  <si>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</si>
  <si>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</si>
  <si>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</si>
  <si>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</si>
  <si>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</si>
  <si>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</si>
  <si>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</si>
  <si>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</si>
  <si>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</si>
  <si>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</si>
  <si>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</si>
  <si>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</si>
  <si>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</si>
  <si>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</si>
  <si>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</si>
  <si>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</si>
  <si>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</si>
  <si>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</si>
  <si>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</si>
  <si>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</si>
  <si>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</si>
  <si>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</si>
  <si>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</si>
  <si>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</si>
  <si>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</si>
  <si>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</si>
  <si>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</si>
  <si>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</si>
  <si>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</si>
  <si>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</si>
  <si>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</si>
  <si>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</si>
  <si>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</si>
  <si>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</si>
  <si>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</si>
  <si>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</si>
  <si>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</si>
  <si>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</si>
  <si>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</si>
  <si>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</si>
  <si>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</si>
  <si>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</si>
  <si>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</si>
  <si>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</si>
  <si>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</si>
  <si>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</si>
  <si>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</si>
  <si>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</si>
  <si>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</si>
  <si>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</si>
  <si>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</si>
  <si>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</si>
  <si>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</si>
  <si>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</si>
  <si>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</si>
  <si>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</si>
  <si>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</si>
  <si>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</si>
  <si>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</si>
  <si>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</si>
  <si>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</si>
  <si>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</si>
  <si>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</si>
  <si>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</si>
  <si>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</si>
  <si>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</si>
  <si>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</si>
  <si>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</si>
  <si>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</si>
  <si>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</si>
  <si>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</si>
  <si>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</si>
  <si>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</si>
  <si>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</si>
  <si>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</si>
  <si>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</si>
  <si>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</si>
  <si>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</si>
  <si>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</si>
  <si>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</si>
  <si>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</si>
  <si>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</si>
  <si>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</si>
  <si>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</si>
  <si>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</si>
  <si>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</si>
  <si>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</si>
  <si>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</si>
  <si>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</si>
  <si>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</si>
  <si>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</si>
  <si>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</si>
  <si>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</si>
  <si>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</si>
  <si>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</si>
  <si>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</si>
  <si>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</si>
  <si>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</si>
  <si>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</si>
  <si>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</si>
  <si>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</si>
  <si>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</si>
  <si>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</si>
  <si>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</si>
  <si>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</si>
  <si>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</si>
  <si>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</si>
  <si>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</si>
  <si>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</si>
  <si>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</si>
  <si>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</si>
  <si>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</si>
  <si>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</si>
  <si>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</si>
  <si>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</si>
  <si>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</si>
  <si>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</si>
  <si>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</si>
  <si>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</si>
  <si>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</si>
  <si>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</si>
  <si>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</si>
  <si>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</si>
  <si>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</si>
  <si>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</si>
  <si>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</si>
  <si>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</si>
  <si>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</si>
  <si>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</si>
  <si>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</si>
  <si>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</si>
  <si>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</si>
  <si>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</si>
  <si>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</si>
  <si>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</si>
  <si>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</si>
  <si>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</si>
  <si>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</si>
  <si>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</si>
  <si>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</si>
  <si>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</si>
  <si>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</si>
  <si>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</si>
  <si>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</si>
  <si>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</si>
  <si>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</si>
  <si>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</si>
  <si>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</si>
  <si>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</si>
  <si>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</si>
  <si>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</si>
  <si>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</si>
  <si>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</si>
  <si>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</si>
  <si>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</si>
  <si>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</si>
  <si>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</si>
  <si>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</si>
  <si>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</si>
  <si>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</si>
  <si>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</si>
  <si>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</si>
  <si>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</si>
  <si>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</si>
  <si>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</si>
  <si>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</si>
  <si>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</si>
  <si>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</si>
  <si>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</si>
  <si>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</si>
  <si>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</si>
  <si>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</si>
  <si>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</si>
  <si>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</si>
  <si>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</si>
  <si>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</si>
  <si>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</si>
  <si>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</si>
  <si>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</si>
  <si>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</si>
  <si>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</si>
  <si>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</si>
  <si>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</si>
  <si>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</si>
  <si>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</si>
  <si>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</si>
  <si>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</si>
  <si>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</si>
  <si>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</si>
  <si>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</si>
  <si>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</si>
  <si>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</si>
  <si>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</si>
  <si>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</si>
  <si>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</si>
  <si>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</si>
  <si>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</si>
  <si>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</si>
  <si>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</si>
  <si>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</si>
  <si>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</si>
  <si>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</si>
  <si>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</si>
  <si>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</si>
  <si>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</si>
  <si>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</si>
  <si>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</si>
  <si>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</si>
  <si>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</si>
  <si>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</si>
  <si>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</si>
  <si>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</si>
  <si>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</si>
  <si>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</si>
  <si>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</si>
  <si>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</si>
  <si>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</si>
  <si>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</si>
  <si>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</si>
  <si>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</si>
  <si>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</si>
  <si>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</si>
  <si>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</si>
  <si>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</si>
  <si>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</si>
  <si>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</si>
  <si>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</si>
  <si>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</si>
  <si>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</si>
  <si>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</si>
  <si>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</si>
  <si>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</si>
  <si>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</si>
  <si>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</si>
  <si>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</si>
  <si>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</si>
  <si>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</si>
  <si>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</si>
  <si>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</si>
  <si>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</si>
  <si>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</si>
  <si>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</si>
  <si>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</si>
  <si>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</si>
  <si>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</si>
  <si>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</si>
  <si>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</si>
  <si>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</si>
  <si>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</si>
  <si>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</si>
  <si>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</si>
  <si>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</si>
  <si>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</si>
  <si>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</si>
  <si>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</si>
  <si>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</si>
  <si>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</si>
  <si>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</si>
  <si>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</si>
  <si>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</si>
  <si>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</si>
  <si>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</si>
  <si>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</si>
  <si>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</si>
  <si>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</si>
  <si>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</si>
  <si>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</si>
  <si>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</si>
  <si>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</si>
  <si>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</si>
  <si>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</si>
  <si>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</si>
  <si>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</si>
  <si>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</si>
  <si>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</si>
  <si>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</si>
  <si>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</si>
  <si>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</si>
  <si>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</si>
  <si>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</si>
  <si>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</si>
  <si>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</si>
  <si>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</si>
  <si>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</si>
  <si>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</si>
  <si>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</si>
  <si>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</si>
  <si>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</si>
  <si>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</si>
  <si>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</si>
  <si>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</si>
  <si>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</si>
  <si>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</si>
  <si>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</si>
  <si>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</si>
  <si>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</si>
  <si>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</si>
  <si>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</si>
  <si>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</si>
  <si>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</si>
  <si>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</si>
  <si>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</si>
  <si>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</si>
  <si>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</si>
  <si>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</si>
  <si>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</si>
  <si>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</si>
  <si>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</si>
  <si>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</si>
  <si>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</si>
  <si>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</si>
  <si>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</si>
  <si>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</si>
  <si>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</si>
  <si>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</si>
  <si>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</si>
  <si>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</si>
  <si>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</si>
  <si>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</si>
  <si>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</si>
  <si>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</si>
  <si>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</si>
  <si>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</si>
  <si>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</si>
  <si>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</si>
  <si>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</si>
  <si>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</si>
  <si>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</si>
  <si>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</si>
  <si>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</si>
  <si>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</si>
  <si>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</si>
  <si>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</si>
  <si>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</si>
  <si>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</si>
  <si>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</si>
  <si>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</si>
  <si>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</si>
  <si>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</si>
  <si>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</si>
  <si>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</si>
  <si>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</si>
  <si>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</si>
  <si>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</si>
  <si>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</si>
  <si>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</si>
  <si>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</si>
  <si>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</si>
  <si>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</si>
  <si>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</si>
  <si>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</si>
  <si>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</si>
  <si>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</si>
  <si>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</si>
  <si>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</si>
  <si>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</si>
  <si>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</si>
  <si>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</si>
  <si>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</si>
  <si>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</si>
  <si>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</si>
  <si>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</si>
  <si>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</si>
  <si>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</si>
  <si>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</si>
  <si>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</si>
  <si>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</si>
  <si>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</si>
  <si>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</si>
  <si>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</si>
  <si>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</si>
  <si>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</si>
  <si>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</si>
  <si>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</si>
  <si>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</si>
  <si>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</si>
  <si>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</si>
  <si>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</si>
  <si>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</si>
  <si>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</si>
  <si>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</si>
  <si>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</si>
  <si>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</si>
  <si>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</si>
  <si>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</si>
  <si>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</si>
  <si>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</si>
  <si>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</si>
  <si>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</si>
  <si>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</si>
  <si>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</si>
  <si>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 xml:space="preserve"> </t>
  </si>
  <si>
    <t>TAGP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</si>
  <si>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</si>
  <si>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</si>
  <si>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</si>
  <si>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</si>
  <si>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</si>
  <si>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</si>
  <si>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</si>
  <si>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</si>
  <si>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</si>
  <si>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</si>
  <si>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</si>
  <si>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</si>
  <si>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</si>
  <si>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</si>
  <si>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</si>
  <si>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</si>
  <si>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</si>
  <si>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</si>
  <si>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</si>
  <si>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</si>
  <si>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</si>
  <si>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</si>
  <si>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</si>
  <si>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</si>
  <si>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</si>
  <si>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</si>
  <si>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</si>
  <si>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</si>
  <si>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</si>
  <si>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</si>
  <si>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</si>
  <si>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</si>
  <si>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</si>
  <si>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</si>
  <si>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</si>
  <si>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</si>
  <si>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</si>
  <si>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</si>
  <si>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</si>
  <si>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</si>
  <si>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</si>
  <si>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</si>
  <si>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</si>
  <si>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</si>
  <si>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</si>
  <si>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</si>
  <si>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</si>
  <si>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</si>
  <si>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</si>
  <si>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</si>
  <si>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</si>
  <si>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</si>
  <si>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</si>
  <si>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</si>
  <si>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</si>
  <si>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</si>
  <si>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</si>
  <si>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</si>
  <si>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</si>
  <si>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</si>
  <si>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</si>
  <si>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</si>
  <si>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</si>
  <si>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</si>
  <si>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</si>
  <si>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</si>
  <si>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</si>
  <si>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</si>
  <si>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</si>
  <si>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</si>
  <si>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</si>
  <si>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</si>
  <si>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</si>
  <si>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</si>
  <si>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</si>
  <si>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</si>
  <si>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</si>
  <si>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</si>
  <si>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</si>
  <si>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</si>
  <si>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</si>
  <si>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</si>
  <si>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</si>
  <si>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</si>
  <si>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</si>
  <si>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</si>
  <si>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</si>
  <si>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</si>
  <si>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</si>
  <si>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</si>
  <si>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</si>
  <si>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</si>
  <si>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</si>
  <si>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</si>
  <si>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</si>
  <si>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</si>
  <si>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</si>
  <si>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</si>
  <si>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</si>
  <si>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</si>
  <si>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</si>
  <si>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</si>
  <si>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</si>
  <si>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</si>
  <si>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</si>
  <si>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</si>
  <si>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</si>
  <si>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</si>
  <si>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</si>
  <si>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</si>
  <si>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</si>
  <si>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</si>
  <si>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</si>
  <si>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</si>
  <si>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</si>
  <si>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</si>
  <si>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</si>
  <si>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</si>
  <si>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</si>
  <si>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</si>
  <si>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</si>
  <si>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</si>
  <si>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</si>
  <si>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</si>
  <si>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</si>
  <si>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</si>
  <si>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</si>
  <si>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</si>
  <si>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</si>
  <si>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Contract Assumptions</t>
  </si>
  <si>
    <t>Estimated Annual Sales to USF:</t>
  </si>
  <si>
    <t>Dry</t>
  </si>
  <si>
    <t>Ref</t>
  </si>
  <si>
    <t>Product Category Sales Mix:</t>
  </si>
  <si>
    <t>Maximum Miles from Warehouse:</t>
  </si>
  <si>
    <t>LIC</t>
  </si>
  <si>
    <t>D</t>
  </si>
  <si>
    <t>M</t>
  </si>
  <si>
    <t>PWW</t>
  </si>
  <si>
    <t>W</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</si>
  <si>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</si>
  <si>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</si>
  <si>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</si>
  <si>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</si>
  <si>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</si>
  <si>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</si>
  <si>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</si>
  <si>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</si>
  <si>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</si>
  <si>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</si>
  <si>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</si>
  <si>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</si>
  <si>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</si>
  <si>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</si>
  <si>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</si>
  <si>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</si>
  <si>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</si>
  <si>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</si>
  <si>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</si>
  <si>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</si>
  <si>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</si>
  <si>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</si>
  <si>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</si>
  <si>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</si>
  <si>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</si>
  <si>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</si>
  <si>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</si>
  <si>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</si>
  <si>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</si>
  <si>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</si>
  <si>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</si>
  <si>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</si>
  <si>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</si>
  <si>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</si>
  <si>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</si>
  <si>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</si>
  <si>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</si>
  <si>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</si>
  <si>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</si>
  <si>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</si>
  <si>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</si>
  <si>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</si>
  <si>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</si>
  <si>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</si>
  <si>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</si>
  <si>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</si>
  <si>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</si>
  <si>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</si>
  <si>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</si>
  <si>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</si>
  <si>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</si>
  <si>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</si>
  <si>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</si>
  <si>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</si>
  <si>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</si>
  <si>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</si>
  <si>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</si>
  <si>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</si>
  <si>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</si>
  <si>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</si>
  <si>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</si>
  <si>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Start Date</t>
  </si>
  <si>
    <t>End Date</t>
  </si>
  <si>
    <t>Customer Number</t>
  </si>
  <si>
    <t>Customer Name</t>
  </si>
  <si>
    <t>Start</t>
  </si>
  <si>
    <t>End</t>
  </si>
  <si>
    <t>Payment Amount</t>
  </si>
  <si>
    <t>Request Name</t>
  </si>
  <si>
    <t>Est Annualized Rebate</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</si>
  <si>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</si>
  <si>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</si>
  <si>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</si>
  <si>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</si>
  <si>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</si>
  <si>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</si>
  <si>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</si>
  <si>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</si>
  <si>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</si>
  <si>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</si>
  <si>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</si>
  <si>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</si>
  <si>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</si>
  <si>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</si>
  <si>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</si>
  <si>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</si>
  <si>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</si>
  <si>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</si>
  <si>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</si>
  <si>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</si>
  <si>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</si>
  <si>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</si>
  <si>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</si>
  <si>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</si>
  <si>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</si>
  <si>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</si>
  <si>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</si>
  <si>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</si>
  <si>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</si>
  <si>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</si>
  <si>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</si>
  <si>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</si>
  <si>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</si>
  <si>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</si>
  <si>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</si>
  <si>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</si>
  <si>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</si>
  <si>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</si>
  <si>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</si>
  <si>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</si>
  <si>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</si>
  <si>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</si>
  <si>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</si>
  <si>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</si>
  <si>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</si>
  <si>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</si>
  <si>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</si>
  <si>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</si>
  <si>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</si>
  <si>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</si>
  <si>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</si>
  <si>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</si>
  <si>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</si>
  <si>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</si>
  <si>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</si>
  <si>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</si>
  <si>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</si>
  <si>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</si>
  <si>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</si>
  <si>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</si>
  <si>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</si>
  <si>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</si>
  <si>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</si>
  <si>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</si>
  <si>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</si>
  <si>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</si>
  <si>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</si>
  <si>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</si>
  <si>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</si>
  <si>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</si>
  <si>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</si>
  <si>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</si>
  <si>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</si>
  <si>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</si>
  <si>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 xml:space="preserve">Count of New: </t>
  </si>
  <si>
    <t xml:space="preserve">Count of Existing: </t>
  </si>
  <si>
    <t xml:space="preserve">Drops: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</si>
  <si>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</si>
  <si>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</si>
  <si>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</si>
  <si>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</si>
  <si>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</si>
  <si>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</si>
  <si>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</si>
  <si>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</si>
  <si>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</si>
  <si>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</si>
  <si>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</si>
  <si>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</si>
  <si>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</si>
  <si>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</si>
  <si>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</si>
  <si>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</si>
  <si>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 xml:space="preserve">Cost Basis: </t>
  </si>
  <si>
    <t>Cycle:</t>
  </si>
  <si>
    <t>Weekly</t>
  </si>
  <si>
    <t>Part Case Charge:</t>
  </si>
  <si>
    <t>Per:</t>
  </si>
  <si>
    <t>Written Agreement?</t>
  </si>
  <si>
    <t>Audit Agreed Upon?</t>
  </si>
  <si>
    <t>Average Drop # Case</t>
  </si>
  <si>
    <t>Cost ($)</t>
  </si>
  <si>
    <t>Margin Erosion %</t>
  </si>
  <si>
    <t>Paid to:</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</si>
  <si>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</si>
  <si>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</si>
  <si>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</si>
  <si>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</si>
  <si>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</si>
  <si>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</si>
  <si>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</si>
  <si>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</si>
  <si>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</si>
  <si>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Percentage</t>
  </si>
  <si>
    <t xml:space="preserve">Market Contact: </t>
  </si>
  <si>
    <t>A La Carte - Local Contracting</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</si>
  <si>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</si>
  <si>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</si>
  <si>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</si>
  <si>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</si>
  <si>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</si>
  <si>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</si>
  <si>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</si>
  <si>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</si>
  <si>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</si>
  <si>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</si>
  <si>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</si>
  <si>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</si>
  <si>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</si>
  <si>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</si>
  <si>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</si>
  <si>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</si>
  <si>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</si>
  <si>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</si>
  <si>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</si>
  <si>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</si>
  <si>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</si>
  <si>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</si>
  <si>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</si>
  <si>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</si>
  <si>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</si>
  <si>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</si>
  <si>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</si>
  <si>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</si>
  <si>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</si>
  <si>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</si>
  <si>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</si>
  <si>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</si>
  <si>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</si>
  <si>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</si>
  <si>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</si>
  <si>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</si>
  <si>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</si>
  <si>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</si>
  <si>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</si>
  <si>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</si>
  <si>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</si>
  <si>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</si>
  <si>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</si>
  <si>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</si>
  <si>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</si>
  <si>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</si>
  <si>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</si>
  <si>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</si>
  <si>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</si>
  <si>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</si>
  <si>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</si>
  <si>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</si>
  <si>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</si>
  <si>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</si>
  <si>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</si>
  <si>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</si>
  <si>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</si>
  <si>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</si>
  <si>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</si>
  <si>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</si>
  <si>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</si>
  <si>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</si>
  <si>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</si>
  <si>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</si>
  <si>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</si>
  <si>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</si>
  <si>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</si>
  <si>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</si>
  <si>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</si>
  <si>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</si>
  <si>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</si>
  <si>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</si>
  <si>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</si>
  <si>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</si>
  <si>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</si>
  <si>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</si>
  <si>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</si>
  <si>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</si>
  <si>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</si>
  <si>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</si>
  <si>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</si>
  <si>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</si>
  <si>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</si>
  <si>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</si>
  <si>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</si>
  <si>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</si>
  <si>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</si>
  <si>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</si>
  <si>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</si>
  <si>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</si>
  <si>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</si>
  <si>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</si>
  <si>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</si>
  <si>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</si>
  <si>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</si>
  <si>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</si>
  <si>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</si>
  <si>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</si>
  <si>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</si>
  <si>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</si>
  <si>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</si>
  <si>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</si>
  <si>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</si>
  <si>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</si>
  <si>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</si>
  <si>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</si>
  <si>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</si>
  <si>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</si>
  <si>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</si>
  <si>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</si>
  <si>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</si>
  <si>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</si>
  <si>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</si>
  <si>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</si>
  <si>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</si>
  <si>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</si>
  <si>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</si>
  <si>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</si>
  <si>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</si>
  <si>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</si>
  <si>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</si>
  <si>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</si>
  <si>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</si>
  <si>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</si>
  <si>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</si>
  <si>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</si>
  <si>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</si>
  <si>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</si>
  <si>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</si>
  <si>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</si>
  <si>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</si>
  <si>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</si>
  <si>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</si>
  <si>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</si>
  <si>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</si>
  <si>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</si>
  <si>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</si>
  <si>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</si>
  <si>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</si>
  <si>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</si>
  <si>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</si>
  <si>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</si>
  <si>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</si>
  <si>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</si>
  <si>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</si>
  <si>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</si>
  <si>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</si>
  <si>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</si>
  <si>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Select Payment Method</t>
  </si>
  <si>
    <t>Exclusive Brand %</t>
  </si>
  <si>
    <t xml:space="preserve">Increase Investment Spend: </t>
  </si>
  <si>
    <t>Tier 1</t>
  </si>
  <si>
    <t>Blended EB%^^</t>
  </si>
  <si>
    <t>Credit Card Conversion</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</si>
  <si>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</si>
  <si>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</si>
  <si>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</si>
  <si>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</si>
  <si>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</si>
  <si>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</si>
  <si>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</si>
  <si>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</si>
  <si>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</si>
  <si>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</si>
  <si>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</si>
  <si>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</si>
  <si>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</si>
  <si>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</si>
  <si>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</si>
  <si>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</si>
  <si>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</si>
  <si>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</si>
  <si>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</si>
  <si>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</si>
  <si>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</si>
  <si>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</si>
  <si>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</si>
  <si>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</si>
  <si>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</si>
  <si>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</si>
  <si>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</si>
  <si>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</si>
  <si>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</si>
  <si>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</si>
  <si>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</si>
  <si>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</si>
  <si>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</si>
  <si>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</si>
  <si>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</si>
  <si>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</si>
  <si>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</si>
  <si>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</si>
  <si>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</si>
  <si>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</si>
  <si>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</si>
  <si>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</si>
  <si>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</si>
  <si>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</si>
  <si>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</si>
  <si>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</si>
  <si>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</si>
  <si>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</si>
  <si>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</si>
  <si>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</si>
  <si>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</si>
  <si>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</si>
  <si>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</si>
  <si>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</si>
  <si>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</si>
  <si>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</si>
  <si>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</si>
  <si>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</si>
  <si>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</si>
  <si>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</si>
  <si>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</si>
  <si>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</si>
  <si>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</si>
  <si>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</si>
  <si>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</si>
  <si>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</si>
  <si>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</si>
  <si>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</si>
  <si>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</si>
  <si>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</si>
  <si>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</si>
  <si>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</si>
  <si>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</si>
  <si>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</si>
  <si>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</si>
  <si>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</si>
  <si>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0.1</t>
  </si>
  <si>
    <t>0.15</t>
  </si>
  <si>
    <t>0.2</t>
  </si>
  <si>
    <t>0.25</t>
  </si>
  <si>
    <t>0.3</t>
  </si>
  <si>
    <t>0.35</t>
  </si>
  <si>
    <t>0.4</t>
  </si>
  <si>
    <t>0.45</t>
  </si>
  <si>
    <t>0.5</t>
  </si>
  <si>
    <t>0.55</t>
  </si>
  <si>
    <t>0.6</t>
  </si>
  <si>
    <t>0.65</t>
  </si>
  <si>
    <t>0.7</t>
  </si>
  <si>
    <t>0.75</t>
  </si>
  <si>
    <t>0.8</t>
  </si>
  <si>
    <t>0.85</t>
  </si>
  <si>
    <t>0.9</t>
  </si>
  <si>
    <t>0.95</t>
  </si>
  <si>
    <t/>
  </si>
  <si>
    <t>CHECK Business Tools</t>
  </si>
  <si>
    <t>Please explain why the customer can’t move off credit card to ACH or lower cost payment method.</t>
  </si>
  <si>
    <t xml:space="preserve">Credit Card Expense: </t>
  </si>
  <si>
    <t>Gross sales multiplied by the maximum credit card fee amount (2.5%)</t>
  </si>
  <si>
    <t>Prepaid</t>
  </si>
  <si>
    <t>PON Only</t>
  </si>
  <si>
    <t>STANDARD</t>
  </si>
  <si>
    <t>CURRENT</t>
  </si>
  <si>
    <t>Is this a MDA Renewal?</t>
  </si>
  <si>
    <t>Rate</t>
  </si>
  <si>
    <t>Sales Growth</t>
  </si>
  <si>
    <t>Regional</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</si>
  <si>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</si>
  <si>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</si>
  <si>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</si>
  <si>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</si>
  <si>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</si>
  <si>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</si>
  <si>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</si>
  <si>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</si>
  <si>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</si>
  <si>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</si>
  <si>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</si>
  <si>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</si>
  <si>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</si>
  <si>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</si>
  <si>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</si>
  <si>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</si>
  <si>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</si>
  <si>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</si>
  <si>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</si>
  <si>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</si>
  <si>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</si>
  <si>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</si>
  <si>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</si>
  <si>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</si>
  <si>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</si>
  <si>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</si>
  <si>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</si>
  <si>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</si>
  <si>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</si>
  <si>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</si>
  <si>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</si>
  <si>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</si>
  <si>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</si>
  <si>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</si>
  <si>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</si>
  <si>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</si>
  <si>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</si>
  <si>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</si>
  <si>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</si>
  <si>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</si>
  <si>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</si>
  <si>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</si>
  <si>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</si>
  <si>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</si>
  <si>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</si>
  <si>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</si>
  <si>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</si>
  <si>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</si>
  <si>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</si>
  <si>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</si>
  <si>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</si>
  <si>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</si>
  <si>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</si>
  <si>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</si>
  <si>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</si>
  <si>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</si>
  <si>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</si>
  <si>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</si>
  <si>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</si>
  <si>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</si>
  <si>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</si>
  <si>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 xml:space="preserve">Variable Warehouse Expenses: </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</si>
  <si>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</si>
  <si>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</si>
  <si>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</si>
  <si>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</si>
  <si>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</si>
  <si>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</si>
  <si>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</si>
  <si>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</si>
  <si>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</si>
  <si>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</si>
  <si>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</si>
  <si>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</si>
  <si>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</si>
  <si>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</si>
  <si>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</si>
  <si>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</si>
  <si>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</si>
  <si>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</si>
  <si>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</si>
  <si>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</si>
  <si>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</si>
  <si>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</si>
  <si>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</si>
  <si>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</si>
  <si>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</si>
  <si>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</si>
  <si>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</si>
  <si>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</si>
  <si>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</si>
  <si>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</si>
  <si>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</si>
  <si>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</si>
  <si>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</si>
  <si>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</si>
  <si>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</si>
  <si>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</si>
  <si>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</si>
  <si>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</si>
  <si>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</si>
  <si>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</si>
  <si>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</si>
  <si>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</si>
  <si>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</si>
  <si>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</si>
  <si>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</si>
  <si>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</si>
  <si>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</si>
  <si>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</si>
  <si>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</si>
  <si>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</si>
  <si>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</si>
  <si>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</si>
  <si>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</si>
  <si>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</si>
  <si>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</si>
  <si>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</si>
  <si>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</si>
  <si>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</si>
  <si>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</si>
  <si>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</si>
  <si>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</si>
  <si>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</si>
  <si>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</si>
  <si>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</si>
  <si>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</si>
  <si>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</si>
  <si>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</si>
  <si>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</si>
  <si>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</si>
  <si>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</si>
  <si>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</si>
  <si>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</si>
  <si>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</si>
  <si>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</si>
  <si>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</si>
  <si>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</si>
  <si>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</si>
  <si>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</si>
  <si>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</si>
  <si>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</si>
  <si>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</si>
  <si>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</si>
  <si>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</si>
  <si>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</si>
  <si>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</si>
  <si>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</si>
  <si>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</si>
  <si>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</si>
  <si>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</si>
  <si>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</si>
  <si>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</si>
  <si>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</si>
  <si>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</si>
  <si>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</si>
  <si>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</si>
  <si>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</si>
  <si>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</si>
  <si>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</si>
  <si>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</si>
  <si>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</si>
  <si>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</si>
  <si>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</si>
  <si>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</si>
  <si>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</si>
  <si>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</si>
  <si>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</si>
  <si>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</si>
  <si>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</si>
  <si>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</si>
  <si>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</si>
  <si>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</si>
  <si>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</si>
  <si>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</si>
  <si>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</si>
  <si>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</si>
  <si>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</si>
  <si>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</si>
  <si>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</si>
  <si>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</si>
  <si>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</si>
  <si>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</si>
  <si>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</si>
  <si>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</si>
  <si>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</si>
  <si>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</si>
  <si>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</si>
  <si>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</si>
  <si>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</si>
  <si>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</si>
  <si>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</si>
  <si>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</si>
  <si>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</si>
  <si>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</si>
  <si>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</si>
  <si>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</si>
  <si>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</si>
  <si>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</si>
  <si>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</si>
  <si>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</si>
  <si>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</si>
  <si>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</si>
  <si>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</si>
  <si>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</si>
  <si>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Pick Slot Factor</t>
  </si>
  <si>
    <t>Reserve Slot Factor</t>
  </si>
  <si>
    <t>Sub-Segment</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</si>
  <si>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</si>
  <si>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</si>
  <si>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</si>
  <si>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</si>
  <si>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</si>
  <si>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</si>
  <si>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</si>
  <si>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</si>
  <si>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</si>
  <si>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</si>
  <si>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</si>
  <si>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</si>
  <si>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</si>
  <si>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</si>
  <si>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</si>
  <si>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</si>
  <si>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</si>
  <si>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</si>
  <si>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</si>
  <si>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</si>
  <si>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</si>
  <si>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</si>
  <si>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</si>
  <si>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</si>
  <si>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</si>
  <si>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</si>
  <si>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</si>
  <si>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</si>
  <si>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</si>
  <si>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</si>
  <si>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</si>
  <si>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</si>
  <si>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</si>
  <si>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</si>
  <si>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</si>
  <si>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</si>
  <si>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</si>
  <si>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</si>
  <si>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</si>
  <si>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</si>
  <si>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</si>
  <si>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</si>
  <si>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</si>
  <si>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</si>
  <si>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</si>
  <si>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</si>
  <si>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</si>
  <si>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</si>
  <si>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</si>
  <si>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</si>
  <si>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</si>
  <si>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</si>
  <si>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</si>
  <si>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</si>
  <si>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</si>
  <si>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</si>
  <si>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</si>
  <si>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</si>
  <si>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</si>
  <si>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</si>
  <si>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</si>
  <si>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</si>
  <si>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</si>
  <si>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</si>
  <si>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</si>
  <si>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</si>
  <si>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</si>
  <si>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</si>
  <si>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</si>
  <si>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</si>
  <si>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</si>
  <si>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</si>
  <si>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</si>
  <si>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</si>
  <si>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</si>
  <si>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</si>
  <si>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</si>
  <si>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</si>
  <si>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</si>
  <si>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</si>
  <si>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</si>
  <si>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</si>
  <si>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</si>
  <si>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</si>
  <si>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</si>
  <si>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</si>
  <si>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</si>
  <si>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</si>
  <si>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</si>
  <si>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</si>
  <si>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</si>
  <si>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</si>
  <si>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</si>
  <si>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</si>
  <si>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</si>
  <si>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</si>
  <si>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</si>
  <si>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</si>
  <si>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</si>
  <si>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</si>
  <si>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</si>
  <si>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</si>
  <si>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</si>
  <si>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</si>
  <si>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</si>
  <si>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</si>
  <si>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</si>
  <si>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</si>
  <si>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</si>
  <si>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</si>
  <si>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</si>
  <si>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</si>
  <si>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</si>
  <si>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</si>
  <si>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</si>
  <si>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</si>
  <si>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</si>
  <si>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</si>
  <si>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</si>
  <si>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</si>
  <si>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</si>
  <si>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</si>
  <si>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</si>
  <si>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</si>
  <si>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</si>
  <si>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</si>
  <si>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</si>
  <si>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</si>
  <si>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</si>
  <si>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</si>
  <si>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</si>
  <si>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</si>
  <si>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</si>
  <si>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</si>
  <si>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</si>
  <si>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</si>
  <si>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</si>
  <si>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</si>
  <si>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</si>
  <si>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</si>
  <si>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</si>
  <si>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</si>
  <si>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</si>
  <si>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</si>
  <si>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</si>
  <si>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</si>
  <si>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</si>
  <si>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</si>
  <si>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</si>
  <si>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</si>
  <si>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</si>
  <si>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</si>
  <si>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</si>
  <si>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</si>
  <si>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</si>
  <si>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</si>
  <si>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</si>
  <si>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</si>
  <si>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</si>
  <si>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</si>
  <si>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</si>
  <si>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</si>
  <si>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</si>
  <si>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</si>
  <si>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</si>
  <si>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</si>
  <si>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</si>
  <si>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</si>
  <si>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</si>
  <si>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</si>
  <si>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</si>
  <si>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</si>
  <si>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</si>
  <si>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</si>
  <si>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</si>
  <si>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</si>
  <si>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</si>
  <si>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</si>
  <si>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</si>
  <si>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</si>
  <si>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</si>
  <si>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</si>
  <si>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</si>
  <si>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</si>
  <si>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</si>
  <si>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</si>
  <si>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</si>
  <si>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</si>
  <si>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</si>
  <si>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</si>
  <si>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</si>
  <si>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</si>
  <si>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</si>
  <si>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</si>
  <si>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</si>
  <si>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</si>
  <si>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</si>
  <si>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</si>
  <si>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</si>
  <si>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</si>
  <si>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</si>
  <si>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</si>
  <si>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</si>
  <si>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</si>
  <si>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</si>
  <si>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</si>
  <si>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</si>
  <si>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</si>
  <si>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</si>
  <si>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</si>
  <si>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</si>
  <si>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</si>
  <si>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</si>
  <si>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</si>
  <si>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</si>
  <si>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</si>
  <si>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</si>
  <si>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</si>
  <si>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</si>
  <si>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</si>
  <si>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</si>
  <si>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</si>
  <si>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</si>
  <si>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</si>
  <si>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</si>
  <si>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</si>
  <si>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</si>
  <si>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E-Commerce Incentive Threshold - Only Instance</t>
  </si>
  <si>
    <t>Volume Incentive Single Rate clause</t>
  </si>
  <si>
    <t>Incentive Dates Match Agreement Dates Flag clause</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</si>
  <si>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</si>
  <si>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</si>
  <si>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</si>
  <si>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</si>
  <si>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</si>
  <si>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</si>
  <si>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</si>
  <si>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</si>
  <si>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</si>
  <si>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</si>
  <si>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</si>
  <si>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</si>
  <si>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</si>
  <si>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</si>
  <si>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</si>
  <si>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</si>
  <si>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</si>
  <si>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</si>
  <si>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</si>
  <si>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</si>
  <si>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</si>
  <si>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</si>
  <si>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</si>
  <si>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</si>
  <si>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</si>
  <si>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</si>
  <si>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</si>
  <si>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</si>
  <si>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</si>
  <si>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</si>
  <si>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</si>
  <si>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</si>
  <si>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</si>
  <si>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EB Single Rate clause</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</si>
  <si>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</si>
  <si>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</si>
  <si>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</si>
  <si>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</si>
  <si>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</si>
  <si>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</si>
  <si>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</si>
  <si>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</si>
  <si>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</si>
  <si>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</si>
  <si>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</si>
  <si>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</si>
  <si>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</si>
  <si>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</si>
  <si>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</si>
  <si>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</si>
  <si>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</si>
  <si>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Growth Incentive Single Rate clause</t>
  </si>
  <si>
    <t>Incentive Reference #1301</t>
  </si>
  <si>
    <t>Incentive Reference #1301 Tier 1</t>
  </si>
  <si>
    <t>Earned Incentive Flag</t>
  </si>
  <si>
    <t>CHECK Business Tools Incentive</t>
  </si>
  <si>
    <t>Program</t>
  </si>
  <si>
    <t>Calendar</t>
  </si>
  <si>
    <t>Pre Pay Post Pay Flag</t>
  </si>
  <si>
    <t>Amortization Type</t>
  </si>
  <si>
    <t>Post Pay</t>
  </si>
  <si>
    <t>FF</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</si>
  <si>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</si>
  <si>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</si>
  <si>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</si>
  <si>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</si>
  <si>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</si>
  <si>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</si>
  <si>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</si>
  <si>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</si>
  <si>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</si>
  <si>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</si>
  <si>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</si>
  <si>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</si>
  <si>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</si>
  <si>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</si>
  <si>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</si>
  <si>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</si>
  <si>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</si>
  <si>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</si>
  <si>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</si>
  <si>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</si>
  <si>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</si>
  <si>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</si>
  <si>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</si>
  <si>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</si>
  <si>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</si>
  <si>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</si>
  <si>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</si>
  <si>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</si>
  <si>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</si>
  <si>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</si>
  <si>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</si>
  <si>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</si>
  <si>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</si>
  <si>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</si>
  <si>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</si>
  <si>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</si>
  <si>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</si>
  <si>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</si>
  <si>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</si>
  <si>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</si>
  <si>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</si>
  <si>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</si>
  <si>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</si>
  <si>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</si>
  <si>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</si>
  <si>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</si>
  <si>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</si>
  <si>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</si>
  <si>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</si>
  <si>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</si>
  <si>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</si>
  <si>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</si>
  <si>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</si>
  <si>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</si>
  <si>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</si>
  <si>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</si>
  <si>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E-Commerce Incentive Threshold clause</t>
  </si>
  <si>
    <t>Incentive Reference #4001</t>
  </si>
  <si>
    <t>Incentive Reference #4001 Tier 1</t>
  </si>
  <si>
    <t>CHECK Business Tools Incentive clause</t>
  </si>
  <si>
    <t>Incentive Reference #4601</t>
  </si>
  <si>
    <t>Incentive Reference #4602</t>
  </si>
  <si>
    <t>Incentive Reference #4901</t>
  </si>
  <si>
    <t>Payment Rewards Incentive clause</t>
  </si>
  <si>
    <t>Prepaid Rollover clause</t>
  </si>
  <si>
    <t>Unamortized Amount</t>
  </si>
  <si>
    <t>Prepaid Rollover No Payment clause</t>
  </si>
  <si>
    <t>Prepay Single Payment clause</t>
  </si>
  <si>
    <t>Prepay Multi Yr Under clause</t>
  </si>
  <si>
    <t>Multi Pre Paid Incentive clause</t>
  </si>
  <si>
    <t>Payment  Schedule</t>
  </si>
  <si>
    <t>New Customer Location Incentive Percent clause</t>
  </si>
  <si>
    <t>Growth Incentive Single Rate - 2nd Instance</t>
  </si>
  <si>
    <t>Growth Incentive Single Rate - 1st Instance</t>
  </si>
  <si>
    <t>Growth Incentive Single Rate - 3rd Instance</t>
  </si>
  <si>
    <t>Growth Incentive Single Rate - 4th Instance</t>
  </si>
  <si>
    <t>Growth Incentive Single Rate - 5th Instance</t>
  </si>
  <si>
    <t>Volume 1</t>
  </si>
  <si>
    <t>Volume 2</t>
  </si>
  <si>
    <t>Volume 3</t>
  </si>
  <si>
    <t>DS1</t>
  </si>
  <si>
    <t>DS2</t>
  </si>
  <si>
    <t>EB1</t>
  </si>
  <si>
    <t>EB2</t>
  </si>
  <si>
    <t>SG1</t>
  </si>
  <si>
    <t>SG2</t>
  </si>
  <si>
    <t>SG3</t>
  </si>
  <si>
    <t>SG4</t>
  </si>
  <si>
    <t>SG5</t>
  </si>
  <si>
    <t>Ecom</t>
  </si>
  <si>
    <t>CB1</t>
  </si>
  <si>
    <t>CB2</t>
  </si>
  <si>
    <t>CC</t>
  </si>
  <si>
    <t>PR</t>
  </si>
  <si>
    <t>Prepaid 1</t>
  </si>
  <si>
    <t>Prepaid 2</t>
  </si>
  <si>
    <t>CHECK Business Tools Incentive - 1st Instance</t>
  </si>
  <si>
    <t>CHECK Business Tools Incentive - 2nd Instance</t>
  </si>
  <si>
    <t>Offer This Incentive?</t>
  </si>
  <si>
    <t>#1302</t>
  </si>
  <si>
    <t>#1303</t>
  </si>
  <si>
    <t>#1304</t>
  </si>
  <si>
    <t>#1305</t>
  </si>
  <si>
    <t>Incentive Reference #1201</t>
  </si>
  <si>
    <t>Incentive Reference #1202</t>
  </si>
  <si>
    <t>Incentive Reference #3401</t>
  </si>
  <si>
    <t>Incentive Reference #3402</t>
  </si>
  <si>
    <t>Incentive Reference #1302</t>
  </si>
  <si>
    <t>Incentive Reference #1302 Tier 1</t>
  </si>
  <si>
    <t>Incentive Reference #1303</t>
  </si>
  <si>
    <t>Incentive Reference #1303 Tier 1</t>
  </si>
  <si>
    <t>Incentive Reference #1304</t>
  </si>
  <si>
    <t>Incentive Reference #1304 Tier 1</t>
  </si>
  <si>
    <t>Incentive Reference #1305</t>
  </si>
  <si>
    <t>Incentive Reference #1305 Tier 1</t>
  </si>
  <si>
    <t>Lead Market Flag</t>
  </si>
  <si>
    <t>Agreement Calendar</t>
  </si>
  <si>
    <t>End of Week</t>
  </si>
  <si>
    <t>Legacy Agreement Flag</t>
  </si>
  <si>
    <t>Incentive Adjustment:</t>
  </si>
  <si>
    <t xml:space="preserve">Incentive Adjustment: </t>
  </si>
  <si>
    <t>Incentives Tab</t>
  </si>
  <si>
    <t>Incentives Worksheet Tab</t>
  </si>
  <si>
    <t>Start row</t>
  </si>
  <si>
    <t>End row</t>
  </si>
  <si>
    <t>Incentive Reference number</t>
  </si>
  <si>
    <t>Instance</t>
  </si>
  <si>
    <t>WEST-FSA</t>
  </si>
  <si>
    <t>SOUTHERN LOUISIANA AREA</t>
  </si>
  <si>
    <t>ZZ-BALTIMORE</t>
  </si>
  <si>
    <t>ZZ-RHODE ISLAND</t>
  </si>
  <si>
    <t>ZZ-SIOUX CITY</t>
  </si>
  <si>
    <t>ZZ-SIOUX FALLS</t>
  </si>
  <si>
    <t>ZZ-WAUKESHA</t>
  </si>
  <si>
    <t>ZZ-WESTERN PA - ALTOONA</t>
  </si>
  <si>
    <t>Incentives</t>
  </si>
  <si>
    <t xml:space="preserve">Exclude Paying Rebates on ASC Charges Flag: </t>
  </si>
  <si>
    <t>Vol1</t>
  </si>
  <si>
    <t>Volume Single</t>
  </si>
  <si>
    <t>Vol2</t>
  </si>
  <si>
    <t>Volume Threshold</t>
  </si>
  <si>
    <t>Vol3</t>
  </si>
  <si>
    <t>Volume Tiered</t>
  </si>
  <si>
    <t>DS Threshold</t>
  </si>
  <si>
    <t>DS Tiered</t>
  </si>
  <si>
    <t>EB Single</t>
  </si>
  <si>
    <t>EB Threshold</t>
  </si>
  <si>
    <t>EB Tiered</t>
  </si>
  <si>
    <t>Sales1</t>
  </si>
  <si>
    <t>Sales2</t>
  </si>
  <si>
    <t>Sales3</t>
  </si>
  <si>
    <t>Sales4</t>
  </si>
  <si>
    <t>Sales5</t>
  </si>
  <si>
    <t>Check1</t>
  </si>
  <si>
    <t>TOAST</t>
  </si>
  <si>
    <t>Creditcard1</t>
  </si>
  <si>
    <t>Prepaid No Payment</t>
  </si>
  <si>
    <t>Prepaid1</t>
  </si>
  <si>
    <t>Prepaid2</t>
  </si>
  <si>
    <t>Multi Payment Prepaid</t>
  </si>
  <si>
    <t>NCL</t>
  </si>
  <si>
    <t>Auto Renewal</t>
  </si>
  <si>
    <t>Auto Approval</t>
  </si>
  <si>
    <t>Yes Extension External With Earned Incentives</t>
  </si>
  <si>
    <t>Amendment Effective Date:</t>
  </si>
  <si>
    <t>Extension:</t>
  </si>
  <si>
    <t>Executed Agreement Expiration Date:</t>
  </si>
  <si>
    <t>Extension Agreement Expiration Date:</t>
  </si>
  <si>
    <t>New Customer Location Amendment</t>
  </si>
  <si>
    <t>Exclude Paying Rebates on ASC Charges Flag:</t>
  </si>
  <si>
    <t>H39</t>
  </si>
  <si>
    <t>H40</t>
  </si>
  <si>
    <t>J39</t>
  </si>
  <si>
    <t>J40</t>
  </si>
  <si>
    <t>Pricing Schedule Qualifiers</t>
  </si>
  <si>
    <t>Alternate Category Description</t>
  </si>
  <si>
    <t>General</t>
  </si>
  <si>
    <t>Rebate Total Dollars</t>
  </si>
  <si>
    <t>Net TGP Total Dollars</t>
  </si>
  <si>
    <t>Net TGP Rate Per Case</t>
  </si>
  <si>
    <t>Contribution Margin Total Dollars</t>
  </si>
  <si>
    <t>Contribution Margin Percentage</t>
  </si>
  <si>
    <t>Contribution Margin Rate Per Case</t>
  </si>
  <si>
    <t>Contribution Margin Per Drop</t>
  </si>
  <si>
    <t>Contribution Margin Per Location Weekly</t>
  </si>
  <si>
    <t>Contribution Margin Less Rent Percentage</t>
  </si>
  <si>
    <t>Contribution Margin Less Rent Rate Per Case</t>
  </si>
  <si>
    <t>Contribution Margin Less Rent Total Dollars</t>
  </si>
  <si>
    <t>Contribution Margin Less Rent Per Drop</t>
  </si>
  <si>
    <t>Contribution Margin Less Rent Per Location Weekly</t>
  </si>
  <si>
    <t>U</t>
  </si>
  <si>
    <t>V</t>
  </si>
  <si>
    <t>Y</t>
  </si>
  <si>
    <t>AA</t>
  </si>
  <si>
    <t>AC</t>
  </si>
  <si>
    <t>BI</t>
  </si>
  <si>
    <t>BJ</t>
  </si>
  <si>
    <t>BK</t>
  </si>
  <si>
    <t>BL</t>
  </si>
  <si>
    <t>BM</t>
  </si>
  <si>
    <t>BN</t>
  </si>
  <si>
    <t>BO</t>
  </si>
  <si>
    <t>AG</t>
  </si>
  <si>
    <t>Special Order Products Surcharge Amount</t>
  </si>
  <si>
    <t>AL</t>
  </si>
  <si>
    <t>AK</t>
  </si>
  <si>
    <t>AH</t>
  </si>
  <si>
    <t>AI</t>
  </si>
  <si>
    <t>AJ</t>
  </si>
  <si>
    <t>AN</t>
  </si>
  <si>
    <t>AO</t>
  </si>
  <si>
    <t>BC</t>
  </si>
  <si>
    <t>BE</t>
  </si>
  <si>
    <t>BF</t>
  </si>
  <si>
    <t>BH</t>
  </si>
  <si>
    <t>Credit Card Fee Flag</t>
  </si>
  <si>
    <t>AF</t>
  </si>
  <si>
    <t>AM</t>
  </si>
  <si>
    <t>BD</t>
  </si>
  <si>
    <t>BG</t>
  </si>
  <si>
    <t>AP</t>
  </si>
  <si>
    <t>AQ</t>
  </si>
  <si>
    <t>AR</t>
  </si>
  <si>
    <t>AS</t>
  </si>
  <si>
    <t>AU</t>
  </si>
  <si>
    <t>AV</t>
  </si>
  <si>
    <t>AW</t>
  </si>
  <si>
    <t>AX</t>
  </si>
  <si>
    <t>BB</t>
  </si>
  <si>
    <t>Header Information</t>
  </si>
  <si>
    <t>Rebate Request Window
Rebate Information Section</t>
  </si>
  <si>
    <t>Agreement Type</t>
  </si>
  <si>
    <t>Non-Std</t>
  </si>
  <si>
    <t>Local MDA</t>
  </si>
  <si>
    <t>Notes</t>
  </si>
  <si>
    <t>A La Carte</t>
  </si>
  <si>
    <t>Rebate Request Window
Customer Information Section</t>
  </si>
  <si>
    <t>Customer Nbr</t>
  </si>
  <si>
    <t>Locn</t>
  </si>
  <si>
    <t>Company Name</t>
  </si>
  <si>
    <t>Contact Person</t>
  </si>
  <si>
    <t>Contact Title</t>
  </si>
  <si>
    <t>Qual Cycle</t>
  </si>
  <si>
    <t>Payout Cycle</t>
  </si>
  <si>
    <t>Cycle to Use</t>
  </si>
  <si>
    <t>Post To GL Payment Method</t>
  </si>
  <si>
    <t>Rebate Request Window
Rebate Information Type Section</t>
  </si>
  <si>
    <t>Volume Based Terms/Rates Window</t>
  </si>
  <si>
    <t>Fixed Rate</t>
  </si>
  <si>
    <t>Default Rate</t>
  </si>
  <si>
    <t>Select</t>
  </si>
  <si>
    <t>Products Inclusions/Exclusions Window</t>
  </si>
  <si>
    <t>Incl/Excl</t>
  </si>
  <si>
    <t>Code</t>
  </si>
  <si>
    <t>Exclude</t>
  </si>
  <si>
    <t>Low Margin</t>
  </si>
  <si>
    <t>Agency Vendor</t>
  </si>
  <si>
    <t>ALL Agency</t>
  </si>
  <si>
    <t>Trans Type</t>
  </si>
  <si>
    <t>Exclusion Group</t>
  </si>
  <si>
    <t>1700-1</t>
  </si>
  <si>
    <t>Customers Include/Exclude Window</t>
  </si>
  <si>
    <t>Location</t>
  </si>
  <si>
    <t>Eff Start</t>
  </si>
  <si>
    <t>Eff End</t>
  </si>
  <si>
    <t>Include</t>
  </si>
  <si>
    <t>All Products</t>
  </si>
  <si>
    <t>Growth Thresholds</t>
  </si>
  <si>
    <t>When Qualifying Use</t>
  </si>
  <si>
    <t>Weekly Threshold</t>
  </si>
  <si>
    <t>Effective Accrual Rate</t>
  </si>
  <si>
    <t>Flat</t>
  </si>
  <si>
    <t>First Dollar</t>
  </si>
  <si>
    <t>UOM Payout</t>
  </si>
  <si>
    <t>By Dollars</t>
  </si>
  <si>
    <t>Select Flat</t>
  </si>
  <si>
    <t>Select First Dollar</t>
  </si>
  <si>
    <t>Tier</t>
  </si>
  <si>
    <t>Drop Size Terms/Rates Window</t>
  </si>
  <si>
    <t>Invoices</t>
  </si>
  <si>
    <t>Minimum / Maximum Amounts Are</t>
  </si>
  <si>
    <t>Exclusive Brand Terms/Rates Window</t>
  </si>
  <si>
    <t>EB Percent Threshold</t>
  </si>
  <si>
    <t>By Percent</t>
  </si>
  <si>
    <t>EB Percent Tiered</t>
  </si>
  <si>
    <t>Growth Dollar Single Rate</t>
  </si>
  <si>
    <t>Minimum Sales Required</t>
  </si>
  <si>
    <t>Do Not Select</t>
  </si>
  <si>
    <t>TOAST - Only Instance</t>
  </si>
  <si>
    <t>Offer this Incentive</t>
  </si>
  <si>
    <t>Incentive Section</t>
  </si>
  <si>
    <t>Credit Card Converion</t>
  </si>
  <si>
    <t>Sales Growth Incentive</t>
  </si>
  <si>
    <t>Ecom Threshold</t>
  </si>
  <si>
    <t>Flat Fee Terms/Rates Window</t>
  </si>
  <si>
    <t>Payment Option</t>
  </si>
  <si>
    <t>Accrual Amortization Calculation</t>
  </si>
  <si>
    <t>Incentive Agreement Option</t>
  </si>
  <si>
    <t>Payment Rewards</t>
  </si>
  <si>
    <t>Prepay Rollover w Payment</t>
  </si>
  <si>
    <t>Please Provide CASIS Master and Tracking program in the notes section for clawback</t>
  </si>
  <si>
    <t>Min Sales Reqiured</t>
  </si>
  <si>
    <t>Previous Agreement Information</t>
  </si>
  <si>
    <t>Prepay Single Payment</t>
  </si>
  <si>
    <t>Total Payment Amount</t>
  </si>
  <si>
    <t>Single Rate</t>
  </si>
  <si>
    <t>Multi Year Payment Schedule Window</t>
  </si>
  <si>
    <t>Multi Year Payment Schedule Details Window</t>
  </si>
  <si>
    <t>Multi Year Payment Schedule Customers Window</t>
  </si>
  <si>
    <t>New Customer Location Incentive Percent
Language Only</t>
  </si>
  <si>
    <t>Category Description</t>
  </si>
  <si>
    <t>Desc Sort Seq</t>
  </si>
  <si>
    <t>GROSS TAGP</t>
  </si>
  <si>
    <t>PIM Recap Description</t>
  </si>
  <si>
    <t>PIM Recap Sales</t>
  </si>
  <si>
    <t>PIM Recap Cases</t>
  </si>
  <si>
    <t>PIM Recap Net Weight</t>
  </si>
  <si>
    <t>PIM Recap TAGP</t>
  </si>
  <si>
    <t>PIM Recap</t>
  </si>
  <si>
    <t>Exclude Paying Rebates on ASC Charges Flag</t>
  </si>
  <si>
    <t>PM Analytics</t>
  </si>
  <si>
    <t>Gross TGP Total Dollars</t>
  </si>
  <si>
    <t>Gross TGP Percentage</t>
  </si>
  <si>
    <t>Gross TGP Rate Per Case</t>
  </si>
  <si>
    <t>Rebates Rate Per Case</t>
  </si>
  <si>
    <t>Self Funded Rate Per Case</t>
  </si>
  <si>
    <t>Self Funded Total Dollars</t>
  </si>
  <si>
    <t>Self Funded Percentage</t>
  </si>
  <si>
    <t>AB</t>
  </si>
  <si>
    <t>AD</t>
  </si>
  <si>
    <t>AZ</t>
  </si>
  <si>
    <t>BA</t>
  </si>
  <si>
    <t>BY</t>
  </si>
  <si>
    <t>BZ</t>
  </si>
  <si>
    <t>CD</t>
  </si>
  <si>
    <t>CE</t>
  </si>
  <si>
    <t>CF</t>
  </si>
  <si>
    <t>CG</t>
  </si>
  <si>
    <t>CA</t>
  </si>
  <si>
    <t>CB</t>
  </si>
  <si>
    <t>Rent Charge Total Dollars</t>
  </si>
  <si>
    <t>Rent Charge Rate Per Case</t>
  </si>
  <si>
    <t>Total Cases</t>
  </si>
  <si>
    <t>Z</t>
  </si>
  <si>
    <t>Other GP Total Dollars</t>
  </si>
  <si>
    <t>Other GP Percentage</t>
  </si>
  <si>
    <t>Other GP Rate Per Case</t>
  </si>
  <si>
    <t>Variable Delivery Expense Total Dollars</t>
  </si>
  <si>
    <t>Variable Warehouse Expenses Total Dollars</t>
  </si>
  <si>
    <t>Variable Selling Expenses Total Dollars</t>
  </si>
  <si>
    <t>Credit Card Expense Total Dollars</t>
  </si>
  <si>
    <t>Credit Card Expense Perentage</t>
  </si>
  <si>
    <t>Credit Card Expense Rate Per Case</t>
  </si>
  <si>
    <t>AT</t>
  </si>
  <si>
    <t>AY</t>
  </si>
  <si>
    <t xml:space="preserve">Proprietary Items: </t>
  </si>
  <si>
    <t>CH</t>
  </si>
  <si>
    <t>CI</t>
  </si>
  <si>
    <t>CJ</t>
  </si>
  <si>
    <t>Rent Charge Pick and Reserve Slots Total Slots</t>
  </si>
  <si>
    <t>Rent Charge Pick and Reserve Slots Rate Per Case</t>
  </si>
  <si>
    <t>Rent Charge Proprietary Items Total Items</t>
  </si>
  <si>
    <t>Number of Locations</t>
  </si>
  <si>
    <t>CL</t>
  </si>
  <si>
    <t>PM Market Name</t>
  </si>
  <si>
    <t>Avg Sell Price Per Case</t>
  </si>
  <si>
    <t>PA Total Dollars</t>
  </si>
  <si>
    <t>PA Rate Per Case</t>
  </si>
  <si>
    <t>TAGP Total Dollars</t>
  </si>
  <si>
    <t>TAGP Percentage</t>
  </si>
  <si>
    <t>TAGP Rate Per Case</t>
  </si>
  <si>
    <t>Average Drop Size</t>
  </si>
  <si>
    <t>Variable Expenses Total Dollars</t>
  </si>
  <si>
    <t>Variable Expenses Percentage</t>
  </si>
  <si>
    <t>Variable Expenses Rate Per Case</t>
  </si>
  <si>
    <t>PM Branch</t>
  </si>
  <si>
    <t>Incentive Prepaid Schedule</t>
  </si>
  <si>
    <t>Incentive Thresholds</t>
  </si>
  <si>
    <t>Rate Unit of Measure Code</t>
  </si>
  <si>
    <t>Unit of Measure Code</t>
  </si>
  <si>
    <t>Rate Value</t>
  </si>
  <si>
    <t>Yes Extension External Including Unearned Incentives</t>
  </si>
  <si>
    <t>Auto Renewal Triggered, provide ICM Agreement Expiration Date</t>
  </si>
  <si>
    <t>Incentive Parameters</t>
  </si>
  <si>
    <t>Incentive Period Code</t>
  </si>
  <si>
    <t>Payment Method Code</t>
  </si>
  <si>
    <t>Paid To Code</t>
  </si>
  <si>
    <t>Qualifying Cycle Code</t>
  </si>
  <si>
    <t>Incentive Calendar Code</t>
  </si>
  <si>
    <t>Customer Aggregation Code</t>
  </si>
  <si>
    <t>New Customer Location Incentive Rate</t>
  </si>
  <si>
    <t>Product Qualifier Code</t>
  </si>
  <si>
    <t>Pre Pay Post Pay Flag Code</t>
  </si>
  <si>
    <t>Dollars</t>
  </si>
  <si>
    <t>Incentive Setup</t>
  </si>
  <si>
    <t>Proprietary Slots Market</t>
  </si>
  <si>
    <t>CPI Standard</t>
  </si>
  <si>
    <t>Amendment Effective Date</t>
  </si>
  <si>
    <t>New Customer Location Customer Number</t>
  </si>
  <si>
    <t>New Customer Annual Purchase Commitment</t>
  </si>
  <si>
    <t>Weeks Remaining</t>
  </si>
  <si>
    <t>New Customer Location Amendment - 1st Instance</t>
  </si>
  <si>
    <t>New Customer Location Amendment - 2nd Instance</t>
  </si>
  <si>
    <t>New Customer Location Amendment - 3rd Instance</t>
  </si>
  <si>
    <t>New Customer Location Amendment - 4th Instance</t>
  </si>
  <si>
    <t>New Customer Location Amendment - 5th Instance</t>
  </si>
  <si>
    <t>New Customer Location Amendment - 6th Instance</t>
  </si>
  <si>
    <t>New Customer Location Amendment - 7th Instance</t>
  </si>
  <si>
    <t>New Customer Location Amendment - 8th Instance</t>
  </si>
  <si>
    <t>New Customer Location Amendment - 9th Instance</t>
  </si>
  <si>
    <t>Incentive Reference #5301</t>
  </si>
  <si>
    <t>Incentive Reference #5302</t>
  </si>
  <si>
    <t>Incentive Reference #5303</t>
  </si>
  <si>
    <t>Incentive Reference #5304</t>
  </si>
  <si>
    <t>Incentive Reference #5305</t>
  </si>
  <si>
    <t>Incentive Reference #5306</t>
  </si>
  <si>
    <t>Incentive Reference #5307</t>
  </si>
  <si>
    <t>Incentive Reference #5308</t>
  </si>
  <si>
    <t>Incentive Reference #5309</t>
  </si>
  <si>
    <t>#5301</t>
  </si>
  <si>
    <t>#5302</t>
  </si>
  <si>
    <t>#5303</t>
  </si>
  <si>
    <t>#5304</t>
  </si>
  <si>
    <t>#5305</t>
  </si>
  <si>
    <t>#5306</t>
  </si>
  <si>
    <t>#5307</t>
  </si>
  <si>
    <t>#5308</t>
  </si>
  <si>
    <t>#5309</t>
  </si>
  <si>
    <t xml:space="preserve">Auto Approval Flag: </t>
  </si>
  <si>
    <t>Sunday</t>
  </si>
  <si>
    <t>Monday</t>
  </si>
  <si>
    <t>Tuesday</t>
  </si>
  <si>
    <t>Wednesday</t>
  </si>
  <si>
    <t>Thursday</t>
  </si>
  <si>
    <t>Friday</t>
  </si>
  <si>
    <t>Saturday</t>
  </si>
  <si>
    <t>NewAmd1</t>
  </si>
  <si>
    <t>NewAmd2</t>
  </si>
  <si>
    <t>NewAmd3</t>
  </si>
  <si>
    <t>NewAmd4</t>
  </si>
  <si>
    <t>NewAmd5</t>
  </si>
  <si>
    <t>NewAmd6</t>
  </si>
  <si>
    <t>NewAmd7</t>
  </si>
  <si>
    <t>NewAmd8</t>
  </si>
  <si>
    <t>NewAmd9</t>
  </si>
  <si>
    <t>Auto Approval Flag</t>
  </si>
  <si>
    <t xml:space="preserve">Auto Renewal:  </t>
  </si>
  <si>
    <t>Purchase Commitment Amount</t>
  </si>
  <si>
    <t>BP</t>
  </si>
  <si>
    <t>Incentive Auto Approval Flag</t>
  </si>
  <si>
    <t>Lead Market Code</t>
  </si>
  <si>
    <t>Order Source</t>
  </si>
  <si>
    <t>MO</t>
  </si>
  <si>
    <t>EC</t>
  </si>
  <si>
    <t>Volume Dollar Single Rate</t>
  </si>
  <si>
    <t>Volume Dollar Threshold</t>
  </si>
  <si>
    <t>Volume Dollar Tiered</t>
  </si>
  <si>
    <t>DS Dollar Avg Threshold</t>
  </si>
  <si>
    <t>DS Dollar Avg Tiered</t>
  </si>
  <si>
    <t>Spec Variable Support Office</t>
  </si>
  <si>
    <t>Base Support Office/Case</t>
  </si>
  <si>
    <t>Base Existing Support Office</t>
  </si>
  <si>
    <t>Adjusted Existing Support Office</t>
  </si>
  <si>
    <t>Support Office</t>
  </si>
  <si>
    <t>Variable Support Office Expense:</t>
  </si>
  <si>
    <t>Initial Terms Expiration Date</t>
  </si>
  <si>
    <t>Variable Support Office Expense Total Dollars</t>
  </si>
  <si>
    <t>CO</t>
  </si>
  <si>
    <t>Corporate Office</t>
  </si>
  <si>
    <t>New Customer Location Amendment Language Only</t>
  </si>
  <si>
    <t>Inv. Cost Change + Freight Income + Cash Disc. + Inv. Adjustments</t>
  </si>
  <si>
    <t>Proprietary Slots Allotted Tabl</t>
  </si>
  <si>
    <t>MULTI PYRAMID</t>
  </si>
  <si>
    <t>Sum Existing</t>
  </si>
  <si>
    <t>Sum Welcome</t>
  </si>
  <si>
    <t>Step 4 - Compare</t>
  </si>
  <si>
    <t>Step 1</t>
  </si>
  <si>
    <t>Step 2</t>
  </si>
  <si>
    <t>Step 3</t>
  </si>
  <si>
    <t>New PON Existing CIA</t>
  </si>
  <si>
    <t>New PON New CIA</t>
  </si>
  <si>
    <t>Weekly Sales Target:</t>
  </si>
  <si>
    <t>Modeled</t>
  </si>
  <si>
    <t>Default used for Mix changes</t>
  </si>
  <si>
    <t>PA</t>
  </si>
  <si>
    <t>SFD</t>
  </si>
  <si>
    <t>PYRAMID SEGMENT RANKER</t>
  </si>
  <si>
    <t>MENU TYPE &amp; SUB-SEGMENT RANKER</t>
  </si>
  <si>
    <t>Enter Customer(s)</t>
  </si>
  <si>
    <t xml:space="preserve">Multiple Tied?: </t>
  </si>
  <si>
    <t xml:space="preserve">For PA+Self Fund Lookup: </t>
  </si>
  <si>
    <t xml:space="preserve">Menu Type Display: </t>
  </si>
  <si>
    <t>90 Days</t>
  </si>
  <si>
    <t>Incentive</t>
  </si>
  <si>
    <t>AP/AR vendor Number</t>
  </si>
  <si>
    <t>Low Margin Override Flag</t>
  </si>
  <si>
    <t>Incentive Reference #5601</t>
  </si>
  <si>
    <t>Incentive Reference #5602</t>
  </si>
  <si>
    <t>Version Number</t>
  </si>
  <si>
    <t>TOAST Incentive clause</t>
  </si>
  <si>
    <t>Incentive Reference #5001</t>
  </si>
  <si>
    <t>Incentive Reference #801</t>
  </si>
  <si>
    <t>Incentive Reference #901</t>
  </si>
  <si>
    <t>Incentive Reference #501</t>
  </si>
  <si>
    <t>Incentive Reference #502</t>
  </si>
  <si>
    <t>Incentive Reference #5601 Pay Seq 1</t>
  </si>
  <si>
    <t>Incentive Reference #5601 Pay Seq 2</t>
  </si>
  <si>
    <t>Incentive Reference #5601 Pay Seq 3</t>
  </si>
  <si>
    <t>Incentive Reference #5601 Pay Seq 4</t>
  </si>
  <si>
    <t>Incentive Reference #5601 Pay Seq 5</t>
  </si>
  <si>
    <t>Incentive Reference #5602 Pay Seq 1</t>
  </si>
  <si>
    <t>Incentive Reference #5602 Pay Seq 2</t>
  </si>
  <si>
    <t>Incentive Reference #5602 Pay Seq 3</t>
  </si>
  <si>
    <t>Incentive Reference #5602 Pay Seq 4</t>
  </si>
  <si>
    <t>Incentive Reference #5602 Pay Seq 5</t>
  </si>
  <si>
    <t>Incentive Reference #601</t>
  </si>
  <si>
    <t>Incentive Reference #601 Pay Seq 1</t>
  </si>
  <si>
    <t>Incentive Reference #601 Pay Seq 2</t>
  </si>
  <si>
    <t>Incentive Reference #601 Pay Seq 3</t>
  </si>
  <si>
    <t>Incentive Reference #601 Pay Seq 4</t>
  </si>
  <si>
    <t>Incentive Reference #601 Pay Seq 5</t>
  </si>
  <si>
    <t>Incentive Reference #602</t>
  </si>
  <si>
    <t>Incentive Reference #602 Pay Seq 1</t>
  </si>
  <si>
    <t>Incentive Reference #602 Pay Seq 2</t>
  </si>
  <si>
    <t>Incentive Reference #602 Pay Seq 3</t>
  </si>
  <si>
    <t>Incentive Reference #602 Pay Seq 4</t>
  </si>
  <si>
    <t>Incentive Reference #602 Pay Seq 5</t>
  </si>
  <si>
    <t>Incentive Reference #1001</t>
  </si>
  <si>
    <t>New Cust Loc Current Instance</t>
  </si>
  <si>
    <t>Terms &amp; Conditions - must be manually added</t>
  </si>
  <si>
    <t>List of Shipping Locations</t>
  </si>
  <si>
    <t>Used in module9</t>
  </si>
  <si>
    <t>Offer this incentive</t>
  </si>
  <si>
    <t>Agreement</t>
  </si>
  <si>
    <t>Non Standard</t>
  </si>
  <si>
    <t>Incentive Reference #5201</t>
  </si>
  <si>
    <t>#5201</t>
  </si>
  <si>
    <t>NS</t>
  </si>
  <si>
    <t>Agreement Section for Legal</t>
  </si>
  <si>
    <t>Non Standard - Please add clause</t>
  </si>
  <si>
    <t>Non Standard - 1st Instance</t>
  </si>
  <si>
    <t>Non Standard - 2nd Instance</t>
  </si>
  <si>
    <t>Non Standard - 3rd Instance</t>
  </si>
  <si>
    <t>Non Standard - 4th Instance</t>
  </si>
  <si>
    <t>Non Standard - 5th Instance</t>
  </si>
  <si>
    <t>#5203</t>
  </si>
  <si>
    <t>#5202</t>
  </si>
  <si>
    <t>#5204</t>
  </si>
  <si>
    <t>#5205</t>
  </si>
  <si>
    <t>Incentive Reference #5202</t>
  </si>
  <si>
    <t>Incentive Reference #5203</t>
  </si>
  <si>
    <t>Incentive Reference #5204</t>
  </si>
  <si>
    <t>Incentive Reference #5205</t>
  </si>
  <si>
    <t>Customer 11</t>
  </si>
  <si>
    <t>Customer 12</t>
  </si>
  <si>
    <t>Customer 13</t>
  </si>
  <si>
    <t>Customer 14</t>
  </si>
  <si>
    <t>Customer 15</t>
  </si>
  <si>
    <t>Customer 16</t>
  </si>
  <si>
    <t>Customer 17</t>
  </si>
  <si>
    <t>Customer 18</t>
  </si>
  <si>
    <t>Customer 19</t>
  </si>
  <si>
    <t>Customer 20</t>
  </si>
  <si>
    <t>Current number of customers present in Customer inputs</t>
  </si>
  <si>
    <t>New Customer Location Amendment - 10th Instance</t>
  </si>
  <si>
    <t>New Customer Location Amendment - 11th Instance</t>
  </si>
  <si>
    <t>New Customer Location Amendment - 12th Instance</t>
  </si>
  <si>
    <t>New Customer Location Amendment - 13th Instance</t>
  </si>
  <si>
    <t>New Customer Location Amendment - 14th Instance</t>
  </si>
  <si>
    <t>New Customer Location Amendment - 15th Instance</t>
  </si>
  <si>
    <t>New Customer Location Amendment - 16th Instance</t>
  </si>
  <si>
    <t>New Customer Location Amendment - 17th Instance</t>
  </si>
  <si>
    <t>New Customer Location Amendment - 18th Instance</t>
  </si>
  <si>
    <t>New Customer Location Amendment - 19th Instance</t>
  </si>
  <si>
    <t>Incentive Reference #5310</t>
  </si>
  <si>
    <t>Incentive Reference #5311</t>
  </si>
  <si>
    <t>Incentive Reference #5312</t>
  </si>
  <si>
    <t>Incentive Reference #5313</t>
  </si>
  <si>
    <t>Incentive Reference #5314</t>
  </si>
  <si>
    <t>Incentive Reference #5315</t>
  </si>
  <si>
    <t>Incentive Reference #5316</t>
  </si>
  <si>
    <t>Incentive Reference #5317</t>
  </si>
  <si>
    <t>Incentive Reference #5318</t>
  </si>
  <si>
    <t>Incentive Reference #5319</t>
  </si>
  <si>
    <t>NewAmd10</t>
  </si>
  <si>
    <t>#5310</t>
  </si>
  <si>
    <t>NewAmd11</t>
  </si>
  <si>
    <t>NewAmd12</t>
  </si>
  <si>
    <t>NewAmd13</t>
  </si>
  <si>
    <t>NewAmd14</t>
  </si>
  <si>
    <t>NewAmd15</t>
  </si>
  <si>
    <t>NewAmd16</t>
  </si>
  <si>
    <t>NewAmd17</t>
  </si>
  <si>
    <t>NewAmd18</t>
  </si>
  <si>
    <t>NewAmd19</t>
  </si>
  <si>
    <t>#5312</t>
  </si>
  <si>
    <t>#5311</t>
  </si>
  <si>
    <t>#5313</t>
  </si>
  <si>
    <t>#5314</t>
  </si>
  <si>
    <t>#5315</t>
  </si>
  <si>
    <t>#5316</t>
  </si>
  <si>
    <t>#5317</t>
  </si>
  <si>
    <t>#5318</t>
  </si>
  <si>
    <t>#5319</t>
  </si>
  <si>
    <t>Customer 11:</t>
  </si>
  <si>
    <t>Customer 12:</t>
  </si>
  <si>
    <t>Customer 13:</t>
  </si>
  <si>
    <t>Customer 14:</t>
  </si>
  <si>
    <t>Customer 15:</t>
  </si>
  <si>
    <t>Customer 16:</t>
  </si>
  <si>
    <t>Customer 17:</t>
  </si>
  <si>
    <t>Customer 18:</t>
  </si>
  <si>
    <t>Customer 19:</t>
  </si>
  <si>
    <t>Customer 20:</t>
  </si>
  <si>
    <t xml:space="preserve">Customer 16: </t>
  </si>
  <si>
    <t xml:space="preserve">Customer 17: </t>
  </si>
  <si>
    <t>NS1</t>
  </si>
  <si>
    <t>NS2</t>
  </si>
  <si>
    <t>NS3</t>
  </si>
  <si>
    <t>NS4</t>
  </si>
  <si>
    <t>NS5</t>
  </si>
  <si>
    <t>Agreement Effective date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</si>
</sst>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8">
    <numFmt numFmtId="43" formatCode="_ * #,##0.00_ ;_ * \-#,##0.00_ ;_ * &quot;-&quot;??_ ;_ @_ "/>
    <numFmt numFmtId="164" formatCode="&quot;$&quot;#,##0.00_);[Red]\(&quot;$&quot;#,##0.00\)"/>
    <numFmt numFmtId="165" formatCode="_(&quot;$&quot;* #,##0.00_);_(&quot;$&quot;* \(#,##0.00\);_(&quot;$&quot;* &quot;-&quot;??_);_(@_)"/>
    <numFmt numFmtId="166" formatCode="_(* #,##0.00_);_(* \(#,##0.00\);_(* &quot;-&quot;??_);_(@_)"/>
    <numFmt numFmtId="167" formatCode="0.0%"/>
    <numFmt numFmtId="168" formatCode="_(* #,##0_);_(* \(#,##0\);_(* &quot;-&quot;??_);_(@_)"/>
    <numFmt numFmtId="169" formatCode="_(&quot;$&quot;* #,##0_);_(&quot;$&quot;* \(#,##0\);_(&quot;$&quot;* &quot;-&quot;??_);_(@_)"/>
    <numFmt numFmtId="170" formatCode="&quot;$&quot;#,##0"/>
    <numFmt numFmtId="171" formatCode="0.0"/>
    <numFmt numFmtId="172" formatCode="&quot;$&quot;#,##0.00"/>
    <numFmt numFmtId="173" formatCode="_(* #,##0.000_);_(* \(#,##0.000\);_(* &quot;-&quot;??_);_(@_)"/>
    <numFmt numFmtId="174" formatCode="0.0000"/>
    <numFmt numFmtId="175" formatCode="_(* #,##0.0_);_(* \(#,##0.0\);_(* &quot;-&quot;??_);_(@_)"/>
    <numFmt numFmtId="176" formatCode="_(* #,##0.000000_);_(* \(#,##0.000000\);_(* &quot;-&quot;??_);_(@_)"/>
    <numFmt numFmtId="177" formatCode="_(* #,##0.0000_);_(* \(#,##0.0000\);_(* &quot;-&quot;??_);_(@_)"/>
    <numFmt numFmtId="178" formatCode="0.000%"/>
    <numFmt numFmtId="179" formatCode="m/d/yyyy;@"/>
    <numFmt numFmtId="180" formatCode="mm\/dd\/yyyy"/>
  </numFmts>
  <fonts count="99"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b/>
      <sz val="12"/>
      <color theme="8" tint="0.79998168889431442"/>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rgb="FF000000"/>
      <name val="Calibri"/>
      <family val="2"/>
      <scheme val="minor"/>
    </font>
    <font>
      <sz val="8"/>
      <name val="Calibri"/>
      <family val="2"/>
      <scheme val="minor"/>
    </font>
    <font>
      <sz val="11"/>
      <color theme="1"/>
      <name val="Calibri"/>
      <family val="2"/>
    </font>
    <font>
      <b/>
      <sz val="11"/>
      <color rgb="FFFFFFFF"/>
      <name val="Calibri"/>
      <family val="2"/>
    </font>
    <font>
      <b/>
      <sz val="11"/>
      <name val="Calibri"/>
      <family val="2"/>
    </font>
    <font>
      <b/>
      <sz val="11"/>
      <color rgb="FFF2F2F2"/>
      <name val="Calibri"/>
      <family val="2"/>
    </font>
    <font>
      <sz val="11"/>
      <color rgb="FFFFFFFF"/>
      <name val="Calibri"/>
      <family val="2"/>
    </font>
    <font>
      <sz val="11"/>
      <name val="Calibri"/>
      <family val="2"/>
    </font>
    <font>
      <sz val="14"/>
      <color theme="8" tint="0.79998168889431442"/>
      <name val="Calibri"/>
      <family val="2"/>
      <scheme val="minor"/>
    </font>
    <font>
      <b/>
      <sz val="11"/>
      <color rgb="FF000000"/>
      <name val="Calibri"/>
      <family val="2"/>
      <scheme val="minor"/>
    </font>
    <font>
      <b/>
      <sz val="9"/>
      <color theme="1"/>
      <name val="Calibri"/>
      <family val="2"/>
      <scheme val="minor"/>
    </font>
    <font>
      <b/>
      <sz val="11"/>
      <color theme="4" tint="0.79998168889431442"/>
      <name val="Calibri"/>
      <family val="2"/>
      <scheme val="minor"/>
    </font>
    <font>
      <b/>
      <sz val="11"/>
      <color rgb="FFF2F2F2"/>
      <name val="Calibri"/>
      <family val="2"/>
      <scheme val="minor"/>
    </font>
  </fonts>
  <fills count="52">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theme="5" tint="0.39997558519241921"/>
        <bgColor indexed="64"/>
      </patternFill>
    </fill>
    <fill>
      <patternFill patternType="solid">
        <fgColor theme="4"/>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
      <patternFill patternType="solid">
        <fgColor theme="2" tint="-0.249977111117893"/>
        <bgColor indexed="64"/>
      </patternFill>
    </fill>
    <fill>
      <patternFill patternType="solid">
        <fgColor rgb="FFD9D9D9"/>
        <bgColor rgb="FF000000"/>
      </patternFill>
    </fill>
    <fill>
      <patternFill patternType="solid">
        <fgColor rgb="FF5C8727"/>
        <bgColor rgb="FF000000"/>
      </patternFill>
    </fill>
    <fill>
      <patternFill patternType="solid">
        <fgColor rgb="FFCF4520"/>
        <bgColor rgb="FF000000"/>
      </patternFill>
    </fill>
    <fill>
      <patternFill patternType="solid">
        <fgColor rgb="FF717073"/>
        <bgColor rgb="FF000000"/>
      </patternFill>
    </fill>
    <fill>
      <patternFill patternType="solid">
        <fgColor rgb="FFFFFF00"/>
        <bgColor rgb="FF000000"/>
      </patternFill>
    </fill>
    <fill>
      <patternFill patternType="solid">
        <fgColor rgb="FFD9E1F2"/>
        <bgColor indexed="64"/>
      </patternFill>
    </fill>
    <fill>
      <patternFill patternType="solid">
        <fgColor theme="7" tint="0.79998168889431442"/>
        <bgColor indexed="64"/>
      </patternFill>
    </fill>
    <fill>
      <patternFill patternType="solid">
        <fgColor rgb="FFDDEBF7"/>
        <bgColor rgb="FF000000"/>
      </patternFill>
    </fill>
    <fill>
      <patternFill patternType="solid">
        <fgColor indexed="9"/>
        <bgColor rgb="FF000000"/>
      </patternFill>
    </fill>
  </fills>
  <borders count="93">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s>
  <cellStyleXfs count="11">
    <xf numFmtId="0" fontId="0" fillId="0" borderId="0"/>
    <xf numFmtId="166" fontId="2" fillId="0" borderId="0" applyFont="0" applyFill="0" applyBorder="0" applyAlignment="0" applyProtection="0"/>
    <xf numFmtId="9" fontId="2" fillId="0" borderId="0" applyFont="0" applyFill="0" applyBorder="0" applyAlignment="0" applyProtection="0"/>
    <xf numFmtId="165"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cellStyleXfs>
  <cellXfs count="2158">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9" fontId="3" fillId="0" borderId="9" xfId="0" applyNumberFormat="1" applyFont="1" applyBorder="1" applyAlignment="1">
      <alignment vertical="center"/>
    </xf>
    <xf numFmtId="169"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166" fontId="0" fillId="0" borderId="0" xfId="1" applyFont="1"/>
    <xf numFmtId="165" fontId="0" fillId="0" borderId="0" xfId="3" applyFont="1"/>
    <xf numFmtId="0" fontId="0" fillId="0" borderId="0" xfId="0" applyAlignment="1">
      <alignment horizontal="center" wrapText="1"/>
    </xf>
    <xf numFmtId="10" fontId="0" fillId="0" borderId="0" xfId="2" applyNumberFormat="1" applyFont="1"/>
    <xf numFmtId="169" fontId="0" fillId="0" borderId="0" xfId="0" applyNumberFormat="1"/>
    <xf numFmtId="167" fontId="0" fillId="0" borderId="0" xfId="2" applyNumberFormat="1" applyFont="1"/>
    <xf numFmtId="165" fontId="0" fillId="0" borderId="0" xfId="0" applyNumberFormat="1"/>
    <xf numFmtId="168"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9" fontId="3" fillId="10" borderId="20" xfId="0" applyNumberFormat="1" applyFont="1" applyFill="1" applyBorder="1" applyAlignment="1">
      <alignment vertical="center"/>
    </xf>
    <xf numFmtId="169" fontId="3" fillId="10" borderId="20" xfId="3" applyNumberFormat="1" applyFont="1" applyFill="1" applyBorder="1" applyAlignment="1">
      <alignment vertical="center"/>
    </xf>
    <xf numFmtId="169"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7"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7" fontId="0" fillId="0" borderId="9" xfId="2" applyNumberFormat="1" applyFont="1" applyBorder="1"/>
    <xf numFmtId="0" fontId="0" fillId="0" borderId="6" xfId="0" applyBorder="1"/>
    <xf numFmtId="0" fontId="0" fillId="3" borderId="9" xfId="0" applyFill="1" applyBorder="1"/>
    <xf numFmtId="165" fontId="0" fillId="0" borderId="0" xfId="0" applyNumberFormat="1" applyAlignment="1">
      <alignment horizontal="center"/>
    </xf>
    <xf numFmtId="0" fontId="3" fillId="0" borderId="0" xfId="0" applyFont="1" applyAlignment="1">
      <alignment horizontal="center" vertical="center"/>
    </xf>
    <xf numFmtId="167" fontId="0" fillId="0" borderId="0" xfId="0" applyNumberFormat="1"/>
    <xf numFmtId="0" fontId="0" fillId="3" borderId="9" xfId="0" applyFill="1" applyBorder="1" applyAlignment="1">
      <alignment horizontal="left" indent="1"/>
    </xf>
    <xf numFmtId="173"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4" fontId="38" fillId="0" borderId="0" xfId="5" applyNumberFormat="1" applyFont="1"/>
    <xf numFmtId="0" fontId="42" fillId="0" borderId="0" xfId="0" applyFont="1"/>
    <xf numFmtId="165"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1" fillId="0" borderId="0" xfId="0" applyFont="1" applyAlignment="1">
      <alignment horizontal="justify" vertical="center"/>
    </xf>
    <xf numFmtId="0" fontId="53"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166"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165" fontId="42" fillId="0" borderId="5" xfId="3" applyFont="1" applyBorder="1"/>
    <xf numFmtId="166" fontId="42" fillId="0" borderId="6" xfId="1" applyFont="1" applyBorder="1"/>
    <xf numFmtId="165" fontId="42" fillId="0" borderId="7" xfId="3" applyFont="1" applyBorder="1"/>
    <xf numFmtId="165" fontId="42" fillId="0" borderId="3" xfId="3" applyFont="1" applyBorder="1"/>
    <xf numFmtId="165" fontId="42" fillId="0" borderId="26" xfId="3" applyFont="1" applyBorder="1"/>
    <xf numFmtId="165" fontId="42" fillId="0" borderId="4" xfId="3" applyFont="1" applyBorder="1"/>
    <xf numFmtId="166" fontId="42" fillId="0" borderId="10" xfId="1" applyFont="1" applyBorder="1"/>
    <xf numFmtId="165"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9" fontId="42" fillId="0" borderId="24" xfId="3" applyNumberFormat="1" applyFont="1" applyBorder="1"/>
    <xf numFmtId="168" fontId="42" fillId="0" borderId="45" xfId="1" applyNumberFormat="1" applyFont="1" applyBorder="1"/>
    <xf numFmtId="168" fontId="42" fillId="0" borderId="25" xfId="1" applyNumberFormat="1" applyFont="1" applyBorder="1"/>
    <xf numFmtId="168" fontId="42" fillId="0" borderId="0" xfId="1" applyNumberFormat="1" applyFont="1"/>
    <xf numFmtId="0" fontId="42" fillId="0" borderId="49" xfId="0" applyFont="1" applyBorder="1" applyAlignment="1">
      <alignment horizontal="center"/>
    </xf>
    <xf numFmtId="165" fontId="42" fillId="0" borderId="44" xfId="3" applyFont="1" applyBorder="1"/>
    <xf numFmtId="166" fontId="42" fillId="0" borderId="8" xfId="1" applyFont="1" applyBorder="1"/>
    <xf numFmtId="0" fontId="42" fillId="0" borderId="24" xfId="0" applyFont="1" applyBorder="1" applyAlignment="1">
      <alignment horizontal="center"/>
    </xf>
    <xf numFmtId="165" fontId="42" fillId="0" borderId="21" xfId="3" applyFont="1" applyBorder="1"/>
    <xf numFmtId="165" fontId="42" fillId="0" borderId="41" xfId="3" applyFont="1" applyBorder="1"/>
    <xf numFmtId="165" fontId="42" fillId="0" borderId="39" xfId="3" applyFont="1" applyBorder="1"/>
    <xf numFmtId="167" fontId="42" fillId="0" borderId="31" xfId="2" applyNumberFormat="1" applyFont="1" applyBorder="1"/>
    <xf numFmtId="167" fontId="42" fillId="0" borderId="32" xfId="2" applyNumberFormat="1" applyFont="1" applyBorder="1"/>
    <xf numFmtId="167"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1"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7" fontId="3" fillId="0" borderId="9" xfId="2" applyNumberFormat="1" applyFont="1" applyBorder="1" applyAlignment="1">
      <alignment horizontal="right" vertical="center"/>
    </xf>
    <xf numFmtId="167" fontId="3" fillId="10" borderId="0" xfId="2" applyNumberFormat="1" applyFont="1" applyFill="1" applyAlignment="1">
      <alignment horizontal="right" vertical="center"/>
    </xf>
    <xf numFmtId="169" fontId="3" fillId="10" borderId="0" xfId="0" applyNumberFormat="1" applyFont="1" applyFill="1" applyAlignment="1">
      <alignment vertical="center"/>
    </xf>
    <xf numFmtId="0" fontId="8" fillId="11" borderId="23" xfId="0" applyFont="1" applyFill="1" applyBorder="1" applyAlignment="1">
      <alignment horizontal="center" vertical="center"/>
    </xf>
    <xf numFmtId="169" fontId="35" fillId="10" borderId="0" xfId="0" applyNumberFormat="1" applyFont="1" applyFill="1" applyAlignment="1">
      <alignment vertical="center"/>
    </xf>
    <xf numFmtId="165" fontId="42" fillId="0" borderId="0" xfId="3" applyFont="1"/>
    <xf numFmtId="9" fontId="42" fillId="0" borderId="0" xfId="2" applyFont="1"/>
    <xf numFmtId="165" fontId="3" fillId="0" borderId="9" xfId="3" applyFont="1" applyBorder="1" applyAlignment="1">
      <alignment horizontal="center" vertical="center"/>
    </xf>
    <xf numFmtId="165" fontId="3" fillId="10" borderId="0" xfId="3" applyFont="1" applyFill="1" applyAlignment="1">
      <alignment horizontal="center" vertical="center"/>
    </xf>
    <xf numFmtId="165" fontId="24" fillId="10" borderId="18" xfId="3" applyFont="1" applyFill="1" applyBorder="1" applyAlignment="1">
      <alignment horizontal="center" vertical="top" wrapText="1"/>
    </xf>
    <xf numFmtId="167"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70" fontId="4" fillId="0" borderId="26" xfId="3" applyNumberFormat="1" applyFont="1" applyBorder="1" applyAlignment="1">
      <alignment horizontal="center"/>
    </xf>
    <xf numFmtId="171"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8" fontId="4" fillId="3" borderId="0" xfId="1" applyNumberFormat="1" applyFont="1" applyFill="1"/>
    <xf numFmtId="167"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9" fontId="3" fillId="2" borderId="24" xfId="0" applyNumberFormat="1" applyFont="1" applyFill="1" applyBorder="1"/>
    <xf numFmtId="168" fontId="3" fillId="2" borderId="45" xfId="1" applyNumberFormat="1" applyFont="1" applyFill="1" applyBorder="1"/>
    <xf numFmtId="168" fontId="3" fillId="2" borderId="25" xfId="1" applyNumberFormat="1" applyFont="1" applyFill="1" applyBorder="1"/>
    <xf numFmtId="166"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72"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9"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7"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9" fontId="0" fillId="10" borderId="22" xfId="3" applyNumberFormat="1" applyFont="1" applyFill="1" applyBorder="1" applyAlignment="1">
      <alignment vertical="center"/>
    </xf>
    <xf numFmtId="169"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7" fontId="0" fillId="3" borderId="0" xfId="2" applyNumberFormat="1" applyFont="1" applyFill="1" applyAlignment="1">
      <alignment horizontal="center" vertical="center"/>
    </xf>
    <xf numFmtId="0" fontId="25" fillId="3" borderId="0" xfId="0" applyFont="1" applyFill="1" applyAlignment="1">
      <alignment horizontal="center" vertical="center"/>
    </xf>
    <xf numFmtId="167" fontId="0" fillId="3" borderId="0" xfId="2" applyNumberFormat="1" applyFont="1" applyFill="1" applyAlignment="1">
      <alignment horizontal="center" vertical="center" wrapText="1"/>
    </xf>
    <xf numFmtId="169" fontId="0" fillId="3" borderId="0" xfId="3" applyNumberFormat="1" applyFont="1" applyFill="1" applyAlignment="1">
      <alignment vertical="center"/>
    </xf>
    <xf numFmtId="169"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7" fontId="0" fillId="10" borderId="18" xfId="2" applyNumberFormat="1" applyFont="1" applyFill="1" applyBorder="1" applyAlignment="1">
      <alignment horizontal="center" vertical="center"/>
    </xf>
    <xf numFmtId="167" fontId="0" fillId="10" borderId="18" xfId="2" applyNumberFormat="1" applyFont="1" applyFill="1" applyBorder="1" applyAlignment="1">
      <alignment horizontal="center" vertical="center" wrapText="1"/>
    </xf>
    <xf numFmtId="169" fontId="0" fillId="10" borderId="18" xfId="3" applyNumberFormat="1" applyFont="1" applyFill="1" applyBorder="1" applyAlignment="1">
      <alignment vertical="center"/>
    </xf>
    <xf numFmtId="169" fontId="0" fillId="10" borderId="18" xfId="3" applyNumberFormat="1" applyFont="1" applyFill="1" applyBorder="1" applyAlignment="1">
      <alignment horizontal="center" vertical="center"/>
    </xf>
    <xf numFmtId="169"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71"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71" fontId="0" fillId="10" borderId="18" xfId="1" applyNumberFormat="1" applyFont="1" applyFill="1" applyBorder="1" applyAlignment="1">
      <alignment horizontal="center" vertical="center"/>
    </xf>
    <xf numFmtId="0" fontId="0" fillId="10" borderId="18" xfId="0"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7"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70"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70"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70"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70"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0" fontId="12" fillId="0" borderId="29" xfId="0" applyFont="1" applyBorder="1"/>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18" xfId="0" applyBorder="1" applyAlignment="1">
      <alignment horizontal="center"/>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0" fillId="0" borderId="50" xfId="0" applyBorder="1"/>
    <xf numFmtId="0" fontId="0" fillId="0" borderId="14" xfId="0" applyBorder="1" applyAlignment="1">
      <alignment horizontal="right"/>
    </xf>
    <xf numFmtId="166" fontId="0" fillId="0" borderId="0" xfId="0" applyNumberFormat="1"/>
    <xf numFmtId="0" fontId="0" fillId="0" borderId="13" xfId="0" applyBorder="1"/>
    <xf numFmtId="0" fontId="0" fillId="0" borderId="28" xfId="0"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57"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70" fontId="4" fillId="0" borderId="26" xfId="0" applyNumberFormat="1" applyFont="1" applyBorder="1" applyAlignment="1">
      <alignment horizontal="center"/>
    </xf>
    <xf numFmtId="167"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57"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7" fontId="42" fillId="0" borderId="0" xfId="2" applyNumberFormat="1" applyFont="1"/>
    <xf numFmtId="0" fontId="42" fillId="0" borderId="51" xfId="0" applyFont="1" applyBorder="1" applyAlignment="1">
      <alignment horizontal="center"/>
    </xf>
    <xf numFmtId="165" fontId="42" fillId="0" borderId="34" xfId="3" applyFont="1" applyBorder="1"/>
    <xf numFmtId="168"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9" fontId="4" fillId="4" borderId="46" xfId="3" applyNumberFormat="1" applyFont="1" applyFill="1" applyBorder="1" applyAlignment="1">
      <alignment horizontal="center"/>
    </xf>
    <xf numFmtId="169" fontId="3" fillId="2" borderId="25" xfId="3" applyNumberFormat="1" applyFont="1" applyFill="1" applyBorder="1"/>
    <xf numFmtId="171" fontId="4" fillId="3" borderId="7" xfId="1" applyNumberFormat="1" applyFont="1" applyFill="1" applyBorder="1" applyAlignment="1">
      <alignment horizontal="center"/>
    </xf>
    <xf numFmtId="167" fontId="4" fillId="0" borderId="27" xfId="2" applyNumberFormat="1" applyFont="1" applyBorder="1" applyAlignment="1">
      <alignment horizontal="center"/>
    </xf>
    <xf numFmtId="170" fontId="4" fillId="3" borderId="0" xfId="0" applyNumberFormat="1" applyFont="1" applyFill="1"/>
    <xf numFmtId="171"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0" fontId="0" fillId="0" borderId="66" xfId="0" applyBorder="1"/>
    <xf numFmtId="0" fontId="3" fillId="7" borderId="36" xfId="0" applyFont="1" applyFill="1" applyBorder="1"/>
    <xf numFmtId="169" fontId="0" fillId="7" borderId="53" xfId="3" applyNumberFormat="1" applyFont="1" applyFill="1" applyBorder="1"/>
    <xf numFmtId="167" fontId="42" fillId="0" borderId="23" xfId="2" applyNumberFormat="1" applyFont="1" applyBorder="1"/>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165" fontId="42" fillId="7" borderId="44" xfId="3" applyFont="1" applyFill="1" applyBorder="1"/>
    <xf numFmtId="165" fontId="42" fillId="7" borderId="8" xfId="3" applyFont="1" applyFill="1" applyBorder="1"/>
    <xf numFmtId="167" fontId="42" fillId="7" borderId="8" xfId="2" applyNumberFormat="1" applyFont="1" applyFill="1" applyBorder="1"/>
    <xf numFmtId="167" fontId="42" fillId="7" borderId="12" xfId="2" applyNumberFormat="1" applyFont="1" applyFill="1" applyBorder="1"/>
    <xf numFmtId="167" fontId="42" fillId="7" borderId="9" xfId="2" applyNumberFormat="1" applyFont="1" applyFill="1" applyBorder="1"/>
    <xf numFmtId="167" fontId="42" fillId="7" borderId="26" xfId="2" applyNumberFormat="1" applyFont="1" applyFill="1" applyBorder="1"/>
    <xf numFmtId="167" fontId="42" fillId="7" borderId="10" xfId="2" applyNumberFormat="1" applyFont="1" applyFill="1" applyBorder="1"/>
    <xf numFmtId="167" fontId="42" fillId="7" borderId="27" xfId="2" applyNumberFormat="1" applyFont="1" applyFill="1" applyBorder="1"/>
    <xf numFmtId="168" fontId="42" fillId="7" borderId="24" xfId="1" applyNumberFormat="1" applyFont="1" applyFill="1" applyBorder="1"/>
    <xf numFmtId="165" fontId="42" fillId="7" borderId="45" xfId="3" applyFont="1" applyFill="1" applyBorder="1"/>
    <xf numFmtId="167" fontId="42" fillId="7" borderId="45" xfId="2" applyNumberFormat="1" applyFont="1" applyFill="1" applyBorder="1"/>
    <xf numFmtId="167" fontId="42" fillId="7" borderId="25" xfId="2" applyNumberFormat="1" applyFont="1" applyFill="1" applyBorder="1"/>
    <xf numFmtId="166" fontId="42" fillId="7" borderId="8" xfId="1" applyFont="1" applyFill="1" applyBorder="1"/>
    <xf numFmtId="165" fontId="42" fillId="7" borderId="21" xfId="3" applyFont="1" applyFill="1" applyBorder="1"/>
    <xf numFmtId="0" fontId="3" fillId="7" borderId="0" xfId="0" applyFont="1" applyFill="1"/>
    <xf numFmtId="176" fontId="0" fillId="0" borderId="0" xfId="0" applyNumberFormat="1"/>
    <xf numFmtId="166" fontId="0" fillId="7" borderId="0" xfId="0" applyNumberFormat="1" applyFill="1"/>
    <xf numFmtId="166" fontId="0" fillId="7" borderId="0" xfId="1" applyFont="1" applyFill="1"/>
    <xf numFmtId="169"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165" fontId="6" fillId="3" borderId="48" xfId="3" applyFont="1" applyFill="1" applyBorder="1" applyAlignment="1">
      <alignment horizontal="right" vertical="center"/>
    </xf>
    <xf numFmtId="169"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1" fillId="11" borderId="54" xfId="0" applyFont="1" applyFill="1" applyBorder="1" applyAlignment="1">
      <alignment horizontal="center" vertical="center"/>
    </xf>
    <xf numFmtId="0" fontId="61" fillId="11" borderId="47" xfId="0" applyFont="1" applyFill="1" applyBorder="1" applyAlignment="1">
      <alignment horizontal="center" vertical="center"/>
    </xf>
    <xf numFmtId="0" fontId="61" fillId="11" borderId="48" xfId="0" applyFont="1" applyFill="1" applyBorder="1" applyAlignment="1">
      <alignment horizontal="center" vertical="center"/>
    </xf>
    <xf numFmtId="0" fontId="9" fillId="27"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8"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7" fontId="0" fillId="0" borderId="6" xfId="2" applyNumberFormat="1" applyFont="1" applyBorder="1" applyAlignment="1">
      <alignment horizontal="center"/>
    </xf>
    <xf numFmtId="167" fontId="0" fillId="0" borderId="7" xfId="2" applyNumberFormat="1" applyFont="1" applyBorder="1" applyAlignment="1">
      <alignment horizontal="center"/>
    </xf>
    <xf numFmtId="167" fontId="0" fillId="0" borderId="9" xfId="2" applyNumberFormat="1" applyFont="1" applyBorder="1" applyAlignment="1">
      <alignment horizontal="center"/>
    </xf>
    <xf numFmtId="167" fontId="0" fillId="0" borderId="26" xfId="2" applyNumberFormat="1" applyFont="1" applyBorder="1" applyAlignment="1">
      <alignment horizontal="center"/>
    </xf>
    <xf numFmtId="167" fontId="0" fillId="0" borderId="10" xfId="2" applyNumberFormat="1" applyFont="1" applyBorder="1" applyAlignment="1">
      <alignment horizontal="center"/>
    </xf>
    <xf numFmtId="167"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9" fontId="0" fillId="0" borderId="31" xfId="3" applyNumberFormat="1" applyFont="1" applyBorder="1"/>
    <xf numFmtId="169" fontId="0" fillId="0" borderId="32" xfId="3" applyNumberFormat="1" applyFont="1" applyBorder="1"/>
    <xf numFmtId="0" fontId="0" fillId="0" borderId="33" xfId="0" applyBorder="1"/>
    <xf numFmtId="169" fontId="0" fillId="0" borderId="33" xfId="3" applyNumberFormat="1" applyFont="1" applyBorder="1"/>
    <xf numFmtId="9" fontId="0" fillId="0" borderId="0" xfId="2" applyFont="1" applyAlignment="1">
      <alignment horizontal="center"/>
    </xf>
    <xf numFmtId="169"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9" fontId="21" fillId="10" borderId="0" xfId="2" applyFont="1" applyFill="1" applyAlignment="1">
      <alignment vertical="center"/>
    </xf>
    <xf numFmtId="0" fontId="0" fillId="3" borderId="11" xfId="0" applyFill="1" applyBorder="1" applyAlignment="1">
      <alignment vertical="center"/>
    </xf>
    <xf numFmtId="1" fontId="4" fillId="3" borderId="0" xfId="3" applyNumberFormat="1" applyFont="1" applyFill="1"/>
    <xf numFmtId="170" fontId="4" fillId="3" borderId="0" xfId="3" applyNumberFormat="1" applyFont="1" applyFill="1"/>
    <xf numFmtId="0" fontId="56" fillId="0" borderId="0" xfId="0" applyFont="1" applyAlignment="1">
      <alignment vertical="center"/>
    </xf>
    <xf numFmtId="0" fontId="45" fillId="3" borderId="0" xfId="0" applyFont="1" applyFill="1" applyAlignment="1">
      <alignment horizontal="center" vertical="center"/>
    </xf>
    <xf numFmtId="167" fontId="56"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6" fillId="3" borderId="0" xfId="0" applyFont="1" applyFill="1" applyAlignment="1">
      <alignment vertical="center"/>
    </xf>
    <xf numFmtId="0" fontId="3" fillId="2" borderId="9" xfId="0" applyFont="1" applyFill="1" applyBorder="1" applyAlignment="1">
      <alignment horizontal="right" vertical="center" wrapText="1"/>
    </xf>
    <xf numFmtId="169" fontId="0" fillId="3" borderId="9" xfId="3" applyNumberFormat="1" applyFont="1" applyFill="1" applyBorder="1" applyAlignment="1">
      <alignment horizontal="right" vertical="center"/>
    </xf>
    <xf numFmtId="165" fontId="0" fillId="3" borderId="9" xfId="3" applyFont="1" applyFill="1" applyBorder="1" applyAlignment="1">
      <alignment horizontal="right" vertical="center"/>
    </xf>
    <xf numFmtId="0" fontId="10" fillId="10" borderId="0" xfId="0" applyFont="1" applyFill="1" applyAlignment="1">
      <alignment vertical="center"/>
    </xf>
    <xf numFmtId="165"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9" fontId="3" fillId="4" borderId="9" xfId="3" applyNumberFormat="1" applyFont="1" applyFill="1" applyBorder="1" applyAlignment="1">
      <alignment vertical="center"/>
    </xf>
    <xf numFmtId="165"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9" fontId="3" fillId="3" borderId="9" xfId="3" applyNumberFormat="1" applyFont="1" applyFill="1" applyBorder="1" applyAlignment="1">
      <alignment horizontal="center" vertical="center"/>
    </xf>
    <xf numFmtId="165"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9" fontId="0" fillId="10" borderId="22" xfId="3" applyNumberFormat="1" applyFont="1" applyFill="1" applyBorder="1" applyAlignment="1">
      <alignment horizontal="right" vertical="center"/>
    </xf>
    <xf numFmtId="165"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71"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165" fontId="3" fillId="0" borderId="9" xfId="0" applyNumberFormat="1" applyFont="1" applyBorder="1" applyAlignment="1">
      <alignment vertical="center"/>
    </xf>
    <xf numFmtId="165"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9" fontId="0" fillId="10" borderId="0" xfId="0" applyNumberFormat="1" applyFill="1" applyAlignment="1">
      <alignment vertical="center"/>
    </xf>
    <xf numFmtId="0" fontId="28" fillId="10" borderId="20" xfId="0" applyFont="1" applyFill="1" applyBorder="1" applyAlignment="1">
      <alignment vertical="center" wrapText="1"/>
    </xf>
    <xf numFmtId="0" fontId="55" fillId="10" borderId="0" xfId="0" applyFont="1" applyFill="1" applyAlignment="1">
      <alignment horizontal="right" vertical="center"/>
    </xf>
    <xf numFmtId="167" fontId="3" fillId="0" borderId="9" xfId="2" applyNumberFormat="1" applyFont="1" applyBorder="1" applyAlignment="1">
      <alignment horizontal="center" vertical="center"/>
    </xf>
    <xf numFmtId="169" fontId="35" fillId="10" borderId="20" xfId="0" applyNumberFormat="1" applyFont="1" applyFill="1" applyBorder="1" applyAlignment="1">
      <alignment vertical="center"/>
    </xf>
    <xf numFmtId="0" fontId="0" fillId="10" borderId="20" xfId="0" applyFill="1" applyBorder="1" applyAlignment="1">
      <alignment horizontal="center" vertical="center"/>
    </xf>
    <xf numFmtId="165" fontId="0" fillId="10" borderId="0" xfId="0" applyNumberFormat="1" applyFill="1" applyAlignment="1">
      <alignment vertical="center"/>
    </xf>
    <xf numFmtId="165" fontId="3" fillId="0" borderId="9" xfId="3" applyFont="1" applyBorder="1" applyAlignment="1">
      <alignment vertical="center"/>
    </xf>
    <xf numFmtId="0" fontId="3" fillId="10" borderId="0" xfId="0" applyFont="1" applyFill="1" applyAlignment="1">
      <alignment vertical="center"/>
    </xf>
    <xf numFmtId="165" fontId="24" fillId="10" borderId="0" xfId="0" applyNumberFormat="1" applyFont="1" applyFill="1" applyAlignment="1">
      <alignment horizontal="center" vertical="top" wrapText="1"/>
    </xf>
    <xf numFmtId="167" fontId="35" fillId="10" borderId="0" xfId="2" applyNumberFormat="1" applyFont="1" applyFill="1" applyAlignment="1">
      <alignment horizontal="center" vertical="center"/>
    </xf>
    <xf numFmtId="167"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165"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2" fillId="3" borderId="0" xfId="0" applyFont="1" applyFill="1"/>
    <xf numFmtId="0" fontId="0" fillId="0" borderId="0" xfId="0" applyAlignment="1" applyProtection="1">
      <alignment horizontal="center" vertical="center"/>
      <protection locked="0"/>
    </xf>
    <xf numFmtId="168" fontId="4" fillId="0" borderId="0" xfId="1" applyNumberFormat="1" applyFont="1"/>
    <xf numFmtId="169" fontId="4" fillId="0" borderId="0" xfId="3" applyNumberFormat="1" applyFont="1"/>
    <xf numFmtId="165" fontId="4" fillId="0" borderId="0" xfId="3" applyFont="1"/>
    <xf numFmtId="166"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28" borderId="0" xfId="0" applyFont="1" applyFill="1" applyAlignment="1">
      <alignment horizontal="center" wrapText="1"/>
    </xf>
    <xf numFmtId="0" fontId="21" fillId="28"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166" fontId="4" fillId="0" borderId="0" xfId="1" applyFont="1"/>
    <xf numFmtId="0" fontId="5" fillId="8" borderId="9" xfId="0" applyFont="1" applyFill="1" applyBorder="1" applyAlignment="1">
      <alignment horizontal="right"/>
    </xf>
    <xf numFmtId="0" fontId="21" fillId="0" borderId="0" xfId="0" applyFont="1"/>
    <xf numFmtId="165" fontId="4" fillId="0" borderId="0" xfId="0" applyNumberFormat="1" applyFont="1"/>
    <xf numFmtId="169"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9" fontId="5" fillId="0" borderId="8" xfId="3" applyNumberFormat="1" applyFont="1" applyBorder="1"/>
    <xf numFmtId="0" fontId="5" fillId="0" borderId="8"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7" fontId="0" fillId="0" borderId="0" xfId="1" applyNumberFormat="1" applyFont="1"/>
    <xf numFmtId="177" fontId="0" fillId="0" borderId="0" xfId="0" applyNumberFormat="1"/>
    <xf numFmtId="169" fontId="4" fillId="3" borderId="0" xfId="0" applyNumberFormat="1" applyFont="1" applyFill="1"/>
    <xf numFmtId="169"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2" xfId="0" applyFill="1" applyBorder="1"/>
    <xf numFmtId="0" fontId="0" fillId="3" borderId="30" xfId="0" applyFill="1" applyBorder="1"/>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0" fontId="0" fillId="0" borderId="29" xfId="0" applyBorder="1" applyAlignment="1">
      <alignment wrapText="1"/>
    </xf>
    <xf numFmtId="169" fontId="4" fillId="4" borderId="55" xfId="3" applyNumberFormat="1" applyFont="1" applyFill="1" applyBorder="1" applyAlignment="1" applyProtection="1">
      <alignment horizontal="center"/>
      <protection hidden="1"/>
    </xf>
    <xf numFmtId="168" fontId="4" fillId="4" borderId="6" xfId="1" applyNumberFormat="1" applyFont="1" applyFill="1" applyBorder="1" applyAlignment="1" applyProtection="1">
      <alignment horizontal="center"/>
      <protection hidden="1"/>
    </xf>
    <xf numFmtId="168" fontId="4" fillId="4" borderId="7" xfId="1" applyNumberFormat="1" applyFont="1" applyFill="1" applyBorder="1" applyAlignment="1" applyProtection="1">
      <alignment horizontal="center"/>
      <protection hidden="1"/>
    </xf>
    <xf numFmtId="169" fontId="4" fillId="4" borderId="44" xfId="3" applyNumberFormat="1" applyFont="1" applyFill="1" applyBorder="1" applyAlignment="1" applyProtection="1">
      <alignment horizontal="center"/>
      <protection hidden="1"/>
    </xf>
    <xf numFmtId="168" fontId="4" fillId="4" borderId="8" xfId="1" applyNumberFormat="1" applyFont="1" applyFill="1" applyBorder="1" applyAlignment="1" applyProtection="1">
      <alignment horizontal="center"/>
      <protection hidden="1"/>
    </xf>
    <xf numFmtId="168" fontId="4" fillId="4" borderId="12" xfId="1" applyNumberFormat="1" applyFont="1" applyFill="1" applyBorder="1" applyAlignment="1" applyProtection="1">
      <alignment horizontal="center"/>
      <protection hidden="1"/>
    </xf>
    <xf numFmtId="168"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72"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8" fontId="0" fillId="0" borderId="9" xfId="1" applyNumberFormat="1" applyFont="1" applyBorder="1"/>
    <xf numFmtId="0" fontId="60"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165"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166" fontId="0" fillId="3" borderId="29" xfId="1" applyFont="1" applyFill="1" applyBorder="1" applyAlignment="1">
      <alignment horizontal="right"/>
    </xf>
    <xf numFmtId="165" fontId="0" fillId="3" borderId="29" xfId="0" applyNumberFormat="1" applyFill="1" applyBorder="1" applyAlignment="1">
      <alignment horizontal="right"/>
    </xf>
    <xf numFmtId="0" fontId="0" fillId="3" borderId="15" xfId="0" applyFill="1" applyBorder="1" applyAlignment="1">
      <alignment wrapText="1"/>
    </xf>
    <xf numFmtId="169" fontId="5" fillId="0" borderId="9" xfId="3" applyNumberFormat="1" applyFont="1" applyBorder="1"/>
    <xf numFmtId="9" fontId="64" fillId="3" borderId="0" xfId="2" applyFont="1" applyFill="1" applyAlignment="1" applyProtection="1">
      <alignment horizontal="center" vertical="center"/>
      <protection hidden="1"/>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169"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6" fillId="10" borderId="0" xfId="0" applyFont="1" applyFill="1" applyAlignment="1">
      <alignment horizontal="center" vertical="center" wrapText="1"/>
    </xf>
    <xf numFmtId="0" fontId="0" fillId="0" borderId="54" xfId="0" applyBorder="1"/>
    <xf numFmtId="165" fontId="45" fillId="10" borderId="0" xfId="0" applyNumberFormat="1" applyFont="1" applyFill="1" applyAlignment="1">
      <alignment vertical="center"/>
    </xf>
    <xf numFmtId="0" fontId="56"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9" fontId="3" fillId="0" borderId="54" xfId="0" applyNumberFormat="1" applyFont="1" applyBorder="1" applyAlignment="1">
      <alignment vertical="center"/>
    </xf>
    <xf numFmtId="165" fontId="3" fillId="0" borderId="54" xfId="0" applyNumberFormat="1" applyFont="1" applyBorder="1" applyAlignment="1">
      <alignment vertical="center"/>
    </xf>
    <xf numFmtId="0" fontId="45" fillId="10" borderId="0" xfId="0" applyFont="1" applyFill="1" applyAlignment="1">
      <alignment horizontal="right" vertical="center"/>
    </xf>
    <xf numFmtId="169" fontId="45" fillId="10" borderId="0" xfId="0" applyNumberFormat="1" applyFont="1" applyFill="1" applyAlignment="1">
      <alignment vertical="center"/>
    </xf>
    <xf numFmtId="169" fontId="3" fillId="7" borderId="9" xfId="0" applyNumberFormat="1" applyFont="1" applyFill="1" applyBorder="1" applyAlignment="1" applyProtection="1">
      <alignment vertical="center"/>
      <protection locked="0"/>
    </xf>
    <xf numFmtId="165"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166" fontId="27" fillId="10" borderId="22" xfId="1" applyFont="1" applyFill="1" applyBorder="1" applyAlignment="1">
      <alignment horizontal="center" vertical="center" wrapText="1"/>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0" fillId="16" borderId="0" xfId="0" applyFill="1"/>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9"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8" xfId="0" applyFont="1" applyFill="1" applyBorder="1" applyAlignment="1">
      <alignment horizontal="center" wrapText="1"/>
    </xf>
    <xf numFmtId="2" fontId="0" fillId="7" borderId="9" xfId="0" applyNumberFormat="1" applyFill="1" applyBorder="1"/>
    <xf numFmtId="10" fontId="0" fillId="7" borderId="9" xfId="2" applyNumberFormat="1" applyFont="1"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0" fontId="26" fillId="0" borderId="0" xfId="0" applyFont="1" applyFill="1"/>
    <xf numFmtId="0" fontId="0" fillId="16" borderId="9" xfId="0" applyFill="1" applyBorder="1"/>
    <xf numFmtId="0" fontId="0" fillId="0" borderId="0" xfId="0"/>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8" fontId="3" fillId="7" borderId="32" xfId="2" applyNumberFormat="1" applyFont="1" applyFill="1" applyBorder="1" applyAlignment="1" applyProtection="1">
      <alignment horizontal="center" vertical="center"/>
      <protection locked="0" hidden="1"/>
    </xf>
    <xf numFmtId="178"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9"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165" fontId="3" fillId="0" borderId="9" xfId="0" applyNumberFormat="1" applyFont="1" applyBorder="1" applyAlignment="1">
      <alignment horizontal="center"/>
    </xf>
    <xf numFmtId="14" fontId="3" fillId="0" borderId="9" xfId="0" applyNumberFormat="1" applyFont="1" applyBorder="1" applyAlignment="1">
      <alignment horizontal="center"/>
    </xf>
    <xf numFmtId="0" fontId="69" fillId="10" borderId="0" xfId="0" applyFont="1" applyFill="1" applyAlignment="1">
      <alignment horizontal="center" vertical="center"/>
    </xf>
    <xf numFmtId="0" fontId="67"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0" borderId="0" xfId="0"/>
    <xf numFmtId="169"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23" borderId="9" xfId="0" applyFill="1" applyBorder="1"/>
    <xf numFmtId="0" fontId="42" fillId="10" borderId="22" xfId="0" applyFont="1" applyFill="1" applyBorder="1" applyAlignment="1">
      <alignment horizontal="center" vertical="center"/>
    </xf>
    <xf numFmtId="0" fontId="51"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72" fontId="34" fillId="29" borderId="22" xfId="6" applyNumberFormat="1" applyFont="1" applyFill="1" applyBorder="1" applyAlignment="1" applyProtection="1">
      <alignment horizontal="center"/>
      <protection locked="0"/>
    </xf>
    <xf numFmtId="0" fontId="34" fillId="29" borderId="22" xfId="6" applyFont="1" applyFill="1" applyBorder="1" applyAlignment="1" applyProtection="1">
      <alignment horizontal="center"/>
      <protection locked="0"/>
    </xf>
    <xf numFmtId="10" fontId="34" fillId="29" borderId="76" xfId="7" applyNumberFormat="1" applyFont="1" applyFill="1" applyBorder="1" applyAlignment="1" applyProtection="1">
      <alignment horizontal="center"/>
      <protection locked="0"/>
    </xf>
    <xf numFmtId="165"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8" fontId="70" fillId="10" borderId="0" xfId="1" applyNumberFormat="1" applyFont="1" applyFill="1" applyAlignment="1">
      <alignment vertical="center"/>
    </xf>
    <xf numFmtId="169" fontId="0" fillId="10" borderId="0" xfId="3" applyNumberFormat="1" applyFont="1" applyFill="1" applyBorder="1" applyAlignment="1">
      <alignment horizontal="center" vertical="center"/>
    </xf>
    <xf numFmtId="0" fontId="0" fillId="0" borderId="0" xfId="0"/>
    <xf numFmtId="0" fontId="71" fillId="0" borderId="0" xfId="0" applyFont="1"/>
    <xf numFmtId="0" fontId="72"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0" borderId="9" xfId="0" applyFont="1" applyFill="1" applyBorder="1" applyAlignment="1" applyProtection="1">
      <alignment horizontal="center"/>
    </xf>
    <xf numFmtId="0" fontId="21" fillId="31" borderId="9" xfId="0" applyFont="1" applyFill="1" applyBorder="1" applyAlignment="1" applyProtection="1">
      <alignment horizontal="center"/>
      <protection locked="0"/>
    </xf>
    <xf numFmtId="0" fontId="0" fillId="0" borderId="0" xfId="0"/>
    <xf numFmtId="0" fontId="0" fillId="0" borderId="0" xfId="0"/>
    <xf numFmtId="165"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0" fillId="0" borderId="0" xfId="0"/>
    <xf numFmtId="0" fontId="3" fillId="2" borderId="10" xfId="0" applyFont="1" applyFill="1" applyBorder="1" applyAlignment="1">
      <alignment horizontal="center" wrapText="1"/>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0" fontId="30" fillId="20" borderId="79" xfId="0" applyFont="1" applyFill="1" applyBorder="1" applyAlignment="1">
      <alignment horizontal="center" wrapText="1"/>
    </xf>
    <xf numFmtId="0" fontId="0" fillId="3" borderId="0" xfId="0" applyFont="1" applyFill="1"/>
    <xf numFmtId="0" fontId="30" fillId="20" borderId="25" xfId="0" applyFont="1" applyFill="1" applyBorder="1" applyAlignment="1">
      <alignment horizontal="center" wrapText="1"/>
    </xf>
    <xf numFmtId="0" fontId="0" fillId="0" borderId="0" xfId="0"/>
    <xf numFmtId="0" fontId="1" fillId="0" borderId="10" xfId="0" applyFont="1" applyBorder="1" applyAlignment="1" applyProtection="1">
      <alignment horizontal="center" vertical="center"/>
      <protection locked="0"/>
    </xf>
    <xf numFmtId="172" fontId="1" fillId="0" borderId="10" xfId="0" applyNumberFormat="1" applyFont="1" applyBorder="1" applyAlignment="1" applyProtection="1">
      <alignment horizontal="center" vertical="center"/>
      <protection locked="0"/>
    </xf>
    <xf numFmtId="0" fontId="1" fillId="0" borderId="82" xfId="0" applyFont="1" applyBorder="1" applyAlignment="1" applyProtection="1">
      <alignment horizontal="center" vertical="center"/>
      <protection locked="0"/>
    </xf>
    <xf numFmtId="2" fontId="1" fillId="0" borderId="81" xfId="0" applyNumberFormat="1" applyFont="1" applyBorder="1" applyAlignment="1" applyProtection="1">
      <alignment horizontal="center" vertical="center"/>
      <protection locked="0"/>
    </xf>
    <xf numFmtId="2" fontId="1" fillId="0" borderId="82" xfId="0" applyNumberFormat="1" applyFont="1" applyBorder="1" applyAlignment="1" applyProtection="1">
      <alignment horizontal="center" vertical="center"/>
      <protection locked="0"/>
    </xf>
    <xf numFmtId="2" fontId="1" fillId="0" borderId="83" xfId="0" applyNumberFormat="1" applyFont="1" applyBorder="1" applyAlignment="1" applyProtection="1">
      <alignment horizontal="center" vertical="center"/>
      <protection locked="0"/>
    </xf>
    <xf numFmtId="0" fontId="0" fillId="0" borderId="0" xfId="0" applyProtection="1"/>
    <xf numFmtId="0" fontId="1" fillId="26" borderId="80" xfId="0" applyFont="1" applyFill="1" applyBorder="1" applyProtection="1"/>
    <xf numFmtId="0" fontId="1" fillId="6" borderId="4" xfId="0" applyFont="1" applyFill="1" applyBorder="1" applyAlignment="1" applyProtection="1">
      <alignment horizontal="center" vertical="center"/>
    </xf>
    <xf numFmtId="172" fontId="1" fillId="6" borderId="10" xfId="0" applyNumberFormat="1" applyFont="1" applyFill="1" applyBorder="1" applyAlignment="1" applyProtection="1">
      <alignment horizontal="center" vertical="center"/>
    </xf>
    <xf numFmtId="172"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74" fillId="32" borderId="9" xfId="0" applyFont="1" applyFill="1" applyBorder="1" applyAlignment="1">
      <alignment horizontal="center" vertical="center"/>
    </xf>
    <xf numFmtId="0" fontId="74" fillId="32" borderId="8" xfId="0" applyFont="1" applyFill="1" applyBorder="1" applyAlignment="1">
      <alignment horizontal="center" vertical="center"/>
    </xf>
    <xf numFmtId="0" fontId="74" fillId="32" borderId="8" xfId="0" applyFont="1" applyFill="1" applyBorder="1" applyAlignment="1">
      <alignment horizontal="center" vertical="center" wrapText="1"/>
    </xf>
    <xf numFmtId="169"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30" fillId="6" borderId="45" xfId="0" applyFont="1" applyFill="1" applyBorder="1" applyAlignment="1">
      <alignment horizontal="center" wrapText="1"/>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3" fillId="0" borderId="5" xfId="0" applyFont="1" applyBorder="1" applyAlignment="1" applyProtection="1">
      <alignment horizontal="center" vertical="center"/>
      <protection locked="0"/>
    </xf>
    <xf numFmtId="0" fontId="73"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4" fontId="1" fillId="6" borderId="9" xfId="0" applyNumberFormat="1" applyFont="1" applyFill="1" applyBorder="1" applyAlignment="1" applyProtection="1">
      <alignment horizontal="right"/>
    </xf>
    <xf numFmtId="174" fontId="1" fillId="6" borderId="10" xfId="0" applyNumberFormat="1" applyFont="1" applyFill="1" applyBorder="1" applyAlignment="1" applyProtection="1">
      <alignment horizontal="right"/>
    </xf>
    <xf numFmtId="0" fontId="5" fillId="2" borderId="32" xfId="0" applyFont="1" applyFill="1" applyBorder="1" applyAlignment="1"/>
    <xf numFmtId="174" fontId="1" fillId="33" borderId="9" xfId="0" applyNumberFormat="1" applyFont="1" applyFill="1" applyBorder="1" applyAlignment="1" applyProtection="1">
      <alignment horizontal="right"/>
    </xf>
    <xf numFmtId="0" fontId="1" fillId="34" borderId="9" xfId="0" applyFont="1" applyFill="1" applyBorder="1" applyAlignment="1" applyProtection="1">
      <alignment horizontal="center" vertical="center"/>
    </xf>
    <xf numFmtId="0" fontId="1" fillId="34" borderId="10" xfId="0" applyFont="1" applyFill="1" applyBorder="1" applyAlignment="1" applyProtection="1">
      <alignment horizontal="center" vertical="center"/>
    </xf>
    <xf numFmtId="0" fontId="1" fillId="34" borderId="41" xfId="0" applyFont="1" applyFill="1" applyBorder="1" applyAlignment="1" applyProtection="1">
      <alignment horizontal="center" vertical="center"/>
    </xf>
    <xf numFmtId="0" fontId="1" fillId="34"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75" fillId="6" borderId="9" xfId="5" applyFont="1" applyFill="1" applyBorder="1" applyProtection="1"/>
    <xf numFmtId="0" fontId="3" fillId="3" borderId="0" xfId="0" applyFont="1" applyFill="1" applyBorder="1" applyAlignment="1">
      <alignment horizontal="right" vertical="center" wrapText="1"/>
    </xf>
    <xf numFmtId="0" fontId="76" fillId="0" borderId="0" xfId="0" applyFont="1"/>
    <xf numFmtId="0" fontId="77" fillId="0" borderId="0" xfId="0" applyFont="1"/>
    <xf numFmtId="0" fontId="0" fillId="0" borderId="9" xfId="0" applyBorder="1" applyAlignment="1" applyProtection="1">
      <alignment horizontal="center"/>
      <protection locked="0"/>
    </xf>
    <xf numFmtId="0" fontId="1" fillId="0" borderId="29" xfId="0" applyFont="1" applyBorder="1" applyProtection="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169" fontId="3" fillId="0" borderId="9" xfId="2" applyNumberFormat="1" applyFont="1" applyBorder="1" applyAlignment="1">
      <alignment horizontal="center" vertical="center"/>
    </xf>
    <xf numFmtId="0" fontId="0" fillId="0" borderId="27" xfId="0" applyBorder="1"/>
    <xf numFmtId="0" fontId="0" fillId="0" borderId="0" xfId="0"/>
    <xf numFmtId="168"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165"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166" fontId="3" fillId="2" borderId="9" xfId="2" applyNumberFormat="1" applyFont="1" applyFill="1" applyBorder="1" applyAlignment="1" applyProtection="1">
      <alignment horizontal="center" vertical="center"/>
      <protection hidden="1"/>
    </xf>
    <xf numFmtId="0" fontId="0" fillId="35" borderId="9" xfId="0" applyFill="1" applyBorder="1" applyAlignment="1">
      <alignment horizontal="center" vertical="center" wrapText="1"/>
    </xf>
    <xf numFmtId="0" fontId="0" fillId="35" borderId="9" xfId="0" applyFill="1" applyBorder="1" applyAlignment="1">
      <alignment horizontal="center" vertical="center"/>
    </xf>
    <xf numFmtId="0" fontId="0" fillId="3" borderId="9" xfId="0" applyFill="1" applyBorder="1" applyAlignment="1">
      <alignment horizontal="left" vertical="center" wrapText="1"/>
    </xf>
    <xf numFmtId="0" fontId="0" fillId="3" borderId="9"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42" fillId="0" borderId="0" xfId="0" applyFont="1" applyAlignment="1">
      <alignment horizontal="center" vertical="center" wrapText="1"/>
    </xf>
    <xf numFmtId="0" fontId="3" fillId="6" borderId="36" xfId="0" applyFont="1" applyFill="1" applyBorder="1" applyAlignment="1">
      <alignment horizontal="right"/>
    </xf>
    <xf numFmtId="0" fontId="3" fillId="6" borderId="36" xfId="0" applyFont="1" applyFill="1" applyBorder="1" applyAlignment="1">
      <alignment horizontal="right" vertical="center"/>
    </xf>
    <xf numFmtId="9" fontId="1" fillId="0" borderId="0" xfId="0" applyNumberFormat="1" applyFont="1"/>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9" fontId="10" fillId="3" borderId="0" xfId="2" applyFont="1" applyFill="1" applyBorder="1" applyAlignment="1">
      <alignment vertical="center"/>
    </xf>
    <xf numFmtId="171" fontId="0" fillId="3" borderId="0" xfId="1" applyNumberFormat="1" applyFont="1" applyFill="1" applyBorder="1" applyAlignment="1">
      <alignment horizontal="center" vertical="center"/>
    </xf>
    <xf numFmtId="166" fontId="27" fillId="3" borderId="0" xfId="1" applyFont="1" applyFill="1" applyBorder="1" applyAlignment="1">
      <alignment horizontal="center" vertical="center" wrapText="1"/>
    </xf>
    <xf numFmtId="169" fontId="0" fillId="3" borderId="0" xfId="3" applyNumberFormat="1" applyFont="1" applyFill="1" applyBorder="1" applyAlignment="1">
      <alignment vertical="center"/>
    </xf>
    <xf numFmtId="169"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67" fillId="10" borderId="0" xfId="0" applyFont="1" applyFill="1" applyAlignment="1">
      <alignment vertical="center" wrapText="1"/>
    </xf>
    <xf numFmtId="169" fontId="27" fillId="10" borderId="22" xfId="3" applyNumberFormat="1" applyFont="1" applyFill="1" applyBorder="1" applyAlignment="1">
      <alignmen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0" fillId="0" borderId="9" xfId="0" applyBorder="1" applyAlignment="1">
      <alignment horizontal="left" vertical="center"/>
    </xf>
    <xf numFmtId="0" fontId="3" fillId="0" borderId="87" xfId="0" applyFont="1" applyBorder="1" applyAlignment="1">
      <alignment horizontal="center" vertical="center"/>
    </xf>
    <xf numFmtId="0" fontId="3" fillId="0" borderId="78" xfId="0" applyFont="1" applyBorder="1" applyAlignment="1">
      <alignment horizontal="center" vertical="center"/>
    </xf>
    <xf numFmtId="0" fontId="3" fillId="0" borderId="52" xfId="0" applyFont="1" applyBorder="1" applyAlignment="1">
      <alignment horizontal="center" vertical="center"/>
    </xf>
    <xf numFmtId="0" fontId="56" fillId="0" borderId="4" xfId="0" applyFont="1" applyBorder="1"/>
    <xf numFmtId="14" fontId="56" fillId="0" borderId="10" xfId="0" applyNumberFormat="1" applyFont="1" applyBorder="1"/>
    <xf numFmtId="0" fontId="56" fillId="36" borderId="27" xfId="0" applyFont="1" applyFill="1" applyBorder="1"/>
    <xf numFmtId="0" fontId="0" fillId="18" borderId="9"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37" borderId="9" xfId="0" applyFill="1" applyBorder="1" applyAlignment="1">
      <alignment wrapText="1"/>
    </xf>
    <xf numFmtId="0" fontId="0" fillId="37" borderId="9" xfId="0" applyFill="1" applyBorder="1"/>
    <xf numFmtId="0" fontId="0" fillId="37" borderId="9" xfId="0" applyFill="1" applyBorder="1" applyAlignment="1">
      <alignment horizontal="lef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37" borderId="9" xfId="0" applyFill="1" applyBorder="1" applyAlignment="1">
      <alignment horizontal="left" vertical="center" wrapText="1"/>
    </xf>
    <xf numFmtId="0" fontId="0" fillId="37" borderId="9" xfId="0" applyFill="1" applyBorder="1" applyAlignment="1">
      <alignment horizontal="left" vertical="top" wrapText="1"/>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37" borderId="9" xfId="0" applyFill="1" applyBorder="1" applyAlignment="1">
      <alignment horizontal="left" vertical="top"/>
    </xf>
    <xf numFmtId="0" fontId="0" fillId="37" borderId="9" xfId="0" applyFill="1" applyBorder="1" applyAlignment="1">
      <alignment horizontal="left" vertical="center"/>
    </xf>
    <xf numFmtId="0" fontId="0" fillId="37" borderId="9" xfId="0" applyFill="1" applyBorder="1" applyAlignment="1">
      <alignment horizontal="left"/>
    </xf>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68" fillId="10" borderId="0" xfId="0" applyFont="1" applyFill="1" applyAlignment="1">
      <alignment vertical="center" wrapText="1"/>
    </xf>
    <xf numFmtId="0" fontId="68"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3" fillId="6" borderId="36" xfId="0" applyFont="1" applyFill="1" applyBorder="1" applyAlignment="1" applyProtection="1">
      <alignment horizontal="center" wrapText="1"/>
    </xf>
    <xf numFmtId="0" fontId="68" fillId="10" borderId="22" xfId="0" applyFont="1" applyFill="1" applyBorder="1" applyAlignment="1">
      <alignment vertical="center" wrapText="1"/>
    </xf>
    <xf numFmtId="0" fontId="0" fillId="10" borderId="0" xfId="0" applyFill="1" applyAlignment="1">
      <alignment vertical="center" wrapText="1"/>
    </xf>
    <xf numFmtId="169" fontId="3" fillId="10" borderId="0" xfId="3" applyNumberFormat="1" applyFont="1" applyFill="1" applyBorder="1" applyAlignment="1">
      <alignment horizontal="center" vertical="center"/>
    </xf>
    <xf numFmtId="169" fontId="3" fillId="10" borderId="0" xfId="3" applyNumberFormat="1" applyFont="1" applyFill="1" applyBorder="1" applyAlignment="1">
      <alignment horizontal="center" vertical="center" wrapText="1"/>
    </xf>
    <xf numFmtId="172" fontId="82" fillId="10" borderId="22" xfId="0" applyNumberFormat="1" applyFont="1" applyFill="1" applyBorder="1" applyAlignment="1">
      <alignment horizontal="center" vertical="center"/>
    </xf>
    <xf numFmtId="0" fontId="67" fillId="10" borderId="18" xfId="0" applyFont="1" applyFill="1" applyBorder="1" applyAlignment="1">
      <alignment vertical="center" wrapText="1"/>
    </xf>
    <xf numFmtId="0" fontId="82" fillId="10" borderId="0" xfId="0" applyFont="1" applyFill="1" applyAlignment="1">
      <alignment vertical="center"/>
    </xf>
    <xf numFmtId="0" fontId="3" fillId="6" borderId="36" xfId="0" applyFont="1" applyFill="1" applyBorder="1" applyAlignment="1" applyProtection="1">
      <alignment horizontal="center" vertical="center" wrapText="1"/>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84" fillId="39" borderId="9" xfId="0" applyFont="1" applyFill="1" applyBorder="1"/>
    <xf numFmtId="0" fontId="0" fillId="3" borderId="8" xfId="0" applyFill="1" applyBorder="1" applyAlignment="1">
      <alignment vertical="center"/>
    </xf>
    <xf numFmtId="0" fontId="3" fillId="0" borderId="0" xfId="0" applyFont="1" applyAlignment="1">
      <alignment horizontal="right"/>
    </xf>
    <xf numFmtId="0" fontId="0" fillId="0" borderId="0" xfId="0"/>
    <xf numFmtId="0" fontId="3" fillId="6" borderId="85" xfId="0" applyFont="1" applyFill="1" applyBorder="1" applyAlignment="1">
      <alignment horizontal="right"/>
    </xf>
    <xf numFmtId="0" fontId="3" fillId="6" borderId="65" xfId="0" applyFont="1" applyFill="1" applyBorder="1" applyAlignment="1">
      <alignment horizontal="right"/>
    </xf>
    <xf numFmtId="0" fontId="3" fillId="6" borderId="86"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170" fontId="0" fillId="6" borderId="9" xfId="3" applyNumberFormat="1" applyFont="1" applyFill="1" applyBorder="1" applyAlignment="1" applyProtection="1">
      <alignment horizontal="center" vertical="center"/>
    </xf>
    <xf numFmtId="172"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9" fontId="0" fillId="6" borderId="9" xfId="3" applyNumberFormat="1" applyFont="1" applyFill="1" applyBorder="1" applyAlignment="1">
      <alignment horizontal="center" vertical="center"/>
    </xf>
    <xf numFmtId="170" fontId="0" fillId="6" borderId="9" xfId="3" applyNumberFormat="1" applyFont="1" applyFill="1" applyBorder="1" applyAlignment="1">
      <alignment horizontal="center" vertical="center"/>
    </xf>
    <xf numFmtId="172" fontId="0" fillId="6" borderId="9" xfId="2" applyNumberFormat="1" applyFont="1" applyFill="1" applyBorder="1" applyAlignment="1" applyProtection="1">
      <alignment horizontal="center" vertical="center" wrapText="1"/>
    </xf>
    <xf numFmtId="172" fontId="0" fillId="6" borderId="9" xfId="3" applyNumberFormat="1" applyFont="1" applyFill="1" applyBorder="1" applyAlignment="1" applyProtection="1">
      <alignment horizontal="center" vertical="center"/>
      <protection locked="0"/>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9"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9"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38"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38" borderId="0" xfId="0" applyFont="1" applyFill="1" applyAlignment="1" applyProtection="1">
      <alignment horizontal="center" vertical="center"/>
      <protection locked="0"/>
    </xf>
    <xf numFmtId="2" fontId="3" fillId="38" borderId="0" xfId="0" applyNumberFormat="1" applyFont="1" applyFill="1" applyAlignment="1" applyProtection="1">
      <alignment horizontal="center" vertical="center"/>
      <protection locked="0"/>
    </xf>
    <xf numFmtId="0" fontId="3" fillId="38"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38"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83"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38"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84" fillId="39" borderId="8" xfId="0" applyFont="1" applyFill="1" applyBorder="1" applyAlignment="1">
      <alignment horizontal="right"/>
    </xf>
    <xf numFmtId="0" fontId="84" fillId="39" borderId="1" xfId="0" applyFont="1" applyFill="1" applyBorder="1" applyAlignment="1">
      <alignment horizontal="right"/>
    </xf>
    <xf numFmtId="0" fontId="84" fillId="39" borderId="1" xfId="0" applyFont="1" applyFill="1" applyBorder="1"/>
    <xf numFmtId="0" fontId="85" fillId="39" borderId="1" xfId="0" applyFont="1" applyFill="1" applyBorder="1" applyAlignment="1">
      <alignment horizontal="right" vertical="center"/>
    </xf>
    <xf numFmtId="0" fontId="0" fillId="39" borderId="9" xfId="0" applyFill="1" applyBorder="1"/>
    <xf numFmtId="0" fontId="84" fillId="39" borderId="9" xfId="0" applyFont="1" applyFill="1" applyBorder="1" applyAlignment="1">
      <alignment horizontal="right"/>
    </xf>
    <xf numFmtId="0" fontId="84" fillId="39" borderId="1" xfId="0" applyFont="1" applyFill="1" applyBorder="1" applyAlignment="1">
      <alignment vertical="center"/>
    </xf>
    <xf numFmtId="0" fontId="84"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4" fontId="0" fillId="0" borderId="0" xfId="0" applyNumberFormat="1"/>
    <xf numFmtId="169" fontId="1" fillId="0" borderId="9" xfId="3" applyNumberFormat="1" applyFont="1" applyBorder="1"/>
    <xf numFmtId="0" fontId="3" fillId="0" borderId="0" xfId="0" applyFont="1" applyAlignment="1" applyProtection="1">
      <alignment horizontal="center" vertical="center"/>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72" fontId="0" fillId="6" borderId="9" xfId="2" applyNumberFormat="1" applyFont="1" applyFill="1" applyBorder="1" applyAlignment="1" applyProtection="1">
      <alignment horizontal="center" vertical="center" wrapText="1"/>
    </xf>
    <xf numFmtId="0" fontId="0" fillId="6" borderId="8" xfId="0" applyFill="1" applyBorder="1" applyAlignment="1" applyProtection="1">
      <alignment horizontal="center" vertical="center"/>
    </xf>
    <xf numFmtId="0" fontId="3" fillId="38" borderId="0" xfId="0" applyFont="1" applyFill="1" applyAlignment="1" applyProtection="1">
      <alignment horizontal="right" vertical="center"/>
      <protection locked="0"/>
    </xf>
    <xf numFmtId="0" fontId="3" fillId="38"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0" fillId="0" borderId="0" xfId="0"/>
    <xf numFmtId="10" fontId="0" fillId="6" borderId="9" xfId="3" applyNumberFormat="1" applyFont="1" applyFill="1" applyBorder="1" applyAlignment="1" applyProtection="1">
      <alignment horizontal="center" vertical="center"/>
    </xf>
    <xf numFmtId="0" fontId="0" fillId="0" borderId="0" xfId="0"/>
    <xf numFmtId="0" fontId="3" fillId="38"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3" borderId="9" xfId="0" applyFill="1" applyBorder="1" applyAlignment="1">
      <alignment vertical="center"/>
    </xf>
    <xf numFmtId="0" fontId="0" fillId="3" borderId="9" xfId="0" applyFont="1" applyFill="1" applyBorder="1" applyAlignment="1">
      <alignment vertical="center"/>
    </xf>
    <xf numFmtId="0" fontId="84" fillId="3" borderId="8" xfId="0" applyFont="1" applyFill="1" applyBorder="1" applyAlignment="1">
      <alignment horizontal="right"/>
    </xf>
    <xf numFmtId="0" fontId="84" fillId="3" borderId="1" xfId="0" applyFont="1" applyFill="1" applyBorder="1" applyAlignment="1">
      <alignment horizontal="right"/>
    </xf>
    <xf numFmtId="0" fontId="84" fillId="3" borderId="1" xfId="0" applyFont="1" applyFill="1" applyBorder="1" applyAlignment="1">
      <alignment vertical="center"/>
    </xf>
    <xf numFmtId="0" fontId="3" fillId="38" borderId="0" xfId="0" applyFont="1" applyFill="1" applyAlignment="1">
      <alignment horizontal="center" vertical="center"/>
    </xf>
    <xf numFmtId="0" fontId="83" fillId="11" borderId="56" xfId="0" applyFont="1" applyFill="1" applyBorder="1" applyAlignment="1">
      <alignment horizontal="center" vertical="center" wrapText="1"/>
    </xf>
    <xf numFmtId="179" fontId="0" fillId="6" borderId="9" xfId="3" applyNumberFormat="1" applyFont="1" applyFill="1" applyBorder="1" applyAlignment="1" applyProtection="1">
      <alignment horizontal="center"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0" fontId="58" fillId="3" borderId="2" xfId="0" applyFont="1" applyFill="1" applyBorder="1" applyAlignment="1">
      <alignment vertical="top"/>
    </xf>
    <xf numFmtId="0" fontId="58" fillId="3" borderId="2" xfId="0" applyFont="1" applyFill="1" applyBorder="1" applyAlignment="1">
      <alignment horizontal="center" vertical="center"/>
    </xf>
    <xf numFmtId="0" fontId="59" fillId="3" borderId="0" xfId="0" applyFont="1" applyFill="1" applyBorder="1" applyAlignment="1">
      <alignment vertical="top"/>
    </xf>
    <xf numFmtId="0" fontId="59" fillId="3" borderId="0" xfId="0" applyFont="1" applyFill="1" applyBorder="1" applyAlignment="1">
      <alignment horizontal="center" vertical="center"/>
    </xf>
    <xf numFmtId="0" fontId="62" fillId="3" borderId="0" xfId="0" applyFont="1" applyFill="1" applyBorder="1" applyAlignment="1">
      <alignment vertical="center" wrapText="1"/>
    </xf>
    <xf numFmtId="0" fontId="0" fillId="0" borderId="0" xfId="0"/>
    <xf numFmtId="0" fontId="56"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40" borderId="9" xfId="0" applyFill="1" applyBorder="1" applyAlignment="1">
      <alignment horizontal="left" vertical="center"/>
    </xf>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4" fontId="0" fillId="0" borderId="9" xfId="0" applyNumberFormat="1" applyBorder="1"/>
    <xf numFmtId="0" fontId="74" fillId="32" borderId="8" xfId="0" applyFont="1" applyFill="1" applyBorder="1" applyAlignment="1" applyProtection="1">
      <alignment horizontal="center" vertical="center" wrapText="1"/>
    </xf>
    <xf numFmtId="0" fontId="86" fillId="41"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0" fontId="0" fillId="0" borderId="0" xfId="0"/>
    <xf numFmtId="0" fontId="8" fillId="11" borderId="9" xfId="0" applyFont="1" applyFill="1" applyBorder="1" applyAlignment="1" applyProtection="1">
      <alignment horizontal="center" vertical="center" wrapText="1"/>
    </xf>
    <xf numFmtId="0" fontId="0" fillId="0" borderId="9" xfId="0" applyBorder="1"/>
    <xf numFmtId="0" fontId="0" fillId="0" borderId="9" xfId="0" applyBorder="1"/>
    <xf numFmtId="170" fontId="0" fillId="10" borderId="0" xfId="3" applyNumberFormat="1" applyFont="1" applyFill="1" applyAlignment="1" applyProtection="1">
      <alignment horizontal="center" vertical="center" wrapText="1"/>
    </xf>
    <xf numFmtId="0" fontId="0" fillId="0" borderId="9" xfId="0" applyBorder="1" applyProtection="1">
      <protection locked="0"/>
    </xf>
    <xf numFmtId="0" fontId="3" fillId="38" borderId="0" xfId="0" applyFont="1" applyFill="1" applyAlignment="1" applyProtection="1">
      <alignment horizontal="right" vertical="center" wrapText="1"/>
    </xf>
    <xf numFmtId="0" fontId="74" fillId="32" borderId="9" xfId="0" applyFont="1" applyFill="1" applyBorder="1" applyAlignment="1">
      <alignment horizontal="center" vertical="center" wrapText="1"/>
    </xf>
    <xf numFmtId="172" fontId="27" fillId="10" borderId="22" xfId="0" applyNumberFormat="1" applyFont="1" applyFill="1" applyBorder="1" applyAlignment="1">
      <alignment horizontal="center" vertical="center"/>
    </xf>
    <xf numFmtId="0" fontId="0" fillId="40" borderId="9" xfId="0" applyFill="1" applyBorder="1" applyAlignment="1">
      <alignment horizontal="left" vertical="center" wrapText="1"/>
    </xf>
    <xf numFmtId="0" fontId="0" fillId="8" borderId="9" xfId="0" applyFill="1" applyBorder="1" applyAlignment="1">
      <alignment horizontal="left" vertical="center"/>
    </xf>
    <xf numFmtId="0" fontId="0" fillId="8" borderId="9" xfId="0" applyFill="1" applyBorder="1" applyAlignment="1">
      <alignment horizontal="left" vertical="center" wrapText="1"/>
    </xf>
    <xf numFmtId="0" fontId="0" fillId="5" borderId="9" xfId="0" applyFill="1" applyBorder="1" applyAlignment="1">
      <alignment horizontal="left" vertical="center"/>
    </xf>
    <xf numFmtId="0" fontId="10" fillId="0" borderId="9" xfId="0" applyFont="1" applyBorder="1" applyAlignment="1">
      <alignment horizontal="left" vertical="top"/>
    </xf>
    <xf numFmtId="0" fontId="10" fillId="0" borderId="9" xfId="0" applyFont="1" applyBorder="1" applyAlignment="1">
      <alignment horizontal="left" vertical="top" wrapText="1"/>
    </xf>
    <xf numFmtId="0" fontId="10" fillId="0" borderId="9" xfId="0" applyFont="1" applyBorder="1" applyAlignment="1">
      <alignment horizontal="left"/>
    </xf>
    <xf numFmtId="0" fontId="10" fillId="0" borderId="9" xfId="0" applyFont="1" applyBorder="1" applyAlignment="1">
      <alignment horizontal="left" wrapText="1"/>
    </xf>
    <xf numFmtId="0" fontId="10" fillId="0" borderId="9" xfId="0" applyFont="1" applyBorder="1" applyAlignment="1">
      <alignment horizontal="left" vertical="center" wrapText="1"/>
    </xf>
    <xf numFmtId="0" fontId="0" fillId="0" borderId="0" xfId="0"/>
    <xf numFmtId="0" fontId="0" fillId="0" borderId="0" xfId="0" applyAlignment="1">
      <alignment vertic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1" fillId="0" borderId="15" xfId="0" applyFont="1" applyBorder="1" applyProtection="1">
      <protection locked="0"/>
    </xf>
    <xf numFmtId="0" fontId="1" fillId="0" borderId="2" xfId="0" applyFont="1" applyBorder="1" applyProtection="1">
      <protection locked="0"/>
    </xf>
    <xf numFmtId="0" fontId="0" fillId="0" borderId="2" xfId="0" applyBorder="1" applyProtection="1">
      <protection locked="0"/>
    </xf>
    <xf numFmtId="0" fontId="0" fillId="0" borderId="30" xfId="0" applyBorder="1" applyProtection="1">
      <protection locked="0"/>
    </xf>
    <xf numFmtId="0" fontId="22" fillId="3" borderId="9" xfId="0" applyFont="1" applyFill="1" applyBorder="1" applyAlignment="1">
      <alignment horizontal="right" vertical="center"/>
    </xf>
    <xf numFmtId="0" fontId="9" fillId="0" borderId="9" xfId="0" applyFont="1" applyBorder="1" applyAlignment="1">
      <alignment horizontal="left" vertical="center"/>
    </xf>
    <xf numFmtId="0" fontId="9" fillId="0" borderId="9" xfId="0" applyFont="1" applyBorder="1" applyAlignment="1">
      <alignment vertical="center" wrapText="1"/>
    </xf>
    <xf numFmtId="169" fontId="12" fillId="0" borderId="36" xfId="3" applyNumberFormat="1" applyFont="1" applyBorder="1" applyAlignment="1">
      <alignment horizontal="center" vertical="center"/>
    </xf>
    <xf numFmtId="10" fontId="12" fillId="0" borderId="36" xfId="2" applyNumberFormat="1" applyFont="1" applyBorder="1" applyAlignment="1">
      <alignment horizontal="center" vertical="center"/>
    </xf>
    <xf numFmtId="0" fontId="3" fillId="0" borderId="0" xfId="0" applyFont="1" applyAlignment="1">
      <alignment vertical="center" wrapText="1"/>
    </xf>
    <xf numFmtId="0" fontId="3" fillId="0" borderId="0" xfId="0" applyFont="1" applyAlignment="1">
      <alignment vertical="center"/>
    </xf>
    <xf numFmtId="169" fontId="0" fillId="10" borderId="0" xfId="0" applyNumberFormat="1" applyFill="1" applyBorder="1" applyAlignment="1">
      <alignment vertical="center"/>
    </xf>
    <xf numFmtId="169" fontId="3" fillId="3" borderId="9" xfId="0" applyNumberFormat="1" applyFont="1" applyFill="1" applyBorder="1" applyAlignment="1">
      <alignment vertical="center"/>
    </xf>
    <xf numFmtId="0" fontId="0" fillId="0" borderId="0" xfId="0"/>
    <xf numFmtId="0" fontId="0" fillId="0" borderId="0" xfId="0" applyAlignment="1">
      <alignment vertical="center"/>
    </xf>
    <xf numFmtId="0" fontId="8" fillId="10" borderId="0" xfId="0" applyFont="1" applyFill="1" applyBorder="1" applyAlignment="1">
      <alignment horizontal="center" vertical="center"/>
    </xf>
    <xf numFmtId="169" fontId="0" fillId="3" borderId="36" xfId="0" applyNumberFormat="1" applyFill="1" applyBorder="1" applyAlignment="1" applyProtection="1">
      <alignment horizontal="center" vertical="center"/>
      <protection locked="0"/>
    </xf>
    <xf numFmtId="0" fontId="0" fillId="0" borderId="9" xfId="0" applyBorder="1" applyAlignment="1">
      <alignment horizontal="center"/>
    </xf>
    <xf numFmtId="0" fontId="0" fillId="0" borderId="9" xfId="0" applyBorder="1"/>
    <xf numFmtId="0" fontId="0" fillId="0" borderId="10" xfId="0" applyBorder="1"/>
    <xf numFmtId="0" fontId="0" fillId="0" borderId="3" xfId="0" applyBorder="1"/>
    <xf numFmtId="0" fontId="0" fillId="0" borderId="8" xfId="0" applyBorder="1" applyAlignment="1">
      <alignment horizontal="center"/>
    </xf>
    <xf numFmtId="0" fontId="3" fillId="10" borderId="22" xfId="0" applyFont="1" applyFill="1" applyBorder="1" applyAlignment="1">
      <alignment horizontal="center" vertical="center" wrapText="1"/>
    </xf>
    <xf numFmtId="0" fontId="0" fillId="0" borderId="0" xfId="0" applyAlignment="1">
      <alignment horizontal="left" wrapText="1"/>
    </xf>
    <xf numFmtId="0" fontId="0" fillId="0" borderId="44" xfId="0" applyBorder="1"/>
    <xf numFmtId="0" fontId="9" fillId="0" borderId="9" xfId="0" applyFont="1" applyBorder="1" applyAlignment="1">
      <alignment horizontal="left" vertical="center" wrapText="1"/>
    </xf>
    <xf numFmtId="0" fontId="0" fillId="7" borderId="9" xfId="0" applyFill="1" applyBorder="1"/>
    <xf numFmtId="0" fontId="0" fillId="0" borderId="0" xfId="0"/>
    <xf numFmtId="0" fontId="73" fillId="0" borderId="44" xfId="0" applyFont="1" applyBorder="1" applyAlignment="1" applyProtection="1">
      <alignment horizontal="center" vertical="center"/>
    </xf>
    <xf numFmtId="0" fontId="73" fillId="0" borderId="8" xfId="0" applyFont="1" applyBorder="1" applyAlignment="1" applyProtection="1">
      <alignment horizontal="center" vertical="center" wrapText="1"/>
    </xf>
    <xf numFmtId="0" fontId="5" fillId="0" borderId="8" xfId="0" applyFont="1" applyBorder="1" applyAlignment="1" applyProtection="1">
      <alignment horizontal="center" vertical="center" wrapText="1"/>
    </xf>
    <xf numFmtId="0" fontId="5" fillId="0" borderId="6" xfId="0" applyFont="1" applyBorder="1" applyAlignment="1" applyProtection="1">
      <alignment horizontal="center" vertical="center" wrapText="1"/>
    </xf>
    <xf numFmtId="0" fontId="5" fillId="0" borderId="7" xfId="0" applyFont="1" applyBorder="1" applyAlignment="1" applyProtection="1">
      <alignment horizontal="center" vertical="center" wrapText="1"/>
    </xf>
    <xf numFmtId="0" fontId="73" fillId="0" borderId="3" xfId="0" applyFont="1" applyBorder="1" applyAlignment="1" applyProtection="1">
      <alignment horizontal="center" vertical="center" wrapText="1"/>
    </xf>
    <xf numFmtId="0" fontId="73" fillId="0" borderId="9" xfId="0" applyFont="1" applyBorder="1" applyAlignment="1" applyProtection="1">
      <alignment horizontal="center" vertical="center" wrapText="1"/>
    </xf>
    <xf numFmtId="0" fontId="73" fillId="0" borderId="26" xfId="0" applyFont="1" applyBorder="1" applyAlignment="1" applyProtection="1">
      <alignment horizontal="center" vertical="center" wrapText="1"/>
    </xf>
    <xf numFmtId="0" fontId="5" fillId="0" borderId="88" xfId="0" applyFont="1" applyBorder="1" applyAlignment="1" applyProtection="1">
      <alignment horizontal="center" vertical="center" wrapText="1"/>
    </xf>
    <xf numFmtId="0" fontId="5" fillId="0" borderId="89" xfId="0" applyFont="1" applyBorder="1" applyAlignment="1" applyProtection="1">
      <alignment horizontal="center" vertical="center" wrapText="1"/>
    </xf>
    <xf numFmtId="0" fontId="5" fillId="0" borderId="90" xfId="0" applyFont="1" applyBorder="1" applyAlignment="1" applyProtection="1">
      <alignment horizontal="center" vertical="center" wrapText="1"/>
    </xf>
    <xf numFmtId="0" fontId="5" fillId="0" borderId="9" xfId="0" applyFont="1" applyBorder="1" applyAlignment="1" applyProtection="1">
      <alignment horizontal="center" vertical="center" wrapText="1"/>
    </xf>
    <xf numFmtId="0" fontId="5" fillId="0" borderId="26" xfId="0" applyFont="1" applyBorder="1" applyAlignment="1" applyProtection="1">
      <alignment horizontal="center" vertical="center" wrapText="1"/>
    </xf>
    <xf numFmtId="0" fontId="30" fillId="20" borderId="78" xfId="0" applyFont="1" applyFill="1" applyBorder="1" applyAlignment="1" applyProtection="1">
      <alignment horizontal="center" wrapText="1"/>
    </xf>
    <xf numFmtId="0" fontId="0" fillId="3" borderId="0" xfId="0" applyFill="1" applyProtection="1"/>
    <xf numFmtId="0" fontId="4" fillId="3" borderId="0" xfId="0" applyFont="1" applyFill="1" applyProtection="1"/>
    <xf numFmtId="0" fontId="0" fillId="0" borderId="28" xfId="0" applyBorder="1" applyAlignment="1" applyProtection="1">
      <alignment vertical="center"/>
    </xf>
    <xf numFmtId="169" fontId="27" fillId="10" borderId="22" xfId="3" applyNumberFormat="1" applyFont="1" applyFill="1" applyBorder="1" applyAlignment="1" applyProtection="1">
      <alignment vertical="center"/>
    </xf>
    <xf numFmtId="0" fontId="8" fillId="3" borderId="9" xfId="0" applyFont="1" applyFill="1" applyBorder="1" applyAlignment="1">
      <alignment horizontal="center" vertical="center" wrapText="1"/>
    </xf>
    <xf numFmtId="0" fontId="0" fillId="16" borderId="9" xfId="0" applyFill="1" applyBorder="1" applyAlignment="1">
      <alignment horizontal="left" vertical="center"/>
    </xf>
    <xf numFmtId="0" fontId="0" fillId="16" borderId="9" xfId="0" applyFill="1" applyBorder="1" applyAlignment="1">
      <alignment horizontal="left" vertical="center" wrapText="1"/>
    </xf>
    <xf numFmtId="0" fontId="0" fillId="20" borderId="9" xfId="0" applyFill="1" applyBorder="1" applyAlignment="1">
      <alignment horizontal="left" vertical="center"/>
    </xf>
    <xf numFmtId="0" fontId="0" fillId="20" borderId="9" xfId="0" applyFill="1" applyBorder="1" applyAlignment="1">
      <alignment horizontal="left" vertical="center" wrapText="1"/>
    </xf>
    <xf numFmtId="0" fontId="0" fillId="2" borderId="9" xfId="0" applyFill="1" applyBorder="1" applyAlignment="1">
      <alignment horizontal="left" vertical="center"/>
    </xf>
    <xf numFmtId="0" fontId="0" fillId="2" borderId="9" xfId="0" applyFill="1" applyBorder="1" applyAlignment="1">
      <alignment horizontal="left" vertical="center" wrapText="1"/>
    </xf>
    <xf numFmtId="0" fontId="0" fillId="42" borderId="9" xfId="0" applyFill="1" applyBorder="1" applyAlignment="1">
      <alignment horizontal="left" vertical="center"/>
    </xf>
    <xf numFmtId="0" fontId="0" fillId="42" borderId="9" xfId="0" applyFill="1" applyBorder="1" applyAlignment="1">
      <alignment horizontal="left" vertical="center" wrapText="1"/>
    </xf>
    <xf numFmtId="0" fontId="0" fillId="5" borderId="9" xfId="0" applyFill="1" applyBorder="1" applyAlignment="1">
      <alignment horizontal="left" vertical="center" wrapText="1"/>
    </xf>
    <xf numFmtId="0" fontId="0" fillId="9" borderId="9" xfId="0" applyFill="1" applyBorder="1" applyAlignment="1">
      <alignment horizontal="left" vertical="center"/>
    </xf>
    <xf numFmtId="0" fontId="0" fillId="9" borderId="9" xfId="0" applyFill="1" applyBorder="1" applyAlignment="1">
      <alignment horizontal="left" vertical="center" wrapText="1"/>
    </xf>
    <xf numFmtId="0" fontId="0" fillId="3" borderId="9" xfId="0" applyFill="1" applyBorder="1" applyAlignment="1">
      <alignment horizontal="left" vertical="center"/>
    </xf>
    <xf numFmtId="0" fontId="0" fillId="0" borderId="0" xfId="0"/>
    <xf numFmtId="0" fontId="9" fillId="3" borderId="0" xfId="0" applyFont="1" applyFill="1" applyBorder="1" applyAlignment="1">
      <alignment horizontal="right"/>
    </xf>
    <xf numFmtId="0" fontId="21" fillId="3" borderId="0" xfId="0" applyFont="1" applyFill="1" applyBorder="1" applyAlignment="1" applyProtection="1">
      <alignment horizontal="center"/>
    </xf>
    <xf numFmtId="0" fontId="9" fillId="8" borderId="9" xfId="0" applyFont="1" applyFill="1" applyBorder="1" applyAlignment="1">
      <alignment horizontal="right" vertical="center"/>
    </xf>
    <xf numFmtId="0" fontId="9" fillId="8" borderId="9" xfId="0" applyFont="1" applyFill="1" applyBorder="1" applyAlignment="1">
      <alignment horizontal="left" vertical="center"/>
    </xf>
    <xf numFmtId="0" fontId="10" fillId="3" borderId="30" xfId="0" applyFont="1" applyFill="1" applyBorder="1" applyAlignment="1" applyProtection="1">
      <alignment horizontal="center" vertical="center"/>
      <protection locked="0"/>
    </xf>
    <xf numFmtId="0" fontId="0" fillId="0" borderId="0" xfId="0"/>
    <xf numFmtId="9" fontId="21" fillId="0" borderId="52" xfId="0" applyNumberFormat="1" applyFont="1" applyBorder="1" applyAlignment="1" applyProtection="1">
      <alignment horizontal="center"/>
      <protection locked="0"/>
    </xf>
    <xf numFmtId="9" fontId="21" fillId="0" borderId="26" xfId="0" applyNumberFormat="1" applyFont="1" applyBorder="1" applyAlignment="1" applyProtection="1">
      <alignment horizontal="center"/>
      <protection locked="0"/>
    </xf>
    <xf numFmtId="9" fontId="21" fillId="0" borderId="27" xfId="0" applyNumberFormat="1" applyFont="1" applyBorder="1" applyAlignment="1" applyProtection="1">
      <alignment horizontal="center"/>
      <protection locked="0"/>
    </xf>
    <xf numFmtId="0" fontId="0" fillId="3" borderId="29" xfId="0" applyFill="1" applyBorder="1" applyAlignment="1">
      <alignment horizontal="center" vertical="center"/>
    </xf>
    <xf numFmtId="0" fontId="0" fillId="7" borderId="9" xfId="0" applyFill="1" applyBorder="1" applyAlignment="1">
      <alignment horizontal="left" vertical="center"/>
    </xf>
    <xf numFmtId="0" fontId="0" fillId="7" borderId="9" xfId="0" applyFill="1" applyBorder="1" applyAlignment="1">
      <alignment horizontal="left" vertical="top"/>
    </xf>
    <xf numFmtId="0" fontId="0" fillId="7" borderId="9" xfId="0" applyFill="1" applyBorder="1" applyAlignment="1">
      <alignment horizontal="left"/>
    </xf>
    <xf numFmtId="165" fontId="3" fillId="0" borderId="0" xfId="0" applyNumberFormat="1" applyFont="1" applyBorder="1" applyAlignment="1">
      <alignment horizontal="center"/>
    </xf>
    <xf numFmtId="0" fontId="0" fillId="3" borderId="9" xfId="0" applyFill="1" applyBorder="1" applyAlignment="1">
      <alignment horizontal="left"/>
    </xf>
    <xf numFmtId="2" fontId="0" fillId="23" borderId="9" xfId="0" applyNumberFormat="1" applyFill="1" applyBorder="1"/>
    <xf numFmtId="0" fontId="10" fillId="0" borderId="50" xfId="0" applyFont="1" applyBorder="1" applyAlignment="1">
      <alignment horizontal="left" vertical="center"/>
    </xf>
    <xf numFmtId="0" fontId="89" fillId="44" borderId="36" xfId="0" applyFont="1" applyFill="1" applyBorder="1" applyAlignment="1">
      <alignment horizontal="center" vertical="center" wrapText="1"/>
    </xf>
    <xf numFmtId="0" fontId="89" fillId="45" borderId="36" xfId="0" applyFont="1" applyFill="1" applyBorder="1" applyAlignment="1">
      <alignment horizontal="center" vertical="center" wrapText="1"/>
    </xf>
    <xf numFmtId="0" fontId="90" fillId="43" borderId="36" xfId="0" applyFont="1" applyFill="1" applyBorder="1" applyAlignment="1">
      <alignment horizontal="center" vertical="center"/>
    </xf>
    <xf numFmtId="14" fontId="90" fillId="43" borderId="36" xfId="0" applyNumberFormat="1" applyFont="1" applyFill="1" applyBorder="1" applyAlignment="1">
      <alignment horizontal="center" vertical="center"/>
    </xf>
    <xf numFmtId="0" fontId="90" fillId="43" borderId="36" xfId="0" applyFont="1" applyFill="1" applyBorder="1" applyAlignment="1">
      <alignment horizontal="center" vertical="center" wrapText="1"/>
    </xf>
    <xf numFmtId="0" fontId="91" fillId="44" borderId="36" xfId="0" applyFont="1" applyFill="1" applyBorder="1" applyAlignment="1">
      <alignment horizontal="center" vertical="center"/>
    </xf>
    <xf numFmtId="0" fontId="91" fillId="44" borderId="36" xfId="0" applyFont="1" applyFill="1" applyBorder="1" applyAlignment="1">
      <alignment horizontal="center" vertical="center" wrapText="1"/>
    </xf>
    <xf numFmtId="0" fontId="88" fillId="0" borderId="0" xfId="0" applyFont="1"/>
    <xf numFmtId="0" fontId="88" fillId="0" borderId="29" xfId="0" applyFont="1" applyBorder="1"/>
    <xf numFmtId="0" fontId="89" fillId="45" borderId="49" xfId="0" applyFont="1" applyFill="1" applyBorder="1" applyAlignment="1">
      <alignment horizontal="center" vertical="center" wrapText="1"/>
    </xf>
    <xf numFmtId="0" fontId="88" fillId="0" borderId="30" xfId="0" applyFont="1" applyBorder="1"/>
    <xf numFmtId="0" fontId="1" fillId="6" borderId="8" xfId="0" applyFont="1" applyFill="1" applyBorder="1" applyAlignment="1">
      <alignment horizontal="center" vertical="center"/>
    </xf>
    <xf numFmtId="0" fontId="85" fillId="43" borderId="84" xfId="0" applyFont="1" applyFill="1" applyBorder="1" applyAlignment="1">
      <alignment horizontal="center" vertical="center" wrapText="1"/>
    </xf>
    <xf numFmtId="0" fontId="84" fillId="0" borderId="28" xfId="0" applyFont="1" applyBorder="1"/>
    <xf numFmtId="0" fontId="89" fillId="46" borderId="24" xfId="0" applyFont="1" applyFill="1" applyBorder="1" applyAlignment="1">
      <alignment horizontal="center" vertical="center"/>
    </xf>
    <xf numFmtId="0" fontId="89" fillId="46" borderId="45" xfId="0" applyFont="1" applyFill="1" applyBorder="1" applyAlignment="1">
      <alignment horizontal="center" vertical="center"/>
    </xf>
    <xf numFmtId="0" fontId="89" fillId="46" borderId="25" xfId="0" applyFont="1" applyFill="1" applyBorder="1" applyAlignment="1">
      <alignment horizontal="center" vertical="center"/>
    </xf>
    <xf numFmtId="0" fontId="91" fillId="44" borderId="44" xfId="0" applyFont="1" applyFill="1" applyBorder="1" applyAlignment="1">
      <alignment horizontal="left" vertical="top" wrapText="1"/>
    </xf>
    <xf numFmtId="0" fontId="90" fillId="41" borderId="8" xfId="0" applyFont="1" applyFill="1" applyBorder="1" applyAlignment="1">
      <alignment horizontal="center" vertical="center" wrapText="1"/>
    </xf>
    <xf numFmtId="0" fontId="91" fillId="44" borderId="8" xfId="0" applyFont="1" applyFill="1" applyBorder="1" applyAlignment="1">
      <alignment horizontal="left" vertical="top" wrapText="1"/>
    </xf>
    <xf numFmtId="0" fontId="90" fillId="41" borderId="12" xfId="0" applyFont="1" applyFill="1" applyBorder="1" applyAlignment="1">
      <alignment horizontal="center" vertical="center"/>
    </xf>
    <xf numFmtId="0" fontId="84" fillId="0" borderId="0" xfId="0" applyFont="1"/>
    <xf numFmtId="0" fontId="84" fillId="0" borderId="29" xfId="0" applyFont="1" applyBorder="1"/>
    <xf numFmtId="0" fontId="91" fillId="44" borderId="3" xfId="0" applyFont="1" applyFill="1" applyBorder="1" applyAlignment="1">
      <alignment horizontal="left" vertical="top" wrapText="1"/>
    </xf>
    <xf numFmtId="0" fontId="90" fillId="41" borderId="9" xfId="0" applyFont="1" applyFill="1" applyBorder="1" applyAlignment="1">
      <alignment horizontal="center" vertical="center" wrapText="1"/>
    </xf>
    <xf numFmtId="0" fontId="91" fillId="44" borderId="9" xfId="0" applyFont="1" applyFill="1" applyBorder="1" applyAlignment="1">
      <alignment horizontal="left" vertical="top" wrapText="1"/>
    </xf>
    <xf numFmtId="0" fontId="90" fillId="41" borderId="26" xfId="0" applyFont="1" applyFill="1" applyBorder="1" applyAlignment="1">
      <alignment horizontal="center" vertical="center"/>
    </xf>
    <xf numFmtId="0" fontId="84" fillId="0" borderId="30" xfId="0" applyFont="1" applyBorder="1"/>
    <xf numFmtId="0" fontId="91" fillId="44" borderId="4" xfId="0" applyFont="1" applyFill="1" applyBorder="1" applyAlignment="1">
      <alignment horizontal="left" vertical="top" wrapText="1"/>
    </xf>
    <xf numFmtId="0" fontId="90" fillId="41" borderId="10" xfId="0" applyFont="1" applyFill="1" applyBorder="1" applyAlignment="1">
      <alignment horizontal="center" vertical="center" wrapText="1"/>
    </xf>
    <xf numFmtId="0" fontId="85" fillId="43" borderId="13" xfId="0" applyFont="1" applyFill="1" applyBorder="1" applyAlignment="1">
      <alignment horizontal="center" vertical="center" wrapText="1"/>
    </xf>
    <xf numFmtId="0" fontId="89" fillId="0" borderId="0" xfId="0" applyFont="1" applyAlignment="1">
      <alignment horizontal="center" vertical="center" wrapText="1"/>
    </xf>
    <xf numFmtId="0" fontId="85" fillId="0" borderId="13" xfId="0" applyFont="1" applyBorder="1" applyAlignment="1">
      <alignment horizontal="center" vertical="center" wrapText="1"/>
    </xf>
    <xf numFmtId="0" fontId="89" fillId="44" borderId="15" xfId="0" applyFont="1" applyFill="1" applyBorder="1" applyAlignment="1">
      <alignment horizontal="center" vertical="center" wrapText="1"/>
    </xf>
    <xf numFmtId="0" fontId="90" fillId="43" borderId="84" xfId="0" applyFont="1" applyFill="1" applyBorder="1" applyAlignment="1">
      <alignment horizontal="center" vertical="center" wrapText="1"/>
    </xf>
    <xf numFmtId="10" fontId="90" fillId="43" borderId="36" xfId="0" applyNumberFormat="1" applyFont="1" applyFill="1" applyBorder="1" applyAlignment="1">
      <alignment horizontal="center" vertical="center"/>
    </xf>
    <xf numFmtId="0" fontId="92" fillId="0" borderId="0" xfId="0" applyFont="1" applyAlignment="1">
      <alignment horizontal="center"/>
    </xf>
    <xf numFmtId="0" fontId="92" fillId="0" borderId="29" xfId="0" applyFont="1" applyBorder="1" applyAlignment="1">
      <alignment horizontal="center"/>
    </xf>
    <xf numFmtId="0" fontId="85" fillId="43" borderId="53" xfId="0" applyFont="1" applyFill="1" applyBorder="1" applyAlignment="1">
      <alignment horizontal="center" vertical="center"/>
    </xf>
    <xf numFmtId="0" fontId="89" fillId="44" borderId="29" xfId="0" applyFont="1" applyFill="1" applyBorder="1" applyAlignment="1">
      <alignment horizontal="center" vertical="center"/>
    </xf>
    <xf numFmtId="0" fontId="89" fillId="44" borderId="49" xfId="0" applyFont="1" applyFill="1" applyBorder="1" applyAlignment="1">
      <alignment horizontal="center" vertical="center"/>
    </xf>
    <xf numFmtId="0" fontId="85" fillId="43" borderId="85" xfId="0" applyFont="1" applyFill="1" applyBorder="1" applyAlignment="1">
      <alignment horizontal="center" vertical="center"/>
    </xf>
    <xf numFmtId="0" fontId="85" fillId="43" borderId="31" xfId="0" applyFont="1" applyFill="1" applyBorder="1" applyAlignment="1">
      <alignment horizontal="center" vertical="center"/>
    </xf>
    <xf numFmtId="0" fontId="85" fillId="43" borderId="65" xfId="0" applyFont="1" applyFill="1" applyBorder="1" applyAlignment="1">
      <alignment horizontal="center" vertical="center"/>
    </xf>
    <xf numFmtId="0" fontId="85" fillId="43" borderId="32" xfId="0" applyFont="1" applyFill="1" applyBorder="1" applyAlignment="1">
      <alignment horizontal="center" vertical="center"/>
    </xf>
    <xf numFmtId="0" fontId="85" fillId="43" borderId="86" xfId="0" applyFont="1" applyFill="1" applyBorder="1" applyAlignment="1">
      <alignment horizontal="center" vertical="center"/>
    </xf>
    <xf numFmtId="0" fontId="85" fillId="43" borderId="33" xfId="0" applyFont="1" applyFill="1" applyBorder="1" applyAlignment="1">
      <alignment horizontal="center" vertical="center"/>
    </xf>
    <xf numFmtId="0" fontId="85" fillId="43" borderId="0" xfId="0" applyFont="1" applyFill="1" applyAlignment="1">
      <alignment horizontal="center" vertical="center"/>
    </xf>
    <xf numFmtId="0" fontId="91" fillId="44" borderId="49" xfId="0" applyFont="1" applyFill="1" applyBorder="1" applyAlignment="1">
      <alignment horizontal="center" vertical="center"/>
    </xf>
    <xf numFmtId="0" fontId="91" fillId="44" borderId="13" xfId="0" applyFont="1" applyFill="1" applyBorder="1" applyAlignment="1">
      <alignment horizontal="center" vertical="center"/>
    </xf>
    <xf numFmtId="0" fontId="91" fillId="45" borderId="31" xfId="0" applyFont="1" applyFill="1" applyBorder="1" applyAlignment="1">
      <alignment horizontal="center" vertical="center"/>
    </xf>
    <xf numFmtId="0" fontId="91" fillId="44" borderId="85" xfId="0" applyFont="1" applyFill="1" applyBorder="1" applyAlignment="1">
      <alignment horizontal="center" vertical="center"/>
    </xf>
    <xf numFmtId="0" fontId="89" fillId="44" borderId="85" xfId="0" applyFont="1" applyFill="1" applyBorder="1" applyAlignment="1">
      <alignment horizontal="center" vertical="center"/>
    </xf>
    <xf numFmtId="0" fontId="90" fillId="43" borderId="32" xfId="0" applyFont="1" applyFill="1" applyBorder="1" applyAlignment="1">
      <alignment horizontal="center" vertical="center"/>
    </xf>
    <xf numFmtId="0" fontId="91" fillId="44" borderId="65" xfId="0" applyFont="1" applyFill="1" applyBorder="1" applyAlignment="1">
      <alignment horizontal="center" vertical="center"/>
    </xf>
    <xf numFmtId="0" fontId="89" fillId="44" borderId="65" xfId="0" applyFont="1" applyFill="1" applyBorder="1" applyAlignment="1">
      <alignment horizontal="center" vertical="center"/>
    </xf>
    <xf numFmtId="0" fontId="91" fillId="44" borderId="86" xfId="0" applyFont="1" applyFill="1" applyBorder="1" applyAlignment="1">
      <alignment horizontal="center" vertical="center"/>
    </xf>
    <xf numFmtId="0" fontId="88" fillId="0" borderId="2" xfId="0" applyFont="1" applyBorder="1"/>
    <xf numFmtId="0" fontId="89" fillId="44" borderId="86" xfId="0" applyFont="1" applyFill="1" applyBorder="1" applyAlignment="1">
      <alignment horizontal="center" vertical="center"/>
    </xf>
    <xf numFmtId="0" fontId="90" fillId="43" borderId="33" xfId="0" applyFont="1" applyFill="1" applyBorder="1" applyAlignment="1">
      <alignment horizontal="center" vertical="center"/>
    </xf>
    <xf numFmtId="0" fontId="89" fillId="44" borderId="57" xfId="0" applyFont="1" applyFill="1" applyBorder="1" applyAlignment="1">
      <alignment horizontal="center" vertical="center" wrapText="1"/>
    </xf>
    <xf numFmtId="0" fontId="89" fillId="44" borderId="36" xfId="0" applyFont="1" applyFill="1" applyBorder="1" applyAlignment="1">
      <alignment horizontal="center" vertical="center"/>
    </xf>
    <xf numFmtId="0" fontId="92" fillId="0" borderId="0" xfId="0" applyFont="1" applyAlignment="1">
      <alignment horizontal="center" vertical="center"/>
    </xf>
    <xf numFmtId="0" fontId="92" fillId="0" borderId="29" xfId="0" applyFont="1" applyBorder="1" applyAlignment="1">
      <alignment horizontal="center" vertical="center"/>
    </xf>
    <xf numFmtId="0" fontId="89" fillId="45" borderId="57" xfId="0" applyFont="1" applyFill="1" applyBorder="1" applyAlignment="1">
      <alignment horizontal="center" vertical="center" wrapText="1"/>
    </xf>
    <xf numFmtId="0" fontId="89" fillId="45" borderId="36" xfId="0" applyFont="1" applyFill="1" applyBorder="1" applyAlignment="1">
      <alignment horizontal="center" vertical="center"/>
    </xf>
    <xf numFmtId="0" fontId="90" fillId="43" borderId="29" xfId="0" applyFont="1" applyFill="1" applyBorder="1" applyAlignment="1">
      <alignment horizontal="center" vertical="center"/>
    </xf>
    <xf numFmtId="10" fontId="90" fillId="43" borderId="29" xfId="0" applyNumberFormat="1" applyFont="1" applyFill="1" applyBorder="1" applyAlignment="1">
      <alignment horizontal="center" vertical="center"/>
    </xf>
    <xf numFmtId="2" fontId="90" fillId="43" borderId="30" xfId="0" applyNumberFormat="1" applyFont="1" applyFill="1" applyBorder="1" applyAlignment="1">
      <alignment horizontal="center" vertical="center"/>
    </xf>
    <xf numFmtId="0" fontId="90" fillId="43" borderId="30" xfId="0" applyFont="1" applyFill="1" applyBorder="1" applyAlignment="1">
      <alignment horizontal="center" vertical="center"/>
    </xf>
    <xf numFmtId="0" fontId="89" fillId="44" borderId="5" xfId="0" applyFont="1" applyFill="1" applyBorder="1" applyAlignment="1">
      <alignment horizontal="center" vertical="center" wrapText="1"/>
    </xf>
    <xf numFmtId="0" fontId="89" fillId="45" borderId="6" xfId="0" applyFont="1" applyFill="1" applyBorder="1" applyAlignment="1">
      <alignment horizontal="center" vertical="center"/>
    </xf>
    <xf numFmtId="0" fontId="89" fillId="45" borderId="6" xfId="0" applyFont="1" applyFill="1" applyBorder="1" applyAlignment="1">
      <alignment horizontal="center"/>
    </xf>
    <xf numFmtId="0" fontId="89" fillId="45" borderId="7" xfId="0" applyFont="1" applyFill="1" applyBorder="1" applyAlignment="1">
      <alignment horizontal="center"/>
    </xf>
    <xf numFmtId="0" fontId="89" fillId="44" borderId="31" xfId="0" applyFont="1" applyFill="1" applyBorder="1" applyAlignment="1">
      <alignment horizontal="center" vertical="center" wrapText="1"/>
    </xf>
    <xf numFmtId="0" fontId="89" fillId="45" borderId="31" xfId="0" applyFont="1" applyFill="1" applyBorder="1" applyAlignment="1">
      <alignment horizontal="center" vertical="center"/>
    </xf>
    <xf numFmtId="0" fontId="89" fillId="44" borderId="49" xfId="0" applyFont="1" applyFill="1" applyBorder="1" applyAlignment="1">
      <alignment horizontal="center"/>
    </xf>
    <xf numFmtId="0" fontId="89" fillId="45" borderId="49" xfId="0" applyFont="1" applyFill="1" applyBorder="1" applyAlignment="1">
      <alignment horizontal="center"/>
    </xf>
    <xf numFmtId="0" fontId="90" fillId="43" borderId="3" xfId="0" applyFont="1" applyFill="1" applyBorder="1" applyAlignment="1">
      <alignment horizontal="center" vertical="center" wrapText="1"/>
    </xf>
    <xf numFmtId="0" fontId="90" fillId="43" borderId="9" xfId="0" applyFont="1" applyFill="1" applyBorder="1" applyAlignment="1">
      <alignment horizontal="center" vertical="center"/>
    </xf>
    <xf numFmtId="2" fontId="90" fillId="43" borderId="9" xfId="0" applyNumberFormat="1" applyFont="1" applyFill="1" applyBorder="1" applyAlignment="1">
      <alignment horizontal="center"/>
    </xf>
    <xf numFmtId="0" fontId="90" fillId="43" borderId="26" xfId="0" applyFont="1" applyFill="1" applyBorder="1" applyAlignment="1">
      <alignment horizontal="center"/>
    </xf>
    <xf numFmtId="0" fontId="90" fillId="43" borderId="32" xfId="0" applyFont="1" applyFill="1" applyBorder="1" applyAlignment="1">
      <alignment horizontal="center" vertical="center" wrapText="1"/>
    </xf>
    <xf numFmtId="0" fontId="90" fillId="43" borderId="32" xfId="0" applyFont="1" applyFill="1" applyBorder="1" applyAlignment="1">
      <alignment horizontal="center"/>
    </xf>
    <xf numFmtId="0" fontId="85" fillId="43" borderId="4" xfId="0" applyFont="1" applyFill="1" applyBorder="1" applyAlignment="1">
      <alignment horizontal="center" vertical="center" wrapText="1"/>
    </xf>
    <xf numFmtId="2" fontId="85" fillId="43" borderId="10" xfId="0" applyNumberFormat="1" applyFont="1" applyFill="1" applyBorder="1" applyAlignment="1">
      <alignment horizontal="center" vertical="center"/>
    </xf>
    <xf numFmtId="2" fontId="85" fillId="43" borderId="10" xfId="0" applyNumberFormat="1" applyFont="1" applyFill="1" applyBorder="1" applyAlignment="1">
      <alignment horizontal="center"/>
    </xf>
    <xf numFmtId="2" fontId="85" fillId="43" borderId="27" xfId="0" applyNumberFormat="1" applyFont="1" applyFill="1" applyBorder="1" applyAlignment="1">
      <alignment horizontal="center"/>
    </xf>
    <xf numFmtId="0" fontId="85" fillId="43" borderId="33" xfId="0" applyFont="1" applyFill="1" applyBorder="1" applyAlignment="1">
      <alignment horizontal="center" vertical="center" wrapText="1"/>
    </xf>
    <xf numFmtId="2" fontId="85" fillId="43" borderId="84" xfId="0" applyNumberFormat="1" applyFont="1" applyFill="1" applyBorder="1" applyAlignment="1">
      <alignment horizontal="center"/>
    </xf>
    <xf numFmtId="0" fontId="85" fillId="43" borderId="84" xfId="0" applyFont="1" applyFill="1" applyBorder="1" applyAlignment="1">
      <alignment horizontal="center"/>
    </xf>
    <xf numFmtId="0" fontId="89" fillId="44" borderId="84" xfId="0" applyFont="1" applyFill="1" applyBorder="1" applyAlignment="1">
      <alignment horizontal="center" vertical="center"/>
    </xf>
    <xf numFmtId="0" fontId="89" fillId="44" borderId="91" xfId="0" applyFont="1" applyFill="1" applyBorder="1" applyAlignment="1">
      <alignment horizontal="center" vertical="center"/>
    </xf>
    <xf numFmtId="0" fontId="85" fillId="43" borderId="32" xfId="0" applyFont="1" applyFill="1" applyBorder="1" applyAlignment="1">
      <alignment horizontal="center"/>
    </xf>
    <xf numFmtId="0" fontId="85" fillId="43" borderId="33" xfId="0" applyFont="1" applyFill="1" applyBorder="1" applyAlignment="1">
      <alignment horizontal="center"/>
    </xf>
    <xf numFmtId="0" fontId="85" fillId="43" borderId="29" xfId="0" applyFont="1" applyFill="1" applyBorder="1" applyAlignment="1">
      <alignment horizontal="center" vertical="center"/>
    </xf>
    <xf numFmtId="0" fontId="85" fillId="43" borderId="30" xfId="0" applyFont="1" applyFill="1" applyBorder="1" applyAlignment="1">
      <alignment horizontal="center" vertical="center"/>
    </xf>
    <xf numFmtId="0" fontId="90" fillId="43" borderId="36" xfId="0" applyFont="1" applyFill="1" applyBorder="1" applyAlignment="1">
      <alignment horizontal="center"/>
    </xf>
    <xf numFmtId="0" fontId="89" fillId="44" borderId="49" xfId="0" applyFont="1" applyFill="1" applyBorder="1" applyAlignment="1">
      <alignment horizontal="center" vertical="center" wrapText="1"/>
    </xf>
    <xf numFmtId="0" fontId="89" fillId="45" borderId="28" xfId="0" applyFont="1" applyFill="1" applyBorder="1" applyAlignment="1">
      <alignment horizontal="center" vertical="center"/>
    </xf>
    <xf numFmtId="0" fontId="85" fillId="43" borderId="3" xfId="0" applyFont="1" applyFill="1" applyBorder="1" applyAlignment="1">
      <alignment horizontal="center" vertical="center" wrapText="1"/>
    </xf>
    <xf numFmtId="2" fontId="85" fillId="43" borderId="9" xfId="0" applyNumberFormat="1" applyFont="1" applyFill="1" applyBorder="1" applyAlignment="1">
      <alignment horizontal="center"/>
    </xf>
    <xf numFmtId="2" fontId="88" fillId="43" borderId="9" xfId="0" applyNumberFormat="1" applyFont="1" applyFill="1" applyBorder="1" applyAlignment="1">
      <alignment horizontal="center"/>
    </xf>
    <xf numFmtId="0" fontId="85" fillId="43" borderId="10" xfId="0" applyFont="1" applyFill="1" applyBorder="1" applyAlignment="1">
      <alignment horizontal="center" vertical="center"/>
    </xf>
    <xf numFmtId="0" fontId="85" fillId="43" borderId="27" xfId="0" applyFont="1" applyFill="1" applyBorder="1" applyAlignment="1">
      <alignment horizontal="center"/>
    </xf>
    <xf numFmtId="0" fontId="88" fillId="43" borderId="10" xfId="0" applyFont="1" applyFill="1" applyBorder="1" applyAlignment="1">
      <alignment horizontal="center" vertical="center"/>
    </xf>
    <xf numFmtId="2" fontId="88" fillId="43" borderId="10" xfId="0" applyNumberFormat="1" applyFont="1" applyFill="1" applyBorder="1" applyAlignment="1">
      <alignment horizontal="center"/>
    </xf>
    <xf numFmtId="0" fontId="88" fillId="43" borderId="27" xfId="0" applyFont="1" applyFill="1" applyBorder="1" applyAlignment="1">
      <alignment horizontal="center"/>
    </xf>
    <xf numFmtId="0" fontId="88" fillId="0" borderId="0" xfId="0" applyFont="1" applyAlignment="1">
      <alignment horizontal="center" vertical="center" wrapText="1"/>
    </xf>
    <xf numFmtId="0" fontId="89" fillId="0" borderId="0" xfId="0" applyFont="1" applyAlignment="1">
      <alignment horizontal="center" vertical="center"/>
    </xf>
    <xf numFmtId="10" fontId="85" fillId="43" borderId="29" xfId="0" applyNumberFormat="1" applyFont="1" applyFill="1" applyBorder="1" applyAlignment="1">
      <alignment horizontal="center" vertical="center"/>
    </xf>
    <xf numFmtId="2" fontId="90" fillId="43" borderId="32" xfId="0" applyNumberFormat="1" applyFont="1" applyFill="1" applyBorder="1" applyAlignment="1">
      <alignment horizontal="center"/>
    </xf>
    <xf numFmtId="0" fontId="90" fillId="43" borderId="9" xfId="0" applyFont="1" applyFill="1" applyBorder="1" applyAlignment="1">
      <alignment horizontal="center"/>
    </xf>
    <xf numFmtId="0" fontId="88" fillId="43" borderId="53" xfId="0" applyFont="1" applyFill="1" applyBorder="1" applyAlignment="1">
      <alignment horizontal="center" vertical="center"/>
    </xf>
    <xf numFmtId="0" fontId="93" fillId="0" borderId="0" xfId="0" applyFont="1" applyAlignment="1">
      <alignment horizontal="center"/>
    </xf>
    <xf numFmtId="0" fontId="89" fillId="45" borderId="57" xfId="0" applyFont="1" applyFill="1" applyBorder="1" applyAlignment="1">
      <alignment horizontal="center" vertical="center"/>
    </xf>
    <xf numFmtId="0" fontId="89" fillId="45" borderId="36" xfId="0" applyFont="1" applyFill="1" applyBorder="1" applyAlignment="1">
      <alignment horizontal="center"/>
    </xf>
    <xf numFmtId="2" fontId="90" fillId="43" borderId="9" xfId="0" applyNumberFormat="1" applyFont="1" applyFill="1" applyBorder="1" applyAlignment="1">
      <alignment horizontal="center" vertical="center"/>
    </xf>
    <xf numFmtId="0" fontId="90" fillId="43" borderId="26" xfId="0" applyFont="1" applyFill="1" applyBorder="1" applyAlignment="1">
      <alignment horizontal="center" vertical="center"/>
    </xf>
    <xf numFmtId="2" fontId="90" fillId="43" borderId="32" xfId="0" applyNumberFormat="1" applyFont="1" applyFill="1" applyBorder="1" applyAlignment="1">
      <alignment horizontal="center" vertical="center"/>
    </xf>
    <xf numFmtId="0" fontId="85" fillId="43" borderId="27" xfId="0" applyFont="1" applyFill="1" applyBorder="1" applyAlignment="1">
      <alignment horizontal="center" vertical="center"/>
    </xf>
    <xf numFmtId="0" fontId="90" fillId="43" borderId="38" xfId="0" applyFont="1" applyFill="1" applyBorder="1" applyAlignment="1">
      <alignment horizontal="center" vertical="center"/>
    </xf>
    <xf numFmtId="2" fontId="90" fillId="43" borderId="33" xfId="0" applyNumberFormat="1" applyFont="1" applyFill="1" applyBorder="1" applyAlignment="1">
      <alignment horizontal="center" vertical="center"/>
    </xf>
    <xf numFmtId="0" fontId="85" fillId="0" borderId="0" xfId="0" applyFont="1" applyAlignment="1">
      <alignment horizontal="center" vertical="center" wrapText="1"/>
    </xf>
    <xf numFmtId="0" fontId="89" fillId="44" borderId="28" xfId="0" applyFont="1" applyFill="1" applyBorder="1" applyAlignment="1">
      <alignment horizontal="center"/>
    </xf>
    <xf numFmtId="0" fontId="85" fillId="43" borderId="32" xfId="0" applyFont="1" applyFill="1" applyBorder="1" applyAlignment="1">
      <alignment horizontal="center" vertical="center" wrapText="1"/>
    </xf>
    <xf numFmtId="2" fontId="85" fillId="43" borderId="30" xfId="0" applyNumberFormat="1" applyFont="1" applyFill="1" applyBorder="1" applyAlignment="1">
      <alignment horizontal="center" vertical="center"/>
    </xf>
    <xf numFmtId="0" fontId="88" fillId="43" borderId="10" xfId="0" applyFont="1" applyFill="1" applyBorder="1" applyAlignment="1">
      <alignment horizontal="center"/>
    </xf>
    <xf numFmtId="0" fontId="85" fillId="43" borderId="32" xfId="0" applyFont="1" applyFill="1" applyBorder="1"/>
    <xf numFmtId="0" fontId="85" fillId="43" borderId="33" xfId="0" applyFont="1" applyFill="1" applyBorder="1"/>
    <xf numFmtId="0" fontId="85" fillId="43" borderId="36" xfId="0" applyFont="1" applyFill="1" applyBorder="1" applyAlignment="1">
      <alignment horizontal="center" vertical="center" wrapText="1"/>
    </xf>
    <xf numFmtId="14" fontId="90" fillId="43" borderId="36" xfId="0" applyNumberFormat="1" applyFont="1" applyFill="1" applyBorder="1" applyAlignment="1">
      <alignment horizontal="center" vertical="center" wrapText="1"/>
    </xf>
    <xf numFmtId="0" fontId="85" fillId="0" borderId="0" xfId="0" applyFont="1" applyAlignment="1">
      <alignment wrapText="1"/>
    </xf>
    <xf numFmtId="0" fontId="92" fillId="0" borderId="0" xfId="0" applyFont="1" applyAlignment="1">
      <alignment horizontal="center" vertical="center" wrapText="1"/>
    </xf>
    <xf numFmtId="0" fontId="92" fillId="0" borderId="29" xfId="0" applyFont="1" applyBorder="1" applyAlignment="1">
      <alignment horizontal="center" vertical="center" wrapText="1"/>
    </xf>
    <xf numFmtId="0" fontId="88" fillId="0" borderId="0" xfId="0" applyFont="1" applyAlignment="1">
      <alignment wrapText="1"/>
    </xf>
    <xf numFmtId="10" fontId="85" fillId="43" borderId="36" xfId="0" applyNumberFormat="1" applyFont="1" applyFill="1" applyBorder="1" applyAlignment="1">
      <alignment horizontal="center" vertical="center"/>
    </xf>
    <xf numFmtId="0" fontId="90" fillId="0" borderId="0" xfId="0" applyFont="1" applyAlignment="1">
      <alignment horizontal="center"/>
    </xf>
    <xf numFmtId="0" fontId="85" fillId="43" borderId="36" xfId="0" applyFont="1" applyFill="1" applyBorder="1" applyAlignment="1">
      <alignment horizontal="center" vertical="center"/>
    </xf>
    <xf numFmtId="0" fontId="85" fillId="43" borderId="46" xfId="0" applyFont="1" applyFill="1" applyBorder="1" applyAlignment="1">
      <alignment horizontal="center" vertical="center"/>
    </xf>
    <xf numFmtId="2" fontId="88" fillId="43" borderId="53" xfId="0" applyNumberFormat="1" applyFont="1" applyFill="1" applyBorder="1" applyAlignment="1">
      <alignment horizontal="center" vertical="center"/>
    </xf>
    <xf numFmtId="0" fontId="85" fillId="0" borderId="36" xfId="0" applyFont="1" applyBorder="1" applyAlignment="1">
      <alignment horizontal="center" vertical="center" wrapText="1"/>
    </xf>
    <xf numFmtId="0" fontId="91" fillId="44" borderId="71" xfId="0" applyFont="1" applyFill="1" applyBorder="1" applyAlignment="1">
      <alignment horizontal="center" vertical="center"/>
    </xf>
    <xf numFmtId="0" fontId="85" fillId="43" borderId="92" xfId="0" applyFont="1" applyFill="1" applyBorder="1" applyAlignment="1">
      <alignment horizontal="center" vertical="center"/>
    </xf>
    <xf numFmtId="0" fontId="89" fillId="45" borderId="31" xfId="0" applyFont="1" applyFill="1" applyBorder="1" applyAlignment="1">
      <alignment horizontal="center" vertical="center" wrapText="1"/>
    </xf>
    <xf numFmtId="0" fontId="89" fillId="45" borderId="70" xfId="0" applyFont="1" applyFill="1" applyBorder="1" applyAlignment="1">
      <alignment horizontal="center" vertical="center" wrapText="1"/>
    </xf>
    <xf numFmtId="0" fontId="89" fillId="45" borderId="43" xfId="0" applyFont="1" applyFill="1" applyBorder="1" applyAlignment="1">
      <alignment horizontal="center" vertical="center" wrapText="1"/>
    </xf>
    <xf numFmtId="0" fontId="89" fillId="45" borderId="46" xfId="0" applyFont="1" applyFill="1" applyBorder="1" applyAlignment="1">
      <alignment horizontal="center" vertical="center" wrapText="1"/>
    </xf>
    <xf numFmtId="2" fontId="90" fillId="0" borderId="33" xfId="0" applyNumberFormat="1" applyFont="1" applyBorder="1" applyAlignment="1">
      <alignment horizontal="center" vertical="center"/>
    </xf>
    <xf numFmtId="0" fontId="90" fillId="0" borderId="66" xfId="0" applyFont="1" applyBorder="1" applyAlignment="1">
      <alignment horizontal="center" vertical="center"/>
    </xf>
    <xf numFmtId="0" fontId="90" fillId="0" borderId="33" xfId="0" applyFont="1" applyBorder="1" applyAlignment="1">
      <alignment horizontal="center" vertical="center"/>
    </xf>
    <xf numFmtId="14" fontId="90" fillId="0" borderId="40" xfId="0" applyNumberFormat="1" applyFont="1" applyBorder="1" applyAlignment="1">
      <alignment horizontal="center" vertical="center"/>
    </xf>
    <xf numFmtId="14" fontId="85" fillId="43" borderId="84" xfId="0" applyNumberFormat="1" applyFont="1" applyFill="1" applyBorder="1" applyAlignment="1">
      <alignment horizontal="center" vertical="center" wrapText="1"/>
    </xf>
    <xf numFmtId="14" fontId="85" fillId="43" borderId="36" xfId="0" applyNumberFormat="1" applyFont="1" applyFill="1" applyBorder="1" applyAlignment="1">
      <alignment horizontal="center" vertical="center" wrapText="1"/>
    </xf>
    <xf numFmtId="2" fontId="90" fillId="43" borderId="36" xfId="0" applyNumberFormat="1" applyFont="1" applyFill="1" applyBorder="1" applyAlignment="1">
      <alignment horizontal="center" vertical="center" wrapText="1"/>
    </xf>
    <xf numFmtId="3" fontId="85" fillId="43" borderId="31" xfId="0" applyNumberFormat="1" applyFont="1" applyFill="1" applyBorder="1" applyAlignment="1">
      <alignment horizontal="center" vertical="center" wrapText="1"/>
    </xf>
    <xf numFmtId="2" fontId="90" fillId="43" borderId="31" xfId="0" applyNumberFormat="1" applyFont="1" applyFill="1" applyBorder="1" applyAlignment="1">
      <alignment horizontal="center" vertical="center" wrapText="1"/>
    </xf>
    <xf numFmtId="0" fontId="90" fillId="43" borderId="31" xfId="0" applyFont="1" applyFill="1" applyBorder="1" applyAlignment="1">
      <alignment horizontal="center" vertical="center" wrapText="1"/>
    </xf>
    <xf numFmtId="0" fontId="85" fillId="0" borderId="0" xfId="0" applyFont="1" applyAlignment="1">
      <alignment horizontal="center" vertical="center"/>
    </xf>
    <xf numFmtId="0" fontId="91" fillId="44" borderId="91" xfId="0" applyFont="1" applyFill="1" applyBorder="1" applyAlignment="1">
      <alignment horizontal="center" vertical="center"/>
    </xf>
    <xf numFmtId="0" fontId="91" fillId="45" borderId="35" xfId="0" applyFont="1" applyFill="1" applyBorder="1" applyAlignment="1">
      <alignment horizontal="center" vertical="center"/>
    </xf>
    <xf numFmtId="0" fontId="85" fillId="43" borderId="37" xfId="0" applyFont="1" applyFill="1" applyBorder="1" applyAlignment="1">
      <alignment horizontal="center" vertical="center"/>
    </xf>
    <xf numFmtId="0" fontId="85" fillId="43" borderId="38" xfId="0" applyFont="1" applyFill="1" applyBorder="1" applyAlignment="1">
      <alignment horizontal="center" vertical="center"/>
    </xf>
    <xf numFmtId="0" fontId="90" fillId="43" borderId="37" xfId="0" applyFont="1" applyFill="1" applyBorder="1" applyAlignment="1">
      <alignment horizontal="center" vertical="center"/>
    </xf>
    <xf numFmtId="0" fontId="0" fillId="0" borderId="0" xfId="0"/>
    <xf numFmtId="0" fontId="85" fillId="47" borderId="30" xfId="0" applyFont="1" applyFill="1" applyBorder="1" applyAlignment="1">
      <alignment horizontal="center" vertical="center" wrapText="1"/>
    </xf>
    <xf numFmtId="0" fontId="10" fillId="3" borderId="9" xfId="0" applyFont="1" applyFill="1" applyBorder="1" applyAlignment="1">
      <alignment horizontal="left" vertical="center" wrapText="1"/>
    </xf>
    <xf numFmtId="0" fontId="5" fillId="0" borderId="34" xfId="0" applyFont="1" applyBorder="1" applyAlignment="1" applyProtection="1">
      <alignment horizontal="center" vertical="center" wrapText="1"/>
      <protection locked="0"/>
    </xf>
    <xf numFmtId="0" fontId="1" fillId="6" borderId="41" xfId="0" applyFont="1" applyFill="1" applyBorder="1" applyAlignment="1" applyProtection="1">
      <alignment horizontal="left" vertical="center" wrapText="1"/>
    </xf>
    <xf numFmtId="0" fontId="1" fillId="6" borderId="41" xfId="0" applyFont="1" applyFill="1" applyBorder="1" applyAlignment="1" applyProtection="1">
      <alignment vertical="top" wrapText="1"/>
    </xf>
    <xf numFmtId="0" fontId="1" fillId="6" borderId="41" xfId="0" applyFont="1" applyFill="1" applyBorder="1" applyAlignment="1" applyProtection="1">
      <alignment wrapText="1"/>
    </xf>
    <xf numFmtId="0" fontId="1" fillId="6" borderId="39" xfId="0" applyFont="1" applyFill="1" applyBorder="1" applyAlignment="1" applyProtection="1">
      <alignment wrapText="1"/>
    </xf>
    <xf numFmtId="0" fontId="5" fillId="0" borderId="7" xfId="0" applyFont="1" applyBorder="1" applyAlignment="1" applyProtection="1">
      <alignment horizontal="center" vertical="center"/>
    </xf>
    <xf numFmtId="0" fontId="1" fillId="6" borderId="26" xfId="0" applyFont="1" applyFill="1" applyBorder="1" applyAlignment="1" applyProtection="1">
      <alignment horizontal="center" vertical="center"/>
    </xf>
    <xf numFmtId="0" fontId="0" fillId="0" borderId="9" xfId="0" applyBorder="1" applyAlignment="1">
      <alignment wrapText="1"/>
    </xf>
    <xf numFmtId="0" fontId="0" fillId="0" borderId="50" xfId="0" applyBorder="1" applyAlignment="1">
      <alignment wrapText="1"/>
    </xf>
    <xf numFmtId="0" fontId="0" fillId="0" borderId="0" xfId="0" applyNumberFormat="1" applyAlignment="1">
      <alignment vertical="center"/>
    </xf>
    <xf numFmtId="0" fontId="0" fillId="0" borderId="16" xfId="0" applyBorder="1"/>
    <xf numFmtId="169" fontId="90" fillId="43" borderId="36" xfId="0" applyNumberFormat="1" applyFont="1" applyFill="1" applyBorder="1" applyAlignment="1">
      <alignment horizontal="center" vertical="center" wrapText="1"/>
    </xf>
    <xf numFmtId="165" fontId="90" fillId="43" borderId="36" xfId="0" applyNumberFormat="1" applyFont="1" applyFill="1" applyBorder="1" applyAlignment="1">
      <alignment horizontal="center" vertical="center"/>
    </xf>
    <xf numFmtId="0" fontId="9" fillId="6" borderId="4" xfId="0" applyFont="1" applyFill="1" applyBorder="1" applyAlignment="1">
      <alignment horizontal="center"/>
    </xf>
    <xf numFmtId="2" fontId="21" fillId="6" borderId="7" xfId="0" applyNumberFormat="1" applyFont="1" applyFill="1" applyBorder="1" applyAlignment="1" applyProtection="1">
      <alignment horizontal="center"/>
    </xf>
    <xf numFmtId="2" fontId="21" fillId="6" borderId="26" xfId="0" applyNumberFormat="1" applyFont="1" applyFill="1" applyBorder="1" applyAlignment="1" applyProtection="1">
      <alignment horizontal="center"/>
    </xf>
    <xf numFmtId="2" fontId="21" fillId="6" borderId="27" xfId="0" applyNumberFormat="1" applyFont="1" applyFill="1" applyBorder="1" applyAlignment="1" applyProtection="1">
      <alignment horizontal="center"/>
    </xf>
    <xf numFmtId="0" fontId="8" fillId="3" borderId="0" xfId="0" applyFont="1" applyFill="1" applyAlignment="1">
      <alignment horizontal="center"/>
    </xf>
    <xf numFmtId="0" fontId="0" fillId="0" borderId="23" xfId="0" applyBorder="1"/>
    <xf numFmtId="0" fontId="0" fillId="3" borderId="41" xfId="0" applyFill="1" applyBorder="1"/>
    <xf numFmtId="0" fontId="0" fillId="0" borderId="9" xfId="0" applyBorder="1" applyAlignment="1">
      <alignment horizontal="left"/>
    </xf>
    <xf numFmtId="0" fontId="0" fillId="0" borderId="9" xfId="0" applyBorder="1" applyAlignment="1">
      <alignment horizontal="left" wrapText="1"/>
    </xf>
    <xf numFmtId="0" fontId="0" fillId="0" borderId="9" xfId="0" applyBorder="1" applyAlignment="1">
      <alignment horizontal="left" vertical="center" wrapText="1"/>
    </xf>
    <xf numFmtId="0" fontId="0" fillId="0" borderId="41" xfId="0" applyBorder="1" applyAlignment="1">
      <alignment horizontal="left" vertical="center" wrapText="1"/>
    </xf>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0" fontId="0" fillId="6" borderId="9" xfId="2" applyNumberFormat="1" applyFont="1" applyFill="1" applyBorder="1" applyAlignment="1" applyProtection="1">
      <alignment horizontal="center" vertical="center" wrapText="1"/>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0" fontId="3" fillId="7" borderId="57" xfId="0" applyFont="1" applyFill="1" applyBorder="1" applyAlignment="1" applyProtection="1">
      <alignment horizontal="center" vertical="center" wrapText="1"/>
      <protection locked="0"/>
    </xf>
    <xf numFmtId="0" fontId="85" fillId="43" borderId="13" xfId="0" applyFont="1" applyFill="1" applyBorder="1" applyAlignment="1">
      <alignment horizontal="center" vertical="center" wrapText="1"/>
    </xf>
    <xf numFmtId="0" fontId="0" fillId="0" borderId="0" xfId="0"/>
    <xf numFmtId="2" fontId="0" fillId="3" borderId="30" xfId="0" applyNumberFormat="1" applyFill="1" applyBorder="1" applyAlignment="1">
      <alignment horizontal="right"/>
    </xf>
    <xf numFmtId="0" fontId="8" fillId="0" borderId="0" xfId="0" applyFont="1" applyAlignment="1">
      <alignment horizontal="right" vertical="center"/>
    </xf>
    <xf numFmtId="2" fontId="90" fillId="43" borderId="32" xfId="0" applyNumberFormat="1" applyFont="1" applyFill="1" applyBorder="1" applyAlignment="1">
      <alignment horizontal="center" vertical="center" wrapText="1"/>
    </xf>
    <xf numFmtId="0" fontId="0" fillId="0" borderId="0" xfId="0"/>
    <xf numFmtId="0" fontId="21" fillId="3" borderId="0" xfId="0" applyFont="1" applyFill="1" applyAlignment="1">
      <alignment horizontal="right" vertical="center"/>
    </xf>
    <xf numFmtId="0" fontId="0" fillId="3" borderId="9" xfId="0" applyFill="1" applyBorder="1" applyAlignment="1">
      <alignment horizontal="center" vertical="center"/>
    </xf>
    <xf numFmtId="0" fontId="0" fillId="0" borderId="0" xfId="0"/>
    <xf numFmtId="0" fontId="0" fillId="0" borderId="41" xfId="0" applyBorder="1"/>
    <xf numFmtId="0" fontId="0" fillId="0" borderId="42" xfId="0" applyBorder="1"/>
    <xf numFmtId="0" fontId="0" fillId="0" borderId="9" xfId="0" applyBorder="1"/>
    <xf numFmtId="0" fontId="0" fillId="0" borderId="3" xfId="0" applyBorder="1"/>
    <xf numFmtId="0" fontId="0" fillId="0" borderId="50" xfId="0" applyBorder="1"/>
    <xf numFmtId="0" fontId="0" fillId="0" borderId="9" xfId="0" applyBorder="1"/>
    <xf numFmtId="0" fontId="3" fillId="31" borderId="36" xfId="0" applyFont="1" applyFill="1" applyBorder="1" applyAlignment="1" applyProtection="1">
      <alignment horizontal="center" vertical="center" wrapText="1"/>
      <protection locked="0"/>
    </xf>
    <xf numFmtId="0" fontId="0" fillId="6" borderId="8" xfId="0" applyFill="1" applyBorder="1" applyAlignment="1">
      <alignment horizontal="center" vertical="center"/>
    </xf>
    <xf numFmtId="0" fontId="0" fillId="34" borderId="8" xfId="0" applyFill="1" applyBorder="1" applyAlignment="1" applyProtection="1">
      <alignment horizontal="center" vertical="center"/>
      <protection locked="0"/>
    </xf>
    <xf numFmtId="0" fontId="0" fillId="0" borderId="8" xfId="0" applyBorder="1" applyAlignment="1">
      <alignment horizontal="center" vertical="center"/>
    </xf>
    <xf numFmtId="0" fontId="3" fillId="10" borderId="0" xfId="0" applyFont="1" applyFill="1" applyAlignment="1">
      <alignment horizontal="left" vertical="center"/>
    </xf>
    <xf numFmtId="172" fontId="3" fillId="10" borderId="0" xfId="0" applyNumberFormat="1" applyFont="1" applyFill="1" applyAlignment="1">
      <alignment horizontal="left" vertical="center"/>
    </xf>
    <xf numFmtId="0" fontId="8" fillId="11" borderId="57" xfId="0" applyFont="1" applyFill="1" applyBorder="1" applyAlignment="1">
      <alignment horizontal="center" vertical="center" wrapText="1"/>
    </xf>
    <xf numFmtId="0" fontId="0" fillId="31" borderId="9" xfId="3" applyNumberFormat="1" applyFont="1" applyFill="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0" fillId="0" borderId="0" xfId="0" applyAlignment="1">
      <alignment horizontal="right"/>
    </xf>
    <xf numFmtId="0" fontId="0" fillId="0" borderId="9" xfId="0" applyBorder="1" applyAlignment="1">
      <alignment horizontal="right"/>
    </xf>
    <xf numFmtId="0" fontId="0" fillId="6" borderId="8" xfId="0" applyFill="1" applyBorder="1" applyAlignment="1" applyProtection="1">
      <alignment horizontal="center" vertical="center" wrapText="1"/>
    </xf>
    <xf numFmtId="0" fontId="0" fillId="35" borderId="9" xfId="0" applyFill="1" applyBorder="1" applyAlignment="1">
      <alignment horizontal="right" vertical="center"/>
    </xf>
    <xf numFmtId="0" fontId="0" fillId="0" borderId="9" xfId="0" applyBorder="1" applyAlignment="1">
      <alignment horizontal="right" vertical="top"/>
    </xf>
    <xf numFmtId="0" fontId="3" fillId="2" borderId="36" xfId="0" applyFont="1" applyFill="1" applyBorder="1" applyAlignment="1" applyProtection="1">
      <alignment horizontal="center" vertical="center" wrapText="1"/>
    </xf>
    <xf numFmtId="0" fontId="27" fillId="0" borderId="0" xfId="0" applyFont="1"/>
    <xf numFmtId="0" fontId="27" fillId="0" borderId="11" xfId="0" applyFont="1" applyBorder="1" applyAlignment="1">
      <alignment vertical="center"/>
    </xf>
    <xf numFmtId="0" fontId="27" fillId="0" borderId="0" xfId="0" applyFont="1" applyAlignment="1">
      <alignment vertical="center"/>
    </xf>
    <xf numFmtId="0" fontId="27" fillId="10" borderId="18" xfId="0" applyFont="1" applyFill="1" applyBorder="1" applyAlignment="1">
      <alignment horizontal="center" vertical="center"/>
    </xf>
    <xf numFmtId="0" fontId="27" fillId="48" borderId="0" xfId="0" applyFont="1" applyFill="1" applyAlignment="1">
      <alignment horizontal="center" vertical="center"/>
    </xf>
    <xf numFmtId="0" fontId="27" fillId="3" borderId="0" xfId="0" applyFont="1" applyFill="1" applyAlignment="1">
      <alignment horizontal="center" vertical="center"/>
    </xf>
    <xf numFmtId="0" fontId="27" fillId="10" borderId="0" xfId="0" applyFont="1" applyFill="1"/>
    <xf numFmtId="0" fontId="27" fillId="10" borderId="22" xfId="0" applyFont="1" applyFill="1" applyBorder="1"/>
    <xf numFmtId="0" fontId="27" fillId="3" borderId="0" xfId="0" applyFont="1" applyFill="1"/>
    <xf numFmtId="0" fontId="27" fillId="10" borderId="18" xfId="0" applyFont="1" applyFill="1" applyBorder="1"/>
    <xf numFmtId="0" fontId="94" fillId="0" borderId="0" xfId="0" applyFont="1"/>
    <xf numFmtId="0" fontId="27" fillId="0" borderId="2" xfId="0" applyFont="1" applyBorder="1"/>
    <xf numFmtId="169" fontId="56" fillId="10" borderId="0" xfId="3" applyNumberFormat="1" applyFont="1" applyFill="1" applyBorder="1" applyAlignment="1">
      <alignment vertical="center" wrapText="1"/>
    </xf>
    <xf numFmtId="169" fontId="56" fillId="10" borderId="22" xfId="3" applyNumberFormat="1" applyFont="1" applyFill="1" applyBorder="1" applyAlignment="1">
      <alignment vertical="center" wrapText="1"/>
    </xf>
    <xf numFmtId="0" fontId="0" fillId="0" borderId="0" xfId="0"/>
    <xf numFmtId="0" fontId="0" fillId="0" borderId="0" xfId="0" applyAlignment="1">
      <alignment horizontal="right"/>
    </xf>
    <xf numFmtId="0" fontId="0" fillId="0" borderId="9" xfId="0" applyBorder="1"/>
    <xf numFmtId="0" fontId="0" fillId="0" borderId="0" xfId="0"/>
    <xf numFmtId="0" fontId="0" fillId="6" borderId="8" xfId="0" applyNumberFormat="1" applyFill="1" applyBorder="1" applyAlignment="1" applyProtection="1">
      <alignment horizontal="center" vertical="center"/>
    </xf>
    <xf numFmtId="0" fontId="0" fillId="0" borderId="9" xfId="0" applyBorder="1"/>
    <xf numFmtId="0" fontId="0" fillId="0" borderId="9" xfId="0" applyBorder="1"/>
    <xf numFmtId="1" fontId="0" fillId="6" borderId="36" xfId="3" applyNumberFormat="1" applyFont="1" applyFill="1" applyBorder="1" applyAlignment="1" applyProtection="1">
      <alignment horizontal="center" vertical="center"/>
    </xf>
    <xf numFmtId="0" fontId="0" fillId="0" borderId="9" xfId="0" applyBorder="1"/>
    <xf numFmtId="0" fontId="21" fillId="3" borderId="10" xfId="0" applyFont="1" applyFill="1" applyBorder="1" applyAlignment="1" applyProtection="1">
      <alignment horizontal="right" vertical="center"/>
      <protection locked="0"/>
    </xf>
    <xf numFmtId="0" fontId="21" fillId="3" borderId="66" xfId="0" applyFont="1" applyFill="1" applyBorder="1" applyAlignment="1" applyProtection="1">
      <alignment horizontal="right" vertical="center"/>
      <protection locked="0"/>
    </xf>
    <xf numFmtId="0" fontId="21" fillId="30" borderId="66" xfId="0" applyFont="1" applyFill="1" applyBorder="1" applyAlignment="1" applyProtection="1">
      <alignment horizontal="right" vertical="center"/>
    </xf>
    <xf numFmtId="169" fontId="21" fillId="7" borderId="5" xfId="3" applyNumberFormat="1" applyFont="1" applyFill="1" applyBorder="1" applyProtection="1"/>
    <xf numFmtId="175" fontId="4" fillId="7" borderId="6" xfId="1" applyNumberFormat="1" applyFont="1" applyFill="1" applyBorder="1" applyAlignment="1" applyProtection="1">
      <alignment horizontal="center"/>
    </xf>
    <xf numFmtId="0" fontId="65" fillId="7" borderId="6" xfId="0" applyFont="1" applyFill="1" applyBorder="1" applyProtection="1"/>
    <xf numFmtId="1" fontId="21" fillId="7" borderId="6" xfId="1" quotePrefix="1" applyNumberFormat="1" applyFont="1" applyFill="1" applyBorder="1" applyAlignment="1" applyProtection="1">
      <alignment horizontal="center"/>
    </xf>
    <xf numFmtId="9" fontId="21" fillId="7" borderId="6" xfId="1" quotePrefix="1" applyNumberFormat="1" applyFont="1" applyFill="1" applyBorder="1" applyAlignment="1" applyProtection="1">
      <alignment horizontal="center"/>
    </xf>
    <xf numFmtId="1" fontId="21" fillId="7" borderId="9" xfId="1" quotePrefix="1" applyNumberFormat="1" applyFont="1" applyFill="1" applyBorder="1" applyAlignment="1" applyProtection="1">
      <alignment horizontal="center"/>
    </xf>
    <xf numFmtId="169" fontId="21" fillId="7" borderId="3" xfId="3" applyNumberFormat="1" applyFont="1" applyFill="1" applyBorder="1" applyProtection="1"/>
    <xf numFmtId="175" fontId="4" fillId="7" borderId="9" xfId="1" applyNumberFormat="1" applyFont="1" applyFill="1" applyBorder="1" applyAlignment="1" applyProtection="1">
      <alignment horizontal="center"/>
    </xf>
    <xf numFmtId="0" fontId="65" fillId="7" borderId="9" xfId="0" applyFont="1" applyFill="1" applyBorder="1" applyProtection="1"/>
    <xf numFmtId="9" fontId="21" fillId="7" borderId="9" xfId="1" quotePrefix="1" applyNumberFormat="1" applyFont="1" applyFill="1" applyBorder="1" applyAlignment="1" applyProtection="1">
      <alignment horizontal="center"/>
    </xf>
    <xf numFmtId="175" fontId="1" fillId="0" borderId="10" xfId="1" applyNumberFormat="1" applyFont="1" applyBorder="1" applyAlignment="1" applyProtection="1">
      <alignment horizontal="center"/>
    </xf>
    <xf numFmtId="169" fontId="21" fillId="7" borderId="4" xfId="3" applyNumberFormat="1" applyFont="1" applyFill="1" applyBorder="1" applyProtection="1"/>
    <xf numFmtId="175" fontId="4" fillId="7" borderId="10" xfId="1" applyNumberFormat="1" applyFont="1" applyFill="1" applyBorder="1" applyAlignment="1" applyProtection="1">
      <alignment horizontal="center"/>
    </xf>
    <xf numFmtId="0" fontId="65" fillId="7" borderId="10" xfId="0" applyFont="1" applyFill="1" applyBorder="1" applyProtection="1"/>
    <xf numFmtId="1" fontId="21" fillId="7" borderId="10" xfId="1" quotePrefix="1" applyNumberFormat="1" applyFont="1" applyFill="1" applyBorder="1" applyAlignment="1" applyProtection="1">
      <alignment horizontal="center"/>
    </xf>
    <xf numFmtId="9" fontId="21" fillId="7" borderId="10" xfId="1" quotePrefix="1" applyNumberFormat="1" applyFont="1" applyFill="1" applyBorder="1" applyAlignment="1" applyProtection="1">
      <alignment horizontal="center"/>
    </xf>
    <xf numFmtId="0" fontId="8" fillId="10" borderId="0" xfId="0" applyFont="1" applyFill="1" applyAlignment="1">
      <alignment vertical="center"/>
    </xf>
    <xf numFmtId="0" fontId="0" fillId="0" borderId="9" xfId="0" applyBorder="1"/>
    <xf numFmtId="0" fontId="10" fillId="30" borderId="4" xfId="0" applyFont="1" applyFill="1" applyBorder="1" applyAlignment="1">
      <alignment horizontal="left" vertical="center"/>
    </xf>
    <xf numFmtId="0" fontId="0" fillId="3" borderId="13" xfId="0" applyFill="1" applyBorder="1" applyProtection="1"/>
    <xf numFmtId="0" fontId="0" fillId="3" borderId="14" xfId="0" applyFill="1" applyBorder="1" applyProtection="1"/>
    <xf numFmtId="0" fontId="10" fillId="3" borderId="14" xfId="0" applyFont="1" applyFill="1" applyBorder="1" applyProtection="1"/>
    <xf numFmtId="0" fontId="0" fillId="3" borderId="15" xfId="0" applyFill="1" applyBorder="1" applyProtection="1"/>
    <xf numFmtId="0" fontId="45" fillId="10" borderId="18" xfId="0" applyFont="1" applyFill="1" applyBorder="1" applyAlignment="1">
      <alignment vertical="center"/>
    </xf>
    <xf numFmtId="0" fontId="0" fillId="0" borderId="0" xfId="0"/>
    <xf numFmtId="0" fontId="0" fillId="0" borderId="9" xfId="0" applyBorder="1"/>
    <xf numFmtId="0" fontId="0" fillId="0" borderId="11" xfId="0" applyBorder="1" applyAlignment="1" applyProtection="1">
      <alignment vertical="center"/>
    </xf>
    <xf numFmtId="0" fontId="0" fillId="3" borderId="2" xfId="0" applyFill="1" applyBorder="1" applyAlignment="1" applyProtection="1">
      <alignment horizontal="left" indent="1"/>
    </xf>
    <xf numFmtId="0" fontId="0" fillId="3" borderId="2" xfId="0" applyFill="1" applyBorder="1" applyProtection="1"/>
    <xf numFmtId="0" fontId="0" fillId="0" borderId="0" xfId="0"/>
    <xf numFmtId="0" fontId="0" fillId="0" borderId="9" xfId="0" applyBorder="1"/>
    <xf numFmtId="0" fontId="0" fillId="0" borderId="9" xfId="0" applyBorder="1" applyAlignment="1">
      <alignment horizontal="right"/>
    </xf>
    <xf numFmtId="0" fontId="0" fillId="0" borderId="0" xfId="0"/>
    <xf numFmtId="0" fontId="0" fillId="0" borderId="0" xfId="0" applyAlignment="1">
      <alignment vertical="center"/>
    </xf>
    <xf numFmtId="0" fontId="0" fillId="0" borderId="0" xfId="0" applyAlignment="1">
      <alignment horizontal="center"/>
    </xf>
    <xf numFmtId="0" fontId="1" fillId="28" borderId="0" xfId="0" applyFont="1" applyFill="1" applyAlignment="1">
      <alignment horizontal="center" wrapText="1"/>
    </xf>
    <xf numFmtId="0" fontId="1" fillId="21" borderId="0" xfId="0" applyFont="1" applyFill="1" applyAlignment="1">
      <alignment horizontal="center" wrapText="1"/>
    </xf>
    <xf numFmtId="0" fontId="1" fillId="23" borderId="0" xfId="0" applyFont="1" applyFill="1" applyAlignment="1">
      <alignment horizontal="center" wrapText="1"/>
    </xf>
    <xf numFmtId="166" fontId="4" fillId="7" borderId="0" xfId="0" applyNumberFormat="1" applyFont="1" applyFill="1" applyBorder="1" applyAlignment="1">
      <alignment horizontal="center"/>
    </xf>
    <xf numFmtId="0" fontId="1" fillId="0" borderId="9" xfId="0" applyFont="1" applyBorder="1" applyAlignment="1">
      <alignment horizontal="center"/>
    </xf>
    <xf numFmtId="0" fontId="0" fillId="0" borderId="9" xfId="0" applyBorder="1"/>
    <xf numFmtId="0" fontId="0" fillId="0" borderId="9" xfId="0" applyBorder="1" applyAlignment="1">
      <alignment horizontal="right"/>
    </xf>
    <xf numFmtId="0" fontId="0" fillId="0" borderId="50" xfId="0" applyBorder="1"/>
    <xf numFmtId="0" fontId="0" fillId="0" borderId="57" xfId="0" applyBorder="1" applyProtection="1"/>
    <xf numFmtId="0" fontId="1" fillId="0" borderId="60" xfId="0" applyFont="1" applyBorder="1" applyAlignment="1" applyProtection="1">
      <protection locked="0"/>
    </xf>
    <xf numFmtId="0" fontId="0" fillId="0" borderId="0" xfId="0"/>
    <xf numFmtId="0" fontId="0" fillId="0" borderId="0" xfId="0"/>
    <xf numFmtId="180" fontId="0" fillId="2" borderId="8" xfId="0" applyNumberFormat="1" applyFill="1" applyBorder="1" applyAlignment="1" applyProtection="1">
      <alignment horizontal="center"/>
    </xf>
    <xf numFmtId="180" fontId="0" fillId="2" borderId="9" xfId="0" applyNumberFormat="1" applyFill="1" applyBorder="1" applyAlignment="1" applyProtection="1">
      <alignment horizontal="center"/>
    </xf>
    <xf numFmtId="180" fontId="3" fillId="6" borderId="36" xfId="0" applyNumberFormat="1" applyFont="1" applyFill="1" applyBorder="1" applyAlignment="1" applyProtection="1">
      <alignment horizontal="right" vertical="center"/>
    </xf>
    <xf numFmtId="180" fontId="3" fillId="6" borderId="36" xfId="0" applyNumberFormat="1" applyFont="1" applyFill="1" applyBorder="1" applyAlignment="1">
      <alignment horizontal="right" vertical="center"/>
    </xf>
    <xf numFmtId="180" fontId="3" fillId="33" borderId="36" xfId="0" applyNumberFormat="1" applyFont="1" applyFill="1" applyBorder="1" applyAlignment="1">
      <alignment horizontal="right" vertical="center"/>
    </xf>
    <xf numFmtId="0" fontId="0" fillId="0" borderId="0" xfId="0"/>
    <xf numFmtId="180" fontId="90" fillId="43" borderId="36" xfId="0" applyNumberFormat="1" applyFont="1" applyFill="1" applyBorder="1" applyAlignment="1">
      <alignment horizontal="center" vertical="center"/>
    </xf>
    <xf numFmtId="180" fontId="85" fillId="43" borderId="32" xfId="0" applyNumberFormat="1" applyFont="1" applyFill="1" applyBorder="1" applyAlignment="1">
      <alignment horizontal="center" vertical="center"/>
    </xf>
    <xf numFmtId="180" fontId="85" fillId="43" borderId="65" xfId="0" applyNumberFormat="1" applyFont="1" applyFill="1" applyBorder="1" applyAlignment="1">
      <alignment horizontal="center" vertical="center"/>
    </xf>
    <xf numFmtId="180" fontId="85" fillId="43" borderId="33" xfId="0" applyNumberFormat="1" applyFont="1" applyFill="1" applyBorder="1" applyAlignment="1">
      <alignment horizontal="center" vertical="center"/>
    </xf>
    <xf numFmtId="180" fontId="90" fillId="43" borderId="32" xfId="0" applyNumberFormat="1" applyFont="1" applyFill="1" applyBorder="1" applyAlignment="1">
      <alignment horizontal="center" vertical="center"/>
    </xf>
    <xf numFmtId="180" fontId="90" fillId="43" borderId="65" xfId="0" applyNumberFormat="1" applyFont="1" applyFill="1" applyBorder="1" applyAlignment="1">
      <alignment horizontal="center" vertical="center"/>
    </xf>
    <xf numFmtId="180" fontId="90" fillId="43" borderId="33" xfId="0" applyNumberFormat="1" applyFont="1" applyFill="1" applyBorder="1" applyAlignment="1">
      <alignment horizontal="center" vertical="center"/>
    </xf>
    <xf numFmtId="180" fontId="85" fillId="43" borderId="32" xfId="0" applyNumberFormat="1" applyFont="1" applyFill="1" applyBorder="1" applyAlignment="1">
      <alignment horizontal="center"/>
    </xf>
    <xf numFmtId="180" fontId="85" fillId="43" borderId="65" xfId="0" applyNumberFormat="1" applyFont="1" applyFill="1" applyBorder="1" applyAlignment="1">
      <alignment horizontal="center"/>
    </xf>
    <xf numFmtId="180" fontId="85" fillId="43" borderId="33" xfId="0" applyNumberFormat="1" applyFont="1" applyFill="1" applyBorder="1" applyAlignment="1">
      <alignment horizontal="center"/>
    </xf>
    <xf numFmtId="180" fontId="90" fillId="43" borderId="86" xfId="0" applyNumberFormat="1" applyFont="1" applyFill="1" applyBorder="1" applyAlignment="1">
      <alignment horizontal="center" vertical="center"/>
    </xf>
    <xf numFmtId="180" fontId="85" fillId="43" borderId="86" xfId="0" applyNumberFormat="1" applyFont="1" applyFill="1" applyBorder="1" applyAlignment="1">
      <alignment horizontal="center" vertical="center"/>
    </xf>
    <xf numFmtId="180" fontId="85" fillId="43" borderId="32" xfId="0" applyNumberFormat="1" applyFont="1" applyFill="1" applyBorder="1"/>
    <xf numFmtId="180" fontId="85" fillId="43" borderId="65" xfId="0" applyNumberFormat="1" applyFont="1" applyFill="1" applyBorder="1"/>
    <xf numFmtId="180" fontId="85" fillId="43" borderId="33" xfId="0" applyNumberFormat="1" applyFont="1" applyFill="1" applyBorder="1"/>
    <xf numFmtId="165" fontId="42" fillId="7" borderId="8" xfId="1" applyNumberFormat="1" applyFont="1" applyFill="1" applyBorder="1"/>
    <xf numFmtId="169" fontId="42" fillId="3" borderId="24" xfId="3" applyNumberFormat="1" applyFont="1" applyFill="1" applyBorder="1"/>
    <xf numFmtId="168" fontId="42" fillId="3" borderId="45" xfId="1" applyNumberFormat="1" applyFont="1" applyFill="1" applyBorder="1"/>
    <xf numFmtId="168" fontId="42" fillId="3" borderId="25" xfId="1" applyNumberFormat="1" applyFont="1" applyFill="1" applyBorder="1"/>
    <xf numFmtId="1" fontId="26" fillId="3" borderId="0" xfId="0" applyNumberFormat="1" applyFont="1" applyFill="1"/>
    <xf numFmtId="0" fontId="0" fillId="0" borderId="9" xfId="0" applyBorder="1"/>
    <xf numFmtId="0" fontId="0" fillId="0" borderId="9" xfId="0" applyBorder="1" applyAlignment="1">
      <alignment horizontal="right"/>
    </xf>
    <xf numFmtId="0" fontId="0" fillId="0" borderId="9" xfId="0" applyFill="1" applyBorder="1" applyAlignment="1">
      <alignment horizontal="left" vertical="center" wrapText="1"/>
    </xf>
    <xf numFmtId="180" fontId="0" fillId="6" borderId="9" xfId="3" applyNumberFormat="1" applyFont="1" applyFill="1" applyBorder="1" applyAlignment="1" applyProtection="1">
      <alignment horizontal="center" vertical="center"/>
    </xf>
    <xf numFmtId="180" fontId="0" fillId="7" borderId="9" xfId="0" applyNumberFormat="1" applyFill="1" applyBorder="1" applyAlignment="1" applyProtection="1">
      <alignment horizontal="center" vertical="center"/>
      <protection locked="0"/>
    </xf>
    <xf numFmtId="180" fontId="0" fillId="6" borderId="9" xfId="0" applyNumberFormat="1" applyFill="1" applyBorder="1" applyAlignment="1">
      <alignment horizontal="center" vertical="center"/>
    </xf>
    <xf numFmtId="180" fontId="0" fillId="6" borderId="27" xfId="0" applyNumberFormat="1" applyFill="1" applyBorder="1" applyAlignment="1" applyProtection="1">
      <alignment horizontal="center"/>
    </xf>
    <xf numFmtId="0" fontId="0" fillId="0" borderId="9" xfId="0" applyBorder="1" applyAlignment="1">
      <alignment horizontal="right"/>
    </xf>
    <xf numFmtId="0" fontId="0" fillId="0" borderId="0" xfId="0"/>
    <xf numFmtId="1" fontId="0" fillId="6" borderId="8" xfId="0" applyNumberFormat="1" applyFill="1" applyBorder="1" applyAlignment="1" applyProtection="1">
      <alignment horizontal="center" vertical="center"/>
    </xf>
    <xf numFmtId="0" fontId="95" fillId="43" borderId="13" xfId="0" applyFont="1" applyFill="1" applyBorder="1" applyAlignment="1">
      <alignment horizontal="center" vertical="center" wrapText="1"/>
    </xf>
    <xf numFmtId="0" fontId="74" fillId="44" borderId="36" xfId="0" applyFont="1" applyFill="1" applyBorder="1" applyAlignment="1">
      <alignment horizontal="center" vertical="center" wrapText="1"/>
    </xf>
    <xf numFmtId="0" fontId="74" fillId="45" borderId="36" xfId="0" applyFont="1" applyFill="1" applyBorder="1" applyAlignment="1">
      <alignment horizontal="center" vertical="center" wrapText="1"/>
    </xf>
    <xf numFmtId="0" fontId="95" fillId="0" borderId="36" xfId="0" applyFont="1" applyBorder="1" applyAlignment="1">
      <alignment horizontal="center" vertical="center" wrapText="1"/>
    </xf>
    <xf numFmtId="0" fontId="95" fillId="43" borderId="36" xfId="0" applyFont="1" applyFill="1" applyBorder="1" applyAlignment="1">
      <alignment horizontal="center" vertical="center" wrapText="1"/>
    </xf>
    <xf numFmtId="0" fontId="86" fillId="0" borderId="36" xfId="0" applyFont="1" applyBorder="1" applyAlignment="1">
      <alignment horizontal="center"/>
    </xf>
    <xf numFmtId="0" fontId="9" fillId="43" borderId="36" xfId="0" applyFont="1" applyFill="1" applyBorder="1" applyAlignment="1">
      <alignment horizontal="center" vertical="center" wrapText="1"/>
    </xf>
    <xf numFmtId="2" fontId="90" fillId="43" borderId="26" xfId="0" applyNumberFormat="1" applyFont="1" applyFill="1" applyBorder="1" applyAlignment="1">
      <alignment horizontal="center"/>
    </xf>
    <xf numFmtId="2" fontId="90" fillId="43" borderId="10" xfId="0" applyNumberFormat="1" applyFont="1" applyFill="1" applyBorder="1" applyAlignment="1">
      <alignment horizontal="center" vertical="center"/>
    </xf>
    <xf numFmtId="2" fontId="90" fillId="43" borderId="10" xfId="0" applyNumberFormat="1" applyFont="1" applyFill="1" applyBorder="1" applyAlignment="1">
      <alignment horizontal="center"/>
    </xf>
    <xf numFmtId="2" fontId="90" fillId="43" borderId="27" xfId="0" applyNumberFormat="1" applyFont="1" applyFill="1" applyBorder="1" applyAlignment="1">
      <alignment horizontal="center"/>
    </xf>
    <xf numFmtId="2" fontId="90" fillId="43" borderId="37" xfId="0" applyNumberFormat="1" applyFont="1" applyFill="1" applyBorder="1" applyAlignment="1">
      <alignment horizontal="center"/>
    </xf>
    <xf numFmtId="2" fontId="90" fillId="43" borderId="33" xfId="0" applyNumberFormat="1" applyFont="1" applyFill="1" applyBorder="1" applyAlignment="1">
      <alignment horizontal="center"/>
    </xf>
    <xf numFmtId="2" fontId="90" fillId="43" borderId="38" xfId="0" applyNumberFormat="1" applyFont="1" applyFill="1" applyBorder="1" applyAlignment="1">
      <alignment horizontal="center"/>
    </xf>
    <xf numFmtId="2" fontId="85" fillId="43" borderId="9" xfId="0" applyNumberFormat="1" applyFont="1" applyFill="1" applyBorder="1" applyAlignment="1">
      <alignment horizontal="center" vertical="center"/>
    </xf>
    <xf numFmtId="2" fontId="85" fillId="43" borderId="26" xfId="0" applyNumberFormat="1" applyFont="1" applyFill="1" applyBorder="1" applyAlignment="1">
      <alignment horizontal="center"/>
    </xf>
    <xf numFmtId="2" fontId="88" fillId="43" borderId="9" xfId="0" applyNumberFormat="1" applyFont="1" applyFill="1" applyBorder="1" applyAlignment="1">
      <alignment horizontal="center" vertical="center"/>
    </xf>
    <xf numFmtId="2" fontId="88" fillId="43" borderId="26" xfId="0" applyNumberFormat="1" applyFont="1" applyFill="1" applyBorder="1" applyAlignment="1">
      <alignment horizontal="center"/>
    </xf>
    <xf numFmtId="2" fontId="88" fillId="43" borderId="10" xfId="0" applyNumberFormat="1" applyFont="1" applyFill="1" applyBorder="1" applyAlignment="1">
      <alignment horizontal="center" vertical="center"/>
    </xf>
    <xf numFmtId="2" fontId="88" fillId="43" borderId="27" xfId="0" applyNumberFormat="1" applyFont="1" applyFill="1" applyBorder="1" applyAlignment="1">
      <alignment horizontal="center"/>
    </xf>
    <xf numFmtId="0" fontId="0" fillId="0" borderId="9" xfId="0" applyBorder="1"/>
    <xf numFmtId="9" fontId="1" fillId="0" borderId="27" xfId="1" applyNumberFormat="1" applyFont="1" applyBorder="1" applyAlignment="1" applyProtection="1">
      <alignment horizontal="center"/>
    </xf>
    <xf numFmtId="0" fontId="0" fillId="0" borderId="0" xfId="0"/>
    <xf numFmtId="0" fontId="0" fillId="0" borderId="0" xfId="1" applyNumberFormat="1" applyFont="1" applyAlignment="1"/>
    <xf numFmtId="0" fontId="0" fillId="0" borderId="0" xfId="0" applyNumberFormat="1"/>
    <xf numFmtId="0" fontId="72" fillId="0" borderId="0" xfId="0" applyNumberFormat="1" applyFont="1" applyAlignment="1">
      <alignment vertical="center" wrapText="1"/>
    </xf>
    <xf numFmtId="2" fontId="1" fillId="34" borderId="9" xfId="0" applyNumberFormat="1"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72"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72" fontId="0" fillId="6" borderId="9" xfId="2" applyNumberFormat="1" applyFont="1" applyFill="1" applyBorder="1" applyAlignment="1" applyProtection="1">
      <alignment horizontal="center" vertical="center" wrapText="1"/>
    </xf>
    <xf numFmtId="0" fontId="0" fillId="6" borderId="8" xfId="0" applyFont="1" applyFill="1" applyBorder="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72" fontId="0" fillId="6" borderId="9" xfId="2"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180" fontId="1" fillId="6" borderId="10" xfId="0" applyNumberFormat="1" applyFont="1" applyFill="1" applyBorder="1" applyAlignment="1" applyProtection="1">
      <alignment horizontal="center" vertical="center"/>
    </xf>
    <xf numFmtId="0" fontId="0" fillId="3" borderId="9" xfId="0" applyFill="1" applyBorder="1" applyAlignment="1">
      <alignment horizontal="center"/>
    </xf>
    <xf numFmtId="0" fontId="3" fillId="2" borderId="9" xfId="0" applyFont="1" applyFill="1" applyBorder="1" applyAlignment="1">
      <alignment vertical="center" wrapText="1"/>
    </xf>
    <xf numFmtId="0" fontId="0" fillId="0" borderId="9" xfId="0" applyBorder="1" applyAlignment="1">
      <alignment vertical="center" wrapText="1"/>
    </xf>
    <xf numFmtId="164" fontId="0" fillId="0" borderId="9" xfId="0" applyNumberFormat="1" applyBorder="1" applyAlignment="1">
      <alignment vertical="center" wrapText="1"/>
    </xf>
    <xf numFmtId="0" fontId="0" fillId="2" borderId="9" xfId="0" applyFill="1" applyBorder="1" applyAlignment="1">
      <alignment horizontal="center" wrapText="1"/>
    </xf>
    <xf numFmtId="0" fontId="0" fillId="3" borderId="17" xfId="0" applyFill="1" applyBorder="1"/>
    <xf numFmtId="0" fontId="0" fillId="3" borderId="18" xfId="0" applyFill="1" applyBorder="1"/>
    <xf numFmtId="0" fontId="0" fillId="0" borderId="0" xfId="0"/>
    <xf numFmtId="0" fontId="0" fillId="0" borderId="50" xfId="0" applyBorder="1"/>
    <xf numFmtId="0" fontId="0" fillId="0" borderId="9" xfId="0" applyBorder="1"/>
    <xf numFmtId="0" fontId="0" fillId="0" borderId="9" xfId="0" applyBorder="1"/>
    <xf numFmtId="10" fontId="6" fillId="3" borderId="23" xfId="2" applyNumberFormat="1" applyFont="1" applyFill="1" applyBorder="1" applyAlignment="1">
      <alignment horizontal="right" vertical="center"/>
    </xf>
    <xf numFmtId="10" fontId="0" fillId="6" borderId="9" xfId="2" applyNumberFormat="1" applyFont="1" applyFill="1" applyBorder="1" applyAlignment="1">
      <alignment horizontal="center" vertical="center"/>
    </xf>
    <xf numFmtId="10" fontId="0" fillId="6" borderId="9" xfId="2" applyNumberFormat="1" applyFont="1" applyFill="1" applyBorder="1" applyAlignment="1" applyProtection="1">
      <alignment horizontal="center" vertical="center"/>
    </xf>
    <xf numFmtId="1" fontId="0" fillId="6" borderId="8" xfId="0" applyNumberFormat="1" applyFill="1" applyBorder="1" applyAlignment="1" applyProtection="1">
      <alignment horizontal="center" vertical="center"/>
      <protection locked="0"/>
    </xf>
    <xf numFmtId="0" fontId="0" fillId="36" borderId="0" xfId="0" applyFill="1" applyProtection="1">
      <protection locked="0"/>
    </xf>
    <xf numFmtId="0" fontId="0" fillId="3" borderId="9" xfId="0" applyFont="1" applyFill="1" applyBorder="1"/>
    <xf numFmtId="1" fontId="0" fillId="34" borderId="8" xfId="0" applyNumberFormat="1" applyFill="1" applyBorder="1" applyAlignment="1" applyProtection="1">
      <alignment horizontal="center" vertical="center"/>
    </xf>
    <xf numFmtId="0" fontId="3" fillId="10" borderId="22" xfId="0" applyFont="1" applyFill="1" applyBorder="1" applyAlignment="1">
      <alignment vertical="center"/>
    </xf>
    <xf numFmtId="170" fontId="3" fillId="10" borderId="22" xfId="0" applyNumberFormat="1" applyFont="1" applyFill="1" applyBorder="1" applyAlignment="1">
      <alignment horizontal="center" vertical="center"/>
    </xf>
    <xf numFmtId="0" fontId="0" fillId="0" borderId="0" xfId="0"/>
    <xf numFmtId="0" fontId="0" fillId="0" borderId="0" xfId="0"/>
    <xf numFmtId="0" fontId="0" fillId="0" borderId="3" xfId="0" applyBorder="1"/>
    <xf numFmtId="0" fontId="0" fillId="0" borderId="9" xfId="0" applyBorder="1"/>
    <xf numFmtId="0" fontId="0" fillId="0" borderId="26" xfId="0" applyBorder="1"/>
    <xf numFmtId="0" fontId="0" fillId="0" borderId="10" xfId="0" applyBorder="1"/>
    <xf numFmtId="9" fontId="42" fillId="7" borderId="0" xfId="1" applyNumberFormat="1" applyFont="1" applyFill="1" applyBorder="1"/>
    <xf numFmtId="0" fontId="3" fillId="7" borderId="9" xfId="0" applyFont="1" applyFill="1" applyBorder="1" applyAlignment="1">
      <alignment horizontal="center"/>
    </xf>
    <xf numFmtId="0" fontId="3" fillId="7" borderId="9" xfId="0" applyFont="1" applyFill="1" applyBorder="1"/>
    <xf numFmtId="0" fontId="42" fillId="7" borderId="62" xfId="0" applyFont="1" applyFill="1" applyBorder="1" applyAlignment="1">
      <alignment horizontal="center" wrapText="1"/>
    </xf>
    <xf numFmtId="0" fontId="96" fillId="0" borderId="11" xfId="0" applyFont="1" applyBorder="1"/>
    <xf numFmtId="0" fontId="42" fillId="0" borderId="13" xfId="0" applyFont="1" applyBorder="1"/>
    <xf numFmtId="0" fontId="42" fillId="0" borderId="28" xfId="0" applyFont="1" applyBorder="1"/>
    <xf numFmtId="0" fontId="43" fillId="7" borderId="11" xfId="0" applyFont="1" applyFill="1" applyBorder="1" applyAlignment="1">
      <alignment horizontal="left"/>
    </xf>
    <xf numFmtId="0" fontId="42" fillId="0" borderId="3" xfId="0" applyFont="1" applyBorder="1"/>
    <xf numFmtId="0" fontId="42" fillId="0" borderId="9" xfId="0" applyFont="1" applyBorder="1"/>
    <xf numFmtId="0" fontId="42" fillId="0" borderId="26"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2" fillId="0" borderId="15" xfId="0" applyFont="1" applyBorder="1"/>
    <xf numFmtId="0" fontId="42" fillId="7" borderId="2" xfId="0" applyFont="1" applyFill="1" applyBorder="1"/>
    <xf numFmtId="0" fontId="42" fillId="0" borderId="30" xfId="0" applyFont="1" applyBorder="1"/>
    <xf numFmtId="1" fontId="0" fillId="6" borderId="9" xfId="3" applyNumberFormat="1" applyFont="1" applyFill="1" applyBorder="1" applyAlignment="1" applyProtection="1">
      <alignment horizontal="center" vertical="center"/>
    </xf>
    <xf numFmtId="14" fontId="0" fillId="0" borderId="0" xfId="0" applyNumberFormat="1"/>
    <xf numFmtId="0" fontId="1" fillId="3" borderId="27" xfId="0" applyFont="1" applyFill="1" applyBorder="1" applyAlignment="1" applyProtection="1">
      <alignment horizontal="center" vertical="center"/>
      <protection locked="0"/>
    </xf>
    <xf numFmtId="0" fontId="0" fillId="0" borderId="0" xfId="0"/>
    <xf numFmtId="0" fontId="0" fillId="0" borderId="9" xfId="0" applyBorder="1"/>
    <xf numFmtId="0" fontId="0" fillId="0" borderId="9" xfId="0" applyBorder="1" applyAlignment="1">
      <alignment horizontal="right"/>
    </xf>
    <xf numFmtId="0" fontId="56" fillId="0" borderId="0" xfId="0" applyFont="1" applyAlignment="1">
      <alignment vertical="center" wrapText="1"/>
    </xf>
    <xf numFmtId="0" fontId="45" fillId="38" borderId="0" xfId="0" applyFont="1" applyFill="1" applyAlignment="1" applyProtection="1">
      <alignment vertical="center"/>
      <protection locked="0"/>
    </xf>
    <xf numFmtId="0" fontId="45" fillId="38" borderId="2" xfId="0" applyFont="1" applyFill="1" applyBorder="1" applyAlignment="1" applyProtection="1">
      <alignment vertical="center"/>
      <protection locked="0"/>
    </xf>
    <xf numFmtId="0" fontId="0" fillId="0" borderId="0" xfId="0" applyAlignment="1">
      <alignment vertical="center"/>
    </xf>
    <xf numFmtId="0" fontId="0" fillId="3" borderId="41" xfId="0" applyFill="1" applyBorder="1" applyAlignment="1">
      <alignment vertical="center"/>
    </xf>
    <xf numFmtId="0" fontId="0" fillId="3" borderId="54" xfId="0" applyFill="1" applyBorder="1" applyAlignment="1">
      <alignment vertical="center"/>
    </xf>
    <xf numFmtId="0" fontId="0" fillId="0" borderId="54" xfId="0" applyBorder="1" applyAlignment="1">
      <alignment vertical="center"/>
    </xf>
    <xf numFmtId="0" fontId="0" fillId="3" borderId="0" xfId="0" applyFill="1" applyBorder="1" applyAlignment="1">
      <alignment vertical="center"/>
    </xf>
    <xf numFmtId="0" fontId="0" fillId="0" borderId="0" xfId="0" applyBorder="1" applyAlignment="1">
      <alignment vertical="center"/>
    </xf>
    <xf numFmtId="0" fontId="0" fillId="0" borderId="50" xfId="0" applyBorder="1" applyAlignment="1">
      <alignment vertical="center"/>
    </xf>
    <xf numFmtId="0" fontId="0" fillId="3" borderId="23" xfId="0" applyFill="1" applyBorder="1" applyAlignment="1">
      <alignment vertical="center"/>
    </xf>
    <xf numFmtId="0" fontId="1" fillId="34" borderId="8" xfId="0" applyFont="1" applyFill="1" applyBorder="1" applyAlignment="1" applyProtection="1">
      <alignment horizontal="center" vertical="center"/>
    </xf>
    <xf numFmtId="0" fontId="0" fillId="0" borderId="41" xfId="0" applyBorder="1"/>
    <xf numFmtId="0" fontId="0" fillId="0" borderId="9" xfId="0" applyBorder="1"/>
    <xf numFmtId="0" fontId="0" fillId="0" borderId="9" xfId="0" applyBorder="1" applyAlignment="1">
      <alignment horizontal="right"/>
    </xf>
    <xf numFmtId="0" fontId="0" fillId="0" borderId="9" xfId="0" applyBorder="1"/>
    <xf numFmtId="0" fontId="0" fillId="0" borderId="9" xfId="0" applyFont="1" applyBorder="1" applyAlignment="1">
      <alignment horizontal="left" vertical="center"/>
    </xf>
    <xf numFmtId="0" fontId="0" fillId="0" borderId="9" xfId="0" applyFont="1" applyBorder="1" applyAlignment="1">
      <alignment wrapText="1"/>
    </xf>
    <xf numFmtId="0" fontId="0" fillId="0" borderId="9" xfId="0" applyFont="1" applyBorder="1" applyAlignment="1">
      <alignment horizontal="left" vertical="center" wrapText="1"/>
    </xf>
    <xf numFmtId="0" fontId="0" fillId="0" borderId="50" xfId="0" applyBorder="1" applyAlignment="1">
      <alignment horizontal="left" vertical="top"/>
    </xf>
    <xf numFmtId="0" fontId="86" fillId="0" borderId="9" xfId="0" applyFont="1" applyBorder="1" applyAlignment="1" applyProtection="1">
      <alignment horizontal="center" vertical="center" wrapText="1"/>
      <protection locked="0"/>
    </xf>
    <xf numFmtId="14" fontId="56" fillId="10" borderId="0" xfId="0" applyNumberFormat="1" applyFont="1" applyFill="1" applyAlignment="1">
      <alignment horizontal="center" vertical="center"/>
    </xf>
    <xf numFmtId="0" fontId="0" fillId="0" borderId="0" xfId="0"/>
    <xf numFmtId="0" fontId="0" fillId="0" borderId="0" xfId="0" applyAlignment="1">
      <alignment vertical="center"/>
    </xf>
    <xf numFmtId="0" fontId="0" fillId="0" borderId="0" xfId="0"/>
    <xf numFmtId="0" fontId="0" fillId="0" borderId="9" xfId="0" applyBorder="1"/>
    <xf numFmtId="0" fontId="0" fillId="0" borderId="9" xfId="0" applyBorder="1" applyAlignment="1">
      <alignment horizontal="right"/>
    </xf>
    <xf numFmtId="0" fontId="0" fillId="0" borderId="9" xfId="0" applyBorder="1"/>
    <xf numFmtId="0" fontId="0" fillId="0" borderId="0" xfId="0"/>
    <xf numFmtId="0" fontId="0" fillId="0" borderId="9" xfId="0" applyBorder="1"/>
    <xf numFmtId="0" fontId="0" fillId="0" borderId="9" xfId="0" applyBorder="1" applyAlignment="1">
      <alignment horizontal="right"/>
    </xf>
    <xf numFmtId="10" fontId="0" fillId="0" borderId="0" xfId="0" applyNumberFormat="1" applyBorder="1"/>
    <xf numFmtId="0" fontId="0" fillId="0" borderId="0" xfId="0"/>
    <xf numFmtId="0" fontId="0" fillId="0" borderId="9" xfId="0" applyBorder="1"/>
    <xf numFmtId="0" fontId="0" fillId="0" borderId="9" xfId="0" applyBorder="1" applyAlignment="1">
      <alignment horizontal="right"/>
    </xf>
    <xf numFmtId="0" fontId="8" fillId="32" borderId="9" xfId="0" applyFont="1" applyFill="1" applyBorder="1" applyAlignment="1">
      <alignment horizontal="center" vertical="center" wrapText="1"/>
    </xf>
    <xf numFmtId="0" fontId="0" fillId="41" borderId="9" xfId="0" applyFont="1" applyFill="1" applyBorder="1" applyAlignment="1">
      <alignment horizontal="center" vertical="center" wrapText="1"/>
    </xf>
    <xf numFmtId="10" fontId="82" fillId="5" borderId="0" xfId="2" applyNumberFormat="1" applyFont="1" applyFill="1" applyBorder="1" applyAlignment="1" applyProtection="1">
      <alignment horizontal="center" vertical="center" wrapText="1"/>
    </xf>
    <xf numFmtId="0" fontId="97" fillId="38" borderId="0" xfId="0" applyFont="1" applyFill="1" applyAlignment="1" applyProtection="1">
      <alignment horizontal="left" vertical="center"/>
    </xf>
    <xf numFmtId="0" fontId="21" fillId="34" borderId="9" xfId="0" applyFont="1" applyFill="1" applyBorder="1" applyAlignment="1" applyProtection="1">
      <alignment horizontal="center"/>
    </xf>
    <xf numFmtId="0" fontId="21" fillId="34" borderId="10" xfId="0" applyFont="1" applyFill="1" applyBorder="1" applyAlignment="1" applyProtection="1">
      <alignment horizontal="center"/>
    </xf>
    <xf numFmtId="0" fontId="0" fillId="0" borderId="9" xfId="0" applyBorder="1"/>
    <xf numFmtId="0" fontId="3" fillId="49" borderId="36" xfId="0" applyFont="1" applyFill="1" applyBorder="1" applyAlignment="1" applyProtection="1">
      <alignment horizontal="center"/>
    </xf>
    <xf numFmtId="0" fontId="0" fillId="0" borderId="9" xfId="0" applyBorder="1" applyProtection="1"/>
    <xf numFmtId="0" fontId="0" fillId="0" borderId="0" xfId="0" applyAlignment="1" applyProtection="1">
      <alignment horizontal="left"/>
    </xf>
    <xf numFmtId="0" fontId="0" fillId="3" borderId="9" xfId="0" applyFill="1" applyBorder="1" applyAlignment="1" applyProtection="1">
      <alignment vertical="center"/>
    </xf>
    <xf numFmtId="0" fontId="0" fillId="0" borderId="0" xfId="0" applyAlignment="1" applyProtection="1">
      <alignment horizontal="center"/>
    </xf>
    <xf numFmtId="0" fontId="0" fillId="0" borderId="0" xfId="0" applyNumberFormat="1" applyProtection="1"/>
    <xf numFmtId="1" fontId="0" fillId="3" borderId="8" xfId="0" applyNumberFormat="1" applyFill="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0" fontId="0" fillId="0" borderId="9" xfId="0" applyBorder="1"/>
    <xf numFmtId="0" fontId="3" fillId="49" borderId="57" xfId="0" applyFont="1" applyFill="1" applyBorder="1" applyAlignment="1" applyProtection="1">
      <alignment horizontal="center"/>
    </xf>
    <xf numFmtId="0" fontId="0" fillId="0" borderId="0" xfId="0"/>
    <xf numFmtId="0" fontId="0" fillId="0" borderId="9" xfId="0" applyBorder="1"/>
    <xf numFmtId="0" fontId="0" fillId="0" borderId="9" xfId="0" applyBorder="1" applyAlignment="1">
      <alignment horizontal="right"/>
    </xf>
    <xf numFmtId="0" fontId="95" fillId="50" borderId="0" xfId="0" applyFont="1" applyFill="1" applyAlignment="1">
      <alignment horizontal="left" vertical="center"/>
    </xf>
    <xf numFmtId="0" fontId="95" fillId="50" borderId="0" xfId="0" applyFont="1" applyFill="1" applyAlignment="1" applyProtection="1">
      <alignment horizontal="left" vertical="center"/>
    </xf>
    <xf numFmtId="0" fontId="95" fillId="50" borderId="0" xfId="0" applyFont="1" applyFill="1" applyAlignment="1" applyProtection="1">
      <alignment horizontal="center" vertical="center"/>
    </xf>
    <xf numFmtId="0" fontId="74" fillId="32" borderId="36" xfId="0" applyFont="1" applyFill="1" applyBorder="1" applyAlignment="1" applyProtection="1">
      <alignment horizontal="center" vertical="center" wrapText="1"/>
    </xf>
    <xf numFmtId="0" fontId="86" fillId="41" borderId="8" xfId="0" applyFont="1" applyFill="1" applyBorder="1" applyAlignment="1" applyProtection="1">
      <alignment horizontal="center" vertical="center"/>
    </xf>
    <xf numFmtId="0" fontId="98" fillId="32" borderId="56" xfId="0" applyFont="1" applyFill="1" applyBorder="1" applyAlignment="1" applyProtection="1">
      <alignment horizontal="center" vertical="center" wrapText="1"/>
    </xf>
    <xf numFmtId="0" fontId="0" fillId="10" borderId="17" xfId="0" applyFill="1" applyBorder="1" applyAlignment="1" applyProtection="1">
      <alignment vertical="center"/>
    </xf>
    <xf numFmtId="0" fontId="27" fillId="10" borderId="18" xfId="0" applyFont="1" applyFill="1" applyBorder="1" applyAlignment="1" applyProtection="1">
      <alignment horizontal="center" vertical="center"/>
    </xf>
    <xf numFmtId="0" fontId="45" fillId="10" borderId="18" xfId="0" applyFont="1" applyFill="1" applyBorder="1" applyAlignment="1" applyProtection="1">
      <alignment vertical="center"/>
    </xf>
    <xf numFmtId="0" fontId="0" fillId="10" borderId="18" xfId="0" applyFill="1" applyBorder="1" applyAlignment="1" applyProtection="1">
      <alignment horizontal="center" vertical="center"/>
    </xf>
    <xf numFmtId="0" fontId="0" fillId="10" borderId="18" xfId="0" applyFill="1" applyBorder="1" applyAlignment="1" applyProtection="1">
      <alignment vertical="center" wrapText="1"/>
    </xf>
    <xf numFmtId="0" fontId="0" fillId="10" borderId="16" xfId="0" applyFill="1" applyBorder="1" applyAlignment="1" applyProtection="1">
      <alignment vertical="center"/>
    </xf>
    <xf numFmtId="0" fontId="27" fillId="10" borderId="0" xfId="0" applyFont="1" applyFill="1" applyAlignment="1" applyProtection="1">
      <alignment horizontal="center" vertical="center"/>
    </xf>
    <xf numFmtId="0" fontId="8" fillId="11" borderId="36" xfId="0" applyFont="1" applyFill="1" applyBorder="1" applyAlignment="1" applyProtection="1">
      <alignment horizontal="right" vertical="center"/>
    </xf>
    <xf numFmtId="0" fontId="34" fillId="10" borderId="0" xfId="0" applyFont="1" applyFill="1" applyAlignment="1" applyProtection="1">
      <alignment horizontal="center" vertical="center"/>
    </xf>
    <xf numFmtId="0" fontId="0" fillId="10" borderId="0" xfId="0" applyFill="1" applyProtection="1"/>
    <xf numFmtId="0" fontId="0" fillId="10" borderId="0" xfId="0" applyFill="1" applyBorder="1" applyAlignment="1" applyProtection="1">
      <alignment vertical="center" wrapText="1"/>
    </xf>
    <xf numFmtId="0" fontId="8" fillId="11" borderId="36" xfId="0" applyFont="1" applyFill="1" applyBorder="1" applyAlignment="1" applyProtection="1">
      <alignment horizontal="right" vertical="center" wrapText="1"/>
    </xf>
    <xf numFmtId="0" fontId="6" fillId="10" borderId="0" xfId="0" applyFont="1" applyFill="1" applyAlignment="1" applyProtection="1">
      <alignment horizontal="right" vertical="center"/>
    </xf>
    <xf numFmtId="0" fontId="3" fillId="10" borderId="0" xfId="0" applyFont="1" applyFill="1" applyAlignment="1" applyProtection="1">
      <alignment horizontal="right" vertical="center"/>
    </xf>
    <xf numFmtId="0" fontId="3" fillId="10" borderId="0" xfId="0" applyFont="1" applyFill="1" applyAlignment="1" applyProtection="1">
      <alignment horizontal="center" vertical="center"/>
    </xf>
    <xf numFmtId="0" fontId="67" fillId="10" borderId="0" xfId="0" applyFont="1" applyFill="1" applyAlignment="1" applyProtection="1">
      <alignment vertical="center" wrapText="1"/>
    </xf>
    <xf numFmtId="0" fontId="8" fillId="11" borderId="56" xfId="0" applyFont="1" applyFill="1" applyBorder="1" applyAlignment="1" applyProtection="1">
      <alignment horizontal="right" vertical="center" wrapText="1"/>
    </xf>
    <xf numFmtId="0" fontId="0" fillId="10" borderId="0" xfId="0" applyFill="1" applyAlignment="1" applyProtection="1">
      <alignment vertical="center"/>
    </xf>
    <xf numFmtId="0" fontId="0" fillId="10" borderId="21" xfId="0" applyFill="1" applyBorder="1" applyAlignment="1" applyProtection="1">
      <alignment vertical="center"/>
    </xf>
    <xf numFmtId="0" fontId="27" fillId="10" borderId="22" xfId="0" applyFont="1" applyFill="1" applyBorder="1" applyAlignment="1" applyProtection="1">
      <alignment horizontal="center" vertical="center"/>
    </xf>
    <xf numFmtId="0" fontId="3" fillId="10" borderId="22" xfId="0" applyFont="1" applyFill="1" applyBorder="1" applyAlignment="1" applyProtection="1">
      <alignment horizontal="right" vertical="center"/>
    </xf>
    <xf numFmtId="0" fontId="0" fillId="10" borderId="22" xfId="0" applyFill="1" applyBorder="1" applyAlignment="1" applyProtection="1">
      <alignment horizontal="center" vertical="center"/>
    </xf>
    <xf numFmtId="0" fontId="42" fillId="10" borderId="22" xfId="0" applyFont="1" applyFill="1" applyBorder="1" applyAlignment="1" applyProtection="1">
      <alignment horizontal="center" vertical="center"/>
    </xf>
    <xf numFmtId="0" fontId="0" fillId="10" borderId="22" xfId="0" applyFill="1" applyBorder="1" applyAlignment="1" applyProtection="1">
      <alignment vertical="center" wrapText="1"/>
    </xf>
    <xf numFmtId="0" fontId="0" fillId="3" borderId="0" xfId="0" applyFill="1" applyAlignment="1" applyProtection="1">
      <alignment horizontal="center" vertical="center"/>
      <protection locked="0"/>
    </xf>
    <xf numFmtId="0" fontId="84" fillId="3" borderId="9" xfId="0" applyFont="1" applyFill="1" applyBorder="1" applyAlignment="1">
      <alignment horizontal="right"/>
    </xf>
    <xf numFmtId="0" fontId="0" fillId="0" borderId="9" xfId="0" applyFill="1" applyBorder="1" applyProtection="1"/>
    <xf numFmtId="10" fontId="0" fillId="0" borderId="9" xfId="0" applyNumberFormat="1" applyBorder="1" applyAlignment="1" applyProtection="1">
      <alignment horizontal="center"/>
    </xf>
    <xf numFmtId="0" fontId="0" fillId="0" borderId="9" xfId="0" applyBorder="1" applyAlignment="1" applyProtection="1">
      <alignment horizontal="center"/>
    </xf>
    <xf numFmtId="0" fontId="0" fillId="0" borderId="41" xfId="0" applyBorder="1" applyAlignment="1" applyProtection="1">
      <alignment horizontal="center"/>
    </xf>
    <xf numFmtId="10" fontId="0" fillId="0" borderId="41" xfId="0" applyNumberFormat="1" applyBorder="1" applyAlignment="1" applyProtection="1">
      <alignment horizontal="center"/>
    </xf>
    <xf numFmtId="0" fontId="0" fillId="0" borderId="9" xfId="0" applyBorder="1" applyAlignment="1" applyProtection="1">
      <alignment horizontal="left"/>
    </xf>
    <xf numFmtId="10" fontId="0" fillId="0" borderId="9" xfId="0" applyNumberFormat="1" applyBorder="1" applyProtection="1"/>
    <xf numFmtId="0" fontId="0" fillId="0" borderId="9" xfId="0" applyNumberFormat="1" applyBorder="1" applyProtection="1"/>
    <xf numFmtId="0" fontId="0" fillId="0" borderId="8" xfId="0" applyBorder="1" applyProtection="1"/>
    <xf numFmtId="0" fontId="0" fillId="0" borderId="21" xfId="0" applyBorder="1" applyAlignment="1" applyProtection="1">
      <alignment horizontal="center"/>
    </xf>
    <xf numFmtId="0" fontId="0" fillId="0" borderId="8" xfId="0" applyBorder="1" applyAlignment="1" applyProtection="1">
      <alignment horizontal="center"/>
    </xf>
    <xf numFmtId="0" fontId="0" fillId="0" borderId="8" xfId="0" applyBorder="1" applyAlignment="1" applyProtection="1">
      <alignment horizontal="left"/>
    </xf>
    <xf numFmtId="10" fontId="0" fillId="0" borderId="8" xfId="0" applyNumberFormat="1" applyBorder="1" applyProtection="1"/>
    <xf numFmtId="0" fontId="0" fillId="0" borderId="8" xfId="0" applyNumberFormat="1" applyBorder="1" applyProtection="1"/>
    <xf numFmtId="0" fontId="3" fillId="40" borderId="24" xfId="0" applyFont="1" applyFill="1" applyBorder="1" applyAlignment="1" applyProtection="1">
      <alignment horizontal="center" vertical="center"/>
    </xf>
    <xf numFmtId="0" fontId="3" fillId="40" borderId="45" xfId="0" applyFont="1" applyFill="1" applyBorder="1" applyAlignment="1" applyProtection="1">
      <alignment horizontal="center" vertical="center"/>
    </xf>
    <xf numFmtId="0" fontId="3" fillId="40" borderId="25" xfId="0" applyFont="1" applyFill="1" applyBorder="1" applyAlignment="1" applyProtection="1">
      <alignment horizontal="center" vertical="center"/>
    </xf>
    <xf numFmtId="0" fontId="3" fillId="40" borderId="36" xfId="0" applyFont="1" applyFill="1" applyBorder="1" applyAlignment="1" applyProtection="1">
      <alignment horizontal="center"/>
    </xf>
    <xf numFmtId="0" fontId="3" fillId="49" borderId="24" xfId="0" applyFont="1" applyFill="1" applyBorder="1" applyAlignment="1" applyProtection="1">
      <alignment horizontal="center" vertical="center"/>
    </xf>
    <xf numFmtId="0" fontId="3" fillId="49" borderId="45" xfId="0" applyFont="1" applyFill="1" applyBorder="1" applyAlignment="1" applyProtection="1">
      <alignment horizontal="center" vertical="center" wrapText="1"/>
    </xf>
    <xf numFmtId="0" fontId="3" fillId="49" borderId="45" xfId="0" applyFont="1" applyFill="1" applyBorder="1" applyAlignment="1" applyProtection="1">
      <alignment horizontal="center" vertical="center"/>
    </xf>
    <xf numFmtId="0" fontId="3" fillId="49" borderId="25" xfId="0" applyFont="1" applyFill="1" applyBorder="1" applyAlignment="1" applyProtection="1">
      <alignment horizontal="center" vertical="center"/>
    </xf>
    <xf numFmtId="0" fontId="3" fillId="49" borderId="36" xfId="0" applyFont="1" applyFill="1" applyBorder="1" applyAlignment="1" applyProtection="1">
      <alignment horizontal="center" vertical="center"/>
    </xf>
    <xf numFmtId="0" fontId="0" fillId="3" borderId="9" xfId="0" applyFill="1" applyBorder="1" applyAlignment="1">
      <alignment horizontal="center" vertical="center"/>
    </xf>
    <xf numFmtId="0" fontId="0" fillId="0" borderId="0" xfId="0"/>
    <xf numFmtId="0" fontId="0" fillId="0" borderId="9" xfId="0" applyBorder="1"/>
    <xf numFmtId="0" fontId="86" fillId="41" borderId="9" xfId="0" applyFont="1" applyFill="1" applyBorder="1" applyAlignment="1" applyProtection="1">
      <alignment horizontal="center" vertical="center"/>
    </xf>
    <xf numFmtId="0" fontId="86" fillId="41" borderId="8" xfId="0" applyFont="1" applyFill="1" applyBorder="1" applyAlignment="1" applyProtection="1">
      <alignment horizontal="center" vertical="center" wrapText="1"/>
    </xf>
    <xf numFmtId="0" fontId="0" fillId="0" borderId="0" xfId="0"/>
    <xf numFmtId="0" fontId="95" fillId="50" borderId="0" xfId="0" applyFont="1" applyFill="1" applyAlignment="1" applyProtection="1">
      <alignment horizontal="center" vertical="center"/>
    </xf>
    <xf numFmtId="0" fontId="95" fillId="50" borderId="0" xfId="0" applyFont="1" applyFill="1" applyAlignment="1" applyProtection="1">
      <alignment horizontal="left" vertical="center"/>
    </xf>
    <xf numFmtId="0" fontId="8" fillId="11" borderId="9" xfId="0" applyFont="1" applyFill="1" applyBorder="1" applyAlignment="1" applyProtection="1">
      <alignment horizontal="center" vertical="center" wrapText="1"/>
    </xf>
    <xf numFmtId="0" fontId="0" fillId="0" borderId="9" xfId="0" applyBorder="1"/>
    <xf numFmtId="0" fontId="0" fillId="0" borderId="0" xfId="0"/>
    <xf numFmtId="0" fontId="0" fillId="3" borderId="9" xfId="0" applyFill="1" applyBorder="1" applyAlignment="1">
      <alignment horizontal="center" vertical="center"/>
    </xf>
    <xf numFmtId="0" fontId="0" fillId="0" borderId="9" xfId="0" applyBorder="1"/>
    <xf numFmtId="0" fontId="0" fillId="0" borderId="9" xfId="0" applyBorder="1" applyAlignment="1">
      <alignment horizontal="right"/>
    </xf>
    <xf numFmtId="10" fontId="0" fillId="0" borderId="9" xfId="0" applyNumberFormat="1" applyBorder="1" applyAlignment="1" applyProtection="1">
      <alignment horizontal="left"/>
    </xf>
    <xf numFmtId="0" fontId="0" fillId="0" borderId="9" xfId="0" applyNumberFormat="1" applyBorder="1" applyAlignment="1" applyProtection="1">
      <alignment horizontal="right"/>
    </xf>
    <xf numFmtId="0" fontId="0" fillId="0" borderId="9" xfId="0" applyBorder="1" applyAlignment="1">
      <alignment horizontal="right"/>
    </xf>
    <xf numFmtId="0" fontId="0" fillId="0" borderId="0" xfId="0"/>
    <xf numFmtId="0" fontId="0" fillId="0" borderId="9" xfId="0" applyBorder="1"/>
    <xf numFmtId="0" fontId="0" fillId="0" borderId="9" xfId="0" applyBorder="1" applyAlignment="1">
      <alignment horizontal="right"/>
    </xf>
    <xf numFmtId="2" fontId="86" fillId="41" borderId="9" xfId="0" applyNumberFormat="1" applyFont="1" applyFill="1" applyBorder="1" applyAlignment="1" applyProtection="1">
      <alignment horizontal="center" vertical="center"/>
    </xf>
    <xf numFmtId="0" fontId="0" fillId="0" borderId="0" xfId="0"/>
    <xf numFmtId="0" fontId="8" fillId="11" borderId="9" xfId="0" applyFont="1" applyFill="1" applyBorder="1" applyAlignment="1" applyProtection="1">
      <alignment horizontal="center" vertical="center" wrapText="1"/>
    </xf>
    <xf numFmtId="0" fontId="3" fillId="49" borderId="56" xfId="0" applyNumberFormat="1" applyFont="1" applyFill="1" applyBorder="1" applyAlignment="1" applyProtection="1">
      <alignment horizontal="center" vertical="center"/>
    </xf>
    <xf numFmtId="0" fontId="3" fillId="49" borderId="60" xfId="0" applyNumberFormat="1" applyFont="1" applyFill="1" applyBorder="1" applyAlignment="1" applyProtection="1">
      <alignment horizontal="center"/>
    </xf>
    <xf numFmtId="0" fontId="0" fillId="5" borderId="57" xfId="0" applyFill="1" applyBorder="1" applyAlignment="1">
      <alignment wrapText="1"/>
    </xf>
    <xf numFmtId="0" fontId="0" fillId="5" borderId="57" xfId="0" applyFill="1" applyBorder="1" applyAlignment="1">
      <alignment horizontal="center"/>
    </xf>
    <xf numFmtId="0" fontId="0" fillId="3" borderId="49" xfId="0" applyFill="1" applyBorder="1" applyAlignment="1">
      <alignment wrapText="1"/>
    </xf>
    <xf numFmtId="0" fontId="0" fillId="3" borderId="84" xfId="0" applyFill="1" applyBorder="1"/>
    <xf numFmtId="0" fontId="0" fillId="0" borderId="0" xfId="0"/>
    <xf numFmtId="0" fontId="0" fillId="0" borderId="0" xfId="0" applyAlignment="1">
      <alignment horizontal="right"/>
    </xf>
    <xf numFmtId="0" fontId="0" fillId="0" borderId="9" xfId="0" applyBorder="1"/>
    <xf numFmtId="0" fontId="0" fillId="0" borderId="9" xfId="0" applyBorder="1" applyAlignment="1">
      <alignment horizontal="right"/>
    </xf>
    <xf numFmtId="0" fontId="0" fillId="29" borderId="9" xfId="0" applyFill="1" applyBorder="1" applyAlignment="1">
      <alignment horizontal="left" vertical="top"/>
    </xf>
    <xf numFmtId="0" fontId="0" fillId="29" borderId="9" xfId="0" applyFill="1" applyBorder="1" applyAlignment="1">
      <alignment horizontal="left" vertical="center"/>
    </xf>
    <xf numFmtId="0" fontId="0" fillId="0" borderId="0" xfId="0" applyAlignment="1">
      <alignment vertical="center"/>
    </xf>
    <xf numFmtId="0" fontId="0" fillId="0" borderId="9" xfId="0" applyBorder="1"/>
    <xf numFmtId="0" fontId="0" fillId="0" borderId="0" xfId="0"/>
    <xf numFmtId="0" fontId="0" fillId="0" borderId="0" xfId="0" applyAlignment="1">
      <alignment horizontal="center"/>
    </xf>
    <xf numFmtId="172" fontId="21" fillId="6" borderId="70" xfId="0" applyNumberFormat="1" applyFont="1" applyFill="1" applyBorder="1" applyAlignment="1" applyProtection="1">
      <alignment horizontal="center"/>
    </xf>
    <xf numFmtId="172" fontId="21" fillId="6" borderId="50" xfId="0" applyNumberFormat="1" applyFont="1" applyFill="1" applyBorder="1" applyAlignment="1" applyProtection="1">
      <alignment horizontal="center"/>
    </xf>
    <xf numFmtId="0" fontId="9" fillId="6" borderId="5" xfId="0" applyFont="1" applyFill="1" applyBorder="1" applyAlignment="1">
      <alignment horizontal="center"/>
    </xf>
    <xf numFmtId="0" fontId="21" fillId="34" borderId="6" xfId="0" applyFont="1" applyFill="1" applyBorder="1" applyAlignment="1" applyProtection="1">
      <alignment horizontal="center"/>
    </xf>
    <xf numFmtId="0" fontId="21" fillId="3" borderId="7" xfId="0" applyFont="1" applyFill="1" applyBorder="1" applyAlignment="1" applyProtection="1">
      <alignment horizontal="center"/>
    </xf>
    <xf numFmtId="0" fontId="9" fillId="6" borderId="3" xfId="0" applyFont="1" applyFill="1" applyBorder="1" applyAlignment="1">
      <alignment horizontal="center"/>
    </xf>
    <xf numFmtId="0" fontId="21" fillId="3" borderId="26" xfId="0" applyFont="1" applyFill="1" applyBorder="1" applyAlignment="1" applyProtection="1">
      <alignment horizontal="center"/>
    </xf>
    <xf numFmtId="0" fontId="21" fillId="3" borderId="27" xfId="0" applyFont="1" applyFill="1" applyBorder="1" applyAlignment="1" applyProtection="1">
      <alignment horizontal="center"/>
    </xf>
    <xf numFmtId="0" fontId="30" fillId="6" borderId="64" xfId="0" applyFont="1" applyFill="1" applyBorder="1" applyAlignment="1">
      <alignment horizontal="center" wrapText="1"/>
    </xf>
    <xf numFmtId="0" fontId="30" fillId="6" borderId="25" xfId="0" applyFont="1" applyFill="1" applyBorder="1" applyAlignment="1" applyProtection="1">
      <alignment horizontal="center" wrapText="1"/>
    </xf>
    <xf numFmtId="168" fontId="1" fillId="0" borderId="5" xfId="1" applyNumberFormat="1" applyFont="1" applyBorder="1" applyAlignment="1" applyProtection="1">
      <alignment horizontal="center"/>
    </xf>
    <xf numFmtId="175" fontId="1" fillId="0" borderId="6" xfId="1" applyNumberFormat="1" applyFont="1" applyBorder="1" applyAlignment="1" applyProtection="1">
      <alignment horizontal="center"/>
    </xf>
    <xf numFmtId="9" fontId="1" fillId="0" borderId="7" xfId="1" applyNumberFormat="1" applyFont="1" applyBorder="1" applyAlignment="1" applyProtection="1">
      <alignment horizontal="center"/>
    </xf>
    <xf numFmtId="168" fontId="1" fillId="0" borderId="3" xfId="1" applyNumberFormat="1" applyFont="1" applyBorder="1" applyAlignment="1" applyProtection="1">
      <alignment horizontal="center"/>
    </xf>
    <xf numFmtId="175" fontId="1" fillId="0" borderId="9" xfId="1" applyNumberFormat="1" applyFont="1" applyBorder="1" applyAlignment="1" applyProtection="1">
      <alignment horizontal="center"/>
    </xf>
    <xf numFmtId="9" fontId="1" fillId="0" borderId="26" xfId="1" applyNumberFormat="1" applyFont="1" applyBorder="1" applyAlignment="1" applyProtection="1">
      <alignment horizontal="center"/>
    </xf>
    <xf numFmtId="168" fontId="1" fillId="0" borderId="4" xfId="1" applyNumberFormat="1" applyFont="1" applyBorder="1" applyAlignment="1" applyProtection="1">
      <alignment horizontal="center"/>
    </xf>
    <xf numFmtId="9" fontId="21" fillId="7" borderId="22" xfId="0" applyNumberFormat="1" applyFont="1" applyFill="1" applyBorder="1" applyAlignment="1" applyProtection="1">
      <alignment horizontal="center"/>
      <protection locked="0"/>
    </xf>
    <xf numFmtId="9" fontId="21" fillId="7" borderId="42" xfId="0" applyNumberFormat="1" applyFont="1" applyFill="1" applyBorder="1" applyAlignment="1" applyProtection="1">
      <alignment horizontal="center"/>
      <protection locked="0"/>
    </xf>
    <xf numFmtId="1" fontId="21" fillId="7" borderId="7" xfId="1" quotePrefix="1" applyNumberFormat="1" applyFont="1" applyFill="1" applyBorder="1" applyAlignment="1" applyProtection="1">
      <alignment horizontal="center"/>
    </xf>
    <xf numFmtId="1" fontId="21" fillId="7" borderId="26" xfId="1" quotePrefix="1" applyNumberFormat="1" applyFont="1" applyFill="1" applyBorder="1" applyAlignment="1" applyProtection="1">
      <alignment horizontal="center"/>
    </xf>
    <xf numFmtId="1" fontId="21" fillId="7" borderId="27" xfId="1" quotePrefix="1" applyNumberFormat="1" applyFont="1" applyFill="1" applyBorder="1" applyAlignment="1" applyProtection="1">
      <alignment horizontal="center"/>
    </xf>
    <xf numFmtId="0" fontId="30" fillId="20" borderId="60" xfId="0" applyFont="1" applyFill="1" applyBorder="1" applyAlignment="1">
      <alignment horizontal="center" wrapText="1"/>
    </xf>
    <xf numFmtId="0" fontId="30" fillId="20" borderId="25" xfId="0" applyFont="1" applyFill="1" applyBorder="1" applyAlignment="1" applyProtection="1">
      <alignment horizontal="center" wrapText="1"/>
    </xf>
    <xf numFmtId="9" fontId="21" fillId="7" borderId="3" xfId="0" applyNumberFormat="1" applyFont="1" applyFill="1" applyBorder="1" applyAlignment="1" applyProtection="1">
      <alignment horizontal="center"/>
      <protection locked="0"/>
    </xf>
    <xf numFmtId="9" fontId="21" fillId="7" borderId="4" xfId="0" applyNumberFormat="1" applyFont="1" applyFill="1" applyBorder="1" applyAlignment="1" applyProtection="1">
      <alignment horizontal="center"/>
      <protection locked="0"/>
    </xf>
    <xf numFmtId="0" fontId="0" fillId="0" borderId="0" xfId="0"/>
    <xf numFmtId="0" fontId="0" fillId="0" borderId="0" xfId="0" applyAlignment="1">
      <alignment horizontal="right"/>
    </xf>
    <xf numFmtId="0" fontId="9" fillId="27" borderId="0" xfId="0" applyFont="1" applyFill="1" applyAlignment="1">
      <alignment horizontal="center"/>
    </xf>
    <xf numFmtId="0" fontId="0" fillId="0" borderId="9" xfId="0" applyBorder="1"/>
    <xf numFmtId="0" fontId="0" fillId="0" borderId="9" xfId="0" applyBorder="1" applyAlignment="1">
      <alignment horizontal="right"/>
    </xf>
    <xf numFmtId="0" fontId="0" fillId="0" borderId="0" xfId="0"/>
    <xf numFmtId="0" fontId="0" fillId="0" borderId="9" xfId="0" applyBorder="1"/>
    <xf numFmtId="0" fontId="0" fillId="0" borderId="10" xfId="0" applyBorder="1"/>
    <xf numFmtId="0" fontId="42" fillId="0" borderId="0" xfId="2" applyNumberFormat="1" applyFont="1"/>
    <xf numFmtId="0" fontId="4" fillId="0" borderId="8" xfId="0" applyFont="1" applyBorder="1" applyAlignment="1">
      <alignment horizontal="right"/>
    </xf>
    <xf numFmtId="169" fontId="1" fillId="0" borderId="8" xfId="3" applyNumberFormat="1" applyFont="1" applyBorder="1"/>
    <xf numFmtId="0" fontId="0" fillId="7" borderId="2" xfId="0" applyFill="1" applyBorder="1"/>
    <xf numFmtId="0" fontId="0" fillId="7" borderId="49" xfId="0" applyFill="1" applyBorder="1"/>
    <xf numFmtId="0" fontId="0" fillId="0" borderId="58" xfId="0" applyBorder="1"/>
    <xf numFmtId="0" fontId="0" fillId="0" borderId="78" xfId="0" applyBorder="1" applyAlignment="1">
      <alignment horizontal="center"/>
    </xf>
    <xf numFmtId="0" fontId="0" fillId="0" borderId="52" xfId="0" applyBorder="1" applyAlignment="1">
      <alignment horizontal="center"/>
    </xf>
    <xf numFmtId="0" fontId="0" fillId="0" borderId="87" xfId="0" applyBorder="1" applyAlignment="1">
      <alignment horizontal="center"/>
    </xf>
    <xf numFmtId="9" fontId="0" fillId="0" borderId="63" xfId="0" applyNumberFormat="1" applyBorder="1"/>
    <xf numFmtId="9" fontId="0" fillId="0" borderId="53" xfId="0" applyNumberFormat="1" applyBorder="1"/>
    <xf numFmtId="0" fontId="0" fillId="0" borderId="13" xfId="0" applyBorder="1" applyAlignment="1">
      <alignment horizontal="center"/>
    </xf>
    <xf numFmtId="169" fontId="0" fillId="0" borderId="41" xfId="3" applyNumberFormat="1" applyFont="1" applyBorder="1"/>
    <xf numFmtId="169" fontId="0" fillId="0" borderId="14" xfId="3" applyNumberFormat="1" applyFont="1" applyBorder="1"/>
    <xf numFmtId="169" fontId="0" fillId="7" borderId="10" xfId="3" applyNumberFormat="1" applyFont="1" applyFill="1" applyBorder="1"/>
    <xf numFmtId="168" fontId="1" fillId="0" borderId="0" xfId="1" applyNumberFormat="1" applyFont="1"/>
    <xf numFmtId="0" fontId="0" fillId="0" borderId="0" xfId="0"/>
    <xf numFmtId="0" fontId="0" fillId="0" borderId="9" xfId="0" applyBorder="1"/>
    <xf numFmtId="172" fontId="21" fillId="6" borderId="3" xfId="0" applyNumberFormat="1" applyFont="1" applyFill="1" applyBorder="1" applyAlignment="1" applyProtection="1">
      <alignment horizontal="center"/>
    </xf>
    <xf numFmtId="172" fontId="21" fillId="6" borderId="4" xfId="0" applyNumberFormat="1" applyFont="1" applyFill="1" applyBorder="1" applyAlignment="1" applyProtection="1">
      <alignment horizontal="center"/>
    </xf>
    <xf numFmtId="0" fontId="0" fillId="0" borderId="9" xfId="0" applyBorder="1"/>
    <xf numFmtId="0" fontId="0" fillId="5" borderId="36" xfId="0" applyFill="1" applyBorder="1" applyProtection="1"/>
    <xf numFmtId="171" fontId="0" fillId="5" borderId="36" xfId="0" applyNumberFormat="1" applyFill="1" applyBorder="1" applyAlignment="1" applyProtection="1">
      <alignment horizontal="center"/>
    </xf>
    <xf numFmtId="180" fontId="0" fillId="40" borderId="56" xfId="0" applyNumberFormat="1" applyFill="1" applyBorder="1" applyProtection="1"/>
    <xf numFmtId="180" fontId="3" fillId="40" borderId="13" xfId="0" applyNumberFormat="1" applyFont="1" applyFill="1" applyBorder="1" applyAlignment="1" applyProtection="1">
      <alignment horizontal="center"/>
    </xf>
    <xf numFmtId="180" fontId="0" fillId="0" borderId="9" xfId="0" applyNumberFormat="1" applyBorder="1" applyProtection="1"/>
    <xf numFmtId="180" fontId="0" fillId="0" borderId="0" xfId="0" applyNumberFormat="1" applyProtection="1"/>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0" fontId="50" fillId="0" borderId="0" xfId="0" applyFont="1" applyAlignment="1">
      <alignment horizontal="center" vertical="center"/>
    </xf>
    <xf numFmtId="0" fontId="3" fillId="24" borderId="56" xfId="0" applyFont="1" applyFill="1" applyBorder="1" applyAlignment="1">
      <alignment vertical="center" wrapText="1"/>
    </xf>
    <xf numFmtId="0" fontId="3" fillId="24" borderId="60" xfId="0" applyFont="1" applyFill="1" applyBorder="1" applyAlignment="1">
      <alignment vertical="center" wrapText="1"/>
    </xf>
    <xf numFmtId="0" fontId="3" fillId="24" borderId="57" xfId="0" applyFont="1" applyFill="1" applyBorder="1" applyAlignment="1">
      <alignment vertical="center" wrapText="1"/>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0" fillId="24" borderId="13" xfId="0" applyFont="1" applyFill="1" applyBorder="1" applyAlignment="1">
      <alignment horizontal="center" vertical="center" wrapText="1"/>
    </xf>
    <xf numFmtId="0" fontId="50" fillId="24" borderId="11" xfId="0" applyFont="1" applyFill="1" applyBorder="1" applyAlignment="1">
      <alignment horizontal="center" vertical="center" wrapText="1"/>
    </xf>
    <xf numFmtId="0" fontId="50" fillId="24" borderId="28" xfId="0" applyFont="1" applyFill="1" applyBorder="1" applyAlignment="1">
      <alignment horizontal="center" vertical="center" wrapText="1"/>
    </xf>
    <xf numFmtId="0" fontId="51" fillId="24" borderId="15" xfId="0" applyFont="1" applyFill="1" applyBorder="1" applyAlignment="1">
      <alignment horizontal="center" vertical="center" wrapText="1"/>
    </xf>
    <xf numFmtId="0" fontId="51" fillId="24" borderId="2" xfId="0" applyFont="1" applyFill="1" applyBorder="1" applyAlignment="1">
      <alignment horizontal="center" vertical="center" wrapText="1"/>
    </xf>
    <xf numFmtId="0" fontId="51" fillId="24" borderId="30" xfId="0" applyFont="1" applyFill="1" applyBorder="1" applyAlignment="1">
      <alignment horizontal="center" vertical="center" wrapText="1"/>
    </xf>
    <xf numFmtId="0" fontId="52" fillId="0" borderId="0" xfId="0" applyFont="1" applyAlignment="1">
      <alignment horizontal="center" vertical="center" wrapText="1"/>
    </xf>
    <xf numFmtId="0" fontId="51" fillId="0" borderId="0" xfId="0" applyFont="1" applyAlignment="1">
      <alignment horizontal="center" vertical="center" wrapText="1"/>
    </xf>
    <xf numFmtId="0" fontId="3" fillId="24" borderId="56" xfId="6" applyFont="1" applyFill="1" applyBorder="1" applyAlignment="1">
      <alignment horizontal="left" vertical="center" wrapText="1"/>
    </xf>
    <xf numFmtId="0" fontId="3" fillId="24" borderId="60" xfId="6" applyFont="1" applyFill="1" applyBorder="1" applyAlignment="1">
      <alignment horizontal="left" vertical="center" wrapText="1"/>
    </xf>
    <xf numFmtId="0" fontId="3" fillId="24" borderId="57" xfId="6" applyFont="1" applyFill="1" applyBorder="1" applyAlignment="1">
      <alignment horizontal="left" vertical="center" wrapText="1"/>
    </xf>
    <xf numFmtId="0" fontId="34" fillId="29" borderId="14" xfId="6" applyFont="1" applyFill="1" applyBorder="1" applyAlignment="1" applyProtection="1">
      <alignment horizontal="center"/>
      <protection locked="0"/>
    </xf>
    <xf numFmtId="0" fontId="34" fillId="29" borderId="0" xfId="6" applyFont="1" applyFill="1" applyAlignment="1" applyProtection="1">
      <alignment horizontal="center"/>
      <protection locked="0"/>
    </xf>
    <xf numFmtId="0" fontId="34" fillId="29" borderId="29" xfId="6" applyFont="1" applyFill="1" applyBorder="1" applyAlignment="1" applyProtection="1">
      <alignment horizontal="center"/>
      <protection locked="0"/>
    </xf>
    <xf numFmtId="0" fontId="34" fillId="29" borderId="15" xfId="6" applyFont="1" applyFill="1" applyBorder="1" applyAlignment="1" applyProtection="1">
      <alignment horizontal="center"/>
      <protection locked="0"/>
    </xf>
    <xf numFmtId="0" fontId="34" fillId="29" borderId="2" xfId="6" applyFont="1" applyFill="1" applyBorder="1" applyAlignment="1" applyProtection="1">
      <alignment horizontal="center"/>
      <protection locked="0"/>
    </xf>
    <xf numFmtId="0" fontId="34" fillId="29" borderId="30" xfId="6" applyFont="1" applyFill="1" applyBorder="1" applyAlignment="1" applyProtection="1">
      <alignment horizontal="center"/>
      <protection locked="0"/>
    </xf>
    <xf numFmtId="0" fontId="34" fillId="29" borderId="14" xfId="6" applyFont="1" applyFill="1" applyBorder="1" applyAlignment="1">
      <alignment horizontal="center"/>
    </xf>
    <xf numFmtId="0" fontId="34" fillId="29" borderId="0" xfId="6" applyFont="1" applyFill="1" applyAlignment="1">
      <alignment horizontal="center"/>
    </xf>
    <xf numFmtId="0" fontId="34" fillId="29" borderId="29" xfId="6" applyFont="1" applyFill="1" applyBorder="1" applyAlignment="1">
      <alignment horizontal="center"/>
    </xf>
    <xf numFmtId="0" fontId="34" fillId="29" borderId="15" xfId="6" applyFont="1" applyFill="1" applyBorder="1" applyAlignment="1">
      <alignment horizontal="center"/>
    </xf>
    <xf numFmtId="0" fontId="34" fillId="29" borderId="2" xfId="6" applyFont="1" applyFill="1" applyBorder="1" applyAlignment="1">
      <alignment horizontal="center"/>
    </xf>
    <xf numFmtId="0" fontId="34" fillId="29" borderId="30" xfId="6" applyFont="1" applyFill="1" applyBorder="1" applyAlignment="1">
      <alignment horizontal="center"/>
    </xf>
    <xf numFmtId="0" fontId="3" fillId="26" borderId="56" xfId="6" applyFont="1" applyFill="1" applyBorder="1" applyAlignment="1">
      <alignment vertical="center" wrapText="1"/>
    </xf>
    <xf numFmtId="0" fontId="3" fillId="26" borderId="60" xfId="6" applyFont="1" applyFill="1" applyBorder="1" applyAlignment="1">
      <alignment vertical="center" wrapText="1"/>
    </xf>
    <xf numFmtId="0" fontId="3" fillId="26" borderId="57" xfId="6" applyFont="1" applyFill="1" applyBorder="1" applyAlignment="1">
      <alignment vertical="center" wrapText="1"/>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0" fillId="7" borderId="9" xfId="0" applyFill="1" applyBorder="1" applyAlignment="1" applyProtection="1">
      <alignment horizontal="center" vertical="center"/>
      <protection locked="0"/>
    </xf>
    <xf numFmtId="180" fontId="0" fillId="7" borderId="9" xfId="0" applyNumberFormat="1" applyFill="1" applyBorder="1" applyAlignment="1" applyProtection="1">
      <alignment horizontal="center" vertical="center"/>
      <protection locked="0"/>
    </xf>
    <xf numFmtId="0" fontId="0" fillId="3" borderId="9" xfId="0" applyFill="1" applyBorder="1" applyAlignment="1">
      <alignment horizontal="center"/>
    </xf>
    <xf numFmtId="0" fontId="0" fillId="3" borderId="41" xfId="0" applyFill="1" applyBorder="1" applyAlignment="1">
      <alignment horizontal="center"/>
    </xf>
    <xf numFmtId="0" fontId="0" fillId="3" borderId="50" xfId="0" applyFill="1" applyBorder="1" applyAlignment="1">
      <alignment horizontal="center"/>
    </xf>
    <xf numFmtId="0" fontId="3" fillId="6" borderId="49" xfId="0" applyFont="1" applyFill="1" applyBorder="1" applyAlignment="1">
      <alignment horizontal="left" wrapText="1"/>
    </xf>
    <xf numFmtId="0" fontId="3" fillId="6" borderId="84" xfId="0" applyFont="1" applyFill="1" applyBorder="1" applyAlignment="1">
      <alignment horizontal="left" wrapText="1"/>
    </xf>
    <xf numFmtId="0" fontId="60" fillId="3" borderId="14" xfId="0" applyFont="1" applyFill="1" applyBorder="1" applyAlignment="1">
      <alignment horizontal="center" wrapText="1"/>
    </xf>
    <xf numFmtId="0" fontId="19" fillId="3" borderId="11" xfId="0" applyFont="1" applyFill="1" applyBorder="1" applyAlignment="1">
      <alignment horizontal="left" indent="1"/>
    </xf>
    <xf numFmtId="169" fontId="3" fillId="3" borderId="31" xfId="0" applyNumberFormat="1" applyFont="1" applyFill="1" applyBorder="1" applyAlignment="1">
      <alignment horizontal="center" vertical="center"/>
    </xf>
    <xf numFmtId="169"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9" fontId="3" fillId="3" borderId="49" xfId="0" applyNumberFormat="1" applyFont="1" applyFill="1" applyBorder="1" applyAlignment="1">
      <alignment horizontal="center" vertical="center"/>
    </xf>
    <xf numFmtId="169" fontId="3" fillId="3" borderId="84" xfId="0" applyNumberFormat="1" applyFont="1" applyFill="1" applyBorder="1" applyAlignment="1">
      <alignment horizontal="center" vertical="center"/>
    </xf>
    <xf numFmtId="169" fontId="3" fillId="2" borderId="14" xfId="0" applyNumberFormat="1" applyFont="1" applyFill="1" applyBorder="1" applyAlignment="1">
      <alignment horizontal="right" vertical="center"/>
    </xf>
    <xf numFmtId="169" fontId="3" fillId="2" borderId="20" xfId="0" applyNumberFormat="1" applyFont="1" applyFill="1" applyBorder="1" applyAlignment="1">
      <alignment horizontal="right" vertical="center"/>
    </xf>
    <xf numFmtId="169" fontId="3" fillId="2" borderId="15" xfId="0" applyNumberFormat="1" applyFont="1" applyFill="1" applyBorder="1" applyAlignment="1">
      <alignment horizontal="right" vertical="center"/>
    </xf>
    <xf numFmtId="169" fontId="3" fillId="2" borderId="59" xfId="0" applyNumberFormat="1" applyFont="1" applyFill="1" applyBorder="1" applyAlignment="1">
      <alignment horizontal="right" vertical="center"/>
    </xf>
    <xf numFmtId="0" fontId="4" fillId="3" borderId="0" xfId="0" applyFont="1" applyFill="1" applyAlignment="1">
      <alignment horizontal="center"/>
    </xf>
    <xf numFmtId="169" fontId="7" fillId="2" borderId="13" xfId="0" applyNumberFormat="1" applyFont="1" applyFill="1" applyBorder="1" applyAlignment="1">
      <alignment horizontal="right" vertical="center"/>
    </xf>
    <xf numFmtId="169" fontId="7" fillId="2" borderId="58" xfId="0" applyNumberFormat="1" applyFont="1" applyFill="1" applyBorder="1" applyAlignment="1">
      <alignment horizontal="right" vertical="center"/>
    </xf>
    <xf numFmtId="0" fontId="59" fillId="3" borderId="0" xfId="0" applyFont="1" applyFill="1" applyAlignment="1">
      <alignment horizontal="center" vertical="center" wrapText="1"/>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0" fontId="45" fillId="10" borderId="0" xfId="0" applyFont="1" applyFill="1" applyAlignment="1">
      <alignment horizontal="center" vertical="center" wrapText="1"/>
    </xf>
    <xf numFmtId="0" fontId="14" fillId="10" borderId="40" xfId="0" applyFont="1" applyFill="1" applyBorder="1" applyAlignment="1">
      <alignment horizontal="center" vertical="center"/>
    </xf>
    <xf numFmtId="0" fontId="14" fillId="31" borderId="40" xfId="0" applyFont="1" applyFill="1" applyBorder="1" applyAlignment="1">
      <alignment horizontal="center" vertical="center"/>
    </xf>
    <xf numFmtId="0" fontId="3" fillId="10" borderId="23" xfId="0" applyFont="1" applyFill="1" applyBorder="1" applyAlignment="1">
      <alignment horizontal="right" vertical="center" wrapText="1"/>
    </xf>
    <xf numFmtId="0" fontId="3" fillId="0" borderId="23" xfId="0" applyFont="1" applyBorder="1" applyAlignment="1">
      <alignment horizontal="right" vertical="center" wrapText="1"/>
    </xf>
    <xf numFmtId="169" fontId="0" fillId="10" borderId="18" xfId="3" applyNumberFormat="1" applyFont="1" applyFill="1" applyBorder="1" applyAlignment="1">
      <alignment horizontal="center" vertical="center" wrapText="1"/>
    </xf>
    <xf numFmtId="169" fontId="0" fillId="10" borderId="19" xfId="3" applyNumberFormat="1" applyFont="1" applyFill="1" applyBorder="1" applyAlignment="1">
      <alignment horizontal="center" vertical="center" wrapText="1"/>
    </xf>
    <xf numFmtId="169" fontId="0" fillId="10" borderId="0" xfId="3" applyNumberFormat="1" applyFont="1" applyFill="1" applyBorder="1" applyAlignment="1">
      <alignment horizontal="center" vertical="center" wrapText="1"/>
    </xf>
    <xf numFmtId="169" fontId="0" fillId="10" borderId="20" xfId="3" applyNumberFormat="1" applyFont="1" applyFill="1" applyBorder="1" applyAlignment="1">
      <alignment horizontal="center" vertical="center" wrapText="1"/>
    </xf>
    <xf numFmtId="0" fontId="0" fillId="10" borderId="18" xfId="0" applyFill="1" applyBorder="1" applyAlignment="1">
      <alignment horizontal="center" vertical="center" wrapText="1"/>
    </xf>
    <xf numFmtId="0" fontId="0" fillId="10" borderId="19" xfId="0" applyFill="1" applyBorder="1" applyAlignment="1">
      <alignment horizontal="center" vertical="center" wrapText="1"/>
    </xf>
    <xf numFmtId="0" fontId="0" fillId="10" borderId="0" xfId="0" applyFill="1" applyBorder="1" applyAlignment="1">
      <alignment horizontal="center" vertical="center" wrapText="1"/>
    </xf>
    <xf numFmtId="0" fontId="0" fillId="10" borderId="20" xfId="0" applyFill="1" applyBorder="1" applyAlignment="1">
      <alignment horizontal="center" vertical="center" wrapText="1"/>
    </xf>
    <xf numFmtId="0" fontId="0" fillId="0" borderId="23" xfId="0" applyBorder="1" applyAlignment="1">
      <alignment horizontal="right" vertical="center" wrapText="1"/>
    </xf>
    <xf numFmtId="0" fontId="0" fillId="10" borderId="0" xfId="0" applyFill="1" applyAlignment="1">
      <alignment horizontal="center" vertical="center" wrapText="1"/>
    </xf>
    <xf numFmtId="0" fontId="0" fillId="10" borderId="22" xfId="0" applyFill="1" applyBorder="1" applyAlignment="1">
      <alignment horizontal="center" vertical="center" wrapText="1"/>
    </xf>
    <xf numFmtId="0" fontId="13" fillId="10" borderId="18" xfId="0" applyFont="1" applyFill="1" applyBorder="1" applyAlignment="1">
      <alignment horizontal="center" vertical="center"/>
    </xf>
    <xf numFmtId="0" fontId="68" fillId="10" borderId="18" xfId="0" applyFont="1" applyFill="1" applyBorder="1" applyAlignment="1">
      <alignment horizontal="center" vertical="center" wrapText="1"/>
    </xf>
    <xf numFmtId="0" fontId="68" fillId="10" borderId="0" xfId="0" applyFont="1" applyFill="1" applyAlignment="1">
      <alignment horizontal="center" vertical="center" wrapText="1"/>
    </xf>
    <xf numFmtId="0" fontId="68" fillId="10" borderId="22" xfId="0" applyFont="1" applyFill="1" applyBorder="1" applyAlignment="1">
      <alignment horizontal="center" vertical="center" wrapText="1"/>
    </xf>
    <xf numFmtId="0" fontId="0" fillId="0" borderId="0" xfId="0"/>
    <xf numFmtId="0" fontId="0" fillId="0" borderId="0" xfId="0" applyAlignment="1">
      <alignment vertical="center"/>
    </xf>
    <xf numFmtId="0" fontId="13" fillId="10" borderId="18" xfId="0" applyFont="1" applyFill="1" applyBorder="1" applyAlignment="1" applyProtection="1">
      <alignment horizontal="center" vertical="center"/>
    </xf>
    <xf numFmtId="0" fontId="0" fillId="3" borderId="9" xfId="0" applyFill="1" applyBorder="1" applyAlignment="1">
      <alignment horizontal="center" vertical="center"/>
    </xf>
    <xf numFmtId="169" fontId="1" fillId="10" borderId="18" xfId="3" applyNumberFormat="1" applyFont="1" applyFill="1" applyBorder="1" applyAlignment="1">
      <alignment horizontal="center" vertical="center" wrapText="1"/>
    </xf>
    <xf numFmtId="169" fontId="1" fillId="10" borderId="19" xfId="3" applyNumberFormat="1" applyFont="1" applyFill="1" applyBorder="1" applyAlignment="1">
      <alignment horizontal="center" vertical="center" wrapText="1"/>
    </xf>
    <xf numFmtId="169" fontId="1" fillId="10" borderId="0" xfId="3" applyNumberFormat="1" applyFont="1" applyFill="1" applyBorder="1" applyAlignment="1">
      <alignment horizontal="center" vertical="center" wrapText="1"/>
    </xf>
    <xf numFmtId="169" fontId="1" fillId="10" borderId="20" xfId="3" applyNumberFormat="1" applyFont="1" applyFill="1" applyBorder="1" applyAlignment="1">
      <alignment horizontal="center" vertical="center" wrapText="1"/>
    </xf>
    <xf numFmtId="0" fontId="13" fillId="10" borderId="18" xfId="0" applyFont="1" applyFill="1" applyBorder="1" applyAlignment="1">
      <alignment horizontal="center" vertical="top"/>
    </xf>
    <xf numFmtId="172"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169" fontId="6" fillId="3" borderId="10" xfId="3" applyNumberFormat="1" applyFont="1" applyFill="1" applyBorder="1" applyAlignment="1">
      <alignment horizontal="center" vertical="center"/>
    </xf>
    <xf numFmtId="169" fontId="6" fillId="3" borderId="27" xfId="3" applyNumberFormat="1" applyFont="1" applyFill="1" applyBorder="1" applyAlignment="1">
      <alignment horizontal="center" vertical="center"/>
    </xf>
    <xf numFmtId="169" fontId="3" fillId="10" borderId="18" xfId="3" applyNumberFormat="1" applyFont="1" applyFill="1" applyBorder="1" applyAlignment="1">
      <alignment horizontal="center" vertical="center"/>
    </xf>
    <xf numFmtId="0" fontId="1" fillId="0" borderId="5" xfId="0" applyFont="1" applyBorder="1" applyAlignment="1">
      <alignment horizontal="center"/>
    </xf>
    <xf numFmtId="0" fontId="1" fillId="0" borderId="7" xfId="0" applyFont="1" applyBorder="1" applyAlignment="1">
      <alignment horizontal="center"/>
    </xf>
    <xf numFmtId="0" fontId="1" fillId="0" borderId="85"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70" fontId="1" fillId="0" borderId="3" xfId="0" applyNumberFormat="1" applyFont="1" applyBorder="1" applyAlignment="1">
      <alignment horizontal="center"/>
    </xf>
    <xf numFmtId="170" fontId="1" fillId="0" borderId="26" xfId="0" applyNumberFormat="1" applyFont="1" applyBorder="1" applyAlignment="1">
      <alignment horizontal="center"/>
    </xf>
    <xf numFmtId="171" fontId="1" fillId="0" borderId="3" xfId="0" applyNumberFormat="1" applyFont="1" applyBorder="1" applyAlignment="1">
      <alignment horizontal="center"/>
    </xf>
    <xf numFmtId="171" fontId="1" fillId="0" borderId="26" xfId="0" applyNumberFormat="1" applyFont="1" applyBorder="1" applyAlignment="1">
      <alignment horizontal="center"/>
    </xf>
    <xf numFmtId="167" fontId="1" fillId="0" borderId="4" xfId="2" applyNumberFormat="1" applyFont="1" applyBorder="1" applyAlignment="1">
      <alignment horizontal="center" vertical="center"/>
    </xf>
    <xf numFmtId="167" fontId="1" fillId="0" borderId="27" xfId="2" applyNumberFormat="1" applyFont="1" applyBorder="1" applyAlignment="1">
      <alignment horizontal="center" vertical="center"/>
    </xf>
    <xf numFmtId="9" fontId="1" fillId="0" borderId="86" xfId="0" applyNumberFormat="1" applyFont="1" applyBorder="1" applyAlignment="1">
      <alignment horizontal="center"/>
    </xf>
    <xf numFmtId="9" fontId="1" fillId="0" borderId="38" xfId="0" applyNumberFormat="1" applyFont="1" applyBorder="1" applyAlignment="1">
      <alignment horizontal="center"/>
    </xf>
    <xf numFmtId="169" fontId="6" fillId="3" borderId="6" xfId="3" applyNumberFormat="1" applyFont="1" applyFill="1" applyBorder="1" applyAlignment="1">
      <alignment horizontal="center" vertical="center"/>
    </xf>
    <xf numFmtId="169" fontId="6" fillId="3" borderId="7" xfId="3" applyNumberFormat="1" applyFont="1" applyFill="1" applyBorder="1" applyAlignment="1">
      <alignment horizontal="center" vertical="center"/>
    </xf>
    <xf numFmtId="0" fontId="3" fillId="6" borderId="49" xfId="0" applyFont="1" applyFill="1" applyBorder="1" applyAlignment="1">
      <alignment horizontal="right" vertical="center" wrapText="1"/>
    </xf>
    <xf numFmtId="0" fontId="3" fillId="6" borderId="84" xfId="0" applyFont="1" applyFill="1" applyBorder="1" applyAlignment="1">
      <alignment horizontal="right" vertical="center" wrapText="1"/>
    </xf>
    <xf numFmtId="0" fontId="3" fillId="34" borderId="49" xfId="0" applyFont="1" applyFill="1" applyBorder="1" applyAlignment="1" applyProtection="1">
      <alignment horizontal="center" vertical="center"/>
    </xf>
    <xf numFmtId="0" fontId="3" fillId="34" borderId="84" xfId="0" applyFont="1" applyFill="1" applyBorder="1" applyAlignment="1" applyProtection="1">
      <alignment horizontal="center" vertical="center"/>
    </xf>
    <xf numFmtId="169" fontId="0" fillId="10" borderId="22" xfId="3" applyNumberFormat="1" applyFont="1" applyFill="1" applyBorder="1" applyAlignment="1">
      <alignment horizontal="center" vertical="center" wrapText="1"/>
    </xf>
    <xf numFmtId="0" fontId="8" fillId="10" borderId="0" xfId="0" applyFont="1" applyFill="1" applyAlignment="1">
      <alignment horizontal="center" vertical="center" wrapText="1"/>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0" fontId="29" fillId="10" borderId="42" xfId="0" applyFont="1" applyFill="1" applyBorder="1" applyAlignment="1">
      <alignment horizontal="center" vertical="top" wrapText="1"/>
    </xf>
    <xf numFmtId="0" fontId="4" fillId="0" borderId="9" xfId="0" applyFont="1" applyBorder="1" applyAlignment="1">
      <alignment horizontal="center"/>
    </xf>
    <xf numFmtId="0" fontId="4" fillId="0" borderId="26" xfId="0" applyFont="1" applyBorder="1" applyAlignment="1">
      <alignment horizontal="center"/>
    </xf>
    <xf numFmtId="0" fontId="4" fillId="0" borderId="10" xfId="0" applyFont="1" applyBorder="1" applyAlignment="1">
      <alignment horizontal="center"/>
    </xf>
    <xf numFmtId="0" fontId="4" fillId="0" borderId="27" xfId="0" applyFont="1" applyBorder="1" applyAlignment="1">
      <alignment horizontal="center"/>
    </xf>
    <xf numFmtId="0" fontId="3" fillId="2" borderId="3" xfId="0" applyFont="1" applyFill="1" applyBorder="1" applyAlignment="1">
      <alignment horizontal="right"/>
    </xf>
    <xf numFmtId="0" fontId="3" fillId="2" borderId="9" xfId="0" applyFont="1" applyFill="1" applyBorder="1" applyAlignment="1">
      <alignment horizontal="right"/>
    </xf>
    <xf numFmtId="0" fontId="3" fillId="2" borderId="4" xfId="0" applyFont="1" applyFill="1" applyBorder="1" applyAlignment="1">
      <alignment horizontal="right"/>
    </xf>
    <xf numFmtId="0" fontId="3" fillId="2" borderId="10" xfId="0" applyFont="1" applyFill="1" applyBorder="1" applyAlignment="1">
      <alignment horizontal="right"/>
    </xf>
    <xf numFmtId="0" fontId="8" fillId="12" borderId="9" xfId="0" applyFont="1" applyFill="1" applyBorder="1" applyAlignment="1">
      <alignment horizontal="center" vertical="center"/>
    </xf>
    <xf numFmtId="167" fontId="3" fillId="3" borderId="9" xfId="2" applyNumberFormat="1" applyFont="1" applyFill="1" applyBorder="1" applyAlignment="1">
      <alignment horizontal="center" vertical="center"/>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167" fontId="3" fillId="4" borderId="9" xfId="2" applyNumberFormat="1" applyFont="1" applyFill="1" applyBorder="1" applyAlignment="1">
      <alignment horizontal="center" vertical="center"/>
    </xf>
    <xf numFmtId="0" fontId="19" fillId="0" borderId="60" xfId="0" applyFont="1" applyBorder="1" applyAlignment="1">
      <alignment horizontal="left" vertical="top" indent="1"/>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0" xfId="0" applyFont="1" applyFill="1" applyBorder="1" applyAlignment="1">
      <alignment horizontal="center" vertical="center" wrapText="1"/>
    </xf>
    <xf numFmtId="0" fontId="0" fillId="0" borderId="11" xfId="0" applyBorder="1" applyAlignment="1">
      <alignment vertical="center"/>
    </xf>
    <xf numFmtId="0" fontId="60" fillId="10" borderId="0" xfId="0" applyFont="1" applyFill="1" applyAlignment="1">
      <alignment horizontal="center"/>
    </xf>
    <xf numFmtId="0" fontId="29" fillId="10" borderId="0" xfId="0" applyFont="1" applyFill="1" applyBorder="1" applyAlignment="1">
      <alignment horizontal="center" vertical="top" wrapText="1"/>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10" fillId="6" borderId="41" xfId="0" applyFont="1" applyFill="1" applyBorder="1" applyAlignment="1" applyProtection="1">
      <alignment horizontal="center"/>
    </xf>
    <xf numFmtId="0" fontId="10" fillId="6"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80" fontId="0" fillId="7" borderId="9" xfId="0" applyNumberFormat="1" applyFill="1" applyBorder="1" applyAlignment="1" applyProtection="1">
      <alignment horizontal="center"/>
      <protection locked="0"/>
    </xf>
    <xf numFmtId="0" fontId="0" fillId="3" borderId="0" xfId="0" applyFill="1" applyAlignment="1">
      <alignment horizontal="center"/>
    </xf>
    <xf numFmtId="180" fontId="10" fillId="34" borderId="9" xfId="0" applyNumberFormat="1" applyFont="1" applyFill="1" applyBorder="1" applyAlignment="1" applyProtection="1">
      <alignment horizontal="center"/>
    </xf>
    <xf numFmtId="0" fontId="1" fillId="26" borderId="80" xfId="0" applyFont="1" applyFill="1" applyBorder="1" applyAlignment="1" applyProtection="1">
      <alignment horizontal="center"/>
    </xf>
    <xf numFmtId="0" fontId="73" fillId="0" borderId="56" xfId="0" applyFont="1" applyBorder="1" applyAlignment="1" applyProtection="1">
      <alignment horizontal="center" vertical="center"/>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73" fillId="0" borderId="56" xfId="0" applyFont="1" applyBorder="1" applyAlignment="1" applyProtection="1">
      <alignment horizontal="center"/>
    </xf>
    <xf numFmtId="0" fontId="73" fillId="0" borderId="60" xfId="0" applyFont="1" applyBorder="1" applyAlignment="1" applyProtection="1">
      <alignment horizontal="center"/>
    </xf>
    <xf numFmtId="0" fontId="73" fillId="0" borderId="57" xfId="0" applyFont="1" applyBorder="1" applyAlignment="1" applyProtection="1">
      <alignment horizontal="center"/>
    </xf>
    <xf numFmtId="0" fontId="73" fillId="0" borderId="60" xfId="0" applyFont="1" applyBorder="1" applyAlignment="1" applyProtection="1">
      <alignment horizontal="center" vertical="center"/>
    </xf>
    <xf numFmtId="0" fontId="73" fillId="0" borderId="57" xfId="0" applyFont="1" applyBorder="1" applyAlignment="1" applyProtection="1">
      <alignment horizontal="center" vertical="center"/>
    </xf>
    <xf numFmtId="0" fontId="3"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5" fillId="0" borderId="60" xfId="0" applyFont="1" applyBorder="1" applyAlignment="1" applyProtection="1">
      <alignment horizontal="center" vertical="center"/>
      <protection locked="0"/>
    </xf>
    <xf numFmtId="0" fontId="5" fillId="0" borderId="57" xfId="0" applyFont="1" applyBorder="1" applyAlignment="1" applyProtection="1">
      <alignment horizontal="center" vertical="center"/>
      <protection locked="0"/>
    </xf>
    <xf numFmtId="0" fontId="3" fillId="0" borderId="56" xfId="0" applyFont="1" applyBorder="1" applyAlignment="1" applyProtection="1">
      <alignment horizontal="center" vertical="center" wrapText="1"/>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0" fontId="0" fillId="6" borderId="56" xfId="0" applyFill="1" applyBorder="1" applyAlignment="1" applyProtection="1">
      <alignment horizontal="center" vertical="center"/>
    </xf>
    <xf numFmtId="0" fontId="0" fillId="6" borderId="57" xfId="0" applyFill="1" applyBorder="1" applyAlignment="1" applyProtection="1">
      <alignment horizontal="center" vertical="center"/>
    </xf>
    <xf numFmtId="180" fontId="0" fillId="6" borderId="56" xfId="0" applyNumberFormat="1" applyFill="1" applyBorder="1" applyAlignment="1" applyProtection="1">
      <alignment horizontal="center" vertical="center"/>
    </xf>
    <xf numFmtId="180" fontId="0" fillId="6" borderId="57" xfId="0" applyNumberFormat="1" applyFill="1" applyBorder="1" applyAlignment="1" applyProtection="1">
      <alignment horizontal="center" vertical="center"/>
    </xf>
    <xf numFmtId="0" fontId="0" fillId="6" borderId="60" xfId="0" applyFill="1" applyBorder="1" applyAlignment="1" applyProtection="1">
      <alignment horizontal="center" vertical="center"/>
    </xf>
    <xf numFmtId="0" fontId="45" fillId="0" borderId="0" xfId="0" applyFont="1" applyAlignment="1">
      <alignment horizontal="center" vertical="center" wrapText="1"/>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0" fillId="6" borderId="56" xfId="0" applyFill="1" applyBorder="1" applyAlignment="1">
      <alignment horizontal="center" vertical="center"/>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0" fillId="36" borderId="60" xfId="0" applyFill="1" applyBorder="1" applyAlignment="1" applyProtection="1">
      <alignment horizontal="center" vertical="center"/>
      <protection locked="0"/>
    </xf>
    <xf numFmtId="0" fontId="19" fillId="3" borderId="0" xfId="0" applyFont="1" applyFill="1" applyAlignment="1" applyProtection="1">
      <alignment horizontal="center" wrapText="1"/>
    </xf>
    <xf numFmtId="0" fontId="8" fillId="11" borderId="9" xfId="0" applyFont="1" applyFill="1" applyBorder="1" applyAlignment="1" applyProtection="1">
      <alignment horizontal="center" vertical="center" wrapText="1"/>
    </xf>
    <xf numFmtId="166" fontId="2" fillId="0" borderId="9" xfId="1" applyFont="1" applyFill="1" applyBorder="1" applyAlignment="1" applyProtection="1">
      <alignment horizontal="center" vertical="top" wrapText="1"/>
    </xf>
    <xf numFmtId="166" fontId="0" fillId="0" borderId="9" xfId="1" applyFont="1" applyFill="1" applyBorder="1" applyAlignment="1" applyProtection="1">
      <alignment horizontal="center" vertical="top" wrapText="1"/>
    </xf>
    <xf numFmtId="0" fontId="95" fillId="50" borderId="11" xfId="0" applyFont="1" applyFill="1" applyBorder="1" applyAlignment="1" applyProtection="1">
      <alignment horizontal="left" vertical="center"/>
    </xf>
    <xf numFmtId="0" fontId="86" fillId="41" borderId="56" xfId="0" applyFont="1" applyFill="1" applyBorder="1" applyAlignment="1" applyProtection="1">
      <alignment horizontal="center" vertical="center" wrapText="1"/>
    </xf>
    <xf numFmtId="0" fontId="86" fillId="41" borderId="57" xfId="0" applyFont="1" applyFill="1" applyBorder="1" applyAlignment="1" applyProtection="1">
      <alignment horizontal="center" vertical="center" wrapText="1"/>
    </xf>
    <xf numFmtId="0" fontId="95" fillId="50" borderId="0" xfId="0" applyFont="1" applyFill="1" applyAlignment="1" applyProtection="1">
      <alignment horizontal="center" vertical="center"/>
    </xf>
    <xf numFmtId="0" fontId="95" fillId="50" borderId="20" xfId="0" applyFont="1" applyFill="1" applyBorder="1" applyAlignment="1" applyProtection="1">
      <alignment horizontal="center" vertical="center"/>
    </xf>
    <xf numFmtId="0" fontId="95" fillId="50" borderId="16" xfId="0" applyFont="1" applyFill="1" applyBorder="1" applyAlignment="1" applyProtection="1">
      <alignment horizontal="left" vertical="center"/>
    </xf>
    <xf numFmtId="0" fontId="95" fillId="50" borderId="0" xfId="0" applyFont="1" applyFill="1" applyAlignment="1" applyProtection="1">
      <alignment horizontal="left" vertical="center"/>
    </xf>
    <xf numFmtId="0" fontId="86" fillId="41" borderId="56" xfId="0" applyFont="1" applyFill="1" applyBorder="1" applyAlignment="1" applyProtection="1">
      <alignment horizontal="center" vertical="center"/>
    </xf>
    <xf numFmtId="0" fontId="86" fillId="41" borderId="57" xfId="0" applyFont="1" applyFill="1" applyBorder="1" applyAlignment="1" applyProtection="1">
      <alignment horizontal="center" vertical="center"/>
    </xf>
    <xf numFmtId="180" fontId="86" fillId="41" borderId="56" xfId="0" applyNumberFormat="1" applyFont="1" applyFill="1" applyBorder="1" applyAlignment="1" applyProtection="1">
      <alignment horizontal="center" vertical="center"/>
    </xf>
    <xf numFmtId="180" fontId="86" fillId="41" borderId="57" xfId="0" applyNumberFormat="1" applyFont="1" applyFill="1" applyBorder="1" applyAlignment="1" applyProtection="1">
      <alignment horizontal="center" vertical="center"/>
    </xf>
    <xf numFmtId="0" fontId="95" fillId="50" borderId="2" xfId="0" applyFont="1" applyFill="1" applyBorder="1" applyAlignment="1" applyProtection="1">
      <alignment horizontal="left" vertical="center"/>
    </xf>
    <xf numFmtId="0" fontId="86" fillId="51" borderId="60" xfId="0" applyFont="1" applyFill="1" applyBorder="1" applyAlignment="1" applyProtection="1">
      <alignment horizontal="center" vertical="center"/>
      <protection locked="0"/>
    </xf>
    <xf numFmtId="0" fontId="86" fillId="41" borderId="57" xfId="0" applyFont="1" applyFill="1" applyBorder="1" applyAlignment="1" applyProtection="1">
      <alignment horizontal="center" vertical="center"/>
      <protection locked="0"/>
    </xf>
    <xf numFmtId="0" fontId="95" fillId="50" borderId="14" xfId="0" applyFont="1" applyFill="1" applyBorder="1" applyAlignment="1" applyProtection="1">
      <alignment horizontal="center" vertical="center"/>
    </xf>
    <xf numFmtId="0" fontId="95" fillId="0" borderId="56" xfId="0" applyFont="1" applyBorder="1" applyAlignment="1">
      <alignment horizontal="center" vertical="center" wrapText="1"/>
    </xf>
    <xf numFmtId="0" fontId="95" fillId="0" borderId="60" xfId="0" applyFont="1" applyBorder="1" applyAlignment="1">
      <alignment horizontal="center" vertical="center" wrapText="1"/>
    </xf>
    <xf numFmtId="166" fontId="4" fillId="7" borderId="41" xfId="0" applyNumberFormat="1" applyFont="1" applyFill="1" applyBorder="1" applyAlignment="1">
      <alignment horizontal="center"/>
    </xf>
    <xf numFmtId="166" fontId="4" fillId="7" borderId="42" xfId="0" applyNumberFormat="1" applyFont="1" applyFill="1" applyBorder="1" applyAlignment="1">
      <alignment horizontal="center"/>
    </xf>
    <xf numFmtId="166"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27" borderId="0" xfId="0" applyFont="1" applyFill="1" applyAlignment="1">
      <alignment horizontal="center"/>
    </xf>
    <xf numFmtId="0" fontId="85" fillId="0" borderId="49" xfId="0" applyFont="1" applyBorder="1" applyAlignment="1">
      <alignment horizontal="center" vertical="center" wrapText="1"/>
    </xf>
    <xf numFmtId="0" fontId="85" fillId="0" borderId="14" xfId="0" applyFont="1" applyBorder="1" applyAlignment="1">
      <alignment horizontal="center" vertical="center" wrapText="1"/>
    </xf>
    <xf numFmtId="0" fontId="88" fillId="0" borderId="14" xfId="0" applyFont="1" applyBorder="1" applyAlignment="1">
      <alignment horizontal="center" vertical="center" wrapText="1"/>
    </xf>
    <xf numFmtId="0" fontId="88" fillId="0" borderId="15" xfId="0" applyFont="1" applyBorder="1" applyAlignment="1">
      <alignment horizontal="center" vertical="center" wrapText="1"/>
    </xf>
    <xf numFmtId="0" fontId="88" fillId="0" borderId="84" xfId="0" applyFont="1" applyBorder="1" applyAlignment="1">
      <alignment horizontal="center" vertical="center" wrapText="1"/>
    </xf>
    <xf numFmtId="0" fontId="88" fillId="0" borderId="91" xfId="0" applyFont="1" applyBorder="1" applyAlignment="1">
      <alignment horizontal="center" vertical="center" wrapText="1"/>
    </xf>
    <xf numFmtId="0" fontId="85" fillId="0" borderId="85" xfId="0" applyFont="1" applyBorder="1" applyAlignment="1">
      <alignment horizontal="center" vertical="center" wrapText="1"/>
    </xf>
    <xf numFmtId="0" fontId="88" fillId="0" borderId="4" xfId="0" applyFont="1" applyBorder="1" applyAlignment="1">
      <alignment horizontal="center" vertical="center" wrapText="1"/>
    </xf>
    <xf numFmtId="0" fontId="85" fillId="0" borderId="56" xfId="0" applyFont="1" applyBorder="1" applyAlignment="1">
      <alignment horizontal="center" vertical="center" wrapText="1"/>
    </xf>
    <xf numFmtId="0" fontId="84" fillId="0" borderId="60" xfId="0" applyFont="1" applyBorder="1"/>
    <xf numFmtId="0" fontId="84" fillId="0" borderId="57" xfId="0" applyFont="1" applyBorder="1"/>
    <xf numFmtId="0" fontId="85" fillId="43" borderId="49" xfId="0" applyFont="1" applyFill="1" applyBorder="1" applyAlignment="1">
      <alignment horizontal="center" vertical="center" wrapText="1"/>
    </xf>
    <xf numFmtId="0" fontId="85" fillId="43" borderId="84" xfId="0" applyFont="1" applyFill="1" applyBorder="1" applyAlignment="1">
      <alignment horizontal="center" vertical="center" wrapText="1"/>
    </xf>
    <xf numFmtId="0" fontId="84" fillId="0" borderId="84" xfId="0" applyFont="1" applyBorder="1" applyAlignment="1">
      <alignment horizontal="center" vertical="center" wrapText="1"/>
    </xf>
    <xf numFmtId="0" fontId="91" fillId="45" borderId="87" xfId="0" applyFont="1" applyFill="1" applyBorder="1" applyAlignment="1">
      <alignment horizontal="center" vertical="center"/>
    </xf>
    <xf numFmtId="0" fontId="91" fillId="45" borderId="78" xfId="0" applyFont="1" applyFill="1" applyBorder="1" applyAlignment="1">
      <alignment horizontal="center" vertical="center"/>
    </xf>
    <xf numFmtId="0" fontId="88" fillId="0" borderId="78" xfId="0" applyFont="1" applyBorder="1"/>
    <xf numFmtId="0" fontId="88" fillId="0" borderId="52" xfId="0" applyFont="1" applyBorder="1"/>
    <xf numFmtId="0" fontId="88" fillId="46" borderId="39" xfId="0" applyFont="1" applyFill="1" applyBorder="1" applyAlignment="1">
      <alignment wrapText="1"/>
    </xf>
    <xf numFmtId="0" fontId="88" fillId="0" borderId="38" xfId="0" applyFont="1" applyBorder="1"/>
    <xf numFmtId="0" fontId="85" fillId="0" borderId="91" xfId="0" applyFont="1" applyBorder="1" applyAlignment="1">
      <alignment horizontal="center" vertical="center" wrapText="1"/>
    </xf>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8" fontId="3" fillId="0" borderId="62" xfId="1" applyNumberFormat="1" applyFont="1" applyBorder="1" applyAlignment="1">
      <alignment horizontal="center"/>
    </xf>
    <xf numFmtId="168"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3" xfId="0" applyBorder="1"/>
    <xf numFmtId="0" fontId="0" fillId="0" borderId="74" xfId="0" applyBorder="1"/>
    <xf numFmtId="0" fontId="0" fillId="0" borderId="75" xfId="0" applyBorder="1"/>
    <xf numFmtId="0" fontId="63" fillId="0" borderId="45" xfId="0" applyFont="1" applyBorder="1" applyAlignment="1">
      <alignment horizontal="center" wrapText="1"/>
    </xf>
    <xf numFmtId="0" fontId="63" fillId="0" borderId="25" xfId="0" applyFont="1" applyBorder="1" applyAlignment="1">
      <alignment horizontal="center" wrapText="1"/>
    </xf>
    <xf numFmtId="0" fontId="0" fillId="0" borderId="21" xfId="0" applyBorder="1"/>
    <xf numFmtId="0" fontId="0" fillId="0" borderId="22" xfId="0" applyBorder="1"/>
    <xf numFmtId="0" fontId="0" fillId="0" borderId="76" xfId="0" applyBorder="1"/>
    <xf numFmtId="0" fontId="0" fillId="0" borderId="41" xfId="0" applyBorder="1"/>
    <xf numFmtId="0" fontId="0" fillId="0" borderId="42" xfId="0" applyBorder="1"/>
    <xf numFmtId="0" fontId="0" fillId="0" borderId="37" xfId="0" applyBorder="1"/>
    <xf numFmtId="0" fontId="0" fillId="0" borderId="77" xfId="0" applyBorder="1"/>
    <xf numFmtId="0" fontId="0" fillId="0" borderId="67" xfId="0" applyBorder="1" applyAlignment="1">
      <alignment horizontal="center"/>
    </xf>
    <xf numFmtId="0" fontId="0" fillId="0" borderId="1" xfId="0" applyBorder="1"/>
    <xf numFmtId="0" fontId="0" fillId="0" borderId="50" xfId="0" applyBorder="1"/>
    <xf numFmtId="9" fontId="0" fillId="0" borderId="3" xfId="0" applyNumberFormat="1" applyBorder="1" applyAlignment="1">
      <alignment horizontal="center"/>
    </xf>
    <xf numFmtId="0" fontId="0" fillId="0" borderId="3" xfId="0" applyBorder="1"/>
    <xf numFmtId="0" fontId="0" fillId="0" borderId="9" xfId="0" applyBorder="1"/>
    <xf numFmtId="0" fontId="0" fillId="0" borderId="26" xfId="0" applyBorder="1"/>
    <xf numFmtId="9" fontId="0" fillId="0" borderId="68" xfId="0" applyNumberFormat="1" applyBorder="1" applyAlignment="1">
      <alignment horizontal="center"/>
    </xf>
    <xf numFmtId="9" fontId="0" fillId="0" borderId="44" xfId="0" applyNumberFormat="1" applyBorder="1" applyAlignment="1">
      <alignment horizontal="center"/>
    </xf>
    <xf numFmtId="0" fontId="0" fillId="0" borderId="8" xfId="0" applyBorder="1" applyAlignment="1">
      <alignment horizontal="center"/>
    </xf>
    <xf numFmtId="0" fontId="0" fillId="0" borderId="68" xfId="0" applyBorder="1"/>
    <xf numFmtId="0" fontId="0" fillId="0" borderId="67" xfId="0" applyBorder="1"/>
    <xf numFmtId="0" fontId="0" fillId="0" borderId="69" xfId="0" applyBorder="1"/>
    <xf numFmtId="0" fontId="0" fillId="0" borderId="0" xfId="0" applyAlignment="1">
      <alignment horizontal="left"/>
    </xf>
    <xf numFmtId="0" fontId="0" fillId="3" borderId="29" xfId="0" applyFill="1" applyBorder="1" applyAlignment="1">
      <alignment horizontal="center"/>
    </xf>
    <xf numFmtId="164" fontId="0" fillId="10" borderId="22" xfId="3" applyNumberFormat="1" applyFont="1" applyFill="1" applyBorder="1" applyAlignment="1">
      <alignment horizontal="right"/>
    </xf>
    <xf numFmtId="165" fontId="0" fillId="10" borderId="22" xfId="3" applyFont="1" applyFill="1" applyBorder="1" applyAlignment="1">
      <alignment horizontal="right"/>
    </xf>
    <xf numFmtId="0" fontId="0" fillId="10" borderId="22" xfId="0" applyFill="1" applyBorder="1" applyAlignment="1">
      <alignment horizontal="center"/>
    </xf>
    <xf numFmtId="0" fontId="0" fillId="0" borderId="5" xfId="0" applyBorder="1"/>
    <xf numFmtId="0" fontId="0" fillId="0" borderId="6" xfId="0" applyBorder="1"/>
    <xf numFmtId="0" fontId="0" fillId="0" borderId="7" xfId="0" applyBorder="1"/>
    <xf numFmtId="0" fontId="63" fillId="0" borderId="24" xfId="0" applyFont="1" applyBorder="1" applyAlignment="1">
      <alignment horizontal="center" wrapText="1"/>
    </xf>
    <xf numFmtId="0" fontId="3" fillId="0" borderId="14" xfId="0" applyFont="1" applyBorder="1" applyAlignment="1">
      <alignment horizontal="right"/>
    </xf>
    <xf numFmtId="0" fontId="3" fillId="0" borderId="0" xfId="0" applyFont="1" applyAlignment="1">
      <alignment horizontal="right"/>
    </xf>
    <xf numFmtId="165" fontId="0" fillId="10" borderId="22" xfId="3" applyFont="1" applyFill="1" applyBorder="1" applyAlignment="1">
      <alignment horizontal="center"/>
    </xf>
    <xf numFmtId="169" fontId="0" fillId="10" borderId="22" xfId="3" applyNumberFormat="1" applyFont="1" applyFill="1" applyBorder="1" applyAlignment="1">
      <alignment horizontal="left"/>
    </xf>
    <xf numFmtId="168"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0" fontId="0" fillId="0" borderId="0" xfId="0" applyAlignment="1">
      <alignment horizontal="center"/>
    </xf>
    <xf numFmtId="0" fontId="41" fillId="0" borderId="22" xfId="0" applyFont="1"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0" fillId="3" borderId="0" xfId="0" applyFill="1" applyAlignment="1">
      <alignment horizontal="right"/>
    </xf>
    <xf numFmtId="0" fontId="43" fillId="0" borderId="22" xfId="0" applyFont="1" applyBorder="1" applyAlignment="1">
      <alignment horizontal="left"/>
    </xf>
    <xf numFmtId="0" fontId="0" fillId="0" borderId="14" xfId="0" applyFill="1" applyBorder="1" applyAlignment="1">
      <alignment horizontal="right"/>
    </xf>
    <xf numFmtId="0" fontId="0" fillId="0" borderId="0" xfId="0" applyFill="1" applyAlignment="1">
      <alignment horizontal="right"/>
    </xf>
    <xf numFmtId="2" fontId="0" fillId="10" borderId="22" xfId="0" applyNumberFormat="1" applyFill="1" applyBorder="1" applyAlignment="1">
      <alignment horizontal="left"/>
    </xf>
    <xf numFmtId="0" fontId="0" fillId="10" borderId="22" xfId="0" applyFill="1" applyBorder="1" applyAlignment="1">
      <alignment horizontal="left"/>
    </xf>
    <xf numFmtId="0" fontId="0" fillId="23" borderId="14" xfId="0" applyFill="1" applyBorder="1" applyAlignment="1">
      <alignment horizontal="right"/>
    </xf>
    <xf numFmtId="0" fontId="0" fillId="23" borderId="0" xfId="0" applyFill="1" applyAlignment="1">
      <alignment horizontal="right"/>
    </xf>
    <xf numFmtId="0" fontId="0" fillId="3" borderId="14" xfId="0" applyFill="1" applyBorder="1" applyAlignment="1">
      <alignment horizontal="right"/>
    </xf>
    <xf numFmtId="0" fontId="0" fillId="0" borderId="14" xfId="0" applyBorder="1" applyAlignment="1">
      <alignment horizontal="right"/>
    </xf>
    <xf numFmtId="165" fontId="0" fillId="10" borderId="22" xfId="3" applyFont="1" applyFill="1" applyBorder="1" applyAlignment="1">
      <alignment horizontal="left"/>
    </xf>
    <xf numFmtId="175"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46" fillId="0" borderId="0" xfId="0" applyFont="1" applyAlignment="1">
      <alignment horizontal="center"/>
    </xf>
    <xf numFmtId="14" fontId="0" fillId="10" borderId="22" xfId="0" applyNumberFormat="1" applyFill="1" applyBorder="1" applyAlignment="1">
      <alignment horizontal="left"/>
    </xf>
    <xf numFmtId="0" fontId="4" fillId="9" borderId="0" xfId="0" applyFont="1" applyFill="1" applyAlignment="1">
      <alignment horizontal="left"/>
    </xf>
    <xf numFmtId="0" fontId="0" fillId="10" borderId="22" xfId="0" applyFill="1" applyBorder="1" applyAlignment="1">
      <alignment horizontal="left" wrapText="1"/>
    </xf>
    <xf numFmtId="0" fontId="10" fillId="3" borderId="14" xfId="0" applyFont="1" applyFill="1" applyBorder="1" applyAlignment="1">
      <alignment horizontal="right"/>
    </xf>
    <xf numFmtId="0" fontId="10" fillId="3" borderId="0" xfId="0" applyFont="1" applyFill="1" applyAlignment="1">
      <alignment horizontal="right"/>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9" fillId="3" borderId="60"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29" xfId="0" applyBorder="1" applyAlignment="1">
      <alignment horizontal="center"/>
    </xf>
    <xf numFmtId="0" fontId="9" fillId="3" borderId="51" xfId="0" applyFont="1" applyFill="1" applyBorder="1" applyAlignment="1">
      <alignment horizontal="left" indent="1"/>
    </xf>
    <xf numFmtId="0" fontId="0" fillId="0" borderId="10" xfId="0" applyBorder="1"/>
    <xf numFmtId="0" fontId="0" fillId="0" borderId="10" xfId="0" applyBorder="1" applyAlignment="1">
      <alignment horizontal="right"/>
    </xf>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9" fillId="3" borderId="64" xfId="0" applyFont="1" applyFill="1" applyBorder="1" applyAlignment="1">
      <alignment horizontal="left" indent="1"/>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0" fillId="0" borderId="39" xfId="0" applyBorder="1"/>
    <xf numFmtId="0" fontId="0" fillId="0" borderId="40" xfId="0" applyBorder="1"/>
    <xf numFmtId="0" fontId="0" fillId="0" borderId="38"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xf numFmtId="0" fontId="7" fillId="23" borderId="9" xfId="0" applyFont="1" applyFill="1" applyBorder="1" applyAlignment="1">
      <alignment horizontal="right"/>
    </xf>
    <xf numFmtId="0" fontId="3" fillId="40" borderId="56" xfId="0" applyFont="1" applyFill="1" applyBorder="1" applyAlignment="1" applyProtection="1">
      <alignment horizontal="center"/>
    </xf>
    <xf numFmtId="0" fontId="3" fillId="40" borderId="60" xfId="0" applyFont="1" applyFill="1" applyBorder="1" applyAlignment="1" applyProtection="1">
      <alignment horizontal="center"/>
    </xf>
    <xf numFmtId="0" fontId="3" fillId="40" borderId="57" xfId="0" applyFont="1" applyFill="1" applyBorder="1" applyAlignment="1" applyProtection="1">
      <alignment horizontal="center"/>
    </xf>
    <xf numFmtId="0" fontId="3" fillId="49" borderId="56" xfId="0" applyFont="1" applyFill="1" applyBorder="1" applyAlignment="1" applyProtection="1">
      <alignment horizontal="center"/>
    </xf>
    <xf numFmtId="0" fontId="3" fillId="49" borderId="60" xfId="0" applyFont="1" applyFill="1" applyBorder="1" applyAlignment="1" applyProtection="1">
      <alignment horizontal="center"/>
    </xf>
    <xf numFmtId="0" fontId="3" fillId="49" borderId="57" xfId="0" applyFont="1" applyFill="1" applyBorder="1" applyAlignment="1" applyProtection="1">
      <alignment horizontal="center"/>
    </xf>
  </cellXfs>
  <cellStyles count="11">
    <cellStyle name="Comma" xfId="1" builtinId="3"/>
    <cellStyle name="Comma 2" xfId="8" xr:uid="{EE066699-1B3B-463F-B807-E86858905511}"/>
    <cellStyle name="Comma 2 2" xfId="9" xr:uid="{5422EACB-F693-472E-95F4-621855520CBE}"/>
    <cellStyle name="Comma 2 3" xfId="10" xr:uid="{5FB9E2F5-5BE8-4445-B969-C0567A02A58B}"/>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1481">
    <dxf>
      <fill>
        <patternFill patternType="solid">
          <fgColor auto="1"/>
          <bgColor indexed="65"/>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rgb="FFFFFFFF"/>
        </patternFill>
      </fill>
    </dxf>
    <dxf>
      <fill>
        <patternFill>
          <bgColor rgb="FFFFFF00"/>
        </patternFill>
      </fill>
    </dxf>
    <dxf>
      <numFmt numFmtId="181" formatCode="0000000000"/>
      <fill>
        <patternFill>
          <bgColor rgb="FFFFFFFF"/>
        </patternFill>
      </fill>
    </dxf>
    <dxf>
      <fill>
        <patternFill>
          <bgColor rgb="FFFFFF00"/>
        </patternFill>
      </fill>
    </dxf>
    <dxf>
      <numFmt numFmtId="181" formatCode="0000000000"/>
      <fill>
        <patternFill>
          <bgColor rgb="FFFFFFFF"/>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fill>
        <patternFill>
          <bgColor theme="0"/>
        </patternFill>
      </fill>
    </dxf>
    <dxf>
      <fill>
        <patternFill>
          <bgColor theme="0" tint="-0.14996795556505021"/>
        </patternFill>
      </fill>
    </dxf>
    <dxf>
      <fill>
        <patternFill>
          <bgColor theme="0"/>
        </patternFill>
      </fill>
    </dxf>
    <dxf>
      <fill>
        <patternFill>
          <bgColor theme="0" tint="-0.14996795556505021"/>
        </patternFill>
      </fill>
    </dxf>
    <dxf>
      <fill>
        <patternFill>
          <bgColor rgb="FFFFFF00"/>
        </patternFill>
      </fill>
    </dxf>
    <dxf>
      <fill>
        <patternFill>
          <bgColor theme="0" tint="-0.14996795556505021"/>
        </patternFill>
      </fill>
    </dxf>
    <dxf>
      <fill>
        <patternFill>
          <bgColor theme="0"/>
        </patternFill>
      </fill>
    </dxf>
    <dxf>
      <font>
        <color auto="1"/>
      </font>
      <fill>
        <patternFill>
          <bgColor rgb="FFFF0000"/>
        </patternFill>
      </fill>
    </dxf>
    <dxf>
      <fill>
        <patternFill>
          <bgColor theme="0"/>
        </patternFill>
      </fill>
    </dxf>
    <dxf>
      <font>
        <color auto="1"/>
      </font>
      <fill>
        <patternFill>
          <bgColor rgb="FFFF000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theme="0" tint="-0.24994659260841701"/>
        </patternFill>
      </fill>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border>
        <left style="thin">
          <color auto="1"/>
        </left>
        <right style="thin">
          <color auto="1"/>
        </right>
        <top style="thin">
          <color auto="1"/>
        </top>
        <bottom style="thin">
          <color auto="1"/>
        </bottom>
        <vertical/>
        <horizontal/>
      </border>
    </dxf>
    <dxf>
      <font>
        <b/>
        <i val="0"/>
        <color theme="9"/>
      </font>
      <fill>
        <patternFill>
          <bgColor theme="9"/>
        </patternFill>
      </fill>
    </dxf>
    <dxf>
      <font>
        <b/>
        <i val="0"/>
        <color rgb="FFFF0000"/>
      </font>
      <fill>
        <patternFill>
          <bgColor rgb="FFFF0000"/>
        </patternFill>
      </fill>
    </dxf>
    <dxf>
      <font>
        <color rgb="FFFF0000"/>
      </font>
      <fill>
        <patternFill>
          <bgColor rgb="FFFF0000"/>
        </patternFill>
      </fill>
    </dxf>
    <dxf>
      <font>
        <color rgb="FFFFFF00"/>
      </font>
      <fill>
        <patternFill>
          <bgColor rgb="FFFFFF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fill>
        <patternFill>
          <bgColor rgb="FFFF0000"/>
        </patternFill>
      </fill>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ont>
        <color rgb="FFFF0000"/>
      </font>
      <fill>
        <patternFill>
          <bgColor rgb="FFFFFF00"/>
        </patternFill>
      </fill>
      <border>
        <left style="thin">
          <color auto="1"/>
        </left>
        <right style="thin">
          <color auto="1"/>
        </right>
        <top style="thin">
          <color auto="1"/>
        </top>
        <bottom style="thin">
          <color auto="1"/>
        </bottom>
      </border>
    </dxf>
    <dxf>
      <font>
        <color rgb="FFFF0000"/>
      </font>
      <fill>
        <patternFill>
          <bgColor rgb="FFFFFF00"/>
        </patternFill>
      </fill>
      <border>
        <left style="thin">
          <color auto="1"/>
        </left>
        <right style="thin">
          <color auto="1"/>
        </right>
        <top style="thin">
          <color auto="1"/>
        </top>
        <bottom style="thin">
          <color auto="1"/>
        </bottom>
      </border>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ill>
        <patternFill>
          <bgColor rgb="FFFFFF00"/>
        </patternFill>
      </fill>
    </dxf>
    <dxf>
      <fill>
        <patternFill>
          <bgColor theme="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D9E1F2"/>
      </font>
      <fill>
        <patternFill>
          <bgColor rgb="FFD9E1F2"/>
        </patternFill>
      </fill>
      <border>
        <left/>
        <right/>
        <top style="thin">
          <color auto="1"/>
        </top>
        <bottom style="thin">
          <color auto="1"/>
        </bottom>
      </border>
    </dxf>
    <dxf>
      <fill>
        <patternFill>
          <bgColor rgb="FFFFFF0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rgb="FFFF0000"/>
      </font>
      <fill>
        <patternFill>
          <bgColor rgb="FFFFFF00"/>
        </patternFill>
      </fill>
      <border>
        <left style="thin">
          <color auto="1"/>
        </left>
        <bottom style="thin">
          <color auto="1"/>
        </bottom>
        <vertical/>
        <horizontal/>
      </border>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 formatCode="0"/>
      <fill>
        <patternFill>
          <bgColor theme="0"/>
        </patternFill>
      </fill>
    </dxf>
    <dxf>
      <numFmt numFmtId="181" formatCode="0000000000"/>
      <fill>
        <patternFill>
          <bgColor theme="0"/>
        </patternFill>
      </fill>
    </dxf>
    <dxf>
      <fill>
        <patternFill>
          <bgColor theme="0" tint="-0.24994659260841701"/>
        </patternFill>
      </fill>
    </dxf>
    <dxf>
      <font>
        <color rgb="FFD9E1F2"/>
      </font>
      <fill>
        <patternFill>
          <bgColor rgb="FFD9E1F2"/>
        </patternFill>
      </fill>
      <border>
        <left/>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auto="1"/>
      </font>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vertical/>
        <horizontal/>
      </border>
    </dxf>
    <dxf>
      <font>
        <color auto="1"/>
      </font>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ont>
        <color theme="0"/>
      </font>
      <fill>
        <patternFill>
          <bgColor theme="0"/>
        </patternFill>
      </fill>
      <border>
        <left/>
        <right/>
        <top/>
        <bottom/>
      </border>
    </dxf>
    <dxf>
      <font>
        <color theme="0"/>
      </font>
      <fill>
        <patternFill>
          <bgColor theme="0"/>
        </patternFill>
      </fill>
      <border>
        <left/>
        <right/>
        <top/>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 formatCode="0"/>
      <fill>
        <patternFill>
          <bgColor theme="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72" formatCode="&quot;$&quot;#,##0.00"/>
    </dxf>
    <dxf>
      <font>
        <b val="0"/>
        <i val="0"/>
        <color theme="0"/>
      </font>
      <fill>
        <patternFill>
          <bgColor rgb="FFFF0000"/>
        </patternFill>
      </fill>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patternFill>
      </fill>
    </dxf>
    <dxf>
      <fill>
        <patternFill>
          <bgColor theme="0"/>
        </patternFill>
      </fill>
    </dxf>
    <dxf>
      <fill>
        <patternFill>
          <bgColor rgb="FFFFFF00"/>
        </patternFill>
      </fill>
    </dxf>
    <dxf>
      <fill>
        <patternFill>
          <bgColor theme="0"/>
        </patternFill>
      </fill>
    </dxf>
    <dxf>
      <fill>
        <patternFill>
          <bgColor rgb="FFFF0000"/>
        </patternFill>
      </fill>
    </dxf>
    <dxf>
      <fill>
        <patternFill>
          <bgColor theme="0" tint="-0.24994659260841701"/>
        </patternFill>
      </fill>
    </dxf>
    <dxf>
      <fill>
        <patternFill>
          <bgColor theme="0"/>
        </patternFill>
      </fill>
    </dxf>
    <dxf>
      <fill>
        <patternFill>
          <bgColor theme="0"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ill>
        <patternFill>
          <bgColor theme="0"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theme="0" tint="-0.24994659260841701"/>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BFBFBF"/>
      <color rgb="FFD9E1F2"/>
      <color rgb="FFFFC7CE"/>
      <color rgb="FFFF9B9B"/>
      <color rgb="FFFFCCCC"/>
      <color rgb="FFFF0000"/>
      <color rgb="FFCCB9B2"/>
      <color rgb="FFCF4520"/>
      <color rgb="FF9C0006"/>
      <color rgb="FFE2A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externalLink" Target="externalLinks/externalLink1.xml"/><Relationship Id="rId47" Type="http://schemas.openxmlformats.org/officeDocument/2006/relationships/sharedStrings" Target="sharedStrings.xml"/><Relationship Id="rId50" Type="http://schemas.openxmlformats.org/officeDocument/2006/relationships/customXml" Target="../customXml/item1.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connections" Target="connections.xml"/><Relationship Id="rId53"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theme" Target="theme/theme1.xml"/><Relationship Id="rId52" Type="http://schemas.openxmlformats.org/officeDocument/2006/relationships/customXml" Target="../customXml/item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externalLink" Target="externalLinks/externalLink2.xml"/><Relationship Id="rId48" Type="http://schemas.openxmlformats.org/officeDocument/2006/relationships/sheetMetadata" Target="metadata.xml"/><Relationship Id="rId8" Type="http://schemas.openxmlformats.org/officeDocument/2006/relationships/worksheet" Target="worksheets/sheet8.xml"/><Relationship Id="rId51" Type="http://schemas.openxmlformats.org/officeDocument/2006/relationships/customXml" Target="../customXml/item2.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tyles" Target="style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alcChain" Target="calcChain.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2</xdr:col>
      <xdr:colOff>11949</xdr:colOff>
      <xdr:row>25</xdr:row>
      <xdr:rowOff>9525</xdr:rowOff>
    </xdr:from>
    <xdr:to>
      <xdr:col>2</xdr:col>
      <xdr:colOff>1275485</xdr:colOff>
      <xdr:row>26</xdr:row>
      <xdr:rowOff>182707</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650124" y="3152775"/>
          <a:ext cx="1263536" cy="363682"/>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2</xdr:col>
      <xdr:colOff>1428750</xdr:colOff>
      <xdr:row>25</xdr:row>
      <xdr:rowOff>9525</xdr:rowOff>
    </xdr:from>
    <xdr:to>
      <xdr:col>3</xdr:col>
      <xdr:colOff>0</xdr:colOff>
      <xdr:row>26</xdr:row>
      <xdr:rowOff>180975</xdr:rowOff>
    </xdr:to>
    <xdr:sp macro="[0]!CopyAgreement" textlink="">
      <xdr:nvSpPr>
        <xdr:cNvPr id="4" name="Rectangle 3">
          <a:extLst>
            <a:ext uri="{FF2B5EF4-FFF2-40B4-BE49-F238E27FC236}">
              <a16:creationId xmlns:a16="http://schemas.microsoft.com/office/drawing/2014/main" id="{73FB88A9-C672-4F59-AFEC-E183970ECF95}"/>
            </a:ext>
          </a:extLst>
        </xdr:cNvPr>
        <xdr:cNvSpPr>
          <a:spLocks noChangeArrowheads="1"/>
        </xdr:cNvSpPr>
      </xdr:nvSpPr>
      <xdr:spPr bwMode="auto">
        <a:xfrm>
          <a:off x="2066925" y="3152775"/>
          <a:ext cx="857250" cy="361950"/>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COPY </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30</xdr:row>
      <xdr:rowOff>0</xdr:rowOff>
    </xdr:from>
    <xdr:to>
      <xdr:col>15</xdr:col>
      <xdr:colOff>118539</xdr:colOff>
      <xdr:row>32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30</xdr:row>
      <xdr:rowOff>0</xdr:rowOff>
    </xdr:from>
    <xdr:to>
      <xdr:col>6</xdr:col>
      <xdr:colOff>906747</xdr:colOff>
      <xdr:row>32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30</xdr:row>
      <xdr:rowOff>848</xdr:rowOff>
    </xdr:from>
    <xdr:to>
      <xdr:col>23</xdr:col>
      <xdr:colOff>67723</xdr:colOff>
      <xdr:row>32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479</xdr:row>
      <xdr:rowOff>142875</xdr:rowOff>
    </xdr:from>
    <xdr:to>
      <xdr:col>8</xdr:col>
      <xdr:colOff>1631155</xdr:colOff>
      <xdr:row>479</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479</xdr:row>
      <xdr:rowOff>107157</xdr:rowOff>
    </xdr:from>
    <xdr:to>
      <xdr:col>15</xdr:col>
      <xdr:colOff>0</xdr:colOff>
      <xdr:row>479</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479</xdr:row>
      <xdr:rowOff>178595</xdr:rowOff>
    </xdr:from>
    <xdr:to>
      <xdr:col>3</xdr:col>
      <xdr:colOff>1547811</xdr:colOff>
      <xdr:row>479</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154784</xdr:colOff>
      <xdr:row>12</xdr:row>
      <xdr:rowOff>4</xdr:rowOff>
    </xdr:from>
    <xdr:to>
      <xdr:col>2</xdr:col>
      <xdr:colOff>1904999</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2488409" y="2631285"/>
          <a:ext cx="1750215" cy="452434"/>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142875</xdr:colOff>
      <xdr:row>54</xdr:row>
      <xdr:rowOff>11907</xdr:rowOff>
    </xdr:from>
    <xdr:to>
      <xdr:col>2</xdr:col>
      <xdr:colOff>1881187</xdr:colOff>
      <xdr:row>56</xdr:row>
      <xdr:rowOff>11906</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2476500" y="5584032"/>
          <a:ext cx="1738312" cy="6429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142875</xdr:colOff>
      <xdr:row>82</xdr:row>
      <xdr:rowOff>11906</xdr:rowOff>
    </xdr:from>
    <xdr:to>
      <xdr:col>2</xdr:col>
      <xdr:colOff>1881188</xdr:colOff>
      <xdr:row>84</xdr:row>
      <xdr:rowOff>11905</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2476500" y="8679656"/>
          <a:ext cx="1738313"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130968</xdr:colOff>
      <xdr:row>158</xdr:row>
      <xdr:rowOff>0</xdr:rowOff>
    </xdr:from>
    <xdr:to>
      <xdr:col>2</xdr:col>
      <xdr:colOff>1869281</xdr:colOff>
      <xdr:row>160</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2464593" y="16906875"/>
          <a:ext cx="1738313" cy="571500"/>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130969</xdr:colOff>
      <xdr:row>193</xdr:row>
      <xdr:rowOff>0</xdr:rowOff>
    </xdr:from>
    <xdr:to>
      <xdr:col>2</xdr:col>
      <xdr:colOff>1869282</xdr:colOff>
      <xdr:row>195</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2464594" y="23407688"/>
          <a:ext cx="1738313" cy="57149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2</xdr:col>
      <xdr:colOff>154781</xdr:colOff>
      <xdr:row>110</xdr:row>
      <xdr:rowOff>0</xdr:rowOff>
    </xdr:from>
    <xdr:to>
      <xdr:col>2</xdr:col>
      <xdr:colOff>1893094</xdr:colOff>
      <xdr:row>112</xdr:row>
      <xdr:rowOff>0</xdr:rowOff>
    </xdr:to>
    <xdr:sp macro="[0]!SG_Button" textlink="">
      <xdr:nvSpPr>
        <xdr:cNvPr id="12" name="Rectangle 11">
          <a:extLst>
            <a:ext uri="{FF2B5EF4-FFF2-40B4-BE49-F238E27FC236}">
              <a16:creationId xmlns:a16="http://schemas.microsoft.com/office/drawing/2014/main" id="{5D7AF3A3-0F79-462D-A373-8B2B9363A308}"/>
            </a:ext>
          </a:extLst>
        </xdr:cNvPr>
        <xdr:cNvSpPr>
          <a:spLocks noChangeArrowheads="1"/>
        </xdr:cNvSpPr>
      </xdr:nvSpPr>
      <xdr:spPr bwMode="auto">
        <a:xfrm>
          <a:off x="2488406" y="11299031"/>
          <a:ext cx="1738313" cy="45243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twoCellAnchor>
    <xdr:from>
      <xdr:col>2</xdr:col>
      <xdr:colOff>47625</xdr:colOff>
      <xdr:row>225</xdr:row>
      <xdr:rowOff>0</xdr:rowOff>
    </xdr:from>
    <xdr:to>
      <xdr:col>2</xdr:col>
      <xdr:colOff>1916907</xdr:colOff>
      <xdr:row>226</xdr:row>
      <xdr:rowOff>321467</xdr:rowOff>
    </xdr:to>
    <xdr:sp macro="[0]!New_Customer_Amendment_Button" textlink="">
      <xdr:nvSpPr>
        <xdr:cNvPr id="13" name="Rectangle 12">
          <a:extLst>
            <a:ext uri="{FF2B5EF4-FFF2-40B4-BE49-F238E27FC236}">
              <a16:creationId xmlns:a16="http://schemas.microsoft.com/office/drawing/2014/main" id="{D8949F00-0A7E-4961-AFDC-5C6C9465528C}"/>
            </a:ext>
          </a:extLst>
        </xdr:cNvPr>
        <xdr:cNvSpPr>
          <a:spLocks noChangeArrowheads="1"/>
        </xdr:cNvSpPr>
      </xdr:nvSpPr>
      <xdr:spPr bwMode="auto">
        <a:xfrm>
          <a:off x="369094" y="23610094"/>
          <a:ext cx="1869282" cy="57149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New Customer Location Amendment Incentive</a:t>
          </a:r>
        </a:p>
      </xdr:txBody>
    </xdr:sp>
    <xdr:clientData/>
  </xdr:twoCellAnchor>
  <xdr:twoCellAnchor>
    <xdr:from>
      <xdr:col>1</xdr:col>
      <xdr:colOff>226218</xdr:colOff>
      <xdr:row>11</xdr:row>
      <xdr:rowOff>261937</xdr:rowOff>
    </xdr:from>
    <xdr:to>
      <xdr:col>1</xdr:col>
      <xdr:colOff>1976433</xdr:colOff>
      <xdr:row>13</xdr:row>
      <xdr:rowOff>214309</xdr:rowOff>
    </xdr:to>
    <xdr:sp macro="[0]!Revman_VolumeButton" textlink="">
      <xdr:nvSpPr>
        <xdr:cNvPr id="15" name="Rectangle 14">
          <a:extLst>
            <a:ext uri="{FF2B5EF4-FFF2-40B4-BE49-F238E27FC236}">
              <a16:creationId xmlns:a16="http://schemas.microsoft.com/office/drawing/2014/main" id="{142D9284-A980-43D4-9CE3-B1C28EE38C65}"/>
            </a:ext>
          </a:extLst>
        </xdr:cNvPr>
        <xdr:cNvSpPr>
          <a:spLocks noChangeArrowheads="1"/>
        </xdr:cNvSpPr>
      </xdr:nvSpPr>
      <xdr:spPr bwMode="auto">
        <a:xfrm>
          <a:off x="464343" y="2619375"/>
          <a:ext cx="1750215" cy="45243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1</xdr:col>
      <xdr:colOff>226219</xdr:colOff>
      <xdr:row>54</xdr:row>
      <xdr:rowOff>0</xdr:rowOff>
    </xdr:from>
    <xdr:to>
      <xdr:col>1</xdr:col>
      <xdr:colOff>1964531</xdr:colOff>
      <xdr:row>56</xdr:row>
      <xdr:rowOff>-1</xdr:rowOff>
    </xdr:to>
    <xdr:sp macro="[0]!Revman_DropSizeButton" textlink="">
      <xdr:nvSpPr>
        <xdr:cNvPr id="16" name="Rectangle 15">
          <a:extLst>
            <a:ext uri="{FF2B5EF4-FFF2-40B4-BE49-F238E27FC236}">
              <a16:creationId xmlns:a16="http://schemas.microsoft.com/office/drawing/2014/main" id="{482A13E0-4641-43FB-AEC3-9C8654D09BE7}"/>
            </a:ext>
          </a:extLst>
        </xdr:cNvPr>
        <xdr:cNvSpPr>
          <a:spLocks noChangeArrowheads="1"/>
        </xdr:cNvSpPr>
      </xdr:nvSpPr>
      <xdr:spPr bwMode="auto">
        <a:xfrm>
          <a:off x="464344" y="5572125"/>
          <a:ext cx="1738312" cy="642937"/>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1</xdr:col>
      <xdr:colOff>238124</xdr:colOff>
      <xdr:row>82</xdr:row>
      <xdr:rowOff>11906</xdr:rowOff>
    </xdr:from>
    <xdr:to>
      <xdr:col>1</xdr:col>
      <xdr:colOff>1976437</xdr:colOff>
      <xdr:row>84</xdr:row>
      <xdr:rowOff>11905</xdr:rowOff>
    </xdr:to>
    <xdr:sp macro="[0]!Revman_EB_Button" textlink="">
      <xdr:nvSpPr>
        <xdr:cNvPr id="17" name="Rectangle 16">
          <a:extLst>
            <a:ext uri="{FF2B5EF4-FFF2-40B4-BE49-F238E27FC236}">
              <a16:creationId xmlns:a16="http://schemas.microsoft.com/office/drawing/2014/main" id="{00036328-EC80-4C99-B16A-3F1182301925}"/>
            </a:ext>
          </a:extLst>
        </xdr:cNvPr>
        <xdr:cNvSpPr>
          <a:spLocks noChangeArrowheads="1"/>
        </xdr:cNvSpPr>
      </xdr:nvSpPr>
      <xdr:spPr bwMode="auto">
        <a:xfrm>
          <a:off x="476249" y="8679656"/>
          <a:ext cx="1738313" cy="452437"/>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1</xdr:col>
      <xdr:colOff>166688</xdr:colOff>
      <xdr:row>7</xdr:row>
      <xdr:rowOff>166687</xdr:rowOff>
    </xdr:from>
    <xdr:to>
      <xdr:col>1</xdr:col>
      <xdr:colOff>2000248</xdr:colOff>
      <xdr:row>10</xdr:row>
      <xdr:rowOff>83342</xdr:rowOff>
    </xdr:to>
    <xdr:sp macro="[0]!Revman_NonStandard_Button" textlink="">
      <xdr:nvSpPr>
        <xdr:cNvPr id="18" name="Rectangle 17">
          <a:extLst>
            <a:ext uri="{FF2B5EF4-FFF2-40B4-BE49-F238E27FC236}">
              <a16:creationId xmlns:a16="http://schemas.microsoft.com/office/drawing/2014/main" id="{5C8427B4-47B3-410E-B62C-5F02400FCE47}"/>
            </a:ext>
          </a:extLst>
        </xdr:cNvPr>
        <xdr:cNvSpPr>
          <a:spLocks noChangeArrowheads="1"/>
        </xdr:cNvSpPr>
      </xdr:nvSpPr>
      <xdr:spPr bwMode="auto">
        <a:xfrm>
          <a:off x="404813" y="1631156"/>
          <a:ext cx="1833560" cy="583405"/>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Non Standard Incentive </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40</xdr:row>
      <xdr:rowOff>57150</xdr:rowOff>
    </xdr:from>
    <xdr:to>
      <xdr:col>3</xdr:col>
      <xdr:colOff>1121621</xdr:colOff>
      <xdr:row>40</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40</xdr:row>
      <xdr:rowOff>57149</xdr:rowOff>
    </xdr:from>
    <xdr:to>
      <xdr:col>10</xdr:col>
      <xdr:colOff>282536</xdr:colOff>
      <xdr:row>40</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43</xdr:row>
      <xdr:rowOff>66675</xdr:rowOff>
    </xdr:from>
    <xdr:to>
      <xdr:col>18</xdr:col>
      <xdr:colOff>304800</xdr:colOff>
      <xdr:row>43</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43</xdr:row>
      <xdr:rowOff>66675</xdr:rowOff>
    </xdr:from>
    <xdr:to>
      <xdr:col>3</xdr:col>
      <xdr:colOff>695325</xdr:colOff>
      <xdr:row>43</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43</xdr:row>
      <xdr:rowOff>66675</xdr:rowOff>
    </xdr:from>
    <xdr:to>
      <xdr:col>7</xdr:col>
      <xdr:colOff>95250</xdr:colOff>
      <xdr:row>43</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1302066</xdr:colOff>
      <xdr:row>44</xdr:row>
      <xdr:rowOff>10477</xdr:rowOff>
    </xdr:from>
    <xdr:to>
      <xdr:col>6</xdr:col>
      <xdr:colOff>1047748</xdr:colOff>
      <xdr:row>45</xdr:row>
      <xdr:rowOff>190499</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599972" y="7130415"/>
          <a:ext cx="1495901" cy="43005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205741</xdr:colOff>
      <xdr:row>44</xdr:row>
      <xdr:rowOff>10478</xdr:rowOff>
    </xdr:from>
    <xdr:to>
      <xdr:col>10</xdr:col>
      <xdr:colOff>496253</xdr:colOff>
      <xdr:row>46</xdr:row>
      <xdr:rowOff>11906</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361397" y="7130416"/>
          <a:ext cx="1493044" cy="441959"/>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1</xdr:col>
      <xdr:colOff>186213</xdr:colOff>
      <xdr:row>44</xdr:row>
      <xdr:rowOff>10476</xdr:rowOff>
    </xdr:from>
    <xdr:to>
      <xdr:col>4</xdr:col>
      <xdr:colOff>678655</xdr:colOff>
      <xdr:row>45</xdr:row>
      <xdr:rowOff>178593</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186213" y="7130414"/>
          <a:ext cx="1504473" cy="418148"/>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10952</xdr:colOff>
      <xdr:row>49</xdr:row>
      <xdr:rowOff>23338</xdr:rowOff>
    </xdr:from>
    <xdr:to>
      <xdr:col>4</xdr:col>
      <xdr:colOff>702468</xdr:colOff>
      <xdr:row>51</xdr:row>
      <xdr:rowOff>21909</xdr:rowOff>
    </xdr:to>
    <xdr:sp macro="[0]!Initi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213358" y="8155307"/>
          <a:ext cx="1501141" cy="379571"/>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1285875</xdr:colOff>
      <xdr:row>49</xdr:row>
      <xdr:rowOff>9050</xdr:rowOff>
    </xdr:from>
    <xdr:to>
      <xdr:col>6</xdr:col>
      <xdr:colOff>1035843</xdr:colOff>
      <xdr:row>51</xdr:row>
      <xdr:rowOff>-1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583781" y="8152925"/>
          <a:ext cx="1500187" cy="44338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twoCellAnchor>
    <xdr:from>
      <xdr:col>8</xdr:col>
      <xdr:colOff>214313</xdr:colOff>
      <xdr:row>49</xdr:row>
      <xdr:rowOff>11907</xdr:rowOff>
    </xdr:from>
    <xdr:to>
      <xdr:col>10</xdr:col>
      <xdr:colOff>511968</xdr:colOff>
      <xdr:row>51</xdr:row>
      <xdr:rowOff>11906</xdr:rowOff>
    </xdr:to>
    <xdr:sp macro="[0]!UploadFile" textlink="">
      <xdr:nvSpPr>
        <xdr:cNvPr id="7" name="Rectangle 6">
          <a:extLst>
            <a:ext uri="{FF2B5EF4-FFF2-40B4-BE49-F238E27FC236}">
              <a16:creationId xmlns:a16="http://schemas.microsoft.com/office/drawing/2014/main" id="{947F34C4-B5EA-47CC-983D-D6584FBB07D2}"/>
            </a:ext>
          </a:extLst>
        </xdr:cNvPr>
        <xdr:cNvSpPr>
          <a:spLocks noChangeArrowheads="1"/>
        </xdr:cNvSpPr>
      </xdr:nvSpPr>
      <xdr:spPr bwMode="auto">
        <a:xfrm>
          <a:off x="7369969" y="8155782"/>
          <a:ext cx="1500187" cy="45243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Create PM Upload File</a:t>
          </a:r>
        </a:p>
      </xdr:txBody>
    </xdr:sp>
    <xdr:clientData/>
  </xdr:twoCellAnchor>
  <xdr:twoCellAnchor>
    <xdr:from>
      <xdr:col>11</xdr:col>
      <xdr:colOff>1000124</xdr:colOff>
      <xdr:row>43</xdr:row>
      <xdr:rowOff>166688</xdr:rowOff>
    </xdr:from>
    <xdr:to>
      <xdr:col>16</xdr:col>
      <xdr:colOff>0</xdr:colOff>
      <xdr:row>45</xdr:row>
      <xdr:rowOff>157638</xdr:rowOff>
    </xdr:to>
    <xdr:sp macro="[0]!Open_prime" textlink="">
      <xdr:nvSpPr>
        <xdr:cNvPr id="8" name="Rectangle 7">
          <a:extLst>
            <a:ext uri="{FF2B5EF4-FFF2-40B4-BE49-F238E27FC236}">
              <a16:creationId xmlns:a16="http://schemas.microsoft.com/office/drawing/2014/main" id="{29C5A023-5D49-41A3-A194-34D70674EFF6}"/>
            </a:ext>
          </a:extLst>
        </xdr:cNvPr>
        <xdr:cNvSpPr>
          <a:spLocks noChangeArrowheads="1"/>
        </xdr:cNvSpPr>
      </xdr:nvSpPr>
      <xdr:spPr bwMode="auto">
        <a:xfrm>
          <a:off x="12227718" y="9001126"/>
          <a:ext cx="2405063" cy="44338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Unhide Prime tabs</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drawings/drawing9.xml><?xml version="1.0" encoding="utf-8"?>
<xdr:wsDr xmlns:xdr="http://schemas.openxmlformats.org/drawingml/2006/spreadsheetDrawing" xmlns:a="http://schemas.openxmlformats.org/drawingml/2006/main">
  <xdr:twoCellAnchor>
    <xdr:from>
      <xdr:col>15</xdr:col>
      <xdr:colOff>85725</xdr:colOff>
      <xdr:row>0</xdr:row>
      <xdr:rowOff>76200</xdr:rowOff>
    </xdr:from>
    <xdr:to>
      <xdr:col>15</xdr:col>
      <xdr:colOff>1743075</xdr:colOff>
      <xdr:row>1</xdr:row>
      <xdr:rowOff>114300</xdr:rowOff>
    </xdr:to>
    <xdr:sp macro="[0]!Addcustomers" textlink="">
      <xdr:nvSpPr>
        <xdr:cNvPr id="2" name="Rectangle 1">
          <a:extLst>
            <a:ext uri="{FF2B5EF4-FFF2-40B4-BE49-F238E27FC236}">
              <a16:creationId xmlns:a16="http://schemas.microsoft.com/office/drawing/2014/main" id="{B3E1E276-9DD7-4E4C-923A-69E6A5B0A056}"/>
            </a:ext>
          </a:extLst>
        </xdr:cNvPr>
        <xdr:cNvSpPr>
          <a:spLocks noChangeArrowheads="1"/>
        </xdr:cNvSpPr>
      </xdr:nvSpPr>
      <xdr:spPr bwMode="auto">
        <a:xfrm>
          <a:off x="21831300" y="76200"/>
          <a:ext cx="1657350" cy="428625"/>
        </a:xfrm>
        <a:prstGeom prst="rect">
          <a:avLst/>
        </a:prstGeom>
        <a:solidFill>
          <a:schemeClr val="accent6">
            <a:lumMod val="60000"/>
            <a:lumOff val="40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tx1"/>
              </a:solidFill>
              <a:latin typeface="+mn-lt"/>
              <a:cs typeface="Arial"/>
            </a:rPr>
            <a:t>Add customers</a:t>
          </a: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C:\Users\ganesh.mahendran\Desktop\ALC\MARKET%20FILES\5I%20ALC.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EOA Form"/>
      <sheetName val="Welcome"/>
      <sheetName val="Customer Inputs"/>
      <sheetName val="Multi-Customer"/>
      <sheetName val="Variable Costs (Back)"/>
      <sheetName val="PIM Model"/>
      <sheetName val="Incentives"/>
      <sheetName val="Incentive Helper"/>
      <sheetName val="Variable Costs &amp; Income"/>
      <sheetName val="Tracking &amp; Profitability"/>
      <sheetName val="Required Info to Submit"/>
      <sheetName val="Agreement Worksheet"/>
      <sheetName val="Pricing Schedule"/>
      <sheetName val="Incentives Worksheet"/>
      <sheetName val="Sheet1"/>
      <sheetName val="EB_CM (Back)"/>
      <sheetName val="PIM Ranges"/>
      <sheetName val="Incentive Setup"/>
      <sheetName val="MDA Worksheet"/>
      <sheetName val="PRIME Upload"/>
      <sheetName val="Basket Composition"/>
      <sheetName val="PRIME Headers"/>
      <sheetName val="CC MARKET EXPENSE"/>
      <sheetName val="Margin Guidence Table"/>
      <sheetName val="Audit"/>
      <sheetName val="Mapping Sheet"/>
      <sheetName val="Configurable Tab"/>
      <sheetName val="Modellable Customers"/>
      <sheetName val="HOS_Modellable Customers"/>
      <sheetName val="Existing Customers"/>
      <sheetName val="Existing Customer Variable Exp"/>
      <sheetName val="Customer Info"/>
      <sheetName val="Variable Selling"/>
      <sheetName val="Variable Div Avgs"/>
      <sheetName val="3zip"/>
      <sheetName val="4zip"/>
      <sheetName val="5zip"/>
      <sheetName val="Prospect Slot Assumptions"/>
      <sheetName val="Margin Quartiles"/>
      <sheetName val="IMargin Quartiles"/>
      <sheetName val="Lookups"/>
      <sheetName val="Market Geography"/>
    </sheetNames>
    <sheetDataSet>
      <sheetData sheetId="0"/>
      <sheetData sheetId="1"/>
      <sheetData sheetId="2"/>
      <sheetData sheetId="3"/>
      <sheetData sheetId="4">
        <row r="23">
          <cell r="A23" t="str">
            <v/>
          </cell>
        </row>
        <row r="24">
          <cell r="A24" t="str">
            <v/>
          </cell>
        </row>
        <row r="25">
          <cell r="A25" t="str">
            <v/>
          </cell>
        </row>
        <row r="26">
          <cell r="A26" t="str">
            <v/>
          </cell>
        </row>
        <row r="27">
          <cell r="A27" t="str">
            <v/>
          </cell>
        </row>
        <row r="28">
          <cell r="A28" t="str">
            <v/>
          </cell>
        </row>
        <row r="29">
          <cell r="A29" t="str">
            <v/>
          </cell>
        </row>
        <row r="30">
          <cell r="A30" t="str">
            <v/>
          </cell>
        </row>
        <row r="31">
          <cell r="A31" t="str">
            <v/>
          </cell>
        </row>
        <row r="32">
          <cell r="A32" t="str">
            <v/>
          </cell>
        </row>
        <row r="33">
          <cell r="A33" t="str">
            <v/>
          </cell>
        </row>
        <row r="34">
          <cell r="A34" t="str">
            <v/>
          </cell>
        </row>
      </sheetData>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omments" Target="../comments5.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zoomScaleNormal="100" workbookViewId="0">
      <selection activeCell="D15" sqref="D15"/>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743" t="s">
        <v>731</v>
      </c>
      <c r="B1" s="1743"/>
      <c r="C1" s="1743"/>
      <c r="D1" s="1743"/>
      <c r="E1" s="1743"/>
    </row>
    <row r="2" spans="1:5" x14ac:dyDescent="0.25">
      <c r="A2" s="1743" t="s">
        <v>732</v>
      </c>
      <c r="B2" s="1743"/>
      <c r="C2" s="1743"/>
      <c r="D2" s="1743"/>
      <c r="E2" s="1743"/>
    </row>
    <row r="3" spans="1:5" x14ac:dyDescent="0.25">
      <c r="A3" s="71"/>
    </row>
    <row r="4" spans="1:5" ht="78" customHeight="1" x14ac:dyDescent="0.25">
      <c r="A4" s="1761" t="s">
        <v>733</v>
      </c>
      <c r="B4" s="1761"/>
      <c r="C4" s="1761"/>
      <c r="D4" s="1761"/>
      <c r="E4" s="1761"/>
    </row>
    <row r="5" spans="1:5" x14ac:dyDescent="0.25">
      <c r="A5" s="71"/>
    </row>
    <row r="6" spans="1:5" ht="31.5" customHeight="1" x14ac:dyDescent="0.25">
      <c r="A6" s="1760" t="s">
        <v>734</v>
      </c>
      <c r="B6" s="1760"/>
      <c r="C6" s="1760"/>
      <c r="D6" s="1760"/>
      <c r="E6" s="1760"/>
    </row>
    <row r="7" spans="1:5" ht="15.75" thickBot="1" x14ac:dyDescent="0.3">
      <c r="A7" s="72"/>
    </row>
    <row r="8" spans="1:5" ht="15" customHeight="1" x14ac:dyDescent="0.25">
      <c r="A8" s="1754" t="s">
        <v>735</v>
      </c>
      <c r="B8" s="1755"/>
      <c r="C8" s="1755"/>
      <c r="D8" s="1755"/>
      <c r="E8" s="1756"/>
    </row>
    <row r="9" spans="1:5" ht="15" customHeight="1" thickBot="1" x14ac:dyDescent="0.3">
      <c r="A9" s="1757" t="s">
        <v>736</v>
      </c>
      <c r="B9" s="1758"/>
      <c r="C9" s="1758"/>
      <c r="D9" s="1758"/>
      <c r="E9" s="1759"/>
    </row>
    <row r="10" spans="1:5" x14ac:dyDescent="0.25">
      <c r="A10" s="73"/>
      <c r="B10" s="1751"/>
      <c r="C10" s="1751"/>
      <c r="D10" s="77"/>
    </row>
    <row r="11" spans="1:5" ht="31.5" customHeight="1" thickBot="1" x14ac:dyDescent="0.3">
      <c r="A11" s="75" t="s">
        <v>737</v>
      </c>
      <c r="B11" s="1752" t="s">
        <v>738</v>
      </c>
      <c r="C11" s="1752"/>
      <c r="D11" s="77">
        <f>Welcome!$D$4</f>
        <v>0</v>
      </c>
    </row>
    <row r="12" spans="1:5" ht="15.75" thickBot="1" x14ac:dyDescent="0.3">
      <c r="A12" s="75" t="s">
        <v>739</v>
      </c>
      <c r="B12" s="1753">
        <f>'MDA Worksheet'!$R$18</f>
        <v>0</v>
      </c>
      <c r="C12" s="1753"/>
      <c r="D12" s="73"/>
    </row>
    <row r="13" spans="1:5" x14ac:dyDescent="0.25">
      <c r="A13" s="75"/>
      <c r="B13" s="73"/>
      <c r="C13" s="74"/>
      <c r="D13" s="73"/>
    </row>
    <row r="14" spans="1:5" ht="30.75" thickBot="1" x14ac:dyDescent="0.3">
      <c r="A14" s="75" t="s">
        <v>740</v>
      </c>
      <c r="B14" s="132">
        <f>'MDA Worksheet'!$R$24</f>
        <v>0</v>
      </c>
      <c r="C14" s="73" t="s">
        <v>741</v>
      </c>
      <c r="D14" s="133" t="str">
        <f>Welcome!$D$16&amp;" Years"</f>
        <v>Select Term Years</v>
      </c>
    </row>
    <row r="15" spans="1:5" ht="15.75" thickBot="1" x14ac:dyDescent="0.3">
      <c r="A15" s="75" t="s">
        <v>742</v>
      </c>
      <c r="B15" s="120">
        <f>'MDA Worksheet'!$R$24</f>
        <v>0</v>
      </c>
      <c r="C15" s="73" t="s">
        <v>743</v>
      </c>
      <c r="D15" s="120" t="str">
        <f>IF('Required Info to Submit'!$F$17&lt;&gt;"",'Required Info to Submit'!$F$17,"")</f>
        <v/>
      </c>
    </row>
    <row r="16" spans="1:5" x14ac:dyDescent="0.25">
      <c r="A16" s="73"/>
      <c r="B16" s="116"/>
      <c r="C16" s="73"/>
      <c r="D16" s="116"/>
    </row>
    <row r="17" spans="1:5" ht="15.75" thickBot="1" x14ac:dyDescent="0.3">
      <c r="A17" s="75" t="s">
        <v>744</v>
      </c>
      <c r="B17" s="1750"/>
      <c r="C17" s="1750"/>
      <c r="D17" s="1750"/>
      <c r="E17" s="1750"/>
    </row>
    <row r="18" spans="1:5" x14ac:dyDescent="0.25">
      <c r="A18" s="73"/>
      <c r="B18" s="116"/>
      <c r="C18" s="73"/>
      <c r="D18" s="116"/>
    </row>
    <row r="19" spans="1:5" ht="15.75" thickBot="1" x14ac:dyDescent="0.3">
      <c r="A19" s="75" t="s">
        <v>808</v>
      </c>
      <c r="B19" s="1750" t="str">
        <f>Welcome!$D$10</f>
        <v>Please Select</v>
      </c>
      <c r="C19" s="1750"/>
      <c r="D19" s="1750"/>
      <c r="E19" s="1750"/>
    </row>
    <row r="20" spans="1:5" x14ac:dyDescent="0.25">
      <c r="A20" s="75"/>
      <c r="B20" s="116"/>
      <c r="C20" s="73"/>
      <c r="D20" s="116"/>
    </row>
    <row r="21" spans="1:5" x14ac:dyDescent="0.25">
      <c r="A21" s="119"/>
      <c r="B21" s="119"/>
      <c r="C21" s="119"/>
      <c r="D21" s="119"/>
      <c r="E21" s="41"/>
    </row>
    <row r="22" spans="1:5" x14ac:dyDescent="0.25">
      <c r="A22" s="7"/>
      <c r="B22" s="6" t="s">
        <v>229</v>
      </c>
      <c r="C22" s="35"/>
      <c r="D22" s="124" t="s">
        <v>367</v>
      </c>
      <c r="E22" s="41"/>
    </row>
    <row r="23" spans="1:5" x14ac:dyDescent="0.25">
      <c r="A23" s="8" t="s">
        <v>680</v>
      </c>
      <c r="B23" s="12">
        <f>'Tracking &amp; Profitability'!$E$12</f>
        <v>0</v>
      </c>
      <c r="C23" s="123"/>
      <c r="D23" s="64"/>
      <c r="E23" s="41"/>
    </row>
    <row r="24" spans="1:5" x14ac:dyDescent="0.25">
      <c r="A24" s="8" t="s">
        <v>487</v>
      </c>
      <c r="B24" s="12">
        <f>IFERROR('Tracking &amp; Profitability'!$E$13,0)</f>
        <v>0</v>
      </c>
      <c r="C24" s="36"/>
      <c r="D24" s="128">
        <f>IFERROR($B$24/'PIM Model'!$H$31,0)</f>
        <v>0</v>
      </c>
      <c r="E24" s="41"/>
    </row>
    <row r="25" spans="1:5" x14ac:dyDescent="0.25">
      <c r="A25" s="16" t="s">
        <v>222</v>
      </c>
      <c r="B25" s="12">
        <f>'Tracking &amp; Profitability'!$E$23</f>
        <v>0</v>
      </c>
      <c r="C25" s="125"/>
      <c r="D25" s="128">
        <f>IFERROR($B$25/'PIM Model'!$H$31,0)</f>
        <v>0</v>
      </c>
      <c r="E25" s="41"/>
    </row>
    <row r="26" spans="1:5" s="620"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807</v>
      </c>
      <c r="B29" s="13">
        <f>IFERROR('Variable Costs &amp; Income'!$E$19*-1,0)</f>
        <v>0</v>
      </c>
      <c r="C29" s="37"/>
      <c r="D29" s="128">
        <f>IFERROR($B$29/'PIM Model'!$H$31,0)</f>
        <v>0</v>
      </c>
      <c r="E29" s="41"/>
    </row>
    <row r="30" spans="1:5" x14ac:dyDescent="0.25">
      <c r="A30" s="17" t="s">
        <v>221</v>
      </c>
      <c r="B30" s="12">
        <f>IFERROR('Variable Costs &amp; Income'!$E$31,0)</f>
        <v>0</v>
      </c>
      <c r="C30" s="36"/>
      <c r="D30" s="128">
        <f>IFERROR($B$30/'PIM Model'!$H$31,0)</f>
        <v>0</v>
      </c>
      <c r="E30" s="41"/>
    </row>
    <row r="31" spans="1:5" x14ac:dyDescent="0.25">
      <c r="A31" s="17" t="s">
        <v>220</v>
      </c>
      <c r="B31" s="12">
        <f>'Variable Costs &amp; Income'!$E$32</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809</v>
      </c>
      <c r="B34" s="12">
        <f>IFERROR($B$33/('Tracking &amp; Profitability'!E7*52),0)</f>
        <v>0</v>
      </c>
      <c r="C34" s="41"/>
      <c r="D34" s="41"/>
      <c r="E34" s="41"/>
    </row>
    <row r="35" spans="1:5" x14ac:dyDescent="0.25">
      <c r="A35" s="8" t="s">
        <v>839</v>
      </c>
      <c r="B35" s="131">
        <f>IFERROR(B33/B23,0)</f>
        <v>0</v>
      </c>
      <c r="C35" s="41"/>
      <c r="D35" s="41"/>
      <c r="E35" s="41"/>
    </row>
    <row r="36" spans="1:5" x14ac:dyDescent="0.25">
      <c r="A36" s="118"/>
      <c r="B36" s="41"/>
      <c r="C36" s="41"/>
      <c r="D36" s="122"/>
      <c r="E36" s="41"/>
    </row>
    <row r="37" spans="1:5" x14ac:dyDescent="0.25">
      <c r="A37" s="8" t="s">
        <v>745</v>
      </c>
      <c r="B37" s="12">
        <f>SUM(Incentives!G187+Incentives!G198)</f>
        <v>0</v>
      </c>
      <c r="C37" s="41"/>
      <c r="D37" s="41"/>
      <c r="E37" s="41"/>
    </row>
    <row r="38" spans="1:5" x14ac:dyDescent="0.25">
      <c r="A38" s="8" t="s">
        <v>746</v>
      </c>
      <c r="B38" s="12">
        <f>SUM(Incentives!O476-Incentives!O187-Incentives!O198)</f>
        <v>0</v>
      </c>
      <c r="C38" s="41"/>
      <c r="D38" s="41"/>
      <c r="E38" s="41"/>
    </row>
    <row r="39" spans="1:5" x14ac:dyDescent="0.25">
      <c r="A39" s="8" t="s">
        <v>461</v>
      </c>
      <c r="B39" s="121">
        <f>'Tracking &amp; Profitability'!$E$8</f>
        <v>0</v>
      </c>
      <c r="C39" s="41"/>
      <c r="D39" s="41"/>
      <c r="E39" s="41"/>
    </row>
    <row r="40" spans="1:5" x14ac:dyDescent="0.25">
      <c r="A40" s="118"/>
      <c r="B40" s="41"/>
      <c r="C40" s="41"/>
      <c r="D40" s="41"/>
      <c r="E40" s="41"/>
    </row>
    <row r="41" spans="1:5" s="640" customFormat="1" ht="15.75" thickBot="1" x14ac:dyDescent="0.3">
      <c r="A41" s="646"/>
    </row>
    <row r="42" spans="1:5" s="640" customFormat="1" ht="15.75" thickBot="1" x14ac:dyDescent="0.3">
      <c r="A42" s="1762" t="s">
        <v>1147</v>
      </c>
      <c r="B42" s="1763"/>
      <c r="C42" s="1763"/>
      <c r="D42" s="1763"/>
      <c r="E42" s="1764"/>
    </row>
    <row r="43" spans="1:5" s="640" customFormat="1" x14ac:dyDescent="0.25">
      <c r="A43" s="1771"/>
      <c r="B43" s="1772"/>
      <c r="C43" s="1772"/>
      <c r="D43" s="1772"/>
      <c r="E43" s="1773"/>
    </row>
    <row r="44" spans="1:5" s="640" customFormat="1" ht="15.75" thickBot="1" x14ac:dyDescent="0.3">
      <c r="A44" s="1774"/>
      <c r="B44" s="1775"/>
      <c r="C44" s="1775"/>
      <c r="D44" s="1775"/>
      <c r="E44" s="1776"/>
    </row>
    <row r="45" spans="1:5" s="640" customFormat="1" ht="15.75" thickBot="1" x14ac:dyDescent="0.3">
      <c r="A45" s="646"/>
    </row>
    <row r="46" spans="1:5" s="640" customFormat="1" ht="15.75" thickBot="1" x14ac:dyDescent="0.3">
      <c r="A46" s="1762" t="s">
        <v>1136</v>
      </c>
      <c r="B46" s="1763"/>
      <c r="C46" s="1763"/>
      <c r="D46" s="1763"/>
      <c r="E46" s="1764"/>
    </row>
    <row r="47" spans="1:5" s="640" customFormat="1" ht="15.75" x14ac:dyDescent="0.25">
      <c r="A47" s="647" t="s">
        <v>1137</v>
      </c>
      <c r="B47" s="648"/>
      <c r="C47" s="659" t="s">
        <v>1138</v>
      </c>
      <c r="D47" s="649"/>
      <c r="E47" s="650"/>
    </row>
    <row r="48" spans="1:5" s="640" customFormat="1" ht="15" customHeight="1" x14ac:dyDescent="0.25">
      <c r="A48" s="647" t="s">
        <v>1139</v>
      </c>
      <c r="B48" s="648"/>
      <c r="C48" s="660"/>
      <c r="D48" s="653" t="s">
        <v>1140</v>
      </c>
      <c r="E48" s="661"/>
    </row>
    <row r="49" spans="1:5" s="640" customFormat="1" ht="15.75" x14ac:dyDescent="0.25">
      <c r="A49" s="647" t="s">
        <v>1141</v>
      </c>
      <c r="B49" s="648"/>
      <c r="C49" s="660"/>
      <c r="D49" s="649" t="s">
        <v>1142</v>
      </c>
      <c r="E49" s="661"/>
    </row>
    <row r="50" spans="1:5" s="640" customFormat="1" ht="15.75" x14ac:dyDescent="0.25">
      <c r="A50" s="647" t="s">
        <v>1143</v>
      </c>
      <c r="B50" s="648"/>
      <c r="C50" s="660"/>
      <c r="D50" s="649"/>
      <c r="E50" s="650"/>
    </row>
    <row r="51" spans="1:5" s="640" customFormat="1" ht="15.75" x14ac:dyDescent="0.25">
      <c r="A51" s="647" t="s">
        <v>1144</v>
      </c>
      <c r="B51" s="648"/>
      <c r="C51" s="660"/>
      <c r="D51" s="649" t="s">
        <v>1145</v>
      </c>
      <c r="E51" s="661"/>
    </row>
    <row r="52" spans="1:5" s="640" customFormat="1" ht="15.75" x14ac:dyDescent="0.25">
      <c r="A52" s="647" t="s">
        <v>1146</v>
      </c>
      <c r="B52" s="648"/>
      <c r="C52" s="651"/>
      <c r="D52" s="648"/>
      <c r="E52" s="652"/>
    </row>
    <row r="53" spans="1:5" s="640" customFormat="1" x14ac:dyDescent="0.25">
      <c r="A53" s="1765"/>
      <c r="B53" s="1766"/>
      <c r="C53" s="1766"/>
      <c r="D53" s="1766"/>
      <c r="E53" s="1767"/>
    </row>
    <row r="54" spans="1:5" s="640" customFormat="1" ht="15.75" thickBot="1" x14ac:dyDescent="0.3">
      <c r="A54" s="1768"/>
      <c r="B54" s="1769"/>
      <c r="C54" s="1769"/>
      <c r="D54" s="1769"/>
      <c r="E54" s="1770"/>
    </row>
    <row r="55" spans="1:5" ht="15.75" thickBot="1" x14ac:dyDescent="0.3">
      <c r="A55" s="646"/>
      <c r="B55" s="640"/>
      <c r="C55" s="640"/>
      <c r="D55" s="640"/>
      <c r="E55" s="640"/>
    </row>
    <row r="56" spans="1:5" ht="30.75" customHeight="1" thickBot="1" x14ac:dyDescent="0.3">
      <c r="A56" s="1744" t="s">
        <v>747</v>
      </c>
      <c r="B56" s="1745"/>
      <c r="C56" s="1745"/>
      <c r="D56" s="1745"/>
      <c r="E56" s="1746"/>
    </row>
    <row r="57" spans="1:5" ht="15" customHeight="1" x14ac:dyDescent="0.25">
      <c r="A57" s="76"/>
      <c r="B57" s="77"/>
      <c r="C57" s="77"/>
      <c r="D57" s="77"/>
    </row>
    <row r="58" spans="1:5" ht="30.95" customHeight="1" thickBot="1" x14ac:dyDescent="0.3">
      <c r="A58" s="78" t="s">
        <v>748</v>
      </c>
      <c r="B58" s="270"/>
      <c r="C58" s="79" t="s">
        <v>749</v>
      </c>
      <c r="D58" s="270"/>
    </row>
    <row r="59" spans="1:5" ht="30.95" customHeight="1" thickBot="1" x14ac:dyDescent="0.3">
      <c r="A59" s="80" t="s">
        <v>750</v>
      </c>
      <c r="B59" s="270"/>
      <c r="C59" s="79" t="s">
        <v>751</v>
      </c>
      <c r="D59" s="271" t="s">
        <v>752</v>
      </c>
    </row>
    <row r="60" spans="1:5" ht="30.95" customHeight="1" thickBot="1" x14ac:dyDescent="0.3">
      <c r="A60" s="78" t="s">
        <v>753</v>
      </c>
      <c r="B60" s="270"/>
      <c r="C60" s="79" t="s">
        <v>749</v>
      </c>
      <c r="D60" s="271"/>
    </row>
    <row r="61" spans="1:5" ht="30.6" customHeight="1" thickBot="1" x14ac:dyDescent="0.3">
      <c r="A61" s="80" t="s">
        <v>750</v>
      </c>
      <c r="B61" s="270"/>
      <c r="C61" s="79" t="s">
        <v>751</v>
      </c>
      <c r="D61" s="271" t="s">
        <v>754</v>
      </c>
    </row>
    <row r="62" spans="1:5" ht="30.75" customHeight="1" thickBot="1" x14ac:dyDescent="0.3">
      <c r="A62" s="78" t="s">
        <v>755</v>
      </c>
      <c r="B62" s="270"/>
      <c r="C62" s="79" t="s">
        <v>749</v>
      </c>
      <c r="D62" s="270"/>
    </row>
    <row r="63" spans="1:5" ht="30.75" customHeight="1" thickBot="1" x14ac:dyDescent="0.3">
      <c r="A63" s="80" t="s">
        <v>750</v>
      </c>
      <c r="B63" s="271"/>
      <c r="C63" s="79" t="s">
        <v>751</v>
      </c>
      <c r="D63" s="271" t="s">
        <v>756</v>
      </c>
    </row>
    <row r="64" spans="1:5" ht="30.75" customHeight="1" thickBot="1" x14ac:dyDescent="0.3">
      <c r="A64" s="78" t="s">
        <v>757</v>
      </c>
      <c r="B64" s="271"/>
      <c r="C64" s="79" t="s">
        <v>749</v>
      </c>
      <c r="D64" s="271"/>
    </row>
    <row r="65" spans="1:5" ht="30.95" customHeight="1" thickBot="1" x14ac:dyDescent="0.3">
      <c r="A65" s="80" t="s">
        <v>750</v>
      </c>
      <c r="B65" s="271"/>
      <c r="C65" s="79" t="s">
        <v>751</v>
      </c>
      <c r="D65" s="271" t="s">
        <v>758</v>
      </c>
    </row>
    <row r="66" spans="1:5" ht="15.75" thickBot="1" x14ac:dyDescent="0.3">
      <c r="A66" s="5"/>
    </row>
    <row r="67" spans="1:5" ht="15.75" thickBot="1" x14ac:dyDescent="0.3">
      <c r="A67" s="1747" t="s">
        <v>759</v>
      </c>
      <c r="B67" s="1748"/>
      <c r="C67" s="1748"/>
      <c r="D67" s="1748"/>
      <c r="E67" s="1749"/>
    </row>
    <row r="68" spans="1:5" x14ac:dyDescent="0.25">
      <c r="A68" s="76"/>
      <c r="B68" s="77"/>
      <c r="C68" s="77"/>
      <c r="D68" s="77"/>
    </row>
    <row r="69" spans="1:5" ht="30.95" customHeight="1" thickBot="1" x14ac:dyDescent="0.3">
      <c r="A69" s="78" t="s">
        <v>748</v>
      </c>
      <c r="B69" s="270"/>
      <c r="C69" s="79" t="s">
        <v>749</v>
      </c>
      <c r="D69" s="270"/>
    </row>
    <row r="70" spans="1:5" ht="30.95" customHeight="1" thickBot="1" x14ac:dyDescent="0.3">
      <c r="A70" s="80" t="s">
        <v>750</v>
      </c>
      <c r="B70" s="270"/>
      <c r="C70" s="79" t="s">
        <v>751</v>
      </c>
      <c r="D70" s="271" t="s">
        <v>760</v>
      </c>
    </row>
    <row r="71" spans="1:5" ht="30.95" customHeight="1" thickBot="1" x14ac:dyDescent="0.3">
      <c r="A71" s="78" t="s">
        <v>753</v>
      </c>
      <c r="B71" s="270"/>
      <c r="C71" s="79" t="s">
        <v>749</v>
      </c>
      <c r="D71" s="270"/>
    </row>
    <row r="72" spans="1:5" ht="30.95" customHeight="1" thickBot="1" x14ac:dyDescent="0.3">
      <c r="A72" s="80" t="s">
        <v>750</v>
      </c>
      <c r="B72" s="271"/>
      <c r="C72" s="79" t="s">
        <v>751</v>
      </c>
      <c r="D72" s="271" t="s">
        <v>761</v>
      </c>
    </row>
    <row r="73" spans="1:5" ht="15.75" thickBot="1" x14ac:dyDescent="0.3"/>
    <row r="74" spans="1:5" ht="15.75" thickBot="1" x14ac:dyDescent="0.3">
      <c r="A74" s="1777" t="s">
        <v>1148</v>
      </c>
      <c r="B74" s="1778"/>
      <c r="C74" s="1778"/>
      <c r="D74" s="1778"/>
      <c r="E74" s="1779"/>
    </row>
    <row r="75" spans="1:5" ht="30.95" customHeight="1" thickBot="1" x14ac:dyDescent="0.3">
      <c r="A75" s="657" t="s">
        <v>763</v>
      </c>
      <c r="B75" s="270"/>
      <c r="C75" s="654" t="s">
        <v>749</v>
      </c>
      <c r="D75" s="270"/>
    </row>
    <row r="76" spans="1:5" ht="30.95" customHeight="1" thickBot="1" x14ac:dyDescent="0.3">
      <c r="A76" s="657" t="s">
        <v>1149</v>
      </c>
      <c r="B76" s="270"/>
      <c r="C76" s="654" t="s">
        <v>751</v>
      </c>
      <c r="D76" s="658" t="s">
        <v>1150</v>
      </c>
    </row>
    <row r="77" spans="1:5" ht="15" customHeight="1" thickBot="1" x14ac:dyDescent="0.3">
      <c r="A77" s="655"/>
      <c r="B77" s="655"/>
      <c r="C77" s="656"/>
      <c r="D77" s="656"/>
      <c r="E77" s="656"/>
    </row>
    <row r="78" spans="1:5" ht="15.75" thickBot="1" x14ac:dyDescent="0.3">
      <c r="A78" s="1740" t="s">
        <v>762</v>
      </c>
      <c r="B78" s="1741"/>
      <c r="C78" s="1741"/>
      <c r="D78" s="1741"/>
      <c r="E78" s="1742"/>
    </row>
    <row r="79" spans="1:5" x14ac:dyDescent="0.25">
      <c r="A79" s="76"/>
      <c r="B79" s="77"/>
      <c r="C79" s="77"/>
      <c r="D79" s="77"/>
    </row>
    <row r="80" spans="1:5" ht="30.95" customHeight="1" thickBot="1" x14ac:dyDescent="0.3">
      <c r="A80" s="78" t="s">
        <v>763</v>
      </c>
      <c r="B80" s="270"/>
      <c r="C80" s="79" t="s">
        <v>749</v>
      </c>
      <c r="D80" s="270"/>
    </row>
    <row r="81" spans="1:5" ht="30.95" customHeight="1" thickBot="1" x14ac:dyDescent="0.3">
      <c r="A81" s="81" t="s">
        <v>750</v>
      </c>
      <c r="B81" s="270"/>
      <c r="C81" s="79" t="s">
        <v>751</v>
      </c>
      <c r="D81" s="270"/>
    </row>
    <row r="82" spans="1:5" ht="15.75" thickBot="1" x14ac:dyDescent="0.3">
      <c r="A82" s="5"/>
    </row>
    <row r="83" spans="1:5" ht="15.75" thickBot="1" x14ac:dyDescent="0.3">
      <c r="A83" s="1740" t="s">
        <v>764</v>
      </c>
      <c r="B83" s="1741"/>
      <c r="C83" s="1741"/>
      <c r="D83" s="1741"/>
      <c r="E83" s="1742"/>
    </row>
    <row r="84" spans="1:5" x14ac:dyDescent="0.25">
      <c r="A84" s="76"/>
      <c r="B84" s="77"/>
      <c r="C84" s="77"/>
      <c r="D84" s="77"/>
    </row>
    <row r="85" spans="1:5" ht="30.95" customHeight="1" thickBot="1" x14ac:dyDescent="0.3">
      <c r="A85" s="78" t="s">
        <v>763</v>
      </c>
      <c r="B85" s="270"/>
      <c r="C85" s="79" t="s">
        <v>749</v>
      </c>
      <c r="D85" s="270"/>
    </row>
    <row r="86" spans="1:5" ht="30.95" customHeight="1" thickBot="1" x14ac:dyDescent="0.3">
      <c r="A86" s="81" t="s">
        <v>750</v>
      </c>
      <c r="B86" s="270"/>
      <c r="C86" s="79" t="s">
        <v>751</v>
      </c>
      <c r="D86" s="270"/>
    </row>
  </sheetData>
  <sheetProtection algorithmName="SHA-512" hashValue="EgkTrFaiX7B4t+V+5ZT/FpenEjhYHd7zGjCxre2GnqWgNbbV20VIoifOL43yf/02QmbK3HhC7UzyWFW2H70zXQ==" saltValue="Z6nHHxVW11xJcewhIPqcwg==" spinCount="100000" sheet="1" objects="1" scenarios="1"/>
  <mergeCells count="20">
    <mergeCell ref="A53:E54"/>
    <mergeCell ref="A42:E42"/>
    <mergeCell ref="A43:E44"/>
    <mergeCell ref="A74:E74"/>
    <mergeCell ref="A83:E83"/>
    <mergeCell ref="A2:E2"/>
    <mergeCell ref="A1:E1"/>
    <mergeCell ref="A56:E56"/>
    <mergeCell ref="A67:E67"/>
    <mergeCell ref="A78:E78"/>
    <mergeCell ref="B17:E17"/>
    <mergeCell ref="B19:E19"/>
    <mergeCell ref="B10:C10"/>
    <mergeCell ref="B11:C11"/>
    <mergeCell ref="B12:C12"/>
    <mergeCell ref="A8:E8"/>
    <mergeCell ref="A9:E9"/>
    <mergeCell ref="A6:E6"/>
    <mergeCell ref="A4:E4"/>
    <mergeCell ref="A46:E46"/>
  </mergeCells>
  <conditionalFormatting sqref="C48">
    <cfRule type="expression" dxfId="1480" priority="7">
      <formula>NOT(ISBLANK(C48))</formula>
    </cfRule>
  </conditionalFormatting>
  <conditionalFormatting sqref="E48">
    <cfRule type="expression" dxfId="1479" priority="6">
      <formula>NOT(ISBLANK(E48))</formula>
    </cfRule>
  </conditionalFormatting>
  <conditionalFormatting sqref="E49">
    <cfRule type="expression" dxfId="1478" priority="5">
      <formula>NOT(ISBLANK(E49))</formula>
    </cfRule>
  </conditionalFormatting>
  <conditionalFormatting sqref="E51">
    <cfRule type="expression" dxfId="1477" priority="4">
      <formula>NOT(ISBLANK(E51))</formula>
    </cfRule>
  </conditionalFormatting>
  <conditionalFormatting sqref="C49">
    <cfRule type="expression" dxfId="1476" priority="3">
      <formula>NOT(ISBLANK(C49))</formula>
    </cfRule>
  </conditionalFormatting>
  <conditionalFormatting sqref="C50">
    <cfRule type="expression" dxfId="1475" priority="2">
      <formula>NOT(ISBLANK(C50))</formula>
    </cfRule>
  </conditionalFormatting>
  <conditionalFormatting sqref="C51">
    <cfRule type="expression" dxfId="1474"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9"/>
  <sheetViews>
    <sheetView tabSelected="1" zoomScaleNormal="100" workbookViewId="0">
      <selection activeCell="D10" sqref="D10"/>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676" customWidth="1"/>
    <col min="6" max="6" width="34.85546875" style="676" customWidth="1"/>
    <col min="7" max="7" width="23.140625" style="676" customWidth="1"/>
    <col min="8" max="8" width="36.28515625" style="676" customWidth="1"/>
    <col min="9" max="9" width="3" customWidth="1"/>
    <col min="10" max="10" width="15.28515625" style="573" customWidth="1"/>
    <col min="11" max="11" width="3.28515625" style="573" customWidth="1"/>
    <col min="12" max="12" width="15.7109375" style="573" hidden="1" customWidth="1"/>
    <col min="13" max="13" width="8.85546875" style="573" customWidth="1"/>
    <col min="14" max="19" width="8.85546875" style="573"/>
    <col min="25" max="25" width="10.7109375" hidden="1" customWidth="1"/>
    <col min="26" max="26" width="11.42578125" hidden="1" customWidth="1"/>
    <col min="27" max="27" width="8.85546875" hidden="1" customWidth="1"/>
    <col min="29" max="29" width="8.85546875" style="573"/>
  </cols>
  <sheetData>
    <row r="1" spans="1:29" ht="15" customHeight="1" thickBot="1" x14ac:dyDescent="0.3">
      <c r="A1" s="1065"/>
      <c r="B1" s="134"/>
      <c r="C1" s="134"/>
      <c r="D1" s="134"/>
      <c r="E1" s="134"/>
      <c r="F1" s="134"/>
      <c r="G1" s="134"/>
      <c r="H1" s="134"/>
      <c r="I1" s="134"/>
      <c r="J1" s="572"/>
      <c r="K1" s="572"/>
      <c r="L1" s="572" t="s">
        <v>648</v>
      </c>
      <c r="M1" s="572"/>
      <c r="N1" s="572"/>
      <c r="O1" s="572"/>
      <c r="P1" s="572"/>
      <c r="Q1" s="572"/>
      <c r="R1" s="572"/>
      <c r="S1" s="572"/>
      <c r="T1" s="134"/>
      <c r="U1" s="134"/>
      <c r="V1" s="134"/>
      <c r="W1" s="134"/>
      <c r="X1" s="134"/>
      <c r="Y1" s="134"/>
      <c r="Z1" s="134" t="s">
        <v>941</v>
      </c>
      <c r="AA1" s="134"/>
      <c r="AB1" s="134"/>
      <c r="AC1" s="572"/>
    </row>
    <row r="2" spans="1:29" ht="21" customHeight="1" x14ac:dyDescent="0.3">
      <c r="A2" s="141"/>
      <c r="B2" s="275"/>
      <c r="C2" s="282" t="s">
        <v>845</v>
      </c>
      <c r="D2" s="283"/>
      <c r="E2" s="283"/>
      <c r="F2" s="283"/>
      <c r="G2" s="283"/>
      <c r="H2" s="283"/>
      <c r="I2" s="284"/>
      <c r="J2" s="572"/>
      <c r="K2" s="572"/>
      <c r="L2" s="572" t="s">
        <v>1770</v>
      </c>
      <c r="M2" s="572"/>
      <c r="N2" s="572"/>
      <c r="O2" s="572"/>
      <c r="P2" s="572"/>
      <c r="Q2" s="572"/>
      <c r="R2" s="572"/>
      <c r="S2" s="572"/>
      <c r="T2" s="134"/>
      <c r="U2" s="134"/>
      <c r="V2" s="134"/>
      <c r="W2" s="134"/>
      <c r="X2" s="134"/>
      <c r="Y2" s="134"/>
      <c r="Z2" s="134"/>
      <c r="AA2" s="134"/>
      <c r="AB2" s="134"/>
      <c r="AC2" s="572"/>
    </row>
    <row r="3" spans="1:29" ht="21.6" customHeight="1" x14ac:dyDescent="0.3">
      <c r="A3" s="141"/>
      <c r="B3" s="298"/>
      <c r="C3" s="1780" t="s">
        <v>1131</v>
      </c>
      <c r="D3" s="1781"/>
      <c r="E3" s="134"/>
      <c r="F3" s="134"/>
      <c r="G3" s="134"/>
      <c r="H3" s="134"/>
      <c r="I3" s="281"/>
      <c r="J3" s="572"/>
      <c r="K3" s="572"/>
      <c r="L3" s="572" t="s">
        <v>1988</v>
      </c>
      <c r="M3" s="572"/>
      <c r="N3" s="572"/>
      <c r="O3" s="572"/>
      <c r="P3" s="572"/>
      <c r="Q3" s="572"/>
      <c r="R3" s="572"/>
      <c r="S3" s="572"/>
      <c r="T3" s="134"/>
      <c r="U3" s="134"/>
      <c r="V3" s="134"/>
      <c r="W3" s="134"/>
      <c r="X3" s="134"/>
      <c r="Y3" s="134"/>
      <c r="Z3" s="134"/>
      <c r="AA3" s="134"/>
      <c r="AB3" s="134"/>
      <c r="AC3" s="572"/>
    </row>
    <row r="4" spans="1:29" x14ac:dyDescent="0.25">
      <c r="A4" s="141"/>
      <c r="B4" s="299"/>
      <c r="C4" s="285" t="s">
        <v>1468</v>
      </c>
      <c r="D4" s="395">
        <f>'Existing Customers'!$L$2</f>
        <v>0</v>
      </c>
      <c r="E4" s="141"/>
      <c r="F4" s="141"/>
      <c r="G4" s="141"/>
      <c r="H4" s="141"/>
      <c r="I4" s="281"/>
      <c r="J4" s="572"/>
      <c r="K4" s="572"/>
      <c r="L4" s="572" t="s">
        <v>1989</v>
      </c>
      <c r="M4" s="572"/>
      <c r="N4" s="572"/>
      <c r="O4" s="572"/>
      <c r="P4" s="572"/>
      <c r="Q4" s="572"/>
      <c r="R4" s="572"/>
      <c r="S4" s="572"/>
      <c r="T4" s="134"/>
      <c r="U4" s="134"/>
      <c r="V4" s="134"/>
      <c r="W4" s="134"/>
      <c r="X4" s="134"/>
      <c r="Y4" s="134"/>
      <c r="Z4" s="134"/>
      <c r="AA4" s="134"/>
      <c r="AB4" s="134"/>
      <c r="AC4" s="572"/>
    </row>
    <row r="5" spans="1:29" ht="16.899999999999999" customHeight="1" x14ac:dyDescent="0.25">
      <c r="A5" s="141"/>
      <c r="B5" s="299"/>
      <c r="C5" s="141"/>
      <c r="D5" s="141"/>
      <c r="E5" s="141"/>
      <c r="F5" s="141"/>
      <c r="G5" s="141"/>
      <c r="H5" s="141"/>
      <c r="I5" s="281"/>
      <c r="J5" s="572"/>
      <c r="K5" s="572"/>
      <c r="L5" s="572" t="s">
        <v>2099</v>
      </c>
      <c r="M5" s="572"/>
      <c r="N5" s="572"/>
      <c r="O5" s="572"/>
      <c r="P5" s="572"/>
      <c r="Q5" s="572"/>
      <c r="R5" s="572"/>
      <c r="S5" s="572"/>
      <c r="T5" s="134"/>
      <c r="U5" s="134"/>
      <c r="V5" s="134"/>
      <c r="W5" s="134"/>
      <c r="X5" s="134"/>
      <c r="Y5" s="134"/>
      <c r="Z5" s="134"/>
      <c r="AA5" s="134"/>
      <c r="AB5" s="134"/>
      <c r="AC5" s="572"/>
    </row>
    <row r="6" spans="1:29" s="672" customFormat="1" ht="16.899999999999999" customHeight="1" x14ac:dyDescent="0.25">
      <c r="A6" s="141"/>
      <c r="B6" s="299"/>
      <c r="C6" s="285" t="s">
        <v>1154</v>
      </c>
      <c r="D6" s="673" t="s">
        <v>1155</v>
      </c>
      <c r="E6" s="141"/>
      <c r="F6" s="141"/>
      <c r="G6" s="141"/>
      <c r="H6" s="141"/>
      <c r="I6" s="281"/>
      <c r="J6" s="572"/>
      <c r="K6" s="572"/>
      <c r="L6" s="572"/>
      <c r="M6" s="572"/>
      <c r="N6" s="572"/>
      <c r="O6" s="572"/>
      <c r="P6" s="572"/>
      <c r="Q6" s="572"/>
      <c r="R6" s="572"/>
      <c r="S6" s="572"/>
      <c r="T6" s="134"/>
      <c r="U6" s="134"/>
      <c r="V6" s="134"/>
      <c r="W6" s="134"/>
      <c r="X6" s="134"/>
      <c r="Y6" s="134"/>
      <c r="Z6" s="134"/>
      <c r="AA6" s="134"/>
      <c r="AB6" s="134"/>
      <c r="AC6" s="572"/>
    </row>
    <row r="7" spans="1:29" s="1082" customFormat="1" ht="16.899999999999999" customHeight="1" x14ac:dyDescent="0.25">
      <c r="A7" s="141"/>
      <c r="B7" s="299"/>
      <c r="C7" s="1083"/>
      <c r="D7" s="1084"/>
      <c r="E7" s="141"/>
      <c r="F7" s="141"/>
      <c r="G7" s="141"/>
      <c r="H7" s="141"/>
      <c r="I7" s="281"/>
      <c r="J7" s="572"/>
      <c r="K7" s="572"/>
      <c r="L7" s="572"/>
      <c r="M7" s="572"/>
      <c r="N7" s="572"/>
      <c r="O7" s="572"/>
      <c r="P7" s="572"/>
      <c r="Q7" s="572"/>
      <c r="R7" s="572"/>
      <c r="S7" s="572"/>
      <c r="T7" s="134"/>
      <c r="U7" s="134"/>
      <c r="V7" s="134"/>
      <c r="W7" s="134"/>
      <c r="X7" s="134"/>
      <c r="Y7" s="134"/>
      <c r="Z7" s="134"/>
      <c r="AA7" s="134"/>
      <c r="AB7" s="134"/>
      <c r="AC7" s="572"/>
    </row>
    <row r="8" spans="1:29" s="1082" customFormat="1" ht="16.899999999999999" hidden="1" customHeight="1" x14ac:dyDescent="0.25">
      <c r="A8" s="141"/>
      <c r="B8" s="299"/>
      <c r="C8" s="285" t="s">
        <v>1771</v>
      </c>
      <c r="D8" s="1437"/>
      <c r="E8" s="141"/>
      <c r="F8" s="1085" t="s">
        <v>1772</v>
      </c>
      <c r="G8" s="1797" t="s">
        <v>1989</v>
      </c>
      <c r="H8" s="1797"/>
      <c r="I8" s="281"/>
      <c r="J8" s="572"/>
      <c r="K8" s="572"/>
      <c r="L8" s="572"/>
      <c r="M8" s="572"/>
      <c r="N8" s="572"/>
      <c r="O8" s="572"/>
      <c r="P8" s="572"/>
      <c r="Q8" s="572"/>
      <c r="R8" s="572"/>
      <c r="S8" s="572"/>
      <c r="T8" s="134"/>
      <c r="U8" s="134"/>
      <c r="V8" s="134"/>
      <c r="W8" s="134"/>
      <c r="X8" s="134"/>
      <c r="Y8" s="134"/>
      <c r="Z8" s="134"/>
      <c r="AA8" s="134"/>
      <c r="AB8" s="134"/>
      <c r="AC8" s="572"/>
    </row>
    <row r="9" spans="1:29" s="672" customFormat="1" ht="16.899999999999999" hidden="1" customHeight="1" x14ac:dyDescent="0.25">
      <c r="A9" s="141"/>
      <c r="B9" s="299"/>
      <c r="C9" s="141"/>
      <c r="D9" s="141"/>
      <c r="E9" s="141"/>
      <c r="F9" s="141"/>
      <c r="G9" s="141"/>
      <c r="H9" s="141"/>
      <c r="I9" s="281"/>
      <c r="J9" s="572"/>
      <c r="K9" s="572"/>
      <c r="L9" s="572"/>
      <c r="M9" s="572"/>
      <c r="N9" s="572"/>
      <c r="O9" s="572"/>
      <c r="P9" s="572"/>
      <c r="Q9" s="572"/>
      <c r="R9" s="572"/>
      <c r="S9" s="572"/>
      <c r="T9" s="134"/>
      <c r="U9" s="134"/>
      <c r="V9" s="134"/>
      <c r="W9" s="134"/>
      <c r="X9" s="134"/>
      <c r="Y9" s="134"/>
      <c r="Z9" s="134"/>
      <c r="AA9" s="134"/>
      <c r="AB9" s="134"/>
      <c r="AC9" s="572"/>
    </row>
    <row r="10" spans="1:29" x14ac:dyDescent="0.25">
      <c r="A10" s="141"/>
      <c r="B10" s="299"/>
      <c r="C10" s="285" t="s">
        <v>1177</v>
      </c>
      <c r="D10" s="674" t="s">
        <v>1384</v>
      </c>
      <c r="E10" s="141"/>
      <c r="F10" s="141"/>
      <c r="G10" s="141"/>
      <c r="H10" s="141"/>
      <c r="I10" s="281"/>
      <c r="J10" s="572"/>
      <c r="K10" s="572"/>
      <c r="L10" s="1496" t="str">
        <f>IF(D10="Please Select","",IF(OR(D10="MDA",D10="CIA"),D10,"POYPON"))</f>
        <v/>
      </c>
      <c r="M10" s="572"/>
      <c r="N10" s="572"/>
      <c r="O10" s="572"/>
      <c r="P10" s="572"/>
      <c r="Q10" s="572"/>
      <c r="R10" s="572"/>
      <c r="S10" s="572"/>
      <c r="T10" s="134"/>
      <c r="U10" s="134"/>
      <c r="V10" s="134"/>
      <c r="W10" s="134"/>
      <c r="X10" s="134"/>
      <c r="Y10" s="134"/>
      <c r="Z10" s="134"/>
      <c r="AA10" s="134"/>
      <c r="AB10" s="134"/>
      <c r="AC10" s="572"/>
    </row>
    <row r="11" spans="1:29" s="1082" customFormat="1" x14ac:dyDescent="0.25">
      <c r="A11" s="141"/>
      <c r="B11" s="299"/>
      <c r="C11" s="1083"/>
      <c r="D11" s="1084"/>
      <c r="E11" s="141"/>
      <c r="F11" s="141"/>
      <c r="G11" s="141"/>
      <c r="H11" s="141"/>
      <c r="I11" s="281"/>
      <c r="J11" s="572"/>
      <c r="K11" s="572"/>
      <c r="L11" s="1496" t="str">
        <f>IF(D10="Please Select","",IF(OR(D10="MDA",OR(D10="CIA",D10="PON Only")),"","CIA"))</f>
        <v/>
      </c>
      <c r="M11" s="572"/>
      <c r="N11" s="572"/>
      <c r="O11" s="572"/>
      <c r="P11" s="572"/>
      <c r="Q11" s="572"/>
      <c r="R11" s="572"/>
      <c r="S11" s="572"/>
      <c r="T11" s="134"/>
      <c r="U11" s="134"/>
      <c r="V11" s="134"/>
      <c r="W11" s="134"/>
      <c r="X11" s="134"/>
      <c r="Y11" s="134"/>
      <c r="Z11" s="134"/>
      <c r="AA11" s="134"/>
      <c r="AB11" s="134"/>
      <c r="AC11" s="572"/>
    </row>
    <row r="12" spans="1:29" s="1082" customFormat="1" ht="19.5" hidden="1" customHeight="1" x14ac:dyDescent="0.25">
      <c r="A12" s="141"/>
      <c r="B12" s="299"/>
      <c r="C12" s="1085" t="s">
        <v>1773</v>
      </c>
      <c r="D12" s="1438"/>
      <c r="E12" s="141"/>
      <c r="F12" s="1086" t="s">
        <v>1774</v>
      </c>
      <c r="G12" s="1798"/>
      <c r="H12" s="1798"/>
      <c r="I12" s="281"/>
      <c r="J12" s="572" t="str">
        <f>IF(ISBLANK(G12),"",TEXT(G12,"dddd"))</f>
        <v/>
      </c>
      <c r="K12" s="572"/>
      <c r="L12" s="572"/>
      <c r="M12" s="572"/>
      <c r="N12" s="572"/>
      <c r="O12" s="572"/>
      <c r="P12" s="572"/>
      <c r="Q12" s="572"/>
      <c r="R12" s="572"/>
      <c r="S12" s="572"/>
      <c r="T12" s="134"/>
      <c r="U12" s="134"/>
      <c r="V12" s="134"/>
      <c r="W12" s="134"/>
      <c r="X12" s="134"/>
      <c r="Y12" s="134"/>
      <c r="Z12" s="134"/>
      <c r="AA12" s="134"/>
      <c r="AB12" s="134"/>
      <c r="AC12" s="572"/>
    </row>
    <row r="13" spans="1:29" ht="16.899999999999999" hidden="1" customHeight="1" x14ac:dyDescent="0.25">
      <c r="A13" s="141"/>
      <c r="B13" s="299"/>
      <c r="C13" s="603"/>
      <c r="D13" s="603"/>
      <c r="E13" s="141"/>
      <c r="F13" s="141"/>
      <c r="G13" s="141" t="str">
        <f>IF(J12="Saturday","","( Agreement Expiration Date must be a Saturday)")</f>
        <v>( Agreement Expiration Date must be a Saturday)</v>
      </c>
      <c r="H13" s="141"/>
      <c r="I13" s="281"/>
      <c r="J13" s="572"/>
      <c r="K13" s="572"/>
      <c r="L13" s="572"/>
      <c r="M13" s="572"/>
      <c r="N13" s="572"/>
      <c r="O13" s="572"/>
      <c r="P13" s="572"/>
      <c r="Q13" s="572"/>
      <c r="R13" s="572"/>
      <c r="S13" s="572"/>
      <c r="T13" s="134"/>
      <c r="U13" s="134"/>
      <c r="V13" s="134"/>
      <c r="W13" s="134"/>
      <c r="X13" s="134"/>
      <c r="Y13" s="134" t="s">
        <v>1102</v>
      </c>
      <c r="Z13" s="134" t="str">
        <f>D10</f>
        <v>Please Select</v>
      </c>
      <c r="AA13" s="134"/>
      <c r="AB13" s="134"/>
      <c r="AC13" s="572"/>
    </row>
    <row r="14" spans="1:29" hidden="1" x14ac:dyDescent="0.25">
      <c r="A14" s="141"/>
      <c r="B14" s="299"/>
      <c r="C14" s="285" t="s">
        <v>1103</v>
      </c>
      <c r="D14" s="286" t="s">
        <v>648</v>
      </c>
      <c r="E14" s="141"/>
      <c r="F14" s="141"/>
      <c r="G14" s="141"/>
      <c r="H14" s="141"/>
      <c r="I14" s="281"/>
      <c r="J14" s="572"/>
      <c r="K14" s="572"/>
      <c r="L14" s="572"/>
      <c r="M14" s="572"/>
      <c r="N14" s="572"/>
      <c r="O14" s="572"/>
      <c r="P14" s="572"/>
      <c r="Q14" s="572"/>
      <c r="R14" s="572"/>
      <c r="S14" s="572"/>
      <c r="T14" s="134"/>
      <c r="U14" s="134"/>
      <c r="V14" s="134"/>
      <c r="W14" s="134"/>
      <c r="X14" s="134"/>
      <c r="Y14" s="134" t="s">
        <v>1101</v>
      </c>
      <c r="Z14" s="619" t="s">
        <v>211</v>
      </c>
      <c r="AA14" s="134"/>
      <c r="AB14" s="134"/>
      <c r="AC14" s="572"/>
    </row>
    <row r="15" spans="1:29" ht="16.899999999999999" hidden="1" customHeight="1" x14ac:dyDescent="0.25">
      <c r="A15" s="141"/>
      <c r="B15" s="299"/>
      <c r="C15" s="141"/>
      <c r="D15" s="141"/>
      <c r="E15" s="141"/>
      <c r="F15" s="141"/>
      <c r="G15" s="141"/>
      <c r="H15" s="141"/>
      <c r="I15" s="281"/>
      <c r="J15" s="572"/>
      <c r="K15" s="572"/>
      <c r="L15" s="572"/>
      <c r="M15" s="572"/>
      <c r="N15" s="572"/>
      <c r="O15" s="572"/>
      <c r="P15" s="572"/>
      <c r="Q15" s="572"/>
      <c r="R15" s="572"/>
      <c r="S15" s="572"/>
      <c r="T15" s="134"/>
      <c r="U15" s="134"/>
      <c r="V15" s="134"/>
      <c r="W15" s="134"/>
      <c r="X15" s="134"/>
      <c r="Y15" s="134">
        <v>1</v>
      </c>
      <c r="Z15" s="52" t="str">
        <f>IF(AND($Z$13="MDA",$D$14="No"),"",IF(AND($Z$13="MDA",$D$14="Yes"),Y15,IF(OR($Z$13="PON ONLY",$Z$13="MDA",$Z$13="CIA",$Z$13="New PON Existing CIA",$Z$13="New PON New CIA"),Y15,"")))</f>
        <v/>
      </c>
      <c r="AA15" s="134"/>
      <c r="AB15" s="134"/>
      <c r="AC15" s="572"/>
    </row>
    <row r="16" spans="1:29" x14ac:dyDescent="0.25">
      <c r="A16" s="141"/>
      <c r="B16" s="299"/>
      <c r="C16" s="285" t="s">
        <v>1398</v>
      </c>
      <c r="D16" s="674" t="s">
        <v>211</v>
      </c>
      <c r="E16" s="141"/>
      <c r="F16" s="141"/>
      <c r="G16" s="141"/>
      <c r="H16" s="141"/>
      <c r="I16" s="281"/>
      <c r="J16" s="572"/>
      <c r="K16" s="572"/>
      <c r="L16" s="572"/>
      <c r="M16" s="572"/>
      <c r="N16" s="572"/>
      <c r="O16" s="572"/>
      <c r="P16" s="572"/>
      <c r="Q16" s="572"/>
      <c r="R16" s="572"/>
      <c r="S16" s="572"/>
      <c r="T16" s="134"/>
      <c r="U16" s="134"/>
      <c r="V16" s="134"/>
      <c r="W16" s="134"/>
      <c r="X16" s="134"/>
      <c r="Y16" s="134">
        <v>2</v>
      </c>
      <c r="Z16" s="52" t="str">
        <f>IF($Z$13="PON ONLY","",IF($Z$13="MDA",Y16,IF($Z$13="CIA",Y16,IF($Z$13="New PON New CIA",Y16,IF($Z$13="New PON Existing CIA",Y16,"")))))</f>
        <v/>
      </c>
      <c r="AA16" s="134"/>
      <c r="AB16" s="134"/>
      <c r="AC16" s="572"/>
    </row>
    <row r="17" spans="1:29" s="596" customFormat="1" x14ac:dyDescent="0.25">
      <c r="A17" s="141"/>
      <c r="B17" s="299"/>
      <c r="C17" s="287"/>
      <c r="D17" s="142"/>
      <c r="E17" s="141"/>
      <c r="F17" s="141"/>
      <c r="G17" s="141"/>
      <c r="H17" s="141"/>
      <c r="I17" s="281"/>
      <c r="J17" s="572"/>
      <c r="K17" s="572"/>
      <c r="L17" s="572"/>
      <c r="M17" s="572"/>
      <c r="N17" s="572"/>
      <c r="O17" s="572"/>
      <c r="P17" s="572"/>
      <c r="Q17" s="572"/>
      <c r="R17" s="572"/>
      <c r="S17" s="572"/>
      <c r="T17" s="134"/>
      <c r="U17" s="134"/>
      <c r="V17" s="134"/>
      <c r="W17" s="134"/>
      <c r="X17" s="134"/>
      <c r="Y17" s="134">
        <v>3</v>
      </c>
      <c r="Z17" s="52" t="str">
        <f>IF($Z$13="PON ONLY","",IF($Z$13="MDA",Y17,IF($Z$13="CIA",Y17,IF($Z$13="New PON New CIA",Y17,IF($Z$13="New PON Existing CIA",Y17,"")))))</f>
        <v/>
      </c>
      <c r="AA17" s="134"/>
      <c r="AB17" s="134"/>
      <c r="AC17" s="572"/>
    </row>
    <row r="18" spans="1:29" x14ac:dyDescent="0.25">
      <c r="A18" s="141"/>
      <c r="B18" s="299"/>
      <c r="C18" s="285" t="s">
        <v>1467</v>
      </c>
      <c r="D18" s="286" t="s">
        <v>454</v>
      </c>
      <c r="E18" s="141"/>
      <c r="F18" s="141"/>
      <c r="G18" s="141"/>
      <c r="H18" s="141"/>
      <c r="I18" s="281"/>
      <c r="J18" s="572"/>
      <c r="K18" s="572"/>
      <c r="L18" s="572"/>
      <c r="M18" s="572"/>
      <c r="N18" s="572"/>
      <c r="O18" s="572"/>
      <c r="P18" s="572"/>
      <c r="Q18" s="572"/>
      <c r="R18" s="572"/>
      <c r="S18" s="572"/>
      <c r="T18" s="134"/>
      <c r="U18" s="134"/>
      <c r="V18" s="134"/>
      <c r="W18" s="134"/>
      <c r="X18" s="134"/>
      <c r="Y18" s="134">
        <v>4</v>
      </c>
      <c r="Z18" s="52" t="str">
        <f>IF($Z$13="PON ONLY","",IF($Z$13="MDA",Y18,IF($Z$13="CIA",Y18,IF($Z$13="New PON New CIA",Y18,IF($Z$13="New PON Existing CIA",Y18,"")))))</f>
        <v/>
      </c>
      <c r="AA18" s="134"/>
      <c r="AB18" s="134"/>
      <c r="AC18" s="572"/>
    </row>
    <row r="19" spans="1:29" ht="19.899999999999999" customHeight="1" x14ac:dyDescent="0.25">
      <c r="A19" s="141"/>
      <c r="B19" s="299"/>
      <c r="E19" s="141"/>
      <c r="F19" s="141"/>
      <c r="G19" s="141"/>
      <c r="H19" s="141"/>
      <c r="I19" s="281"/>
      <c r="J19" s="572"/>
      <c r="K19" s="572"/>
      <c r="L19" s="572"/>
      <c r="M19" s="572"/>
      <c r="N19" s="572"/>
      <c r="O19" s="572"/>
      <c r="P19" s="572"/>
      <c r="Q19" s="572"/>
      <c r="R19" s="572"/>
      <c r="S19" s="572"/>
      <c r="T19" s="134"/>
      <c r="U19" s="134"/>
      <c r="V19" s="134"/>
      <c r="W19" s="134"/>
      <c r="X19" s="134"/>
      <c r="Y19" s="134">
        <v>5</v>
      </c>
      <c r="Z19" s="52" t="str">
        <f>IF($Z$13="PON ONLY","",IF($Z$13="MDA",Y19,IF($Z$13="CIA",Y19,IF($Z$13="New PON New CIA",Y19,IF($Z$13="New PON Existing CIA",Y19,"")))))</f>
        <v/>
      </c>
      <c r="AA19" s="134"/>
      <c r="AB19" s="134"/>
      <c r="AC19" s="572"/>
    </row>
    <row r="20" spans="1:29" x14ac:dyDescent="0.25">
      <c r="A20" s="141"/>
      <c r="B20" s="299"/>
      <c r="C20" s="285" t="s">
        <v>1399</v>
      </c>
      <c r="D20" s="286" t="s">
        <v>648</v>
      </c>
      <c r="E20" s="141"/>
      <c r="F20" s="141"/>
      <c r="G20" s="141"/>
      <c r="H20" s="141"/>
      <c r="I20" s="281"/>
      <c r="J20" s="572"/>
      <c r="K20" s="572"/>
      <c r="L20" s="572"/>
      <c r="M20" s="572"/>
      <c r="N20" s="572"/>
      <c r="O20" s="572"/>
      <c r="P20" s="572"/>
      <c r="Q20" s="572"/>
      <c r="R20" s="572"/>
      <c r="S20" s="572"/>
      <c r="T20" s="134"/>
      <c r="U20" s="134"/>
      <c r="V20" s="134"/>
      <c r="W20" s="134"/>
      <c r="X20" s="134"/>
      <c r="Y20" s="134"/>
      <c r="Z20" s="134"/>
      <c r="AA20" s="134"/>
      <c r="AB20" s="134"/>
      <c r="AC20" s="572"/>
    </row>
    <row r="21" spans="1:29" s="675" customFormat="1" x14ac:dyDescent="0.25">
      <c r="A21" s="141"/>
      <c r="B21" s="299"/>
      <c r="C21" s="134"/>
      <c r="D21" s="134"/>
      <c r="E21" s="141"/>
      <c r="F21" s="141"/>
      <c r="G21" s="141"/>
      <c r="H21" s="141"/>
      <c r="I21" s="281"/>
      <c r="J21" s="572"/>
      <c r="K21" s="572"/>
      <c r="L21" s="572"/>
      <c r="M21" s="572"/>
      <c r="N21" s="572"/>
      <c r="O21" s="572"/>
      <c r="P21" s="572"/>
      <c r="Q21" s="572"/>
      <c r="R21" s="572"/>
      <c r="S21" s="572"/>
      <c r="T21" s="134"/>
      <c r="U21" s="134"/>
      <c r="V21" s="134"/>
      <c r="W21" s="134"/>
      <c r="X21" s="134"/>
      <c r="Y21" s="134"/>
      <c r="Z21" s="134"/>
      <c r="AA21" s="134"/>
      <c r="AB21" s="134"/>
      <c r="AC21" s="572"/>
    </row>
    <row r="22" spans="1:29" s="675" customFormat="1" hidden="1" x14ac:dyDescent="0.25">
      <c r="A22" s="141"/>
      <c r="B22" s="299"/>
      <c r="C22" s="285" t="s">
        <v>1400</v>
      </c>
      <c r="D22" s="286" t="s">
        <v>648</v>
      </c>
      <c r="E22" s="141"/>
      <c r="F22" s="141"/>
      <c r="G22" s="141"/>
      <c r="H22" s="141"/>
      <c r="I22" s="281"/>
      <c r="J22" s="572"/>
      <c r="K22" s="572"/>
      <c r="L22" s="572"/>
      <c r="M22" s="572"/>
      <c r="N22" s="572"/>
      <c r="O22" s="572"/>
      <c r="P22" s="572"/>
      <c r="Q22" s="572"/>
      <c r="R22" s="572"/>
      <c r="S22" s="572"/>
      <c r="T22" s="134"/>
      <c r="U22" s="134"/>
      <c r="V22" s="134"/>
      <c r="W22" s="134"/>
      <c r="X22" s="134"/>
      <c r="Y22" s="134"/>
      <c r="Z22" s="134"/>
      <c r="AA22" s="134"/>
      <c r="AB22" s="134"/>
      <c r="AC22" s="572"/>
    </row>
    <row r="23" spans="1:29" s="675" customFormat="1" hidden="1" x14ac:dyDescent="0.25">
      <c r="A23" s="141"/>
      <c r="B23" s="299"/>
      <c r="C23" s="134"/>
      <c r="D23" s="134"/>
      <c r="E23" s="141"/>
      <c r="F23" s="141"/>
      <c r="G23" s="141"/>
      <c r="H23" s="141"/>
      <c r="I23" s="281"/>
      <c r="J23" s="572"/>
      <c r="K23" s="572"/>
      <c r="L23" s="572"/>
      <c r="M23" s="572"/>
      <c r="N23" s="572"/>
      <c r="O23" s="572"/>
      <c r="P23" s="572"/>
      <c r="Q23" s="572"/>
      <c r="R23" s="572"/>
      <c r="S23" s="572"/>
      <c r="T23" s="134"/>
      <c r="U23" s="134"/>
      <c r="V23" s="134"/>
      <c r="W23" s="134"/>
      <c r="X23" s="134"/>
      <c r="Y23" s="134"/>
      <c r="Z23" s="134"/>
      <c r="AA23" s="134"/>
      <c r="AB23" s="134"/>
      <c r="AC23" s="572"/>
    </row>
    <row r="24" spans="1:29" s="675" customFormat="1" hidden="1" x14ac:dyDescent="0.25">
      <c r="A24" s="141"/>
      <c r="B24" s="299"/>
      <c r="C24" s="285" t="s">
        <v>1469</v>
      </c>
      <c r="D24" s="677"/>
      <c r="E24" s="141"/>
      <c r="F24" s="141"/>
      <c r="G24" s="141"/>
      <c r="H24" s="141"/>
      <c r="I24" s="281"/>
      <c r="J24" s="572"/>
      <c r="K24" s="572"/>
      <c r="L24" s="572"/>
      <c r="M24" s="572"/>
      <c r="N24" s="572"/>
      <c r="O24" s="572"/>
      <c r="P24" s="572"/>
      <c r="Q24" s="572"/>
      <c r="R24" s="572"/>
      <c r="S24" s="572"/>
      <c r="T24" s="134"/>
      <c r="U24" s="134"/>
      <c r="V24" s="134"/>
      <c r="W24" s="134"/>
      <c r="X24" s="134"/>
      <c r="Y24" s="134"/>
      <c r="Z24" s="134"/>
      <c r="AA24" s="134"/>
      <c r="AB24" s="134"/>
      <c r="AC24" s="572"/>
    </row>
    <row r="25" spans="1:29" s="676" customFormat="1" hidden="1" x14ac:dyDescent="0.25">
      <c r="A25" s="141"/>
      <c r="B25" s="299"/>
      <c r="C25" s="134"/>
      <c r="D25" s="134"/>
      <c r="E25" s="134"/>
      <c r="F25" s="134"/>
      <c r="G25" s="134"/>
      <c r="H25" s="134"/>
      <c r="I25" s="281"/>
      <c r="J25" s="572"/>
      <c r="K25" s="572"/>
      <c r="L25" s="572"/>
      <c r="M25" s="572"/>
      <c r="N25" s="572"/>
      <c r="O25" s="572"/>
      <c r="P25" s="572"/>
      <c r="Q25" s="572"/>
      <c r="R25" s="572"/>
      <c r="S25" s="572"/>
      <c r="T25" s="134"/>
      <c r="U25" s="134"/>
      <c r="V25" s="134"/>
      <c r="W25" s="134"/>
      <c r="X25" s="134"/>
      <c r="Y25" s="134"/>
      <c r="Z25" s="134"/>
      <c r="AA25" s="134"/>
      <c r="AB25" s="134"/>
      <c r="AC25" s="572"/>
    </row>
    <row r="26" spans="1:29" s="134" customFormat="1" x14ac:dyDescent="0.25">
      <c r="A26" s="141"/>
      <c r="B26" s="299"/>
      <c r="I26" s="281"/>
      <c r="J26" s="572"/>
      <c r="K26" s="572"/>
      <c r="L26" s="572"/>
      <c r="M26" s="572"/>
      <c r="N26" s="572"/>
      <c r="O26" s="572"/>
      <c r="P26" s="572"/>
      <c r="Q26" s="572"/>
      <c r="R26" s="572"/>
      <c r="S26" s="572"/>
      <c r="AC26" s="572"/>
    </row>
    <row r="27" spans="1:29" s="134" customFormat="1" x14ac:dyDescent="0.25">
      <c r="A27" s="141"/>
      <c r="B27" s="299"/>
      <c r="I27" s="281"/>
      <c r="J27" s="572"/>
      <c r="K27" s="572"/>
      <c r="L27" s="572"/>
      <c r="M27" s="572"/>
      <c r="N27" s="572"/>
      <c r="O27" s="572"/>
      <c r="P27" s="572"/>
      <c r="Q27" s="572"/>
      <c r="R27" s="572"/>
      <c r="S27" s="572"/>
      <c r="AC27" s="572"/>
    </row>
    <row r="28" spans="1:29" s="676" customFormat="1" x14ac:dyDescent="0.25">
      <c r="A28" s="141"/>
      <c r="B28" s="299"/>
      <c r="C28" s="134"/>
      <c r="D28" s="134"/>
      <c r="E28" s="134"/>
      <c r="F28" s="134"/>
      <c r="G28" s="134"/>
      <c r="H28" s="134"/>
      <c r="I28" s="281"/>
      <c r="J28" s="572"/>
      <c r="K28" s="572"/>
      <c r="L28" s="572"/>
      <c r="M28" s="572"/>
      <c r="N28" s="572"/>
      <c r="O28" s="572"/>
      <c r="P28" s="572"/>
      <c r="Q28" s="572"/>
      <c r="R28" s="572"/>
      <c r="S28" s="572"/>
      <c r="T28" s="134"/>
      <c r="U28" s="134"/>
      <c r="V28" s="134"/>
      <c r="W28" s="134"/>
      <c r="X28" s="134"/>
      <c r="Y28" s="134"/>
      <c r="Z28" s="134"/>
      <c r="AA28" s="134"/>
      <c r="AB28" s="134"/>
      <c r="AC28" s="572"/>
    </row>
    <row r="29" spans="1:29" s="676" customFormat="1" ht="29.25" hidden="1" customHeight="1" x14ac:dyDescent="0.25">
      <c r="A29" s="141"/>
      <c r="B29" s="299"/>
      <c r="C29" s="678" t="s">
        <v>243</v>
      </c>
      <c r="D29" s="681" t="s">
        <v>651</v>
      </c>
      <c r="E29" s="681" t="s">
        <v>1158</v>
      </c>
      <c r="F29" s="681" t="s">
        <v>1159</v>
      </c>
      <c r="G29" s="680" t="s">
        <v>264</v>
      </c>
      <c r="H29" s="679" t="s">
        <v>1160</v>
      </c>
      <c r="I29" s="281"/>
      <c r="J29" s="572"/>
      <c r="K29" s="572"/>
      <c r="L29" s="572"/>
      <c r="M29" s="572"/>
      <c r="N29" s="572"/>
      <c r="O29" s="572"/>
      <c r="P29" s="572"/>
      <c r="Q29" s="572"/>
      <c r="R29" s="572"/>
      <c r="S29" s="572"/>
      <c r="T29" s="134"/>
      <c r="U29" s="134"/>
      <c r="V29" s="134"/>
      <c r="W29" s="134"/>
      <c r="X29" s="134"/>
      <c r="Y29" s="134"/>
      <c r="Z29" s="134"/>
      <c r="AA29" s="134"/>
      <c r="AB29" s="134"/>
      <c r="AC29" s="572"/>
    </row>
    <row r="30" spans="1:29" s="676" customFormat="1" ht="26.25" hidden="1" customHeight="1" thickBot="1" x14ac:dyDescent="0.3">
      <c r="A30" s="141"/>
      <c r="B30" s="299"/>
      <c r="C30" s="1378">
        <f>D4</f>
        <v>0</v>
      </c>
      <c r="D30" s="1357"/>
      <c r="E30" s="1357"/>
      <c r="F30" s="1358"/>
      <c r="G30" s="1359">
        <f>D30+E30+F30</f>
        <v>0</v>
      </c>
      <c r="H30" s="1087">
        <v>5</v>
      </c>
      <c r="I30" s="281"/>
      <c r="J30" s="572"/>
      <c r="K30" s="572"/>
      <c r="L30" s="572"/>
      <c r="M30" s="572"/>
      <c r="N30" s="572"/>
      <c r="O30" s="572"/>
      <c r="P30" s="572"/>
      <c r="Q30" s="572"/>
      <c r="R30" s="572"/>
      <c r="S30" s="572"/>
      <c r="T30" s="134"/>
      <c r="U30" s="134"/>
      <c r="V30" s="134"/>
      <c r="W30" s="134"/>
      <c r="X30" s="134"/>
      <c r="Y30" s="134"/>
      <c r="Z30" s="134"/>
      <c r="AA30" s="134"/>
      <c r="AB30" s="134"/>
      <c r="AC30" s="572"/>
    </row>
    <row r="31" spans="1:29" ht="19.899999999999999" customHeight="1" thickBot="1" x14ac:dyDescent="0.3">
      <c r="A31" s="141"/>
      <c r="B31" s="288"/>
      <c r="C31" s="300"/>
      <c r="D31" s="317"/>
      <c r="E31" s="317"/>
      <c r="F31" s="317"/>
      <c r="G31" s="317"/>
      <c r="H31" s="317"/>
      <c r="I31" s="289"/>
      <c r="J31" s="572"/>
      <c r="K31" s="572"/>
      <c r="L31" s="572"/>
      <c r="M31" s="572"/>
      <c r="N31" s="572"/>
      <c r="O31" s="572"/>
      <c r="P31" s="572"/>
      <c r="Q31" s="572"/>
      <c r="R31" s="572"/>
      <c r="S31" s="572"/>
      <c r="T31" s="134"/>
      <c r="U31" s="134"/>
      <c r="V31" s="134"/>
      <c r="W31" s="134"/>
      <c r="X31" s="134"/>
      <c r="Y31" s="134"/>
      <c r="Z31" s="134"/>
      <c r="AA31" s="134"/>
      <c r="AB31" s="134"/>
      <c r="AC31" s="572"/>
    </row>
    <row r="32" spans="1:29" ht="33" customHeight="1" thickBot="1" x14ac:dyDescent="0.3">
      <c r="A32" s="141"/>
      <c r="B32" s="141"/>
      <c r="C32" s="287"/>
      <c r="D32" s="142"/>
      <c r="E32" s="142"/>
      <c r="F32" s="142"/>
      <c r="G32" s="142"/>
      <c r="H32" s="142"/>
      <c r="I32" s="141"/>
      <c r="J32" s="572"/>
      <c r="K32" s="572"/>
      <c r="L32" s="572"/>
      <c r="M32" s="572"/>
      <c r="N32" s="572"/>
      <c r="O32" s="572"/>
      <c r="P32" s="572"/>
      <c r="Q32" s="572"/>
      <c r="R32" s="572"/>
      <c r="S32" s="572"/>
      <c r="T32" s="134"/>
      <c r="U32" s="134"/>
      <c r="V32" s="134"/>
      <c r="W32" s="134"/>
      <c r="X32" s="134"/>
      <c r="Y32" s="134"/>
      <c r="Z32" s="134"/>
      <c r="AA32" s="134"/>
      <c r="AB32" s="134"/>
      <c r="AC32" s="572"/>
    </row>
    <row r="33" spans="1:29" ht="19.899999999999999" customHeight="1" thickBot="1" x14ac:dyDescent="0.3">
      <c r="A33" s="141"/>
      <c r="B33" s="1791" t="s">
        <v>1161</v>
      </c>
      <c r="C33" s="1792"/>
      <c r="D33" s="1792"/>
      <c r="E33" s="1792"/>
      <c r="F33" s="1792"/>
      <c r="G33" s="1792"/>
      <c r="H33" s="1792"/>
      <c r="I33" s="1793"/>
      <c r="J33" s="572"/>
      <c r="K33" s="572"/>
      <c r="L33" s="572"/>
      <c r="M33" s="572"/>
      <c r="N33" s="572"/>
      <c r="O33" s="572"/>
      <c r="P33" s="572"/>
      <c r="Q33" s="572"/>
      <c r="R33" s="572"/>
      <c r="S33" s="572"/>
      <c r="T33" s="134"/>
      <c r="U33" s="134"/>
      <c r="V33" s="134"/>
      <c r="W33" s="134"/>
      <c r="X33" s="134"/>
      <c r="Y33" s="134"/>
      <c r="Z33" s="134"/>
      <c r="AA33" s="134"/>
      <c r="AB33" s="134"/>
      <c r="AC33" s="572"/>
    </row>
    <row r="34" spans="1:29" ht="19.899999999999999" customHeight="1" x14ac:dyDescent="0.25">
      <c r="A34" s="141"/>
      <c r="B34" s="1782"/>
      <c r="C34" s="1783"/>
      <c r="D34" s="1783"/>
      <c r="E34" s="1783"/>
      <c r="F34" s="1783"/>
      <c r="G34" s="1783"/>
      <c r="H34" s="1783"/>
      <c r="I34" s="1784"/>
      <c r="J34" s="572"/>
      <c r="K34" s="572"/>
      <c r="L34" s="572"/>
      <c r="M34" s="572"/>
      <c r="N34" s="572"/>
      <c r="O34" s="572"/>
      <c r="P34" s="572"/>
      <c r="Q34" s="572"/>
      <c r="R34" s="572"/>
      <c r="S34" s="572"/>
      <c r="T34" s="134"/>
      <c r="U34" s="134"/>
      <c r="V34" s="134"/>
      <c r="W34" s="134"/>
      <c r="X34" s="134"/>
      <c r="Y34" s="134"/>
      <c r="Z34" s="134"/>
      <c r="AA34" s="134"/>
      <c r="AB34" s="134"/>
      <c r="AC34" s="572"/>
    </row>
    <row r="35" spans="1:29" ht="19.899999999999999" customHeight="1" x14ac:dyDescent="0.25">
      <c r="A35" s="141"/>
      <c r="B35" s="1785"/>
      <c r="C35" s="1786"/>
      <c r="D35" s="1786"/>
      <c r="E35" s="1786"/>
      <c r="F35" s="1786"/>
      <c r="G35" s="1786"/>
      <c r="H35" s="1786"/>
      <c r="I35" s="1787"/>
      <c r="J35" s="572"/>
      <c r="K35" s="572"/>
      <c r="L35" s="572"/>
      <c r="M35" s="572"/>
      <c r="N35" s="572"/>
      <c r="O35" s="572"/>
      <c r="P35" s="572"/>
      <c r="Q35" s="572"/>
      <c r="R35" s="572"/>
      <c r="S35" s="572"/>
      <c r="T35" s="134"/>
      <c r="U35" s="134"/>
      <c r="V35" s="134"/>
      <c r="W35" s="134"/>
      <c r="X35" s="134"/>
      <c r="Y35" s="134"/>
      <c r="Z35" s="134"/>
      <c r="AA35" s="134"/>
      <c r="AB35" s="134"/>
      <c r="AC35" s="572"/>
    </row>
    <row r="36" spans="1:29" ht="19.899999999999999" customHeight="1" x14ac:dyDescent="0.25">
      <c r="A36" s="141"/>
      <c r="B36" s="1785"/>
      <c r="C36" s="1786"/>
      <c r="D36" s="1786"/>
      <c r="E36" s="1786"/>
      <c r="F36" s="1786"/>
      <c r="G36" s="1786"/>
      <c r="H36" s="1786"/>
      <c r="I36" s="1787"/>
      <c r="J36" s="572"/>
      <c r="K36" s="572"/>
      <c r="L36" s="572"/>
      <c r="M36" s="572"/>
      <c r="N36" s="572"/>
      <c r="O36" s="572"/>
      <c r="P36" s="572"/>
      <c r="Q36" s="572"/>
      <c r="R36" s="572"/>
      <c r="S36" s="572"/>
      <c r="T36" s="134"/>
      <c r="U36" s="134"/>
      <c r="V36" s="134"/>
      <c r="W36" s="134"/>
      <c r="X36" s="134"/>
      <c r="Y36" s="134"/>
      <c r="Z36" s="134"/>
      <c r="AA36" s="134"/>
      <c r="AB36" s="134"/>
      <c r="AC36" s="572"/>
    </row>
    <row r="37" spans="1:29" ht="27" customHeight="1" x14ac:dyDescent="0.25">
      <c r="A37" s="141"/>
      <c r="B37" s="1785"/>
      <c r="C37" s="1786"/>
      <c r="D37" s="1786"/>
      <c r="E37" s="1786"/>
      <c r="F37" s="1786"/>
      <c r="G37" s="1786"/>
      <c r="H37" s="1786"/>
      <c r="I37" s="1787"/>
      <c r="J37" s="572"/>
      <c r="K37" s="572"/>
      <c r="L37" s="572"/>
      <c r="M37" s="572"/>
      <c r="N37" s="572"/>
      <c r="O37" s="572"/>
      <c r="P37" s="572"/>
      <c r="Q37" s="572"/>
      <c r="R37" s="572"/>
      <c r="S37" s="572"/>
      <c r="T37" s="134"/>
      <c r="U37" s="134"/>
      <c r="V37" s="134"/>
      <c r="W37" s="134"/>
      <c r="X37" s="134"/>
      <c r="Y37" s="134"/>
      <c r="Z37" s="134"/>
      <c r="AA37" s="134"/>
      <c r="AB37" s="134"/>
      <c r="AC37" s="572"/>
    </row>
    <row r="38" spans="1:29" ht="15.6" customHeight="1" x14ac:dyDescent="0.25">
      <c r="A38" s="141"/>
      <c r="B38" s="1785"/>
      <c r="C38" s="1786"/>
      <c r="D38" s="1786"/>
      <c r="E38" s="1786"/>
      <c r="F38" s="1786"/>
      <c r="G38" s="1786"/>
      <c r="H38" s="1786"/>
      <c r="I38" s="1787"/>
      <c r="J38" s="572"/>
      <c r="K38" s="572"/>
      <c r="L38" s="572"/>
      <c r="M38" s="572"/>
      <c r="N38" s="572"/>
      <c r="O38" s="572"/>
      <c r="P38" s="572"/>
      <c r="Q38" s="572"/>
      <c r="R38" s="572"/>
      <c r="S38" s="572"/>
      <c r="T38" s="134"/>
      <c r="U38" s="134"/>
      <c r="V38" s="134"/>
      <c r="W38" s="134"/>
      <c r="X38" s="134"/>
      <c r="Y38" s="134"/>
      <c r="Z38" s="134"/>
      <c r="AA38" s="134"/>
      <c r="AB38" s="134"/>
      <c r="AC38" s="572"/>
    </row>
    <row r="39" spans="1:29" ht="27.75" customHeight="1" thickBot="1" x14ac:dyDescent="0.3">
      <c r="A39" s="134"/>
      <c r="B39" s="1788"/>
      <c r="C39" s="1789"/>
      <c r="D39" s="1789"/>
      <c r="E39" s="1789"/>
      <c r="F39" s="1789"/>
      <c r="G39" s="1789"/>
      <c r="H39" s="1789"/>
      <c r="I39" s="1790"/>
      <c r="J39" s="572"/>
      <c r="K39" s="572"/>
      <c r="L39" s="572"/>
      <c r="M39" s="572"/>
      <c r="N39" s="572"/>
      <c r="O39" s="572"/>
      <c r="P39" s="572"/>
      <c r="Q39" s="572"/>
      <c r="R39" s="572"/>
      <c r="S39" s="572"/>
      <c r="T39" s="134"/>
      <c r="U39" s="134"/>
      <c r="V39" s="134"/>
      <c r="W39" s="134"/>
      <c r="X39" s="134"/>
      <c r="Y39" s="134"/>
      <c r="Z39" s="134"/>
      <c r="AA39" s="134"/>
      <c r="AB39" s="134"/>
      <c r="AC39" s="572"/>
    </row>
    <row r="40" spans="1:29" x14ac:dyDescent="0.25">
      <c r="A40" s="134"/>
      <c r="B40" s="141"/>
      <c r="C40" s="287"/>
      <c r="D40" s="142"/>
      <c r="E40" s="142"/>
      <c r="F40" s="142"/>
      <c r="G40" s="142"/>
      <c r="H40" s="142"/>
      <c r="I40" s="141"/>
      <c r="J40" s="572"/>
      <c r="K40" s="572"/>
      <c r="L40" s="572"/>
      <c r="M40" s="572"/>
      <c r="N40" s="572"/>
      <c r="O40" s="572"/>
      <c r="P40" s="572"/>
      <c r="Q40" s="572"/>
      <c r="R40" s="572"/>
      <c r="S40" s="572"/>
      <c r="T40" s="134"/>
      <c r="U40" s="134"/>
      <c r="V40" s="134"/>
      <c r="W40" s="134"/>
      <c r="X40" s="134"/>
      <c r="Y40" s="134"/>
      <c r="Z40" s="134"/>
      <c r="AA40" s="134"/>
      <c r="AB40" s="134"/>
      <c r="AC40" s="572"/>
    </row>
    <row r="41" spans="1:29" ht="15.75" hidden="1" thickBot="1" x14ac:dyDescent="0.3">
      <c r="A41" s="134"/>
      <c r="B41" s="1794" t="s">
        <v>1096</v>
      </c>
      <c r="C41" s="1795"/>
      <c r="D41" s="1795"/>
      <c r="E41" s="1795"/>
      <c r="F41" s="1795"/>
      <c r="G41" s="1795"/>
      <c r="H41" s="1795"/>
      <c r="I41" s="1796"/>
      <c r="J41" s="572"/>
      <c r="K41" s="572"/>
      <c r="L41" s="572"/>
      <c r="M41" s="572"/>
      <c r="N41" s="572"/>
      <c r="O41" s="572"/>
      <c r="P41" s="572"/>
      <c r="Q41" s="572"/>
      <c r="R41" s="572"/>
      <c r="S41" s="572"/>
      <c r="T41" s="134"/>
      <c r="U41" s="134"/>
      <c r="V41" s="134"/>
      <c r="W41" s="134"/>
      <c r="X41" s="134"/>
      <c r="Y41" s="134"/>
      <c r="Z41" s="134"/>
      <c r="AA41" s="134"/>
      <c r="AB41" s="134"/>
      <c r="AC41" s="572"/>
    </row>
    <row r="42" spans="1:29" hidden="1" x14ac:dyDescent="0.25">
      <c r="A42" s="134"/>
      <c r="B42" s="1782"/>
      <c r="C42" s="1783"/>
      <c r="D42" s="1783"/>
      <c r="E42" s="1783"/>
      <c r="F42" s="1783"/>
      <c r="G42" s="1783"/>
      <c r="H42" s="1783"/>
      <c r="I42" s="1784"/>
      <c r="J42" s="572"/>
      <c r="K42" s="572"/>
      <c r="L42" s="572"/>
      <c r="M42" s="572"/>
      <c r="N42" s="572"/>
      <c r="O42" s="572"/>
      <c r="P42" s="572"/>
      <c r="Q42" s="572"/>
      <c r="R42" s="572"/>
      <c r="S42" s="572"/>
      <c r="T42" s="134"/>
      <c r="U42" s="134"/>
      <c r="V42" s="134"/>
      <c r="W42" s="134"/>
      <c r="X42" s="134"/>
      <c r="Y42" s="134"/>
      <c r="Z42" s="134"/>
      <c r="AA42" s="134"/>
      <c r="AB42" s="134"/>
      <c r="AC42" s="572"/>
    </row>
    <row r="43" spans="1:29" hidden="1" x14ac:dyDescent="0.25">
      <c r="A43" s="134"/>
      <c r="B43" s="1785"/>
      <c r="C43" s="1786"/>
      <c r="D43" s="1786"/>
      <c r="E43" s="1786"/>
      <c r="F43" s="1786"/>
      <c r="G43" s="1786"/>
      <c r="H43" s="1786"/>
      <c r="I43" s="1787"/>
      <c r="J43" s="572"/>
      <c r="K43" s="572"/>
      <c r="L43" s="572"/>
      <c r="M43" s="572"/>
      <c r="N43" s="572"/>
      <c r="O43" s="572"/>
      <c r="P43" s="572"/>
      <c r="Q43" s="572"/>
      <c r="R43" s="572"/>
      <c r="S43" s="572"/>
      <c r="T43" s="134"/>
      <c r="U43" s="134"/>
      <c r="V43" s="134"/>
      <c r="W43" s="134"/>
      <c r="X43" s="134"/>
      <c r="Y43" s="134"/>
      <c r="Z43" s="134"/>
      <c r="AA43" s="134"/>
      <c r="AB43" s="134"/>
      <c r="AC43" s="572"/>
    </row>
    <row r="44" spans="1:29" hidden="1" x14ac:dyDescent="0.25">
      <c r="A44" s="134"/>
      <c r="B44" s="1785"/>
      <c r="C44" s="1786"/>
      <c r="D44" s="1786"/>
      <c r="E44" s="1786"/>
      <c r="F44" s="1786"/>
      <c r="G44" s="1786"/>
      <c r="H44" s="1786"/>
      <c r="I44" s="1787"/>
      <c r="J44" s="572"/>
      <c r="K44" s="572"/>
      <c r="L44" s="572"/>
      <c r="M44" s="572"/>
      <c r="N44" s="572"/>
      <c r="O44" s="572"/>
      <c r="P44" s="572"/>
      <c r="Q44" s="572"/>
      <c r="R44" s="572"/>
      <c r="S44" s="572"/>
      <c r="T44" s="134"/>
      <c r="U44" s="134"/>
      <c r="V44" s="134"/>
      <c r="W44" s="134"/>
      <c r="X44" s="134"/>
      <c r="Y44" s="134"/>
      <c r="Z44" s="134"/>
      <c r="AA44" s="134"/>
      <c r="AB44" s="134"/>
      <c r="AC44" s="572"/>
    </row>
    <row r="45" spans="1:29" hidden="1" x14ac:dyDescent="0.25">
      <c r="A45" s="134"/>
      <c r="B45" s="1785"/>
      <c r="C45" s="1786"/>
      <c r="D45" s="1786"/>
      <c r="E45" s="1786"/>
      <c r="F45" s="1786"/>
      <c r="G45" s="1786"/>
      <c r="H45" s="1786"/>
      <c r="I45" s="1787"/>
      <c r="J45" s="572"/>
      <c r="K45" s="572"/>
      <c r="L45" s="572"/>
      <c r="M45" s="572"/>
      <c r="N45" s="572"/>
      <c r="O45" s="572"/>
      <c r="P45" s="572"/>
      <c r="Q45" s="572"/>
      <c r="R45" s="572"/>
      <c r="S45" s="572"/>
      <c r="T45" s="134"/>
      <c r="U45" s="134"/>
      <c r="V45" s="134"/>
      <c r="W45" s="134"/>
      <c r="X45" s="134"/>
      <c r="Y45" s="134"/>
      <c r="Z45" s="134"/>
      <c r="AA45" s="134"/>
      <c r="AB45" s="134"/>
      <c r="AC45" s="572"/>
    </row>
    <row r="46" spans="1:29" hidden="1" x14ac:dyDescent="0.25">
      <c r="A46" s="134"/>
      <c r="B46" s="1785"/>
      <c r="C46" s="1786"/>
      <c r="D46" s="1786"/>
      <c r="E46" s="1786"/>
      <c r="F46" s="1786"/>
      <c r="G46" s="1786"/>
      <c r="H46" s="1786"/>
      <c r="I46" s="1787"/>
      <c r="J46" s="572"/>
      <c r="K46" s="572"/>
      <c r="L46" s="572"/>
      <c r="M46" s="572"/>
      <c r="N46" s="572"/>
      <c r="O46" s="572"/>
      <c r="P46" s="572"/>
      <c r="Q46" s="572"/>
      <c r="R46" s="572"/>
      <c r="S46" s="572"/>
      <c r="T46" s="134"/>
      <c r="U46" s="134"/>
      <c r="V46" s="134"/>
      <c r="W46" s="134"/>
      <c r="X46" s="134"/>
      <c r="Y46" s="134"/>
      <c r="Z46" s="134"/>
      <c r="AA46" s="134"/>
      <c r="AB46" s="134"/>
      <c r="AC46" s="572"/>
    </row>
    <row r="47" spans="1:29" ht="15.75" hidden="1" thickBot="1" x14ac:dyDescent="0.3">
      <c r="A47" s="134"/>
      <c r="B47" s="1788"/>
      <c r="C47" s="1789"/>
      <c r="D47" s="1789"/>
      <c r="E47" s="1789"/>
      <c r="F47" s="1789"/>
      <c r="G47" s="1789"/>
      <c r="H47" s="1789"/>
      <c r="I47" s="1790"/>
      <c r="J47" s="572"/>
      <c r="K47" s="572"/>
      <c r="L47" s="572"/>
      <c r="M47" s="572"/>
      <c r="N47" s="572"/>
      <c r="O47" s="572"/>
      <c r="P47" s="572"/>
      <c r="Q47" s="572"/>
      <c r="R47" s="572"/>
      <c r="S47" s="572"/>
      <c r="T47" s="134"/>
      <c r="U47" s="134"/>
      <c r="V47" s="134"/>
      <c r="W47" s="134"/>
      <c r="X47" s="134"/>
      <c r="Y47" s="134"/>
      <c r="Z47" s="134"/>
      <c r="AA47" s="134"/>
      <c r="AB47" s="134"/>
      <c r="AC47" s="572"/>
    </row>
    <row r="48" spans="1:29" hidden="1" x14ac:dyDescent="0.25">
      <c r="A48" s="134"/>
      <c r="B48" s="134"/>
      <c r="C48" s="134"/>
      <c r="D48" s="134"/>
      <c r="E48" s="134"/>
      <c r="F48" s="134"/>
      <c r="G48" s="134"/>
      <c r="H48" s="134"/>
      <c r="I48" s="134"/>
      <c r="J48" s="572"/>
      <c r="K48" s="572"/>
      <c r="L48" s="572"/>
      <c r="M48" s="572"/>
      <c r="N48" s="572"/>
      <c r="O48" s="572"/>
      <c r="P48" s="572"/>
      <c r="Q48" s="572"/>
      <c r="R48" s="572"/>
      <c r="S48" s="572"/>
      <c r="T48" s="134"/>
      <c r="U48" s="134"/>
      <c r="V48" s="134"/>
      <c r="W48" s="134"/>
      <c r="X48" s="134"/>
      <c r="Y48" s="134"/>
      <c r="Z48" s="134"/>
      <c r="AA48" s="134"/>
      <c r="AB48" s="134"/>
      <c r="AC48" s="572"/>
    </row>
    <row r="49" spans="1:29" x14ac:dyDescent="0.25">
      <c r="A49" s="134"/>
      <c r="B49" s="134"/>
      <c r="C49" s="134"/>
      <c r="D49" s="134"/>
      <c r="E49" s="134"/>
      <c r="F49" s="134"/>
      <c r="G49" s="134"/>
      <c r="H49" s="134"/>
      <c r="I49" s="134"/>
      <c r="J49" s="572"/>
      <c r="K49" s="572"/>
      <c r="L49" s="572"/>
      <c r="M49" s="572"/>
      <c r="N49" s="572"/>
      <c r="O49" s="572"/>
      <c r="P49" s="572"/>
      <c r="Q49" s="572"/>
      <c r="R49" s="572"/>
      <c r="S49" s="572"/>
      <c r="T49" s="134"/>
      <c r="U49" s="134"/>
      <c r="V49" s="134"/>
      <c r="W49" s="134"/>
      <c r="X49" s="134"/>
      <c r="Y49" s="134"/>
      <c r="Z49" s="134"/>
      <c r="AA49" s="134"/>
      <c r="AB49" s="134"/>
      <c r="AC49" s="572"/>
    </row>
    <row r="50" spans="1:29" x14ac:dyDescent="0.25">
      <c r="A50" s="134"/>
      <c r="B50" s="134"/>
      <c r="C50" s="134"/>
      <c r="D50" s="134"/>
      <c r="E50" s="134"/>
      <c r="F50" s="134"/>
      <c r="G50" s="134"/>
      <c r="H50" s="134"/>
      <c r="I50" s="134"/>
      <c r="J50" s="572"/>
      <c r="K50" s="572"/>
      <c r="L50" s="572"/>
      <c r="M50" s="572"/>
      <c r="N50" s="572"/>
      <c r="O50" s="572"/>
      <c r="P50" s="572"/>
      <c r="Q50" s="572"/>
      <c r="R50" s="572"/>
      <c r="S50" s="572"/>
      <c r="T50" s="134"/>
      <c r="U50" s="134"/>
      <c r="V50" s="134"/>
      <c r="W50" s="134"/>
      <c r="X50" s="134"/>
      <c r="Y50" s="134"/>
      <c r="Z50" s="134"/>
      <c r="AA50" s="134"/>
      <c r="AB50" s="134"/>
      <c r="AC50" s="572"/>
    </row>
    <row r="51" spans="1:29" x14ac:dyDescent="0.25">
      <c r="A51" s="134"/>
      <c r="B51" s="134"/>
      <c r="C51" s="134"/>
      <c r="D51" s="134"/>
      <c r="E51" s="134"/>
      <c r="F51" s="134"/>
      <c r="G51" s="134"/>
      <c r="H51" s="134"/>
      <c r="I51" s="134"/>
      <c r="J51" s="572"/>
      <c r="K51" s="572"/>
      <c r="L51" s="572"/>
      <c r="M51" s="572"/>
      <c r="N51" s="572"/>
      <c r="O51" s="572"/>
      <c r="P51" s="572"/>
      <c r="Q51" s="572"/>
      <c r="R51" s="572"/>
      <c r="S51" s="572"/>
      <c r="T51" s="134"/>
      <c r="U51" s="134"/>
      <c r="V51" s="134"/>
      <c r="W51" s="134"/>
      <c r="X51" s="134"/>
      <c r="Y51" s="134"/>
      <c r="Z51" s="134"/>
      <c r="AA51" s="134"/>
      <c r="AB51" s="134"/>
      <c r="AC51" s="572"/>
    </row>
    <row r="52" spans="1:29" x14ac:dyDescent="0.25">
      <c r="A52" s="141"/>
      <c r="B52" s="134"/>
      <c r="C52" s="134"/>
      <c r="D52" s="134"/>
      <c r="E52" s="134"/>
      <c r="F52" s="134"/>
      <c r="G52" s="134"/>
      <c r="H52" s="134"/>
      <c r="I52" s="134"/>
      <c r="J52" s="572"/>
      <c r="K52" s="572"/>
      <c r="L52" s="572"/>
      <c r="M52" s="572"/>
      <c r="N52" s="572"/>
      <c r="O52" s="572"/>
      <c r="P52" s="572"/>
      <c r="Q52" s="572"/>
      <c r="R52" s="572"/>
      <c r="S52" s="572"/>
      <c r="T52" s="134"/>
      <c r="U52" s="134"/>
      <c r="V52" s="134"/>
      <c r="W52" s="134"/>
      <c r="X52" s="134"/>
      <c r="Y52" s="134"/>
      <c r="Z52" s="134"/>
      <c r="AA52" s="134"/>
      <c r="AB52" s="134"/>
      <c r="AC52" s="572"/>
    </row>
    <row r="53" spans="1:29" x14ac:dyDescent="0.25">
      <c r="A53" s="141"/>
      <c r="B53" s="134"/>
      <c r="C53" s="134"/>
      <c r="D53" s="134"/>
      <c r="E53" s="134"/>
      <c r="F53" s="134"/>
      <c r="G53" s="134"/>
      <c r="H53" s="134"/>
      <c r="I53" s="134"/>
      <c r="J53" s="572"/>
      <c r="K53" s="572"/>
      <c r="L53" s="572"/>
      <c r="M53" s="572"/>
      <c r="N53" s="572"/>
      <c r="O53" s="572"/>
      <c r="P53" s="572"/>
      <c r="Q53" s="572"/>
      <c r="R53" s="572"/>
      <c r="S53" s="572"/>
      <c r="T53" s="134"/>
      <c r="U53" s="134"/>
      <c r="V53" s="134"/>
      <c r="W53" s="134"/>
      <c r="X53" s="134"/>
      <c r="Y53" s="134"/>
      <c r="Z53" s="134"/>
      <c r="AA53" s="134"/>
      <c r="AB53" s="134"/>
      <c r="AC53" s="572"/>
    </row>
    <row r="54" spans="1:29" x14ac:dyDescent="0.25">
      <c r="A54" s="141"/>
      <c r="B54" s="134"/>
      <c r="C54" s="134"/>
      <c r="D54" s="134"/>
      <c r="E54" s="134"/>
      <c r="F54" s="134"/>
      <c r="G54" s="134"/>
      <c r="H54" s="134"/>
      <c r="I54" s="134"/>
      <c r="J54" s="572"/>
      <c r="K54" s="572"/>
      <c r="L54" s="572"/>
      <c r="M54" s="572"/>
      <c r="N54" s="572"/>
      <c r="O54" s="572"/>
      <c r="P54" s="572"/>
      <c r="Q54" s="572"/>
      <c r="R54" s="572"/>
      <c r="S54" s="572"/>
      <c r="T54" s="134"/>
      <c r="U54" s="134"/>
      <c r="V54" s="134"/>
      <c r="W54" s="134"/>
      <c r="X54" s="134"/>
      <c r="Y54" s="134"/>
      <c r="Z54" s="134"/>
      <c r="AA54" s="134"/>
      <c r="AB54" s="134"/>
      <c r="AC54" s="572"/>
    </row>
    <row r="55" spans="1:29" x14ac:dyDescent="0.25">
      <c r="A55" s="141"/>
      <c r="B55" s="141"/>
      <c r="C55" s="141"/>
      <c r="D55" s="141"/>
      <c r="E55" s="141"/>
      <c r="F55" s="141"/>
      <c r="G55" s="141"/>
      <c r="H55" s="141"/>
      <c r="I55" s="141"/>
      <c r="J55" s="572"/>
      <c r="K55" s="572"/>
      <c r="L55" s="572"/>
      <c r="M55" s="572"/>
      <c r="N55" s="572"/>
      <c r="O55" s="572"/>
      <c r="P55" s="572"/>
      <c r="Q55" s="572"/>
      <c r="R55" s="572"/>
      <c r="S55" s="572"/>
      <c r="T55" s="134"/>
      <c r="U55" s="134"/>
      <c r="V55" s="134"/>
      <c r="W55" s="134"/>
      <c r="X55" s="134"/>
      <c r="Y55" s="134"/>
      <c r="Z55" s="134"/>
      <c r="AA55" s="134"/>
      <c r="AB55" s="134"/>
      <c r="AC55" s="572"/>
    </row>
    <row r="56" spans="1:29" x14ac:dyDescent="0.25">
      <c r="A56" s="141"/>
      <c r="B56" s="141"/>
      <c r="C56" s="141"/>
      <c r="D56" s="141"/>
      <c r="E56" s="141"/>
      <c r="F56" s="141"/>
      <c r="G56" s="141"/>
      <c r="H56" s="141"/>
      <c r="I56" s="141"/>
      <c r="J56" s="572"/>
      <c r="K56" s="572"/>
      <c r="L56" s="572"/>
      <c r="M56" s="572"/>
      <c r="N56" s="572"/>
      <c r="O56" s="572"/>
      <c r="P56" s="572"/>
      <c r="Q56" s="572"/>
      <c r="R56" s="572"/>
      <c r="S56" s="572"/>
      <c r="T56" s="134"/>
      <c r="U56" s="134"/>
      <c r="V56" s="134"/>
      <c r="W56" s="134"/>
      <c r="X56" s="134"/>
      <c r="Y56" s="134"/>
      <c r="Z56" s="134"/>
      <c r="AA56" s="134"/>
      <c r="AB56" s="134"/>
      <c r="AC56" s="572"/>
    </row>
    <row r="57" spans="1:29" x14ac:dyDescent="0.25">
      <c r="A57" s="141"/>
      <c r="B57" s="141"/>
      <c r="C57" s="141"/>
      <c r="D57" s="141"/>
      <c r="E57" s="141"/>
      <c r="F57" s="141"/>
      <c r="G57" s="141"/>
      <c r="H57" s="141"/>
      <c r="I57" s="141"/>
      <c r="J57" s="572"/>
      <c r="K57" s="572"/>
      <c r="L57" s="572"/>
      <c r="M57" s="572"/>
      <c r="N57" s="572"/>
      <c r="O57" s="572"/>
      <c r="P57" s="572"/>
      <c r="Q57" s="572"/>
      <c r="R57" s="572"/>
      <c r="S57" s="572"/>
      <c r="T57" s="134"/>
      <c r="U57" s="134"/>
      <c r="V57" s="134"/>
      <c r="W57" s="134"/>
      <c r="X57" s="134"/>
      <c r="Y57" s="134"/>
      <c r="Z57" s="134"/>
      <c r="AA57" s="134"/>
      <c r="AB57" s="134"/>
      <c r="AC57" s="572"/>
    </row>
    <row r="58" spans="1:29" x14ac:dyDescent="0.25">
      <c r="A58" s="141"/>
      <c r="B58" s="141"/>
      <c r="C58" s="141"/>
      <c r="D58" s="141"/>
      <c r="E58" s="141"/>
      <c r="F58" s="141"/>
      <c r="G58" s="141"/>
      <c r="H58" s="141"/>
      <c r="I58" s="141"/>
      <c r="J58" s="572"/>
      <c r="K58" s="572"/>
      <c r="L58" s="572"/>
      <c r="M58" s="572"/>
      <c r="N58" s="572"/>
      <c r="O58" s="572"/>
      <c r="P58" s="572"/>
      <c r="Q58" s="572"/>
      <c r="R58" s="572"/>
      <c r="S58" s="572"/>
      <c r="T58" s="134"/>
      <c r="U58" s="134"/>
      <c r="V58" s="134"/>
      <c r="W58" s="134"/>
      <c r="X58" s="134"/>
      <c r="Y58" s="134"/>
      <c r="Z58" s="134"/>
      <c r="AA58" s="134"/>
      <c r="AB58" s="134"/>
      <c r="AC58" s="572"/>
    </row>
    <row r="59" spans="1:29" x14ac:dyDescent="0.25">
      <c r="A59" s="141"/>
      <c r="B59" s="141"/>
      <c r="C59" s="141"/>
      <c r="D59" s="141"/>
      <c r="E59" s="141"/>
      <c r="F59" s="141"/>
      <c r="G59" s="141"/>
      <c r="H59" s="141"/>
      <c r="I59" s="141"/>
      <c r="J59" s="572"/>
      <c r="K59" s="572"/>
      <c r="L59" s="572"/>
      <c r="M59" s="572"/>
      <c r="N59" s="572"/>
      <c r="O59" s="572"/>
      <c r="P59" s="572"/>
      <c r="Q59" s="572"/>
      <c r="R59" s="572"/>
      <c r="S59" s="572"/>
      <c r="T59" s="134"/>
      <c r="U59" s="134"/>
      <c r="V59" s="134"/>
      <c r="W59" s="134"/>
      <c r="X59" s="134"/>
      <c r="Y59" s="134"/>
      <c r="Z59" s="134"/>
      <c r="AA59" s="134"/>
      <c r="AB59" s="134"/>
      <c r="AC59" s="572"/>
    </row>
    <row r="60" spans="1:29" x14ac:dyDescent="0.25">
      <c r="A60" s="141"/>
      <c r="B60" s="141"/>
      <c r="C60" s="141"/>
      <c r="D60" s="141"/>
      <c r="E60" s="141"/>
      <c r="F60" s="141"/>
      <c r="G60" s="141"/>
      <c r="H60" s="141"/>
      <c r="I60" s="141"/>
      <c r="J60" s="572"/>
      <c r="K60" s="572"/>
      <c r="L60" s="572"/>
      <c r="M60" s="572"/>
      <c r="N60" s="572"/>
      <c r="O60" s="572"/>
      <c r="P60" s="572"/>
      <c r="Q60" s="572"/>
      <c r="R60" s="572"/>
      <c r="S60" s="572"/>
      <c r="T60" s="134"/>
      <c r="U60" s="134"/>
      <c r="V60" s="134"/>
      <c r="W60" s="134"/>
      <c r="X60" s="134"/>
      <c r="Y60" s="134"/>
      <c r="Z60" s="134"/>
      <c r="AA60" s="134"/>
      <c r="AB60" s="134"/>
      <c r="AC60" s="572"/>
    </row>
    <row r="61" spans="1:29" x14ac:dyDescent="0.25">
      <c r="A61" s="141"/>
      <c r="B61" s="141"/>
      <c r="C61" s="141"/>
      <c r="D61" s="141"/>
      <c r="E61" s="141"/>
      <c r="F61" s="141"/>
      <c r="G61" s="141"/>
      <c r="H61" s="141"/>
      <c r="I61" s="141"/>
      <c r="J61" s="572"/>
      <c r="K61" s="572"/>
      <c r="L61" s="572"/>
      <c r="M61" s="572"/>
      <c r="N61" s="572"/>
      <c r="O61" s="572"/>
      <c r="P61" s="572"/>
      <c r="Q61" s="572"/>
      <c r="R61" s="572"/>
      <c r="S61" s="572"/>
      <c r="T61" s="134"/>
      <c r="U61" s="134"/>
      <c r="V61" s="134"/>
      <c r="W61" s="134"/>
      <c r="X61" s="134"/>
      <c r="Y61" s="134"/>
      <c r="Z61" s="134"/>
      <c r="AA61" s="134"/>
      <c r="AB61" s="134"/>
      <c r="AC61" s="572"/>
    </row>
    <row r="62" spans="1:29" x14ac:dyDescent="0.25">
      <c r="A62" s="141"/>
      <c r="B62" s="141"/>
      <c r="C62" s="141"/>
      <c r="D62" s="141"/>
      <c r="E62" s="141"/>
      <c r="F62" s="141"/>
      <c r="G62" s="141"/>
      <c r="H62" s="141"/>
      <c r="I62" s="141"/>
      <c r="J62" s="572"/>
      <c r="K62" s="572"/>
      <c r="L62" s="572"/>
      <c r="M62" s="572"/>
      <c r="N62" s="572"/>
      <c r="O62" s="572"/>
      <c r="P62" s="572"/>
      <c r="Q62" s="572"/>
      <c r="R62" s="572"/>
      <c r="S62" s="572"/>
      <c r="T62" s="134"/>
      <c r="U62" s="134"/>
      <c r="V62" s="134"/>
      <c r="W62" s="134"/>
      <c r="X62" s="134"/>
      <c r="Y62" s="134"/>
      <c r="Z62" s="134"/>
      <c r="AA62" s="134"/>
      <c r="AB62" s="134"/>
      <c r="AC62" s="572"/>
    </row>
    <row r="63" spans="1:29" x14ac:dyDescent="0.25">
      <c r="A63" s="134"/>
      <c r="B63" s="141"/>
      <c r="C63" s="141"/>
      <c r="D63" s="141"/>
      <c r="E63" s="141"/>
      <c r="F63" s="141"/>
      <c r="G63" s="141"/>
      <c r="H63" s="141"/>
      <c r="I63" s="141"/>
      <c r="J63" s="572"/>
      <c r="K63" s="572"/>
      <c r="L63" s="572"/>
      <c r="M63" s="572"/>
      <c r="N63" s="572"/>
      <c r="O63" s="572"/>
      <c r="P63" s="572"/>
      <c r="Q63" s="572"/>
      <c r="R63" s="572"/>
      <c r="S63" s="572"/>
      <c r="T63" s="134"/>
      <c r="U63" s="134"/>
      <c r="V63" s="134"/>
      <c r="W63" s="134"/>
      <c r="X63" s="134"/>
      <c r="Y63" s="134"/>
      <c r="Z63" s="134"/>
      <c r="AA63" s="134"/>
      <c r="AB63" s="134"/>
      <c r="AC63" s="572"/>
    </row>
    <row r="64" spans="1:29" x14ac:dyDescent="0.25">
      <c r="A64" s="134"/>
      <c r="B64" s="141"/>
      <c r="C64" s="141"/>
      <c r="D64" s="141"/>
      <c r="E64" s="141"/>
      <c r="F64" s="141"/>
      <c r="G64" s="141"/>
      <c r="H64" s="141"/>
      <c r="I64" s="141"/>
      <c r="J64" s="572"/>
      <c r="K64" s="572"/>
      <c r="L64" s="572"/>
      <c r="M64" s="572"/>
      <c r="N64" s="572"/>
      <c r="O64" s="572"/>
      <c r="P64" s="572"/>
      <c r="Q64" s="572"/>
      <c r="R64" s="572"/>
      <c r="S64" s="572"/>
      <c r="T64" s="134"/>
      <c r="U64" s="134"/>
      <c r="V64" s="134"/>
      <c r="W64" s="134"/>
      <c r="X64" s="134"/>
      <c r="Y64" s="134"/>
      <c r="Z64" s="134"/>
      <c r="AA64" s="134"/>
      <c r="AB64" s="134"/>
      <c r="AC64" s="572"/>
    </row>
    <row r="65" spans="1:29" x14ac:dyDescent="0.25">
      <c r="A65" s="134"/>
      <c r="B65" s="141"/>
      <c r="C65" s="141"/>
      <c r="D65" s="141"/>
      <c r="E65" s="141"/>
      <c r="F65" s="141"/>
      <c r="G65" s="141"/>
      <c r="H65" s="141"/>
      <c r="I65" s="141"/>
      <c r="J65" s="572"/>
      <c r="K65" s="572"/>
      <c r="L65" s="572"/>
      <c r="M65" s="572"/>
      <c r="N65" s="572"/>
      <c r="O65" s="572"/>
      <c r="P65" s="572"/>
      <c r="Q65" s="572"/>
      <c r="R65" s="572"/>
      <c r="S65" s="572"/>
      <c r="T65" s="134"/>
      <c r="U65" s="134"/>
      <c r="V65" s="134"/>
      <c r="W65" s="134"/>
      <c r="X65" s="134"/>
      <c r="Y65" s="134"/>
      <c r="Z65" s="134"/>
      <c r="AA65" s="134"/>
      <c r="AB65" s="134"/>
      <c r="AC65" s="572"/>
    </row>
    <row r="66" spans="1:29" x14ac:dyDescent="0.25">
      <c r="A66" s="134"/>
      <c r="B66" s="134"/>
      <c r="C66" s="134"/>
      <c r="D66" s="134"/>
      <c r="E66" s="134"/>
      <c r="F66" s="134"/>
      <c r="G66" s="134"/>
      <c r="H66" s="134"/>
      <c r="I66" s="134"/>
      <c r="J66" s="572"/>
      <c r="K66" s="572"/>
      <c r="L66" s="572"/>
      <c r="M66" s="572"/>
      <c r="N66" s="572"/>
      <c r="O66" s="572"/>
      <c r="P66" s="572"/>
      <c r="Q66" s="572"/>
      <c r="R66" s="572"/>
      <c r="S66" s="572"/>
      <c r="T66" s="134"/>
      <c r="U66" s="134"/>
      <c r="V66" s="134"/>
      <c r="W66" s="134"/>
      <c r="X66" s="134"/>
      <c r="Y66" s="134"/>
      <c r="Z66" s="134"/>
      <c r="AA66" s="134"/>
      <c r="AB66" s="134"/>
      <c r="AC66" s="572"/>
    </row>
    <row r="67" spans="1:29" x14ac:dyDescent="0.25">
      <c r="A67" s="134"/>
      <c r="B67" s="134"/>
      <c r="C67" s="134"/>
      <c r="D67" s="134"/>
      <c r="E67" s="134"/>
      <c r="F67" s="134"/>
      <c r="G67" s="134"/>
      <c r="H67" s="134"/>
      <c r="I67" s="134"/>
      <c r="J67" s="572"/>
      <c r="K67" s="572"/>
      <c r="L67" s="572"/>
      <c r="M67" s="572"/>
      <c r="N67" s="572"/>
      <c r="O67" s="572"/>
      <c r="P67" s="572"/>
      <c r="Q67" s="572"/>
      <c r="R67" s="572"/>
      <c r="S67" s="572"/>
      <c r="T67" s="134"/>
      <c r="U67" s="134"/>
      <c r="V67" s="134"/>
      <c r="W67" s="134"/>
      <c r="X67" s="134"/>
      <c r="Y67" s="134"/>
      <c r="Z67" s="134"/>
      <c r="AA67" s="134"/>
      <c r="AB67" s="134"/>
      <c r="AC67" s="572"/>
    </row>
    <row r="68" spans="1:29" x14ac:dyDescent="0.25">
      <c r="A68" s="134"/>
      <c r="B68" s="134"/>
      <c r="C68" s="134"/>
      <c r="D68" s="134"/>
      <c r="E68" s="134"/>
      <c r="F68" s="134"/>
      <c r="G68" s="134"/>
      <c r="H68" s="134"/>
      <c r="I68" s="134"/>
      <c r="J68" s="572"/>
      <c r="K68" s="572"/>
      <c r="L68" s="572"/>
      <c r="M68" s="572"/>
      <c r="N68" s="572"/>
      <c r="O68" s="572"/>
      <c r="P68" s="572"/>
      <c r="Q68" s="572"/>
      <c r="R68" s="572"/>
      <c r="S68" s="572"/>
      <c r="T68" s="134"/>
      <c r="U68" s="134"/>
      <c r="V68" s="134"/>
      <c r="W68" s="134"/>
      <c r="X68" s="134"/>
      <c r="Y68" s="134"/>
      <c r="Z68" s="134"/>
      <c r="AA68" s="134"/>
      <c r="AB68" s="134"/>
      <c r="AC68" s="572"/>
    </row>
    <row r="69" spans="1:29" x14ac:dyDescent="0.25">
      <c r="A69" s="134"/>
      <c r="B69" s="134"/>
      <c r="C69" s="134"/>
      <c r="D69" s="134"/>
      <c r="E69" s="134"/>
      <c r="F69" s="134"/>
      <c r="G69" s="134"/>
      <c r="H69" s="134"/>
      <c r="I69" s="134"/>
      <c r="J69" s="572"/>
      <c r="K69" s="572"/>
      <c r="L69" s="572"/>
      <c r="M69" s="572"/>
      <c r="N69" s="572"/>
      <c r="O69" s="572"/>
      <c r="P69" s="572"/>
      <c r="Q69" s="572"/>
      <c r="R69" s="572"/>
      <c r="S69" s="572"/>
      <c r="T69" s="134"/>
      <c r="U69" s="134"/>
      <c r="V69" s="134"/>
      <c r="W69" s="134"/>
      <c r="X69" s="134"/>
      <c r="Y69" s="134"/>
      <c r="Z69" s="134"/>
      <c r="AA69" s="134"/>
      <c r="AB69" s="134"/>
      <c r="AC69" s="572"/>
    </row>
    <row r="70" spans="1:29" x14ac:dyDescent="0.25">
      <c r="A70" s="134"/>
      <c r="B70" s="134"/>
      <c r="C70" s="134"/>
      <c r="D70" s="134"/>
      <c r="E70" s="134"/>
      <c r="F70" s="134"/>
      <c r="G70" s="134"/>
      <c r="H70" s="134"/>
      <c r="I70" s="134"/>
      <c r="J70" s="572"/>
      <c r="K70" s="572"/>
      <c r="L70" s="572"/>
      <c r="M70" s="572"/>
      <c r="N70" s="572"/>
      <c r="O70" s="572"/>
      <c r="P70" s="572"/>
      <c r="Q70" s="572"/>
      <c r="R70" s="572"/>
      <c r="S70" s="572"/>
      <c r="T70" s="134"/>
      <c r="U70" s="134"/>
      <c r="V70" s="134"/>
      <c r="W70" s="134"/>
      <c r="X70" s="134"/>
      <c r="Y70" s="134"/>
      <c r="Z70" s="134"/>
      <c r="AA70" s="134"/>
      <c r="AB70" s="134"/>
      <c r="AC70" s="572"/>
    </row>
    <row r="71" spans="1:29" x14ac:dyDescent="0.25">
      <c r="A71" s="134"/>
      <c r="B71" s="134"/>
      <c r="C71" s="134"/>
      <c r="D71" s="134"/>
      <c r="E71" s="134"/>
      <c r="F71" s="134"/>
      <c r="G71" s="134"/>
      <c r="H71" s="134"/>
      <c r="I71" s="134"/>
      <c r="J71" s="572"/>
      <c r="K71" s="572"/>
      <c r="L71" s="572"/>
      <c r="M71" s="572"/>
      <c r="N71" s="572"/>
      <c r="O71" s="572"/>
      <c r="P71" s="572"/>
      <c r="Q71" s="572"/>
      <c r="R71" s="572"/>
      <c r="S71" s="572"/>
      <c r="T71" s="134"/>
      <c r="U71" s="134"/>
      <c r="V71" s="134"/>
      <c r="W71" s="134"/>
      <c r="X71" s="134"/>
      <c r="Y71" s="134"/>
      <c r="Z71" s="134"/>
      <c r="AA71" s="134"/>
      <c r="AB71" s="134"/>
      <c r="AC71" s="572"/>
    </row>
    <row r="72" spans="1:29" x14ac:dyDescent="0.25">
      <c r="A72" s="134"/>
      <c r="B72" s="134"/>
      <c r="C72" s="134"/>
      <c r="D72" s="134"/>
      <c r="E72" s="134"/>
      <c r="F72" s="134"/>
      <c r="G72" s="134"/>
      <c r="H72" s="134"/>
      <c r="I72" s="134"/>
      <c r="J72" s="572"/>
      <c r="K72" s="572"/>
      <c r="L72" s="572"/>
      <c r="M72" s="572"/>
      <c r="N72" s="572"/>
      <c r="O72" s="572"/>
      <c r="P72" s="572"/>
      <c r="Q72" s="572"/>
      <c r="R72" s="572"/>
      <c r="S72" s="572"/>
      <c r="T72" s="134"/>
      <c r="U72" s="134"/>
      <c r="V72" s="134"/>
      <c r="W72" s="134"/>
      <c r="X72" s="134"/>
      <c r="Y72" s="134"/>
      <c r="Z72" s="134"/>
      <c r="AA72" s="134"/>
      <c r="AB72" s="134"/>
      <c r="AC72" s="572"/>
    </row>
    <row r="73" spans="1:29" x14ac:dyDescent="0.25">
      <c r="A73" s="134"/>
      <c r="B73" s="134"/>
      <c r="C73" s="134"/>
      <c r="D73" s="134"/>
      <c r="E73" s="134"/>
      <c r="F73" s="134"/>
      <c r="G73" s="134"/>
      <c r="H73" s="134"/>
      <c r="I73" s="134"/>
      <c r="J73" s="572"/>
      <c r="K73" s="572"/>
      <c r="L73" s="572"/>
      <c r="M73" s="572"/>
      <c r="N73" s="572"/>
      <c r="O73" s="572"/>
      <c r="P73" s="572"/>
      <c r="Q73" s="572"/>
      <c r="R73" s="572"/>
      <c r="S73" s="572"/>
      <c r="T73" s="134"/>
      <c r="U73" s="134"/>
      <c r="V73" s="134"/>
      <c r="W73" s="134"/>
      <c r="X73" s="134"/>
      <c r="Y73" s="134"/>
      <c r="Z73" s="134"/>
      <c r="AA73" s="134"/>
      <c r="AB73" s="134"/>
      <c r="AC73" s="572"/>
    </row>
    <row r="74" spans="1:29" x14ac:dyDescent="0.25">
      <c r="A74" s="134"/>
      <c r="B74" s="134"/>
      <c r="C74" s="134"/>
      <c r="D74" s="134"/>
      <c r="E74" s="134"/>
      <c r="F74" s="134"/>
      <c r="G74" s="134"/>
      <c r="H74" s="134"/>
      <c r="I74" s="134"/>
      <c r="J74" s="572"/>
      <c r="K74" s="572"/>
      <c r="L74" s="572"/>
      <c r="M74" s="572"/>
      <c r="N74" s="572"/>
      <c r="O74" s="572"/>
      <c r="P74" s="572"/>
      <c r="Q74" s="572"/>
      <c r="R74" s="572"/>
      <c r="S74" s="572"/>
      <c r="T74" s="134"/>
      <c r="U74" s="134"/>
      <c r="V74" s="134"/>
      <c r="W74" s="134"/>
      <c r="X74" s="134"/>
      <c r="Y74" s="134"/>
      <c r="Z74" s="134"/>
      <c r="AA74" s="134"/>
      <c r="AB74" s="134"/>
      <c r="AC74" s="572"/>
    </row>
    <row r="75" spans="1:29" x14ac:dyDescent="0.25">
      <c r="A75" s="134"/>
      <c r="B75" s="134"/>
      <c r="C75" s="134"/>
      <c r="D75" s="134"/>
      <c r="E75" s="134"/>
      <c r="F75" s="134"/>
      <c r="G75" s="134"/>
      <c r="H75" s="134"/>
      <c r="I75" s="134"/>
      <c r="J75" s="572"/>
      <c r="K75" s="572"/>
      <c r="L75" s="572"/>
      <c r="M75" s="572"/>
      <c r="N75" s="572"/>
      <c r="O75" s="572"/>
      <c r="P75" s="572"/>
      <c r="Q75" s="572"/>
      <c r="R75" s="572"/>
      <c r="S75" s="572"/>
      <c r="T75" s="134"/>
      <c r="U75" s="134"/>
      <c r="V75" s="134"/>
      <c r="W75" s="134"/>
      <c r="X75" s="134"/>
      <c r="Y75" s="134"/>
      <c r="Z75" s="134"/>
      <c r="AA75" s="134"/>
      <c r="AB75" s="134"/>
      <c r="AC75" s="572"/>
    </row>
    <row r="76" spans="1:29" x14ac:dyDescent="0.25">
      <c r="A76" s="134"/>
      <c r="B76" s="134"/>
      <c r="C76" s="134"/>
      <c r="D76" s="134"/>
      <c r="E76" s="134"/>
      <c r="F76" s="134"/>
      <c r="G76" s="134"/>
      <c r="H76" s="134"/>
      <c r="I76" s="134"/>
      <c r="J76" s="572"/>
      <c r="K76" s="572"/>
      <c r="L76" s="572"/>
      <c r="M76" s="572"/>
      <c r="N76" s="572"/>
      <c r="O76" s="572"/>
      <c r="P76" s="572"/>
      <c r="Q76" s="572"/>
      <c r="R76" s="572"/>
      <c r="S76" s="572"/>
      <c r="T76" s="134"/>
      <c r="U76" s="134"/>
      <c r="V76" s="134"/>
      <c r="W76" s="134"/>
      <c r="X76" s="134"/>
      <c r="Y76" s="134"/>
      <c r="Z76" s="134"/>
      <c r="AA76" s="134"/>
      <c r="AB76" s="134"/>
      <c r="AC76" s="572"/>
    </row>
    <row r="77" spans="1:29" x14ac:dyDescent="0.25">
      <c r="A77" s="134"/>
      <c r="B77" s="134"/>
      <c r="C77" s="134"/>
      <c r="D77" s="134"/>
      <c r="E77" s="134"/>
      <c r="F77" s="134"/>
      <c r="G77" s="134"/>
      <c r="H77" s="134"/>
      <c r="I77" s="134"/>
      <c r="J77" s="572"/>
      <c r="K77" s="572"/>
      <c r="L77" s="572"/>
      <c r="M77" s="572"/>
      <c r="N77" s="572"/>
      <c r="O77" s="572"/>
      <c r="P77" s="572"/>
      <c r="Q77" s="572"/>
      <c r="R77" s="572"/>
      <c r="S77" s="572"/>
      <c r="T77" s="134"/>
      <c r="U77" s="134"/>
      <c r="V77" s="134"/>
      <c r="W77" s="134"/>
      <c r="X77" s="134"/>
      <c r="Y77" s="134"/>
      <c r="Z77" s="134"/>
      <c r="AA77" s="134"/>
      <c r="AB77" s="134"/>
      <c r="AC77" s="572"/>
    </row>
    <row r="78" spans="1:29" x14ac:dyDescent="0.25">
      <c r="A78" s="134"/>
      <c r="B78" s="134"/>
      <c r="C78" s="134"/>
      <c r="D78" s="134"/>
      <c r="E78" s="134"/>
      <c r="F78" s="134"/>
      <c r="G78" s="134"/>
      <c r="H78" s="134"/>
      <c r="I78" s="134"/>
      <c r="J78" s="572"/>
      <c r="K78" s="572"/>
      <c r="L78" s="572"/>
      <c r="M78" s="572"/>
      <c r="N78" s="572"/>
      <c r="O78" s="572"/>
      <c r="P78" s="572"/>
      <c r="Q78" s="572"/>
      <c r="R78" s="572"/>
      <c r="S78" s="572"/>
      <c r="T78" s="134"/>
      <c r="U78" s="134"/>
      <c r="V78" s="134"/>
      <c r="W78" s="134"/>
      <c r="X78" s="134"/>
      <c r="Y78" s="134"/>
      <c r="Z78" s="134"/>
      <c r="AA78" s="134"/>
      <c r="AB78" s="134"/>
      <c r="AC78" s="572"/>
    </row>
    <row r="79" spans="1:29" x14ac:dyDescent="0.25">
      <c r="A79" s="134"/>
      <c r="B79" s="134"/>
      <c r="C79" s="134"/>
      <c r="D79" s="134"/>
      <c r="E79" s="134"/>
      <c r="F79" s="134"/>
      <c r="G79" s="134"/>
      <c r="H79" s="134"/>
      <c r="I79" s="134"/>
      <c r="J79" s="572"/>
      <c r="K79" s="572"/>
      <c r="L79" s="572"/>
      <c r="M79" s="572"/>
      <c r="N79" s="572"/>
      <c r="O79" s="572"/>
      <c r="P79" s="572"/>
      <c r="Q79" s="572"/>
      <c r="R79" s="572"/>
      <c r="S79" s="572"/>
      <c r="T79" s="134"/>
      <c r="U79" s="134"/>
      <c r="V79" s="134"/>
      <c r="W79" s="134"/>
      <c r="X79" s="134"/>
      <c r="Y79" s="134"/>
      <c r="Z79" s="134"/>
      <c r="AA79" s="134"/>
      <c r="AB79" s="134"/>
      <c r="AC79" s="572"/>
    </row>
    <row r="80" spans="1:29" x14ac:dyDescent="0.25">
      <c r="A80" s="134"/>
      <c r="B80" s="134"/>
      <c r="C80" s="134"/>
      <c r="D80" s="134"/>
      <c r="E80" s="134"/>
      <c r="F80" s="134"/>
      <c r="G80" s="134"/>
      <c r="H80" s="134"/>
      <c r="I80" s="134"/>
      <c r="J80" s="572"/>
      <c r="K80" s="572"/>
      <c r="L80" s="572"/>
      <c r="M80" s="572"/>
      <c r="N80" s="572"/>
      <c r="O80" s="572"/>
      <c r="P80" s="572"/>
      <c r="Q80" s="572"/>
      <c r="R80" s="572"/>
      <c r="S80" s="572"/>
      <c r="T80" s="134"/>
      <c r="U80" s="134"/>
      <c r="V80" s="134"/>
      <c r="W80" s="134"/>
      <c r="X80" s="134"/>
      <c r="Y80" s="134"/>
      <c r="Z80" s="134"/>
      <c r="AA80" s="134"/>
      <c r="AB80" s="134"/>
      <c r="AC80" s="572"/>
    </row>
    <row r="81" spans="1:29" x14ac:dyDescent="0.25">
      <c r="A81" s="134"/>
      <c r="B81" s="134"/>
      <c r="C81" s="134"/>
      <c r="D81" s="134"/>
      <c r="E81" s="134"/>
      <c r="F81" s="134"/>
      <c r="G81" s="134"/>
      <c r="H81" s="134"/>
      <c r="I81" s="134"/>
      <c r="J81" s="572"/>
      <c r="K81" s="572"/>
      <c r="L81" s="572"/>
      <c r="M81" s="572"/>
      <c r="N81" s="572"/>
      <c r="O81" s="572"/>
      <c r="P81" s="572"/>
      <c r="Q81" s="572"/>
      <c r="R81" s="572"/>
      <c r="S81" s="572"/>
      <c r="T81" s="134"/>
      <c r="U81" s="134"/>
      <c r="V81" s="134"/>
      <c r="W81" s="134"/>
      <c r="X81" s="134"/>
      <c r="Y81" s="134"/>
      <c r="Z81" s="134"/>
      <c r="AA81" s="134"/>
      <c r="AB81" s="134"/>
      <c r="AC81" s="572"/>
    </row>
    <row r="82" spans="1:29" x14ac:dyDescent="0.25">
      <c r="A82" s="134"/>
      <c r="B82" s="134"/>
      <c r="C82" s="134"/>
      <c r="D82" s="134"/>
      <c r="E82" s="134"/>
      <c r="F82" s="134"/>
      <c r="G82" s="134"/>
      <c r="H82" s="134"/>
      <c r="I82" s="134"/>
      <c r="J82" s="572"/>
      <c r="K82" s="572"/>
      <c r="L82" s="572"/>
      <c r="M82" s="572"/>
      <c r="N82" s="572"/>
      <c r="O82" s="572"/>
      <c r="P82" s="572"/>
      <c r="Q82" s="572"/>
      <c r="R82" s="572"/>
      <c r="S82" s="572"/>
      <c r="T82" s="134"/>
      <c r="U82" s="134"/>
      <c r="V82" s="134"/>
      <c r="W82" s="134"/>
      <c r="X82" s="134"/>
      <c r="Y82" s="134"/>
      <c r="Z82" s="134"/>
      <c r="AA82" s="134"/>
      <c r="AB82" s="134"/>
      <c r="AC82" s="572"/>
    </row>
    <row r="83" spans="1:29" x14ac:dyDescent="0.25">
      <c r="A83" s="134"/>
      <c r="B83" s="134"/>
      <c r="C83" s="134"/>
      <c r="D83" s="134"/>
      <c r="E83" s="134"/>
      <c r="F83" s="134"/>
      <c r="G83" s="134"/>
      <c r="H83" s="134"/>
      <c r="I83" s="134"/>
      <c r="J83" s="572"/>
      <c r="K83" s="572"/>
      <c r="L83" s="572"/>
      <c r="M83" s="572"/>
      <c r="N83" s="572"/>
      <c r="O83" s="572"/>
      <c r="P83" s="572"/>
      <c r="Q83" s="572"/>
      <c r="R83" s="572"/>
      <c r="S83" s="572"/>
      <c r="T83" s="134"/>
      <c r="U83" s="134"/>
      <c r="V83" s="134"/>
      <c r="W83" s="134"/>
      <c r="X83" s="134"/>
      <c r="Y83" s="134"/>
      <c r="Z83" s="134"/>
      <c r="AA83" s="134"/>
      <c r="AB83" s="134"/>
      <c r="AC83" s="572"/>
    </row>
    <row r="84" spans="1:29" x14ac:dyDescent="0.25">
      <c r="A84" s="134"/>
      <c r="B84" s="134"/>
      <c r="C84" s="134"/>
      <c r="D84" s="134"/>
      <c r="E84" s="134"/>
      <c r="F84" s="134"/>
      <c r="G84" s="134"/>
      <c r="H84" s="134"/>
      <c r="I84" s="134"/>
      <c r="J84" s="572"/>
      <c r="K84" s="572"/>
      <c r="L84" s="572"/>
      <c r="M84" s="572"/>
      <c r="N84" s="572"/>
      <c r="O84" s="572"/>
      <c r="P84" s="572"/>
      <c r="Q84" s="572"/>
      <c r="R84" s="572"/>
      <c r="S84" s="572"/>
      <c r="T84" s="134"/>
      <c r="U84" s="134"/>
      <c r="V84" s="134"/>
      <c r="W84" s="134"/>
      <c r="X84" s="134"/>
      <c r="Y84" s="134"/>
      <c r="Z84" s="134"/>
      <c r="AA84" s="134"/>
      <c r="AB84" s="134"/>
      <c r="AC84" s="572"/>
    </row>
    <row r="85" spans="1:29" x14ac:dyDescent="0.25">
      <c r="A85" s="134"/>
      <c r="B85" s="134"/>
      <c r="C85" s="134"/>
      <c r="D85" s="134"/>
      <c r="E85" s="134"/>
      <c r="F85" s="134"/>
      <c r="G85" s="134"/>
      <c r="H85" s="134"/>
      <c r="I85" s="134"/>
      <c r="J85" s="572"/>
      <c r="K85" s="572"/>
      <c r="L85" s="572"/>
      <c r="M85" s="572"/>
      <c r="N85" s="572"/>
      <c r="O85" s="572"/>
      <c r="P85" s="572"/>
      <c r="Q85" s="572"/>
      <c r="R85" s="572"/>
      <c r="S85" s="572"/>
      <c r="T85" s="134"/>
      <c r="U85" s="134"/>
      <c r="V85" s="134"/>
      <c r="W85" s="134"/>
      <c r="X85" s="134"/>
      <c r="Y85" s="134"/>
      <c r="Z85" s="134"/>
      <c r="AA85" s="134"/>
      <c r="AB85" s="134"/>
      <c r="AC85" s="572"/>
    </row>
    <row r="86" spans="1:29" x14ac:dyDescent="0.25">
      <c r="A86" s="134"/>
      <c r="B86" s="134"/>
      <c r="C86" s="134"/>
      <c r="D86" s="134"/>
      <c r="E86" s="134"/>
      <c r="F86" s="134"/>
      <c r="G86" s="134"/>
      <c r="H86" s="134"/>
      <c r="I86" s="134"/>
      <c r="J86" s="572"/>
      <c r="K86" s="572"/>
      <c r="L86" s="572"/>
      <c r="M86" s="572"/>
      <c r="N86" s="572"/>
      <c r="O86" s="572"/>
      <c r="P86" s="572"/>
      <c r="Q86" s="572"/>
      <c r="R86" s="572"/>
      <c r="S86" s="572"/>
      <c r="T86" s="134"/>
      <c r="U86" s="134"/>
      <c r="V86" s="134"/>
      <c r="W86" s="134"/>
      <c r="X86" s="134"/>
      <c r="Y86" s="134"/>
      <c r="Z86" s="134"/>
      <c r="AA86" s="134"/>
      <c r="AB86" s="134"/>
      <c r="AC86" s="572"/>
    </row>
    <row r="87" spans="1:29" x14ac:dyDescent="0.25">
      <c r="A87" s="134"/>
      <c r="B87" s="134"/>
      <c r="C87" s="134"/>
      <c r="D87" s="134"/>
      <c r="E87" s="134"/>
      <c r="F87" s="134"/>
      <c r="G87" s="134"/>
      <c r="H87" s="134"/>
      <c r="I87" s="134"/>
      <c r="J87" s="572"/>
      <c r="K87" s="572"/>
      <c r="L87" s="572"/>
      <c r="M87" s="572"/>
      <c r="N87" s="572"/>
      <c r="O87" s="572"/>
      <c r="P87" s="572"/>
      <c r="Q87" s="572"/>
      <c r="R87" s="572"/>
      <c r="S87" s="572"/>
      <c r="T87" s="134"/>
      <c r="U87" s="134"/>
      <c r="V87" s="134"/>
      <c r="W87" s="134"/>
      <c r="X87" s="134"/>
      <c r="Y87" s="134"/>
      <c r="Z87" s="134"/>
      <c r="AA87" s="134"/>
      <c r="AB87" s="134"/>
      <c r="AC87" s="572"/>
    </row>
    <row r="88" spans="1:29" x14ac:dyDescent="0.25">
      <c r="A88" s="134"/>
      <c r="B88" s="134"/>
      <c r="C88" s="134"/>
      <c r="D88" s="134"/>
      <c r="E88" s="134"/>
      <c r="F88" s="134"/>
      <c r="G88" s="134"/>
      <c r="H88" s="134"/>
      <c r="I88" s="134"/>
      <c r="J88" s="572"/>
      <c r="K88" s="572"/>
      <c r="L88" s="572"/>
      <c r="M88" s="572"/>
      <c r="N88" s="572"/>
      <c r="O88" s="572"/>
      <c r="P88" s="572"/>
      <c r="Q88" s="572"/>
      <c r="R88" s="572"/>
      <c r="S88" s="572"/>
      <c r="T88" s="134"/>
      <c r="U88" s="134"/>
      <c r="V88" s="134"/>
      <c r="W88" s="134"/>
      <c r="X88" s="134"/>
      <c r="Y88" s="134"/>
      <c r="Z88" s="134"/>
      <c r="AA88" s="134"/>
      <c r="AB88" s="134"/>
      <c r="AC88" s="572"/>
    </row>
    <row r="89" spans="1:29" x14ac:dyDescent="0.25">
      <c r="A89" s="134"/>
      <c r="B89" s="134"/>
      <c r="C89" s="134"/>
      <c r="D89" s="134"/>
      <c r="E89" s="134"/>
      <c r="F89" s="134"/>
      <c r="G89" s="134"/>
      <c r="H89" s="134"/>
      <c r="I89" s="134"/>
      <c r="J89" s="572"/>
      <c r="K89" s="572"/>
      <c r="L89" s="572"/>
      <c r="M89" s="572"/>
      <c r="N89" s="572"/>
      <c r="O89" s="572"/>
      <c r="P89" s="572"/>
      <c r="Q89" s="572"/>
      <c r="R89" s="572"/>
      <c r="S89" s="572"/>
      <c r="T89" s="134"/>
      <c r="U89" s="134"/>
      <c r="V89" s="134"/>
      <c r="W89" s="134"/>
      <c r="X89" s="134"/>
      <c r="Y89" s="134"/>
      <c r="Z89" s="134"/>
      <c r="AA89" s="134"/>
      <c r="AB89" s="134"/>
      <c r="AC89" s="572"/>
    </row>
    <row r="90" spans="1:29" x14ac:dyDescent="0.25">
      <c r="A90" s="134"/>
      <c r="B90" s="134"/>
      <c r="C90" s="134"/>
      <c r="D90" s="134"/>
      <c r="E90" s="134"/>
      <c r="F90" s="134"/>
      <c r="G90" s="134"/>
      <c r="H90" s="134"/>
      <c r="I90" s="134"/>
      <c r="J90" s="572"/>
      <c r="K90" s="572"/>
      <c r="L90" s="572"/>
      <c r="M90" s="572"/>
      <c r="N90" s="572"/>
      <c r="O90" s="572"/>
      <c r="P90" s="572"/>
      <c r="Q90" s="572"/>
      <c r="R90" s="572"/>
      <c r="S90" s="572"/>
      <c r="T90" s="134"/>
      <c r="U90" s="134"/>
      <c r="V90" s="134"/>
      <c r="W90" s="134"/>
      <c r="X90" s="134"/>
      <c r="Y90" s="134"/>
      <c r="Z90" s="134"/>
      <c r="AA90" s="134"/>
      <c r="AB90" s="134"/>
      <c r="AC90" s="572"/>
    </row>
    <row r="91" spans="1:29" x14ac:dyDescent="0.25">
      <c r="A91" s="134"/>
      <c r="B91" s="134"/>
      <c r="C91" s="134"/>
      <c r="D91" s="134"/>
      <c r="E91" s="134"/>
      <c r="F91" s="134"/>
      <c r="G91" s="134"/>
      <c r="H91" s="134"/>
      <c r="I91" s="134"/>
      <c r="J91" s="572"/>
      <c r="K91" s="572"/>
      <c r="L91" s="572"/>
      <c r="M91" s="572"/>
      <c r="N91" s="572"/>
      <c r="O91" s="572"/>
      <c r="P91" s="572"/>
      <c r="Q91" s="572"/>
      <c r="R91" s="572"/>
      <c r="S91" s="572"/>
      <c r="T91" s="134"/>
      <c r="U91" s="134"/>
      <c r="V91" s="134"/>
      <c r="W91" s="134"/>
      <c r="X91" s="134"/>
      <c r="Y91" s="134"/>
      <c r="Z91" s="134"/>
      <c r="AA91" s="134"/>
      <c r="AB91" s="134"/>
      <c r="AC91" s="572"/>
    </row>
    <row r="92" spans="1:29" x14ac:dyDescent="0.25">
      <c r="A92" s="134"/>
      <c r="B92" s="134"/>
      <c r="C92" s="134"/>
      <c r="D92" s="134"/>
      <c r="E92" s="134"/>
      <c r="F92" s="134"/>
      <c r="G92" s="134"/>
      <c r="H92" s="134"/>
      <c r="I92" s="134"/>
      <c r="J92" s="572"/>
      <c r="K92" s="572"/>
      <c r="L92" s="572"/>
      <c r="M92" s="572"/>
      <c r="N92" s="572"/>
      <c r="O92" s="572"/>
      <c r="P92" s="572"/>
      <c r="Q92" s="572"/>
      <c r="R92" s="572"/>
      <c r="S92" s="572"/>
      <c r="T92" s="134"/>
      <c r="U92" s="134"/>
      <c r="V92" s="134"/>
      <c r="W92" s="134"/>
      <c r="X92" s="134"/>
      <c r="Y92" s="134"/>
      <c r="Z92" s="134"/>
      <c r="AA92" s="134"/>
      <c r="AB92" s="134"/>
      <c r="AC92" s="572"/>
    </row>
    <row r="93" spans="1:29" x14ac:dyDescent="0.25">
      <c r="A93" s="134"/>
      <c r="B93" s="134"/>
      <c r="C93" s="134"/>
      <c r="D93" s="134"/>
      <c r="E93" s="134"/>
      <c r="F93" s="134"/>
      <c r="G93" s="134"/>
      <c r="H93" s="134"/>
      <c r="I93" s="134"/>
      <c r="J93" s="572"/>
      <c r="K93" s="572"/>
      <c r="L93" s="572"/>
      <c r="M93" s="572"/>
      <c r="N93" s="572"/>
      <c r="O93" s="572"/>
      <c r="P93" s="572"/>
      <c r="Q93" s="572"/>
      <c r="R93" s="572"/>
      <c r="S93" s="572"/>
      <c r="T93" s="134"/>
      <c r="U93" s="134"/>
      <c r="V93" s="134"/>
      <c r="W93" s="134"/>
      <c r="X93" s="134"/>
      <c r="Y93" s="134"/>
      <c r="Z93" s="134"/>
      <c r="AA93" s="134"/>
      <c r="AB93" s="134"/>
      <c r="AC93" s="572"/>
    </row>
    <row r="94" spans="1:29" x14ac:dyDescent="0.25">
      <c r="A94" s="134"/>
      <c r="B94" s="134"/>
      <c r="C94" s="134"/>
      <c r="D94" s="134"/>
      <c r="E94" s="134"/>
      <c r="F94" s="134"/>
      <c r="G94" s="134"/>
      <c r="H94" s="134"/>
      <c r="I94" s="134"/>
      <c r="J94" s="572"/>
      <c r="K94" s="572"/>
      <c r="L94" s="572"/>
      <c r="M94" s="572"/>
      <c r="N94" s="572"/>
      <c r="O94" s="572"/>
      <c r="P94" s="572"/>
      <c r="Q94" s="572"/>
      <c r="R94" s="572"/>
      <c r="S94" s="572"/>
      <c r="T94" s="134"/>
      <c r="U94" s="134"/>
      <c r="V94" s="134"/>
      <c r="W94" s="134"/>
      <c r="X94" s="134"/>
      <c r="Y94" s="134"/>
      <c r="Z94" s="134"/>
      <c r="AA94" s="134"/>
      <c r="AB94" s="134"/>
      <c r="AC94" s="572"/>
    </row>
    <row r="95" spans="1:29" x14ac:dyDescent="0.25">
      <c r="A95" s="134"/>
      <c r="B95" s="134"/>
      <c r="C95" s="134"/>
      <c r="D95" s="134"/>
      <c r="E95" s="134"/>
      <c r="F95" s="134"/>
      <c r="G95" s="134"/>
      <c r="H95" s="134"/>
      <c r="I95" s="134"/>
      <c r="J95" s="572"/>
      <c r="K95" s="572"/>
      <c r="L95" s="572"/>
      <c r="M95" s="572"/>
      <c r="N95" s="572"/>
      <c r="O95" s="572"/>
      <c r="P95" s="572"/>
      <c r="Q95" s="572"/>
      <c r="R95" s="572"/>
      <c r="S95" s="572"/>
      <c r="T95" s="134"/>
      <c r="U95" s="134"/>
      <c r="V95" s="134"/>
      <c r="W95" s="134"/>
      <c r="X95" s="134"/>
      <c r="Y95" s="134"/>
      <c r="Z95" s="134"/>
      <c r="AA95" s="134"/>
      <c r="AB95" s="134"/>
      <c r="AC95" s="572"/>
    </row>
    <row r="96" spans="1:29" x14ac:dyDescent="0.25">
      <c r="A96" s="134"/>
      <c r="B96" s="134"/>
      <c r="C96" s="134"/>
      <c r="D96" s="134"/>
      <c r="E96" s="134"/>
      <c r="F96" s="134"/>
      <c r="G96" s="134"/>
      <c r="H96" s="134"/>
      <c r="I96" s="134"/>
      <c r="J96" s="572"/>
      <c r="K96" s="572"/>
      <c r="L96" s="572"/>
      <c r="M96" s="572"/>
      <c r="N96" s="572"/>
      <c r="O96" s="572"/>
      <c r="P96" s="572"/>
      <c r="Q96" s="572"/>
      <c r="R96" s="572"/>
      <c r="S96" s="572"/>
      <c r="T96" s="134"/>
      <c r="U96" s="134"/>
      <c r="V96" s="134"/>
      <c r="W96" s="134"/>
      <c r="X96" s="134"/>
      <c r="Y96" s="134"/>
      <c r="Z96" s="134"/>
      <c r="AA96" s="134"/>
      <c r="AB96" s="134"/>
      <c r="AC96" s="572"/>
    </row>
    <row r="97" spans="1:29" x14ac:dyDescent="0.25">
      <c r="A97" s="134"/>
      <c r="B97" s="134"/>
      <c r="C97" s="134"/>
      <c r="D97" s="134"/>
      <c r="E97" s="134"/>
      <c r="F97" s="134"/>
      <c r="G97" s="134"/>
      <c r="H97" s="134"/>
      <c r="I97" s="134"/>
      <c r="J97" s="572"/>
      <c r="K97" s="572"/>
      <c r="L97" s="572"/>
      <c r="M97" s="572"/>
      <c r="N97" s="572"/>
      <c r="O97" s="572"/>
      <c r="P97" s="572"/>
      <c r="Q97" s="572"/>
      <c r="R97" s="572"/>
      <c r="S97" s="572"/>
      <c r="T97" s="134"/>
      <c r="U97" s="134"/>
      <c r="V97" s="134"/>
      <c r="W97" s="134"/>
      <c r="X97" s="134"/>
      <c r="Y97" s="134"/>
      <c r="Z97" s="134"/>
      <c r="AA97" s="134"/>
      <c r="AB97" s="134"/>
      <c r="AC97" s="572"/>
    </row>
    <row r="98" spans="1:29" x14ac:dyDescent="0.25">
      <c r="A98" s="134"/>
      <c r="B98" s="134"/>
      <c r="C98" s="134"/>
      <c r="D98" s="134"/>
      <c r="E98" s="134"/>
      <c r="F98" s="134"/>
      <c r="G98" s="134"/>
      <c r="H98" s="134"/>
      <c r="I98" s="134"/>
      <c r="J98" s="572"/>
      <c r="K98" s="572"/>
      <c r="L98" s="572"/>
      <c r="M98" s="572"/>
      <c r="N98" s="572"/>
      <c r="O98" s="572"/>
      <c r="P98" s="572"/>
      <c r="Q98" s="572"/>
      <c r="R98" s="572"/>
      <c r="S98" s="572"/>
      <c r="T98" s="134"/>
      <c r="U98" s="134"/>
      <c r="V98" s="134"/>
      <c r="W98" s="134"/>
      <c r="X98" s="134"/>
      <c r="Y98" s="134"/>
      <c r="Z98" s="134"/>
      <c r="AA98" s="134"/>
      <c r="AB98" s="134"/>
      <c r="AC98" s="572"/>
    </row>
    <row r="99" spans="1:29" x14ac:dyDescent="0.25">
      <c r="A99" s="134"/>
      <c r="B99" s="134"/>
      <c r="C99" s="134"/>
      <c r="D99" s="134"/>
      <c r="E99" s="134"/>
      <c r="F99" s="134"/>
      <c r="G99" s="134"/>
      <c r="H99" s="134"/>
      <c r="I99" s="134"/>
      <c r="J99" s="572"/>
      <c r="K99" s="572"/>
      <c r="L99" s="572"/>
      <c r="M99" s="572"/>
      <c r="N99" s="572"/>
      <c r="O99" s="572"/>
      <c r="P99" s="572"/>
      <c r="Q99" s="572"/>
      <c r="R99" s="572"/>
      <c r="S99" s="572"/>
      <c r="T99" s="134"/>
      <c r="U99" s="134"/>
      <c r="V99" s="134"/>
      <c r="W99" s="134"/>
      <c r="X99" s="134"/>
      <c r="Y99" s="134"/>
      <c r="Z99" s="134"/>
      <c r="AA99" s="134"/>
      <c r="AB99" s="134"/>
      <c r="AC99" s="572"/>
    </row>
    <row r="100" spans="1:29" x14ac:dyDescent="0.25">
      <c r="A100" s="134"/>
      <c r="B100" s="134"/>
      <c r="C100" s="134"/>
      <c r="D100" s="134"/>
      <c r="E100" s="134"/>
      <c r="F100" s="134"/>
      <c r="G100" s="134"/>
      <c r="H100" s="134"/>
      <c r="I100" s="134"/>
      <c r="J100" s="572"/>
      <c r="K100" s="572"/>
      <c r="L100" s="572"/>
      <c r="M100" s="572"/>
      <c r="N100" s="572"/>
      <c r="O100" s="572"/>
      <c r="P100" s="572"/>
      <c r="Q100" s="572"/>
      <c r="R100" s="572"/>
      <c r="S100" s="572"/>
      <c r="T100" s="134"/>
      <c r="U100" s="134"/>
      <c r="V100" s="134"/>
      <c r="W100" s="134"/>
      <c r="X100" s="134"/>
      <c r="Y100" s="134"/>
      <c r="Z100" s="134"/>
      <c r="AA100" s="134"/>
      <c r="AB100" s="134"/>
      <c r="AC100" s="572"/>
    </row>
    <row r="101" spans="1:29" x14ac:dyDescent="0.25">
      <c r="A101" s="134"/>
      <c r="B101" s="134"/>
      <c r="C101" s="134"/>
      <c r="D101" s="134"/>
      <c r="E101" s="134"/>
      <c r="F101" s="134"/>
      <c r="G101" s="134"/>
      <c r="H101" s="134"/>
      <c r="I101" s="134"/>
      <c r="J101" s="572"/>
      <c r="K101" s="572"/>
      <c r="L101" s="572"/>
      <c r="M101" s="572"/>
      <c r="N101" s="572"/>
      <c r="O101" s="572"/>
      <c r="P101" s="572"/>
      <c r="Q101" s="572"/>
      <c r="R101" s="572"/>
      <c r="S101" s="572"/>
      <c r="T101" s="134"/>
      <c r="U101" s="134"/>
      <c r="V101" s="134"/>
      <c r="W101" s="134"/>
      <c r="X101" s="134"/>
      <c r="Y101" s="134"/>
      <c r="Z101" s="134"/>
      <c r="AA101" s="134"/>
      <c r="AB101" s="134"/>
      <c r="AC101" s="572"/>
    </row>
    <row r="102" spans="1:29" x14ac:dyDescent="0.25">
      <c r="A102" s="134"/>
      <c r="B102" s="134"/>
      <c r="C102" s="134"/>
      <c r="D102" s="134"/>
      <c r="E102" s="134"/>
      <c r="F102" s="134"/>
      <c r="G102" s="134"/>
      <c r="H102" s="134"/>
      <c r="I102" s="134"/>
      <c r="J102" s="572"/>
      <c r="K102" s="572"/>
      <c r="L102" s="572"/>
      <c r="M102" s="572"/>
      <c r="N102" s="572"/>
      <c r="O102" s="572"/>
      <c r="P102" s="572"/>
      <c r="Q102" s="572"/>
      <c r="R102" s="572"/>
      <c r="S102" s="572"/>
      <c r="T102" s="134"/>
      <c r="U102" s="134"/>
      <c r="V102" s="134"/>
      <c r="W102" s="134"/>
      <c r="X102" s="134"/>
      <c r="Y102" s="134"/>
      <c r="Z102" s="134"/>
      <c r="AA102" s="134"/>
      <c r="AB102" s="134"/>
      <c r="AC102" s="572"/>
    </row>
    <row r="103" spans="1:29" x14ac:dyDescent="0.25">
      <c r="A103" s="134"/>
      <c r="B103" s="134"/>
      <c r="C103" s="134"/>
      <c r="D103" s="134"/>
      <c r="E103" s="134"/>
      <c r="F103" s="134"/>
      <c r="G103" s="134"/>
      <c r="H103" s="134"/>
      <c r="I103" s="134"/>
      <c r="J103" s="572"/>
      <c r="K103" s="572"/>
      <c r="L103" s="572"/>
      <c r="M103" s="572"/>
      <c r="N103" s="572"/>
      <c r="O103" s="572"/>
      <c r="P103" s="572"/>
      <c r="Q103" s="572"/>
      <c r="R103" s="572"/>
      <c r="S103" s="572"/>
      <c r="T103" s="134"/>
      <c r="U103" s="134"/>
      <c r="V103" s="134"/>
      <c r="W103" s="134"/>
      <c r="X103" s="134"/>
      <c r="Y103" s="134"/>
      <c r="Z103" s="134"/>
      <c r="AA103" s="134"/>
      <c r="AB103" s="134"/>
      <c r="AC103" s="572"/>
    </row>
    <row r="104" spans="1:29" x14ac:dyDescent="0.25">
      <c r="A104" s="134"/>
      <c r="B104" s="134"/>
      <c r="C104" s="134"/>
      <c r="D104" s="134"/>
      <c r="E104" s="134"/>
      <c r="F104" s="134"/>
      <c r="G104" s="134"/>
      <c r="H104" s="134"/>
      <c r="I104" s="134"/>
      <c r="J104" s="572"/>
      <c r="K104" s="572"/>
      <c r="L104" s="572"/>
      <c r="M104" s="572"/>
      <c r="N104" s="572"/>
      <c r="O104" s="572"/>
      <c r="P104" s="572"/>
      <c r="Q104" s="572"/>
      <c r="R104" s="572"/>
      <c r="S104" s="572"/>
      <c r="T104" s="134"/>
      <c r="U104" s="134"/>
      <c r="V104" s="134"/>
      <c r="W104" s="134"/>
      <c r="X104" s="134"/>
      <c r="Y104" s="134"/>
      <c r="Z104" s="134"/>
      <c r="AA104" s="134"/>
      <c r="AB104" s="134"/>
      <c r="AC104" s="572"/>
    </row>
    <row r="105" spans="1:29" x14ac:dyDescent="0.25">
      <c r="A105" s="134"/>
      <c r="B105" s="134"/>
      <c r="C105" s="134"/>
      <c r="D105" s="134"/>
      <c r="E105" s="134"/>
      <c r="F105" s="134"/>
      <c r="G105" s="134"/>
      <c r="H105" s="134"/>
      <c r="I105" s="134"/>
      <c r="J105" s="572"/>
      <c r="K105" s="572"/>
      <c r="L105" s="572"/>
      <c r="M105" s="572"/>
      <c r="N105" s="572"/>
      <c r="O105" s="572"/>
      <c r="P105" s="572"/>
      <c r="Q105" s="572"/>
      <c r="R105" s="572"/>
      <c r="S105" s="572"/>
      <c r="T105" s="134"/>
      <c r="U105" s="134"/>
      <c r="V105" s="134"/>
      <c r="W105" s="134"/>
      <c r="X105" s="134"/>
      <c r="Y105" s="134"/>
      <c r="Z105" s="134"/>
      <c r="AA105" s="134"/>
      <c r="AB105" s="134"/>
      <c r="AC105" s="572"/>
    </row>
    <row r="106" spans="1:29" x14ac:dyDescent="0.25">
      <c r="A106" s="134"/>
      <c r="B106" s="134"/>
      <c r="C106" s="134"/>
      <c r="D106" s="134"/>
      <c r="E106" s="134"/>
      <c r="F106" s="134"/>
      <c r="G106" s="134"/>
      <c r="H106" s="134"/>
      <c r="I106" s="134"/>
      <c r="J106" s="572"/>
      <c r="K106" s="572"/>
      <c r="L106" s="572"/>
      <c r="M106" s="572"/>
      <c r="N106" s="572"/>
      <c r="O106" s="572"/>
      <c r="P106" s="572"/>
      <c r="Q106" s="572"/>
      <c r="R106" s="572"/>
      <c r="S106" s="572"/>
      <c r="T106" s="134"/>
      <c r="U106" s="134"/>
      <c r="V106" s="134"/>
      <c r="W106" s="134"/>
      <c r="X106" s="134"/>
      <c r="Y106" s="134"/>
      <c r="Z106" s="134"/>
      <c r="AA106" s="134"/>
      <c r="AB106" s="134"/>
      <c r="AC106" s="572"/>
    </row>
    <row r="107" spans="1:29" x14ac:dyDescent="0.25">
      <c r="B107" s="134"/>
      <c r="C107" s="134"/>
      <c r="D107" s="134"/>
      <c r="E107" s="134"/>
      <c r="F107" s="134"/>
      <c r="G107" s="134"/>
      <c r="H107" s="134"/>
      <c r="I107" s="134"/>
    </row>
    <row r="108" spans="1:29" x14ac:dyDescent="0.25">
      <c r="B108" s="134"/>
      <c r="C108" s="134"/>
      <c r="D108" s="134"/>
      <c r="E108" s="134"/>
      <c r="F108" s="134"/>
      <c r="G108" s="134"/>
      <c r="H108" s="134"/>
      <c r="I108" s="134"/>
    </row>
    <row r="109" spans="1:29" x14ac:dyDescent="0.25">
      <c r="B109" s="134"/>
      <c r="C109" s="134"/>
      <c r="D109" s="134"/>
      <c r="E109" s="134"/>
      <c r="F109" s="134"/>
      <c r="G109" s="134"/>
      <c r="H109" s="134"/>
      <c r="I109" s="134"/>
    </row>
  </sheetData>
  <sheetProtection algorithmName="SHA-512" hashValue="oOKIU4eQFw0K1Xsf5dy+wxdghIKoK65F6ayVGbUg9CU5B6NyDXQ2qefyIh+GZCdrs4iZBMyD9X+CdLgv0Jf0SA==" saltValue="E0QJlS8808m7fxVHNZQ2Iw==" spinCount="100000" sheet="1" objects="1" scenarios="1" selectLockedCells="1"/>
  <mergeCells count="7">
    <mergeCell ref="C3:D3"/>
    <mergeCell ref="B34:I39"/>
    <mergeCell ref="B33:I33"/>
    <mergeCell ref="B41:I41"/>
    <mergeCell ref="B42:I47"/>
    <mergeCell ref="G8:H8"/>
    <mergeCell ref="G12:H12"/>
  </mergeCells>
  <conditionalFormatting sqref="B41:I47">
    <cfRule type="expression" dxfId="1473" priority="4">
      <formula>$D$20="No"</formula>
    </cfRule>
  </conditionalFormatting>
  <conditionalFormatting sqref="G12:H12">
    <cfRule type="expression" dxfId="1472" priority="1">
      <formula>$G$8="90 days"</formula>
    </cfRule>
    <cfRule type="expression" dxfId="1471" priority="2">
      <formula>AND($G$12&lt;&gt;"",$J$12&lt;&gt;"Saturday")</formula>
    </cfRule>
  </conditionalFormatting>
  <dataValidations count="8">
    <dataValidation type="list" allowBlank="1" showInputMessage="1" showErrorMessage="1" sqref="D14" xr:uid="{00000000-0002-0000-0100-000000000000}">
      <formula1>"Yes,No"</formula1>
    </dataValidation>
    <dataValidation type="list" allowBlank="1" showInputMessage="1" showErrorMessage="1" error="Please select from the dropdown menu" sqref="D16" xr:uid="{00000000-0002-0000-0100-000001000000}">
      <formula1>$Z$14:$Z$19</formula1>
    </dataValidation>
    <dataValidation type="list" allowBlank="1" showInputMessage="1" showErrorMessage="1" error="Please select from the dropdown menu" sqref="D20 D22" xr:uid="{00000000-0002-0000-0100-000002000000}">
      <formula1>"Yes,No"</formula1>
    </dataValidation>
    <dataValidation type="list" allowBlank="1" showInputMessage="1" showErrorMessage="1" error="Please select from the dropdown menu" sqref="D6:D7" xr:uid="{00000000-0002-0000-0100-000003000000}">
      <formula1>"New,Amendment"</formula1>
    </dataValidation>
    <dataValidation allowBlank="1" showInputMessage="1" showErrorMessage="1" error="Please select from the dropdown menu" sqref="D11" xr:uid="{00000000-0002-0000-0100-000005000000}"/>
    <dataValidation type="list" allowBlank="1" showInputMessage="1" showErrorMessage="1" sqref="G8:H8" xr:uid="{90E5367F-7983-4DDD-8177-CBDAA3416CAF}">
      <formula1>Extension</formula1>
    </dataValidation>
    <dataValidation type="date" operator="greaterThanOrEqual" allowBlank="1" showInputMessage="1" showErrorMessage="1" errorTitle="Date Type Error!" error="Invalid Date Data Entry!_x000a_Please format as ..._x000a_M/D/YYYY" sqref="D8 G12:H12" xr:uid="{44D7DE16-FDF1-4CEA-B480-ABD148CB8238}">
      <formula1>33922</formula1>
    </dataValidation>
    <dataValidation type="list" allowBlank="1" showInputMessage="1" showErrorMessage="1" error="Please select from the dropdown menu" sqref="D18" xr:uid="{00000000-0002-0000-0100-000004000000}">
      <formula1>no_of_customers</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5621FC10-1A32-43EA-AD96-C917E0090D63}">
          <x14:formula1>
            <xm:f>Lookups!$AB$1:$AB$6</xm:f>
          </x14:formula1>
          <xm:sqref>D10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D60"/>
  <sheetViews>
    <sheetView showGridLines="0" topLeftCell="E1" zoomScale="82" zoomScaleNormal="82" zoomScaleSheetLayoutView="80" workbookViewId="0">
      <selection activeCell="H6" sqref="H6"/>
    </sheetView>
  </sheetViews>
  <sheetFormatPr defaultColWidth="8.85546875" defaultRowHeight="15" x14ac:dyDescent="0.25"/>
  <cols>
    <col min="1" max="1" width="0.5703125" hidden="1" customWidth="1"/>
    <col min="2" max="2" width="2.5703125" hidden="1" customWidth="1"/>
    <col min="3" max="3" width="8.42578125" hidden="1" customWidth="1"/>
    <col min="4" max="4" width="14.140625" style="134" hidden="1" customWidth="1"/>
    <col min="5" max="5" width="2.7109375" style="697" customWidth="1"/>
    <col min="6" max="6" width="8.42578125" customWidth="1"/>
    <col min="7" max="7" width="14.5703125" customWidth="1"/>
    <col min="8" max="8" width="33.140625" style="685" customWidth="1"/>
    <col min="9" max="9" width="17" style="720" hidden="1" customWidth="1"/>
    <col min="10" max="10" width="23.140625" style="720"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685" customWidth="1"/>
    <col min="22" max="22" width="13.5703125" style="685" hidden="1" customWidth="1"/>
    <col min="23" max="23" width="13.28515625" style="1088" hidden="1" customWidth="1"/>
    <col min="24" max="24" width="4.5703125" customWidth="1"/>
    <col min="25" max="25" width="13.85546875" hidden="1" customWidth="1"/>
    <col min="26" max="26" width="38.7109375" hidden="1" customWidth="1"/>
    <col min="27" max="27" width="8" hidden="1" customWidth="1"/>
    <col min="28" max="28" width="13.5703125" hidden="1" customWidth="1"/>
    <col min="29" max="29" width="13.85546875" hidden="1" customWidth="1"/>
    <col min="30" max="30" width="11.28515625" hidden="1" customWidth="1"/>
    <col min="31" max="31" width="2" hidden="1" customWidth="1"/>
    <col min="32" max="36" width="8.85546875" hidden="1" customWidth="1"/>
    <col min="37" max="37" width="12.7109375" hidden="1" customWidth="1"/>
    <col min="38" max="38" width="8.85546875" hidden="1" customWidth="1"/>
    <col min="39" max="39" width="10.5703125" hidden="1" customWidth="1"/>
    <col min="40" max="40" width="8.85546875" hidden="1" customWidth="1"/>
    <col min="41" max="41" width="8.85546875" customWidth="1"/>
    <col min="42" max="42" width="26.5703125" hidden="1" customWidth="1"/>
    <col min="43" max="43" width="27.140625" hidden="1" customWidth="1"/>
    <col min="44" max="44" width="31.28515625" hidden="1" customWidth="1"/>
    <col min="45" max="45" width="13" hidden="1" customWidth="1"/>
    <col min="46" max="46" width="24.85546875" hidden="1" customWidth="1"/>
    <col min="47" max="47" width="21.7109375" hidden="1" customWidth="1"/>
    <col min="48" max="49" width="21.7109375" style="770" hidden="1" customWidth="1"/>
    <col min="50" max="50" width="17.7109375" hidden="1" customWidth="1"/>
    <col min="51" max="51" width="20.7109375" hidden="1" customWidth="1"/>
    <col min="52" max="52" width="28.7109375" hidden="1" customWidth="1"/>
    <col min="53" max="53" width="18.5703125" hidden="1" customWidth="1"/>
    <col min="54" max="54" width="20.7109375" hidden="1" customWidth="1"/>
    <col min="55" max="55" width="16.140625" hidden="1" customWidth="1"/>
    <col min="56" max="56" width="15.28515625" hidden="1" customWidth="1"/>
    <col min="57" max="58" width="8.85546875" customWidth="1"/>
  </cols>
  <sheetData>
    <row r="1" spans="1:56" ht="10.9" customHeight="1" thickBot="1" x14ac:dyDescent="0.3">
      <c r="E1" s="1065"/>
      <c r="F1" s="134"/>
      <c r="G1" s="318"/>
      <c r="H1" s="318"/>
      <c r="I1" s="318"/>
      <c r="J1" s="318"/>
      <c r="K1" s="134"/>
      <c r="L1" s="134"/>
      <c r="M1" s="134"/>
      <c r="N1" s="134"/>
      <c r="O1" s="134"/>
      <c r="P1" s="134"/>
      <c r="Q1" s="134"/>
      <c r="R1" s="134"/>
      <c r="S1" s="134"/>
      <c r="T1" s="134"/>
      <c r="U1" s="134"/>
      <c r="V1" s="134"/>
      <c r="W1" s="134"/>
      <c r="X1" s="134"/>
      <c r="Y1" s="134"/>
      <c r="Z1" s="134"/>
      <c r="AA1" s="134"/>
      <c r="AB1" s="134"/>
      <c r="AC1" s="134"/>
      <c r="AD1" s="134"/>
      <c r="AE1" s="134"/>
      <c r="AF1" s="134"/>
      <c r="AG1" s="134"/>
      <c r="AH1" s="134" t="e">
        <f>VLOOKUP('Existing Customers'!AB2,'Market Geography'!A:B,2,0)</f>
        <v>#N/A</v>
      </c>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1379"/>
      <c r="F2" s="1805" t="s">
        <v>870</v>
      </c>
      <c r="G2" s="1805"/>
      <c r="H2" s="684"/>
      <c r="I2" s="719"/>
      <c r="J2" s="719"/>
      <c r="K2" s="507"/>
      <c r="L2" s="507"/>
      <c r="M2" s="507"/>
      <c r="N2" s="507"/>
      <c r="O2" s="507"/>
      <c r="P2" s="135"/>
      <c r="Q2" s="135"/>
      <c r="R2" s="135"/>
      <c r="S2" s="507"/>
      <c r="T2" s="507"/>
      <c r="U2" s="507"/>
      <c r="V2" s="507"/>
      <c r="W2" s="507"/>
      <c r="X2" s="508"/>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1380"/>
      <c r="F3" s="602"/>
      <c r="G3" s="602"/>
      <c r="H3" s="602"/>
      <c r="I3" s="602"/>
      <c r="J3" s="602"/>
      <c r="K3" s="602"/>
      <c r="L3" s="988"/>
      <c r="M3" s="988"/>
      <c r="N3" s="988"/>
      <c r="O3" s="603"/>
      <c r="P3" s="987" t="str">
        <f>IF(Welcome!D6="New",IF(COUNTIFS($P$6:$P$25,"&gt;0")&lt;$C$4,"Must Enter Expected Sales for All Locations",""),IF(COUNTIFS($P$6:$P$25,"&gt;0",$W$6:$W$25,"&lt;&gt;End")&lt;COUNTIFS($W$6:$W$25,"&lt;&gt;End",$F$6:$F$25,"&gt;0"),"Must Enter Expected Sales for All Locations",""))</f>
        <v/>
      </c>
      <c r="Q3" s="986"/>
      <c r="R3" s="986"/>
      <c r="S3" s="602"/>
      <c r="T3" s="602"/>
      <c r="U3" s="602"/>
      <c r="V3" s="602"/>
      <c r="W3" s="602"/>
      <c r="X3" s="510"/>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IF(Welcome!$D$18="Select # of Locations",0,Welcome!$D$18)</f>
        <v>0</v>
      </c>
      <c r="D4" s="141"/>
      <c r="E4" s="1381"/>
      <c r="F4" s="604"/>
      <c r="G4" s="604"/>
      <c r="H4" s="604"/>
      <c r="I4" s="604"/>
      <c r="J4" s="604"/>
      <c r="K4" s="604"/>
      <c r="L4" s="604"/>
      <c r="M4" s="604"/>
      <c r="N4" s="604"/>
      <c r="O4" s="984"/>
      <c r="P4" s="985" t="str">
        <f>IF(Welcome!D6="New",IF(COUNTIFS($P$6:$P$25,"&gt;0")&lt;$C$4,"VVVVV",""),IF(COUNTIFS($P$6:$P$25,"&gt;0",$W$6:$W$25,"&lt;&gt;End")&lt;COUNTIFS($W$6:$W$25,"&lt;&gt;End",$F$6:$F$25,"&gt;0"),"VVVVV",""))</f>
        <v/>
      </c>
      <c r="Q4" s="984"/>
      <c r="R4" s="602"/>
      <c r="S4" s="602"/>
      <c r="T4" s="605"/>
      <c r="U4" s="605"/>
      <c r="V4" s="605"/>
      <c r="W4" s="605"/>
      <c r="X4" s="510"/>
      <c r="Y4" s="134"/>
      <c r="Z4" s="134"/>
      <c r="AA4" s="134"/>
      <c r="AB4" s="134"/>
      <c r="AC4" s="134"/>
      <c r="AF4" s="2"/>
      <c r="AG4" s="134"/>
      <c r="AI4" s="134"/>
      <c r="AJ4" s="134"/>
      <c r="AK4" s="342" t="e">
        <f>Welcome!#REF!</f>
        <v>#REF!</v>
      </c>
      <c r="AL4" s="342"/>
      <c r="AM4" s="342"/>
      <c r="AN4" s="601">
        <f>COUNTIF($AN$6:$AN$25,"FLAG")</f>
        <v>0</v>
      </c>
      <c r="AO4" s="134"/>
      <c r="AP4" s="134"/>
      <c r="AQ4" s="134"/>
      <c r="AR4" s="134"/>
      <c r="AS4" s="1799" t="s">
        <v>2083</v>
      </c>
      <c r="AT4" s="1799"/>
      <c r="AU4" s="1799"/>
      <c r="AV4" s="1480" t="s">
        <v>2084</v>
      </c>
      <c r="AW4" s="134"/>
      <c r="AX4" s="134"/>
      <c r="AY4" s="134"/>
      <c r="AZ4" s="134"/>
      <c r="BA4" s="1800" t="s">
        <v>2085</v>
      </c>
      <c r="BB4" s="1801"/>
      <c r="BC4" s="134"/>
      <c r="BD4" s="134"/>
    </row>
    <row r="5" spans="1:56" ht="49.5" customHeight="1" thickBot="1" x14ac:dyDescent="0.3">
      <c r="E5" s="1380"/>
      <c r="F5" s="567" t="s">
        <v>991</v>
      </c>
      <c r="G5" s="724" t="s">
        <v>1178</v>
      </c>
      <c r="H5" s="1688" t="s">
        <v>1182</v>
      </c>
      <c r="I5" s="1687" t="s">
        <v>1262</v>
      </c>
      <c r="J5" s="528" t="s">
        <v>1263</v>
      </c>
      <c r="K5" s="686" t="s">
        <v>868</v>
      </c>
      <c r="L5" s="529" t="s">
        <v>1183</v>
      </c>
      <c r="M5" s="529" t="s">
        <v>1190</v>
      </c>
      <c r="N5" s="529" t="s">
        <v>866</v>
      </c>
      <c r="O5" s="530" t="s">
        <v>1184</v>
      </c>
      <c r="P5" s="609" t="s">
        <v>1185</v>
      </c>
      <c r="Q5" s="610" t="s">
        <v>1186</v>
      </c>
      <c r="R5" s="1064" t="s">
        <v>1187</v>
      </c>
      <c r="S5" s="1064" t="s">
        <v>204</v>
      </c>
      <c r="T5" s="687" t="s">
        <v>1188</v>
      </c>
      <c r="U5" s="1702" t="s">
        <v>1189</v>
      </c>
      <c r="V5" s="1701" t="s">
        <v>1339</v>
      </c>
      <c r="W5" s="689" t="s">
        <v>1631</v>
      </c>
      <c r="X5" s="510"/>
      <c r="Y5" s="505" t="s">
        <v>458</v>
      </c>
      <c r="Z5" s="52" t="s">
        <v>869</v>
      </c>
      <c r="AA5" s="52" t="s">
        <v>204</v>
      </c>
      <c r="AB5" s="52" t="s">
        <v>503</v>
      </c>
      <c r="AC5" s="134"/>
      <c r="AD5" t="s">
        <v>883</v>
      </c>
      <c r="AE5">
        <f>MAX(AE6:AE25)</f>
        <v>0</v>
      </c>
      <c r="AF5" s="2"/>
      <c r="AG5" s="134"/>
      <c r="AI5" s="134"/>
      <c r="AJ5" s="134"/>
      <c r="AK5" s="134" t="s">
        <v>1071</v>
      </c>
      <c r="AL5" s="134" t="s">
        <v>1072</v>
      </c>
      <c r="AM5" s="134" t="s">
        <v>1073</v>
      </c>
      <c r="AN5" s="134" t="s">
        <v>1074</v>
      </c>
      <c r="AO5" s="134"/>
      <c r="AP5" s="134"/>
      <c r="AQ5" s="134"/>
      <c r="AR5" s="134"/>
      <c r="AS5" s="771" t="s">
        <v>1299</v>
      </c>
      <c r="AT5" s="771" t="s">
        <v>1301</v>
      </c>
      <c r="AU5" s="771" t="s">
        <v>1304</v>
      </c>
      <c r="AV5" s="771" t="s">
        <v>1307</v>
      </c>
      <c r="AW5" s="772" t="s">
        <v>1308</v>
      </c>
      <c r="AX5" s="772" t="s">
        <v>1309</v>
      </c>
      <c r="AY5" s="771" t="s">
        <v>1312</v>
      </c>
      <c r="AZ5" s="771" t="s">
        <v>1313</v>
      </c>
      <c r="BA5" s="772" t="s">
        <v>1305</v>
      </c>
      <c r="BB5" s="771" t="s">
        <v>1306</v>
      </c>
      <c r="BC5" s="1484" t="s">
        <v>1310</v>
      </c>
      <c r="BD5" s="1484" t="s">
        <v>1311</v>
      </c>
    </row>
    <row r="6" spans="1:56" x14ac:dyDescent="0.25">
      <c r="A6" t="str">
        <f t="shared" ref="A6:A25" si="0">IFERROR(RANK($AF6,$AF$6:$AF$25,1),"")</f>
        <v/>
      </c>
      <c r="B6">
        <f t="shared" ref="B6:B25" si="1">IF($G6="New Store",$G6&amp;" "&amp;$AD6,$G6)</f>
        <v>0</v>
      </c>
      <c r="C6" s="141">
        <v>1</v>
      </c>
      <c r="D6" s="141"/>
      <c r="E6" s="1381"/>
      <c r="F6" s="1681" t="str">
        <f>IF(BE6&lt;&gt;"Yes",IF(Welcome!$D$18="Select # of Locations","",IF($C6&lt;=Welcome!$D$18,$C6,"")),$C6)</f>
        <v/>
      </c>
      <c r="G6" s="1682"/>
      <c r="H6" s="1683"/>
      <c r="I6" s="1679"/>
      <c r="J6" s="1281"/>
      <c r="K6" s="1689" t="str">
        <f>IF(BE6&lt;&gt;"Yes",IF($C$4&gt;=$C6,IF(SUMIF('Existing Customers'!$A:$A,'Customer Inputs'!$G6,'Existing Customers'!$Q:$Q)=0,"Enter Spend&gt;&gt;&gt;",ROUND(SUMIF('Existing Customers'!$A:$A,'Customer Inputs'!$G6,'Existing Customers'!$Q:$Q),0)),""),IF(SUMIF('Existing Customers'!$A:$A,'Customer Inputs'!$G6,'Existing Customers'!$Q:$Q)=0,"Enter Spend&gt;&gt;&gt;",ROUND(SUMIF('Existing Customers'!$A:$A,'Customer Inputs'!$G6,'Existing Customers'!$Q:$Q),0)))</f>
        <v/>
      </c>
      <c r="L6" s="1690" t="str">
        <f>IF(BE6&lt;&gt;"Yes",IF($F6="","",'Multi-Customer'!$BK49),'Multi-Customer'!$BK49)</f>
        <v/>
      </c>
      <c r="M6" s="1690" t="str">
        <f>IF(BE6&lt;&gt;"Yes",IF($F6="","",IFERROR(VLOOKUP($G6,'Existing Customers'!$A:$AD,30,FALSE),"Enter Menu Type&gt;&gt;")),IFERROR(VLOOKUP($G6,'Existing Customers'!$A:$AD,30,FALSE),"Enter Menu Type&gt;&gt;"))</f>
        <v/>
      </c>
      <c r="N6" s="1690" t="str">
        <f>IF(BE6&lt;&gt;"Yes",IFERROR(IF($C$4&gt;=$C6,VLOOKUP($G6,'Existing Customers'!$A:$J,10,FALSE),""),"Enter Zip Code &gt;"),IFERROR(VLOOKUP($G6,'Existing Customers'!$A:$J,10,FALSE),"Enter Zip Code &gt;"))</f>
        <v/>
      </c>
      <c r="O6" s="1691" t="str">
        <f>IF(BE6&lt;&gt;"Yes",IF($F6="","",'Multi-Customer'!$BK50),'Multi-Customer'!$BK50)</f>
        <v/>
      </c>
      <c r="P6" s="1360"/>
      <c r="Q6" s="1361"/>
      <c r="R6" s="1362"/>
      <c r="S6" s="1363"/>
      <c r="T6" s="1364"/>
      <c r="U6" s="1698"/>
      <c r="V6" s="1696" t="s">
        <v>648</v>
      </c>
      <c r="W6" s="1089"/>
      <c r="X6" s="991" t="str">
        <f>IF($F6="","",'Variable Costs (Back)'!$A15)</f>
        <v/>
      </c>
      <c r="Y6" s="506" t="str">
        <f>IF(AND(W6&lt;&gt;"End",Q6=""),L6,Q6)</f>
        <v/>
      </c>
      <c r="Z6" s="52" t="str">
        <f t="shared" ref="Z6:Z25" si="2">IF(K6="Enter Spend&gt;&gt;&gt;",R6,M6)</f>
        <v/>
      </c>
      <c r="AA6" s="52" t="str">
        <f t="shared" ref="AA6:AA25" si="3">IF(K6="Enter Spend&gt;&gt;&gt;",S6,N6)</f>
        <v/>
      </c>
      <c r="AB6" s="52" t="str">
        <f>IF(AND(W6&lt;&gt;"End",T6=""),O6,T6)</f>
        <v/>
      </c>
      <c r="AC6" s="134">
        <f>IFERROR(AB6*(P6/$P$27),0)</f>
        <v>0</v>
      </c>
      <c r="AD6">
        <f>IF($G6="New Store",COUNTIF($G$6:$G$25,"New Store")-COUNTIF($G7:$G$25,"New Store"),0)</f>
        <v>0</v>
      </c>
      <c r="AE6" t="str">
        <f t="shared" ref="AE6:AE25" si="4">IFERROR(RANK($AF6,$AF$6:$AF$25,1),"")</f>
        <v/>
      </c>
      <c r="AF6" s="2" t="str">
        <f t="shared" ref="AF6:AF25" si="5">IF($G6="New Store",$F6,IF($K6="Enter Spend&gt;&gt;&gt;",$F6,""))</f>
        <v/>
      </c>
      <c r="AG6" s="134"/>
      <c r="AH6" t="e">
        <f>_xlfn.CONCAT($AH$1,"_",IF(NOT(ISBLANK($H$6)),$H$6,""),"_",Z6)</f>
        <v>#N/A</v>
      </c>
      <c r="AI6" s="134"/>
      <c r="AJ6" s="134"/>
      <c r="AK6" s="134" t="b">
        <f>NOT(ISERROR(IFERROR(VLOOKUP($G6&amp;"",'HOS_Modellable Customers'!$A:$A,1,0),VLOOKUP($G6,'HOS_Modellable Customers'!$A:$A,1,0))))</f>
        <v>0</v>
      </c>
      <c r="AL6" s="134" t="b">
        <f>NOT(ISERROR(IFERROR(VLOOKUP($G6&amp;"",'Modellable Customers'!$A:$A,1,0),VLOOKUP($G6,'Modellable Customers'!$A:$A,1,0))))</f>
        <v>0</v>
      </c>
      <c r="AM6" s="134" t="b">
        <f t="shared" ref="AM6:AM12" si="6">IF(K6="Enter Spend&gt;&gt;&gt;",TRUE,FALSE)</f>
        <v>0</v>
      </c>
      <c r="AN6" s="134" t="str">
        <f t="shared" ref="AN6:AN25" si="7">IF(G6="","CLEAR",IF(AM6=TRUE,"CLEAR",IF(AND($AK$4="HOSPITALITY",AK6=TRUE),"CLEAR",IF(AND($AK$4="INDEPENDENT RESTAURATEURS",AL6=TRUE),"CLEAR","FLAG"))))</f>
        <v>CLEAR</v>
      </c>
      <c r="AO6" s="134"/>
      <c r="AP6" s="134" t="str">
        <f>IF($G6="","",IF(AR6="","Prospect","Existing"))</f>
        <v/>
      </c>
      <c r="AQ6" s="688" t="str">
        <f>IF($F6="","",IF(OR(U6="",U6="Existing"),IFERROR(VLOOKUP($G6,'Existing Customers'!$A:$F,4,FALSE),""),""))</f>
        <v/>
      </c>
      <c r="AR6" s="134" t="str">
        <f>IF($F6="","",IFERROR(VLOOKUP($G6,'Existing Customers'!$A:$F,4,FALSE),""))</f>
        <v/>
      </c>
      <c r="AS6" s="52" t="str">
        <f>IF($F6="","",IFERROR(VLOOKUP($G6,'Existing Customer Variable Exp'!$B:$L,6,FALSE),0))</f>
        <v/>
      </c>
      <c r="AT6" s="52" t="str">
        <f>IF($F6="","",IFERROR(VLOOKUP($G6,'Existing Customer Variable Exp'!$B:$L,8,FALSE),BA6))</f>
        <v/>
      </c>
      <c r="AU6" s="52" t="str">
        <f>IF($F6="","",IFERROR(VLOOKUP($G6,'Existing Customer Variable Exp'!$B:$L,11,FALSE),BB6))</f>
        <v/>
      </c>
      <c r="AV6" s="52" t="str">
        <f>IF($F6="","",IF(AS6&lt;&gt;"",COUNTIF($AS$6:$AS$25,AS6),1))</f>
        <v/>
      </c>
      <c r="AW6" s="52" t="str">
        <f>IF($F6="","",IFERROR(AT6/AV6,0))</f>
        <v/>
      </c>
      <c r="AX6" s="52" t="str">
        <f>IF($F6="","",IFERROR(AU6/AV6,0))</f>
        <v/>
      </c>
      <c r="AY6" s="52" t="str">
        <f>IF($F6="","",IFERROR(VLOOKUP($H6,'Prospect Slot Assumptions'!$A:$D,2,FALSE),0))</f>
        <v/>
      </c>
      <c r="AZ6" s="52" t="str">
        <f>IF($F6="","",IFERROR(VLOOKUP($H6,'Prospect Slot Assumptions'!$A:$D,3,FALSE),0))</f>
        <v/>
      </c>
      <c r="BA6" s="52" t="str">
        <f>IF($F6="","",IF(AS6=0,Welcome!$G$30,0))</f>
        <v/>
      </c>
      <c r="BB6" s="52" t="str">
        <f>IF($F6="","",IF(BA6&lt;&gt;0,(BA6*SUMIF('Prospect Slot Assumptions'!$A$2:$A$11,H6,'Prospect Slot Assumptions'!$B$2:$B$11))+(BA6*SUMIF('Prospect Slot Assumptions'!$A$2:$A$11,H6,'Prospect Slot Assumptions'!$C$2:$C$11)),0))</f>
        <v/>
      </c>
      <c r="BC6" s="52" t="str">
        <f>IF($F6="","",IFERROR(VLOOKUP($H6,'Prospect Slot Assumptions'!$A:$D,4,FALSE),0))</f>
        <v/>
      </c>
      <c r="BD6" s="52" t="str">
        <f>IF($F6="","",IFERROR(BC6*AX6,0))</f>
        <v/>
      </c>
    </row>
    <row r="7" spans="1:56" x14ac:dyDescent="0.25">
      <c r="A7" t="str">
        <f t="shared" si="0"/>
        <v/>
      </c>
      <c r="B7">
        <f t="shared" si="1"/>
        <v>0</v>
      </c>
      <c r="C7" s="141">
        <v>2</v>
      </c>
      <c r="D7" s="141"/>
      <c r="E7" s="1381"/>
      <c r="F7" s="1684" t="str">
        <f>IF(BE7&lt;&gt;"Yes",IF(Welcome!$D$18="Select # of Locations","",IF($C7&lt;=Welcome!$D$18,$C7,"")),$C7)</f>
        <v/>
      </c>
      <c r="G7" s="1569"/>
      <c r="H7" s="1685"/>
      <c r="I7" s="1680"/>
      <c r="J7" s="1282"/>
      <c r="K7" s="1692" t="str">
        <f>IF(BE7&lt;&gt;"Yes",IF($C$4&gt;=$C7,IF(SUMIF('Existing Customers'!$A:$A,'Customer Inputs'!$G7,'Existing Customers'!$Q:$Q)=0,"Enter Spend&gt;&gt;&gt;",ROUND(SUMIF('Existing Customers'!$A:$A,'Customer Inputs'!$G7,'Existing Customers'!$Q:$Q),0)),""),IF(SUMIF('Existing Customers'!$A:$A,'Customer Inputs'!$G7,'Existing Customers'!$Q:$Q)=0,"Enter Spend&gt;&gt;&gt;",ROUND(SUMIF('Existing Customers'!$A:$A,'Customer Inputs'!$G7,'Existing Customers'!$Q:$Q),0)))</f>
        <v/>
      </c>
      <c r="L7" s="1693" t="str">
        <f>IF(BE7&lt;&gt;"Yes",IF($F7="","",'Multi-Customer'!$CH49),'Multi-Customer'!$CH49)</f>
        <v/>
      </c>
      <c r="M7" s="1693" t="str">
        <f>IF(BE7&lt;&gt;"Yes",IF($F7="","",IFERROR(VLOOKUP($G7,'Existing Customers'!$A:$AD,30,FALSE),"Enter Menu Type&gt;&gt;")),IFERROR(VLOOKUP($G7,'Existing Customers'!$A:$AD,30,FALSE),"Enter Menu Type&gt;&gt;"))</f>
        <v/>
      </c>
      <c r="N7" s="1693" t="str">
        <f>IF(BE7&lt;&gt;"Yes",IFERROR(IF($C$4&gt;=$C7,VLOOKUP($G7,'Existing Customers'!$A:$J,10,FALSE),""),"Enter Zip Code &gt;"),IFERROR(VLOOKUP($G7,'Existing Customers'!$A:$J,10,FALSE),"Enter Zip Code &gt;"))</f>
        <v/>
      </c>
      <c r="O7" s="1694" t="str">
        <f>IF(BE7&lt;&gt;"Yes",IF($F7="","",'Multi-Customer'!$CH50),'Multi-Customer'!$CH50)</f>
        <v/>
      </c>
      <c r="P7" s="1366"/>
      <c r="Q7" s="1367"/>
      <c r="R7" s="1368"/>
      <c r="S7" s="1365"/>
      <c r="T7" s="1369"/>
      <c r="U7" s="1699"/>
      <c r="V7" s="1697" t="s">
        <v>648</v>
      </c>
      <c r="W7" s="1090"/>
      <c r="X7" s="991" t="str">
        <f>IF($F7="","",'Variable Costs (Back)'!$A16)</f>
        <v/>
      </c>
      <c r="Y7" s="506" t="str">
        <f t="shared" ref="Y7:Y25" si="8">IF(AND(W7&lt;&gt;"End",Q7=""),L7,Q7)</f>
        <v/>
      </c>
      <c r="Z7" s="52" t="str">
        <f t="shared" si="2"/>
        <v/>
      </c>
      <c r="AA7" s="52" t="str">
        <f t="shared" si="3"/>
        <v/>
      </c>
      <c r="AB7" s="52" t="str">
        <f t="shared" ref="AB7:AB25" si="9">IF(AND(W7&lt;&gt;"End",T7=""),O7,T7)</f>
        <v/>
      </c>
      <c r="AC7" s="134">
        <f t="shared" ref="AC7:AC25" si="10">IFERROR(AB7*(P7/$P$27),0)</f>
        <v>0</v>
      </c>
      <c r="AD7">
        <f>IF($G7="New Store",COUNTIF($G$6:$G$25,"New Store")-COUNTIF($G8:$G$25,"New Store"),0)</f>
        <v>0</v>
      </c>
      <c r="AE7" t="str">
        <f t="shared" si="4"/>
        <v/>
      </c>
      <c r="AF7" s="2" t="str">
        <f t="shared" si="5"/>
        <v/>
      </c>
      <c r="AG7" s="134"/>
      <c r="AH7" t="e">
        <f>_xlfn.CONCAT($AH$1,"_",IF(NOT(ISBLANK($H$7)),$H$7,""),"_",Z7)</f>
        <v>#N/A</v>
      </c>
      <c r="AI7" s="134"/>
      <c r="AJ7" s="134"/>
      <c r="AK7" s="134" t="b">
        <f>NOT(ISERROR(IFERROR(VLOOKUP($G7&amp;"",'HOS_Modellable Customers'!$A:$A,1,0),VLOOKUP($G7,'HOS_Modellable Customers'!$A:$A,1,0))))</f>
        <v>0</v>
      </c>
      <c r="AL7" s="134" t="b">
        <f>NOT(ISERROR(IFERROR(VLOOKUP($G7&amp;"",'Modellable Customers'!$A:$A,1,0),VLOOKUP($G7,'Modellable Customers'!$A:$A,1,0))))</f>
        <v>0</v>
      </c>
      <c r="AM7" s="134" t="b">
        <f t="shared" si="6"/>
        <v>0</v>
      </c>
      <c r="AN7" s="134" t="str">
        <f t="shared" si="7"/>
        <v>CLEAR</v>
      </c>
      <c r="AO7" s="134"/>
      <c r="AP7" s="134" t="str">
        <f t="shared" ref="AP7:AP25" si="11">IF($G7="","",IF(AR7="","Prospect","Existing"))</f>
        <v/>
      </c>
      <c r="AQ7" s="688" t="str">
        <f>IF($F7="","",IF(OR(U7="",U7="Existing"),IFERROR(VLOOKUP($G7,'Existing Customers'!$A:$F,4,FALSE),""),""))</f>
        <v/>
      </c>
      <c r="AR7" s="134" t="str">
        <f>IF($F7="","",IFERROR(VLOOKUP($G7,'Existing Customers'!$A:$F,4,FALSE),""))</f>
        <v/>
      </c>
      <c r="AS7" s="52" t="str">
        <f>IF($F7="","",IFERROR(VLOOKUP($G7,'Existing Customer Variable Exp'!$B:$L,6,FALSE),0))</f>
        <v/>
      </c>
      <c r="AT7" s="52" t="str">
        <f>IF($F7="","",IFERROR(VLOOKUP($G7,'Existing Customer Variable Exp'!$B:$L,8,FALSE),BA7))</f>
        <v/>
      </c>
      <c r="AU7" s="52" t="str">
        <f>IF($F7="","",IFERROR(VLOOKUP($G7,'Existing Customer Variable Exp'!$B:$L,11,FALSE),BB7))</f>
        <v/>
      </c>
      <c r="AV7" s="52" t="str">
        <f t="shared" ref="AV7:AV25" si="12">IF($F7="","",IF(AS7&lt;&gt;"",COUNTIF($AS$6:$AS$25,AS7),1))</f>
        <v/>
      </c>
      <c r="AW7" s="52" t="str">
        <f t="shared" ref="AW7:AW25" si="13">IF($F7="","",IFERROR(AT7/AV7,0))</f>
        <v/>
      </c>
      <c r="AX7" s="52" t="str">
        <f t="shared" ref="AX7:AX25" si="14">IF($F7="","",IFERROR(AU7/AV7,0))</f>
        <v/>
      </c>
      <c r="AY7" s="52" t="str">
        <f>IF($F7="","",IFERROR(VLOOKUP($H7,'Prospect Slot Assumptions'!$A:$D,2,FALSE),0))</f>
        <v/>
      </c>
      <c r="AZ7" s="52" t="str">
        <f>IF($F7="","",IFERROR(VLOOKUP($H7,'Prospect Slot Assumptions'!$A:$D,3,FALSE),0))</f>
        <v/>
      </c>
      <c r="BA7" s="52" t="str">
        <f>IF($F7="","",IF(AS7=0,Welcome!$G$30,0))</f>
        <v/>
      </c>
      <c r="BB7" s="52" t="str">
        <f>IF($F7="","",IF(BA7&lt;&gt;0,(BA7*SUMIF('Prospect Slot Assumptions'!$A$2:$A$11,H7,'Prospect Slot Assumptions'!$B$2:$B$11))+(BA7*SUMIF('Prospect Slot Assumptions'!$A$2:$A$11,H7,'Prospect Slot Assumptions'!$C$2:$C$11)),0))</f>
        <v/>
      </c>
      <c r="BC7" s="52" t="str">
        <f>IF($F7="","",IFERROR(VLOOKUP($H7,'Prospect Slot Assumptions'!$A:$D,4,FALSE),0))</f>
        <v/>
      </c>
      <c r="BD7" s="52" t="str">
        <f t="shared" ref="BD7:BD25" si="15">IF($F7="","",IFERROR(BC7*AX7,0))</f>
        <v/>
      </c>
    </row>
    <row r="8" spans="1:56" x14ac:dyDescent="0.25">
      <c r="A8" t="str">
        <f t="shared" si="0"/>
        <v/>
      </c>
      <c r="B8">
        <f t="shared" si="1"/>
        <v>0</v>
      </c>
      <c r="C8" s="141">
        <v>3</v>
      </c>
      <c r="D8" s="141"/>
      <c r="E8" s="1381"/>
      <c r="F8" s="1684" t="str">
        <f>IF(BE8&lt;&gt;"Yes",IF(Welcome!$D$18="Select # of Locations","",IF($C8&lt;=Welcome!$D$18,$C8,"")),$C8)</f>
        <v/>
      </c>
      <c r="G8" s="1569"/>
      <c r="H8" s="1685"/>
      <c r="I8" s="1680"/>
      <c r="J8" s="1282"/>
      <c r="K8" s="1692" t="str">
        <f>IF(BE8&lt;&gt;"Yes",IF($C$4&gt;=$C8,IF(SUMIF('Existing Customers'!$A:$A,'Customer Inputs'!$G8,'Existing Customers'!$Q:$Q)=0,"Enter Spend&gt;&gt;&gt;",ROUND(SUMIF('Existing Customers'!$A:$A,'Customer Inputs'!$G8,'Existing Customers'!$Q:$Q),0)),""),IF(SUMIF('Existing Customers'!$A:$A,'Customer Inputs'!$G8,'Existing Customers'!$Q:$Q)=0,"Enter Spend&gt;&gt;&gt;",ROUND(SUMIF('Existing Customers'!$A:$A,'Customer Inputs'!$G8,'Existing Customers'!$Q:$Q),0)))</f>
        <v/>
      </c>
      <c r="L8" s="1693" t="str">
        <f>IF(BE8&lt;&gt;"Yes",IF($F8="","",'Multi-Customer'!$DE49),'Multi-Customer'!$DE49)</f>
        <v/>
      </c>
      <c r="M8" s="1693" t="str">
        <f>IF(BE8&lt;&gt;"Yes",IF($F8="","",IFERROR(VLOOKUP($G8,'Existing Customers'!$A:$AD,30,FALSE),"Enter Menu Type&gt;&gt;")),IFERROR(VLOOKUP($G8,'Existing Customers'!$A:$AD,30,FALSE),"Enter Menu Type&gt;&gt;"))</f>
        <v/>
      </c>
      <c r="N8" s="1693" t="str">
        <f>IF(BE8&lt;&gt;"Yes",IFERROR(IF($C$4&gt;=$C8,VLOOKUP($G8,'Existing Customers'!$A:$J,10,FALSE),""),"Enter Zip Code &gt;"),IFERROR(VLOOKUP($G8,'Existing Customers'!$A:$J,10,FALSE),"Enter Zip Code &gt;"))</f>
        <v/>
      </c>
      <c r="O8" s="1694" t="str">
        <f>IF(BE8&lt;&gt;"Yes",IF($F8="","",'Multi-Customer'!$DE50),'Multi-Customer'!$DE50)</f>
        <v/>
      </c>
      <c r="P8" s="1366"/>
      <c r="Q8" s="1367"/>
      <c r="R8" s="1368"/>
      <c r="S8" s="1365"/>
      <c r="T8" s="1369"/>
      <c r="U8" s="1699"/>
      <c r="V8" s="1697" t="s">
        <v>648</v>
      </c>
      <c r="W8" s="1090"/>
      <c r="X8" s="991" t="str">
        <f>IF($F8="","",'Variable Costs (Back)'!$A17)</f>
        <v/>
      </c>
      <c r="Y8" s="506" t="str">
        <f t="shared" si="8"/>
        <v/>
      </c>
      <c r="Z8" s="52" t="str">
        <f t="shared" si="2"/>
        <v/>
      </c>
      <c r="AA8" s="52" t="str">
        <f t="shared" si="3"/>
        <v/>
      </c>
      <c r="AB8" s="52" t="str">
        <f t="shared" si="9"/>
        <v/>
      </c>
      <c r="AC8" s="134">
        <f t="shared" si="10"/>
        <v>0</v>
      </c>
      <c r="AD8">
        <f>IF($G8="New Store",COUNTIF($G$6:$G$25,"New Store")-COUNTIF($G9:$G$25,"New Store"),0)</f>
        <v>0</v>
      </c>
      <c r="AE8" t="str">
        <f t="shared" si="4"/>
        <v/>
      </c>
      <c r="AF8" s="2" t="str">
        <f t="shared" si="5"/>
        <v/>
      </c>
      <c r="AG8" s="134"/>
      <c r="AH8" t="e">
        <f>_xlfn.CONCAT($AH$1,"_",IF(NOT(ISBLANK($H$8)),$H$8,""),"_",Z8)</f>
        <v>#N/A</v>
      </c>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6"/>
        <v>0</v>
      </c>
      <c r="AN8" s="134" t="str">
        <f t="shared" si="7"/>
        <v>CLEAR</v>
      </c>
      <c r="AO8" s="134"/>
      <c r="AP8" s="134" t="str">
        <f t="shared" si="11"/>
        <v/>
      </c>
      <c r="AQ8" s="688" t="str">
        <f>IF($F8="","",IF(OR(U8="",U8="Existing"),IFERROR(VLOOKUP($G8,'Existing Customers'!$A:$F,4,FALSE),""),""))</f>
        <v/>
      </c>
      <c r="AR8" s="134" t="str">
        <f>IF($F8="","",IFERROR(VLOOKUP($G8,'Existing Customers'!$A:$F,4,FALSE),""))</f>
        <v/>
      </c>
      <c r="AS8" s="52" t="str">
        <f>IF($F8="","",IFERROR(VLOOKUP($G8,'Existing Customer Variable Exp'!$B:$L,6,FALSE),0))</f>
        <v/>
      </c>
      <c r="AT8" s="52" t="str">
        <f>IF($F8="","",IFERROR(VLOOKUP($G8,'Existing Customer Variable Exp'!$B:$L,8,FALSE),BA8))</f>
        <v/>
      </c>
      <c r="AU8" s="52" t="str">
        <f>IF($F8="","",IFERROR(VLOOKUP($G8,'Existing Customer Variable Exp'!$B:$L,11,FALSE),BB8))</f>
        <v/>
      </c>
      <c r="AV8" s="52" t="str">
        <f t="shared" si="12"/>
        <v/>
      </c>
      <c r="AW8" s="52" t="str">
        <f t="shared" si="13"/>
        <v/>
      </c>
      <c r="AX8" s="52" t="str">
        <f t="shared" si="14"/>
        <v/>
      </c>
      <c r="AY8" s="52" t="str">
        <f>IF($F8="","",IFERROR(VLOOKUP($H8,'Prospect Slot Assumptions'!$A:$D,2,FALSE),0))</f>
        <v/>
      </c>
      <c r="AZ8" s="52" t="str">
        <f>IF($F8="","",IFERROR(VLOOKUP($H8,'Prospect Slot Assumptions'!$A:$D,3,FALSE),0))</f>
        <v/>
      </c>
      <c r="BA8" s="52" t="str">
        <f>IF($F8="","",IF(AS8=0,Welcome!$G$30,0))</f>
        <v/>
      </c>
      <c r="BB8" s="52" t="str">
        <f>IF($F8="","",IF(BA8&lt;&gt;0,(BA8*SUMIF('Prospect Slot Assumptions'!$A$2:$A$11,H8,'Prospect Slot Assumptions'!$B$2:$B$11))+(BA8*SUMIF('Prospect Slot Assumptions'!$A$2:$A$11,H8,'Prospect Slot Assumptions'!$C$2:$C$11)),0))</f>
        <v/>
      </c>
      <c r="BC8" s="52" t="str">
        <f>IF($F8="","",IFERROR(VLOOKUP($H8,'Prospect Slot Assumptions'!$A:$D,4,FALSE),0))</f>
        <v/>
      </c>
      <c r="BD8" s="52" t="str">
        <f t="shared" si="15"/>
        <v/>
      </c>
    </row>
    <row r="9" spans="1:56" x14ac:dyDescent="0.25">
      <c r="A9" t="str">
        <f t="shared" si="0"/>
        <v/>
      </c>
      <c r="B9">
        <f t="shared" si="1"/>
        <v>0</v>
      </c>
      <c r="C9" s="141">
        <v>4</v>
      </c>
      <c r="D9" s="141"/>
      <c r="E9" s="1381"/>
      <c r="F9" s="1684" t="str">
        <f>IF(BE9&lt;&gt;"Yes",IF(Welcome!$D$18="Select # of Locations","",IF($C9&lt;=Welcome!$D$18,$C9,"")),$C9)</f>
        <v/>
      </c>
      <c r="G9" s="1569"/>
      <c r="H9" s="1685"/>
      <c r="I9" s="1680"/>
      <c r="J9" s="1282"/>
      <c r="K9" s="1692" t="str">
        <f>IF(BE9&lt;&gt;"Yes",IF($C$4&gt;=$C9,IF(SUMIF('Existing Customers'!$A:$A,'Customer Inputs'!$G9,'Existing Customers'!$Q:$Q)=0,"Enter Spend&gt;&gt;&gt;",ROUND(SUMIF('Existing Customers'!$A:$A,'Customer Inputs'!$G9,'Existing Customers'!$Q:$Q),0)),""),IF(SUMIF('Existing Customers'!$A:$A,'Customer Inputs'!$G9,'Existing Customers'!$Q:$Q)=0,"Enter Spend&gt;&gt;&gt;",ROUND(SUMIF('Existing Customers'!$A:$A,'Customer Inputs'!$G9,'Existing Customers'!$Q:$Q),0)))</f>
        <v/>
      </c>
      <c r="L9" s="1693" t="str">
        <f>IF(BE9&lt;&gt;"Yes",IF($F9="","",'Multi-Customer'!$EB49),'Multi-Customer'!$EB49)</f>
        <v/>
      </c>
      <c r="M9" s="1693" t="str">
        <f>IF(BE9&lt;&gt;"Yes",IF($F9="","",IFERROR(VLOOKUP($G9,'Existing Customers'!$A:$AD,30,FALSE),"Enter Menu Type&gt;&gt;")),IFERROR(VLOOKUP($G9,'Existing Customers'!$A:$AD,30,FALSE),"Enter Menu Type&gt;&gt;"))</f>
        <v/>
      </c>
      <c r="N9" s="1693" t="str">
        <f>IF(BE9&lt;&gt;"Yes",IFERROR(IF($C$4&gt;=$C9,VLOOKUP($G9,'Existing Customers'!$A:$J,10,FALSE),""),"Enter Zip Code &gt;"),IFERROR(VLOOKUP($G9,'Existing Customers'!$A:$J,10,FALSE),"Enter Zip Code &gt;"))</f>
        <v/>
      </c>
      <c r="O9" s="1694" t="str">
        <f>IF(BE9&lt;&gt;"Yes",IF($F9="","",'Multi-Customer'!$EB50),'Multi-Customer'!$EB50)</f>
        <v/>
      </c>
      <c r="P9" s="1366"/>
      <c r="Q9" s="1367"/>
      <c r="R9" s="1368"/>
      <c r="S9" s="1365"/>
      <c r="T9" s="1369"/>
      <c r="U9" s="1699"/>
      <c r="V9" s="1697" t="s">
        <v>648</v>
      </c>
      <c r="W9" s="1090"/>
      <c r="X9" s="991" t="str">
        <f>IF($F9="","",'Variable Costs (Back)'!$A18)</f>
        <v/>
      </c>
      <c r="Y9" s="506" t="str">
        <f t="shared" si="8"/>
        <v/>
      </c>
      <c r="Z9" s="52" t="str">
        <f t="shared" si="2"/>
        <v/>
      </c>
      <c r="AA9" s="52" t="str">
        <f t="shared" si="3"/>
        <v/>
      </c>
      <c r="AB9" s="52" t="str">
        <f t="shared" si="9"/>
        <v/>
      </c>
      <c r="AC9" s="134">
        <f t="shared" si="10"/>
        <v>0</v>
      </c>
      <c r="AD9">
        <f>IF($G9="New Store",COUNTIF($G$6:$G$25,"New Store")-COUNTIF($G10:$G$25,"New Store"),0)</f>
        <v>0</v>
      </c>
      <c r="AE9" t="str">
        <f t="shared" si="4"/>
        <v/>
      </c>
      <c r="AF9" s="2" t="str">
        <f t="shared" si="5"/>
        <v/>
      </c>
      <c r="AG9" s="134"/>
      <c r="AH9" t="e">
        <f>_xlfn.CONCAT($AH$1,"_",IF(NOT(ISBLANK($H$9)),$H$9,""),"_",Z9)</f>
        <v>#N/A</v>
      </c>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6"/>
        <v>0</v>
      </c>
      <c r="AN9" s="134" t="str">
        <f t="shared" si="7"/>
        <v>CLEAR</v>
      </c>
      <c r="AO9" s="134"/>
      <c r="AP9" s="134" t="str">
        <f t="shared" si="11"/>
        <v/>
      </c>
      <c r="AQ9" s="688" t="str">
        <f>IF($F9="","",IF(OR(U9="",U9="Existing"),IFERROR(VLOOKUP($G9,'Existing Customers'!$A:$F,4,FALSE),""),""))</f>
        <v/>
      </c>
      <c r="AR9" s="134" t="str">
        <f>IF($F9="","",IFERROR(VLOOKUP($G9,'Existing Customers'!$A:$F,4,FALSE),""))</f>
        <v/>
      </c>
      <c r="AS9" s="52" t="str">
        <f>IF($F9="","",IFERROR(VLOOKUP($G9,'Existing Customer Variable Exp'!$B:$L,6,FALSE),0))</f>
        <v/>
      </c>
      <c r="AT9" s="52" t="str">
        <f>IF($F9="","",IFERROR(VLOOKUP($G9,'Existing Customer Variable Exp'!$B:$L,8,FALSE),BA9))</f>
        <v/>
      </c>
      <c r="AU9" s="52" t="str">
        <f>IF($F9="","",IFERROR(VLOOKUP($G9,'Existing Customer Variable Exp'!$B:$L,11,FALSE),BB9))</f>
        <v/>
      </c>
      <c r="AV9" s="52" t="str">
        <f t="shared" si="12"/>
        <v/>
      </c>
      <c r="AW9" s="52" t="str">
        <f t="shared" si="13"/>
        <v/>
      </c>
      <c r="AX9" s="52" t="str">
        <f t="shared" si="14"/>
        <v/>
      </c>
      <c r="AY9" s="52" t="str">
        <f>IF($F9="","",IFERROR(VLOOKUP($H9,'Prospect Slot Assumptions'!$A:$D,2,FALSE),0))</f>
        <v/>
      </c>
      <c r="AZ9" s="52" t="str">
        <f>IF($F9="","",IFERROR(VLOOKUP($H9,'Prospect Slot Assumptions'!$A:$D,3,FALSE),0))</f>
        <v/>
      </c>
      <c r="BA9" s="52" t="str">
        <f>IF($F9="","",IF(AS9=0,Welcome!$G$30,0))</f>
        <v/>
      </c>
      <c r="BB9" s="52" t="str">
        <f>IF($F9="","",IF(BA9&lt;&gt;0,(BA9*SUMIF('Prospect Slot Assumptions'!$A$2:$A$11,H9,'Prospect Slot Assumptions'!$B$2:$B$11))+(BA9*SUMIF('Prospect Slot Assumptions'!$A$2:$A$11,H9,'Prospect Slot Assumptions'!$C$2:$C$11)),0))</f>
        <v/>
      </c>
      <c r="BC9" s="52" t="str">
        <f>IF($F9="","",IFERROR(VLOOKUP($H9,'Prospect Slot Assumptions'!$A:$D,4,FALSE),0))</f>
        <v/>
      </c>
      <c r="BD9" s="52" t="str">
        <f t="shared" si="15"/>
        <v/>
      </c>
    </row>
    <row r="10" spans="1:56" x14ac:dyDescent="0.25">
      <c r="A10" t="str">
        <f t="shared" si="0"/>
        <v/>
      </c>
      <c r="B10">
        <f t="shared" si="1"/>
        <v>0</v>
      </c>
      <c r="C10" s="141">
        <v>5</v>
      </c>
      <c r="D10" s="141"/>
      <c r="E10" s="1381"/>
      <c r="F10" s="1684" t="str">
        <f>IF(BE10&lt;&gt;"Yes",IF(Welcome!$D$18="Select # of Locations","",IF($C10&lt;=Welcome!$D$18,$C10,"")),$C10)</f>
        <v/>
      </c>
      <c r="G10" s="1569"/>
      <c r="H10" s="1685"/>
      <c r="I10" s="1680"/>
      <c r="J10" s="1282"/>
      <c r="K10" s="1692" t="str">
        <f>IF(BE10&lt;&gt;"Yes",IF($C$4&gt;=$C10,IF(SUMIF('Existing Customers'!$A:$A,'Customer Inputs'!$G10,'Existing Customers'!$Q:$Q)=0,"Enter Spend&gt;&gt;&gt;",ROUND(SUMIF('Existing Customers'!$A:$A,'Customer Inputs'!$G10,'Existing Customers'!$Q:$Q),0)),""),IF(SUMIF('Existing Customers'!$A:$A,'Customer Inputs'!$G10,'Existing Customers'!$Q:$Q)=0,"Enter Spend&gt;&gt;&gt;",ROUND(SUMIF('Existing Customers'!$A:$A,'Customer Inputs'!$G10,'Existing Customers'!$Q:$Q),0)))</f>
        <v/>
      </c>
      <c r="L10" s="1693" t="str">
        <f>IF(BE10&lt;&gt;"Yes",IF($F10="","",'Multi-Customer'!$EY49),'Multi-Customer'!$EY49)</f>
        <v/>
      </c>
      <c r="M10" s="1693" t="str">
        <f>IF(BE10&lt;&gt;"Yes",IF($F10="","",IFERROR(VLOOKUP($G10,'Existing Customers'!$A:$AD,30,FALSE),"Enter Menu Type&gt;&gt;")),IFERROR(VLOOKUP($G10,'Existing Customers'!$A:$AD,30,FALSE),"Enter Menu Type&gt;&gt;"))</f>
        <v/>
      </c>
      <c r="N10" s="1693" t="str">
        <f>IF(BE10&lt;&gt;"Yes",IFERROR(IF($C$4&gt;=$C10,VLOOKUP($G10,'Existing Customers'!$A:$J,10,FALSE),""),"Enter Zip Code &gt;"),IFERROR(VLOOKUP($G10,'Existing Customers'!$A:$J,10,FALSE),"Enter Zip Code &gt;"))</f>
        <v/>
      </c>
      <c r="O10" s="1694" t="str">
        <f>IF(BE10&lt;&gt;"Yes",IF($F10="","",'Multi-Customer'!$EY50),'Multi-Customer'!$EY50)</f>
        <v/>
      </c>
      <c r="P10" s="1366"/>
      <c r="Q10" s="1367"/>
      <c r="R10" s="1368"/>
      <c r="S10" s="1365"/>
      <c r="T10" s="1369"/>
      <c r="U10" s="1699"/>
      <c r="V10" s="1697" t="s">
        <v>648</v>
      </c>
      <c r="W10" s="1090"/>
      <c r="X10" s="991" t="str">
        <f>IF($F10="","",'Variable Costs (Back)'!$A19)</f>
        <v/>
      </c>
      <c r="Y10" s="506" t="str">
        <f t="shared" si="8"/>
        <v/>
      </c>
      <c r="Z10" s="52" t="str">
        <f t="shared" si="2"/>
        <v/>
      </c>
      <c r="AA10" s="52" t="str">
        <f t="shared" si="3"/>
        <v/>
      </c>
      <c r="AB10" s="52" t="str">
        <f t="shared" si="9"/>
        <v/>
      </c>
      <c r="AC10" s="134">
        <f t="shared" si="10"/>
        <v>0</v>
      </c>
      <c r="AD10">
        <f>IF($G10="New Store",COUNTIF($G$6:$G$25,"New Store")-COUNTIF($G11:$G$25,"New Store"),0)</f>
        <v>0</v>
      </c>
      <c r="AE10" t="str">
        <f t="shared" si="4"/>
        <v/>
      </c>
      <c r="AF10" s="2" t="str">
        <f t="shared" si="5"/>
        <v/>
      </c>
      <c r="AG10" s="134"/>
      <c r="AH10" t="e">
        <f>_xlfn.CONCAT($AH$1,"_",IF(NOT(ISBLANK($H$10)),$H$10,""),"_",Z10)</f>
        <v>#N/A</v>
      </c>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6"/>
        <v>0</v>
      </c>
      <c r="AN10" s="134" t="str">
        <f t="shared" si="7"/>
        <v>CLEAR</v>
      </c>
      <c r="AO10" s="134"/>
      <c r="AP10" s="134" t="str">
        <f t="shared" si="11"/>
        <v/>
      </c>
      <c r="AQ10" s="688" t="str">
        <f>IF($F10="","",IF(OR(U10="",U10="Existing"),IFERROR(VLOOKUP($G10,'Existing Customers'!$A:$F,4,FALSE),""),""))</f>
        <v/>
      </c>
      <c r="AR10" s="134" t="str">
        <f>IF($F10="","",IFERROR(VLOOKUP($G10,'Existing Customers'!$A:$F,4,FALSE),""))</f>
        <v/>
      </c>
      <c r="AS10" s="52" t="str">
        <f>IF($F10="","",IFERROR(VLOOKUP($G10,'Existing Customer Variable Exp'!$B:$L,6,FALSE),0))</f>
        <v/>
      </c>
      <c r="AT10" s="52" t="str">
        <f>IF($F10="","",IFERROR(VLOOKUP($G10,'Existing Customer Variable Exp'!$B:$L,8,FALSE),BA10))</f>
        <v/>
      </c>
      <c r="AU10" s="52" t="str">
        <f>IF($F10="","",IFERROR(VLOOKUP($G10,'Existing Customer Variable Exp'!$B:$L,11,FALSE),BB10))</f>
        <v/>
      </c>
      <c r="AV10" s="52" t="str">
        <f t="shared" si="12"/>
        <v/>
      </c>
      <c r="AW10" s="52" t="str">
        <f t="shared" si="13"/>
        <v/>
      </c>
      <c r="AX10" s="52" t="str">
        <f t="shared" si="14"/>
        <v/>
      </c>
      <c r="AY10" s="52" t="str">
        <f>IF($F10="","",IFERROR(VLOOKUP($H10,'Prospect Slot Assumptions'!$A:$D,2,FALSE),0))</f>
        <v/>
      </c>
      <c r="AZ10" s="52" t="str">
        <f>IF($F10="","",IFERROR(VLOOKUP($H10,'Prospect Slot Assumptions'!$A:$D,3,FALSE),0))</f>
        <v/>
      </c>
      <c r="BA10" s="52" t="str">
        <f>IF($F10="","",IF(AS10=0,Welcome!$G$30,0))</f>
        <v/>
      </c>
      <c r="BB10" s="52" t="str">
        <f>IF($F10="","",IF(BA10&lt;&gt;0,(BA10*SUMIF('Prospect Slot Assumptions'!$A$2:$A$11,H10,'Prospect Slot Assumptions'!$B$2:$B$11))+(BA10*SUMIF('Prospect Slot Assumptions'!$A$2:$A$11,H10,'Prospect Slot Assumptions'!$C$2:$C$11)),0))</f>
        <v/>
      </c>
      <c r="BC10" s="52" t="str">
        <f>IF($F10="","",IFERROR(VLOOKUP($H10,'Prospect Slot Assumptions'!$A:$D,4,FALSE),0))</f>
        <v/>
      </c>
      <c r="BD10" s="52" t="str">
        <f t="shared" si="15"/>
        <v/>
      </c>
    </row>
    <row r="11" spans="1:56" x14ac:dyDescent="0.25">
      <c r="A11" t="str">
        <f t="shared" si="0"/>
        <v/>
      </c>
      <c r="B11">
        <f t="shared" si="1"/>
        <v>0</v>
      </c>
      <c r="C11" s="141">
        <v>6</v>
      </c>
      <c r="D11" s="141"/>
      <c r="E11" s="1381"/>
      <c r="F11" s="1684" t="str">
        <f>IF(BE11&lt;&gt;"Yes",IF(Welcome!$D$18="Select # of Locations","",IF($C11&lt;=Welcome!$D$18,$C11,"")),$C11)</f>
        <v/>
      </c>
      <c r="G11" s="1569"/>
      <c r="H11" s="1685"/>
      <c r="I11" s="1680"/>
      <c r="J11" s="1282"/>
      <c r="K11" s="1692" t="str">
        <f>IF(BE11&lt;&gt;"Yes",IF($C$4&gt;=$C11,IF(SUMIF('Existing Customers'!$A:$A,'Customer Inputs'!$G11,'Existing Customers'!$Q:$Q)=0,"Enter Spend&gt;&gt;&gt;",ROUND(SUMIF('Existing Customers'!$A:$A,'Customer Inputs'!$G11,'Existing Customers'!$Q:$Q),0)),""),IF(SUMIF('Existing Customers'!$A:$A,'Customer Inputs'!$G11,'Existing Customers'!$Q:$Q)=0,"Enter Spend&gt;&gt;&gt;",ROUND(SUMIF('Existing Customers'!$A:$A,'Customer Inputs'!$G11,'Existing Customers'!$Q:$Q),0)))</f>
        <v/>
      </c>
      <c r="L11" s="1693" t="str">
        <f>IF(BE11&lt;&gt;"Yes",IF($F11="","",'Multi-Customer'!$FV49),'Multi-Customer'!$FV49)</f>
        <v/>
      </c>
      <c r="M11" s="1693" t="str">
        <f>IF(BE11&lt;&gt;"Yes",IF($F11="","",IFERROR(VLOOKUP($G11,'Existing Customers'!$A:$AD,30,FALSE),"Enter Menu Type&gt;&gt;")),IFERROR(VLOOKUP($G11,'Existing Customers'!$A:$AD,30,FALSE),"Enter Menu Type&gt;&gt;"))</f>
        <v/>
      </c>
      <c r="N11" s="1693" t="str">
        <f>IF(BE11&lt;&gt;"Yes",IFERROR(IF($C$4&gt;=$C11,VLOOKUP($G11,'Existing Customers'!$A:$J,10,FALSE),""),"Enter Zip Code &gt;"),IFERROR(VLOOKUP($G11,'Existing Customers'!$A:$J,10,FALSE),"Enter Zip Code &gt;"))</f>
        <v/>
      </c>
      <c r="O11" s="1694" t="str">
        <f>IF(BE11&lt;&gt;"Yes",IF($F11="","",'Multi-Customer'!$FV50),'Multi-Customer'!$FV50)</f>
        <v/>
      </c>
      <c r="P11" s="1366"/>
      <c r="Q11" s="1367"/>
      <c r="R11" s="1368"/>
      <c r="S11" s="1365"/>
      <c r="T11" s="1369"/>
      <c r="U11" s="1699"/>
      <c r="V11" s="1697" t="s">
        <v>648</v>
      </c>
      <c r="W11" s="1090"/>
      <c r="X11" s="991" t="str">
        <f>IF($F11="","",'Variable Costs (Back)'!$A20)</f>
        <v/>
      </c>
      <c r="Y11" s="506" t="str">
        <f t="shared" si="8"/>
        <v/>
      </c>
      <c r="Z11" s="52" t="str">
        <f t="shared" si="2"/>
        <v/>
      </c>
      <c r="AA11" s="52" t="str">
        <f t="shared" si="3"/>
        <v/>
      </c>
      <c r="AB11" s="52" t="str">
        <f t="shared" si="9"/>
        <v/>
      </c>
      <c r="AC11" s="134">
        <f t="shared" si="10"/>
        <v>0</v>
      </c>
      <c r="AD11">
        <f>IF($G11="New Store",COUNTIF($G$6:$G$25,"New Store")-COUNTIF($G12:$G$25,"New Store"),0)</f>
        <v>0</v>
      </c>
      <c r="AE11" t="str">
        <f t="shared" si="4"/>
        <v/>
      </c>
      <c r="AF11" s="2" t="str">
        <f t="shared" si="5"/>
        <v/>
      </c>
      <c r="AG11" s="134"/>
      <c r="AH11" t="e">
        <f>_xlfn.CONCAT($AH$1,"_",IF(NOT(ISBLANK($H$11)),$H$11,""),"_",Z11)</f>
        <v>#N/A</v>
      </c>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6"/>
        <v>0</v>
      </c>
      <c r="AN11" s="134" t="str">
        <f t="shared" si="7"/>
        <v>CLEAR</v>
      </c>
      <c r="AO11" s="134"/>
      <c r="AP11" s="134" t="str">
        <f t="shared" si="11"/>
        <v/>
      </c>
      <c r="AQ11" s="688" t="str">
        <f>IF($F11="","",IF(OR(U11="",U11="Existing"),IFERROR(VLOOKUP($G11,'Existing Customers'!$A:$F,4,FALSE),""),""))</f>
        <v/>
      </c>
      <c r="AR11" s="134" t="str">
        <f>IF($F11="","",IFERROR(VLOOKUP($G11,'Existing Customers'!$A:$F,4,FALSE),""))</f>
        <v/>
      </c>
      <c r="AS11" s="52" t="str">
        <f>IF($F11="","",IFERROR(VLOOKUP($G11,'Existing Customer Variable Exp'!$B:$L,6,FALSE),0))</f>
        <v/>
      </c>
      <c r="AT11" s="52" t="str">
        <f>IF($F11="","",IFERROR(VLOOKUP($G11,'Existing Customer Variable Exp'!$B:$L,8,FALSE),BA11))</f>
        <v/>
      </c>
      <c r="AU11" s="52" t="str">
        <f>IF($F11="","",IFERROR(VLOOKUP($G11,'Existing Customer Variable Exp'!$B:$L,11,FALSE),BB11))</f>
        <v/>
      </c>
      <c r="AV11" s="52" t="str">
        <f t="shared" si="12"/>
        <v/>
      </c>
      <c r="AW11" s="52" t="str">
        <f t="shared" si="13"/>
        <v/>
      </c>
      <c r="AX11" s="52" t="str">
        <f t="shared" si="14"/>
        <v/>
      </c>
      <c r="AY11" s="52" t="str">
        <f>IF($F11="","",IFERROR(VLOOKUP($H11,'Prospect Slot Assumptions'!$A:$D,2,FALSE),0))</f>
        <v/>
      </c>
      <c r="AZ11" s="52" t="str">
        <f>IF($F11="","",IFERROR(VLOOKUP($H11,'Prospect Slot Assumptions'!$A:$D,3,FALSE),0))</f>
        <v/>
      </c>
      <c r="BA11" s="52" t="str">
        <f>IF($F11="","",IF(AS11=0,Welcome!$G$30,0))</f>
        <v/>
      </c>
      <c r="BB11" s="52" t="str">
        <f>IF($F11="","",IF(BA11&lt;&gt;0,(BA11*SUMIF('Prospect Slot Assumptions'!$A$2:$A$11,H11,'Prospect Slot Assumptions'!$B$2:$B$11))+(BA11*SUMIF('Prospect Slot Assumptions'!$A$2:$A$11,H11,'Prospect Slot Assumptions'!$C$2:$C$11)),0))</f>
        <v/>
      </c>
      <c r="BC11" s="52" t="str">
        <f>IF($F11="","",IFERROR(VLOOKUP($H11,'Prospect Slot Assumptions'!$A:$D,4,FALSE),0))</f>
        <v/>
      </c>
      <c r="BD11" s="52" t="str">
        <f t="shared" si="15"/>
        <v/>
      </c>
    </row>
    <row r="12" spans="1:56" x14ac:dyDescent="0.25">
      <c r="A12" t="str">
        <f t="shared" si="0"/>
        <v/>
      </c>
      <c r="B12">
        <f t="shared" si="1"/>
        <v>0</v>
      </c>
      <c r="C12" s="141">
        <v>7</v>
      </c>
      <c r="D12" s="141"/>
      <c r="E12" s="1381"/>
      <c r="F12" s="1684" t="str">
        <f>IF(BE12&lt;&gt;"Yes",IF(Welcome!$D$18="Select # of Locations","",IF($C12&lt;=Welcome!$D$18,$C12,"")),$C12)</f>
        <v/>
      </c>
      <c r="G12" s="1569"/>
      <c r="H12" s="1685"/>
      <c r="I12" s="1680"/>
      <c r="J12" s="1282"/>
      <c r="K12" s="1692" t="str">
        <f>IF(BE12&lt;&gt;"Yes",IF($C$4&gt;=$C12,IF(SUMIF('Existing Customers'!$A:$A,'Customer Inputs'!$G12,'Existing Customers'!$Q:$Q)=0,"Enter Spend&gt;&gt;&gt;",ROUND(SUMIF('Existing Customers'!$A:$A,'Customer Inputs'!$G12,'Existing Customers'!$Q:$Q),0)),""),IF(SUMIF('Existing Customers'!$A:$A,'Customer Inputs'!$G12,'Existing Customers'!$Q:$Q)=0,"Enter Spend&gt;&gt;&gt;",ROUND(SUMIF('Existing Customers'!$A:$A,'Customer Inputs'!$G12,'Existing Customers'!$Q:$Q),0)))</f>
        <v/>
      </c>
      <c r="L12" s="1693" t="str">
        <f>IF(BE12&lt;&gt;"Yes",IF($F12="","",'Multi-Customer'!$GS49),'Multi-Customer'!$GS49)</f>
        <v/>
      </c>
      <c r="M12" s="1693" t="str">
        <f>IF(BE12&lt;&gt;"Yes",IF($F12="","",IFERROR(VLOOKUP($G12,'Existing Customers'!$A:$AD,30,FALSE),"Enter Menu Type&gt;&gt;")),IFERROR(VLOOKUP($G12,'Existing Customers'!$A:$AD,30,FALSE),"Enter Menu Type&gt;&gt;"))</f>
        <v/>
      </c>
      <c r="N12" s="1693" t="str">
        <f>IF(BE12&lt;&gt;"Yes",IFERROR(IF($C$4&gt;=$C12,VLOOKUP($G12,'Existing Customers'!$A:$J,10,FALSE),""),"Enter Zip Code &gt;"),IFERROR(VLOOKUP($G12,'Existing Customers'!$A:$J,10,FALSE),"Enter Zip Code &gt;"))</f>
        <v/>
      </c>
      <c r="O12" s="1694" t="str">
        <f>IF(BE12&lt;&gt;"Yes",IF($F12="","",'Multi-Customer'!$GS50),'Multi-Customer'!$GS50)</f>
        <v/>
      </c>
      <c r="P12" s="1366"/>
      <c r="Q12" s="1367"/>
      <c r="R12" s="1368"/>
      <c r="S12" s="1365"/>
      <c r="T12" s="1369"/>
      <c r="U12" s="1699"/>
      <c r="V12" s="1697" t="s">
        <v>648</v>
      </c>
      <c r="W12" s="1090"/>
      <c r="X12" s="991" t="str">
        <f>IF($F12="","",'Variable Costs (Back)'!$A21)</f>
        <v/>
      </c>
      <c r="Y12" s="506" t="str">
        <f t="shared" si="8"/>
        <v/>
      </c>
      <c r="Z12" s="52" t="str">
        <f t="shared" si="2"/>
        <v/>
      </c>
      <c r="AA12" s="52" t="str">
        <f t="shared" si="3"/>
        <v/>
      </c>
      <c r="AB12" s="52" t="str">
        <f t="shared" si="9"/>
        <v/>
      </c>
      <c r="AC12" s="134">
        <f t="shared" si="10"/>
        <v>0</v>
      </c>
      <c r="AD12">
        <f>IF($G12="New Store",COUNTIF($G$6:$G$25,"New Store")-COUNTIF($G13:$G$25,"New Store"),0)</f>
        <v>0</v>
      </c>
      <c r="AE12" t="str">
        <f t="shared" si="4"/>
        <v/>
      </c>
      <c r="AF12" s="2" t="str">
        <f t="shared" si="5"/>
        <v/>
      </c>
      <c r="AG12" s="134"/>
      <c r="AH12" t="e">
        <f>_xlfn.CONCAT($AH$1,"_",IF(NOT(ISBLANK($H$12)),$H$12,""),"_",Z12)</f>
        <v>#N/A</v>
      </c>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6"/>
        <v>0</v>
      </c>
      <c r="AN12" s="134" t="str">
        <f t="shared" si="7"/>
        <v>CLEAR</v>
      </c>
      <c r="AO12" s="134"/>
      <c r="AP12" s="134" t="str">
        <f t="shared" si="11"/>
        <v/>
      </c>
      <c r="AQ12" s="688" t="str">
        <f>IF($F12="","",IF(OR(U12="",U12="Existing"),IFERROR(VLOOKUP($G12,'Existing Customers'!$A:$F,4,FALSE),""),""))</f>
        <v/>
      </c>
      <c r="AR12" s="134" t="str">
        <f>IF($F12="","",IFERROR(VLOOKUP($G12,'Existing Customers'!$A:$F,4,FALSE),""))</f>
        <v/>
      </c>
      <c r="AS12" s="52" t="str">
        <f>IF($F12="","",IFERROR(VLOOKUP($G12,'Existing Customer Variable Exp'!$B:$L,6,FALSE),0))</f>
        <v/>
      </c>
      <c r="AT12" s="52" t="str">
        <f>IF($F12="","",IFERROR(VLOOKUP($G12,'Existing Customer Variable Exp'!$B:$L,8,FALSE),BA12))</f>
        <v/>
      </c>
      <c r="AU12" s="52" t="str">
        <f>IF($F12="","",IFERROR(VLOOKUP($G12,'Existing Customer Variable Exp'!$B:$L,11,FALSE),BB12))</f>
        <v/>
      </c>
      <c r="AV12" s="52" t="str">
        <f t="shared" si="12"/>
        <v/>
      </c>
      <c r="AW12" s="52" t="str">
        <f t="shared" si="13"/>
        <v/>
      </c>
      <c r="AX12" s="52" t="str">
        <f t="shared" si="14"/>
        <v/>
      </c>
      <c r="AY12" s="52" t="str">
        <f>IF($F12="","",IFERROR(VLOOKUP($H12,'Prospect Slot Assumptions'!$A:$D,2,FALSE),0))</f>
        <v/>
      </c>
      <c r="AZ12" s="52" t="str">
        <f>IF($F12="","",IFERROR(VLOOKUP($H12,'Prospect Slot Assumptions'!$A:$D,3,FALSE),0))</f>
        <v/>
      </c>
      <c r="BA12" s="52" t="str">
        <f>IF($F12="","",IF(AS12=0,Welcome!$G$30,0))</f>
        <v/>
      </c>
      <c r="BB12" s="52" t="str">
        <f>IF($F12="","",IF(BA12&lt;&gt;0,(BA12*SUMIF('Prospect Slot Assumptions'!$A$2:$A$11,H12,'Prospect Slot Assumptions'!$B$2:$B$11))+(BA12*SUMIF('Prospect Slot Assumptions'!$A$2:$A$11,H12,'Prospect Slot Assumptions'!$C$2:$C$11)),0))</f>
        <v/>
      </c>
      <c r="BC12" s="52" t="str">
        <f>IF($F12="","",IFERROR(VLOOKUP($H12,'Prospect Slot Assumptions'!$A:$D,4,FALSE),0))</f>
        <v/>
      </c>
      <c r="BD12" s="52" t="str">
        <f t="shared" si="15"/>
        <v/>
      </c>
    </row>
    <row r="13" spans="1:56" x14ac:dyDescent="0.25">
      <c r="A13" t="str">
        <f t="shared" si="0"/>
        <v/>
      </c>
      <c r="B13">
        <f t="shared" si="1"/>
        <v>0</v>
      </c>
      <c r="C13" s="141">
        <v>8</v>
      </c>
      <c r="D13" s="141"/>
      <c r="E13" s="1381"/>
      <c r="F13" s="1684" t="str">
        <f>IF(BE13&lt;&gt;"Yes",IF(Welcome!$D$18="Select # of Locations","",IF($C13&lt;=Welcome!$D$18,$C13,"")),$C13)</f>
        <v/>
      </c>
      <c r="G13" s="1569"/>
      <c r="H13" s="1685"/>
      <c r="I13" s="1680"/>
      <c r="J13" s="1282"/>
      <c r="K13" s="1692" t="str">
        <f>IF(BE13&lt;&gt;"Yes",IF($C$4&gt;=$C13,IF(SUMIF('Existing Customers'!$A:$A,'Customer Inputs'!$G13,'Existing Customers'!$Q:$Q)=0,"Enter Spend&gt;&gt;&gt;",ROUND(SUMIF('Existing Customers'!$A:$A,'Customer Inputs'!$G13,'Existing Customers'!$Q:$Q),0)),""),IF(SUMIF('Existing Customers'!$A:$A,'Customer Inputs'!$G13,'Existing Customers'!$Q:$Q)=0,"Enter Spend&gt;&gt;&gt;",ROUND(SUMIF('Existing Customers'!$A:$A,'Customer Inputs'!$G13,'Existing Customers'!$Q:$Q),0)))</f>
        <v/>
      </c>
      <c r="L13" s="1693" t="str">
        <f>IF(BE13&lt;&gt;"Yes",IF($F13="","",'Multi-Customer'!$HP49),'Multi-Customer'!$HP49)</f>
        <v/>
      </c>
      <c r="M13" s="1693" t="str">
        <f>IF(BE13&lt;&gt;"Yes",IF($F13="","",IFERROR(VLOOKUP($G13,'Existing Customers'!$A:$AD,30,FALSE),"Enter Menu Type&gt;&gt;")),IFERROR(VLOOKUP($G13,'Existing Customers'!$A:$AD,30,FALSE),"Enter Menu Type&gt;&gt;"))</f>
        <v/>
      </c>
      <c r="N13" s="1693" t="str">
        <f>IF(BE13&lt;&gt;"Yes",IFERROR(IF($C$4&gt;=$C13,VLOOKUP($G13,'Existing Customers'!$A:$J,10,FALSE),""),"Enter Zip Code &gt;"),IFERROR(VLOOKUP($G13,'Existing Customers'!$A:$J,10,FALSE),"Enter Zip Code &gt;"))</f>
        <v/>
      </c>
      <c r="O13" s="1694" t="str">
        <f>IF(BE13&lt;&gt;"Yes",IF($F13="","",'Multi-Customer'!$HP50),'Multi-Customer'!$HP50)</f>
        <v/>
      </c>
      <c r="P13" s="1366"/>
      <c r="Q13" s="1367"/>
      <c r="R13" s="1368"/>
      <c r="S13" s="1365"/>
      <c r="T13" s="1369"/>
      <c r="U13" s="1699"/>
      <c r="V13" s="1697" t="s">
        <v>648</v>
      </c>
      <c r="W13" s="1090"/>
      <c r="X13" s="991" t="str">
        <f>IF($F13="","",'Variable Costs (Back)'!$A22)</f>
        <v/>
      </c>
      <c r="Y13" s="506" t="str">
        <f t="shared" si="8"/>
        <v/>
      </c>
      <c r="Z13" s="52" t="str">
        <f t="shared" si="2"/>
        <v/>
      </c>
      <c r="AA13" s="52" t="str">
        <f t="shared" si="3"/>
        <v/>
      </c>
      <c r="AB13" s="52" t="str">
        <f t="shared" si="9"/>
        <v/>
      </c>
      <c r="AC13" s="134">
        <f t="shared" si="10"/>
        <v>0</v>
      </c>
      <c r="AD13">
        <f>IF($G13="New Store",COUNTIF($G$6:$G$25,"New Store")-COUNTIF($G14:$G$25,"New Store"),0)</f>
        <v>0</v>
      </c>
      <c r="AE13" t="str">
        <f t="shared" si="4"/>
        <v/>
      </c>
      <c r="AF13" s="2" t="str">
        <f t="shared" si="5"/>
        <v/>
      </c>
      <c r="AG13" s="134"/>
      <c r="AH13" t="e">
        <f>_xlfn.CONCAT($AH$1,"_",IF(NOT(ISBLANK($H$13)),$H$13,""),"_",Z13)</f>
        <v>#N/A</v>
      </c>
      <c r="AI13" s="134"/>
      <c r="AJ13" s="134"/>
      <c r="AK13" s="134" t="b">
        <f>NOT(ISERROR(IFERROR(VLOOKUP($G13&amp;"",'HOS_Modellable Customers'!$A:$A,1,0),VLOOKUP($G13,'HOS_Modellable Customers'!$A:$A,1,0))))</f>
        <v>0</v>
      </c>
      <c r="AL13" s="134" t="b">
        <f>NOT(ISERROR(IFERROR(VLOOKUP($G13&amp;"",'Modellable Customers'!$A:$A,1,0),VLOOKUP($G13,'Modellable Customers'!$A:$A,1,0))))</f>
        <v>0</v>
      </c>
      <c r="AM13" s="134" t="b">
        <f t="shared" ref="AM13:AM25" si="16">IF(K13="Enter Spend&gt;&gt;&gt;",TRUE,FALSE)</f>
        <v>0</v>
      </c>
      <c r="AN13" s="134" t="str">
        <f t="shared" si="7"/>
        <v>CLEAR</v>
      </c>
      <c r="AO13" s="134"/>
      <c r="AP13" s="134" t="str">
        <f t="shared" si="11"/>
        <v/>
      </c>
      <c r="AQ13" s="688" t="str">
        <f>IF($F13="","",IF(OR(U13="",U13="Existing"),IFERROR(VLOOKUP($G13,'Existing Customers'!$A:$F,4,FALSE),""),""))</f>
        <v/>
      </c>
      <c r="AR13" s="134" t="str">
        <f>IF($F13="","",IFERROR(VLOOKUP($G13,'Existing Customers'!$A:$F,4,FALSE),""))</f>
        <v/>
      </c>
      <c r="AS13" s="52" t="str">
        <f>IF($F13="","",IFERROR(VLOOKUP($G13,'Existing Customer Variable Exp'!$B:$L,6,FALSE),0))</f>
        <v/>
      </c>
      <c r="AT13" s="52" t="str">
        <f>IF($F13="","",IFERROR(VLOOKUP($G13,'Existing Customer Variable Exp'!$B:$L,8,FALSE),BA13))</f>
        <v/>
      </c>
      <c r="AU13" s="52" t="str">
        <f>IF($F13="","",IFERROR(VLOOKUP($G13,'Existing Customer Variable Exp'!$B:$L,11,FALSE),BB13))</f>
        <v/>
      </c>
      <c r="AV13" s="52" t="str">
        <f t="shared" si="12"/>
        <v/>
      </c>
      <c r="AW13" s="52" t="str">
        <f t="shared" si="13"/>
        <v/>
      </c>
      <c r="AX13" s="52" t="str">
        <f t="shared" si="14"/>
        <v/>
      </c>
      <c r="AY13" s="52" t="str">
        <f>IF($F13="","",IFERROR(VLOOKUP($H13,'Prospect Slot Assumptions'!$A:$D,2,FALSE),0))</f>
        <v/>
      </c>
      <c r="AZ13" s="52" t="str">
        <f>IF($F13="","",IFERROR(VLOOKUP($H13,'Prospect Slot Assumptions'!$A:$D,3,FALSE),0))</f>
        <v/>
      </c>
      <c r="BA13" s="52" t="str">
        <f>IF($F13="","",IF(AS13=0,Welcome!$G$30,0))</f>
        <v/>
      </c>
      <c r="BB13" s="52" t="str">
        <f>IF($F13="","",IF(BA13&lt;&gt;0,(BA13*SUMIF('Prospect Slot Assumptions'!$A$2:$A$11,H13,'Prospect Slot Assumptions'!$B$2:$B$11))+(BA13*SUMIF('Prospect Slot Assumptions'!$A$2:$A$11,H13,'Prospect Slot Assumptions'!$C$2:$C$11)),0))</f>
        <v/>
      </c>
      <c r="BC13" s="52" t="str">
        <f>IF($F13="","",IFERROR(VLOOKUP($H13,'Prospect Slot Assumptions'!$A:$D,4,FALSE),0))</f>
        <v/>
      </c>
      <c r="BD13" s="52" t="str">
        <f t="shared" si="15"/>
        <v/>
      </c>
    </row>
    <row r="14" spans="1:56" x14ac:dyDescent="0.25">
      <c r="A14" t="str">
        <f t="shared" si="0"/>
        <v/>
      </c>
      <c r="B14">
        <f t="shared" si="1"/>
        <v>0</v>
      </c>
      <c r="C14" s="141">
        <v>9</v>
      </c>
      <c r="D14" s="141"/>
      <c r="E14" s="1381"/>
      <c r="F14" s="1684" t="str">
        <f>IF(BE14&lt;&gt;"Yes",IF(Welcome!$D$18="Select # of Locations","",IF($C14&lt;=Welcome!$D$18,$C14,"")),$C14)</f>
        <v/>
      </c>
      <c r="G14" s="1569"/>
      <c r="H14" s="1685"/>
      <c r="I14" s="1680"/>
      <c r="J14" s="1282"/>
      <c r="K14" s="1692" t="str">
        <f>IF(BE14&lt;&gt;"Yes",IF($C$4&gt;=$C14,IF(SUMIF('Existing Customers'!$A:$A,'Customer Inputs'!$G14,'Existing Customers'!$Q:$Q)=0,"Enter Spend&gt;&gt;&gt;",ROUND(SUMIF('Existing Customers'!$A:$A,'Customer Inputs'!$G14,'Existing Customers'!$Q:$Q),0)),""),IF(SUMIF('Existing Customers'!$A:$A,'Customer Inputs'!$G14,'Existing Customers'!$Q:$Q)=0,"Enter Spend&gt;&gt;&gt;",ROUND(SUMIF('Existing Customers'!$A:$A,'Customer Inputs'!$G14,'Existing Customers'!$Q:$Q),0)))</f>
        <v/>
      </c>
      <c r="L14" s="1693" t="str">
        <f>IF(BE14&lt;&gt;"Yes",IF($F14="","",'Multi-Customer'!$IM49),'Multi-Customer'!$IM49)</f>
        <v/>
      </c>
      <c r="M14" s="1693" t="str">
        <f>IF(BE14&lt;&gt;"Yes",IF($F14="","",IFERROR(VLOOKUP($G14,'Existing Customers'!$A:$AD,30,FALSE),"Enter Menu Type&gt;&gt;")),IFERROR(VLOOKUP($G14,'Existing Customers'!$A:$AD,30,FALSE),"Enter Menu Type&gt;&gt;"))</f>
        <v/>
      </c>
      <c r="N14" s="1693" t="str">
        <f>IF(BE14&lt;&gt;"Yes",IFERROR(IF($C$4&gt;=$C14,VLOOKUP($G14,'Existing Customers'!$A:$J,10,FALSE),""),"Enter Zip Code &gt;"),IFERROR(VLOOKUP($G14,'Existing Customers'!$A:$J,10,FALSE),"Enter Zip Code &gt;"))</f>
        <v/>
      </c>
      <c r="O14" s="1694" t="str">
        <f>IF(BE14&lt;&gt;"Yes",IF($F14="","",'Multi-Customer'!$IM50),'Multi-Customer'!$IM50)</f>
        <v/>
      </c>
      <c r="P14" s="1366"/>
      <c r="Q14" s="1367"/>
      <c r="R14" s="1368"/>
      <c r="S14" s="1365"/>
      <c r="T14" s="1369"/>
      <c r="U14" s="1699"/>
      <c r="V14" s="1697" t="s">
        <v>648</v>
      </c>
      <c r="W14" s="1090"/>
      <c r="X14" s="991" t="str">
        <f>IF($F14="","",'[2]Variable Costs (Back)'!$A23)</f>
        <v/>
      </c>
      <c r="Y14" s="506" t="str">
        <f t="shared" si="8"/>
        <v/>
      </c>
      <c r="Z14" s="52" t="str">
        <f t="shared" si="2"/>
        <v/>
      </c>
      <c r="AA14" s="52" t="str">
        <f t="shared" si="3"/>
        <v/>
      </c>
      <c r="AB14" s="52" t="str">
        <f t="shared" si="9"/>
        <v/>
      </c>
      <c r="AC14" s="134">
        <f t="shared" si="10"/>
        <v>0</v>
      </c>
      <c r="AD14">
        <f>IF($G14="New Store",COUNTIF($G$6:$G$25,"New Store")-COUNTIF($G25:$G$25,"New Store"),0)</f>
        <v>0</v>
      </c>
      <c r="AE14" t="str">
        <f t="shared" si="4"/>
        <v/>
      </c>
      <c r="AF14" s="2" t="str">
        <f t="shared" si="5"/>
        <v/>
      </c>
      <c r="AG14" s="134"/>
      <c r="AH14" t="e">
        <f>_xlfn.CONCAT($AH$1,"_",IF(NOT(ISBLANK($H$14)),$H$14,""),"_",Z14)</f>
        <v>#N/A</v>
      </c>
      <c r="AI14" s="134"/>
      <c r="AJ14" s="134"/>
      <c r="AK14" s="134" t="b">
        <f>NOT(ISERROR(IFERROR(VLOOKUP($G14&amp;"",'HOS_Modellable Customers'!$A:$A,1,0),VLOOKUP($G14,'HOS_Modellable Customers'!$A:$A,1,0))))</f>
        <v>0</v>
      </c>
      <c r="AL14" s="134" t="b">
        <f>NOT(ISERROR(IFERROR(VLOOKUP($G14&amp;"",'Modellable Customers'!$A:$A,1,0),VLOOKUP($G14,'Modellable Customers'!$A:$A,1,0))))</f>
        <v>0</v>
      </c>
      <c r="AM14" s="134" t="b">
        <f t="shared" si="16"/>
        <v>0</v>
      </c>
      <c r="AN14" s="134" t="str">
        <f t="shared" si="7"/>
        <v>CLEAR</v>
      </c>
      <c r="AO14" s="134"/>
      <c r="AP14" s="134" t="str">
        <f t="shared" si="11"/>
        <v/>
      </c>
      <c r="AQ14" s="688" t="str">
        <f>IF($F14="","",IF(OR(U14="",U14="Existing"),IFERROR(VLOOKUP($G14,'Existing Customers'!$A:$F,4,FALSE),""),""))</f>
        <v/>
      </c>
      <c r="AR14" s="134" t="str">
        <f>IF($F14="","",IFERROR(VLOOKUP($G14,'Existing Customers'!$A:$F,4,FALSE),""))</f>
        <v/>
      </c>
      <c r="AS14" s="52" t="str">
        <f>IF($F14="","",IFERROR(VLOOKUP($G14,'Existing Customer Variable Exp'!$B:$L,6,FALSE),0))</f>
        <v/>
      </c>
      <c r="AT14" s="52" t="str">
        <f>IF($F14="","",IFERROR(VLOOKUP($G14,'Existing Customer Variable Exp'!$B:$L,8,FALSE),BA14))</f>
        <v/>
      </c>
      <c r="AU14" s="52" t="str">
        <f>IF($F14="","",IFERROR(VLOOKUP($G14,'Existing Customer Variable Exp'!$B:$L,11,FALSE),BB14))</f>
        <v/>
      </c>
      <c r="AV14" s="52" t="str">
        <f t="shared" si="12"/>
        <v/>
      </c>
      <c r="AW14" s="52" t="str">
        <f t="shared" si="13"/>
        <v/>
      </c>
      <c r="AX14" s="52" t="str">
        <f t="shared" si="14"/>
        <v/>
      </c>
      <c r="AY14" s="52" t="str">
        <f>IF($F14="","",IFERROR(VLOOKUP($H14,'Prospect Slot Assumptions'!$A:$D,2,FALSE),0))</f>
        <v/>
      </c>
      <c r="AZ14" s="52" t="str">
        <f>IF($F14="","",IFERROR(VLOOKUP($H14,'Prospect Slot Assumptions'!$A:$D,3,FALSE),0))</f>
        <v/>
      </c>
      <c r="BA14" s="52" t="str">
        <f>IF($F14="","",IF(AS14=0,Welcome!$G$30,0))</f>
        <v/>
      </c>
      <c r="BB14" s="52" t="str">
        <f>IF($F14="","",IF(BA14&lt;&gt;0,(BA14*SUMIF('Prospect Slot Assumptions'!$A$2:$A$11,H14,'Prospect Slot Assumptions'!$B$2:$B$11))+(BA14*SUMIF('Prospect Slot Assumptions'!$A$2:$A$11,H14,'Prospect Slot Assumptions'!$C$2:$C$11)),0))</f>
        <v/>
      </c>
      <c r="BC14" s="52" t="str">
        <f>IF($F14="","",IFERROR(VLOOKUP($H14,'Prospect Slot Assumptions'!$A:$D,4,FALSE),0))</f>
        <v/>
      </c>
      <c r="BD14" s="52" t="str">
        <f t="shared" si="15"/>
        <v/>
      </c>
    </row>
    <row r="15" spans="1:56" s="1677" customFormat="1" x14ac:dyDescent="0.25">
      <c r="A15" s="1677" t="str">
        <f t="shared" si="0"/>
        <v/>
      </c>
      <c r="B15" s="1677">
        <f t="shared" si="1"/>
        <v>0</v>
      </c>
      <c r="C15" s="141">
        <v>10</v>
      </c>
      <c r="D15" s="141"/>
      <c r="E15" s="1381"/>
      <c r="F15" s="1684" t="str">
        <f>IF(BE15&lt;&gt;"Yes",IF(Welcome!$D$18="Select # of Locations","",IF($C15&lt;=Welcome!$D$18,$C15,"")),$C15)</f>
        <v/>
      </c>
      <c r="G15" s="1569"/>
      <c r="H15" s="1685"/>
      <c r="I15" s="1731"/>
      <c r="J15" s="1282"/>
      <c r="K15" s="1692" t="str">
        <f>IF(BE15&lt;&gt;"Yes",IF($C$4&gt;=$C15,IF(SUMIF('Existing Customers'!$A:$A,'Customer Inputs'!$G15,'Existing Customers'!$Q:$Q)=0,"Enter Spend&gt;&gt;&gt;",ROUND(SUMIF('Existing Customers'!$A:$A,'Customer Inputs'!$G15,'Existing Customers'!$Q:$Q),0)),""),IF(SUMIF('Existing Customers'!$A:$A,'Customer Inputs'!$G15,'Existing Customers'!$Q:$Q)=0,"Enter Spend&gt;&gt;&gt;",ROUND(SUMIF('Existing Customers'!$A:$A,'Customer Inputs'!$G15,'Existing Customers'!$Q:$Q),0)))</f>
        <v/>
      </c>
      <c r="L15" s="1693" t="str">
        <f>IF(BE15&lt;&gt;"Yes",IF($F15="","",'Multi-Customer'!$JJ49),'Multi-Customer'!$JJ49)</f>
        <v/>
      </c>
      <c r="M15" s="1693" t="str">
        <f>IF(BE15&lt;&gt;"Yes",IF($F15="","",IFERROR(VLOOKUP($G15,'Existing Customers'!$A:$AD,30,FALSE),"Enter Menu Type&gt;&gt;")),IFERROR(VLOOKUP($G15,'Existing Customers'!$A:$AD,30,FALSE),"Enter Menu Type&gt;&gt;"))</f>
        <v/>
      </c>
      <c r="N15" s="1693" t="str">
        <f>IF(BE15&lt;&gt;"Yes",IFERROR(IF($C$4&gt;=$C15,VLOOKUP($G15,'Existing Customers'!$A:$J,10,FALSE),""),"Enter Zip Code &gt;"),IFERROR(VLOOKUP($G15,'Existing Customers'!$A:$J,10,FALSE),"Enter Zip Code &gt;"))</f>
        <v/>
      </c>
      <c r="O15" s="1694" t="str">
        <f>IF(BE15&lt;&gt;"Yes",IF($F15="","",'Multi-Customer'!$JJ50),'Multi-Customer'!$JJ50)</f>
        <v/>
      </c>
      <c r="P15" s="1366"/>
      <c r="Q15" s="1367"/>
      <c r="R15" s="1368"/>
      <c r="S15" s="1365"/>
      <c r="T15" s="1369"/>
      <c r="U15" s="1699"/>
      <c r="V15" s="1703" t="s">
        <v>648</v>
      </c>
      <c r="W15" s="1090"/>
      <c r="X15" s="991" t="str">
        <f>IF($F15="","",'[2]Variable Costs (Back)'!$A24)</f>
        <v/>
      </c>
      <c r="Y15" s="506" t="str">
        <f t="shared" ref="Y15:Y24" si="17">IF(AND(W15&lt;&gt;"End",Q15=""),L15,Q15)</f>
        <v/>
      </c>
      <c r="Z15" s="52" t="str">
        <f t="shared" ref="Z15:Z24" si="18">IF(K15="Enter Spend&gt;&gt;&gt;",R15,M15)</f>
        <v/>
      </c>
      <c r="AA15" s="52" t="str">
        <f t="shared" ref="AA15:AA24" si="19">IF(K15="Enter Spend&gt;&gt;&gt;",S15,N15)</f>
        <v/>
      </c>
      <c r="AB15" s="52" t="str">
        <f t="shared" ref="AB15:AB24" si="20">IF(AND(W15&lt;&gt;"End",T15=""),O15,T15)</f>
        <v/>
      </c>
      <c r="AC15" s="134">
        <f t="shared" ref="AC15:AC24" si="21">IFERROR(AB15*(P15/$P$27),0)</f>
        <v>0</v>
      </c>
      <c r="AD15" s="1677">
        <f>IF(IF($G15="New Store",COUNTIF($G$6:$G$25,"New Store")-COUNTIF($G$25:$G25,"New Store"),0)=9,10,9)</f>
        <v>9</v>
      </c>
      <c r="AE15" s="1677" t="str">
        <f t="shared" si="4"/>
        <v/>
      </c>
      <c r="AF15" s="1678" t="str">
        <f t="shared" si="5"/>
        <v/>
      </c>
      <c r="AG15" s="134"/>
      <c r="AH15" s="134" t="e">
        <f>_xlfn.CONCAT($AH$1,"_",IF(NOT(ISBLANK($H15)),$H15,""),"_",Z15)</f>
        <v>#N/A</v>
      </c>
      <c r="AI15" s="134"/>
      <c r="AJ15" s="134"/>
      <c r="AK15" s="134" t="b">
        <f>NOT(ISERROR(IFERROR(VLOOKUP($G15&amp;"",'HOS_Modellable Customers'!$A:$A,1,0),VLOOKUP($G15,'HOS_Modellable Customers'!$A:$A,1,0))))</f>
        <v>0</v>
      </c>
      <c r="AL15" s="134" t="b">
        <f>NOT(ISERROR(IFERROR(VLOOKUP($G15&amp;"",'Modellable Customers'!$A:$A,1,0),VLOOKUP($G15,'Modellable Customers'!$A:$A,1,0))))</f>
        <v>0</v>
      </c>
      <c r="AM15" s="134" t="b">
        <f t="shared" si="16"/>
        <v>0</v>
      </c>
      <c r="AN15" s="134" t="str">
        <f t="shared" ref="AN15:AN24" si="22">IF(G15="","CLEAR",IF(AM15=TRUE,"CLEAR",IF(AND($AK$4="HOSPITALITY",AK15=TRUE),"CLEAR",IF(AND($AK$4="INDEPENDENT RESTAURATEURS",AL15=TRUE),"CLEAR","FLAG"))))</f>
        <v>CLEAR</v>
      </c>
      <c r="AO15" s="134"/>
      <c r="AP15" s="134" t="str">
        <f t="shared" ref="AP15:AP24" si="23">IF($G15="","",IF(AR15="","Prospect","Existing"))</f>
        <v/>
      </c>
      <c r="AQ15" s="688" t="str">
        <f>IF($F15="","",IF(OR(U15="",U15="Existing"),IFERROR(VLOOKUP($G15,'Existing Customers'!$A:$F,4,FALSE),""),""))</f>
        <v/>
      </c>
      <c r="AR15" s="134" t="str">
        <f>IF($F15="","",IFERROR(VLOOKUP($G15,'Existing Customers'!$A:$F,4,FALSE),""))</f>
        <v/>
      </c>
      <c r="AS15" s="52" t="str">
        <f>IF($F15="","",IFERROR(VLOOKUP($G15,'Existing Customer Variable Exp'!$B:$L,6,FALSE),0))</f>
        <v/>
      </c>
      <c r="AT15" s="52" t="str">
        <f>IF($F15="","",IFERROR(VLOOKUP($G15,'Existing Customer Variable Exp'!$B:$L,8,FALSE),BA15))</f>
        <v/>
      </c>
      <c r="AU15" s="52" t="str">
        <f>IF($F15="","",IFERROR(VLOOKUP($G15,'Existing Customer Variable Exp'!$B:$L,11,FALSE),BB15))</f>
        <v/>
      </c>
      <c r="AV15" s="52" t="str">
        <f t="shared" ref="AV15:AV24" si="24">IF($F15="","",IF(AS15&lt;&gt;"",COUNTIF($AS$6:$AS$25,AS15),1))</f>
        <v/>
      </c>
      <c r="AW15" s="52" t="str">
        <f t="shared" ref="AW15:AW24" si="25">IF($F15="","",IFERROR(AT15/AV15,0))</f>
        <v/>
      </c>
      <c r="AX15" s="52" t="str">
        <f t="shared" ref="AX15:AX24" si="26">IF($F15="","",IFERROR(AU15/AV15,0))</f>
        <v/>
      </c>
      <c r="AY15" s="52" t="str">
        <f>IF($F15="","",IFERROR(VLOOKUP($H15,'Prospect Slot Assumptions'!$A:$D,2,FALSE),0))</f>
        <v/>
      </c>
      <c r="AZ15" s="52" t="str">
        <f>IF($F15="","",IFERROR(VLOOKUP($H15,'Prospect Slot Assumptions'!$A:$D,3,FALSE),0))</f>
        <v/>
      </c>
      <c r="BA15" s="52" t="str">
        <f>IF($F15="","",IF(AS15=0,Welcome!$G$30,0))</f>
        <v/>
      </c>
      <c r="BB15" s="52" t="str">
        <f>IF($F15="","",IF(BA15&lt;&gt;0,(BA15*SUMIF('Prospect Slot Assumptions'!$A$2:$A$11,H15,'Prospect Slot Assumptions'!$B$2:$B$11))+(BA15*SUMIF('Prospect Slot Assumptions'!$A$2:$A$11,H15,'Prospect Slot Assumptions'!$C$2:$C$11)),0))</f>
        <v/>
      </c>
      <c r="BC15" s="52" t="str">
        <f>IF($F15="","",IFERROR(VLOOKUP($H15,'Prospect Slot Assumptions'!$A:$D,4,FALSE),0))</f>
        <v/>
      </c>
      <c r="BD15" s="52" t="str">
        <f t="shared" ref="BD15:BD24" si="27">IF($F15="","",IFERROR(BC15*AX15,0))</f>
        <v/>
      </c>
    </row>
    <row r="16" spans="1:56" s="1677" customFormat="1" x14ac:dyDescent="0.25">
      <c r="A16" s="1677" t="str">
        <f t="shared" si="0"/>
        <v/>
      </c>
      <c r="B16" s="1677">
        <f t="shared" si="1"/>
        <v>0</v>
      </c>
      <c r="C16" s="141">
        <v>11</v>
      </c>
      <c r="D16" s="141"/>
      <c r="E16" s="1381"/>
      <c r="F16" s="1684" t="str">
        <f>IF(BE16&lt;&gt;"Yes",IF(Welcome!$D$18="Select # of Locations","",IF($C16&lt;=Welcome!$D$18,$C16,"")),$C16)</f>
        <v/>
      </c>
      <c r="G16" s="1569"/>
      <c r="H16" s="1685"/>
      <c r="I16" s="1731"/>
      <c r="J16" s="1282"/>
      <c r="K16" s="1692" t="str">
        <f>IF(BE16&lt;&gt;"Yes",IF($C$4&gt;=$C16,IF(SUMIF('Existing Customers'!$A:$A,'Customer Inputs'!$G16,'Existing Customers'!$Q:$Q)=0,"Enter Spend&gt;&gt;&gt;",ROUND(SUMIF('Existing Customers'!$A:$A,'Customer Inputs'!$G16,'Existing Customers'!$Q:$Q),0)),""),IF(SUMIF('Existing Customers'!$A:$A,'Customer Inputs'!$G16,'Existing Customers'!$Q:$Q)=0,"Enter Spend&gt;&gt;&gt;",ROUND(SUMIF('Existing Customers'!$A:$A,'Customer Inputs'!$G16,'Existing Customers'!$Q:$Q),0)))</f>
        <v/>
      </c>
      <c r="L16" s="1693" t="str">
        <f>IF(BE16&lt;&gt;"Yes",IF($F16="","",'Multi-Customer'!$KG49),'Multi-Customer'!$KG49)</f>
        <v/>
      </c>
      <c r="M16" s="1693" t="str">
        <f>IF(BE16&lt;&gt;"Yes",IF($F16="","",IFERROR(VLOOKUP($G16,'Existing Customers'!$A:$AD,30,FALSE),"Enter Menu Type&gt;&gt;")),IFERROR(VLOOKUP($G16,'Existing Customers'!$A:$AD,30,FALSE),"Enter Menu Type&gt;&gt;"))</f>
        <v/>
      </c>
      <c r="N16" s="1693" t="str">
        <f>IF(BE16&lt;&gt;"Yes",IFERROR(IF($C$4&gt;=$C16,VLOOKUP($G16,'Existing Customers'!$A:$J,10,FALSE),""),"Enter Zip Code &gt;"),IFERROR(VLOOKUP($G16,'Existing Customers'!$A:$J,10,FALSE),"Enter Zip Code &gt;"))</f>
        <v/>
      </c>
      <c r="O16" s="1694" t="str">
        <f>IF(BE16&lt;&gt;"Yes",IF($F16="","",'Multi-Customer'!$KG50),'Multi-Customer'!$KG50)</f>
        <v/>
      </c>
      <c r="P16" s="1366"/>
      <c r="Q16" s="1367"/>
      <c r="R16" s="1368"/>
      <c r="S16" s="1365"/>
      <c r="T16" s="1369"/>
      <c r="U16" s="1699"/>
      <c r="V16" s="1703" t="s">
        <v>648</v>
      </c>
      <c r="W16" s="1090"/>
      <c r="X16" s="991" t="str">
        <f>IF($F16="","",'[2]Variable Costs (Back)'!$A25)</f>
        <v/>
      </c>
      <c r="Y16" s="506" t="str">
        <f t="shared" si="17"/>
        <v/>
      </c>
      <c r="Z16" s="52" t="str">
        <f t="shared" si="18"/>
        <v/>
      </c>
      <c r="AA16" s="52" t="str">
        <f t="shared" si="19"/>
        <v/>
      </c>
      <c r="AB16" s="52" t="str">
        <f t="shared" si="20"/>
        <v/>
      </c>
      <c r="AC16" s="134">
        <f t="shared" si="21"/>
        <v>0</v>
      </c>
      <c r="AD16" s="1677">
        <f>IF(IF($G16="New Store",COUNTIF($G$6:$G$25,"New Store")-COUNTIF($G$25:$G25,"New Store"),0)=9,10,9)</f>
        <v>9</v>
      </c>
      <c r="AE16" s="1677" t="str">
        <f t="shared" si="4"/>
        <v/>
      </c>
      <c r="AF16" s="1678" t="str">
        <f t="shared" si="5"/>
        <v/>
      </c>
      <c r="AG16" s="134"/>
      <c r="AH16" s="134" t="e">
        <f t="shared" ref="AH16:AH25" si="28">_xlfn.CONCAT($AH$1,"_",IF(NOT(ISBLANK($H16)),$H16,""),"_",Z16)</f>
        <v>#N/A</v>
      </c>
      <c r="AI16" s="134"/>
      <c r="AJ16" s="134"/>
      <c r="AK16" s="134" t="b">
        <f>NOT(ISERROR(IFERROR(VLOOKUP($G16&amp;"",'HOS_Modellable Customers'!$A:$A,1,0),VLOOKUP($G16,'HOS_Modellable Customers'!$A:$A,1,0))))</f>
        <v>0</v>
      </c>
      <c r="AL16" s="134" t="b">
        <f>NOT(ISERROR(IFERROR(VLOOKUP($G16&amp;"",'Modellable Customers'!$A:$A,1,0),VLOOKUP($G16,'Modellable Customers'!$A:$A,1,0))))</f>
        <v>0</v>
      </c>
      <c r="AM16" s="134" t="b">
        <f t="shared" si="16"/>
        <v>0</v>
      </c>
      <c r="AN16" s="134" t="str">
        <f t="shared" si="22"/>
        <v>CLEAR</v>
      </c>
      <c r="AO16" s="134"/>
      <c r="AP16" s="134" t="str">
        <f t="shared" si="23"/>
        <v/>
      </c>
      <c r="AQ16" s="688" t="str">
        <f>IF($F16="","",IF(OR(U16="",U16="Existing"),IFERROR(VLOOKUP($G16,'Existing Customers'!$A:$F,4,FALSE),""),""))</f>
        <v/>
      </c>
      <c r="AR16" s="134" t="str">
        <f>IF($F16="","",IFERROR(VLOOKUP($G16,'Existing Customers'!$A:$F,4,FALSE),""))</f>
        <v/>
      </c>
      <c r="AS16" s="52" t="str">
        <f>IF($F16="","",IFERROR(VLOOKUP($G16,'Existing Customer Variable Exp'!$B:$L,6,FALSE),0))</f>
        <v/>
      </c>
      <c r="AT16" s="52" t="str">
        <f>IF($F16="","",IFERROR(VLOOKUP($G16,'Existing Customer Variable Exp'!$B:$L,8,FALSE),BA16))</f>
        <v/>
      </c>
      <c r="AU16" s="52" t="str">
        <f>IF($F16="","",IFERROR(VLOOKUP($G16,'Existing Customer Variable Exp'!$B:$L,11,FALSE),BB16))</f>
        <v/>
      </c>
      <c r="AV16" s="52" t="str">
        <f t="shared" si="24"/>
        <v/>
      </c>
      <c r="AW16" s="52" t="str">
        <f t="shared" si="25"/>
        <v/>
      </c>
      <c r="AX16" s="52" t="str">
        <f t="shared" si="26"/>
        <v/>
      </c>
      <c r="AY16" s="52" t="str">
        <f>IF($F16="","",IFERROR(VLOOKUP($H16,'Prospect Slot Assumptions'!$A:$D,2,FALSE),0))</f>
        <v/>
      </c>
      <c r="AZ16" s="52" t="str">
        <f>IF($F16="","",IFERROR(VLOOKUP($H16,'Prospect Slot Assumptions'!$A:$D,3,FALSE),0))</f>
        <v/>
      </c>
      <c r="BA16" s="52" t="str">
        <f>IF($F16="","",IF(AS16=0,Welcome!$G$30,0))</f>
        <v/>
      </c>
      <c r="BB16" s="52" t="str">
        <f>IF($F16="","",IF(BA16&lt;&gt;0,(BA16*SUMIF('Prospect Slot Assumptions'!$A$2:$A$11,H16,'Prospect Slot Assumptions'!$B$2:$B$11))+(BA16*SUMIF('Prospect Slot Assumptions'!$A$2:$A$11,H16,'Prospect Slot Assumptions'!$C$2:$C$11)),0))</f>
        <v/>
      </c>
      <c r="BC16" s="52" t="str">
        <f>IF($F16="","",IFERROR(VLOOKUP($H16,'Prospect Slot Assumptions'!$A:$D,4,FALSE),0))</f>
        <v/>
      </c>
      <c r="BD16" s="52" t="str">
        <f t="shared" si="27"/>
        <v/>
      </c>
    </row>
    <row r="17" spans="1:56" s="1677" customFormat="1" x14ac:dyDescent="0.25">
      <c r="A17" s="1677" t="str">
        <f t="shared" si="0"/>
        <v/>
      </c>
      <c r="B17" s="1677">
        <f t="shared" si="1"/>
        <v>0</v>
      </c>
      <c r="C17" s="141">
        <v>12</v>
      </c>
      <c r="D17" s="141"/>
      <c r="E17" s="1381"/>
      <c r="F17" s="1684" t="str">
        <f>IF(BE17&lt;&gt;"Yes",IF(Welcome!$D$18="Select # of Locations","",IF($C17&lt;=Welcome!$D$18,$C17,"")),$C17)</f>
        <v/>
      </c>
      <c r="G17" s="1569"/>
      <c r="H17" s="1685"/>
      <c r="I17" s="1731"/>
      <c r="J17" s="1282"/>
      <c r="K17" s="1692" t="str">
        <f>IF(BE17&lt;&gt;"Yes",IF($C$4&gt;=$C17,IF(SUMIF('Existing Customers'!$A:$A,'Customer Inputs'!$G17,'Existing Customers'!$Q:$Q)=0,"Enter Spend&gt;&gt;&gt;",ROUND(SUMIF('Existing Customers'!$A:$A,'Customer Inputs'!$G17,'Existing Customers'!$Q:$Q),0)),""),IF(SUMIF('Existing Customers'!$A:$A,'Customer Inputs'!$G17,'Existing Customers'!$Q:$Q)=0,"Enter Spend&gt;&gt;&gt;",ROUND(SUMIF('Existing Customers'!$A:$A,'Customer Inputs'!$G17,'Existing Customers'!$Q:$Q),0)))</f>
        <v/>
      </c>
      <c r="L17" s="1693" t="str">
        <f>IF(BE17&lt;&gt;"Yes",IF($F17="","",'Multi-Customer'!$LD49),'Multi-Customer'!$LD49)</f>
        <v/>
      </c>
      <c r="M17" s="1693" t="str">
        <f>IF(BE17&lt;&gt;"Yes",IF($F17="","",IFERROR(VLOOKUP($G17,'Existing Customers'!$A:$AD,30,FALSE),"Enter Menu Type&gt;&gt;")),IFERROR(VLOOKUP($G17,'Existing Customers'!$A:$AD,30,FALSE),"Enter Menu Type&gt;&gt;"))</f>
        <v/>
      </c>
      <c r="N17" s="1693" t="str">
        <f>IF(BE17&lt;&gt;"Yes",IFERROR(IF($C$4&gt;=$C17,VLOOKUP($G17,'Existing Customers'!$A:$J,10,FALSE),""),"Enter Zip Code &gt;"),IFERROR(VLOOKUP($G17,'Existing Customers'!$A:$J,10,FALSE),"Enter Zip Code &gt;"))</f>
        <v/>
      </c>
      <c r="O17" s="1694" t="str">
        <f>IF(BE17&lt;&gt;"Yes",IF($F17="","",'Multi-Customer'!$LD50),'Multi-Customer'!$LD50)</f>
        <v/>
      </c>
      <c r="P17" s="1366"/>
      <c r="Q17" s="1367"/>
      <c r="R17" s="1368"/>
      <c r="S17" s="1365"/>
      <c r="T17" s="1369"/>
      <c r="U17" s="1699"/>
      <c r="V17" s="1703" t="s">
        <v>648</v>
      </c>
      <c r="W17" s="1090"/>
      <c r="X17" s="991" t="str">
        <f>IF($F17="","",'[2]Variable Costs (Back)'!$A26)</f>
        <v/>
      </c>
      <c r="Y17" s="506" t="str">
        <f t="shared" si="17"/>
        <v/>
      </c>
      <c r="Z17" s="52" t="str">
        <f t="shared" si="18"/>
        <v/>
      </c>
      <c r="AA17" s="52" t="str">
        <f t="shared" si="19"/>
        <v/>
      </c>
      <c r="AB17" s="52" t="str">
        <f t="shared" si="20"/>
        <v/>
      </c>
      <c r="AC17" s="134">
        <f t="shared" si="21"/>
        <v>0</v>
      </c>
      <c r="AD17" s="1677">
        <f>IF(IF($G17="New Store",COUNTIF($G$6:$G$25,"New Store")-COUNTIF($G$25:$G25,"New Store"),0)=9,10,9)</f>
        <v>9</v>
      </c>
      <c r="AE17" s="1677" t="str">
        <f t="shared" si="4"/>
        <v/>
      </c>
      <c r="AF17" s="1678" t="str">
        <f t="shared" si="5"/>
        <v/>
      </c>
      <c r="AG17" s="134"/>
      <c r="AH17" s="134" t="e">
        <f t="shared" si="28"/>
        <v>#N/A</v>
      </c>
      <c r="AI17" s="134"/>
      <c r="AJ17" s="134"/>
      <c r="AK17" s="134" t="b">
        <f>NOT(ISERROR(IFERROR(VLOOKUP($G17&amp;"",'HOS_Modellable Customers'!$A:$A,1,0),VLOOKUP($G17,'HOS_Modellable Customers'!$A:$A,1,0))))</f>
        <v>0</v>
      </c>
      <c r="AL17" s="134" t="b">
        <f>NOT(ISERROR(IFERROR(VLOOKUP($G17&amp;"",'Modellable Customers'!$A:$A,1,0),VLOOKUP($G17,'Modellable Customers'!$A:$A,1,0))))</f>
        <v>0</v>
      </c>
      <c r="AM17" s="134" t="b">
        <f t="shared" si="16"/>
        <v>0</v>
      </c>
      <c r="AN17" s="134" t="str">
        <f t="shared" si="22"/>
        <v>CLEAR</v>
      </c>
      <c r="AO17" s="134"/>
      <c r="AP17" s="134" t="str">
        <f t="shared" si="23"/>
        <v/>
      </c>
      <c r="AQ17" s="688" t="str">
        <f>IF($F17="","",IF(OR(U17="",U17="Existing"),IFERROR(VLOOKUP($G17,'Existing Customers'!$A:$F,4,FALSE),""),""))</f>
        <v/>
      </c>
      <c r="AR17" s="134" t="str">
        <f>IF($F17="","",IFERROR(VLOOKUP($G17,'Existing Customers'!$A:$F,4,FALSE),""))</f>
        <v/>
      </c>
      <c r="AS17" s="52" t="str">
        <f>IF($F17="","",IFERROR(VLOOKUP($G17,'Existing Customer Variable Exp'!$B:$L,6,FALSE),0))</f>
        <v/>
      </c>
      <c r="AT17" s="52" t="str">
        <f>IF($F17="","",IFERROR(VLOOKUP($G17,'Existing Customer Variable Exp'!$B:$L,8,FALSE),BA17))</f>
        <v/>
      </c>
      <c r="AU17" s="52" t="str">
        <f>IF($F17="","",IFERROR(VLOOKUP($G17,'Existing Customer Variable Exp'!$B:$L,11,FALSE),BB17))</f>
        <v/>
      </c>
      <c r="AV17" s="52" t="str">
        <f t="shared" si="24"/>
        <v/>
      </c>
      <c r="AW17" s="52" t="str">
        <f t="shared" si="25"/>
        <v/>
      </c>
      <c r="AX17" s="52" t="str">
        <f t="shared" si="26"/>
        <v/>
      </c>
      <c r="AY17" s="52" t="str">
        <f>IF($F17="","",IFERROR(VLOOKUP($H17,'Prospect Slot Assumptions'!$A:$D,2,FALSE),0))</f>
        <v/>
      </c>
      <c r="AZ17" s="52" t="str">
        <f>IF($F17="","",IFERROR(VLOOKUP($H17,'Prospect Slot Assumptions'!$A:$D,3,FALSE),0))</f>
        <v/>
      </c>
      <c r="BA17" s="52" t="str">
        <f>IF($F17="","",IF(AS17=0,Welcome!$G$30,0))</f>
        <v/>
      </c>
      <c r="BB17" s="52" t="str">
        <f>IF($F17="","",IF(BA17&lt;&gt;0,(BA17*SUMIF('Prospect Slot Assumptions'!$A$2:$A$11,H17,'Prospect Slot Assumptions'!$B$2:$B$11))+(BA17*SUMIF('Prospect Slot Assumptions'!$A$2:$A$11,H17,'Prospect Slot Assumptions'!$C$2:$C$11)),0))</f>
        <v/>
      </c>
      <c r="BC17" s="52" t="str">
        <f>IF($F17="","",IFERROR(VLOOKUP($H17,'Prospect Slot Assumptions'!$A:$D,4,FALSE),0))</f>
        <v/>
      </c>
      <c r="BD17" s="52" t="str">
        <f t="shared" si="27"/>
        <v/>
      </c>
    </row>
    <row r="18" spans="1:56" s="1677" customFormat="1" x14ac:dyDescent="0.25">
      <c r="A18" s="1677" t="str">
        <f t="shared" si="0"/>
        <v/>
      </c>
      <c r="B18" s="1677">
        <f t="shared" si="1"/>
        <v>0</v>
      </c>
      <c r="C18" s="141">
        <v>13</v>
      </c>
      <c r="D18" s="141"/>
      <c r="E18" s="1381"/>
      <c r="F18" s="1684" t="str">
        <f>IF(BE18&lt;&gt;"Yes",IF(Welcome!$D$18="Select # of Locations","",IF($C18&lt;=Welcome!$D$18,$C18,"")),$C18)</f>
        <v/>
      </c>
      <c r="G18" s="1569"/>
      <c r="H18" s="1685"/>
      <c r="I18" s="1731"/>
      <c r="J18" s="1282"/>
      <c r="K18" s="1692" t="str">
        <f>IF(BE18&lt;&gt;"Yes",IF($C$4&gt;=$C18,IF(SUMIF('Existing Customers'!$A:$A,'Customer Inputs'!$G18,'Existing Customers'!$Q:$Q)=0,"Enter Spend&gt;&gt;&gt;",ROUND(SUMIF('Existing Customers'!$A:$A,'Customer Inputs'!$G18,'Existing Customers'!$Q:$Q),0)),""),IF(SUMIF('Existing Customers'!$A:$A,'Customer Inputs'!$G18,'Existing Customers'!$Q:$Q)=0,"Enter Spend&gt;&gt;&gt;",ROUND(SUMIF('Existing Customers'!$A:$A,'Customer Inputs'!$G18,'Existing Customers'!$Q:$Q),0)))</f>
        <v/>
      </c>
      <c r="L18" s="1693" t="str">
        <f>IF(BE18&lt;&gt;"Yes",IF($F18="","",'Multi-Customer'!$MA49),'Multi-Customer'!$MA49)</f>
        <v/>
      </c>
      <c r="M18" s="1693" t="str">
        <f>IF(BE18&lt;&gt;"Yes",IF($F18="","",IFERROR(VLOOKUP($G18,'Existing Customers'!$A:$AD,30,FALSE),"Enter Menu Type&gt;&gt;")),IFERROR(VLOOKUP($G18,'Existing Customers'!$A:$AD,30,FALSE),"Enter Menu Type&gt;&gt;"))</f>
        <v/>
      </c>
      <c r="N18" s="1693" t="str">
        <f>IF(BE18&lt;&gt;"Yes",IFERROR(IF($C$4&gt;=$C18,VLOOKUP($G18,'Existing Customers'!$A:$J,10,FALSE),""),"Enter Zip Code &gt;"),IFERROR(VLOOKUP($G18,'Existing Customers'!$A:$J,10,FALSE),"Enter Zip Code &gt;"))</f>
        <v/>
      </c>
      <c r="O18" s="1694" t="str">
        <f>IF(BE18&lt;&gt;"Yes",IF($F18="","",'Multi-Customer'!$MA50),'Multi-Customer'!$MA50)</f>
        <v/>
      </c>
      <c r="P18" s="1366"/>
      <c r="Q18" s="1367"/>
      <c r="R18" s="1368"/>
      <c r="S18" s="1365"/>
      <c r="T18" s="1369"/>
      <c r="U18" s="1699"/>
      <c r="V18" s="1703" t="s">
        <v>648</v>
      </c>
      <c r="W18" s="1090"/>
      <c r="X18" s="991" t="str">
        <f>IF($F18="","",'[2]Variable Costs (Back)'!$A27)</f>
        <v/>
      </c>
      <c r="Y18" s="506" t="str">
        <f t="shared" si="17"/>
        <v/>
      </c>
      <c r="Z18" s="52" t="str">
        <f t="shared" si="18"/>
        <v/>
      </c>
      <c r="AA18" s="52" t="str">
        <f t="shared" si="19"/>
        <v/>
      </c>
      <c r="AB18" s="52" t="str">
        <f t="shared" si="20"/>
        <v/>
      </c>
      <c r="AC18" s="134">
        <f t="shared" si="21"/>
        <v>0</v>
      </c>
      <c r="AD18" s="1677">
        <f>IF(IF($G18="New Store",COUNTIF($G$6:$G$25,"New Store")-COUNTIF($G$25:$G25,"New Store"),0)=9,10,9)</f>
        <v>9</v>
      </c>
      <c r="AE18" s="1677" t="str">
        <f t="shared" si="4"/>
        <v/>
      </c>
      <c r="AF18" s="1678" t="str">
        <f t="shared" si="5"/>
        <v/>
      </c>
      <c r="AG18" s="134"/>
      <c r="AH18" s="134" t="e">
        <f t="shared" si="28"/>
        <v>#N/A</v>
      </c>
      <c r="AI18" s="134"/>
      <c r="AJ18" s="134"/>
      <c r="AK18" s="134" t="b">
        <f>NOT(ISERROR(IFERROR(VLOOKUP($G18&amp;"",'HOS_Modellable Customers'!$A:$A,1,0),VLOOKUP($G18,'HOS_Modellable Customers'!$A:$A,1,0))))</f>
        <v>0</v>
      </c>
      <c r="AL18" s="134" t="b">
        <f>NOT(ISERROR(IFERROR(VLOOKUP($G18&amp;"",'Modellable Customers'!$A:$A,1,0),VLOOKUP($G18,'Modellable Customers'!$A:$A,1,0))))</f>
        <v>0</v>
      </c>
      <c r="AM18" s="134" t="b">
        <f t="shared" si="16"/>
        <v>0</v>
      </c>
      <c r="AN18" s="134" t="str">
        <f t="shared" si="22"/>
        <v>CLEAR</v>
      </c>
      <c r="AO18" s="134"/>
      <c r="AP18" s="134" t="str">
        <f t="shared" si="23"/>
        <v/>
      </c>
      <c r="AQ18" s="688" t="str">
        <f>IF($F18="","",IF(OR(U18="",U18="Existing"),IFERROR(VLOOKUP($G18,'Existing Customers'!$A:$F,4,FALSE),""),""))</f>
        <v/>
      </c>
      <c r="AR18" s="134" t="str">
        <f>IF($F18="","",IFERROR(VLOOKUP($G18,'Existing Customers'!$A:$F,4,FALSE),""))</f>
        <v/>
      </c>
      <c r="AS18" s="52" t="str">
        <f>IF($F18="","",IFERROR(VLOOKUP($G18,'Existing Customer Variable Exp'!$B:$L,6,FALSE),0))</f>
        <v/>
      </c>
      <c r="AT18" s="52" t="str">
        <f>IF($F18="","",IFERROR(VLOOKUP($G18,'Existing Customer Variable Exp'!$B:$L,8,FALSE),BA18))</f>
        <v/>
      </c>
      <c r="AU18" s="52" t="str">
        <f>IF($F18="","",IFERROR(VLOOKUP($G18,'Existing Customer Variable Exp'!$B:$L,11,FALSE),BB18))</f>
        <v/>
      </c>
      <c r="AV18" s="52" t="str">
        <f t="shared" si="24"/>
        <v/>
      </c>
      <c r="AW18" s="52" t="str">
        <f t="shared" si="25"/>
        <v/>
      </c>
      <c r="AX18" s="52" t="str">
        <f t="shared" si="26"/>
        <v/>
      </c>
      <c r="AY18" s="52" t="str">
        <f>IF($F18="","",IFERROR(VLOOKUP($H18,'Prospect Slot Assumptions'!$A:$D,2,FALSE),0))</f>
        <v/>
      </c>
      <c r="AZ18" s="52" t="str">
        <f>IF($F18="","",IFERROR(VLOOKUP($H18,'Prospect Slot Assumptions'!$A:$D,3,FALSE),0))</f>
        <v/>
      </c>
      <c r="BA18" s="52" t="str">
        <f>IF($F18="","",IF(AS18=0,Welcome!$G$30,0))</f>
        <v/>
      </c>
      <c r="BB18" s="52" t="str">
        <f>IF($F18="","",IF(BA18&lt;&gt;0,(BA18*SUMIF('Prospect Slot Assumptions'!$A$2:$A$11,H18,'Prospect Slot Assumptions'!$B$2:$B$11))+(BA18*SUMIF('Prospect Slot Assumptions'!$A$2:$A$11,H18,'Prospect Slot Assumptions'!$C$2:$C$11)),0))</f>
        <v/>
      </c>
      <c r="BC18" s="52" t="str">
        <f>IF($F18="","",IFERROR(VLOOKUP($H18,'Prospect Slot Assumptions'!$A:$D,4,FALSE),0))</f>
        <v/>
      </c>
      <c r="BD18" s="52" t="str">
        <f t="shared" si="27"/>
        <v/>
      </c>
    </row>
    <row r="19" spans="1:56" s="1677" customFormat="1" x14ac:dyDescent="0.25">
      <c r="A19" s="1677" t="str">
        <f t="shared" si="0"/>
        <v/>
      </c>
      <c r="B19" s="1677">
        <f t="shared" si="1"/>
        <v>0</v>
      </c>
      <c r="C19" s="141">
        <v>14</v>
      </c>
      <c r="D19" s="141"/>
      <c r="E19" s="1381"/>
      <c r="F19" s="1684" t="str">
        <f>IF(BE19&lt;&gt;"Yes",IF(Welcome!$D$18="Select # of Locations","",IF($C19&lt;=Welcome!$D$18,$C19,"")),$C19)</f>
        <v/>
      </c>
      <c r="G19" s="1569"/>
      <c r="H19" s="1685"/>
      <c r="I19" s="1731"/>
      <c r="J19" s="1282"/>
      <c r="K19" s="1692" t="str">
        <f>IF(BE19&lt;&gt;"Yes",IF($C$4&gt;=$C19,IF(SUMIF('Existing Customers'!$A:$A,'Customer Inputs'!$G19,'Existing Customers'!$Q:$Q)=0,"Enter Spend&gt;&gt;&gt;",ROUND(SUMIF('Existing Customers'!$A:$A,'Customer Inputs'!$G19,'Existing Customers'!$Q:$Q),0)),""),IF(SUMIF('Existing Customers'!$A:$A,'Customer Inputs'!$G19,'Existing Customers'!$Q:$Q)=0,"Enter Spend&gt;&gt;&gt;",ROUND(SUMIF('Existing Customers'!$A:$A,'Customer Inputs'!$G19,'Existing Customers'!$Q:$Q),0)))</f>
        <v/>
      </c>
      <c r="L19" s="1693" t="str">
        <f>IF(BE19&lt;&gt;"Yes",IF($F19="","",'Multi-Customer'!$MX49),'Multi-Customer'!$MX49)</f>
        <v/>
      </c>
      <c r="M19" s="1693" t="str">
        <f>IF(BE19&lt;&gt;"Yes",IF($F19="","",IFERROR(VLOOKUP($G19,'Existing Customers'!$A:$AD,30,FALSE),"Enter Menu Type&gt;&gt;")),IFERROR(VLOOKUP($G19,'Existing Customers'!$A:$AD,30,FALSE),"Enter Menu Type&gt;&gt;"))</f>
        <v/>
      </c>
      <c r="N19" s="1693" t="str">
        <f>IF(BE19&lt;&gt;"Yes",IFERROR(IF($C$4&gt;=$C19,VLOOKUP($G19,'Existing Customers'!$A:$J,10,FALSE),""),"Enter Zip Code &gt;"),IFERROR(VLOOKUP($G19,'Existing Customers'!$A:$J,10,FALSE),"Enter Zip Code &gt;"))</f>
        <v/>
      </c>
      <c r="O19" s="1694" t="str">
        <f>IF(BE19&lt;&gt;"Yes",IF($F19="","",'Multi-Customer'!$MX50),'Multi-Customer'!$MX50)</f>
        <v/>
      </c>
      <c r="P19" s="1366"/>
      <c r="Q19" s="1367"/>
      <c r="R19" s="1368"/>
      <c r="S19" s="1365"/>
      <c r="T19" s="1369"/>
      <c r="U19" s="1699"/>
      <c r="V19" s="1703" t="s">
        <v>648</v>
      </c>
      <c r="W19" s="1090"/>
      <c r="X19" s="991" t="str">
        <f>IF($F19="","",'[2]Variable Costs (Back)'!$A28)</f>
        <v/>
      </c>
      <c r="Y19" s="506" t="str">
        <f t="shared" si="17"/>
        <v/>
      </c>
      <c r="Z19" s="52" t="str">
        <f t="shared" si="18"/>
        <v/>
      </c>
      <c r="AA19" s="52" t="str">
        <f t="shared" si="19"/>
        <v/>
      </c>
      <c r="AB19" s="52" t="str">
        <f t="shared" si="20"/>
        <v/>
      </c>
      <c r="AC19" s="134">
        <f t="shared" si="21"/>
        <v>0</v>
      </c>
      <c r="AD19" s="1677">
        <f>IF(IF($G19="New Store",COUNTIF($G$6:$G$25,"New Store")-COUNTIF($G$25:$G25,"New Store"),0)=9,10,9)</f>
        <v>9</v>
      </c>
      <c r="AE19" s="1677" t="str">
        <f t="shared" si="4"/>
        <v/>
      </c>
      <c r="AF19" s="1678" t="str">
        <f t="shared" si="5"/>
        <v/>
      </c>
      <c r="AG19" s="134"/>
      <c r="AH19" s="134" t="e">
        <f t="shared" si="28"/>
        <v>#N/A</v>
      </c>
      <c r="AI19" s="134"/>
      <c r="AJ19" s="134"/>
      <c r="AK19" s="134" t="b">
        <f>NOT(ISERROR(IFERROR(VLOOKUP($G19&amp;"",'HOS_Modellable Customers'!$A:$A,1,0),VLOOKUP($G19,'HOS_Modellable Customers'!$A:$A,1,0))))</f>
        <v>0</v>
      </c>
      <c r="AL19" s="134" t="b">
        <f>NOT(ISERROR(IFERROR(VLOOKUP($G19&amp;"",'Modellable Customers'!$A:$A,1,0),VLOOKUP($G19,'Modellable Customers'!$A:$A,1,0))))</f>
        <v>0</v>
      </c>
      <c r="AM19" s="134" t="b">
        <f t="shared" si="16"/>
        <v>0</v>
      </c>
      <c r="AN19" s="134" t="str">
        <f t="shared" si="22"/>
        <v>CLEAR</v>
      </c>
      <c r="AO19" s="134"/>
      <c r="AP19" s="134" t="str">
        <f t="shared" si="23"/>
        <v/>
      </c>
      <c r="AQ19" s="688" t="str">
        <f>IF($F19="","",IF(OR(U19="",U19="Existing"),IFERROR(VLOOKUP($G19,'Existing Customers'!$A:$F,4,FALSE),""),""))</f>
        <v/>
      </c>
      <c r="AR19" s="134" t="str">
        <f>IF($F19="","",IFERROR(VLOOKUP($G19,'Existing Customers'!$A:$F,4,FALSE),""))</f>
        <v/>
      </c>
      <c r="AS19" s="52" t="str">
        <f>IF($F19="","",IFERROR(VLOOKUP($G19,'Existing Customer Variable Exp'!$B:$L,6,FALSE),0))</f>
        <v/>
      </c>
      <c r="AT19" s="52" t="str">
        <f>IF($F19="","",IFERROR(VLOOKUP($G19,'Existing Customer Variable Exp'!$B:$L,8,FALSE),BA19))</f>
        <v/>
      </c>
      <c r="AU19" s="52" t="str">
        <f>IF($F19="","",IFERROR(VLOOKUP($G19,'Existing Customer Variable Exp'!$B:$L,11,FALSE),BB19))</f>
        <v/>
      </c>
      <c r="AV19" s="52" t="str">
        <f t="shared" si="24"/>
        <v/>
      </c>
      <c r="AW19" s="52" t="str">
        <f t="shared" si="25"/>
        <v/>
      </c>
      <c r="AX19" s="52" t="str">
        <f t="shared" si="26"/>
        <v/>
      </c>
      <c r="AY19" s="52" t="str">
        <f>IF($F19="","",IFERROR(VLOOKUP($H19,'Prospect Slot Assumptions'!$A:$D,2,FALSE),0))</f>
        <v/>
      </c>
      <c r="AZ19" s="52" t="str">
        <f>IF($F19="","",IFERROR(VLOOKUP($H19,'Prospect Slot Assumptions'!$A:$D,3,FALSE),0))</f>
        <v/>
      </c>
      <c r="BA19" s="52" t="str">
        <f>IF($F19="","",IF(AS19=0,Welcome!$G$30,0))</f>
        <v/>
      </c>
      <c r="BB19" s="52" t="str">
        <f>IF($F19="","",IF(BA19&lt;&gt;0,(BA19*SUMIF('Prospect Slot Assumptions'!$A$2:$A$11,H19,'Prospect Slot Assumptions'!$B$2:$B$11))+(BA19*SUMIF('Prospect Slot Assumptions'!$A$2:$A$11,H19,'Prospect Slot Assumptions'!$C$2:$C$11)),0))</f>
        <v/>
      </c>
      <c r="BC19" s="52" t="str">
        <f>IF($F19="","",IFERROR(VLOOKUP($H19,'Prospect Slot Assumptions'!$A:$D,4,FALSE),0))</f>
        <v/>
      </c>
      <c r="BD19" s="52" t="str">
        <f t="shared" si="27"/>
        <v/>
      </c>
    </row>
    <row r="20" spans="1:56" s="1677" customFormat="1" x14ac:dyDescent="0.25">
      <c r="A20" s="1677" t="str">
        <f t="shared" si="0"/>
        <v/>
      </c>
      <c r="B20" s="1677">
        <f t="shared" si="1"/>
        <v>0</v>
      </c>
      <c r="C20" s="141">
        <v>15</v>
      </c>
      <c r="D20" s="141"/>
      <c r="E20" s="1381"/>
      <c r="F20" s="1684" t="str">
        <f>IF(BE20&lt;&gt;"Yes",IF(Welcome!$D$18="Select # of Locations","",IF($C20&lt;=Welcome!$D$18,$C20,"")),$C20)</f>
        <v/>
      </c>
      <c r="G20" s="1569"/>
      <c r="H20" s="1685"/>
      <c r="I20" s="1731"/>
      <c r="J20" s="1282"/>
      <c r="K20" s="1692" t="str">
        <f>IF(BE20&lt;&gt;"Yes",IF($C$4&gt;=$C20,IF(SUMIF('Existing Customers'!$A:$A,'Customer Inputs'!$G20,'Existing Customers'!$Q:$Q)=0,"Enter Spend&gt;&gt;&gt;",ROUND(SUMIF('Existing Customers'!$A:$A,'Customer Inputs'!$G20,'Existing Customers'!$Q:$Q),0)),""),IF(SUMIF('Existing Customers'!$A:$A,'Customer Inputs'!$G20,'Existing Customers'!$Q:$Q)=0,"Enter Spend&gt;&gt;&gt;",ROUND(SUMIF('Existing Customers'!$A:$A,'Customer Inputs'!$G20,'Existing Customers'!$Q:$Q),0)))</f>
        <v/>
      </c>
      <c r="L20" s="1693" t="str">
        <f>IF(BE20&lt;&gt;"Yes",IF($F20="","",'Multi-Customer'!$NU49),'Multi-Customer'!$NU49)</f>
        <v/>
      </c>
      <c r="M20" s="1693" t="str">
        <f>IF(BE20&lt;&gt;"Yes",IF($F20="","",IFERROR(VLOOKUP($G20,'Existing Customers'!$A:$AD,30,FALSE),"Enter Menu Type&gt;&gt;")),IFERROR(VLOOKUP($G20,'Existing Customers'!$A:$AD,30,FALSE),"Enter Menu Type&gt;&gt;"))</f>
        <v/>
      </c>
      <c r="N20" s="1693" t="str">
        <f>IF(BE20&lt;&gt;"Yes",IFERROR(IF($C$4&gt;=$C20,VLOOKUP($G20,'Existing Customers'!$A:$J,10,FALSE),""),"Enter Zip Code &gt;"),IFERROR(VLOOKUP($G20,'Existing Customers'!$A:$J,10,FALSE),"Enter Zip Code &gt;"))</f>
        <v/>
      </c>
      <c r="O20" s="1694" t="str">
        <f>IF(BE20&lt;&gt;"Yes",IF($F20="","",'Multi-Customer'!$NU50),'Multi-Customer'!$NU50)</f>
        <v/>
      </c>
      <c r="P20" s="1366"/>
      <c r="Q20" s="1367"/>
      <c r="R20" s="1368"/>
      <c r="S20" s="1365"/>
      <c r="T20" s="1369"/>
      <c r="U20" s="1699"/>
      <c r="V20" s="1703" t="s">
        <v>648</v>
      </c>
      <c r="W20" s="1090"/>
      <c r="X20" s="991" t="str">
        <f>IF($F20="","",'[2]Variable Costs (Back)'!$A29)</f>
        <v/>
      </c>
      <c r="Y20" s="506" t="str">
        <f t="shared" si="17"/>
        <v/>
      </c>
      <c r="Z20" s="52" t="str">
        <f t="shared" si="18"/>
        <v/>
      </c>
      <c r="AA20" s="52" t="str">
        <f t="shared" si="19"/>
        <v/>
      </c>
      <c r="AB20" s="52" t="str">
        <f t="shared" si="20"/>
        <v/>
      </c>
      <c r="AC20" s="134">
        <f t="shared" si="21"/>
        <v>0</v>
      </c>
      <c r="AD20" s="1677">
        <f>IF(IF($G20="New Store",COUNTIF($G$6:$G$25,"New Store")-COUNTIF($G$25:$G25,"New Store"),0)=9,10,9)</f>
        <v>9</v>
      </c>
      <c r="AE20" s="1677" t="str">
        <f t="shared" si="4"/>
        <v/>
      </c>
      <c r="AF20" s="1678" t="str">
        <f t="shared" si="5"/>
        <v/>
      </c>
      <c r="AG20" s="134"/>
      <c r="AH20" s="134" t="e">
        <f t="shared" si="28"/>
        <v>#N/A</v>
      </c>
      <c r="AI20" s="134"/>
      <c r="AJ20" s="134"/>
      <c r="AK20" s="134" t="b">
        <f>NOT(ISERROR(IFERROR(VLOOKUP($G20&amp;"",'HOS_Modellable Customers'!$A:$A,1,0),VLOOKUP($G20,'HOS_Modellable Customers'!$A:$A,1,0))))</f>
        <v>0</v>
      </c>
      <c r="AL20" s="134" t="b">
        <f>NOT(ISERROR(IFERROR(VLOOKUP($G20&amp;"",'Modellable Customers'!$A:$A,1,0),VLOOKUP($G20,'Modellable Customers'!$A:$A,1,0))))</f>
        <v>0</v>
      </c>
      <c r="AM20" s="134" t="b">
        <f t="shared" si="16"/>
        <v>0</v>
      </c>
      <c r="AN20" s="134" t="str">
        <f t="shared" si="22"/>
        <v>CLEAR</v>
      </c>
      <c r="AO20" s="134"/>
      <c r="AP20" s="134" t="str">
        <f t="shared" si="23"/>
        <v/>
      </c>
      <c r="AQ20" s="688" t="str">
        <f>IF($F20="","",IF(OR(U20="",U20="Existing"),IFERROR(VLOOKUP($G20,'Existing Customers'!$A:$F,4,FALSE),""),""))</f>
        <v/>
      </c>
      <c r="AR20" s="134" t="str">
        <f>IF($F20="","",IFERROR(VLOOKUP($G20,'Existing Customers'!$A:$F,4,FALSE),""))</f>
        <v/>
      </c>
      <c r="AS20" s="52" t="str">
        <f>IF($F20="","",IFERROR(VLOOKUP($G20,'Existing Customer Variable Exp'!$B:$L,6,FALSE),0))</f>
        <v/>
      </c>
      <c r="AT20" s="52" t="str">
        <f>IF($F20="","",IFERROR(VLOOKUP($G20,'Existing Customer Variable Exp'!$B:$L,8,FALSE),BA20))</f>
        <v/>
      </c>
      <c r="AU20" s="52" t="str">
        <f>IF($F20="","",IFERROR(VLOOKUP($G20,'Existing Customer Variable Exp'!$B:$L,11,FALSE),BB20))</f>
        <v/>
      </c>
      <c r="AV20" s="52" t="str">
        <f t="shared" si="24"/>
        <v/>
      </c>
      <c r="AW20" s="52" t="str">
        <f t="shared" si="25"/>
        <v/>
      </c>
      <c r="AX20" s="52" t="str">
        <f t="shared" si="26"/>
        <v/>
      </c>
      <c r="AY20" s="52" t="str">
        <f>IF($F20="","",IFERROR(VLOOKUP($H20,'Prospect Slot Assumptions'!$A:$D,2,FALSE),0))</f>
        <v/>
      </c>
      <c r="AZ20" s="52" t="str">
        <f>IF($F20="","",IFERROR(VLOOKUP($H20,'Prospect Slot Assumptions'!$A:$D,3,FALSE),0))</f>
        <v/>
      </c>
      <c r="BA20" s="52" t="str">
        <f>IF($F20="","",IF(AS20=0,Welcome!$G$30,0))</f>
        <v/>
      </c>
      <c r="BB20" s="52" t="str">
        <f>IF($F20="","",IF(BA20&lt;&gt;0,(BA20*SUMIF('Prospect Slot Assumptions'!$A$2:$A$11,H20,'Prospect Slot Assumptions'!$B$2:$B$11))+(BA20*SUMIF('Prospect Slot Assumptions'!$A$2:$A$11,H20,'Prospect Slot Assumptions'!$C$2:$C$11)),0))</f>
        <v/>
      </c>
      <c r="BC20" s="52" t="str">
        <f>IF($F20="","",IFERROR(VLOOKUP($H20,'Prospect Slot Assumptions'!$A:$D,4,FALSE),0))</f>
        <v/>
      </c>
      <c r="BD20" s="52" t="str">
        <f t="shared" si="27"/>
        <v/>
      </c>
    </row>
    <row r="21" spans="1:56" s="1677" customFormat="1" x14ac:dyDescent="0.25">
      <c r="A21" s="1677" t="str">
        <f t="shared" si="0"/>
        <v/>
      </c>
      <c r="B21" s="1677">
        <f t="shared" si="1"/>
        <v>0</v>
      </c>
      <c r="C21" s="141">
        <v>16</v>
      </c>
      <c r="D21" s="141"/>
      <c r="E21" s="1381"/>
      <c r="F21" s="1684" t="str">
        <f>IF(BE21&lt;&gt;"Yes",IF(Welcome!$D$18="Select # of Locations","",IF($C21&lt;=Welcome!$D$18,$C21,"")),$C21)</f>
        <v/>
      </c>
      <c r="G21" s="1569"/>
      <c r="H21" s="1685"/>
      <c r="I21" s="1731"/>
      <c r="J21" s="1282"/>
      <c r="K21" s="1692" t="str">
        <f>IF(BE21&lt;&gt;"Yes",IF($C$4&gt;=$C21,IF(SUMIF('Existing Customers'!$A:$A,'Customer Inputs'!$G21,'Existing Customers'!$Q:$Q)=0,"Enter Spend&gt;&gt;&gt;",ROUND(SUMIF('Existing Customers'!$A:$A,'Customer Inputs'!$G21,'Existing Customers'!$Q:$Q),0)),""),IF(SUMIF('Existing Customers'!$A:$A,'Customer Inputs'!$G21,'Existing Customers'!$Q:$Q)=0,"Enter Spend&gt;&gt;&gt;",ROUND(SUMIF('Existing Customers'!$A:$A,'Customer Inputs'!$G21,'Existing Customers'!$Q:$Q),0)))</f>
        <v/>
      </c>
      <c r="L21" s="1693" t="str">
        <f>IF(BE21&lt;&gt;"Yes",IF($F21="","",'Multi-Customer'!$OR49),'Multi-Customer'!$OR49)</f>
        <v/>
      </c>
      <c r="M21" s="1693" t="str">
        <f>IF(BE21&lt;&gt;"Yes",IF($F21="","",IFERROR(VLOOKUP($G21,'Existing Customers'!$A:$AD,30,FALSE),"Enter Menu Type&gt;&gt;")),IFERROR(VLOOKUP($G21,'Existing Customers'!$A:$AD,30,FALSE),"Enter Menu Type&gt;&gt;"))</f>
        <v/>
      </c>
      <c r="N21" s="1693" t="str">
        <f>IF(BE21&lt;&gt;"Yes",IFERROR(IF($C$4&gt;=$C21,VLOOKUP($G21,'Existing Customers'!$A:$J,10,FALSE),""),"Enter Zip Code &gt;"),IFERROR(VLOOKUP($G21,'Existing Customers'!$A:$J,10,FALSE),"Enter Zip Code &gt;"))</f>
        <v/>
      </c>
      <c r="O21" s="1694" t="str">
        <f>IF(BE21&lt;&gt;"Yes",IF($F21="","",'Multi-Customer'!$OR50),'Multi-Customer'!$OR50)</f>
        <v/>
      </c>
      <c r="P21" s="1366"/>
      <c r="Q21" s="1367"/>
      <c r="R21" s="1368"/>
      <c r="S21" s="1365"/>
      <c r="T21" s="1369"/>
      <c r="U21" s="1699"/>
      <c r="V21" s="1703" t="s">
        <v>648</v>
      </c>
      <c r="W21" s="1090"/>
      <c r="X21" s="991" t="str">
        <f>IF($F21="","",'[2]Variable Costs (Back)'!$A30)</f>
        <v/>
      </c>
      <c r="Y21" s="506" t="str">
        <f t="shared" si="17"/>
        <v/>
      </c>
      <c r="Z21" s="52" t="str">
        <f t="shared" si="18"/>
        <v/>
      </c>
      <c r="AA21" s="52" t="str">
        <f t="shared" si="19"/>
        <v/>
      </c>
      <c r="AB21" s="52" t="str">
        <f t="shared" si="20"/>
        <v/>
      </c>
      <c r="AC21" s="134">
        <f t="shared" si="21"/>
        <v>0</v>
      </c>
      <c r="AD21" s="1677">
        <f>IF(IF($G21="New Store",COUNTIF($G$6:$G$25,"New Store")-COUNTIF($G$25:$G25,"New Store"),0)=9,10,9)</f>
        <v>9</v>
      </c>
      <c r="AE21" s="1677" t="str">
        <f t="shared" si="4"/>
        <v/>
      </c>
      <c r="AF21" s="1678" t="str">
        <f t="shared" si="5"/>
        <v/>
      </c>
      <c r="AG21" s="134"/>
      <c r="AH21" s="134" t="e">
        <f t="shared" si="28"/>
        <v>#N/A</v>
      </c>
      <c r="AI21" s="134"/>
      <c r="AJ21" s="134"/>
      <c r="AK21" s="134" t="b">
        <f>NOT(ISERROR(IFERROR(VLOOKUP($G21&amp;"",'HOS_Modellable Customers'!$A:$A,1,0),VLOOKUP($G21,'HOS_Modellable Customers'!$A:$A,1,0))))</f>
        <v>0</v>
      </c>
      <c r="AL21" s="134" t="b">
        <f>NOT(ISERROR(IFERROR(VLOOKUP($G21&amp;"",'Modellable Customers'!$A:$A,1,0),VLOOKUP($G21,'Modellable Customers'!$A:$A,1,0))))</f>
        <v>0</v>
      </c>
      <c r="AM21" s="134" t="b">
        <f t="shared" si="16"/>
        <v>0</v>
      </c>
      <c r="AN21" s="134" t="str">
        <f t="shared" si="22"/>
        <v>CLEAR</v>
      </c>
      <c r="AO21" s="134"/>
      <c r="AP21" s="134" t="str">
        <f t="shared" si="23"/>
        <v/>
      </c>
      <c r="AQ21" s="688" t="str">
        <f>IF($F21="","",IF(OR(U21="",U21="Existing"),IFERROR(VLOOKUP($G21,'Existing Customers'!$A:$F,4,FALSE),""),""))</f>
        <v/>
      </c>
      <c r="AR21" s="134" t="str">
        <f>IF($F21="","",IFERROR(VLOOKUP($G21,'Existing Customers'!$A:$F,4,FALSE),""))</f>
        <v/>
      </c>
      <c r="AS21" s="52" t="str">
        <f>IF($F21="","",IFERROR(VLOOKUP($G21,'Existing Customer Variable Exp'!$B:$L,6,FALSE),0))</f>
        <v/>
      </c>
      <c r="AT21" s="52" t="str">
        <f>IF($F21="","",IFERROR(VLOOKUP($G21,'Existing Customer Variable Exp'!$B:$L,8,FALSE),BA21))</f>
        <v/>
      </c>
      <c r="AU21" s="52" t="str">
        <f>IF($F21="","",IFERROR(VLOOKUP($G21,'Existing Customer Variable Exp'!$B:$L,11,FALSE),BB21))</f>
        <v/>
      </c>
      <c r="AV21" s="52" t="str">
        <f t="shared" si="24"/>
        <v/>
      </c>
      <c r="AW21" s="52" t="str">
        <f t="shared" si="25"/>
        <v/>
      </c>
      <c r="AX21" s="52" t="str">
        <f t="shared" si="26"/>
        <v/>
      </c>
      <c r="AY21" s="52" t="str">
        <f>IF($F21="","",IFERROR(VLOOKUP($H21,'Prospect Slot Assumptions'!$A:$D,2,FALSE),0))</f>
        <v/>
      </c>
      <c r="AZ21" s="52" t="str">
        <f>IF($F21="","",IFERROR(VLOOKUP($H21,'Prospect Slot Assumptions'!$A:$D,3,FALSE),0))</f>
        <v/>
      </c>
      <c r="BA21" s="52" t="str">
        <f>IF($F21="","",IF(AS21=0,Welcome!$G$30,0))</f>
        <v/>
      </c>
      <c r="BB21" s="52" t="str">
        <f>IF($F21="","",IF(BA21&lt;&gt;0,(BA21*SUMIF('Prospect Slot Assumptions'!$A$2:$A$11,H21,'Prospect Slot Assumptions'!$B$2:$B$11))+(BA21*SUMIF('Prospect Slot Assumptions'!$A$2:$A$11,H21,'Prospect Slot Assumptions'!$C$2:$C$11)),0))</f>
        <v/>
      </c>
      <c r="BC21" s="52" t="str">
        <f>IF($F21="","",IFERROR(VLOOKUP($H21,'Prospect Slot Assumptions'!$A:$D,4,FALSE),0))</f>
        <v/>
      </c>
      <c r="BD21" s="52" t="str">
        <f t="shared" si="27"/>
        <v/>
      </c>
    </row>
    <row r="22" spans="1:56" s="1677" customFormat="1" x14ac:dyDescent="0.25">
      <c r="A22" s="1677" t="str">
        <f t="shared" si="0"/>
        <v/>
      </c>
      <c r="B22" s="1677">
        <f t="shared" si="1"/>
        <v>0</v>
      </c>
      <c r="C22" s="141">
        <v>17</v>
      </c>
      <c r="D22" s="141"/>
      <c r="E22" s="1381"/>
      <c r="F22" s="1684" t="str">
        <f>IF(BE22&lt;&gt;"Yes",IF(Welcome!$D$18="Select # of Locations","",IF($C22&lt;=Welcome!$D$18,$C22,"")),$C22)</f>
        <v/>
      </c>
      <c r="G22" s="1569"/>
      <c r="H22" s="1685"/>
      <c r="I22" s="1731"/>
      <c r="J22" s="1282"/>
      <c r="K22" s="1692" t="str">
        <f>IF(BE22&lt;&gt;"Yes",IF($C$4&gt;=$C22,IF(SUMIF('Existing Customers'!$A:$A,'Customer Inputs'!$G22,'Existing Customers'!$Q:$Q)=0,"Enter Spend&gt;&gt;&gt;",ROUND(SUMIF('Existing Customers'!$A:$A,'Customer Inputs'!$G22,'Existing Customers'!$Q:$Q),0)),""),IF(SUMIF('Existing Customers'!$A:$A,'Customer Inputs'!$G22,'Existing Customers'!$Q:$Q)=0,"Enter Spend&gt;&gt;&gt;",ROUND(SUMIF('Existing Customers'!$A:$A,'Customer Inputs'!$G22,'Existing Customers'!$Q:$Q),0)))</f>
        <v/>
      </c>
      <c r="L22" s="1693" t="str">
        <f>IF(BE22&lt;&gt;"Yes",IF($F22="","",'Multi-Customer'!$PO49),'Multi-Customer'!$PO49)</f>
        <v/>
      </c>
      <c r="M22" s="1693" t="str">
        <f>IF(BE22&lt;&gt;"Yes",IF($F22="","",IFERROR(VLOOKUP($G22,'Existing Customers'!$A:$AD,30,FALSE),"Enter Menu Type&gt;&gt;")),IFERROR(VLOOKUP($G22,'Existing Customers'!$A:$AD,30,FALSE),"Enter Menu Type&gt;&gt;"))</f>
        <v/>
      </c>
      <c r="N22" s="1693" t="str">
        <f>IF(BE22&lt;&gt;"Yes",IFERROR(IF($C$4&gt;=$C22,VLOOKUP($G22,'Existing Customers'!$A:$J,10,FALSE),""),"Enter Zip Code &gt;"),IFERROR(VLOOKUP($G22,'Existing Customers'!$A:$J,10,FALSE),"Enter Zip Code &gt;"))</f>
        <v/>
      </c>
      <c r="O22" s="1694" t="str">
        <f>IF(BE22&lt;&gt;"Yes",IF($F22="","",'Multi-Customer'!$PO50),'Multi-Customer'!$PO50)</f>
        <v/>
      </c>
      <c r="P22" s="1366"/>
      <c r="Q22" s="1367"/>
      <c r="R22" s="1368"/>
      <c r="S22" s="1365"/>
      <c r="T22" s="1369"/>
      <c r="U22" s="1699"/>
      <c r="V22" s="1703" t="s">
        <v>648</v>
      </c>
      <c r="W22" s="1090"/>
      <c r="X22" s="991" t="str">
        <f>IF($F22="","",'[2]Variable Costs (Back)'!$A31)</f>
        <v/>
      </c>
      <c r="Y22" s="506" t="str">
        <f t="shared" si="17"/>
        <v/>
      </c>
      <c r="Z22" s="52" t="str">
        <f t="shared" si="18"/>
        <v/>
      </c>
      <c r="AA22" s="52" t="str">
        <f t="shared" si="19"/>
        <v/>
      </c>
      <c r="AB22" s="52" t="str">
        <f t="shared" si="20"/>
        <v/>
      </c>
      <c r="AC22" s="134">
        <f t="shared" si="21"/>
        <v>0</v>
      </c>
      <c r="AD22" s="1677">
        <f>IF(IF($G22="New Store",COUNTIF($G$6:$G$25,"New Store")-COUNTIF($G$25:$G25,"New Store"),0)=9,10,9)</f>
        <v>9</v>
      </c>
      <c r="AE22" s="1677" t="str">
        <f t="shared" si="4"/>
        <v/>
      </c>
      <c r="AF22" s="1678" t="str">
        <f t="shared" si="5"/>
        <v/>
      </c>
      <c r="AG22" s="134"/>
      <c r="AH22" s="134" t="e">
        <f t="shared" si="28"/>
        <v>#N/A</v>
      </c>
      <c r="AI22" s="134"/>
      <c r="AJ22" s="134"/>
      <c r="AK22" s="134" t="b">
        <f>NOT(ISERROR(IFERROR(VLOOKUP($G22&amp;"",'HOS_Modellable Customers'!$A:$A,1,0),VLOOKUP($G22,'HOS_Modellable Customers'!$A:$A,1,0))))</f>
        <v>0</v>
      </c>
      <c r="AL22" s="134" t="b">
        <f>NOT(ISERROR(IFERROR(VLOOKUP($G22&amp;"",'Modellable Customers'!$A:$A,1,0),VLOOKUP($G22,'Modellable Customers'!$A:$A,1,0))))</f>
        <v>0</v>
      </c>
      <c r="AM22" s="134" t="b">
        <f t="shared" si="16"/>
        <v>0</v>
      </c>
      <c r="AN22" s="134" t="str">
        <f t="shared" si="22"/>
        <v>CLEAR</v>
      </c>
      <c r="AO22" s="134"/>
      <c r="AP22" s="134" t="str">
        <f t="shared" si="23"/>
        <v/>
      </c>
      <c r="AQ22" s="688" t="str">
        <f>IF($F22="","",IF(OR(U22="",U22="Existing"),IFERROR(VLOOKUP($G22,'Existing Customers'!$A:$F,4,FALSE),""),""))</f>
        <v/>
      </c>
      <c r="AR22" s="134" t="str">
        <f>IF($F22="","",IFERROR(VLOOKUP($G22,'Existing Customers'!$A:$F,4,FALSE),""))</f>
        <v/>
      </c>
      <c r="AS22" s="52" t="str">
        <f>IF($F22="","",IFERROR(VLOOKUP($G22,'Existing Customer Variable Exp'!$B:$L,6,FALSE),0))</f>
        <v/>
      </c>
      <c r="AT22" s="52" t="str">
        <f>IF($F22="","",IFERROR(VLOOKUP($G22,'Existing Customer Variable Exp'!$B:$L,8,FALSE),BA22))</f>
        <v/>
      </c>
      <c r="AU22" s="52" t="str">
        <f>IF($F22="","",IFERROR(VLOOKUP($G22,'Existing Customer Variable Exp'!$B:$L,11,FALSE),BB22))</f>
        <v/>
      </c>
      <c r="AV22" s="52" t="str">
        <f t="shared" si="24"/>
        <v/>
      </c>
      <c r="AW22" s="52" t="str">
        <f t="shared" si="25"/>
        <v/>
      </c>
      <c r="AX22" s="52" t="str">
        <f t="shared" si="26"/>
        <v/>
      </c>
      <c r="AY22" s="52" t="str">
        <f>IF($F22="","",IFERROR(VLOOKUP($H22,'Prospect Slot Assumptions'!$A:$D,2,FALSE),0))</f>
        <v/>
      </c>
      <c r="AZ22" s="52" t="str">
        <f>IF($F22="","",IFERROR(VLOOKUP($H22,'Prospect Slot Assumptions'!$A:$D,3,FALSE),0))</f>
        <v/>
      </c>
      <c r="BA22" s="52" t="str">
        <f>IF($F22="","",IF(AS22=0,Welcome!$G$30,0))</f>
        <v/>
      </c>
      <c r="BB22" s="52" t="str">
        <f>IF($F22="","",IF(BA22&lt;&gt;0,(BA22*SUMIF('Prospect Slot Assumptions'!$A$2:$A$11,H22,'Prospect Slot Assumptions'!$B$2:$B$11))+(BA22*SUMIF('Prospect Slot Assumptions'!$A$2:$A$11,H22,'Prospect Slot Assumptions'!$C$2:$C$11)),0))</f>
        <v/>
      </c>
      <c r="BC22" s="52" t="str">
        <f>IF($F22="","",IFERROR(VLOOKUP($H22,'Prospect Slot Assumptions'!$A:$D,4,FALSE),0))</f>
        <v/>
      </c>
      <c r="BD22" s="52" t="str">
        <f t="shared" si="27"/>
        <v/>
      </c>
    </row>
    <row r="23" spans="1:56" s="1677" customFormat="1" x14ac:dyDescent="0.25">
      <c r="A23" s="1677" t="str">
        <f t="shared" si="0"/>
        <v/>
      </c>
      <c r="B23" s="1677">
        <f t="shared" si="1"/>
        <v>0</v>
      </c>
      <c r="C23" s="141">
        <v>18</v>
      </c>
      <c r="D23" s="141"/>
      <c r="E23" s="1381"/>
      <c r="F23" s="1684" t="str">
        <f>IF(BE23&lt;&gt;"Yes",IF(Welcome!$D$18="Select # of Locations","",IF($C23&lt;=Welcome!$D$18,$C23,"")),$C23)</f>
        <v/>
      </c>
      <c r="G23" s="1569"/>
      <c r="H23" s="1685"/>
      <c r="I23" s="1731"/>
      <c r="J23" s="1282"/>
      <c r="K23" s="1692" t="str">
        <f>IF(BE23&lt;&gt;"Yes",IF($C$4&gt;=$C23,IF(SUMIF('Existing Customers'!$A:$A,'Customer Inputs'!$G23,'Existing Customers'!$Q:$Q)=0,"Enter Spend&gt;&gt;&gt;",ROUND(SUMIF('Existing Customers'!$A:$A,'Customer Inputs'!$G23,'Existing Customers'!$Q:$Q),0)),""),IF(SUMIF('Existing Customers'!$A:$A,'Customer Inputs'!$G23,'Existing Customers'!$Q:$Q)=0,"Enter Spend&gt;&gt;&gt;",ROUND(SUMIF('Existing Customers'!$A:$A,'Customer Inputs'!$G23,'Existing Customers'!$Q:$Q),0)))</f>
        <v/>
      </c>
      <c r="L23" s="1693" t="str">
        <f>IF(BE23&lt;&gt;"Yes",IF($F23="","",'Multi-Customer'!$QL49),'Multi-Customer'!$QL49)</f>
        <v/>
      </c>
      <c r="M23" s="1693" t="str">
        <f>IF(BE23&lt;&gt;"Yes",IF($F23="","",IFERROR(VLOOKUP($G23,'Existing Customers'!$A:$AD,30,FALSE),"Enter Menu Type&gt;&gt;")),IFERROR(VLOOKUP($G23,'Existing Customers'!$A:$AD,30,FALSE),"Enter Menu Type&gt;&gt;"))</f>
        <v/>
      </c>
      <c r="N23" s="1693" t="str">
        <f>IF(BE23&lt;&gt;"Yes",IFERROR(IF($C$4&gt;=$C23,VLOOKUP($G23,'Existing Customers'!$A:$J,10,FALSE),""),"Enter Zip Code &gt;"),IFERROR(VLOOKUP($G23,'Existing Customers'!$A:$J,10,FALSE),"Enter Zip Code &gt;"))</f>
        <v/>
      </c>
      <c r="O23" s="1694" t="str">
        <f>IF(BE23&lt;&gt;"Yes",IF($F23="","",'Multi-Customer'!$QL50),'Multi-Customer'!$QL50)</f>
        <v/>
      </c>
      <c r="P23" s="1366"/>
      <c r="Q23" s="1367"/>
      <c r="R23" s="1368"/>
      <c r="S23" s="1365"/>
      <c r="T23" s="1369"/>
      <c r="U23" s="1699"/>
      <c r="V23" s="1703" t="s">
        <v>648</v>
      </c>
      <c r="W23" s="1090"/>
      <c r="X23" s="991" t="str">
        <f>IF($F23="","",'[2]Variable Costs (Back)'!$A32)</f>
        <v/>
      </c>
      <c r="Y23" s="506" t="str">
        <f t="shared" si="17"/>
        <v/>
      </c>
      <c r="Z23" s="52" t="str">
        <f t="shared" si="18"/>
        <v/>
      </c>
      <c r="AA23" s="52" t="str">
        <f t="shared" si="19"/>
        <v/>
      </c>
      <c r="AB23" s="52" t="str">
        <f t="shared" si="20"/>
        <v/>
      </c>
      <c r="AC23" s="134">
        <f t="shared" si="21"/>
        <v>0</v>
      </c>
      <c r="AD23" s="1677">
        <f>IF(IF($G23="New Store",COUNTIF($G$6:$G$25,"New Store")-COUNTIF($G$25:$G25,"New Store"),0)=9,10,9)</f>
        <v>9</v>
      </c>
      <c r="AE23" s="1677" t="str">
        <f t="shared" si="4"/>
        <v/>
      </c>
      <c r="AF23" s="1678" t="str">
        <f t="shared" si="5"/>
        <v/>
      </c>
      <c r="AG23" s="134"/>
      <c r="AH23" s="134" t="e">
        <f t="shared" si="28"/>
        <v>#N/A</v>
      </c>
      <c r="AI23" s="134"/>
      <c r="AJ23" s="134"/>
      <c r="AK23" s="134" t="b">
        <f>NOT(ISERROR(IFERROR(VLOOKUP($G23&amp;"",'HOS_Modellable Customers'!$A:$A,1,0),VLOOKUP($G23,'HOS_Modellable Customers'!$A:$A,1,0))))</f>
        <v>0</v>
      </c>
      <c r="AL23" s="134" t="b">
        <f>NOT(ISERROR(IFERROR(VLOOKUP($G23&amp;"",'Modellable Customers'!$A:$A,1,0),VLOOKUP($G23,'Modellable Customers'!$A:$A,1,0))))</f>
        <v>0</v>
      </c>
      <c r="AM23" s="134" t="b">
        <f t="shared" si="16"/>
        <v>0</v>
      </c>
      <c r="AN23" s="134" t="str">
        <f t="shared" si="22"/>
        <v>CLEAR</v>
      </c>
      <c r="AO23" s="134"/>
      <c r="AP23" s="134" t="str">
        <f t="shared" si="23"/>
        <v/>
      </c>
      <c r="AQ23" s="688" t="str">
        <f>IF($F23="","",IF(OR(U23="",U23="Existing"),IFERROR(VLOOKUP($G23,'Existing Customers'!$A:$F,4,FALSE),""),""))</f>
        <v/>
      </c>
      <c r="AR23" s="134" t="str">
        <f>IF($F23="","",IFERROR(VLOOKUP($G23,'Existing Customers'!$A:$F,4,FALSE),""))</f>
        <v/>
      </c>
      <c r="AS23" s="52" t="str">
        <f>IF($F23="","",IFERROR(VLOOKUP($G23,'Existing Customer Variable Exp'!$B:$L,6,FALSE),0))</f>
        <v/>
      </c>
      <c r="AT23" s="52" t="str">
        <f>IF($F23="","",IFERROR(VLOOKUP($G23,'Existing Customer Variable Exp'!$B:$L,8,FALSE),BA23))</f>
        <v/>
      </c>
      <c r="AU23" s="52" t="str">
        <f>IF($F23="","",IFERROR(VLOOKUP($G23,'Existing Customer Variable Exp'!$B:$L,11,FALSE),BB23))</f>
        <v/>
      </c>
      <c r="AV23" s="52" t="str">
        <f t="shared" si="24"/>
        <v/>
      </c>
      <c r="AW23" s="52" t="str">
        <f t="shared" si="25"/>
        <v/>
      </c>
      <c r="AX23" s="52" t="str">
        <f t="shared" si="26"/>
        <v/>
      </c>
      <c r="AY23" s="52" t="str">
        <f>IF($F23="","",IFERROR(VLOOKUP($H23,'Prospect Slot Assumptions'!$A:$D,2,FALSE),0))</f>
        <v/>
      </c>
      <c r="AZ23" s="52" t="str">
        <f>IF($F23="","",IFERROR(VLOOKUP($H23,'Prospect Slot Assumptions'!$A:$D,3,FALSE),0))</f>
        <v/>
      </c>
      <c r="BA23" s="52" t="str">
        <f>IF($F23="","",IF(AS23=0,Welcome!$G$30,0))</f>
        <v/>
      </c>
      <c r="BB23" s="52" t="str">
        <f>IF($F23="","",IF(BA23&lt;&gt;0,(BA23*SUMIF('Prospect Slot Assumptions'!$A$2:$A$11,H23,'Prospect Slot Assumptions'!$B$2:$B$11))+(BA23*SUMIF('Prospect Slot Assumptions'!$A$2:$A$11,H23,'Prospect Slot Assumptions'!$C$2:$C$11)),0))</f>
        <v/>
      </c>
      <c r="BC23" s="52" t="str">
        <f>IF($F23="","",IFERROR(VLOOKUP($H23,'Prospect Slot Assumptions'!$A:$D,4,FALSE),0))</f>
        <v/>
      </c>
      <c r="BD23" s="52" t="str">
        <f t="shared" si="27"/>
        <v/>
      </c>
    </row>
    <row r="24" spans="1:56" s="1677" customFormat="1" x14ac:dyDescent="0.25">
      <c r="A24" s="1677" t="str">
        <f t="shared" si="0"/>
        <v/>
      </c>
      <c r="B24" s="1677">
        <f t="shared" si="1"/>
        <v>0</v>
      </c>
      <c r="C24" s="141">
        <v>19</v>
      </c>
      <c r="D24" s="141"/>
      <c r="E24" s="1381"/>
      <c r="F24" s="1684" t="str">
        <f>IF(BE24&lt;&gt;"Yes",IF(Welcome!$D$18="Select # of Locations","",IF($C24&lt;=Welcome!$D$18,$C24,"")),$C24)</f>
        <v/>
      </c>
      <c r="G24" s="1569"/>
      <c r="H24" s="1685"/>
      <c r="I24" s="1731"/>
      <c r="J24" s="1282"/>
      <c r="K24" s="1692" t="str">
        <f>IF(BE24&lt;&gt;"Yes",IF($C$4&gt;=$C24,IF(SUMIF('Existing Customers'!$A:$A,'Customer Inputs'!$G24,'Existing Customers'!$Q:$Q)=0,"Enter Spend&gt;&gt;&gt;",ROUND(SUMIF('Existing Customers'!$A:$A,'Customer Inputs'!$G24,'Existing Customers'!$Q:$Q),0)),""),IF(SUMIF('Existing Customers'!$A:$A,'Customer Inputs'!$G24,'Existing Customers'!$Q:$Q)=0,"Enter Spend&gt;&gt;&gt;",ROUND(SUMIF('Existing Customers'!$A:$A,'Customer Inputs'!$G24,'Existing Customers'!$Q:$Q),0)))</f>
        <v/>
      </c>
      <c r="L24" s="1693" t="str">
        <f>IF(BE24&lt;&gt;"Yes",IF($F24="","",'Multi-Customer'!$RI49),'Multi-Customer'!$RI49)</f>
        <v/>
      </c>
      <c r="M24" s="1693" t="str">
        <f>IF(BE24&lt;&gt;"Yes",IF($F24="","",IFERROR(VLOOKUP($G24,'Existing Customers'!$A:$AD,30,FALSE),"Enter Menu Type&gt;&gt;")),IFERROR(VLOOKUP($G24,'Existing Customers'!$A:$AD,30,FALSE),"Enter Menu Type&gt;&gt;"))</f>
        <v/>
      </c>
      <c r="N24" s="1693" t="str">
        <f>IF(BE24&lt;&gt;"Yes",IFERROR(IF($C$4&gt;=$C24,VLOOKUP($G24,'Existing Customers'!$A:$J,10,FALSE),""),"Enter Zip Code &gt;"),IFERROR(VLOOKUP($G24,'Existing Customers'!$A:$J,10,FALSE),"Enter Zip Code &gt;"))</f>
        <v/>
      </c>
      <c r="O24" s="1694" t="str">
        <f>IF(BE24&lt;&gt;"Yes",IF($F24="","",'Multi-Customer'!$RI50),'Multi-Customer'!$RI50)</f>
        <v/>
      </c>
      <c r="P24" s="1366"/>
      <c r="Q24" s="1367"/>
      <c r="R24" s="1368"/>
      <c r="S24" s="1365"/>
      <c r="T24" s="1369"/>
      <c r="U24" s="1699"/>
      <c r="V24" s="1703" t="s">
        <v>648</v>
      </c>
      <c r="W24" s="1090"/>
      <c r="X24" s="991" t="str">
        <f>IF($F24="","",'[2]Variable Costs (Back)'!$A33)</f>
        <v/>
      </c>
      <c r="Y24" s="506" t="str">
        <f t="shared" si="17"/>
        <v/>
      </c>
      <c r="Z24" s="52" t="str">
        <f t="shared" si="18"/>
        <v/>
      </c>
      <c r="AA24" s="52" t="str">
        <f t="shared" si="19"/>
        <v/>
      </c>
      <c r="AB24" s="52" t="str">
        <f t="shared" si="20"/>
        <v/>
      </c>
      <c r="AC24" s="134">
        <f t="shared" si="21"/>
        <v>0</v>
      </c>
      <c r="AD24" s="1677">
        <f>IF(IF($G24="New Store",COUNTIF($G$6:$G$25,"New Store")-COUNTIF($G$25:$G25,"New Store"),0)=9,10,9)</f>
        <v>9</v>
      </c>
      <c r="AE24" s="1677" t="str">
        <f t="shared" si="4"/>
        <v/>
      </c>
      <c r="AF24" s="1678" t="str">
        <f t="shared" si="5"/>
        <v/>
      </c>
      <c r="AG24" s="134"/>
      <c r="AH24" s="134" t="e">
        <f t="shared" si="28"/>
        <v>#N/A</v>
      </c>
      <c r="AI24" s="134"/>
      <c r="AJ24" s="134"/>
      <c r="AK24" s="134" t="b">
        <f>NOT(ISERROR(IFERROR(VLOOKUP($G24&amp;"",'HOS_Modellable Customers'!$A:$A,1,0),VLOOKUP($G24,'HOS_Modellable Customers'!$A:$A,1,0))))</f>
        <v>0</v>
      </c>
      <c r="AL24" s="134" t="b">
        <f>NOT(ISERROR(IFERROR(VLOOKUP($G24&amp;"",'Modellable Customers'!$A:$A,1,0),VLOOKUP($G24,'Modellable Customers'!$A:$A,1,0))))</f>
        <v>0</v>
      </c>
      <c r="AM24" s="134" t="b">
        <f t="shared" si="16"/>
        <v>0</v>
      </c>
      <c r="AN24" s="134" t="str">
        <f t="shared" si="22"/>
        <v>CLEAR</v>
      </c>
      <c r="AO24" s="134"/>
      <c r="AP24" s="134" t="str">
        <f t="shared" si="23"/>
        <v/>
      </c>
      <c r="AQ24" s="688" t="str">
        <f>IF($F24="","",IF(OR(U24="",U24="Existing"),IFERROR(VLOOKUP($G24,'Existing Customers'!$A:$F,4,FALSE),""),""))</f>
        <v/>
      </c>
      <c r="AR24" s="134" t="str">
        <f>IF($F24="","",IFERROR(VLOOKUP($G24,'Existing Customers'!$A:$F,4,FALSE),""))</f>
        <v/>
      </c>
      <c r="AS24" s="52" t="str">
        <f>IF($F24="","",IFERROR(VLOOKUP($G24,'Existing Customer Variable Exp'!$B:$L,6,FALSE),0))</f>
        <v/>
      </c>
      <c r="AT24" s="52" t="str">
        <f>IF($F24="","",IFERROR(VLOOKUP($G24,'Existing Customer Variable Exp'!$B:$L,8,FALSE),BA24))</f>
        <v/>
      </c>
      <c r="AU24" s="52" t="str">
        <f>IF($F24="","",IFERROR(VLOOKUP($G24,'Existing Customer Variable Exp'!$B:$L,11,FALSE),BB24))</f>
        <v/>
      </c>
      <c r="AV24" s="52" t="str">
        <f t="shared" si="24"/>
        <v/>
      </c>
      <c r="AW24" s="52" t="str">
        <f t="shared" si="25"/>
        <v/>
      </c>
      <c r="AX24" s="52" t="str">
        <f t="shared" si="26"/>
        <v/>
      </c>
      <c r="AY24" s="52" t="str">
        <f>IF($F24="","",IFERROR(VLOOKUP($H24,'Prospect Slot Assumptions'!$A:$D,2,FALSE),0))</f>
        <v/>
      </c>
      <c r="AZ24" s="52" t="str">
        <f>IF($F24="","",IFERROR(VLOOKUP($H24,'Prospect Slot Assumptions'!$A:$D,3,FALSE),0))</f>
        <v/>
      </c>
      <c r="BA24" s="52" t="str">
        <f>IF($F24="","",IF(AS24=0,Welcome!$G$30,0))</f>
        <v/>
      </c>
      <c r="BB24" s="52" t="str">
        <f>IF($F24="","",IF(BA24&lt;&gt;0,(BA24*SUMIF('Prospect Slot Assumptions'!$A$2:$A$11,H24,'Prospect Slot Assumptions'!$B$2:$B$11))+(BA24*SUMIF('Prospect Slot Assumptions'!$A$2:$A$11,H24,'Prospect Slot Assumptions'!$C$2:$C$11)),0))</f>
        <v/>
      </c>
      <c r="BC24" s="52" t="str">
        <f>IF($F24="","",IFERROR(VLOOKUP($H24,'Prospect Slot Assumptions'!$A:$D,4,FALSE),0))</f>
        <v/>
      </c>
      <c r="BD24" s="52" t="str">
        <f t="shared" si="27"/>
        <v/>
      </c>
    </row>
    <row r="25" spans="1:56" ht="15.75" thickBot="1" x14ac:dyDescent="0.3">
      <c r="A25" t="str">
        <f t="shared" si="0"/>
        <v/>
      </c>
      <c r="B25">
        <f t="shared" si="1"/>
        <v>0</v>
      </c>
      <c r="C25" s="141">
        <v>20</v>
      </c>
      <c r="D25" s="141"/>
      <c r="E25" s="1381"/>
      <c r="F25" s="1280" t="str">
        <f>IF(BE25&lt;&gt;"Yes",IF(Welcome!$D$18="Select # of Locations","",IF($C25&lt;=Welcome!$D$18,$C25,"")),$C25)</f>
        <v/>
      </c>
      <c r="G25" s="1570"/>
      <c r="H25" s="1686"/>
      <c r="I25" s="1732"/>
      <c r="J25" s="1283"/>
      <c r="K25" s="1695" t="str">
        <f>IF(BE25&lt;&gt;"Yes",IF($C$4&gt;=$C25,IF(SUMIF('Existing Customers'!$A:$A,'Customer Inputs'!$G25,'Existing Customers'!$Q:$Q)=0,"Enter Spend&gt;&gt;&gt;",ROUND(SUMIF('Existing Customers'!$A:$A,'Customer Inputs'!$G25,'Existing Customers'!$Q:$Q),0)),""),IF(SUMIF('Existing Customers'!$A:$A,'Customer Inputs'!$G25,'Existing Customers'!$Q:$Q)=0,"Enter Spend&gt;&gt;&gt;",ROUND(SUMIF('Existing Customers'!$A:$A,'Customer Inputs'!$G25,'Existing Customers'!$Q:$Q),0)))</f>
        <v/>
      </c>
      <c r="L25" s="1370" t="str">
        <f>IF(BE25&lt;&gt;"Yes",IF($F25="","",'Multi-Customer'!$SF49),'Multi-Customer'!$SF49)</f>
        <v/>
      </c>
      <c r="M25" s="1370" t="str">
        <f>IF(BE25&lt;&gt;"Yes",IF($F25="","",IFERROR(VLOOKUP($G25,'Existing Customers'!$A:$AD,30,FALSE),"Enter Menu Type&gt;&gt;")),IFERROR(VLOOKUP($G25,'Existing Customers'!$A:$AD,30,FALSE),"Enter Menu Type&gt;&gt;"))</f>
        <v/>
      </c>
      <c r="N25" s="1370" t="str">
        <f>IF(BE25&lt;&gt;"Yes",IFERROR(IF($C$4&gt;=$C25,VLOOKUP($G25,'Existing Customers'!$A:$J,10,FALSE),""),"Enter Zip Code &gt;"),IFERROR(VLOOKUP($G25,'Existing Customers'!$A:$J,10,FALSE),"Enter Zip Code &gt;"))</f>
        <v/>
      </c>
      <c r="O25" s="1464" t="str">
        <f>IF(BE25&lt;&gt;"Yes",IF($F25="","",'Multi-Customer'!$SF50),'Multi-Customer'!$SF50)</f>
        <v/>
      </c>
      <c r="P25" s="1371"/>
      <c r="Q25" s="1372"/>
      <c r="R25" s="1373"/>
      <c r="S25" s="1374"/>
      <c r="T25" s="1375"/>
      <c r="U25" s="1700"/>
      <c r="V25" s="1704" t="s">
        <v>648</v>
      </c>
      <c r="W25" s="1091"/>
      <c r="X25" s="991" t="str">
        <f>IF($F25="","",'[2]Variable Costs (Back)'!$A34)</f>
        <v/>
      </c>
      <c r="Y25" s="506" t="str">
        <f t="shared" si="8"/>
        <v/>
      </c>
      <c r="Z25" s="52" t="str">
        <f t="shared" si="2"/>
        <v/>
      </c>
      <c r="AA25" s="52" t="str">
        <f t="shared" si="3"/>
        <v/>
      </c>
      <c r="AB25" s="52" t="str">
        <f t="shared" si="9"/>
        <v/>
      </c>
      <c r="AC25" s="134">
        <f t="shared" si="10"/>
        <v>0</v>
      </c>
      <c r="AD25">
        <f>IF(IF($G25="New Store",COUNTIF($G$6:$G$25,"New Store")-COUNTIF($G$25:$G26,"New Store"),0)=9,10,9)</f>
        <v>9</v>
      </c>
      <c r="AE25" t="str">
        <f t="shared" si="4"/>
        <v/>
      </c>
      <c r="AF25" s="2" t="str">
        <f t="shared" si="5"/>
        <v/>
      </c>
      <c r="AG25" s="134"/>
      <c r="AH25" s="134" t="e">
        <f t="shared" si="28"/>
        <v>#N/A</v>
      </c>
      <c r="AI25" s="134"/>
      <c r="AJ25" s="134"/>
      <c r="AK25" s="134" t="b">
        <f>NOT(ISERROR(IFERROR(VLOOKUP($G25&amp;"",'HOS_Modellable Customers'!$A:$A,1,0),VLOOKUP($G25,'HOS_Modellable Customers'!$A:$A,1,0))))</f>
        <v>0</v>
      </c>
      <c r="AL25" s="134" t="b">
        <f>NOT(ISERROR(IFERROR(VLOOKUP($G25&amp;"",'Modellable Customers'!$A:$A,1,0),VLOOKUP($G25,'Modellable Customers'!$A:$A,1,0))))</f>
        <v>0</v>
      </c>
      <c r="AM25" s="134" t="b">
        <f t="shared" si="16"/>
        <v>0</v>
      </c>
      <c r="AN25" s="134" t="str">
        <f t="shared" si="7"/>
        <v>CLEAR</v>
      </c>
      <c r="AO25" s="134"/>
      <c r="AP25" s="134" t="str">
        <f t="shared" si="11"/>
        <v/>
      </c>
      <c r="AQ25" s="688" t="str">
        <f>IF($F25="","",IF(OR(U25="",U25="Existing"),IFERROR(VLOOKUP($G25,'Existing Customers'!$A:$F,4,FALSE),""),""))</f>
        <v/>
      </c>
      <c r="AR25" s="134" t="str">
        <f>IF($F25="","",IFERROR(VLOOKUP($G25,'Existing Customers'!$A:$F,4,FALSE),""))</f>
        <v/>
      </c>
      <c r="AS25" s="52" t="str">
        <f>IF($F25="","",IFERROR(VLOOKUP($G25,'Existing Customer Variable Exp'!$B:$L,6,FALSE),0))</f>
        <v/>
      </c>
      <c r="AT25" s="52" t="str">
        <f>IF($F25="","",IFERROR(VLOOKUP($G25,'Existing Customer Variable Exp'!$B:$L,8,FALSE),BA25))</f>
        <v/>
      </c>
      <c r="AU25" s="52" t="str">
        <f>IF($F25="","",IFERROR(VLOOKUP($G25,'Existing Customer Variable Exp'!$B:$L,11,FALSE),BB25))</f>
        <v/>
      </c>
      <c r="AV25" s="52" t="str">
        <f t="shared" si="12"/>
        <v/>
      </c>
      <c r="AW25" s="52" t="str">
        <f t="shared" si="13"/>
        <v/>
      </c>
      <c r="AX25" s="52" t="str">
        <f t="shared" si="14"/>
        <v/>
      </c>
      <c r="AY25" s="52" t="str">
        <f>IF($F25="","",IFERROR(VLOOKUP($H25,'Prospect Slot Assumptions'!$A:$D,2,FALSE),0))</f>
        <v/>
      </c>
      <c r="AZ25" s="52" t="str">
        <f>IF($F25="","",IFERROR(VLOOKUP($H25,'Prospect Slot Assumptions'!$A:$D,3,FALSE),0))</f>
        <v/>
      </c>
      <c r="BA25" s="52" t="str">
        <f>IF($F25="","",IF(AS25=0,Welcome!$G$30,0))</f>
        <v/>
      </c>
      <c r="BB25" s="52" t="str">
        <f>IF($F25="","",IF(BA25&lt;&gt;0,(BA25*SUMIF('Prospect Slot Assumptions'!$A$2:$A$11,H25,'Prospect Slot Assumptions'!$B$2:$B$11))+(BA25*SUMIF('Prospect Slot Assumptions'!$A$2:$A$11,H25,'Prospect Slot Assumptions'!$C$2:$C$11)),0))</f>
        <v/>
      </c>
      <c r="BC25" s="52" t="str">
        <f>IF($F25="","",IFERROR(VLOOKUP($H25,'Prospect Slot Assumptions'!$A:$D,4,FALSE),0))</f>
        <v/>
      </c>
      <c r="BD25" s="52" t="str">
        <f t="shared" si="15"/>
        <v/>
      </c>
    </row>
    <row r="26" spans="1:56" ht="15.75" thickBot="1" x14ac:dyDescent="0.3">
      <c r="E26" s="1380"/>
      <c r="F26" s="602"/>
      <c r="G26" s="602"/>
      <c r="H26" s="602"/>
      <c r="I26" s="602"/>
      <c r="J26" s="602"/>
      <c r="K26" s="606"/>
      <c r="L26" s="602"/>
      <c r="M26" s="602"/>
      <c r="N26" s="602"/>
      <c r="O26" s="602"/>
      <c r="P26" s="602"/>
      <c r="Q26" s="602"/>
      <c r="R26" s="602"/>
      <c r="S26" s="990" t="str" cm="1">
        <f t="array" ref="S26">IFERROR(_xlfn.IFS(X6&lt;&gt;"",X6,X7&lt;&gt;"",X7,X8&lt;&gt;"",X8,X9&lt;&gt;"",X9,X10&lt;&gt;"",X10,X11&lt;&gt;"",X11,X12&lt;&gt;"",X12,X13&lt;&gt;"",X13,X14&lt;&gt;"",X14,X25&lt;&gt;"",X25),"")</f>
        <v/>
      </c>
      <c r="T26" s="602"/>
      <c r="U26" s="602"/>
      <c r="V26" s="602"/>
      <c r="W26" s="602"/>
      <c r="X26" s="510"/>
      <c r="Y26" s="134">
        <f>COUNTIF($Y$6:$Y$25,"Enter Drops &gt;")</f>
        <v>0</v>
      </c>
      <c r="Z26" s="134"/>
      <c r="AA26" s="134"/>
      <c r="AB26" s="558">
        <f>COUNTIF($AB$6:$AB$25,"Enter EB % &gt;")</f>
        <v>0</v>
      </c>
      <c r="AC26" s="134">
        <f>SUM(AC6:AC25)</f>
        <v>0</v>
      </c>
      <c r="AD26" s="134"/>
      <c r="AE26" s="134"/>
      <c r="AF26" s="134"/>
      <c r="AG26" s="134"/>
      <c r="AH26" s="134"/>
      <c r="AI26" s="134"/>
      <c r="AJ26" s="134"/>
      <c r="AK26" s="134"/>
      <c r="AL26" s="134"/>
      <c r="AM26" s="134"/>
      <c r="AN26" s="134"/>
      <c r="AO26" s="134"/>
      <c r="AP26" s="134"/>
      <c r="AQ26" s="134"/>
      <c r="AR26" s="134"/>
      <c r="AS26" s="134"/>
      <c r="AT26" s="134"/>
      <c r="AU26" s="134"/>
      <c r="AV26" s="52" t="s">
        <v>2080</v>
      </c>
      <c r="AW26" s="52">
        <f>SUM(AW6:AW25)</f>
        <v>0</v>
      </c>
      <c r="AX26" s="52">
        <f>SUM(AX6:AX25)</f>
        <v>0</v>
      </c>
      <c r="AY26" s="52">
        <f>IFERROR(AVERAGE(AY6:AY25)*AW27,0)</f>
        <v>0</v>
      </c>
      <c r="AZ26" s="52">
        <f>IFERROR(AVERAGE(AZ6:AZ25)*AW27,0)</f>
        <v>0</v>
      </c>
      <c r="BA26" s="134"/>
      <c r="BB26" s="134"/>
      <c r="BC26" s="52">
        <f>IFERROR(AVERAGE(BC6:BC25),0)</f>
        <v>0</v>
      </c>
      <c r="BD26" s="52">
        <f>SUM(BD6:BD25)</f>
        <v>0</v>
      </c>
    </row>
    <row r="27" spans="1:56" ht="14.45" customHeight="1" x14ac:dyDescent="0.25">
      <c r="E27" s="1380"/>
      <c r="F27" s="602"/>
      <c r="G27" s="758" t="s">
        <v>1094</v>
      </c>
      <c r="H27" s="758"/>
      <c r="I27" s="1806">
        <f>SUMIFS($I$6:$I$25,$W6:$W25,"&lt;&gt;End")</f>
        <v>0</v>
      </c>
      <c r="J27" s="1808" t="s">
        <v>1293</v>
      </c>
      <c r="K27" s="1810">
        <f>SUMIFS($K$6:$K$25,$W6:$W25,"&lt;&gt;End")</f>
        <v>0</v>
      </c>
      <c r="L27" s="1808" t="s">
        <v>1294</v>
      </c>
      <c r="M27" s="602"/>
      <c r="N27" s="602"/>
      <c r="O27" s="602"/>
      <c r="P27" s="1806">
        <f>SUMIFS($P$6:$P$25,$F$6:$F$25,"&gt;0",$W6:$W25,"&lt;&gt;End")</f>
        <v>0</v>
      </c>
      <c r="Q27" s="1802" t="s">
        <v>1295</v>
      </c>
      <c r="R27" s="1804" t="str">
        <f>IF(Welcome!$D$18="Select # of Locations","",IF(AND(Welcome!D10="CIA",P27&lt;150000),"Annual sales must exceed $150,000 for ALC",IF(AND(OR(Welcome!D10="MDA",Welcome!D10="PON ONLY",Welcome!D10="New PON Existing CIA",Welcome!D10="New PON New CIA"),P27&lt;250000),"Annual sales must exceed $250,000 for ALC",IF(P27&gt;2500000,"Annual sales cannot exceed $2.5M for ALC",""))))</f>
        <v/>
      </c>
      <c r="S27" s="602"/>
      <c r="T27" s="602"/>
      <c r="U27" s="602"/>
      <c r="V27" s="602"/>
      <c r="W27" s="602"/>
      <c r="X27" s="510"/>
      <c r="Y27" s="134"/>
      <c r="Z27" s="134"/>
      <c r="AA27" s="134"/>
      <c r="AB27" s="134"/>
      <c r="AC27" s="134" t="s">
        <v>998</v>
      </c>
      <c r="AD27" s="134"/>
      <c r="AE27" s="134"/>
      <c r="AF27" s="134"/>
      <c r="AG27" s="134"/>
      <c r="AH27" s="134"/>
      <c r="AI27" s="134"/>
      <c r="AJ27" s="134"/>
      <c r="AK27" s="134"/>
      <c r="AL27" s="134"/>
      <c r="AM27" s="134"/>
      <c r="AN27" s="134"/>
      <c r="AO27" s="134"/>
      <c r="AP27" s="134"/>
      <c r="AQ27" s="134"/>
      <c r="AR27" s="134"/>
      <c r="AS27" s="134"/>
      <c r="AT27" s="134"/>
      <c r="AU27" s="134"/>
      <c r="AV27" s="52" t="s">
        <v>2081</v>
      </c>
      <c r="AW27" s="52">
        <f>Welcome!G30</f>
        <v>0</v>
      </c>
      <c r="AX27" s="52">
        <f>AX26*'Prospect Slot Assumptions'!D11</f>
        <v>0</v>
      </c>
      <c r="AY27" s="52">
        <f>(AY26+AZ26)*'Prospect Slot Assumptions'!D11</f>
        <v>0</v>
      </c>
      <c r="AZ27" s="134"/>
      <c r="BA27" s="134"/>
      <c r="BB27" s="134"/>
      <c r="BC27" s="134"/>
      <c r="BD27" s="134"/>
    </row>
    <row r="28" spans="1:56" ht="20.25" customHeight="1" thickBot="1" x14ac:dyDescent="0.3">
      <c r="E28" s="1380"/>
      <c r="F28" s="602"/>
      <c r="G28" s="758"/>
      <c r="H28" s="758"/>
      <c r="I28" s="1807"/>
      <c r="J28" s="1809"/>
      <c r="K28" s="1811"/>
      <c r="L28" s="1809"/>
      <c r="M28" s="602"/>
      <c r="N28" s="602"/>
      <c r="O28" s="602"/>
      <c r="P28" s="1807"/>
      <c r="Q28" s="1803"/>
      <c r="R28" s="1804"/>
      <c r="S28" s="602"/>
      <c r="T28" s="602"/>
      <c r="U28" s="602"/>
      <c r="V28" s="602"/>
      <c r="W28" s="602"/>
      <c r="X28" s="510"/>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52" t="s">
        <v>2082</v>
      </c>
      <c r="AW28" s="52">
        <f>IF(AW26&lt;AW27,AY27,AX27)</f>
        <v>0</v>
      </c>
      <c r="AX28" s="1485"/>
      <c r="AY28" s="1486"/>
      <c r="AZ28" s="134"/>
      <c r="BA28" s="134"/>
      <c r="BB28" s="134"/>
      <c r="BC28" s="134"/>
      <c r="BD28" s="134"/>
    </row>
    <row r="29" spans="1:56" ht="19.149999999999999" customHeight="1" thickBot="1" x14ac:dyDescent="0.3">
      <c r="E29" s="1382"/>
      <c r="F29" s="511"/>
      <c r="G29" s="511"/>
      <c r="H29" s="511"/>
      <c r="I29" s="511"/>
      <c r="J29" s="511"/>
      <c r="K29" s="511"/>
      <c r="L29" s="511"/>
      <c r="M29" s="511"/>
      <c r="N29" s="542"/>
      <c r="O29" s="256"/>
      <c r="P29" s="542"/>
      <c r="Q29" s="542"/>
      <c r="R29" s="511"/>
      <c r="S29" s="511"/>
      <c r="T29" s="511"/>
      <c r="U29" s="511"/>
      <c r="V29" s="511"/>
      <c r="W29" s="511"/>
      <c r="X29" s="512"/>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1:56" x14ac:dyDescent="0.25">
      <c r="E30" s="1065"/>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1:56" ht="15" customHeight="1" x14ac:dyDescent="0.25">
      <c r="E31" s="1065"/>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1:56" x14ac:dyDescent="0.25">
      <c r="E32" s="1065"/>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065"/>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065"/>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065"/>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065"/>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065"/>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065"/>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065"/>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065"/>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065"/>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065"/>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065"/>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065"/>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065"/>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065"/>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065"/>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065"/>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065"/>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065"/>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row r="51" spans="5:56" x14ac:dyDescent="0.25">
      <c r="E51" s="1065"/>
      <c r="F51" s="134"/>
      <c r="G51" s="134"/>
      <c r="H51" s="134"/>
      <c r="I51" s="134"/>
      <c r="J51" s="134"/>
      <c r="K51" s="134"/>
      <c r="L51" s="134"/>
      <c r="M51" s="134"/>
      <c r="N51" s="134"/>
      <c r="O51" s="134"/>
      <c r="P51" s="134"/>
      <c r="Q51" s="134"/>
      <c r="R51" s="134"/>
      <c r="S51" s="134"/>
      <c r="T51" s="134"/>
      <c r="U51" s="134"/>
      <c r="V51" s="134"/>
      <c r="W51" s="134"/>
      <c r="X51" s="134"/>
      <c r="Y51" s="134"/>
      <c r="Z51" s="134"/>
      <c r="AA51" s="134"/>
      <c r="AB51" s="134"/>
      <c r="AC51" s="134"/>
      <c r="AD51" s="134"/>
      <c r="AE51" s="134"/>
      <c r="AF51" s="134"/>
      <c r="AG51" s="134"/>
      <c r="AH51" s="134"/>
      <c r="AI51" s="134"/>
      <c r="AJ51" s="134"/>
      <c r="AK51" s="134"/>
      <c r="AL51" s="134"/>
      <c r="AM51" s="134"/>
      <c r="AN51" s="134"/>
      <c r="AO51" s="134"/>
      <c r="AP51" s="134"/>
      <c r="AQ51" s="134"/>
      <c r="AR51" s="134"/>
      <c r="AS51" s="134"/>
      <c r="AT51" s="134"/>
      <c r="AU51" s="134"/>
      <c r="AV51" s="134"/>
      <c r="AW51" s="134"/>
      <c r="AX51" s="134"/>
      <c r="AY51" s="134"/>
      <c r="AZ51" s="134"/>
      <c r="BA51" s="134"/>
      <c r="BB51" s="134"/>
      <c r="BC51" s="134"/>
      <c r="BD51" s="134"/>
    </row>
    <row r="52" spans="5:56" x14ac:dyDescent="0.25">
      <c r="E52" s="1065"/>
      <c r="F52" s="134"/>
      <c r="G52" s="134"/>
      <c r="H52" s="134"/>
      <c r="I52" s="134"/>
      <c r="J52" s="134"/>
      <c r="K52" s="134"/>
      <c r="L52" s="134"/>
      <c r="M52" s="134"/>
      <c r="N52" s="134"/>
      <c r="O52" s="134"/>
      <c r="P52" s="134"/>
      <c r="Q52" s="134"/>
      <c r="R52" s="134"/>
      <c r="S52" s="134"/>
      <c r="T52" s="134"/>
      <c r="U52" s="134"/>
      <c r="V52" s="134"/>
      <c r="W52" s="134"/>
      <c r="X52" s="134"/>
      <c r="Y52" s="134"/>
      <c r="Z52" s="134"/>
      <c r="AA52" s="134"/>
      <c r="AB52" s="134"/>
      <c r="AC52" s="134"/>
      <c r="AD52" s="134"/>
      <c r="AE52" s="134"/>
      <c r="AF52" s="134"/>
      <c r="AG52" s="134"/>
      <c r="AH52" s="134"/>
      <c r="AI52" s="134"/>
      <c r="AJ52" s="134"/>
      <c r="AK52" s="134"/>
      <c r="AL52" s="134"/>
      <c r="AM52" s="134"/>
      <c r="AN52" s="134"/>
      <c r="AO52" s="134"/>
      <c r="AP52" s="134"/>
      <c r="AQ52" s="134"/>
      <c r="AR52" s="134"/>
      <c r="AS52" s="134"/>
      <c r="AT52" s="134"/>
      <c r="AU52" s="134"/>
      <c r="AV52" s="134"/>
      <c r="AW52" s="134"/>
      <c r="AX52" s="134"/>
      <c r="AY52" s="134"/>
      <c r="AZ52" s="134"/>
      <c r="BA52" s="134"/>
      <c r="BB52" s="134"/>
      <c r="BC52" s="134"/>
      <c r="BD52" s="134"/>
    </row>
    <row r="53" spans="5:56" x14ac:dyDescent="0.25">
      <c r="E53" s="1065"/>
      <c r="F53" s="134"/>
      <c r="G53" s="134"/>
      <c r="H53" s="134"/>
      <c r="I53" s="134"/>
      <c r="J53" s="134"/>
      <c r="K53" s="134"/>
      <c r="L53" s="134"/>
      <c r="M53" s="134"/>
      <c r="N53" s="134"/>
      <c r="O53" s="134"/>
      <c r="P53" s="134"/>
      <c r="Q53" s="134"/>
      <c r="R53" s="134"/>
      <c r="S53" s="134"/>
      <c r="T53" s="134"/>
      <c r="U53" s="134"/>
      <c r="V53" s="134"/>
      <c r="W53" s="134"/>
      <c r="X53" s="134"/>
      <c r="Y53" s="134"/>
      <c r="Z53" s="134"/>
      <c r="AA53" s="134"/>
      <c r="AB53" s="134"/>
      <c r="AC53" s="134"/>
      <c r="AD53" s="134"/>
      <c r="AE53" s="134"/>
      <c r="AF53" s="134"/>
      <c r="AG53" s="134"/>
      <c r="AH53" s="134"/>
      <c r="AI53" s="134"/>
      <c r="AJ53" s="134"/>
      <c r="AK53" s="134"/>
      <c r="AL53" s="134"/>
      <c r="AM53" s="134"/>
      <c r="AN53" s="134"/>
      <c r="AO53" s="134"/>
      <c r="AP53" s="134"/>
      <c r="AQ53" s="134"/>
      <c r="AR53" s="134"/>
      <c r="AS53" s="134"/>
      <c r="AT53" s="134"/>
      <c r="AU53" s="134"/>
      <c r="AV53" s="134"/>
      <c r="AW53" s="134"/>
      <c r="AX53" s="134"/>
      <c r="AY53" s="134"/>
      <c r="AZ53" s="134"/>
      <c r="BA53" s="134"/>
      <c r="BB53" s="134"/>
      <c r="BC53" s="134"/>
      <c r="BD53" s="134"/>
    </row>
    <row r="54" spans="5:56" x14ac:dyDescent="0.25">
      <c r="E54" s="1065"/>
      <c r="F54" s="134"/>
      <c r="G54" s="134"/>
      <c r="H54" s="134"/>
      <c r="I54" s="134"/>
      <c r="J54" s="134"/>
      <c r="K54" s="134"/>
      <c r="L54" s="134"/>
      <c r="M54" s="134"/>
      <c r="N54" s="134"/>
      <c r="O54" s="134"/>
      <c r="P54" s="134"/>
      <c r="Q54" s="134"/>
      <c r="R54" s="134"/>
      <c r="S54" s="134"/>
      <c r="T54" s="134"/>
      <c r="U54" s="134"/>
      <c r="V54" s="134"/>
      <c r="W54" s="134"/>
      <c r="X54" s="134"/>
      <c r="Y54" s="134"/>
      <c r="Z54" s="134"/>
      <c r="AA54" s="134"/>
      <c r="AB54" s="134"/>
      <c r="AC54" s="134"/>
      <c r="AD54" s="134"/>
      <c r="AE54" s="134"/>
      <c r="AF54" s="134"/>
      <c r="AG54" s="134"/>
      <c r="AH54" s="134"/>
      <c r="AI54" s="134"/>
      <c r="AJ54" s="134"/>
      <c r="AK54" s="134"/>
      <c r="AL54" s="134"/>
      <c r="AM54" s="134"/>
      <c r="AN54" s="134"/>
      <c r="AO54" s="134"/>
      <c r="AP54" s="134"/>
      <c r="AQ54" s="134"/>
      <c r="AR54" s="134"/>
      <c r="AS54" s="134"/>
      <c r="AT54" s="134"/>
      <c r="AU54" s="134"/>
      <c r="AV54" s="134"/>
      <c r="AW54" s="134"/>
      <c r="AX54" s="134"/>
      <c r="AY54" s="134"/>
      <c r="AZ54" s="134"/>
      <c r="BA54" s="134"/>
      <c r="BB54" s="134"/>
      <c r="BC54" s="134"/>
      <c r="BD54" s="134"/>
    </row>
    <row r="55" spans="5:56" x14ac:dyDescent="0.25">
      <c r="E55" s="1065"/>
      <c r="F55" s="134"/>
      <c r="G55" s="134"/>
      <c r="H55" s="134"/>
      <c r="I55" s="134"/>
      <c r="J55" s="134"/>
      <c r="K55" s="134"/>
      <c r="L55" s="134"/>
      <c r="M55" s="134"/>
      <c r="N55" s="134"/>
      <c r="O55" s="134"/>
      <c r="P55" s="134"/>
      <c r="Q55" s="134"/>
      <c r="R55" s="134"/>
      <c r="S55" s="134"/>
      <c r="T55" s="134"/>
      <c r="U55" s="134"/>
      <c r="V55" s="134"/>
      <c r="W55" s="134"/>
      <c r="X55" s="134"/>
      <c r="Y55" s="134"/>
      <c r="Z55" s="134"/>
      <c r="AA55" s="134"/>
      <c r="AB55" s="134"/>
      <c r="AC55" s="134"/>
      <c r="AD55" s="134"/>
      <c r="AE55" s="134"/>
      <c r="AF55" s="134"/>
      <c r="AG55" s="134"/>
      <c r="AH55" s="134"/>
      <c r="AI55" s="134"/>
      <c r="AJ55" s="134"/>
      <c r="AK55" s="134"/>
      <c r="AL55" s="134"/>
      <c r="AM55" s="134"/>
      <c r="AN55" s="134"/>
      <c r="AO55" s="134"/>
      <c r="AP55" s="134"/>
      <c r="AQ55" s="134"/>
      <c r="AR55" s="134"/>
      <c r="AS55" s="134"/>
      <c r="AT55" s="134"/>
      <c r="AU55" s="134"/>
      <c r="AV55" s="134"/>
      <c r="AW55" s="134"/>
      <c r="AX55" s="134"/>
      <c r="AY55" s="134"/>
      <c r="AZ55" s="134"/>
      <c r="BA55" s="134"/>
      <c r="BB55" s="134"/>
      <c r="BC55" s="134"/>
      <c r="BD55" s="134"/>
    </row>
    <row r="56" spans="5:56" x14ac:dyDescent="0.25">
      <c r="E56" s="1065"/>
      <c r="F56" s="134"/>
      <c r="G56" s="134"/>
      <c r="H56" s="134"/>
      <c r="I56" s="134"/>
      <c r="J56" s="134"/>
      <c r="K56" s="134"/>
      <c r="L56" s="134"/>
      <c r="M56" s="134"/>
      <c r="N56" s="134"/>
      <c r="O56" s="134"/>
      <c r="P56" s="134"/>
      <c r="Q56" s="134"/>
      <c r="R56" s="134"/>
      <c r="S56" s="134"/>
      <c r="T56" s="134"/>
      <c r="U56" s="134"/>
      <c r="V56" s="134"/>
      <c r="W56" s="134"/>
      <c r="X56" s="134"/>
      <c r="Y56" s="134"/>
      <c r="Z56" s="134"/>
      <c r="AA56" s="134"/>
      <c r="AB56" s="134"/>
      <c r="AC56" s="134"/>
      <c r="AD56" s="134"/>
      <c r="AE56" s="134"/>
      <c r="AF56" s="134"/>
      <c r="AG56" s="134"/>
      <c r="AH56" s="134"/>
      <c r="AI56" s="134"/>
      <c r="AJ56" s="134"/>
      <c r="AK56" s="134"/>
      <c r="AL56" s="134"/>
      <c r="AM56" s="134"/>
      <c r="AN56" s="134"/>
      <c r="AO56" s="134"/>
      <c r="AP56" s="134"/>
      <c r="AQ56" s="134"/>
      <c r="AR56" s="134"/>
      <c r="AS56" s="134"/>
      <c r="AT56" s="134"/>
      <c r="AU56" s="134"/>
      <c r="AV56" s="134"/>
      <c r="AW56" s="134"/>
      <c r="AX56" s="134"/>
      <c r="AY56" s="134"/>
      <c r="AZ56" s="134"/>
      <c r="BA56" s="134"/>
      <c r="BB56" s="134"/>
      <c r="BC56" s="134"/>
      <c r="BD56" s="134"/>
    </row>
    <row r="57" spans="5:56" x14ac:dyDescent="0.25">
      <c r="E57" s="1065"/>
      <c r="F57" s="134"/>
      <c r="G57" s="134"/>
      <c r="H57" s="134"/>
      <c r="I57" s="134"/>
      <c r="J57" s="134"/>
      <c r="K57" s="134"/>
      <c r="L57" s="134"/>
      <c r="M57" s="134"/>
      <c r="N57" s="134"/>
      <c r="O57" s="134"/>
      <c r="P57" s="134"/>
      <c r="Q57" s="134"/>
      <c r="R57" s="134"/>
      <c r="S57" s="134"/>
      <c r="T57" s="134"/>
      <c r="U57" s="134"/>
      <c r="V57" s="134"/>
      <c r="W57" s="134"/>
      <c r="X57" s="134"/>
      <c r="Y57" s="134"/>
      <c r="Z57" s="134"/>
      <c r="AA57" s="134"/>
      <c r="AB57" s="134"/>
      <c r="AC57" s="134"/>
      <c r="AD57" s="134"/>
      <c r="AE57" s="134"/>
      <c r="AF57" s="134"/>
      <c r="AG57" s="134"/>
      <c r="AH57" s="134"/>
      <c r="AI57" s="134"/>
      <c r="AJ57" s="134"/>
      <c r="AK57" s="134"/>
      <c r="AL57" s="134"/>
      <c r="AM57" s="134"/>
      <c r="AN57" s="134"/>
      <c r="AO57" s="134"/>
      <c r="AP57" s="134"/>
      <c r="AQ57" s="134"/>
      <c r="AR57" s="134"/>
      <c r="AS57" s="134"/>
      <c r="AT57" s="134"/>
      <c r="AU57" s="134"/>
      <c r="AV57" s="134"/>
      <c r="AW57" s="134"/>
      <c r="AX57" s="134"/>
      <c r="AY57" s="134"/>
      <c r="AZ57" s="134"/>
      <c r="BA57" s="134"/>
      <c r="BB57" s="134"/>
      <c r="BC57" s="134"/>
      <c r="BD57" s="134"/>
    </row>
    <row r="58" spans="5:56" x14ac:dyDescent="0.25">
      <c r="E58" s="1065"/>
      <c r="F58" s="134"/>
      <c r="G58" s="134"/>
      <c r="H58" s="134"/>
      <c r="I58" s="134"/>
      <c r="J58" s="134"/>
      <c r="K58" s="134"/>
      <c r="L58" s="134"/>
      <c r="M58" s="134"/>
      <c r="N58" s="134"/>
      <c r="O58" s="134"/>
      <c r="P58" s="134"/>
      <c r="Q58" s="134"/>
      <c r="R58" s="134"/>
      <c r="S58" s="134"/>
      <c r="T58" s="134"/>
      <c r="U58" s="134"/>
      <c r="V58" s="134"/>
      <c r="W58" s="134"/>
      <c r="X58" s="134"/>
      <c r="Y58" s="134"/>
      <c r="Z58" s="134"/>
      <c r="AA58" s="134"/>
      <c r="AB58" s="134"/>
      <c r="AC58" s="134"/>
      <c r="AD58" s="134"/>
      <c r="AE58" s="134"/>
      <c r="AF58" s="134"/>
      <c r="AG58" s="134"/>
      <c r="AH58" s="134"/>
      <c r="AI58" s="134"/>
      <c r="AJ58" s="134"/>
      <c r="AK58" s="134"/>
      <c r="AL58" s="134"/>
      <c r="AM58" s="134"/>
      <c r="AN58" s="134"/>
      <c r="AO58" s="134"/>
      <c r="AP58" s="134"/>
      <c r="AQ58" s="134"/>
      <c r="AR58" s="134"/>
      <c r="AS58" s="134"/>
      <c r="AT58" s="134"/>
      <c r="AU58" s="134"/>
      <c r="AV58" s="134"/>
      <c r="AW58" s="134"/>
      <c r="AX58" s="134"/>
      <c r="AY58" s="134"/>
      <c r="AZ58" s="134"/>
      <c r="BA58" s="134"/>
      <c r="BB58" s="134"/>
      <c r="BC58" s="134"/>
      <c r="BD58" s="134"/>
    </row>
    <row r="59" spans="5:56" x14ac:dyDescent="0.25">
      <c r="E59" s="1065"/>
      <c r="F59" s="134"/>
      <c r="G59" s="134"/>
      <c r="H59" s="134"/>
      <c r="I59" s="134"/>
      <c r="J59" s="134"/>
      <c r="K59" s="134"/>
      <c r="L59" s="134"/>
      <c r="M59" s="134"/>
      <c r="N59" s="134"/>
      <c r="O59" s="134"/>
      <c r="P59" s="134"/>
      <c r="Q59" s="134"/>
      <c r="R59" s="134"/>
      <c r="S59" s="134"/>
      <c r="T59" s="134"/>
      <c r="U59" s="134"/>
      <c r="V59" s="134"/>
      <c r="W59" s="134"/>
      <c r="X59" s="134"/>
      <c r="Y59" s="134"/>
      <c r="Z59" s="134"/>
      <c r="AA59" s="134"/>
      <c r="AB59" s="134"/>
      <c r="AC59" s="134"/>
      <c r="AD59" s="134"/>
      <c r="AE59" s="134"/>
      <c r="AF59" s="134"/>
      <c r="AG59" s="134"/>
      <c r="AH59" s="134"/>
      <c r="AI59" s="134"/>
      <c r="AJ59" s="134"/>
      <c r="AK59" s="134"/>
      <c r="AL59" s="134"/>
      <c r="AM59" s="134"/>
      <c r="AN59" s="134"/>
      <c r="AO59" s="134"/>
      <c r="AP59" s="134"/>
      <c r="AQ59" s="134"/>
      <c r="AR59" s="134"/>
      <c r="AS59" s="134"/>
      <c r="AT59" s="134"/>
      <c r="AU59" s="134"/>
      <c r="AV59" s="134"/>
      <c r="AW59" s="134"/>
      <c r="AX59" s="134"/>
      <c r="AY59" s="134"/>
      <c r="AZ59" s="134"/>
      <c r="BA59" s="134"/>
      <c r="BB59" s="134"/>
      <c r="BC59" s="134"/>
      <c r="BD59" s="134"/>
    </row>
    <row r="60" spans="5:56" x14ac:dyDescent="0.25">
      <c r="E60" s="1065"/>
      <c r="F60" s="134"/>
      <c r="G60" s="134"/>
      <c r="H60" s="134"/>
      <c r="I60" s="134"/>
      <c r="J60" s="134"/>
      <c r="K60" s="134"/>
      <c r="L60" s="134"/>
      <c r="M60" s="134"/>
      <c r="N60" s="134"/>
      <c r="O60" s="134"/>
      <c r="P60" s="134"/>
      <c r="Q60" s="134"/>
      <c r="R60" s="134"/>
      <c r="S60" s="134"/>
      <c r="T60" s="134"/>
      <c r="U60" s="134"/>
      <c r="V60" s="134"/>
      <c r="W60" s="134"/>
      <c r="X60" s="134"/>
      <c r="Y60" s="134"/>
      <c r="Z60" s="134"/>
      <c r="AA60" s="134"/>
      <c r="AB60" s="134"/>
      <c r="AC60" s="134"/>
      <c r="AD60" s="134"/>
      <c r="AE60" s="134"/>
      <c r="AF60" s="134"/>
      <c r="AG60" s="134"/>
      <c r="AH60" s="134"/>
      <c r="AI60" s="134"/>
      <c r="AJ60" s="134"/>
      <c r="AK60" s="134"/>
      <c r="AL60" s="134"/>
      <c r="AM60" s="134"/>
      <c r="AN60" s="134"/>
      <c r="AO60" s="134"/>
      <c r="AP60" s="134"/>
      <c r="AQ60" s="134"/>
      <c r="AR60" s="134"/>
      <c r="AS60" s="134"/>
      <c r="AT60" s="134"/>
      <c r="AU60" s="134"/>
      <c r="AV60" s="134"/>
      <c r="AW60" s="134"/>
      <c r="AX60" s="134"/>
      <c r="AY60" s="134"/>
      <c r="AZ60" s="134"/>
      <c r="BA60" s="134"/>
      <c r="BB60" s="134"/>
      <c r="BC60" s="134"/>
      <c r="BD60" s="134"/>
    </row>
  </sheetData>
  <sheetProtection algorithmName="SHA-512" hashValue="Kmx4hvM9IN/BoT8zaPvPHFCsnzfOVx2HBJ9JK/SSIdJqqfEgEqq3+4mRwb+8K1SPSyx8KdsjB9IVKBDiKmsKeg==" saltValue="uiZykF1B1XDq7XpEtzZx6Q==" spinCount="100000" sheet="1" objects="1" scenarios="1" selectLockedCells="1"/>
  <mergeCells count="10">
    <mergeCell ref="AS4:AU4"/>
    <mergeCell ref="BA4:BB4"/>
    <mergeCell ref="Q27:Q28"/>
    <mergeCell ref="R27:R28"/>
    <mergeCell ref="F2:G2"/>
    <mergeCell ref="P27:P28"/>
    <mergeCell ref="I27:I28"/>
    <mergeCell ref="J27:J28"/>
    <mergeCell ref="K27:K28"/>
    <mergeCell ref="L27:L28"/>
  </mergeCells>
  <conditionalFormatting sqref="L3:N3">
    <cfRule type="expression" dxfId="1470" priority="465">
      <formula>$AN$4&gt;0</formula>
    </cfRule>
  </conditionalFormatting>
  <conditionalFormatting sqref="K6:K14">
    <cfRule type="expression" dxfId="1469" priority="463">
      <formula>$AN6="FLAG"</formula>
    </cfRule>
  </conditionalFormatting>
  <conditionalFormatting sqref="K6:O14 M25:N25">
    <cfRule type="expression" dxfId="1468" priority="440">
      <formula>P6&lt;&gt;""</formula>
    </cfRule>
  </conditionalFormatting>
  <conditionalFormatting sqref="K6:O14 M25:N25">
    <cfRule type="expression" dxfId="1467" priority="439">
      <formula>$AN6="FLAG"</formula>
    </cfRule>
  </conditionalFormatting>
  <conditionalFormatting sqref="O6:O14">
    <cfRule type="expression" dxfId="1466" priority="438">
      <formula>T6&lt;&gt;""</formula>
    </cfRule>
  </conditionalFormatting>
  <conditionalFormatting sqref="O6:O14">
    <cfRule type="expression" dxfId="1465" priority="437">
      <formula>$AN6="FLAG"</formula>
    </cfRule>
  </conditionalFormatting>
  <conditionalFormatting sqref="K25">
    <cfRule type="expression" dxfId="1464" priority="423">
      <formula>$AN25="FLAG"</formula>
    </cfRule>
  </conditionalFormatting>
  <conditionalFormatting sqref="K25">
    <cfRule type="expression" dxfId="1463" priority="422">
      <formula>P25&lt;&gt;""</formula>
    </cfRule>
  </conditionalFormatting>
  <conditionalFormatting sqref="K25">
    <cfRule type="expression" dxfId="1462" priority="421">
      <formula>$AN25="FLAG"</formula>
    </cfRule>
  </conditionalFormatting>
  <conditionalFormatting sqref="L15:O15">
    <cfRule type="expression" dxfId="1461" priority="313">
      <formula>Q15&lt;&gt;""</formula>
    </cfRule>
  </conditionalFormatting>
  <conditionalFormatting sqref="L15:O15">
    <cfRule type="expression" dxfId="1460" priority="312">
      <formula>$AN15="FLAG"</formula>
    </cfRule>
  </conditionalFormatting>
  <conditionalFormatting sqref="O15">
    <cfRule type="expression" dxfId="1459" priority="311">
      <formula>T15&lt;&gt;""</formula>
    </cfRule>
  </conditionalFormatting>
  <conditionalFormatting sqref="O15">
    <cfRule type="expression" dxfId="1458" priority="310">
      <formula>$AN15="FLAG"</formula>
    </cfRule>
  </conditionalFormatting>
  <conditionalFormatting sqref="G15:H15">
    <cfRule type="notContainsBlanks" dxfId="1457" priority="315">
      <formula>LEN(TRIM(G15))&gt;0</formula>
    </cfRule>
    <cfRule type="expression" dxfId="1456" priority="316">
      <formula>$F15&lt;&gt;""</formula>
    </cfRule>
  </conditionalFormatting>
  <conditionalFormatting sqref="K15">
    <cfRule type="expression" dxfId="1455" priority="308">
      <formula>$AN15="FLAG"</formula>
    </cfRule>
  </conditionalFormatting>
  <conditionalFormatting sqref="K15">
    <cfRule type="expression" dxfId="1454" priority="307">
      <formula>P15&lt;&gt;""</formula>
    </cfRule>
  </conditionalFormatting>
  <conditionalFormatting sqref="K15">
    <cfRule type="expression" dxfId="1453" priority="306">
      <formula>$AN15="FLAG"</formula>
    </cfRule>
  </conditionalFormatting>
  <conditionalFormatting sqref="M16:N16">
    <cfRule type="expression" dxfId="1452" priority="288">
      <formula>R16&lt;&gt;""</formula>
    </cfRule>
  </conditionalFormatting>
  <conditionalFormatting sqref="M16:N16">
    <cfRule type="expression" dxfId="1451" priority="287">
      <formula>$AN16="FLAG"</formula>
    </cfRule>
  </conditionalFormatting>
  <conditionalFormatting sqref="G16:H16">
    <cfRule type="notContainsBlanks" dxfId="1450" priority="290">
      <formula>LEN(TRIM(G16))&gt;0</formula>
    </cfRule>
    <cfRule type="expression" dxfId="1449" priority="291">
      <formula>$F16&lt;&gt;""</formula>
    </cfRule>
  </conditionalFormatting>
  <conditionalFormatting sqref="K16">
    <cfRule type="expression" dxfId="1448" priority="283">
      <formula>$AN16="FLAG"</formula>
    </cfRule>
  </conditionalFormatting>
  <conditionalFormatting sqref="K16">
    <cfRule type="expression" dxfId="1447" priority="282">
      <formula>P16&lt;&gt;""</formula>
    </cfRule>
  </conditionalFormatting>
  <conditionalFormatting sqref="K16">
    <cfRule type="expression" dxfId="1446" priority="281">
      <formula>$AN16="FLAG"</formula>
    </cfRule>
  </conditionalFormatting>
  <conditionalFormatting sqref="M17:N17">
    <cfRule type="expression" dxfId="1445" priority="263">
      <formula>R17&lt;&gt;""</formula>
    </cfRule>
  </conditionalFormatting>
  <conditionalFormatting sqref="M17:N17">
    <cfRule type="expression" dxfId="1444" priority="262">
      <formula>$AN17="FLAG"</formula>
    </cfRule>
  </conditionalFormatting>
  <conditionalFormatting sqref="G17:H17">
    <cfRule type="notContainsBlanks" dxfId="1443" priority="265">
      <formula>LEN(TRIM(G17))&gt;0</formula>
    </cfRule>
    <cfRule type="expression" dxfId="1442" priority="266">
      <formula>$F17&lt;&gt;""</formula>
    </cfRule>
  </conditionalFormatting>
  <conditionalFormatting sqref="K17">
    <cfRule type="expression" dxfId="1441" priority="258">
      <formula>$AN17="FLAG"</formula>
    </cfRule>
  </conditionalFormatting>
  <conditionalFormatting sqref="K17">
    <cfRule type="expression" dxfId="1440" priority="257">
      <formula>P17&lt;&gt;""</formula>
    </cfRule>
  </conditionalFormatting>
  <conditionalFormatting sqref="K17">
    <cfRule type="expression" dxfId="1439" priority="256">
      <formula>$AN17="FLAG"</formula>
    </cfRule>
  </conditionalFormatting>
  <conditionalFormatting sqref="M18:N18">
    <cfRule type="expression" dxfId="1438" priority="238">
      <formula>R18&lt;&gt;""</formula>
    </cfRule>
  </conditionalFormatting>
  <conditionalFormatting sqref="M18:N18">
    <cfRule type="expression" dxfId="1437" priority="237">
      <formula>$AN18="FLAG"</formula>
    </cfRule>
  </conditionalFormatting>
  <conditionalFormatting sqref="G18:H18">
    <cfRule type="notContainsBlanks" dxfId="1436" priority="240">
      <formula>LEN(TRIM(G18))&gt;0</formula>
    </cfRule>
    <cfRule type="expression" dxfId="1435" priority="241">
      <formula>$F18&lt;&gt;""</formula>
    </cfRule>
  </conditionalFormatting>
  <conditionalFormatting sqref="K18">
    <cfRule type="expression" dxfId="1434" priority="233">
      <formula>$AN18="FLAG"</formula>
    </cfRule>
  </conditionalFormatting>
  <conditionalFormatting sqref="K18">
    <cfRule type="expression" dxfId="1433" priority="232">
      <formula>P18&lt;&gt;""</formula>
    </cfRule>
  </conditionalFormatting>
  <conditionalFormatting sqref="K18">
    <cfRule type="expression" dxfId="1432" priority="231">
      <formula>$AN18="FLAG"</formula>
    </cfRule>
  </conditionalFormatting>
  <conditionalFormatting sqref="M19:N19">
    <cfRule type="expression" dxfId="1431" priority="213">
      <formula>R19&lt;&gt;""</formula>
    </cfRule>
  </conditionalFormatting>
  <conditionalFormatting sqref="M19:N19">
    <cfRule type="expression" dxfId="1430" priority="212">
      <formula>$AN19="FLAG"</formula>
    </cfRule>
  </conditionalFormatting>
  <conditionalFormatting sqref="G19:H19">
    <cfRule type="notContainsBlanks" dxfId="1429" priority="215">
      <formula>LEN(TRIM(G19))&gt;0</formula>
    </cfRule>
    <cfRule type="expression" dxfId="1428" priority="216">
      <formula>$F19&lt;&gt;""</formula>
    </cfRule>
  </conditionalFormatting>
  <conditionalFormatting sqref="K19">
    <cfRule type="expression" dxfId="1427" priority="208">
      <formula>$AN19="FLAG"</formula>
    </cfRule>
  </conditionalFormatting>
  <conditionalFormatting sqref="K19">
    <cfRule type="expression" dxfId="1426" priority="207">
      <formula>P19&lt;&gt;""</formula>
    </cfRule>
  </conditionalFormatting>
  <conditionalFormatting sqref="K19">
    <cfRule type="expression" dxfId="1425" priority="206">
      <formula>$AN19="FLAG"</formula>
    </cfRule>
  </conditionalFormatting>
  <conditionalFormatting sqref="M20:N20">
    <cfRule type="expression" dxfId="1424" priority="188">
      <formula>R20&lt;&gt;""</formula>
    </cfRule>
  </conditionalFormatting>
  <conditionalFormatting sqref="M20:N20">
    <cfRule type="expression" dxfId="1423" priority="187">
      <formula>$AN20="FLAG"</formula>
    </cfRule>
  </conditionalFormatting>
  <conditionalFormatting sqref="G20:H20">
    <cfRule type="notContainsBlanks" dxfId="1422" priority="190">
      <formula>LEN(TRIM(G20))&gt;0</formula>
    </cfRule>
    <cfRule type="expression" dxfId="1421" priority="191">
      <formula>$F20&lt;&gt;""</formula>
    </cfRule>
  </conditionalFormatting>
  <conditionalFormatting sqref="K20">
    <cfRule type="expression" dxfId="1420" priority="183">
      <formula>$AN20="FLAG"</formula>
    </cfRule>
  </conditionalFormatting>
  <conditionalFormatting sqref="K20">
    <cfRule type="expression" dxfId="1419" priority="182">
      <formula>P20&lt;&gt;""</formula>
    </cfRule>
  </conditionalFormatting>
  <conditionalFormatting sqref="K20">
    <cfRule type="expression" dxfId="1418" priority="181">
      <formula>$AN20="FLAG"</formula>
    </cfRule>
  </conditionalFormatting>
  <conditionalFormatting sqref="M21:N21">
    <cfRule type="expression" dxfId="1417" priority="163">
      <formula>R21&lt;&gt;""</formula>
    </cfRule>
  </conditionalFormatting>
  <conditionalFormatting sqref="M21:N21">
    <cfRule type="expression" dxfId="1416" priority="162">
      <formula>$AN21="FLAG"</formula>
    </cfRule>
  </conditionalFormatting>
  <conditionalFormatting sqref="G21:H21">
    <cfRule type="notContainsBlanks" dxfId="1415" priority="165">
      <formula>LEN(TRIM(G21))&gt;0</formula>
    </cfRule>
    <cfRule type="expression" dxfId="1414" priority="166">
      <formula>$F21&lt;&gt;""</formula>
    </cfRule>
  </conditionalFormatting>
  <conditionalFormatting sqref="K21">
    <cfRule type="expression" dxfId="1413" priority="158">
      <formula>$AN21="FLAG"</formula>
    </cfRule>
  </conditionalFormatting>
  <conditionalFormatting sqref="K21">
    <cfRule type="expression" dxfId="1412" priority="157">
      <formula>P21&lt;&gt;""</formula>
    </cfRule>
  </conditionalFormatting>
  <conditionalFormatting sqref="K21">
    <cfRule type="expression" dxfId="1411" priority="156">
      <formula>$AN21="FLAG"</formula>
    </cfRule>
  </conditionalFormatting>
  <conditionalFormatting sqref="M22:N22">
    <cfRule type="expression" dxfId="1410" priority="138">
      <formula>R22&lt;&gt;""</formula>
    </cfRule>
  </conditionalFormatting>
  <conditionalFormatting sqref="M22:N22">
    <cfRule type="expression" dxfId="1409" priority="137">
      <formula>$AN22="FLAG"</formula>
    </cfRule>
  </conditionalFormatting>
  <conditionalFormatting sqref="G22:H22">
    <cfRule type="notContainsBlanks" dxfId="1408" priority="140">
      <formula>LEN(TRIM(G22))&gt;0</formula>
    </cfRule>
    <cfRule type="expression" dxfId="1407" priority="141">
      <formula>$F22&lt;&gt;""</formula>
    </cfRule>
  </conditionalFormatting>
  <conditionalFormatting sqref="K22">
    <cfRule type="expression" dxfId="1406" priority="133">
      <formula>$AN22="FLAG"</formula>
    </cfRule>
  </conditionalFormatting>
  <conditionalFormatting sqref="K22">
    <cfRule type="expression" dxfId="1405" priority="132">
      <formula>P22&lt;&gt;""</formula>
    </cfRule>
  </conditionalFormatting>
  <conditionalFormatting sqref="K22">
    <cfRule type="expression" dxfId="1404" priority="131">
      <formula>$AN22="FLAG"</formula>
    </cfRule>
  </conditionalFormatting>
  <conditionalFormatting sqref="M23:N23">
    <cfRule type="expression" dxfId="1403" priority="113">
      <formula>R23&lt;&gt;""</formula>
    </cfRule>
  </conditionalFormatting>
  <conditionalFormatting sqref="M23:N23">
    <cfRule type="expression" dxfId="1402" priority="112">
      <formula>$AN23="FLAG"</formula>
    </cfRule>
  </conditionalFormatting>
  <conditionalFormatting sqref="G23:H23">
    <cfRule type="notContainsBlanks" dxfId="1401" priority="115">
      <formula>LEN(TRIM(G23))&gt;0</formula>
    </cfRule>
    <cfRule type="expression" dxfId="1400" priority="116">
      <formula>$F23&lt;&gt;""</formula>
    </cfRule>
  </conditionalFormatting>
  <conditionalFormatting sqref="K23">
    <cfRule type="expression" dxfId="1399" priority="108">
      <formula>$AN23="FLAG"</formula>
    </cfRule>
  </conditionalFormatting>
  <conditionalFormatting sqref="K23">
    <cfRule type="expression" dxfId="1398" priority="107">
      <formula>P23&lt;&gt;""</formula>
    </cfRule>
  </conditionalFormatting>
  <conditionalFormatting sqref="K23">
    <cfRule type="expression" dxfId="1397" priority="106">
      <formula>$AN23="FLAG"</formula>
    </cfRule>
  </conditionalFormatting>
  <conditionalFormatting sqref="M24:N24">
    <cfRule type="expression" dxfId="1396" priority="88">
      <formula>R24&lt;&gt;""</formula>
    </cfRule>
  </conditionalFormatting>
  <conditionalFormatting sqref="M24:N24">
    <cfRule type="expression" dxfId="1395" priority="87">
      <formula>$AN24="FLAG"</formula>
    </cfRule>
  </conditionalFormatting>
  <conditionalFormatting sqref="G24:H24">
    <cfRule type="notContainsBlanks" dxfId="1394" priority="90">
      <formula>LEN(TRIM(G24))&gt;0</formula>
    </cfRule>
    <cfRule type="expression" dxfId="1393" priority="91">
      <formula>$F24&lt;&gt;""</formula>
    </cfRule>
  </conditionalFormatting>
  <conditionalFormatting sqref="K24">
    <cfRule type="expression" dxfId="1392" priority="83">
      <formula>$AN24="FLAG"</formula>
    </cfRule>
  </conditionalFormatting>
  <conditionalFormatting sqref="K24">
    <cfRule type="expression" dxfId="1391" priority="82">
      <formula>P24&lt;&gt;""</formula>
    </cfRule>
  </conditionalFormatting>
  <conditionalFormatting sqref="K24">
    <cfRule type="expression" dxfId="1390" priority="81">
      <formula>$AN24="FLAG"</formula>
    </cfRule>
  </conditionalFormatting>
  <conditionalFormatting sqref="L25">
    <cfRule type="expression" dxfId="1389" priority="72">
      <formula>Q25&lt;&gt;""</formula>
    </cfRule>
  </conditionalFormatting>
  <conditionalFormatting sqref="L25">
    <cfRule type="expression" dxfId="1388" priority="71">
      <formula>$AN25="FLAG"</formula>
    </cfRule>
  </conditionalFormatting>
  <conditionalFormatting sqref="L16">
    <cfRule type="expression" dxfId="1387" priority="70">
      <formula>Q16&lt;&gt;""</formula>
    </cfRule>
  </conditionalFormatting>
  <conditionalFormatting sqref="L16">
    <cfRule type="expression" dxfId="1386" priority="69">
      <formula>$AN16="FLAG"</formula>
    </cfRule>
  </conditionalFormatting>
  <conditionalFormatting sqref="L17">
    <cfRule type="expression" dxfId="1385" priority="68">
      <formula>Q17&lt;&gt;""</formula>
    </cfRule>
  </conditionalFormatting>
  <conditionalFormatting sqref="L17">
    <cfRule type="expression" dxfId="1384" priority="67">
      <formula>$AN17="FLAG"</formula>
    </cfRule>
  </conditionalFormatting>
  <conditionalFormatting sqref="L18">
    <cfRule type="expression" dxfId="1383" priority="66">
      <formula>Q18&lt;&gt;""</formula>
    </cfRule>
  </conditionalFormatting>
  <conditionalFormatting sqref="L18">
    <cfRule type="expression" dxfId="1382" priority="65">
      <formula>$AN18="FLAG"</formula>
    </cfRule>
  </conditionalFormatting>
  <conditionalFormatting sqref="L19">
    <cfRule type="expression" dxfId="1381" priority="64">
      <formula>Q19&lt;&gt;""</formula>
    </cfRule>
  </conditionalFormatting>
  <conditionalFormatting sqref="L19">
    <cfRule type="expression" dxfId="1380" priority="63">
      <formula>$AN19="FLAG"</formula>
    </cfRule>
  </conditionalFormatting>
  <conditionalFormatting sqref="L20">
    <cfRule type="expression" dxfId="1379" priority="62">
      <formula>Q20&lt;&gt;""</formula>
    </cfRule>
  </conditionalFormatting>
  <conditionalFormatting sqref="L20">
    <cfRule type="expression" dxfId="1378" priority="61">
      <formula>$AN20="FLAG"</formula>
    </cfRule>
  </conditionalFormatting>
  <conditionalFormatting sqref="L21">
    <cfRule type="expression" dxfId="1377" priority="60">
      <formula>Q21&lt;&gt;""</formula>
    </cfRule>
  </conditionalFormatting>
  <conditionalFormatting sqref="L21">
    <cfRule type="expression" dxfId="1376" priority="59">
      <formula>$AN21="FLAG"</formula>
    </cfRule>
  </conditionalFormatting>
  <conditionalFormatting sqref="L22">
    <cfRule type="expression" dxfId="1375" priority="58">
      <formula>Q22&lt;&gt;""</formula>
    </cfRule>
  </conditionalFormatting>
  <conditionalFormatting sqref="L22">
    <cfRule type="expression" dxfId="1374" priority="57">
      <formula>$AN22="FLAG"</formula>
    </cfRule>
  </conditionalFormatting>
  <conditionalFormatting sqref="L23">
    <cfRule type="expression" dxfId="1373" priority="56">
      <formula>Q23&lt;&gt;""</formula>
    </cfRule>
  </conditionalFormatting>
  <conditionalFormatting sqref="L23">
    <cfRule type="expression" dxfId="1372" priority="55">
      <formula>$AN23="FLAG"</formula>
    </cfRule>
  </conditionalFormatting>
  <conditionalFormatting sqref="L24">
    <cfRule type="expression" dxfId="1371" priority="54">
      <formula>Q24&lt;&gt;""</formula>
    </cfRule>
  </conditionalFormatting>
  <conditionalFormatting sqref="L24">
    <cfRule type="expression" dxfId="1370" priority="53">
      <formula>$AN24="FLAG"</formula>
    </cfRule>
  </conditionalFormatting>
  <conditionalFormatting sqref="O25">
    <cfRule type="expression" dxfId="1369" priority="52">
      <formula>T25&lt;&gt;""</formula>
    </cfRule>
  </conditionalFormatting>
  <conditionalFormatting sqref="O25">
    <cfRule type="expression" dxfId="1368" priority="51">
      <formula>$AN25="FLAG"</formula>
    </cfRule>
  </conditionalFormatting>
  <conditionalFormatting sqref="O25">
    <cfRule type="expression" dxfId="1367" priority="50">
      <formula>T25&lt;&gt;""</formula>
    </cfRule>
  </conditionalFormatting>
  <conditionalFormatting sqref="O25">
    <cfRule type="expression" dxfId="1366" priority="49">
      <formula>$AN25="FLAG"</formula>
    </cfRule>
  </conditionalFormatting>
  <conditionalFormatting sqref="O16">
    <cfRule type="expression" dxfId="1365" priority="48">
      <formula>T16&lt;&gt;""</formula>
    </cfRule>
  </conditionalFormatting>
  <conditionalFormatting sqref="O16">
    <cfRule type="expression" dxfId="1364" priority="47">
      <formula>$AN16="FLAG"</formula>
    </cfRule>
  </conditionalFormatting>
  <conditionalFormatting sqref="O16">
    <cfRule type="expression" dxfId="1363" priority="46">
      <formula>T16&lt;&gt;""</formula>
    </cfRule>
  </conditionalFormatting>
  <conditionalFormatting sqref="O16">
    <cfRule type="expression" dxfId="1362" priority="45">
      <formula>$AN16="FLAG"</formula>
    </cfRule>
  </conditionalFormatting>
  <conditionalFormatting sqref="O17">
    <cfRule type="expression" dxfId="1361" priority="44">
      <formula>T17&lt;&gt;""</formula>
    </cfRule>
  </conditionalFormatting>
  <conditionalFormatting sqref="O17">
    <cfRule type="expression" dxfId="1360" priority="43">
      <formula>$AN17="FLAG"</formula>
    </cfRule>
  </conditionalFormatting>
  <conditionalFormatting sqref="O17">
    <cfRule type="expression" dxfId="1359" priority="42">
      <formula>T17&lt;&gt;""</formula>
    </cfRule>
  </conditionalFormatting>
  <conditionalFormatting sqref="O17">
    <cfRule type="expression" dxfId="1358" priority="41">
      <formula>$AN17="FLAG"</formula>
    </cfRule>
  </conditionalFormatting>
  <conditionalFormatting sqref="O18">
    <cfRule type="expression" dxfId="1357" priority="40">
      <formula>T18&lt;&gt;""</formula>
    </cfRule>
  </conditionalFormatting>
  <conditionalFormatting sqref="O18">
    <cfRule type="expression" dxfId="1356" priority="39">
      <formula>$AN18="FLAG"</formula>
    </cfRule>
  </conditionalFormatting>
  <conditionalFormatting sqref="O18">
    <cfRule type="expression" dxfId="1355" priority="38">
      <formula>T18&lt;&gt;""</formula>
    </cfRule>
  </conditionalFormatting>
  <conditionalFormatting sqref="O18">
    <cfRule type="expression" dxfId="1354" priority="37">
      <formula>$AN18="FLAG"</formula>
    </cfRule>
  </conditionalFormatting>
  <conditionalFormatting sqref="O19">
    <cfRule type="expression" dxfId="1353" priority="36">
      <formula>T19&lt;&gt;""</formula>
    </cfRule>
  </conditionalFormatting>
  <conditionalFormatting sqref="O19">
    <cfRule type="expression" dxfId="1352" priority="35">
      <formula>$AN19="FLAG"</formula>
    </cfRule>
  </conditionalFormatting>
  <conditionalFormatting sqref="O19">
    <cfRule type="expression" dxfId="1351" priority="34">
      <formula>T19&lt;&gt;""</formula>
    </cfRule>
  </conditionalFormatting>
  <conditionalFormatting sqref="O19">
    <cfRule type="expression" dxfId="1350" priority="33">
      <formula>$AN19="FLAG"</formula>
    </cfRule>
  </conditionalFormatting>
  <conditionalFormatting sqref="O20">
    <cfRule type="expression" dxfId="1349" priority="32">
      <formula>T20&lt;&gt;""</formula>
    </cfRule>
  </conditionalFormatting>
  <conditionalFormatting sqref="O20">
    <cfRule type="expression" dxfId="1348" priority="31">
      <formula>$AN20="FLAG"</formula>
    </cfRule>
  </conditionalFormatting>
  <conditionalFormatting sqref="O20">
    <cfRule type="expression" dxfId="1347" priority="30">
      <formula>T20&lt;&gt;""</formula>
    </cfRule>
  </conditionalFormatting>
  <conditionalFormatting sqref="O20">
    <cfRule type="expression" dxfId="1346" priority="29">
      <formula>$AN20="FLAG"</formula>
    </cfRule>
  </conditionalFormatting>
  <conditionalFormatting sqref="O21">
    <cfRule type="expression" dxfId="1345" priority="28">
      <formula>T21&lt;&gt;""</formula>
    </cfRule>
  </conditionalFormatting>
  <conditionalFormatting sqref="O21">
    <cfRule type="expression" dxfId="1344" priority="27">
      <formula>$AN21="FLAG"</formula>
    </cfRule>
  </conditionalFormatting>
  <conditionalFormatting sqref="O21">
    <cfRule type="expression" dxfId="1343" priority="26">
      <formula>T21&lt;&gt;""</formula>
    </cfRule>
  </conditionalFormatting>
  <conditionalFormatting sqref="O21">
    <cfRule type="expression" dxfId="1342" priority="25">
      <formula>$AN21="FLAG"</formula>
    </cfRule>
  </conditionalFormatting>
  <conditionalFormatting sqref="O22">
    <cfRule type="expression" dxfId="1341" priority="24">
      <formula>T22&lt;&gt;""</formula>
    </cfRule>
  </conditionalFormatting>
  <conditionalFormatting sqref="O22">
    <cfRule type="expression" dxfId="1340" priority="23">
      <formula>$AN22="FLAG"</formula>
    </cfRule>
  </conditionalFormatting>
  <conditionalFormatting sqref="O22">
    <cfRule type="expression" dxfId="1339" priority="22">
      <formula>T22&lt;&gt;""</formula>
    </cfRule>
  </conditionalFormatting>
  <conditionalFormatting sqref="O22">
    <cfRule type="expression" dxfId="1338" priority="21">
      <formula>$AN22="FLAG"</formula>
    </cfRule>
  </conditionalFormatting>
  <conditionalFormatting sqref="O23">
    <cfRule type="expression" dxfId="1337" priority="20">
      <formula>T23&lt;&gt;""</formula>
    </cfRule>
  </conditionalFormatting>
  <conditionalFormatting sqref="O23">
    <cfRule type="expression" dxfId="1336" priority="19">
      <formula>$AN23="FLAG"</formula>
    </cfRule>
  </conditionalFormatting>
  <conditionalFormatting sqref="O23">
    <cfRule type="expression" dxfId="1335" priority="18">
      <formula>T23&lt;&gt;""</formula>
    </cfRule>
  </conditionalFormatting>
  <conditionalFormatting sqref="O23">
    <cfRule type="expression" dxfId="1334" priority="17">
      <formula>$AN23="FLAG"</formula>
    </cfRule>
  </conditionalFormatting>
  <conditionalFormatting sqref="O24">
    <cfRule type="expression" dxfId="1333" priority="16">
      <formula>T24&lt;&gt;""</formula>
    </cfRule>
  </conditionalFormatting>
  <conditionalFormatting sqref="O24">
    <cfRule type="expression" dxfId="1332" priority="15">
      <formula>$AN24="FLAG"</formula>
    </cfRule>
  </conditionalFormatting>
  <conditionalFormatting sqref="O24">
    <cfRule type="expression" dxfId="1331" priority="14">
      <formula>T24&lt;&gt;""</formula>
    </cfRule>
  </conditionalFormatting>
  <conditionalFormatting sqref="O24">
    <cfRule type="expression" dxfId="1330" priority="13">
      <formula>$AN24="FLAG"</formula>
    </cfRule>
  </conditionalFormatting>
  <conditionalFormatting sqref="G6:H26">
    <cfRule type="notContainsBlanks" dxfId="1329" priority="452">
      <formula>LEN(TRIM(G6))&gt;0</formula>
    </cfRule>
    <cfRule type="expression" dxfId="1328" priority="453">
      <formula>$F6&lt;&gt;""</formula>
    </cfRule>
  </conditionalFormatting>
  <conditionalFormatting sqref="P6:T25">
    <cfRule type="expression" dxfId="1327" priority="2">
      <formula>$W6="End"</formula>
    </cfRule>
  </conditionalFormatting>
  <conditionalFormatting sqref="P6:W25 M6:N25">
    <cfRule type="expression" dxfId="1326" priority="7">
      <formula>$AN6="FLAG"</formula>
    </cfRule>
  </conditionalFormatting>
  <conditionalFormatting sqref="Q6:Q25">
    <cfRule type="expression" dxfId="1325" priority="10">
      <formula>AND($F6&lt;&gt;"",$G6&lt;&gt;"",$U6&lt;&gt;"Prospect")</formula>
    </cfRule>
    <cfRule type="expression" dxfId="1324" priority="8">
      <formula>AND($F6&lt;&gt;"",$G6&lt;&gt;"",$U6="Prospect",$Q6="")</formula>
    </cfRule>
  </conditionalFormatting>
  <conditionalFormatting sqref="P6:T25 W6:W25">
    <cfRule type="expression" dxfId="1323" priority="1">
      <formula>AND($BE6="Yes",$BF6="End")</formula>
    </cfRule>
  </conditionalFormatting>
  <conditionalFormatting sqref="R6:S25">
    <cfRule type="expression" dxfId="1322" priority="464">
      <formula>AND($K6&lt;&gt;"Enter Spend&gt;&gt;&gt;",$U6&lt;&gt;"Prospect")</formula>
    </cfRule>
    <cfRule type="expression" dxfId="1321" priority="6">
      <formula>AND($AP6="Existing",$BE6&lt;&gt;"Yes")</formula>
    </cfRule>
  </conditionalFormatting>
  <conditionalFormatting sqref="S6">
    <cfRule type="expression" dxfId="1320" priority="5">
      <formula>$X6="Zip Code Not Serviced"</formula>
    </cfRule>
  </conditionalFormatting>
  <conditionalFormatting sqref="T6:T25">
    <cfRule type="expression" dxfId="1319" priority="3">
      <formula>AND($F6&lt;&gt;"",$G6&lt;&gt;"",$U6&lt;&gt;"Prospect")</formula>
    </cfRule>
  </conditionalFormatting>
  <conditionalFormatting sqref="T6">
    <cfRule type="expression" dxfId="1318" priority="4">
      <formula>AND($F6&lt;&gt;"",$G6&lt;&gt;"",$U6="Prospect",$T6="")</formula>
    </cfRule>
  </conditionalFormatting>
  <conditionalFormatting sqref="P6:S25 T6:W25">
    <cfRule type="notContainsBlanks" dxfId="1317" priority="12">
      <formula>LEN(TRIM(P6))&gt;0</formula>
    </cfRule>
  </conditionalFormatting>
  <conditionalFormatting sqref="P6:W25">
    <cfRule type="expression" dxfId="1316" priority="11">
      <formula>$F6=""</formula>
    </cfRule>
  </conditionalFormatting>
  <dataValidations count="5">
    <dataValidation type="list" allowBlank="1" showErrorMessage="1" sqref="V6:V25" xr:uid="{00000000-0002-0000-0200-000000000000}">
      <formula1>"Yes, No"</formula1>
    </dataValidation>
    <dataValidation type="list" allowBlank="1" showInputMessage="1" showErrorMessage="1" sqref="U6:U2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 type="list" allowBlank="1" showErrorMessage="1" sqref="W6:W25" xr:uid="{0CD730C7-FE70-4361-99F4-8ABED636FA0D}">
      <formula1>"Add, End, No"</formula1>
    </dataValidation>
    <dataValidation type="decimal" allowBlank="1" showInputMessage="1" showErrorMessage="1" errorTitle="EB % Outside Allowable Range" error="EB % must be between 0% and 100%" sqref="T6:T25" xr:uid="{DEDBD191-68AC-4689-AF98-A0920C3DA698}">
      <formula1>0</formula1>
      <formula2>1</formula2>
    </dataValidation>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436" id="{00000000-000E-0000-0200-000072000000}">
            <xm:f>OR(AND($F$6="",Welcome!$D$6&lt;&gt;"New"),AND($BE$6="Yes",$W$6&lt;&gt;"Add"))</xm:f>
            <x14:dxf>
              <fill>
                <patternFill>
                  <bgColor theme="0" tint="-0.24994659260841701"/>
                </patternFill>
              </fill>
            </x14:dxf>
          </x14:cfRule>
          <xm:sqref>G6:H6</xm:sqref>
        </x14:conditionalFormatting>
        <x14:conditionalFormatting xmlns:xm="http://schemas.microsoft.com/office/excel/2006/main">
          <x14:cfRule type="expression" priority="435" id="{00000000-000E-0000-0200-000071000000}">
            <xm:f>OR(AND($F$7="",Welcome!$D$6&lt;&gt;"New"),AND($BE$7="Yes",$W$7&lt;&gt;"Add"))</xm:f>
            <x14:dxf>
              <fill>
                <patternFill>
                  <bgColor theme="0" tint="-0.24994659260841701"/>
                </patternFill>
              </fill>
            </x14:dxf>
          </x14:cfRule>
          <xm:sqref>G7:H7</xm:sqref>
        </x14:conditionalFormatting>
        <x14:conditionalFormatting xmlns:xm="http://schemas.microsoft.com/office/excel/2006/main">
          <x14:cfRule type="expression" priority="434" id="{00000000-000E-0000-0200-000070000000}">
            <xm:f>OR(AND($F$8="",Welcome!$D$6&lt;&gt;"New"),AND($BE$8="Yes",$W$8&lt;&gt;"Add"))</xm:f>
            <x14:dxf>
              <fill>
                <patternFill>
                  <bgColor theme="0" tint="-0.24994659260841701"/>
                </patternFill>
              </fill>
            </x14:dxf>
          </x14:cfRule>
          <xm:sqref>G8:H8</xm:sqref>
        </x14:conditionalFormatting>
        <x14:conditionalFormatting xmlns:xm="http://schemas.microsoft.com/office/excel/2006/main">
          <x14:cfRule type="expression" priority="433" id="{00000000-000E-0000-0200-00006F000000}">
            <xm:f>OR(AND($F$9="",Welcome!$D$6&lt;&gt;"New"),AND($BE$9="Yes",$W$9&lt;&gt;"Add"))</xm:f>
            <x14:dxf>
              <fill>
                <patternFill>
                  <bgColor theme="0" tint="-0.24994659260841701"/>
                </patternFill>
              </fill>
            </x14:dxf>
          </x14:cfRule>
          <xm:sqref>G9:H9</xm:sqref>
        </x14:conditionalFormatting>
        <x14:conditionalFormatting xmlns:xm="http://schemas.microsoft.com/office/excel/2006/main">
          <x14:cfRule type="expression" priority="432" id="{00000000-000E-0000-0200-00006E000000}">
            <xm:f>OR(AND($F$10="",Welcome!$D$6&lt;&gt;"New"),AND($BE$10="Yes",$W$10&lt;&gt;"Add"))</xm:f>
            <x14:dxf>
              <fill>
                <patternFill>
                  <bgColor theme="0" tint="-0.24994659260841701"/>
                </patternFill>
              </fill>
            </x14:dxf>
          </x14:cfRule>
          <xm:sqref>G10:H10</xm:sqref>
        </x14:conditionalFormatting>
        <x14:conditionalFormatting xmlns:xm="http://schemas.microsoft.com/office/excel/2006/main">
          <x14:cfRule type="expression" priority="431" id="{00000000-000E-0000-0200-00006D000000}">
            <xm:f>OR(AND($F$11="",Welcome!$D$6&lt;&gt;"New"),AND($BE$11="Yes",$W$11&lt;&gt;"Add"))</xm:f>
            <x14:dxf>
              <fill>
                <patternFill>
                  <bgColor theme="0" tint="-0.24994659260841701"/>
                </patternFill>
              </fill>
            </x14:dxf>
          </x14:cfRule>
          <xm:sqref>G11:H11</xm:sqref>
        </x14:conditionalFormatting>
        <x14:conditionalFormatting xmlns:xm="http://schemas.microsoft.com/office/excel/2006/main">
          <x14:cfRule type="expression" priority="430" id="{00000000-000E-0000-0200-00006C000000}">
            <xm:f>OR(AND($F$12="",Welcome!$D$6&lt;&gt;"New"),AND($BE$12="Yes",$W$12&lt;&gt;"Add"))</xm:f>
            <x14:dxf>
              <fill>
                <patternFill>
                  <bgColor theme="0" tint="-0.24994659260841701"/>
                </patternFill>
              </fill>
            </x14:dxf>
          </x14:cfRule>
          <xm:sqref>G12:H12</xm:sqref>
        </x14:conditionalFormatting>
        <x14:conditionalFormatting xmlns:xm="http://schemas.microsoft.com/office/excel/2006/main">
          <x14:cfRule type="expression" priority="429" id="{00000000-000E-0000-0200-00006B000000}">
            <xm:f>OR(AND($F$13="",Welcome!$D$6&lt;&gt;"New"),AND($BE$13="Yes",$W$13&lt;&gt;"Add"))</xm:f>
            <x14:dxf>
              <fill>
                <patternFill>
                  <bgColor theme="0" tint="-0.24994659260841701"/>
                </patternFill>
              </fill>
            </x14:dxf>
          </x14:cfRule>
          <xm:sqref>G13:H13</xm:sqref>
        </x14:conditionalFormatting>
        <x14:conditionalFormatting xmlns:xm="http://schemas.microsoft.com/office/excel/2006/main">
          <x14:cfRule type="expression" priority="428" id="{00000000-000E-0000-0200-00006A000000}">
            <xm:f>OR(AND($F$14="",Welcome!$D$6&lt;&gt;"New"),AND($BE$14="Yes",$W$14&lt;&gt;"Add"))</xm:f>
            <x14:dxf>
              <fill>
                <patternFill>
                  <bgColor theme="0" tint="-0.24994659260841701"/>
                </patternFill>
              </fill>
            </x14:dxf>
          </x14:cfRule>
          <xm:sqref>G14:H14</xm:sqref>
        </x14:conditionalFormatting>
        <x14:conditionalFormatting xmlns:xm="http://schemas.microsoft.com/office/excel/2006/main">
          <x14:cfRule type="expression" priority="427" id="{00000000-000E-0000-0200-000069000000}">
            <xm:f>OR(AND($F$25="",Welcome!$D$6&lt;&gt;"New"),AND($BE$25="Yes",$W$25&lt;&gt;"Add"))</xm:f>
            <x14:dxf>
              <fill>
                <patternFill>
                  <bgColor theme="0" tint="-0.24994659260841701"/>
                </patternFill>
              </fill>
            </x14:dxf>
          </x14:cfRule>
          <xm:sqref>G25:H25</xm:sqref>
        </x14:conditionalFormatting>
        <x14:conditionalFormatting xmlns:xm="http://schemas.microsoft.com/office/excel/2006/main">
          <x14:cfRule type="expression" priority="309" id="{84E0D791-1EDE-4680-882A-78E4FCD72AD5}">
            <xm:f>OR(AND($F$25="",Welcome!$D$6&lt;&gt;"New"),AND($BE$25="Yes",$W$25&lt;&gt;"Add"))</xm:f>
            <x14:dxf>
              <fill>
                <patternFill>
                  <bgColor theme="0" tint="-0.24994659260841701"/>
                </patternFill>
              </fill>
            </x14:dxf>
          </x14:cfRule>
          <xm:sqref>G15:H15</xm:sqref>
        </x14:conditionalFormatting>
        <x14:conditionalFormatting xmlns:xm="http://schemas.microsoft.com/office/excel/2006/main">
          <x14:cfRule type="expression" priority="284" id="{684F7AA9-FF24-4D65-81EE-FC40B398E952}">
            <xm:f>OR(AND($F$25="",Welcome!$D$6&lt;&gt;"New"),AND($BE$25="Yes",$W$25&lt;&gt;"Add"))</xm:f>
            <x14:dxf>
              <fill>
                <patternFill>
                  <bgColor theme="0" tint="-0.24994659260841701"/>
                </patternFill>
              </fill>
            </x14:dxf>
          </x14:cfRule>
          <xm:sqref>G16:H16</xm:sqref>
        </x14:conditionalFormatting>
        <x14:conditionalFormatting xmlns:xm="http://schemas.microsoft.com/office/excel/2006/main">
          <x14:cfRule type="expression" priority="259" id="{0D97A21F-051D-439E-85DC-D020D0E209F6}">
            <xm:f>OR(AND($F$25="",Welcome!$D$6&lt;&gt;"New"),AND($BE$25="Yes",$W$25&lt;&gt;"Add"))</xm:f>
            <x14:dxf>
              <fill>
                <patternFill>
                  <bgColor theme="0" tint="-0.24994659260841701"/>
                </patternFill>
              </fill>
            </x14:dxf>
          </x14:cfRule>
          <xm:sqref>G17:H17</xm:sqref>
        </x14:conditionalFormatting>
        <x14:conditionalFormatting xmlns:xm="http://schemas.microsoft.com/office/excel/2006/main">
          <x14:cfRule type="expression" priority="234" id="{9C6DD413-CD7C-44D3-8575-4E613375CD97}">
            <xm:f>OR(AND($F$25="",Welcome!$D$6&lt;&gt;"New"),AND($BE$25="Yes",$W$25&lt;&gt;"Add"))</xm:f>
            <x14:dxf>
              <fill>
                <patternFill>
                  <bgColor theme="0" tint="-0.24994659260841701"/>
                </patternFill>
              </fill>
            </x14:dxf>
          </x14:cfRule>
          <xm:sqref>G18:H18</xm:sqref>
        </x14:conditionalFormatting>
        <x14:conditionalFormatting xmlns:xm="http://schemas.microsoft.com/office/excel/2006/main">
          <x14:cfRule type="expression" priority="209" id="{380222C8-5E4E-4E49-AC64-6D99B4AC6F8B}">
            <xm:f>OR(AND($F$25="",Welcome!$D$6&lt;&gt;"New"),AND($BE$25="Yes",$W$25&lt;&gt;"Add"))</xm:f>
            <x14:dxf>
              <fill>
                <patternFill>
                  <bgColor theme="0" tint="-0.24994659260841701"/>
                </patternFill>
              </fill>
            </x14:dxf>
          </x14:cfRule>
          <xm:sqref>G19:H19</xm:sqref>
        </x14:conditionalFormatting>
        <x14:conditionalFormatting xmlns:xm="http://schemas.microsoft.com/office/excel/2006/main">
          <x14:cfRule type="expression" priority="184" id="{2AF8AF88-811C-44E1-ACAE-6F8435B57D09}">
            <xm:f>OR(AND($F$25="",Welcome!$D$6&lt;&gt;"New"),AND($BE$25="Yes",$W$25&lt;&gt;"Add"))</xm:f>
            <x14:dxf>
              <fill>
                <patternFill>
                  <bgColor theme="0" tint="-0.24994659260841701"/>
                </patternFill>
              </fill>
            </x14:dxf>
          </x14:cfRule>
          <xm:sqref>G20:H20</xm:sqref>
        </x14:conditionalFormatting>
        <x14:conditionalFormatting xmlns:xm="http://schemas.microsoft.com/office/excel/2006/main">
          <x14:cfRule type="expression" priority="159" id="{F717FB12-4F77-4DEF-9411-A4BD95465A5A}">
            <xm:f>OR(AND($F$25="",Welcome!$D$6&lt;&gt;"New"),AND($BE$25="Yes",$W$25&lt;&gt;"Add"))</xm:f>
            <x14:dxf>
              <fill>
                <patternFill>
                  <bgColor theme="0" tint="-0.24994659260841701"/>
                </patternFill>
              </fill>
            </x14:dxf>
          </x14:cfRule>
          <xm:sqref>G21:H21</xm:sqref>
        </x14:conditionalFormatting>
        <x14:conditionalFormatting xmlns:xm="http://schemas.microsoft.com/office/excel/2006/main">
          <x14:cfRule type="expression" priority="134" id="{E5F998BF-8707-4617-B221-CEE5DBC8808A}">
            <xm:f>OR(AND($F$25="",Welcome!$D$6&lt;&gt;"New"),AND($BE$25="Yes",$W$25&lt;&gt;"Add"))</xm:f>
            <x14:dxf>
              <fill>
                <patternFill>
                  <bgColor theme="0" tint="-0.24994659260841701"/>
                </patternFill>
              </fill>
            </x14:dxf>
          </x14:cfRule>
          <xm:sqref>G22:H22</xm:sqref>
        </x14:conditionalFormatting>
        <x14:conditionalFormatting xmlns:xm="http://schemas.microsoft.com/office/excel/2006/main">
          <x14:cfRule type="expression" priority="109" id="{2B802274-9693-4836-8D91-3D1767991FB2}">
            <xm:f>OR(AND($F$25="",Welcome!$D$6&lt;&gt;"New"),AND($BE$25="Yes",$W$25&lt;&gt;"Add"))</xm:f>
            <x14:dxf>
              <fill>
                <patternFill>
                  <bgColor theme="0" tint="-0.24994659260841701"/>
                </patternFill>
              </fill>
            </x14:dxf>
          </x14:cfRule>
          <xm:sqref>G23:H23</xm:sqref>
        </x14:conditionalFormatting>
        <x14:conditionalFormatting xmlns:xm="http://schemas.microsoft.com/office/excel/2006/main">
          <x14:cfRule type="expression" priority="84" id="{51D6CAAC-0610-4E10-9CCF-BED3254A1CFB}">
            <xm:f>OR(AND($F$25="",Welcome!$D$6&lt;&gt;"New"),AND($BE$25="Yes",$W$25&lt;&gt;"Add"))</xm:f>
            <x14:dxf>
              <fill>
                <patternFill>
                  <bgColor theme="0" tint="-0.24994659260841701"/>
                </patternFill>
              </fill>
            </x14:dxf>
          </x14:cfRule>
          <xm:sqref>G24:H24</xm:sqref>
        </x14:conditionalFormatting>
      </x14:conditionalFormatting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B10" sqref="B10"/>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5" width="8.85546875" style="140" hidden="1" customWidth="1"/>
    <col min="36" max="36" width="8.85546875" style="140" customWidth="1"/>
    <col min="37" max="16384" width="8.85546875" style="140"/>
  </cols>
  <sheetData>
    <row r="1" spans="1:39" ht="21" x14ac:dyDescent="0.25">
      <c r="A1" s="139"/>
      <c r="B1" s="139"/>
      <c r="C1" s="139"/>
      <c r="D1" s="399" t="s">
        <v>208</v>
      </c>
      <c r="E1" s="139"/>
      <c r="F1" s="139"/>
      <c r="G1" s="141"/>
      <c r="H1" s="141"/>
      <c r="I1" s="141"/>
      <c r="J1" s="141"/>
      <c r="K1" s="1066"/>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399"/>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374" t="s">
        <v>1156</v>
      </c>
      <c r="E3" s="321" t="str">
        <f>Welcome!$D$10</f>
        <v>Please Select</v>
      </c>
      <c r="F3" s="139"/>
      <c r="G3" s="374" t="s">
        <v>110</v>
      </c>
      <c r="H3" s="1823" t="str">
        <f>IFERROR(VLOOKUP($H$4,'Market Geography'!$D:$G,4,FALSE),"Select Market")</f>
        <v>Select Market</v>
      </c>
      <c r="I3" s="1824"/>
      <c r="J3" s="1824"/>
      <c r="K3" s="1825"/>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375" t="s">
        <v>1157</v>
      </c>
      <c r="E4" s="290" t="str">
        <f>Welcome!$D$16</f>
        <v>Select Term</v>
      </c>
      <c r="F4" s="139"/>
      <c r="G4" s="375" t="s">
        <v>840</v>
      </c>
      <c r="H4" s="1820">
        <f>Welcome!$D$4</f>
        <v>0</v>
      </c>
      <c r="I4" s="1821"/>
      <c r="J4" s="1821"/>
      <c r="K4" s="1822"/>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375" t="s">
        <v>1162</v>
      </c>
      <c r="E5" s="143">
        <f>$G$31</f>
        <v>0</v>
      </c>
      <c r="F5" s="139"/>
      <c r="G5" s="375" t="s">
        <v>107</v>
      </c>
      <c r="H5" s="1820" t="str">
        <f>'Multi-Customer'!$S$49</f>
        <v>Enter Customer(s)</v>
      </c>
      <c r="I5" s="1821"/>
      <c r="J5" s="1821"/>
      <c r="K5" s="1822"/>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375" t="s">
        <v>1163</v>
      </c>
      <c r="E6" s="144">
        <f>IFERROR('Variable Costs (Back)'!$K$36,0)</f>
        <v>0</v>
      </c>
      <c r="F6" s="139"/>
      <c r="G6" s="375" t="s">
        <v>1170</v>
      </c>
      <c r="H6" s="1820" t="str">
        <f>'Multi-Customer'!$AH$40</f>
        <v>MULTIPLE TYPES</v>
      </c>
      <c r="I6" s="1821"/>
      <c r="J6" s="1821"/>
      <c r="K6" s="1822"/>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376" t="s">
        <v>1164</v>
      </c>
      <c r="E7" s="322">
        <f>IFERROR('PIM Ranges'!$AW$3,0)</f>
        <v>0</v>
      </c>
      <c r="F7" s="139"/>
      <c r="G7" s="376" t="s">
        <v>1165</v>
      </c>
      <c r="H7" s="1826" t="s">
        <v>206</v>
      </c>
      <c r="I7" s="1827"/>
      <c r="J7" s="1827"/>
      <c r="K7" s="1828"/>
      <c r="L7" s="139"/>
      <c r="M7" s="139"/>
      <c r="N7" s="139"/>
      <c r="O7" s="139"/>
      <c r="P7" s="139"/>
      <c r="Q7" s="1066"/>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500"/>
      <c r="H8" s="134"/>
      <c r="I8" s="134"/>
      <c r="J8" s="134"/>
      <c r="K8" s="139"/>
      <c r="L8" s="139"/>
      <c r="M8" s="139"/>
      <c r="N8" s="139"/>
      <c r="O8" s="369"/>
      <c r="P8" s="461" t="str">
        <f>IF($E$3="MDA","Contract Margin %","Margin % Used For Modeling")</f>
        <v>Margin % Used For Modeling</v>
      </c>
      <c r="Q8" s="369"/>
      <c r="R8" s="134"/>
      <c r="S8" s="146"/>
      <c r="T8" s="147" t="s">
        <v>502</v>
      </c>
      <c r="U8" s="146"/>
      <c r="V8" s="139"/>
      <c r="W8" s="313" t="s">
        <v>493</v>
      </c>
      <c r="X8" s="139"/>
      <c r="Y8" s="139"/>
      <c r="Z8" s="139"/>
      <c r="AA8" s="139"/>
      <c r="AB8" s="139"/>
      <c r="AC8" s="139"/>
      <c r="AD8" s="139"/>
      <c r="AE8" s="139"/>
      <c r="AF8" s="139"/>
      <c r="AG8" s="139"/>
      <c r="AH8" s="139"/>
      <c r="AI8" s="139"/>
      <c r="AJ8" s="139"/>
      <c r="AK8" s="139"/>
      <c r="AL8" s="139"/>
      <c r="AM8" s="139"/>
    </row>
    <row r="9" spans="1:39" ht="30" customHeight="1" thickBot="1" x14ac:dyDescent="0.3">
      <c r="A9" s="139"/>
      <c r="B9" s="397" t="s">
        <v>880</v>
      </c>
      <c r="C9" s="398" t="s">
        <v>955</v>
      </c>
      <c r="D9" s="398" t="s">
        <v>1246</v>
      </c>
      <c r="E9" s="315" t="s">
        <v>463</v>
      </c>
      <c r="F9" s="148" t="s">
        <v>1292</v>
      </c>
      <c r="G9" s="149" t="s">
        <v>395</v>
      </c>
      <c r="H9" s="150" t="s">
        <v>83</v>
      </c>
      <c r="I9" s="151" t="s">
        <v>1247</v>
      </c>
      <c r="J9" s="148" t="s">
        <v>1248</v>
      </c>
      <c r="K9" s="152" t="s">
        <v>225</v>
      </c>
      <c r="L9" s="153"/>
      <c r="M9" s="154" t="s">
        <v>906</v>
      </c>
      <c r="N9" s="155"/>
      <c r="O9" s="371" t="s">
        <v>126</v>
      </c>
      <c r="P9" s="370" t="str">
        <f>IF($E$3="CIA","Incentive Only","Recommended")</f>
        <v>Recommended</v>
      </c>
      <c r="Q9" s="372" t="s">
        <v>128</v>
      </c>
      <c r="R9" s="134"/>
      <c r="S9" s="156" t="s">
        <v>126</v>
      </c>
      <c r="T9" s="157" t="s">
        <v>127</v>
      </c>
      <c r="U9" s="158" t="s">
        <v>128</v>
      </c>
      <c r="V9" s="139"/>
      <c r="W9" s="314" t="s">
        <v>127</v>
      </c>
      <c r="X9" s="139"/>
      <c r="Y9" s="139"/>
      <c r="Z9" s="139"/>
      <c r="AA9" s="139"/>
      <c r="AB9" s="141"/>
      <c r="AD9" s="159" t="s">
        <v>676</v>
      </c>
      <c r="AE9" s="139"/>
      <c r="AF9" s="517" t="s">
        <v>961</v>
      </c>
      <c r="AG9" s="139" t="s">
        <v>962</v>
      </c>
      <c r="AH9" s="139" t="s">
        <v>484</v>
      </c>
      <c r="AI9" s="139"/>
      <c r="AJ9" s="139"/>
      <c r="AK9" s="139"/>
      <c r="AL9" s="139"/>
      <c r="AM9" s="139"/>
    </row>
    <row r="10" spans="1:39" ht="17.25" x14ac:dyDescent="0.25">
      <c r="A10" s="139"/>
      <c r="B10" s="489">
        <v>0</v>
      </c>
      <c r="C10" s="495"/>
      <c r="D10" s="1294" t="s">
        <v>479</v>
      </c>
      <c r="E10" s="490" t="s">
        <v>914</v>
      </c>
      <c r="F10" s="160" t="s">
        <v>99</v>
      </c>
      <c r="G10" s="519">
        <f>IFERROR('PIM Ranges'!AL12,0)</f>
        <v>0</v>
      </c>
      <c r="H10" s="520">
        <f>IFERROR('PIM Ranges'!AM12,0)</f>
        <v>0</v>
      </c>
      <c r="I10" s="521">
        <f>IFERROR('PIM Ranges'!AN12,0)</f>
        <v>0</v>
      </c>
      <c r="J10" s="319">
        <f t="shared" ref="J10:J26" si="0">IF($E$3="CIA",IF($D10="%",$P10*$G10,$P10*$I10),IF($D10="%",$K10*$G10,$K10*I10))</f>
        <v>0</v>
      </c>
      <c r="K10" s="623"/>
      <c r="L10" s="566" t="str">
        <f t="shared" ref="L10:L26" si="1">IF($E$3="CIA","",IF(K10="","",IF(K10&lt;O10,"X",IF(K10&gt;Q10,"X",""))))</f>
        <v/>
      </c>
      <c r="M10" s="621">
        <f>'Multi-Customer'!AN14</f>
        <v>0</v>
      </c>
      <c r="N10" s="161"/>
      <c r="O10" s="625">
        <f>ROUND(IF(D10="%",'Multi-Customer'!$K14,S10),2)</f>
        <v>0</v>
      </c>
      <c r="P10" s="625">
        <f>ROUND(IF(D10="%",IF($E$3="CIA",'Multi-Customer'!$S14,'Multi-Customer'!$L14),T10),2)</f>
        <v>0</v>
      </c>
      <c r="Q10" s="625">
        <f>ROUND(IF(D10="%",'Multi-Customer'!$M14,U10),2)</f>
        <v>0</v>
      </c>
      <c r="R10" s="1065"/>
      <c r="S10" s="625"/>
      <c r="T10" s="625"/>
      <c r="U10" s="625"/>
      <c r="V10" s="139"/>
      <c r="W10" s="162" t="e">
        <f>'Multi-Customer'!BD14</f>
        <v>#DIV/0!</v>
      </c>
      <c r="X10" s="139"/>
      <c r="Y10" s="139"/>
      <c r="Z10" s="139"/>
      <c r="AA10" s="139"/>
      <c r="AB10" s="292" t="str">
        <f>IF($E$3="CIA","",IF(AND($G$31&gt;0,E10="Include"),IF($K10&lt;&gt;"","","ERROR"),""))</f>
        <v/>
      </c>
      <c r="AC10" s="163">
        <f t="shared" ref="AC10:AC30" si="2">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491">
        <v>0</v>
      </c>
      <c r="C11" s="496"/>
      <c r="D11" s="1291" t="s">
        <v>479</v>
      </c>
      <c r="E11" s="492" t="s">
        <v>914</v>
      </c>
      <c r="F11" s="748" t="s">
        <v>103</v>
      </c>
      <c r="G11" s="522">
        <f>IFERROR('PIM Ranges'!AL13,0)</f>
        <v>0</v>
      </c>
      <c r="H11" s="523">
        <f>IFERROR('PIM Ranges'!AM13,0)</f>
        <v>0</v>
      </c>
      <c r="I11" s="524">
        <f>IFERROR('PIM Ranges'!AN13,0)</f>
        <v>0</v>
      </c>
      <c r="J11" s="319">
        <f t="shared" si="0"/>
        <v>0</v>
      </c>
      <c r="K11" s="623"/>
      <c r="L11" s="566" t="str">
        <f t="shared" si="1"/>
        <v/>
      </c>
      <c r="M11" s="621">
        <f>'Multi-Customer'!AN15</f>
        <v>0</v>
      </c>
      <c r="N11" s="161"/>
      <c r="O11" s="625">
        <f>ROUND(IF(D11="%",'Multi-Customer'!$K15,S11),2)</f>
        <v>0</v>
      </c>
      <c r="P11" s="625">
        <f>ROUND(IF(D11="%",IF($E$3="CIA",'Multi-Customer'!$S15,'Multi-Customer'!$L15),T11),2)</f>
        <v>0</v>
      </c>
      <c r="Q11" s="625">
        <f>ROUND(IF(D11="%",'Multi-Customer'!$M15,U11),2)</f>
        <v>0</v>
      </c>
      <c r="R11" s="1065"/>
      <c r="S11" s="787">
        <f>IF(G11&gt;0,'Multi-Customer'!$K15*'PIM Ranges'!$AP13,'Multi-Customer'!N15)</f>
        <v>0</v>
      </c>
      <c r="T11" s="787">
        <f>IF(G11&gt;0,'Multi-Customer'!$L15*'PIM Ranges'!$AP13,'Multi-Customer'!O15)</f>
        <v>0</v>
      </c>
      <c r="U11" s="787">
        <f>IF(G11&gt;0,'Multi-Customer'!$M15*'PIM Ranges'!$AP13,'Multi-Customer'!P15)</f>
        <v>0</v>
      </c>
      <c r="V11" s="139"/>
      <c r="W11" s="162" t="e">
        <f>'Multi-Customer'!BD15</f>
        <v>#DIV/0!</v>
      </c>
      <c r="X11" s="139"/>
      <c r="Y11" s="139"/>
      <c r="Z11" s="139"/>
      <c r="AA11" s="139"/>
      <c r="AB11" s="292" t="str">
        <f t="shared" ref="AB11:AB30" si="3">IF($E$3="CIA","",IF(AND($G$31&gt;0,E11="Include"),IF($K11&lt;&gt;"","","ERROR"),""))</f>
        <v/>
      </c>
      <c r="AC11" s="163">
        <f t="shared" si="2"/>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491">
        <v>0</v>
      </c>
      <c r="C12" s="496"/>
      <c r="D12" s="1291" t="s">
        <v>479</v>
      </c>
      <c r="E12" s="492" t="s">
        <v>914</v>
      </c>
      <c r="F12" s="748" t="s">
        <v>1296</v>
      </c>
      <c r="G12" s="522">
        <f>IFERROR('PIM Ranges'!AL14,0)</f>
        <v>0</v>
      </c>
      <c r="H12" s="523">
        <f>IFERROR('PIM Ranges'!AM14,0)</f>
        <v>0</v>
      </c>
      <c r="I12" s="524">
        <f>IFERROR('PIM Ranges'!AN14,0)</f>
        <v>0</v>
      </c>
      <c r="J12" s="319">
        <f t="shared" si="0"/>
        <v>0</v>
      </c>
      <c r="K12" s="623"/>
      <c r="L12" s="566" t="str">
        <f t="shared" si="1"/>
        <v/>
      </c>
      <c r="M12" s="621">
        <f>'Multi-Customer'!AN16</f>
        <v>0</v>
      </c>
      <c r="N12" s="161"/>
      <c r="O12" s="625">
        <f>ROUND(IF(D12="%",'Multi-Customer'!$K16,S12),2)</f>
        <v>0</v>
      </c>
      <c r="P12" s="625">
        <f>ROUND(IF(D12="%",IF($E$3="CIA",'Multi-Customer'!$S16,'Multi-Customer'!$L16),T12),2)</f>
        <v>0</v>
      </c>
      <c r="Q12" s="625">
        <f>ROUND(IF(D12="%",'Multi-Customer'!$M16,U12),2)</f>
        <v>0</v>
      </c>
      <c r="R12" s="1065"/>
      <c r="S12" s="787">
        <f>IF(G12&gt;0,'Multi-Customer'!$K16*'PIM Ranges'!$AP14,'Multi-Customer'!N16)</f>
        <v>0</v>
      </c>
      <c r="T12" s="787">
        <f>IF(G12&gt;0,'Multi-Customer'!$L16*'PIM Ranges'!$AP14,'Multi-Customer'!O16)</f>
        <v>0</v>
      </c>
      <c r="U12" s="787">
        <f>IF(G12&gt;0,'Multi-Customer'!$M16*'PIM Ranges'!$AP14,'Multi-Customer'!P16)</f>
        <v>0</v>
      </c>
      <c r="V12" s="139"/>
      <c r="W12" s="162" t="e">
        <f>'Multi-Customer'!BD16</f>
        <v>#DIV/0!</v>
      </c>
      <c r="X12" s="139"/>
      <c r="Y12" s="139"/>
      <c r="Z12" s="139"/>
      <c r="AA12" s="139"/>
      <c r="AB12" s="292" t="str">
        <f t="shared" si="3"/>
        <v/>
      </c>
      <c r="AC12" s="163">
        <f t="shared" si="2"/>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491">
        <v>0</v>
      </c>
      <c r="C13" s="496"/>
      <c r="D13" s="1295" t="s">
        <v>479</v>
      </c>
      <c r="E13" s="492" t="s">
        <v>914</v>
      </c>
      <c r="F13" s="164" t="s">
        <v>102</v>
      </c>
      <c r="G13" s="522">
        <f>IFERROR('PIM Ranges'!AL15,0)</f>
        <v>0</v>
      </c>
      <c r="H13" s="523">
        <f>IFERROR('PIM Ranges'!AM15,0)</f>
        <v>0</v>
      </c>
      <c r="I13" s="524">
        <f>IFERROR('PIM Ranges'!AN15,0)</f>
        <v>0</v>
      </c>
      <c r="J13" s="319">
        <f t="shared" si="0"/>
        <v>0</v>
      </c>
      <c r="K13" s="623"/>
      <c r="L13" s="566" t="str">
        <f t="shared" si="1"/>
        <v/>
      </c>
      <c r="M13" s="621">
        <f>'Multi-Customer'!AN17</f>
        <v>0</v>
      </c>
      <c r="N13" s="161"/>
      <c r="O13" s="625">
        <f>ROUND(IF(D13="%",'Multi-Customer'!$K17,S13),2)</f>
        <v>0</v>
      </c>
      <c r="P13" s="625">
        <f>ROUND(IF(D13="%",IF($E$3="CIA",'Multi-Customer'!$S17,'Multi-Customer'!$L17),T13),2)</f>
        <v>0</v>
      </c>
      <c r="Q13" s="625">
        <f>ROUND(IF(D13="%",'Multi-Customer'!$M17,U13),2)</f>
        <v>0</v>
      </c>
      <c r="R13" s="1065"/>
      <c r="S13" s="625"/>
      <c r="T13" s="625"/>
      <c r="U13" s="625"/>
      <c r="V13" s="139"/>
      <c r="W13" s="162" t="e">
        <f>'Multi-Customer'!BD17</f>
        <v>#DIV/0!</v>
      </c>
      <c r="X13" s="139"/>
      <c r="Y13" s="139"/>
      <c r="Z13" s="139"/>
      <c r="AA13" s="139"/>
      <c r="AB13" s="292" t="str">
        <f t="shared" si="3"/>
        <v/>
      </c>
      <c r="AC13" s="163">
        <f t="shared" si="2"/>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491">
        <v>0</v>
      </c>
      <c r="C14" s="496"/>
      <c r="D14" s="1291" t="s">
        <v>479</v>
      </c>
      <c r="E14" s="492" t="s">
        <v>914</v>
      </c>
      <c r="F14" s="164" t="s">
        <v>100</v>
      </c>
      <c r="G14" s="522">
        <f>IFERROR('PIM Ranges'!AL16,0)</f>
        <v>0</v>
      </c>
      <c r="H14" s="523">
        <f>IFERROR('PIM Ranges'!AM16,0)</f>
        <v>0</v>
      </c>
      <c r="I14" s="524">
        <f>IFERROR('PIM Ranges'!AN16,0)</f>
        <v>0</v>
      </c>
      <c r="J14" s="319">
        <f t="shared" si="0"/>
        <v>0</v>
      </c>
      <c r="K14" s="623"/>
      <c r="L14" s="566" t="str">
        <f t="shared" si="1"/>
        <v/>
      </c>
      <c r="M14" s="621">
        <f>'Multi-Customer'!AN18</f>
        <v>0</v>
      </c>
      <c r="N14" s="161"/>
      <c r="O14" s="625">
        <f>ROUND(IF(D14="%",'Multi-Customer'!$K18,S14),2)</f>
        <v>0</v>
      </c>
      <c r="P14" s="625">
        <f>ROUND(IF(D14="%",IF($E$3="CIA",'Multi-Customer'!$S18,'Multi-Customer'!$L18),T14),2)</f>
        <v>0</v>
      </c>
      <c r="Q14" s="625">
        <f>ROUND(IF(D14="%",'Multi-Customer'!$M18,U14),2)</f>
        <v>0</v>
      </c>
      <c r="R14" s="1065"/>
      <c r="S14" s="787">
        <f>IF(G14&gt;0,'Multi-Customer'!$K18*'PIM Ranges'!$AP16,'Multi-Customer'!N18)</f>
        <v>0</v>
      </c>
      <c r="T14" s="787">
        <f>IF(G14&gt;0,'Multi-Customer'!$L18*'PIM Ranges'!$AP16,'Multi-Customer'!O18)</f>
        <v>0</v>
      </c>
      <c r="U14" s="787">
        <f>IF(G14&gt;0,'Multi-Customer'!$M18*'PIM Ranges'!$AP16,'Multi-Customer'!P18)</f>
        <v>0</v>
      </c>
      <c r="V14" s="139"/>
      <c r="W14" s="162" t="e">
        <f>'Multi-Customer'!BD18</f>
        <v>#DIV/0!</v>
      </c>
      <c r="X14" s="139"/>
      <c r="Y14" s="139"/>
      <c r="Z14" s="139"/>
      <c r="AA14" s="139"/>
      <c r="AB14" s="292" t="str">
        <f t="shared" si="3"/>
        <v/>
      </c>
      <c r="AC14" s="163">
        <f t="shared" si="2"/>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491">
        <v>0</v>
      </c>
      <c r="C15" s="496"/>
      <c r="D15" s="1295" t="s">
        <v>479</v>
      </c>
      <c r="E15" s="492" t="s">
        <v>914</v>
      </c>
      <c r="F15" s="164" t="s">
        <v>104</v>
      </c>
      <c r="G15" s="522">
        <f>IFERROR('PIM Ranges'!AL17,0)</f>
        <v>0</v>
      </c>
      <c r="H15" s="523">
        <f>IFERROR('PIM Ranges'!AM17,0)</f>
        <v>0</v>
      </c>
      <c r="I15" s="524">
        <f>IFERROR('PIM Ranges'!AN17,0)</f>
        <v>0</v>
      </c>
      <c r="J15" s="319">
        <f t="shared" si="0"/>
        <v>0</v>
      </c>
      <c r="K15" s="623"/>
      <c r="L15" s="566" t="str">
        <f t="shared" si="1"/>
        <v/>
      </c>
      <c r="M15" s="621">
        <f>'Multi-Customer'!AN19</f>
        <v>0</v>
      </c>
      <c r="N15" s="161"/>
      <c r="O15" s="625">
        <f>ROUND(IF(D15="%",'Multi-Customer'!$K19,S15),2)</f>
        <v>0</v>
      </c>
      <c r="P15" s="625">
        <f>ROUND(IF(D15="%",IF($E$3="CIA",'Multi-Customer'!$S19,'Multi-Customer'!$L19),T15),2)</f>
        <v>0</v>
      </c>
      <c r="Q15" s="625">
        <f>ROUND(IF(D15="%",'Multi-Customer'!$M19,U15),2)</f>
        <v>0</v>
      </c>
      <c r="R15" s="1065"/>
      <c r="S15" s="625"/>
      <c r="T15" s="625"/>
      <c r="U15" s="625"/>
      <c r="V15" s="139"/>
      <c r="W15" s="162" t="e">
        <f>'Multi-Customer'!BD19</f>
        <v>#DIV/0!</v>
      </c>
      <c r="X15" s="139"/>
      <c r="Y15" s="139"/>
      <c r="Z15" s="139"/>
      <c r="AA15" s="139"/>
      <c r="AB15" s="292" t="str">
        <f t="shared" si="3"/>
        <v/>
      </c>
      <c r="AC15" s="163">
        <f t="shared" si="2"/>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491">
        <v>0</v>
      </c>
      <c r="C16" s="496"/>
      <c r="D16" s="1295" t="s">
        <v>479</v>
      </c>
      <c r="E16" s="492" t="s">
        <v>914</v>
      </c>
      <c r="F16" s="164" t="s">
        <v>98</v>
      </c>
      <c r="G16" s="522">
        <f>IFERROR('PIM Ranges'!AL18,0)</f>
        <v>0</v>
      </c>
      <c r="H16" s="523">
        <f>IFERROR('PIM Ranges'!AM18,0)</f>
        <v>0</v>
      </c>
      <c r="I16" s="524">
        <f>IFERROR('PIM Ranges'!AN18,0)</f>
        <v>0</v>
      </c>
      <c r="J16" s="319">
        <f t="shared" si="0"/>
        <v>0</v>
      </c>
      <c r="K16" s="623"/>
      <c r="L16" s="566" t="str">
        <f t="shared" si="1"/>
        <v/>
      </c>
      <c r="M16" s="621">
        <f>'Multi-Customer'!AN20</f>
        <v>0</v>
      </c>
      <c r="N16" s="161"/>
      <c r="O16" s="625">
        <f>ROUND(IF(D16="%",'Multi-Customer'!$K20,S16),2)</f>
        <v>0</v>
      </c>
      <c r="P16" s="625">
        <f>ROUND(IF(D16="%",IF($E$3="CIA",'Multi-Customer'!$S20,'Multi-Customer'!$L20),T16),2)</f>
        <v>0</v>
      </c>
      <c r="Q16" s="625">
        <f>ROUND(IF(D16="%",'Multi-Customer'!$M20,U16),2)</f>
        <v>0</v>
      </c>
      <c r="R16" s="1065"/>
      <c r="S16" s="625"/>
      <c r="T16" s="625"/>
      <c r="U16" s="625"/>
      <c r="V16" s="139"/>
      <c r="W16" s="162" t="e">
        <f>'Multi-Customer'!BD20</f>
        <v>#DIV/0!</v>
      </c>
      <c r="X16" s="139"/>
      <c r="Y16" s="139"/>
      <c r="Z16" s="139"/>
      <c r="AA16" s="139"/>
      <c r="AB16" s="292" t="str">
        <f t="shared" si="3"/>
        <v/>
      </c>
      <c r="AC16" s="163">
        <f t="shared" si="2"/>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491">
        <v>0</v>
      </c>
      <c r="C17" s="496"/>
      <c r="D17" s="1295" t="s">
        <v>479</v>
      </c>
      <c r="E17" s="492" t="s">
        <v>914</v>
      </c>
      <c r="F17" s="164" t="s">
        <v>95</v>
      </c>
      <c r="G17" s="522">
        <f>IFERROR('PIM Ranges'!AL19,0)</f>
        <v>0</v>
      </c>
      <c r="H17" s="523">
        <f>IFERROR('PIM Ranges'!AM19,0)</f>
        <v>0</v>
      </c>
      <c r="I17" s="524">
        <f>IFERROR('PIM Ranges'!AN19,0)</f>
        <v>0</v>
      </c>
      <c r="J17" s="319">
        <f t="shared" si="0"/>
        <v>0</v>
      </c>
      <c r="K17" s="623"/>
      <c r="L17" s="566" t="str">
        <f t="shared" si="1"/>
        <v/>
      </c>
      <c r="M17" s="621">
        <f>'Multi-Customer'!AN21</f>
        <v>0</v>
      </c>
      <c r="N17" s="161"/>
      <c r="O17" s="625">
        <f>ROUND(IF(D17="%",'Multi-Customer'!$K21,S17),2)</f>
        <v>0</v>
      </c>
      <c r="P17" s="625">
        <f>ROUND(IF(D17="%",IF($E$3="CIA",'Multi-Customer'!$S21,'Multi-Customer'!$L21),T17),2)</f>
        <v>0</v>
      </c>
      <c r="Q17" s="625">
        <f>ROUND(IF(D17="%",'Multi-Customer'!$M21,U17),2)</f>
        <v>0</v>
      </c>
      <c r="R17" s="1065"/>
      <c r="S17" s="625"/>
      <c r="T17" s="625"/>
      <c r="U17" s="625"/>
      <c r="V17" s="139"/>
      <c r="W17" s="162" t="e">
        <f>'Multi-Customer'!BD21</f>
        <v>#DIV/0!</v>
      </c>
      <c r="X17" s="139"/>
      <c r="Y17" s="139"/>
      <c r="Z17" s="139"/>
      <c r="AA17" s="139"/>
      <c r="AB17" s="292" t="str">
        <f t="shared" si="3"/>
        <v/>
      </c>
      <c r="AC17" s="163">
        <f t="shared" si="2"/>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491">
        <v>0</v>
      </c>
      <c r="C18" s="496"/>
      <c r="D18" s="1295" t="s">
        <v>479</v>
      </c>
      <c r="E18" s="492" t="s">
        <v>914</v>
      </c>
      <c r="F18" s="164" t="s">
        <v>96</v>
      </c>
      <c r="G18" s="522">
        <f>IFERROR('PIM Ranges'!AL20,0)</f>
        <v>0</v>
      </c>
      <c r="H18" s="523">
        <f>IFERROR('PIM Ranges'!AM20,0)</f>
        <v>0</v>
      </c>
      <c r="I18" s="524">
        <f>IFERROR('PIM Ranges'!AN20,0)</f>
        <v>0</v>
      </c>
      <c r="J18" s="319">
        <f t="shared" si="0"/>
        <v>0</v>
      </c>
      <c r="K18" s="623"/>
      <c r="L18" s="566" t="str">
        <f t="shared" si="1"/>
        <v/>
      </c>
      <c r="M18" s="621">
        <f>'Multi-Customer'!AN22</f>
        <v>0</v>
      </c>
      <c r="N18" s="161"/>
      <c r="O18" s="625">
        <f>ROUND(IF(D18="%",'Multi-Customer'!$K22,S18),2)</f>
        <v>0</v>
      </c>
      <c r="P18" s="625">
        <f>ROUND(IF(D18="%",IF($E$3="CIA",'Multi-Customer'!$S22,'Multi-Customer'!$L22),T18),2)</f>
        <v>0</v>
      </c>
      <c r="Q18" s="625">
        <f>ROUND(IF(D18="%",'Multi-Customer'!$M22,U18),2)</f>
        <v>0</v>
      </c>
      <c r="R18" s="1065"/>
      <c r="S18" s="625"/>
      <c r="T18" s="625"/>
      <c r="U18" s="625"/>
      <c r="V18" s="139"/>
      <c r="W18" s="162" t="e">
        <f>'Multi-Customer'!BD22</f>
        <v>#DIV/0!</v>
      </c>
      <c r="X18" s="139"/>
      <c r="Y18" s="139"/>
      <c r="Z18" s="139"/>
      <c r="AA18" s="139"/>
      <c r="AB18" s="292" t="str">
        <f t="shared" si="3"/>
        <v/>
      </c>
      <c r="AC18" s="163">
        <f t="shared" si="2"/>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491">
        <v>0</v>
      </c>
      <c r="C19" s="496"/>
      <c r="D19" s="1295" t="s">
        <v>479</v>
      </c>
      <c r="E19" s="492" t="s">
        <v>914</v>
      </c>
      <c r="F19" s="164" t="s">
        <v>101</v>
      </c>
      <c r="G19" s="522">
        <f>IFERROR('PIM Ranges'!AL21,0)</f>
        <v>0</v>
      </c>
      <c r="H19" s="523">
        <f>IFERROR('PIM Ranges'!AM21,0)</f>
        <v>0</v>
      </c>
      <c r="I19" s="524">
        <f>IFERROR('PIM Ranges'!AN21,0)</f>
        <v>0</v>
      </c>
      <c r="J19" s="319">
        <f t="shared" si="0"/>
        <v>0</v>
      </c>
      <c r="K19" s="623"/>
      <c r="L19" s="566" t="str">
        <f t="shared" si="1"/>
        <v/>
      </c>
      <c r="M19" s="621">
        <f>'Multi-Customer'!AN23</f>
        <v>0</v>
      </c>
      <c r="N19" s="161"/>
      <c r="O19" s="625">
        <f>ROUND(IF(D19="%",'Multi-Customer'!$K23,S19),2)</f>
        <v>0</v>
      </c>
      <c r="P19" s="625">
        <f>ROUND(IF(D19="%",IF($E$3="CIA",'Multi-Customer'!$S23,'Multi-Customer'!$L23),T19),2)</f>
        <v>0</v>
      </c>
      <c r="Q19" s="625">
        <f>ROUND(IF(D19="%",'Multi-Customer'!$M23,U19),2)</f>
        <v>0</v>
      </c>
      <c r="R19" s="1065"/>
      <c r="S19" s="625"/>
      <c r="T19" s="625"/>
      <c r="U19" s="625"/>
      <c r="V19" s="139"/>
      <c r="W19" s="162" t="e">
        <f>'Multi-Customer'!BD23</f>
        <v>#DIV/0!</v>
      </c>
      <c r="X19" s="139"/>
      <c r="Y19" s="139"/>
      <c r="Z19" s="139"/>
      <c r="AA19" s="139"/>
      <c r="AB19" s="292" t="str">
        <f t="shared" si="3"/>
        <v/>
      </c>
      <c r="AC19" s="163">
        <f t="shared" si="2"/>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491">
        <v>0</v>
      </c>
      <c r="C20" s="496"/>
      <c r="D20" s="1295" t="s">
        <v>479</v>
      </c>
      <c r="E20" s="492" t="s">
        <v>914</v>
      </c>
      <c r="F20" s="164" t="s">
        <v>97</v>
      </c>
      <c r="G20" s="522">
        <f>IFERROR('PIM Ranges'!AL22,0)</f>
        <v>0</v>
      </c>
      <c r="H20" s="523">
        <f>IFERROR('PIM Ranges'!AM22,0)</f>
        <v>0</v>
      </c>
      <c r="I20" s="524">
        <f>IFERROR('PIM Ranges'!AN22,0)</f>
        <v>0</v>
      </c>
      <c r="J20" s="319">
        <f t="shared" si="0"/>
        <v>0</v>
      </c>
      <c r="K20" s="623"/>
      <c r="L20" s="566" t="str">
        <f t="shared" si="1"/>
        <v/>
      </c>
      <c r="M20" s="621">
        <f>'Multi-Customer'!AN24</f>
        <v>0</v>
      </c>
      <c r="N20" s="161"/>
      <c r="O20" s="625">
        <f>ROUND(IF(D20="%",'Multi-Customer'!$K24,S20),2)</f>
        <v>0</v>
      </c>
      <c r="P20" s="625">
        <f>ROUND(IF(D20="%",IF($E$3="CIA",'Multi-Customer'!$S24,'Multi-Customer'!$L24),T20),2)</f>
        <v>0</v>
      </c>
      <c r="Q20" s="625">
        <f>ROUND(IF(D20="%",'Multi-Customer'!$M24,U20),2)</f>
        <v>0</v>
      </c>
      <c r="R20" s="1065"/>
      <c r="S20" s="625"/>
      <c r="T20" s="625"/>
      <c r="U20" s="625"/>
      <c r="V20" s="139"/>
      <c r="W20" s="162" t="e">
        <f>'Multi-Customer'!BD24</f>
        <v>#DIV/0!</v>
      </c>
      <c r="X20" s="139"/>
      <c r="Y20" s="139"/>
      <c r="Z20" s="139"/>
      <c r="AA20" s="139"/>
      <c r="AB20" s="292" t="str">
        <f t="shared" si="3"/>
        <v/>
      </c>
      <c r="AC20" s="163">
        <f t="shared" si="2"/>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491">
        <v>0</v>
      </c>
      <c r="C21" s="496"/>
      <c r="D21" s="1295" t="s">
        <v>479</v>
      </c>
      <c r="E21" s="492" t="s">
        <v>914</v>
      </c>
      <c r="F21" s="164" t="s">
        <v>93</v>
      </c>
      <c r="G21" s="522">
        <f>IFERROR('PIM Ranges'!AL23,0)</f>
        <v>0</v>
      </c>
      <c r="H21" s="523">
        <f>IFERROR('PIM Ranges'!AM23,0)</f>
        <v>0</v>
      </c>
      <c r="I21" s="524">
        <f>IFERROR('PIM Ranges'!AN23,0)</f>
        <v>0</v>
      </c>
      <c r="J21" s="319">
        <f t="shared" si="0"/>
        <v>0</v>
      </c>
      <c r="K21" s="623"/>
      <c r="L21" s="566" t="str">
        <f t="shared" si="1"/>
        <v/>
      </c>
      <c r="M21" s="621">
        <f>'Multi-Customer'!AN25</f>
        <v>0</v>
      </c>
      <c r="N21" s="161"/>
      <c r="O21" s="625">
        <f>ROUND(IF(D21="%",'Multi-Customer'!$K25,S21),2)</f>
        <v>0</v>
      </c>
      <c r="P21" s="625">
        <f>ROUND(IF(D21="%",IF($E$3="CIA",'Multi-Customer'!$S25,'Multi-Customer'!$L25),T21),2)</f>
        <v>0</v>
      </c>
      <c r="Q21" s="625">
        <f>ROUND(IF(D21="%",'Multi-Customer'!$M25,U21),2)</f>
        <v>0</v>
      </c>
      <c r="R21" s="1065"/>
      <c r="S21" s="625"/>
      <c r="T21" s="625"/>
      <c r="U21" s="625"/>
      <c r="V21" s="139"/>
      <c r="W21" s="162" t="e">
        <f>'Multi-Customer'!BD25</f>
        <v>#DIV/0!</v>
      </c>
      <c r="X21" s="139"/>
      <c r="Y21" s="139"/>
      <c r="Z21" s="139"/>
      <c r="AA21" s="139"/>
      <c r="AB21" s="292" t="str">
        <f t="shared" si="3"/>
        <v/>
      </c>
      <c r="AC21" s="163">
        <f t="shared" si="2"/>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491">
        <v>0</v>
      </c>
      <c r="C22" s="496"/>
      <c r="D22" s="1291" t="s">
        <v>479</v>
      </c>
      <c r="E22" s="492" t="s">
        <v>914</v>
      </c>
      <c r="F22" s="164" t="s">
        <v>105</v>
      </c>
      <c r="G22" s="522">
        <f>IFERROR('PIM Ranges'!AL24,0)</f>
        <v>0</v>
      </c>
      <c r="H22" s="523">
        <f>IFERROR('PIM Ranges'!AM24,0)</f>
        <v>0</v>
      </c>
      <c r="I22" s="524">
        <f>IFERROR('PIM Ranges'!AN24,0)</f>
        <v>0</v>
      </c>
      <c r="J22" s="319">
        <f t="shared" si="0"/>
        <v>0</v>
      </c>
      <c r="K22" s="623"/>
      <c r="L22" s="566" t="str">
        <f t="shared" si="1"/>
        <v/>
      </c>
      <c r="M22" s="621">
        <f>'Multi-Customer'!AN26</f>
        <v>0</v>
      </c>
      <c r="N22" s="161"/>
      <c r="O22" s="625">
        <f>ROUND(IF(D22="%",'Multi-Customer'!$K26,S22),2)</f>
        <v>0</v>
      </c>
      <c r="P22" s="625">
        <f>ROUND(IF(D22="%",IF($E$3="CIA",'Multi-Customer'!$S26,'Multi-Customer'!$L26),T22),2)</f>
        <v>0</v>
      </c>
      <c r="Q22" s="625">
        <f>ROUND(IF(D22="%",'Multi-Customer'!$M26,U22),2)</f>
        <v>0</v>
      </c>
      <c r="R22" s="1065"/>
      <c r="S22" s="787">
        <f>IF(G22&gt;0,'Multi-Customer'!$K26*'PIM Ranges'!$AP24,'Multi-Customer'!N26)</f>
        <v>0</v>
      </c>
      <c r="T22" s="787">
        <f>IF(G22&gt;0,'Multi-Customer'!$L26*'PIM Ranges'!$AP24,'Multi-Customer'!O26)</f>
        <v>0</v>
      </c>
      <c r="U22" s="787">
        <f>IF(G22&gt;0,'Multi-Customer'!$M26*'PIM Ranges'!$AP24,'Multi-Customer'!P26)</f>
        <v>0</v>
      </c>
      <c r="V22" s="139"/>
      <c r="W22" s="162" t="e">
        <f>'Multi-Customer'!BD26</f>
        <v>#DIV/0!</v>
      </c>
      <c r="X22" s="139"/>
      <c r="Y22" s="139"/>
      <c r="Z22" s="139"/>
      <c r="AA22" s="139"/>
      <c r="AB22" s="292" t="str">
        <f t="shared" si="3"/>
        <v/>
      </c>
      <c r="AC22" s="163">
        <f t="shared" si="2"/>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491">
        <v>0</v>
      </c>
      <c r="C23" s="496"/>
      <c r="D23" s="1295" t="s">
        <v>479</v>
      </c>
      <c r="E23" s="492" t="s">
        <v>914</v>
      </c>
      <c r="F23" s="164" t="s">
        <v>92</v>
      </c>
      <c r="G23" s="522">
        <f>IFERROR('PIM Ranges'!AL25,0)</f>
        <v>0</v>
      </c>
      <c r="H23" s="523">
        <f>IFERROR('PIM Ranges'!AM25,0)</f>
        <v>0</v>
      </c>
      <c r="I23" s="524">
        <f>IFERROR('PIM Ranges'!AN25,0)</f>
        <v>0</v>
      </c>
      <c r="J23" s="319">
        <f t="shared" si="0"/>
        <v>0</v>
      </c>
      <c r="K23" s="623"/>
      <c r="L23" s="566" t="str">
        <f t="shared" si="1"/>
        <v/>
      </c>
      <c r="M23" s="621">
        <f>'Multi-Customer'!AN27</f>
        <v>0</v>
      </c>
      <c r="N23" s="161"/>
      <c r="O23" s="625">
        <f>ROUND(IF(D23="%",'Multi-Customer'!$K27,S23),2)</f>
        <v>0</v>
      </c>
      <c r="P23" s="625">
        <f>ROUND(IF(D23="%",IF($E$3="CIA",'Multi-Customer'!$S27,'Multi-Customer'!$L27),T23),2)</f>
        <v>0</v>
      </c>
      <c r="Q23" s="625">
        <f>ROUND(IF(D23="%",'Multi-Customer'!$M27,U23),2)</f>
        <v>0</v>
      </c>
      <c r="R23" s="1065"/>
      <c r="S23" s="625"/>
      <c r="T23" s="625"/>
      <c r="U23" s="625"/>
      <c r="V23" s="139"/>
      <c r="W23" s="162" t="e">
        <f>'Multi-Customer'!BD27</f>
        <v>#DIV/0!</v>
      </c>
      <c r="X23" s="139"/>
      <c r="Y23" s="139"/>
      <c r="Z23" s="139"/>
      <c r="AA23" s="139"/>
      <c r="AB23" s="292" t="str">
        <f t="shared" si="3"/>
        <v/>
      </c>
      <c r="AC23" s="163">
        <f t="shared" si="2"/>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491">
        <v>0</v>
      </c>
      <c r="C24" s="496"/>
      <c r="D24" s="1291" t="s">
        <v>479</v>
      </c>
      <c r="E24" s="492" t="s">
        <v>914</v>
      </c>
      <c r="F24" s="164" t="s">
        <v>91</v>
      </c>
      <c r="G24" s="522">
        <f>IFERROR('PIM Ranges'!AL26,0)</f>
        <v>0</v>
      </c>
      <c r="H24" s="523">
        <f>IFERROR('PIM Ranges'!AM26,0)</f>
        <v>0</v>
      </c>
      <c r="I24" s="524">
        <f>IFERROR('PIM Ranges'!AN26,0)</f>
        <v>0</v>
      </c>
      <c r="J24" s="319">
        <f t="shared" si="0"/>
        <v>0</v>
      </c>
      <c r="K24" s="623"/>
      <c r="L24" s="566" t="str">
        <f t="shared" si="1"/>
        <v/>
      </c>
      <c r="M24" s="621">
        <f>'Multi-Customer'!AN28</f>
        <v>0</v>
      </c>
      <c r="N24" s="161"/>
      <c r="O24" s="625">
        <f>ROUND(IF(D24="%",'Multi-Customer'!$K28,S24),2)</f>
        <v>0</v>
      </c>
      <c r="P24" s="625">
        <f>ROUND(IF(D24="%",IF($E$3="CIA",'Multi-Customer'!$S28,'Multi-Customer'!$L28),T24),2)</f>
        <v>0</v>
      </c>
      <c r="Q24" s="625">
        <f>ROUND(IF(D24="%",'Multi-Customer'!$M28,U24),2)</f>
        <v>0</v>
      </c>
      <c r="R24" s="1065"/>
      <c r="S24" s="787">
        <f>IF(G24&gt;0,'Multi-Customer'!$K28*'PIM Ranges'!$AP26,'Multi-Customer'!N28)</f>
        <v>0</v>
      </c>
      <c r="T24" s="787">
        <f>IF(G24&gt;0,'Multi-Customer'!$L28*'PIM Ranges'!$AP26,'Multi-Customer'!O28)</f>
        <v>0</v>
      </c>
      <c r="U24" s="787">
        <f>IF(G24&gt;0,'Multi-Customer'!$M28*'PIM Ranges'!$AP26,'Multi-Customer'!P28)</f>
        <v>0</v>
      </c>
      <c r="V24" s="139"/>
      <c r="W24" s="162" t="e">
        <f>'Multi-Customer'!BD28</f>
        <v>#DIV/0!</v>
      </c>
      <c r="X24" s="139"/>
      <c r="Y24" s="139"/>
      <c r="Z24" s="139"/>
      <c r="AA24" s="139"/>
      <c r="AB24" s="292" t="str">
        <f t="shared" si="3"/>
        <v/>
      </c>
      <c r="AC24" s="163">
        <f t="shared" si="2"/>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491">
        <v>0</v>
      </c>
      <c r="C25" s="496"/>
      <c r="D25" s="1291" t="s">
        <v>479</v>
      </c>
      <c r="E25" s="492" t="s">
        <v>914</v>
      </c>
      <c r="F25" s="164" t="s">
        <v>90</v>
      </c>
      <c r="G25" s="522">
        <f>IFERROR('PIM Ranges'!AL27,0)</f>
        <v>0</v>
      </c>
      <c r="H25" s="523">
        <f>IFERROR('PIM Ranges'!AM27,0)</f>
        <v>0</v>
      </c>
      <c r="I25" s="524">
        <f>IFERROR('PIM Ranges'!AN27,0)</f>
        <v>0</v>
      </c>
      <c r="J25" s="319">
        <f t="shared" si="0"/>
        <v>0</v>
      </c>
      <c r="K25" s="623"/>
      <c r="L25" s="566" t="str">
        <f t="shared" si="1"/>
        <v/>
      </c>
      <c r="M25" s="621">
        <f>'Multi-Customer'!AN29</f>
        <v>0</v>
      </c>
      <c r="N25" s="161"/>
      <c r="O25" s="625">
        <f>ROUND(IF(D25="%",'Multi-Customer'!$K29,S25),2)</f>
        <v>0</v>
      </c>
      <c r="P25" s="625">
        <f>ROUND(IF(D25="%",IF($E$3="CIA",'Multi-Customer'!$S29,'Multi-Customer'!$L29),T25),2)</f>
        <v>0</v>
      </c>
      <c r="Q25" s="625">
        <f>ROUND(IF(D25="%",'Multi-Customer'!$M29,U25),2)</f>
        <v>0</v>
      </c>
      <c r="R25" s="1065"/>
      <c r="S25" s="787">
        <f>IF(G25&gt;0,'Multi-Customer'!$K29*'PIM Ranges'!$AP27,'Multi-Customer'!N29)</f>
        <v>0</v>
      </c>
      <c r="T25" s="787">
        <f>IF(G25&gt;0,'Multi-Customer'!$L29*'PIM Ranges'!$AP27,'Multi-Customer'!O29)</f>
        <v>0</v>
      </c>
      <c r="U25" s="787">
        <f>IF(G25&gt;0,'Multi-Customer'!$M29*'PIM Ranges'!$AP27,'Multi-Customer'!P29)</f>
        <v>0</v>
      </c>
      <c r="V25" s="139"/>
      <c r="W25" s="162" t="e">
        <f>'Multi-Customer'!BD29</f>
        <v>#DIV/0!</v>
      </c>
      <c r="X25" s="139"/>
      <c r="Y25" s="139"/>
      <c r="Z25" s="139"/>
      <c r="AA25" s="139"/>
      <c r="AB25" s="292" t="str">
        <f t="shared" si="3"/>
        <v/>
      </c>
      <c r="AC25" s="163">
        <f t="shared" si="2"/>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491">
        <v>0</v>
      </c>
      <c r="C26" s="496"/>
      <c r="D26" s="1291" t="s">
        <v>479</v>
      </c>
      <c r="E26" s="492" t="s">
        <v>914</v>
      </c>
      <c r="F26" s="164" t="s">
        <v>89</v>
      </c>
      <c r="G26" s="522">
        <f>IFERROR('PIM Ranges'!AL28,0)</f>
        <v>0</v>
      </c>
      <c r="H26" s="523">
        <f>IFERROR('PIM Ranges'!AM28,0)</f>
        <v>0</v>
      </c>
      <c r="I26" s="524">
        <f>IFERROR('PIM Ranges'!AN28,0)</f>
        <v>0</v>
      </c>
      <c r="J26" s="319">
        <f t="shared" si="0"/>
        <v>0</v>
      </c>
      <c r="K26" s="623"/>
      <c r="L26" s="566" t="str">
        <f t="shared" si="1"/>
        <v/>
      </c>
      <c r="M26" s="621">
        <f>'Multi-Customer'!AN30</f>
        <v>0</v>
      </c>
      <c r="N26" s="161"/>
      <c r="O26" s="625">
        <f>ROUND(IF(D26="%",'Multi-Customer'!$K30,S26),2)</f>
        <v>0</v>
      </c>
      <c r="P26" s="625">
        <f>ROUND(IF(D26="%",IF($E$3="CIA",'Multi-Customer'!$S30,'Multi-Customer'!$L30),T26),2)</f>
        <v>0</v>
      </c>
      <c r="Q26" s="625">
        <f>ROUND(IF(D26="%",'Multi-Customer'!$M30,U26),2)</f>
        <v>0</v>
      </c>
      <c r="R26" s="1065"/>
      <c r="S26" s="787">
        <f>IF(G26&gt;0,'Multi-Customer'!$K30*'PIM Ranges'!$AP28,'Multi-Customer'!N30)</f>
        <v>0</v>
      </c>
      <c r="T26" s="787">
        <f>IF(G26&gt;0,'Multi-Customer'!$L30*'PIM Ranges'!$AP28,'Multi-Customer'!O30)</f>
        <v>0</v>
      </c>
      <c r="U26" s="787">
        <f>IF(G26&gt;0,'Multi-Customer'!$M30*'PIM Ranges'!$AP28,'Multi-Customer'!P30)</f>
        <v>0</v>
      </c>
      <c r="V26" s="139"/>
      <c r="W26" s="162" t="e">
        <f>'Multi-Customer'!BD30</f>
        <v>#DIV/0!</v>
      </c>
      <c r="X26" s="139"/>
      <c r="Y26" s="139"/>
      <c r="Z26" s="139"/>
      <c r="AA26" s="139"/>
      <c r="AB26" s="292" t="str">
        <f t="shared" si="3"/>
        <v/>
      </c>
      <c r="AC26" s="163">
        <f t="shared" si="2"/>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491">
        <v>0</v>
      </c>
      <c r="C27" s="496"/>
      <c r="D27" s="1291" t="s">
        <v>479</v>
      </c>
      <c r="E27" s="492" t="s">
        <v>914</v>
      </c>
      <c r="F27" s="164" t="s">
        <v>94</v>
      </c>
      <c r="G27" s="522">
        <f>IFERROR('PIM Ranges'!AL29,0)</f>
        <v>0</v>
      </c>
      <c r="H27" s="523">
        <f>IFERROR('PIM Ranges'!AM29,0)</f>
        <v>0</v>
      </c>
      <c r="I27" s="524">
        <f>IFERROR('PIM Ranges'!AN29,0)</f>
        <v>0</v>
      </c>
      <c r="J27" s="319">
        <f>IF($E$3="CIA",IF($D27="%",$P27*$G27,$P27*$H27),IF($D27="%",$K27*$G27,$K27*H27))</f>
        <v>0</v>
      </c>
      <c r="K27" s="623"/>
      <c r="L27" s="566" t="str">
        <f>IF(K27&lt;0,"X",IF($E$3="CIA","",IF(K27="","",IF(K27&lt;O27,"L",IF(K27&gt;Q27,"X","")))))</f>
        <v/>
      </c>
      <c r="M27" s="621">
        <f>'Multi-Customer'!AN31</f>
        <v>0</v>
      </c>
      <c r="N27" s="161"/>
      <c r="O27" s="625">
        <f>ROUND(IF(D27="%",'Multi-Customer'!$K31,S27),2)</f>
        <v>0</v>
      </c>
      <c r="P27" s="625">
        <f>ROUND(IF(D27="%",IF($E$3="CIA",'Multi-Customer'!$S31,'Multi-Customer'!$L31),T27),2)</f>
        <v>0</v>
      </c>
      <c r="Q27" s="625">
        <f>ROUND(IF(D27="%",'Multi-Customer'!$M31,U27),2)</f>
        <v>0</v>
      </c>
      <c r="R27" s="1065"/>
      <c r="S27" s="787">
        <f>IF(G27&gt;0,'Multi-Customer'!$K31*'PIM Ranges'!$AO29,'Multi-Customer'!N31)</f>
        <v>0</v>
      </c>
      <c r="T27" s="787">
        <f>IF(G27&gt;0,'Multi-Customer'!$L31*'PIM Ranges'!$AO29,'Multi-Customer'!O31)</f>
        <v>0</v>
      </c>
      <c r="U27" s="787">
        <f>IF(G27&gt;0,'Multi-Customer'!$M31*'PIM Ranges'!$AO29,'Multi-Customer'!P31)</f>
        <v>0</v>
      </c>
      <c r="V27" s="139"/>
      <c r="W27" s="162" t="e">
        <f>'Multi-Customer'!BD31</f>
        <v>#DIV/0!</v>
      </c>
      <c r="X27" s="139"/>
      <c r="Y27" s="139"/>
      <c r="Z27" s="139"/>
      <c r="AA27" s="139"/>
      <c r="AB27" s="292" t="str">
        <f t="shared" si="3"/>
        <v/>
      </c>
      <c r="AC27" s="163">
        <f t="shared" si="2"/>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491">
        <v>0</v>
      </c>
      <c r="C28" s="496"/>
      <c r="D28" s="1295" t="s">
        <v>479</v>
      </c>
      <c r="E28" s="492" t="s">
        <v>914</v>
      </c>
      <c r="F28" s="164" t="s">
        <v>86</v>
      </c>
      <c r="G28" s="522">
        <f>IFERROR('PIM Ranges'!AL30,0)</f>
        <v>0</v>
      </c>
      <c r="H28" s="523">
        <f>IFERROR('PIM Ranges'!AM30,0)</f>
        <v>0</v>
      </c>
      <c r="I28" s="524">
        <f>IFERROR('PIM Ranges'!AN30,0)</f>
        <v>0</v>
      </c>
      <c r="J28" s="319">
        <f>IF($E$3="CIA",IF($D28="%",$P28*$G28,$P28*$I28),IF($D28="%",$K28*$G28,$K28*I28))</f>
        <v>0</v>
      </c>
      <c r="K28" s="623"/>
      <c r="L28" s="566" t="str">
        <f>IF($E$3="CIA","",IF(K28="","",IF(K28&lt;O28,"X",IF(K28&gt;Q28,"X",""))))</f>
        <v/>
      </c>
      <c r="M28" s="621">
        <f>'Multi-Customer'!AN32</f>
        <v>0</v>
      </c>
      <c r="N28" s="161"/>
      <c r="O28" s="625">
        <f>ROUND(IF(D28="%",'Multi-Customer'!$K32,S28),2)</f>
        <v>0</v>
      </c>
      <c r="P28" s="625">
        <f>ROUND(IF(D28="%",IF($E$3="CIA",'Multi-Customer'!$S32,'Multi-Customer'!$L32),T28),2)</f>
        <v>0</v>
      </c>
      <c r="Q28" s="625">
        <f>ROUND(IF(D28="%",'Multi-Customer'!$M32,U28),2)</f>
        <v>0</v>
      </c>
      <c r="R28" s="1065"/>
      <c r="S28" s="625"/>
      <c r="T28" s="625"/>
      <c r="U28" s="625"/>
      <c r="V28" s="139"/>
      <c r="W28" s="162" t="e">
        <f>'Multi-Customer'!BD32</f>
        <v>#DIV/0!</v>
      </c>
      <c r="X28" s="139"/>
      <c r="Y28" s="139"/>
      <c r="Z28" s="139"/>
      <c r="AA28" s="139"/>
      <c r="AB28" s="292" t="str">
        <f t="shared" si="3"/>
        <v/>
      </c>
      <c r="AC28" s="163">
        <f t="shared" si="2"/>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491">
        <v>0</v>
      </c>
      <c r="C29" s="496"/>
      <c r="D29" s="1292" t="s">
        <v>479</v>
      </c>
      <c r="E29" s="492" t="s">
        <v>914</v>
      </c>
      <c r="F29" s="164" t="s">
        <v>88</v>
      </c>
      <c r="G29" s="522">
        <f>IFERROR('PIM Ranges'!AL31,0)</f>
        <v>0</v>
      </c>
      <c r="H29" s="523">
        <f>IFERROR('PIM Ranges'!AM31,0)</f>
        <v>0</v>
      </c>
      <c r="I29" s="524">
        <f>IFERROR('PIM Ranges'!AN31,0)</f>
        <v>0</v>
      </c>
      <c r="J29" s="319">
        <f>IF($E$3="CIA",IF($D29="%",$P29*$G29,$P29*$I29),IF($D29="%",$K29*$G29,$K29*I29))</f>
        <v>0</v>
      </c>
      <c r="K29" s="623"/>
      <c r="L29" s="566" t="str">
        <f>IF($E$3="CIA","",IF(K29="","",IF(K29&lt;O29,"X",IF(K29&gt;Q29,"X",""))))</f>
        <v/>
      </c>
      <c r="M29" s="621">
        <f>'Multi-Customer'!AN33</f>
        <v>0</v>
      </c>
      <c r="N29" s="161"/>
      <c r="O29" s="625">
        <f>ROUND(IF(D29="%",'Multi-Customer'!$K33,S29),2)</f>
        <v>0</v>
      </c>
      <c r="P29" s="625">
        <f>ROUND(IF(D29="%",IF($E$3="CIA",'Multi-Customer'!$S33,'Multi-Customer'!$L33),T29),2)</f>
        <v>0</v>
      </c>
      <c r="Q29" s="625">
        <f>ROUND(IF(D29="%",'Multi-Customer'!$M33,U29),2)</f>
        <v>0</v>
      </c>
      <c r="R29" s="1065"/>
      <c r="S29" s="787">
        <f>IF(G29&gt;0,'Multi-Customer'!$K33*'PIM Ranges'!$AP31,'Multi-Customer'!N33)</f>
        <v>0</v>
      </c>
      <c r="T29" s="787">
        <f>IF(G29&gt;0,'Multi-Customer'!$L33*'PIM Ranges'!$AP31,'Multi-Customer'!O33)</f>
        <v>0</v>
      </c>
      <c r="U29" s="787">
        <f>IF(G29&gt;0,'Multi-Customer'!$M33*'PIM Ranges'!$AP31,'Multi-Customer'!P33)</f>
        <v>0</v>
      </c>
      <c r="V29" s="139"/>
      <c r="W29" s="162" t="e">
        <f>'Multi-Customer'!BD33</f>
        <v>#DIV/0!</v>
      </c>
      <c r="X29" s="139"/>
      <c r="Y29" s="139"/>
      <c r="Z29" s="139"/>
      <c r="AA29" s="139"/>
      <c r="AB29" s="292" t="str">
        <f t="shared" si="3"/>
        <v/>
      </c>
      <c r="AC29" s="163">
        <f t="shared" si="2"/>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493">
        <v>0</v>
      </c>
      <c r="C30" s="497"/>
      <c r="D30" s="1293" t="s">
        <v>479</v>
      </c>
      <c r="E30" s="494" t="s">
        <v>914</v>
      </c>
      <c r="F30" s="165" t="s">
        <v>87</v>
      </c>
      <c r="G30" s="522">
        <f>IFERROR('PIM Ranges'!AL32,0)</f>
        <v>0</v>
      </c>
      <c r="H30" s="523">
        <f>IFERROR('PIM Ranges'!AM32,0)</f>
        <v>0</v>
      </c>
      <c r="I30" s="525">
        <f>IFERROR('PIM Ranges'!AN32,0)</f>
        <v>0</v>
      </c>
      <c r="J30" s="319">
        <f>IF($E$3="CIA",IF($D30="%",$P30*$G30,$P30*$I30),IF($D30="%",$K30*$G30,$K30*I30))</f>
        <v>0</v>
      </c>
      <c r="K30" s="624"/>
      <c r="L30" s="566" t="str">
        <f>IF($E$3="CIA","",IF(K30="","",IF(K30&lt;O30,"X",IF(K30&gt;Q30,"X",""))))</f>
        <v/>
      </c>
      <c r="M30" s="622">
        <f>'Multi-Customer'!AN34</f>
        <v>0</v>
      </c>
      <c r="N30" s="161"/>
      <c r="O30" s="625">
        <f>ROUND(IF(D30="%",'Multi-Customer'!$K34,S30),2)</f>
        <v>0</v>
      </c>
      <c r="P30" s="625">
        <f>ROUND(IF(D30="%",IF($E$3="CIA",'Multi-Customer'!$S34,'Multi-Customer'!$L34),T30),2)</f>
        <v>0</v>
      </c>
      <c r="Q30" s="625">
        <f>ROUND(IF(D30="%",'Multi-Customer'!$M34,U30),2)</f>
        <v>0</v>
      </c>
      <c r="R30" s="1065"/>
      <c r="S30" s="787">
        <f>IF(G30&gt;0,'Multi-Customer'!$K34*'PIM Ranges'!$AP32,'Multi-Customer'!N34)</f>
        <v>0</v>
      </c>
      <c r="T30" s="787">
        <f>IF(G30&gt;0,'Multi-Customer'!$L34*'PIM Ranges'!$AP32,'Multi-Customer'!O34)</f>
        <v>0</v>
      </c>
      <c r="U30" s="787">
        <f>IF(G30&gt;0,'Multi-Customer'!$M34*'PIM Ranges'!$AP32,'Multi-Customer'!P34)</f>
        <v>0</v>
      </c>
      <c r="V30" s="139"/>
      <c r="W30" s="162" t="e">
        <f>'Multi-Customer'!BD34</f>
        <v>#DIV/0!</v>
      </c>
      <c r="X30" s="139"/>
      <c r="Y30" s="139"/>
      <c r="Z30" s="139"/>
      <c r="AA30" s="139"/>
      <c r="AB30" s="292" t="str">
        <f t="shared" si="3"/>
        <v/>
      </c>
      <c r="AC30" s="163">
        <f t="shared" si="2"/>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Inputs'!$P$27</f>
        <v>0</v>
      </c>
      <c r="H31" s="168">
        <f>SUM(H10:H30)</f>
        <v>0</v>
      </c>
      <c r="I31" s="169">
        <f>SUM(I10:I30)</f>
        <v>0</v>
      </c>
      <c r="J31" s="320">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817" t="s">
        <v>119</v>
      </c>
      <c r="H33" s="1818"/>
      <c r="I33" s="368">
        <f>IF($E$3="MDA",'PIM Ranges'!$AZ$7,'PIM Ranges'!$BL$7)</f>
        <v>8.8999999999999996E-2</v>
      </c>
      <c r="J33" s="134"/>
      <c r="K33" s="1819" t="str">
        <f>IF(COUNTIF($AB$10:$AB$30,"ERROR")&lt;1,"",IF(COUNTIF($AB$10:$AB$30,"ERROR")&lt;2,(COUNTIF($AB$10:$AB$30,"ERROR")&amp;" Margin Missing Above"),(COUNTIF($AB$10:$AB$30,"ERROR")&amp;" Margins Missing Above")))</f>
        <v/>
      </c>
      <c r="L33" s="1819" t="str">
        <f>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812" t="s">
        <v>488</v>
      </c>
      <c r="H34" s="1813"/>
      <c r="I34" s="364">
        <f>J31</f>
        <v>0</v>
      </c>
      <c r="J34" s="134"/>
      <c r="K34" s="1819" t="str">
        <f>IF(COUNTIFS($L$10:$L$30,"X",$AF$10:$AF$30,"BELOW")&lt;1,"",IF(COUNTIFS($L$10:$L$30,"X",$AF$10:$AF$30,"BELOW")&lt;2,(COUNTIFS($L$10:$L$30,"X",$AF$10:$AF$30,"BELOW")&amp;" Margin Below Minimum"),(COUNTIFS($L$10:$L$30,"X",$AF$10:$AF$30,"BELOW")&amp;" Margins Below Minimum")))</f>
        <v/>
      </c>
      <c r="L34" s="1819"/>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812" t="s">
        <v>1249</v>
      </c>
      <c r="H35" s="1813"/>
      <c r="I35" s="1491" t="str">
        <f>IFERROR(I34/G31,"")</f>
        <v/>
      </c>
      <c r="K35" s="1819" t="str">
        <f>IF(COUNTIFS($L$10:$L$30,"X",$AF$10:$AF$30,"ABOVE")&lt;1,"",IF(COUNTIFS($L$10:$L$30,"X",$AF$10:$AF$30,"ABOVE")&lt;2,(COUNTIFS($L$10:$L$30,"X",$AF$10:$AF$30,"ABOVE")&amp;" Margin Above Maximum"),(COUNTIFS($L$10:$L$30,"X",$AF$10:$AF$30,"ABOVE")&amp;" Margins Above Maximum")))</f>
        <v/>
      </c>
      <c r="L35" s="1819"/>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812"/>
      <c r="H36" s="1813"/>
      <c r="I36" s="365"/>
      <c r="J36" s="134"/>
      <c r="K36" s="377">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812" t="str">
        <f>IFERROR(IF(I35&gt;I33,"","Below Recommended TAGP: "),"")</f>
        <v/>
      </c>
      <c r="H37" s="1813"/>
      <c r="I37" s="365"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812"/>
      <c r="H38" s="1813"/>
      <c r="I38" s="365"/>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812" t="s">
        <v>1250</v>
      </c>
      <c r="H39" s="1813"/>
      <c r="I39" s="366">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814" t="s">
        <v>489</v>
      </c>
      <c r="H40" s="1815"/>
      <c r="I40" s="367">
        <f>IFERROR($I$34/(52*$E$6*$K$40),0)</f>
        <v>0</v>
      </c>
      <c r="J40" s="134"/>
      <c r="K40" s="462" t="str">
        <f>Welcome!$D$18</f>
        <v>Select # of Locations</v>
      </c>
      <c r="L40" s="139"/>
      <c r="M40" s="139"/>
      <c r="N40" s="139"/>
      <c r="O40" s="139"/>
      <c r="P40" s="139"/>
      <c r="Q40" s="1066"/>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396"/>
      <c r="J41" s="134"/>
      <c r="K41" s="669"/>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669"/>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816"/>
      <c r="G52" s="1816"/>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816"/>
      <c r="G53" s="1816"/>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816"/>
      <c r="G54" s="1816"/>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sheetProtection algorithmName="SHA-512" hashValue="qCQbnhSoW12ArIWpacc6tgJ3VFTqXzSZvvdg6EiA42XlAwWlJSem16sFqp13wz6zFv3eAyUkcODlul/xrVgbDQ==" saltValue="HueXpRRC68gWCJtcRc7YOw==" spinCount="100000" sheet="1" objects="1" scenarios="1"/>
  <mergeCells count="19">
    <mergeCell ref="H4:K4"/>
    <mergeCell ref="H3:K3"/>
    <mergeCell ref="H5:K5"/>
    <mergeCell ref="H6:K6"/>
    <mergeCell ref="H7:K7"/>
    <mergeCell ref="G38:H38"/>
    <mergeCell ref="G33:H33"/>
    <mergeCell ref="G34:H34"/>
    <mergeCell ref="G35:H35"/>
    <mergeCell ref="K34:L34"/>
    <mergeCell ref="G36:H36"/>
    <mergeCell ref="G37:H37"/>
    <mergeCell ref="K33:L33"/>
    <mergeCell ref="K35:L35"/>
    <mergeCell ref="G39:H39"/>
    <mergeCell ref="G40:H40"/>
    <mergeCell ref="F52:G52"/>
    <mergeCell ref="F53:G53"/>
    <mergeCell ref="F54:G54"/>
  </mergeCells>
  <conditionalFormatting sqref="B10:J30">
    <cfRule type="expression" dxfId="1295" priority="44">
      <formula>$E10="EXCLUDE"</formula>
    </cfRule>
  </conditionalFormatting>
  <conditionalFormatting sqref="O8:O9">
    <cfRule type="expression" dxfId="1294" priority="46">
      <formula>$E$3="CIA"</formula>
    </cfRule>
  </conditionalFormatting>
  <conditionalFormatting sqref="Q8:Q9">
    <cfRule type="expression" dxfId="1293" priority="45">
      <formula>$E$3="CIA"</formula>
    </cfRule>
  </conditionalFormatting>
  <conditionalFormatting sqref="K9:K30">
    <cfRule type="expression" dxfId="1292" priority="35">
      <formula>$E$3="CIA"</formula>
    </cfRule>
  </conditionalFormatting>
  <conditionalFormatting sqref="L10:L30">
    <cfRule type="expression" dxfId="1291" priority="36">
      <formula>$AF10="ABOVE"</formula>
    </cfRule>
  </conditionalFormatting>
  <conditionalFormatting sqref="I35">
    <cfRule type="expression" dxfId="1290" priority="106">
      <formula>$K$36&gt;0</formula>
    </cfRule>
    <cfRule type="expression" dxfId="1289" priority="107">
      <formula>$I$35&lt;$I$33</formula>
    </cfRule>
    <cfRule type="expression" dxfId="1288" priority="108">
      <formula>$I$35&gt;$I$33</formula>
    </cfRule>
  </conditionalFormatting>
  <conditionalFormatting sqref="D10:D30">
    <cfRule type="expression" dxfId="1287" priority="47">
      <formula>$E$3="CIA"</formula>
    </cfRule>
  </conditionalFormatting>
  <conditionalFormatting sqref="K27">
    <cfRule type="expression" dxfId="1286" priority="32">
      <formula>$K$27&lt;0</formula>
    </cfRule>
  </conditionalFormatting>
  <conditionalFormatting sqref="O10:Q30">
    <cfRule type="expression" dxfId="1285" priority="30">
      <formula>$D10&lt;&gt;"%"</formula>
    </cfRule>
  </conditionalFormatting>
  <conditionalFormatting sqref="O10:O30">
    <cfRule type="expression" dxfId="1284" priority="29">
      <formula>$E$3="CIA"</formula>
    </cfRule>
  </conditionalFormatting>
  <conditionalFormatting sqref="Q10:Q30">
    <cfRule type="expression" dxfId="1283" priority="28">
      <formula>$E$3="CIA"</formula>
    </cfRule>
  </conditionalFormatting>
  <conditionalFormatting sqref="S10:S13 S15:S30">
    <cfRule type="expression" dxfId="1282" priority="4">
      <formula>$E$3="CIA"</formula>
    </cfRule>
  </conditionalFormatting>
  <conditionalFormatting sqref="U10:U13 U15:U30">
    <cfRule type="expression" dxfId="1281" priority="3">
      <formula>$E$3="CIA"</formula>
    </cfRule>
  </conditionalFormatting>
  <conditionalFormatting sqref="S14">
    <cfRule type="expression" dxfId="1280" priority="2">
      <formula>$E$3="CIA"</formula>
    </cfRule>
  </conditionalFormatting>
  <conditionalFormatting sqref="U14">
    <cfRule type="expression" dxfId="1279" priority="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31" id="{7534485B-6161-40CE-8619-5F9B5CE06B84}">
            <xm:f>IF(AND(NOT(ISBLANK(Welcome!D10)),Welcome!$D$10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 D14</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N784"/>
  <sheetViews>
    <sheetView showGridLines="0" topLeftCell="A193" zoomScale="80" zoomScaleNormal="80" workbookViewId="0">
      <selection activeCell="E4" sqref="E4"/>
    </sheetView>
  </sheetViews>
  <sheetFormatPr defaultColWidth="8.85546875" defaultRowHeight="15" x14ac:dyDescent="0.25"/>
  <cols>
    <col min="1" max="1" width="3.5703125" style="795" customWidth="1"/>
    <col min="2" max="2" width="31.42578125" style="795" hidden="1" customWidth="1"/>
    <col min="3" max="3" width="31.42578125" style="1334" hidden="1" customWidth="1"/>
    <col min="4" max="4" width="26.28515625" style="877" customWidth="1"/>
    <col min="5" max="5" width="31.7109375" style="795" customWidth="1"/>
    <col min="6" max="6" width="9.85546875" style="795" customWidth="1"/>
    <col min="7" max="7" width="36.5703125" style="795" customWidth="1"/>
    <col min="8" max="8" width="4.85546875" style="795" customWidth="1"/>
    <col min="9" max="9" width="27.7109375" style="795" customWidth="1"/>
    <col min="10" max="10" width="4.85546875" style="795" customWidth="1"/>
    <col min="11" max="11" width="27.140625" style="795" customWidth="1"/>
    <col min="12" max="12" width="4.7109375" style="795" customWidth="1"/>
    <col min="13" max="13" width="29.85546875" style="795" customWidth="1"/>
    <col min="14" max="14" width="4.85546875" style="795" customWidth="1"/>
    <col min="15" max="15" width="22.7109375" style="795" customWidth="1"/>
    <col min="16" max="16" width="7" style="795" customWidth="1"/>
    <col min="17" max="17" width="2.85546875" style="795" customWidth="1"/>
    <col min="18" max="18" width="8" style="796" hidden="1" customWidth="1"/>
    <col min="19" max="19" width="31.85546875" style="795" hidden="1" customWidth="1"/>
    <col min="20" max="20" width="31.140625" style="795" hidden="1" customWidth="1"/>
    <col min="21" max="21" width="12.7109375" style="795" hidden="1" customWidth="1"/>
    <col min="22" max="22" width="8.42578125" style="795" hidden="1" customWidth="1"/>
    <col min="23" max="23" width="16.28515625" style="795" hidden="1" customWidth="1"/>
    <col min="24" max="24" width="26" style="795" hidden="1" customWidth="1"/>
    <col min="25" max="25" width="19.42578125" style="795" hidden="1" customWidth="1"/>
    <col min="26" max="26" width="18.42578125" style="795" hidden="1" customWidth="1"/>
    <col min="27" max="27" width="13" style="795" hidden="1" customWidth="1"/>
    <col min="28" max="28" width="22.42578125" style="795" hidden="1" customWidth="1"/>
    <col min="29" max="29" width="17.5703125" style="795" hidden="1" customWidth="1"/>
    <col min="30" max="30" width="17.28515625" style="795" hidden="1" customWidth="1"/>
    <col min="31" max="31" width="20.7109375" style="795" hidden="1" customWidth="1"/>
    <col min="32" max="32" width="31.140625" style="795" hidden="1" customWidth="1"/>
    <col min="33" max="33" width="20.5703125" style="795" hidden="1" customWidth="1"/>
    <col min="34" max="34" width="26.28515625" style="795" hidden="1" customWidth="1"/>
    <col min="35" max="35" width="33.7109375" style="795" hidden="1" customWidth="1"/>
    <col min="36" max="36" width="35.42578125" style="795" hidden="1" customWidth="1"/>
    <col min="37" max="37" width="26" style="795" hidden="1" customWidth="1"/>
    <col min="38" max="38" width="17.5703125" style="795" hidden="1" customWidth="1"/>
    <col min="39" max="39" width="22.85546875" style="795" hidden="1" customWidth="1"/>
    <col min="40" max="40" width="42.140625" style="795" hidden="1" customWidth="1"/>
    <col min="41" max="16384" width="8.85546875" style="795"/>
  </cols>
  <sheetData>
    <row r="1" spans="1:40" ht="5.45" customHeight="1" thickBot="1" x14ac:dyDescent="0.3">
      <c r="I1" s="1050"/>
      <c r="R1" s="945">
        <v>1</v>
      </c>
    </row>
    <row r="2" spans="1:40" s="796" customFormat="1" ht="22.5" customHeight="1" thickBot="1" x14ac:dyDescent="0.4">
      <c r="A2" s="798"/>
      <c r="B2" s="1386"/>
      <c r="C2" s="1335"/>
      <c r="D2" s="906" t="s">
        <v>1379</v>
      </c>
      <c r="E2" s="798"/>
      <c r="F2" s="173"/>
      <c r="G2" s="174"/>
      <c r="H2" s="798"/>
      <c r="I2" s="1386"/>
      <c r="J2" s="798"/>
      <c r="K2" s="798"/>
      <c r="L2" s="798"/>
      <c r="M2" s="798"/>
      <c r="N2" s="798"/>
      <c r="O2" s="798"/>
      <c r="P2" s="798"/>
      <c r="Q2" s="1067"/>
      <c r="R2" s="945">
        <v>1</v>
      </c>
      <c r="S2" s="176"/>
      <c r="T2" s="177"/>
      <c r="U2" s="177" t="s">
        <v>1684</v>
      </c>
      <c r="V2" s="177">
        <v>12</v>
      </c>
      <c r="W2" s="972" t="s">
        <v>2100</v>
      </c>
      <c r="X2" s="972" t="s">
        <v>1383</v>
      </c>
      <c r="Y2" s="972" t="s">
        <v>1380</v>
      </c>
      <c r="Z2" s="972" t="s">
        <v>1381</v>
      </c>
      <c r="AA2" s="972" t="s">
        <v>1397</v>
      </c>
      <c r="AB2" s="972" t="s">
        <v>2101</v>
      </c>
      <c r="AC2" s="972" t="s">
        <v>1387</v>
      </c>
      <c r="AD2" s="972" t="s">
        <v>1389</v>
      </c>
      <c r="AE2" s="972" t="s">
        <v>1396</v>
      </c>
      <c r="AF2" s="972" t="s">
        <v>1474</v>
      </c>
      <c r="AG2" s="259" t="s">
        <v>1475</v>
      </c>
      <c r="AH2" s="259" t="s">
        <v>1402</v>
      </c>
      <c r="AI2" s="259" t="s">
        <v>1135</v>
      </c>
      <c r="AJ2" s="259" t="s">
        <v>1480</v>
      </c>
      <c r="AK2" s="259" t="s">
        <v>1134</v>
      </c>
      <c r="AL2" s="259" t="s">
        <v>727</v>
      </c>
      <c r="AM2" s="259" t="s">
        <v>1482</v>
      </c>
      <c r="AN2" s="259" t="s">
        <v>2005</v>
      </c>
    </row>
    <row r="3" spans="1:40" s="796" customFormat="1" ht="18" customHeight="1" thickBot="1" x14ac:dyDescent="0.3">
      <c r="C3" s="1336"/>
      <c r="D3" s="433"/>
      <c r="G3" s="879" t="s">
        <v>1156</v>
      </c>
      <c r="H3" s="1863" t="str">
        <f>Welcome!$D$10</f>
        <v>Please Select</v>
      </c>
      <c r="I3" s="1864"/>
      <c r="J3" s="795"/>
      <c r="K3" s="879" t="s">
        <v>110</v>
      </c>
      <c r="L3" s="1865" t="str">
        <f>IFERROR(VLOOKUP($L$4,'Market Geography'!$D:$G,4,FALSE),"Select Market")</f>
        <v>Select Market</v>
      </c>
      <c r="M3" s="1866"/>
      <c r="N3" s="598"/>
      <c r="O3" s="598"/>
      <c r="P3" s="598"/>
      <c r="Q3" s="179"/>
      <c r="R3" s="944">
        <v>1</v>
      </c>
      <c r="S3" s="180"/>
      <c r="T3" s="177"/>
      <c r="U3" s="177" t="s">
        <v>1685</v>
      </c>
      <c r="V3" s="177">
        <v>26</v>
      </c>
      <c r="W3" s="972" t="str">
        <f>IF(E13="Yes","Volume 1","")</f>
        <v/>
      </c>
      <c r="X3" s="972" t="str">
        <f>IF($W3&lt;&gt;"",E14,"")</f>
        <v/>
      </c>
      <c r="Y3" s="972" t="str">
        <f>IF(AND($W3&lt;&gt;"",$X3&lt;&gt;"Please Select"),IF(G14="","Yes","No"),"No")</f>
        <v>No</v>
      </c>
      <c r="Z3" s="972" t="str">
        <f>IF(AND($W3&lt;&gt;"",$X3&lt;&gt;"Please Select"),IF(I14="","Yes","No"),"No")</f>
        <v>No</v>
      </c>
      <c r="AA3" s="972" t="str">
        <f>IF(AND($W3&lt;&gt;"",$X3&lt;&gt;"Please Select"),IF(K14="","Yes","No"),"No")</f>
        <v>No</v>
      </c>
      <c r="AB3" s="972" t="str">
        <f>IF(AND($W3&lt;&gt;"",AND(I14&lt;&gt;"Check",K14&lt;&gt;"Customer Units")),IF(M14="","Yes","No"),"No")</f>
        <v>No</v>
      </c>
      <c r="AC3" s="972" t="str">
        <f>IF(X3="Volume Incentive Tiered",IF(OR(G19="",G20=""),"Yes","No"),IF(X3="Volume Incentive Threshold",IF(G19="","Yes","No"),"No"))</f>
        <v>No</v>
      </c>
      <c r="AD3" s="972" t="str">
        <f>IF(OR(X3="Volume Incentive Threshold",X3="Volume Incentive Single Rate"),IF(K19="","Yes","No"),IF(X3="Volume Incentive Tiered",IF(OR(K19="",K20=""),"Yes",IF(AND(G21&lt;&gt;"",K21=""),"Yes",IF(AND(G22&lt;&gt;"",K22=""),"Yes",IF(AND(G23&lt;&gt;"",K23=""),"Yes","No")))),"No"))</f>
        <v>No</v>
      </c>
      <c r="AE3" s="177"/>
    </row>
    <row r="4" spans="1:40" s="796" customFormat="1" ht="18" customHeight="1" thickBot="1" x14ac:dyDescent="0.3">
      <c r="C4" s="1336"/>
      <c r="D4" s="800" t="s">
        <v>1472</v>
      </c>
      <c r="E4" s="1302" t="s">
        <v>646</v>
      </c>
      <c r="G4" s="880" t="s">
        <v>1157</v>
      </c>
      <c r="H4" s="1867" t="str">
        <f>Welcome!$D$16</f>
        <v>Select Term</v>
      </c>
      <c r="I4" s="1868"/>
      <c r="J4" s="181"/>
      <c r="K4" s="880" t="s">
        <v>840</v>
      </c>
      <c r="L4" s="1869">
        <f>Welcome!$D$4</f>
        <v>0</v>
      </c>
      <c r="M4" s="1870"/>
      <c r="N4" s="598"/>
      <c r="O4" s="598"/>
      <c r="P4" s="598"/>
      <c r="Q4" s="179"/>
      <c r="R4" s="944">
        <v>1</v>
      </c>
      <c r="S4" s="180"/>
      <c r="T4" s="177"/>
      <c r="U4" s="177" t="s">
        <v>1686</v>
      </c>
      <c r="V4" s="177">
        <v>40</v>
      </c>
      <c r="W4" s="972" t="str">
        <f>IF(E27="Yes","Volume 2","")</f>
        <v/>
      </c>
      <c r="X4" s="972" t="str">
        <f>IF($W4&lt;&gt;"",E28,"")</f>
        <v/>
      </c>
      <c r="Y4" s="972" t="str">
        <f>IF(AND($W4&lt;&gt;"",$X4&lt;&gt;"Please Select"),IF(G28="","Yes","No"),"No")</f>
        <v>No</v>
      </c>
      <c r="Z4" s="972" t="str">
        <f>IF(AND($W4&lt;&gt;"",$X4&lt;&gt;"Please Select"),IF(I28="","Yes","No"),"No")</f>
        <v>No</v>
      </c>
      <c r="AA4" s="972" t="str">
        <f>IF(AND($W4&lt;&gt;"",$X4&lt;&gt;"Please Select"),IF(K28="","Yes","No"),"No")</f>
        <v>No</v>
      </c>
      <c r="AB4" s="972" t="str">
        <f>IF(AND($W4&lt;&gt;"",AND(I28&lt;&gt;"Check",K28&lt;&gt;"Customer Units")),IF(M28="","Yes","No"),"No")</f>
        <v>No</v>
      </c>
      <c r="AC4" s="972" t="str">
        <f>IF(X4="Volume Incentive Tiered",IF(OR(G33="",G34=""),"Yes","No"),IF(X4="Volume Incentive Threshold",IF(G33="","Yes","No"),"No"))</f>
        <v>No</v>
      </c>
      <c r="AD4" s="972" t="str">
        <f>IF(OR(X4="Volume Incentive Threshold",X4="Volume Incentive Single Rate"),IF(K33="","Yes","No"),IF(X4="Volume Incentive Tiered",IF(OR(K33="",K34=""),"Yes",IF(AND(G35&lt;&gt;"",K35=""),"Yes",IF(AND(G36&lt;&gt;"",K36=""),"Yes",IF(AND(G37&lt;&gt;"",K37=""),"Yes","No")))),"No"))</f>
        <v>No</v>
      </c>
      <c r="AE4" s="177"/>
    </row>
    <row r="5" spans="1:40" s="796" customFormat="1" ht="18" customHeight="1" thickBot="1" x14ac:dyDescent="0.3">
      <c r="C5" s="1336"/>
      <c r="D5" s="897"/>
      <c r="E5" s="1032"/>
      <c r="G5" s="880" t="s">
        <v>1162</v>
      </c>
      <c r="H5" s="1871">
        <f>'PIM Model'!$G$31</f>
        <v>0</v>
      </c>
      <c r="I5" s="1872"/>
      <c r="J5" s="795"/>
      <c r="K5" s="880" t="s">
        <v>107</v>
      </c>
      <c r="L5" s="1869" t="str">
        <f>'Multi-Customer'!$S$49</f>
        <v>Enter Customer(s)</v>
      </c>
      <c r="M5" s="1870"/>
      <c r="N5" s="598"/>
      <c r="O5" s="598"/>
      <c r="P5" s="598"/>
      <c r="Q5" s="179"/>
      <c r="R5" s="944">
        <v>1</v>
      </c>
      <c r="S5" s="180"/>
      <c r="T5" s="177"/>
      <c r="U5" s="177" t="s">
        <v>1687</v>
      </c>
      <c r="V5" s="177">
        <v>54</v>
      </c>
      <c r="W5" s="972" t="str">
        <f>IF(E41="Yes","Volume 3","")</f>
        <v/>
      </c>
      <c r="X5" s="972" t="str">
        <f>IF($W5&lt;&gt;"",E42,"")</f>
        <v/>
      </c>
      <c r="Y5" s="972" t="str">
        <f>IF(AND($W5&lt;&gt;"",$X5&lt;&gt;"Please Select"),IF(G42="","Yes","No"),"No")</f>
        <v>No</v>
      </c>
      <c r="Z5" s="972" t="str">
        <f>IF(AND($W5&lt;&gt;"",$X5&lt;&gt;"Please Select"),IF(I42="","Yes","No"),"No")</f>
        <v>No</v>
      </c>
      <c r="AA5" s="972" t="str">
        <f>IF(AND($W5&lt;&gt;"",$X5&lt;&gt;"Please Select"),IF(K42="","Yes","No"),"No")</f>
        <v>No</v>
      </c>
      <c r="AB5" s="972" t="str">
        <f>IF(AND($W5&lt;&gt;"",AND(I42&lt;&gt;"Check",K42&lt;&gt;"Customer Units")),IF(M42="","Yes","No"),"No")</f>
        <v>No</v>
      </c>
      <c r="AC5" s="972" t="str">
        <f>IF(X5="Volume Incentive Tiered",IF(OR(G47="",G48=""),"Yes","No"),IF(X5="Volume Incentive Threshold",IF(G47="","Yes","No"),"No"))</f>
        <v>No</v>
      </c>
      <c r="AD5" s="972" t="str">
        <f>IF(OR(X5="Volume Incentive Threshold",X5="Volume Incentive Single Rate"),IF(K47="","Yes","No"),IF(X5="Volume Incentive Tiered",IF(OR(K47="",K48=""),"Yes",IF(AND(G49&lt;&gt;"",K49=""),"Yes",IF(AND(G50&lt;&gt;"",K50=""),"Yes",IF(AND(G51&lt;&gt;"",K51=""),"Yes","No")))),"No"))</f>
        <v>No</v>
      </c>
      <c r="AE5" s="177"/>
    </row>
    <row r="6" spans="1:40" s="796" customFormat="1" ht="18" customHeight="1" thickBot="1" x14ac:dyDescent="0.3">
      <c r="C6" s="1336"/>
      <c r="D6" s="801" t="s">
        <v>2035</v>
      </c>
      <c r="E6" s="821" t="s">
        <v>648</v>
      </c>
      <c r="G6" s="880" t="s">
        <v>1163</v>
      </c>
      <c r="H6" s="1873">
        <f>'Variable Costs (Back)'!$K$36</f>
        <v>0</v>
      </c>
      <c r="I6" s="1874"/>
      <c r="J6" s="795"/>
      <c r="K6" s="880" t="s">
        <v>1170</v>
      </c>
      <c r="L6" s="1869" t="str">
        <f>'Multi-Customer'!$AH$40</f>
        <v>MULTIPLE TYPES</v>
      </c>
      <c r="M6" s="1870"/>
      <c r="N6" s="598"/>
      <c r="O6" s="598"/>
      <c r="P6" s="598"/>
      <c r="Q6" s="179"/>
      <c r="R6" s="944">
        <v>1</v>
      </c>
      <c r="S6" s="180"/>
      <c r="T6" s="177"/>
      <c r="U6" s="177" t="s">
        <v>1688</v>
      </c>
      <c r="V6" s="177">
        <v>68</v>
      </c>
      <c r="W6" s="972" t="str">
        <f>IF(E55="Yes","DS 1","")</f>
        <v/>
      </c>
      <c r="X6" s="972" t="str">
        <f>IF($W6&lt;&gt;"",E56,"")</f>
        <v/>
      </c>
      <c r="Y6" s="972" t="str">
        <f>IF(AND($W6&lt;&gt;"",$X6&lt;&gt;"Please Select"),IF(G56="","Yes","No"),"No")</f>
        <v>No</v>
      </c>
      <c r="Z6" s="972" t="str">
        <f>IF(AND($W6&lt;&gt;"",$X6&lt;&gt;"Please Select"),IF(I56="","Yes","No"),"No")</f>
        <v>No</v>
      </c>
      <c r="AA6" s="972" t="str">
        <f>IF(AND($W6&lt;&gt;"",$X6&lt;&gt;"Please Select"),IF(K56="","Yes","No"),"No")</f>
        <v>No</v>
      </c>
      <c r="AB6" s="972" t="str">
        <f>IF(AND($W6&lt;&gt;"",AND(I56&lt;&gt;"Check",K56&lt;&gt;"Customer Units")),IF(M56="","Yes","No"),"No")</f>
        <v>No</v>
      </c>
      <c r="AC6" s="972" t="str">
        <f>IF(X6="DS Tiered Average Invoice Dollar Qualifier",IF(OR(G61="",G62=""),"Yes","No"),IF(X6="DS Threshold Average Invoice Dollar Qualifier",IF(G61="","Yes","No"),"No"))</f>
        <v>No</v>
      </c>
      <c r="AD6" s="972" t="str">
        <f>IF(X6="DS Threshold Average Invoice Dollar Qualifier",IF(K61="","Yes","No"),IF(X6="DS Tiered Average Invoice Dollar Qualifier",IF(OR(K61="",K62=""),"Yes",IF(AND(G63&lt;&gt;"",K63=""),"Yes",IF(AND(G64&lt;&gt;"",K64=""),"Yes",IF(AND(G65&lt;&gt;"",K65=""),"Yes","No")))),"No"))</f>
        <v>No</v>
      </c>
      <c r="AE6" s="177"/>
    </row>
    <row r="7" spans="1:40" s="796" customFormat="1" ht="15.75" thickBot="1" x14ac:dyDescent="0.3">
      <c r="C7" s="1336"/>
      <c r="D7" s="433"/>
      <c r="E7" s="1033"/>
      <c r="G7" s="881" t="s">
        <v>1164</v>
      </c>
      <c r="H7" s="1875">
        <f>IFERROR('PIM Ranges'!$AW$3,0)</f>
        <v>0</v>
      </c>
      <c r="I7" s="1876"/>
      <c r="J7" s="795"/>
      <c r="K7" s="881" t="s">
        <v>1165</v>
      </c>
      <c r="L7" s="1877" t="s">
        <v>206</v>
      </c>
      <c r="M7" s="1878"/>
      <c r="N7" s="802"/>
      <c r="O7" s="802"/>
      <c r="P7" s="802"/>
      <c r="Q7" s="179"/>
      <c r="R7" s="944">
        <v>1</v>
      </c>
      <c r="S7" s="180"/>
      <c r="T7" s="177"/>
      <c r="U7" s="177" t="s">
        <v>1689</v>
      </c>
      <c r="V7" s="177">
        <v>82</v>
      </c>
      <c r="W7" s="972" t="str">
        <f>IF(E69="Yes","DS 2","")</f>
        <v/>
      </c>
      <c r="X7" s="972" t="str">
        <f>IF($W7&lt;&gt;"",E70,"")</f>
        <v/>
      </c>
      <c r="Y7" s="972" t="str">
        <f>IF(AND($W7&lt;&gt;"",$X7&lt;&gt;"Please Select"),IF(G70="","Yes","No"),"No")</f>
        <v>No</v>
      </c>
      <c r="Z7" s="972" t="str">
        <f>IF(AND($W7&lt;&gt;"",$X7&lt;&gt;"Please Select"),IF(I70="","Yes","No"),"No")</f>
        <v>No</v>
      </c>
      <c r="AA7" s="972" t="str">
        <f>IF(AND($W7&lt;&gt;"",$X7&lt;&gt;"Please Select"),IF(K70="","Yes","No"),"No")</f>
        <v>No</v>
      </c>
      <c r="AB7" s="972" t="str">
        <f>IF(AND($W7&lt;&gt;"",AND(I70&lt;&gt;"Check",K70&lt;&gt;"Customer Units")),IF(M70="","Yes","No"),"No")</f>
        <v>No</v>
      </c>
      <c r="AC7" s="972" t="str">
        <f>IF(X7="DS Tiered Average Invoice Dollar Qualifier",IF(OR(G75="",G76=""),"Yes","No"),IF(X7="DS Threshold Average Invoice Dollar Qualifier",IF(G75="","Yes","No"),"No"))</f>
        <v>No</v>
      </c>
      <c r="AD7" s="972" t="str">
        <f>IF(X7="DS Threshold Average Invoice Dollar Qualifier",IF(K75="","Yes","No"),IF(X7="DS Tiered Average Invoice Dollar Qualifier",IF(OR(K75="",K76=""),"Yes",IF(AND(G77&lt;&gt;"",K77=""),"Yes",IF(AND(G78&lt;&gt;"",K78=""),"Yes",IF(AND(G79&lt;&gt;"",K79=""),"Yes","No")))),"No"))</f>
        <v>No</v>
      </c>
      <c r="AE7" s="177"/>
    </row>
    <row r="8" spans="1:40" s="796" customFormat="1" ht="18" customHeight="1" thickBot="1" x14ac:dyDescent="0.3">
      <c r="C8" s="1336"/>
      <c r="D8" s="1881" t="s">
        <v>1776</v>
      </c>
      <c r="E8" s="1883" t="str">
        <f>IF('Incentive Helper'!E2="Yes",'Incentive Helper'!F2,"")</f>
        <v/>
      </c>
      <c r="F8" s="136"/>
      <c r="I8" s="177"/>
      <c r="J8" s="177"/>
      <c r="K8" s="177"/>
      <c r="L8" s="177"/>
      <c r="M8" s="177"/>
      <c r="N8" s="177"/>
      <c r="O8" s="177"/>
      <c r="P8" s="177"/>
      <c r="Q8" s="182"/>
      <c r="R8" s="944">
        <v>1</v>
      </c>
      <c r="S8" s="180"/>
      <c r="T8" s="177"/>
      <c r="U8" s="177" t="s">
        <v>1690</v>
      </c>
      <c r="V8" s="177">
        <v>96</v>
      </c>
      <c r="W8" s="972" t="str">
        <f>IF(E83="Yes","EB 1","")</f>
        <v/>
      </c>
      <c r="X8" s="972" t="str">
        <f>IF($W8&lt;&gt;"",E84,"")</f>
        <v/>
      </c>
      <c r="Y8" s="972" t="str">
        <f>IF(AND($W8&lt;&gt;"",$X8&lt;&gt;"Please Select"),IF(G84="","Yes","No"),"No")</f>
        <v>No</v>
      </c>
      <c r="Z8" s="972" t="str">
        <f>IF(AND($W8&lt;&gt;"",$X8&lt;&gt;"Please Select"),IF(I84="","Yes","No"),"No")</f>
        <v>No</v>
      </c>
      <c r="AA8" s="972" t="str">
        <f>IF(AND($W8&lt;&gt;"",$X8&lt;&gt;"Please Select"),IF(K84="","Yes","No"),"No")</f>
        <v>No</v>
      </c>
      <c r="AB8" s="972" t="str">
        <f>IF(AND($W8&lt;&gt;"",AND(I84&lt;&gt;"Check",K84&lt;&gt;"Customer Units")),IF(M84="","Yes","No"),"No")</f>
        <v>No</v>
      </c>
      <c r="AC8" s="972" t="str">
        <f>IF(X8="EB Tiered Percent Qualifier",IF(OR(G89="",G90=""),"Yes","No"),IF(X8="EB Threshold Percent Qualifier",IF(G89="","Yes","No"),"No"))</f>
        <v>No</v>
      </c>
      <c r="AD8" s="972" t="str">
        <f>IF(OR(X8="EB Threshold Percent Qualifier",X8="EB Single Rate"),IF(K89="","Yes","No"),IF(X8="EB Tiered Percent Qualifier",IF(OR(K89="",K90=""),"Yes",IF(AND(G91&lt;&gt;"",K91=""),"Yes",IF(AND(G92&lt;&gt;"",K92=""),"Yes",IF(AND(G93&lt;&gt;"",K93=""),"Yes","No")))),"No"))</f>
        <v>No</v>
      </c>
      <c r="AE8" s="177"/>
    </row>
    <row r="9" spans="1:40" s="796" customFormat="1" ht="16.5" customHeight="1" thickBot="1" x14ac:dyDescent="0.3">
      <c r="C9" s="1336"/>
      <c r="D9" s="1882"/>
      <c r="E9" s="1884"/>
      <c r="F9" s="136"/>
      <c r="G9" s="882" t="s">
        <v>849</v>
      </c>
      <c r="H9" s="1879">
        <f>IFERROR('PIM Model'!$G$31,0)</f>
        <v>0</v>
      </c>
      <c r="I9" s="1880"/>
      <c r="L9" s="177"/>
      <c r="M9" s="177"/>
      <c r="N9" s="177"/>
      <c r="O9" s="177"/>
      <c r="P9" s="177"/>
      <c r="Q9" s="182"/>
      <c r="R9" s="944">
        <v>1</v>
      </c>
      <c r="S9" s="180"/>
      <c r="T9" s="177"/>
      <c r="U9" s="177" t="s">
        <v>1691</v>
      </c>
      <c r="V9" s="177">
        <v>110</v>
      </c>
      <c r="W9" s="972" t="str">
        <f>IF(E97="Yes","EB 2","")</f>
        <v/>
      </c>
      <c r="X9" s="972" t="str">
        <f>IF($W9&lt;&gt;"",E98,"")</f>
        <v/>
      </c>
      <c r="Y9" s="972" t="str">
        <f>IF(AND($W9&lt;&gt;"",$X9&lt;&gt;"Please Select"),IF(G98="","Yes","No"),"No")</f>
        <v>No</v>
      </c>
      <c r="Z9" s="972" t="str">
        <f>IF(AND($W9&lt;&gt;"",$X9&lt;&gt;"Please Select"),IF(I98="","Yes","No"),"No")</f>
        <v>No</v>
      </c>
      <c r="AA9" s="972" t="str">
        <f>IF(AND($W9&lt;&gt;"",$X9&lt;&gt;"Please Select"),IF(K98="","Yes","No"),"No")</f>
        <v>No</v>
      </c>
      <c r="AB9" s="972" t="str">
        <f>IF(AND($W9&lt;&gt;"",AND(I98&lt;&gt;"Check",K98&lt;&gt;"Customer Units")),IF(M98="","Yes","No"),"No")</f>
        <v>No</v>
      </c>
      <c r="AC9" s="972" t="str">
        <f>IF(X9="EB Tiered Percent Qualifier",IF(OR(G103="",G104=""),"Yes","No"),IF(X9="EB Threshold Percent Qualifier",IF(G103="","Yes","No"),"No"))</f>
        <v>No</v>
      </c>
      <c r="AD9" s="972" t="str">
        <f>IF(OR(X9="EB Threshold Percent Qualifier",X9="EB Single Rate"),IF(K103="","Yes","No"),IF(X9="EB Tiered Percent Qualifier",IF(OR(K103="",K104=""),"Yes",IF(AND(G105&lt;&gt;"",K105=""),"Yes",IF(AND(G106&lt;&gt;"",K106=""),"Yes",IF(AND(G107&lt;&gt;"",K107=""),"Yes","No")))),"No"))</f>
        <v>No</v>
      </c>
      <c r="AE9" s="177"/>
    </row>
    <row r="10" spans="1:40" s="796" customFormat="1" ht="18" customHeight="1" thickBot="1" x14ac:dyDescent="0.3">
      <c r="C10" s="1336"/>
      <c r="D10" s="1306" t="str">
        <f>IF('Incentive Helper'!E2="Yes",'Incentive Helper'!F2,"")</f>
        <v/>
      </c>
      <c r="F10" s="136"/>
      <c r="G10" s="883" t="s">
        <v>850</v>
      </c>
      <c r="H10" s="1860">
        <f>IFERROR('PIM Model'!$G$32,0)</f>
        <v>0</v>
      </c>
      <c r="I10" s="1861"/>
      <c r="L10" s="177"/>
      <c r="M10" s="177"/>
      <c r="N10" s="177"/>
      <c r="O10" s="177"/>
      <c r="P10" s="177"/>
      <c r="Q10" s="182"/>
      <c r="R10" s="944">
        <v>1</v>
      </c>
      <c r="S10" s="1852" t="s">
        <v>1520</v>
      </c>
      <c r="T10" s="1852" t="s">
        <v>1521</v>
      </c>
      <c r="U10" s="177" t="s">
        <v>1692</v>
      </c>
      <c r="V10" s="177">
        <v>118</v>
      </c>
      <c r="W10" s="972" t="str">
        <f>IF(E111="Yes","Sales 1","")</f>
        <v/>
      </c>
      <c r="X10" s="972" t="str">
        <f>IF($W10&lt;&gt;"",E112,"")</f>
        <v/>
      </c>
      <c r="Y10" s="972" t="str">
        <f>IF(AND($W10&lt;&gt;"",$X10&lt;&gt;"Please Select"),IF(G112="","Yes","No"),"No")</f>
        <v>No</v>
      </c>
      <c r="Z10" s="972" t="str">
        <f>IF(AND($W10&lt;&gt;"",$X10&lt;&gt;"Please Select"),IF(I112="","Yes","No"),"No")</f>
        <v>No</v>
      </c>
      <c r="AA10" s="972" t="str">
        <f>IF(AND($W10&lt;&gt;"",$X10&lt;&gt;"Please Select"),IF(K112="","Yes","No"),"No")</f>
        <v>No</v>
      </c>
      <c r="AB10" s="972" t="str">
        <f>IF(AND($W10&lt;&gt;"",AND(I112&lt;&gt;"Check",K112&lt;&gt;"Customer Units")),IF(M112="","Yes","No"),"No")</f>
        <v>No</v>
      </c>
      <c r="AC10" s="972" t="str">
        <f>IF(X10="Growth Incentive Single Rate",IF(G115="","Yes","No"),"No")</f>
        <v>No</v>
      </c>
      <c r="AD10" s="972" t="str">
        <f>IF(X10="Growth Incentive Single Rate",IF(K115="","Yes","No"),"No")</f>
        <v>No</v>
      </c>
      <c r="AE10" s="177"/>
    </row>
    <row r="11" spans="1:40" s="796" customFormat="1" ht="18" customHeight="1" x14ac:dyDescent="0.25">
      <c r="C11" s="1336"/>
      <c r="D11" s="433"/>
      <c r="F11" s="136"/>
      <c r="I11" s="177"/>
      <c r="J11" s="177"/>
      <c r="K11" s="177"/>
      <c r="L11" s="177"/>
      <c r="M11" s="177"/>
      <c r="N11" s="177"/>
      <c r="O11" s="177"/>
      <c r="P11" s="177"/>
      <c r="Q11" s="182"/>
      <c r="R11" s="944">
        <v>1</v>
      </c>
      <c r="S11" s="1852"/>
      <c r="T11" s="1852"/>
      <c r="U11" s="177" t="s">
        <v>1693</v>
      </c>
      <c r="V11" s="177">
        <v>126</v>
      </c>
      <c r="W11" s="972" t="str">
        <f>IF(E119="Yes","Sales 2","")</f>
        <v/>
      </c>
      <c r="X11" s="972" t="str">
        <f>IF($W11&lt;&gt;"",E120,"")</f>
        <v/>
      </c>
      <c r="Y11" s="972" t="str">
        <f>IF(AND($W11&lt;&gt;"",$X11&lt;&gt;"Please Select"),IF(G120="","Yes","No"),"No")</f>
        <v>No</v>
      </c>
      <c r="Z11" s="972" t="str">
        <f>IF(AND($W11&lt;&gt;"",$X11&lt;&gt;"Please Select"),IF(I120="","Yes","No"),"No")</f>
        <v>No</v>
      </c>
      <c r="AA11" s="972" t="str">
        <f>IF(AND($W11&lt;&gt;"",$X11&lt;&gt;"Please Select"),IF(K120="","Yes","No"),"No")</f>
        <v>No</v>
      </c>
      <c r="AB11" s="972" t="str">
        <f>IF(AND($W11&lt;&gt;"",AND(I120&lt;&gt;"Check",K120&lt;&gt;"Customer Units")),IF(M120="","Yes","No"),"No")</f>
        <v>No</v>
      </c>
      <c r="AC11" s="972" t="str">
        <f>IF(X11="Growth Incentive Single Rate",IF(G123="","Yes","No"),"No")</f>
        <v>No</v>
      </c>
      <c r="AD11" s="972" t="str">
        <f>IF(X11="Growth Incentive Single Rate",IF(K123="","Yes","No"),"No")</f>
        <v>No</v>
      </c>
      <c r="AE11" s="177"/>
    </row>
    <row r="12" spans="1:40" s="796" customFormat="1" ht="21.75" customHeight="1" thickBot="1" x14ac:dyDescent="0.3">
      <c r="A12" s="248"/>
      <c r="B12" s="248"/>
      <c r="C12" s="1337"/>
      <c r="D12" s="1857" t="s">
        <v>851</v>
      </c>
      <c r="E12" s="1857"/>
      <c r="F12" s="185"/>
      <c r="G12" s="1858"/>
      <c r="H12" s="1859"/>
      <c r="I12" s="186"/>
      <c r="J12" s="1862"/>
      <c r="K12" s="1862"/>
      <c r="L12" s="184"/>
      <c r="M12" s="184"/>
      <c r="N12" s="184"/>
      <c r="O12" s="1838" t="str">
        <f>IF(COUNTIF($K$19:$K$23,"&gt;.03")&gt;0,"***Warning:You have entered an Rate % of Sales above the recommended 3%***","")</f>
        <v/>
      </c>
      <c r="P12" s="1839"/>
      <c r="Q12" s="179"/>
      <c r="R12" s="944">
        <v>1</v>
      </c>
      <c r="S12" s="876" t="s">
        <v>1485</v>
      </c>
      <c r="T12" s="876" t="str">
        <f>IF(AND(AND(E$13="Yes",E$14=S12),AND(E$27="Yes",E$28=S12)),IF(AND(E$41="Yes",E$42=S12),"Yes","No"),"No")</f>
        <v>No</v>
      </c>
      <c r="U12" s="177" t="s">
        <v>1694</v>
      </c>
      <c r="V12" s="177">
        <v>134</v>
      </c>
      <c r="W12" s="972" t="str">
        <f>IF(E127="Yes","Sales 3","")</f>
        <v/>
      </c>
      <c r="X12" s="972" t="str">
        <f>IF($W12&lt;&gt;"",E128,"")</f>
        <v/>
      </c>
      <c r="Y12" s="972" t="str">
        <f>IF(AND($W12&lt;&gt;"",$X12&lt;&gt;"Please Select"),IF(G128="","Yes","No"),"No")</f>
        <v>No</v>
      </c>
      <c r="Z12" s="972" t="str">
        <f>IF(AND($W12&lt;&gt;"",$X12&lt;&gt;"Please Select"),IF(I128="","Yes","No"),"No")</f>
        <v>No</v>
      </c>
      <c r="AA12" s="972" t="str">
        <f>IF(AND($W12&lt;&gt;"",$X12&lt;&gt;"Please Select"),IF(K128="","Yes","No"),"No")</f>
        <v>No</v>
      </c>
      <c r="AB12" s="972" t="str">
        <f>IF(AND($W12&lt;&gt;"",AND(I128&lt;&gt;"Check",K128&lt;&gt;"Customer Units")),IF(M128="","Yes","No"),"No")</f>
        <v>No</v>
      </c>
      <c r="AC12" s="972" t="str">
        <f>IF(X12="Growth Incentive Single Rate",IF(G131="","Yes","No"),"No")</f>
        <v>No</v>
      </c>
      <c r="AD12" s="259" t="str">
        <f>IF(X12="Growth Incentive Single Rate",IF(K131="","Yes","No"),"No")</f>
        <v>No</v>
      </c>
    </row>
    <row r="13" spans="1:40" s="796" customFormat="1" ht="18" customHeight="1" thickBot="1" x14ac:dyDescent="0.3">
      <c r="A13" s="243"/>
      <c r="B13" s="243"/>
      <c r="C13" s="443"/>
      <c r="D13" s="895" t="s">
        <v>523</v>
      </c>
      <c r="E13" s="821" t="s">
        <v>648</v>
      </c>
      <c r="F13" s="277"/>
      <c r="G13" s="228" t="s">
        <v>1380</v>
      </c>
      <c r="H13" s="532"/>
      <c r="I13" s="228" t="s">
        <v>1381</v>
      </c>
      <c r="J13" s="41"/>
      <c r="K13" s="228" t="s">
        <v>833</v>
      </c>
      <c r="L13" s="145"/>
      <c r="M13" s="194" t="s">
        <v>1382</v>
      </c>
      <c r="N13" s="145"/>
      <c r="O13" s="1840"/>
      <c r="P13" s="1841"/>
      <c r="Q13" s="179"/>
      <c r="R13" s="944">
        <v>1</v>
      </c>
      <c r="S13" s="875" t="s">
        <v>1500</v>
      </c>
      <c r="T13" s="876" t="str">
        <f>IF(AND(AND(E$13="Yes",E$14=S13),AND(E$27="Yes",E$28=S13)),IF(AND(E$41="Yes",E$42=S13),"Yes","No"),"No")</f>
        <v>No</v>
      </c>
      <c r="U13" s="177" t="s">
        <v>1695</v>
      </c>
      <c r="V13" s="177">
        <v>142</v>
      </c>
      <c r="W13" s="972" t="str">
        <f>IF(E135="Yes","Sales 4","")</f>
        <v/>
      </c>
      <c r="X13" s="972" t="str">
        <f>IF($W13&lt;&gt;"",E136,"")</f>
        <v/>
      </c>
      <c r="Y13" s="972" t="str">
        <f>IF(AND($W13&lt;&gt;"",$X13&lt;&gt;"Please Select"),IF(G136="","Yes","No"),"No")</f>
        <v>No</v>
      </c>
      <c r="Z13" s="972" t="str">
        <f>IF(AND($W13&lt;&gt;"",$X13&lt;&gt;"Please Select"),IF(I136="","Yes","No"),"No")</f>
        <v>No</v>
      </c>
      <c r="AA13" s="972" t="str">
        <f>IF(AND($W13&lt;&gt;"",$X13&lt;&gt;"Please Select"),IF(K136="","Yes","No"),"No")</f>
        <v>No</v>
      </c>
      <c r="AB13" s="972" t="str">
        <f>IF(AND($W13&lt;&gt;"",AND(I136&lt;&gt;"Check",K136&lt;&gt;"Customer Units")),IF(M136="","Yes","No"),"No")</f>
        <v>No</v>
      </c>
      <c r="AC13" s="972" t="str">
        <f>IF(X13="Growth Incentive Single Rate",IF(G139="","Yes","No"),"No")</f>
        <v>No</v>
      </c>
      <c r="AD13" s="259" t="str">
        <f>IF(X13="Growth Incentive Single Rate",IF(K139="","Yes","No"),"No")</f>
        <v>No</v>
      </c>
    </row>
    <row r="14" spans="1:40" s="796" customFormat="1" ht="18" customHeight="1" thickBot="1" x14ac:dyDescent="0.3">
      <c r="A14" s="243"/>
      <c r="B14" s="243"/>
      <c r="C14" s="443"/>
      <c r="D14" s="803" t="s">
        <v>1383</v>
      </c>
      <c r="E14" s="1333" t="s">
        <v>1384</v>
      </c>
      <c r="F14" s="189"/>
      <c r="G14" s="1475"/>
      <c r="H14" s="600"/>
      <c r="I14" s="1475"/>
      <c r="J14" s="145"/>
      <c r="K14" s="1541"/>
      <c r="L14" s="145"/>
      <c r="M14" s="1497"/>
      <c r="N14" s="145"/>
      <c r="O14" s="1840"/>
      <c r="P14" s="1841"/>
      <c r="Q14" s="179"/>
      <c r="R14" s="944">
        <v>1</v>
      </c>
      <c r="S14" s="875" t="s">
        <v>1513</v>
      </c>
      <c r="T14" s="876" t="str">
        <f>IF(AND(AND(E$13="Yes",E$14=S14),AND(E$27="Yes",E$28=S14)),IF(AND(E$41="Yes",E$42=S14),"Yes","No"),"No")</f>
        <v>No</v>
      </c>
      <c r="U14" s="177" t="s">
        <v>1696</v>
      </c>
      <c r="V14" s="177">
        <v>150</v>
      </c>
      <c r="W14" s="972" t="str">
        <f>IF(E143="Yes","Sales 5","")</f>
        <v/>
      </c>
      <c r="X14" s="972" t="str">
        <f>IF($W14&lt;&gt;"",E144,"")</f>
        <v/>
      </c>
      <c r="Y14" s="972" t="str">
        <f>IF(AND($W14&lt;&gt;"",$X14&lt;&gt;"Please Select"),IF(G144="","Yes","No"),"No")</f>
        <v>No</v>
      </c>
      <c r="Z14" s="972" t="str">
        <f>IF(AND($W14&lt;&gt;"",$X14&lt;&gt;"Please Select"),IF(I144="","Yes","No"),"No")</f>
        <v>No</v>
      </c>
      <c r="AA14" s="972" t="str">
        <f>IF(AND($W14&lt;&gt;"",$X14&lt;&gt;"Please Select"),IF(K144="","Yes","No"),"No")</f>
        <v>No</v>
      </c>
      <c r="AB14" s="972" t="str">
        <f>IF(AND($W14&lt;&gt;"",AND(I144&lt;&gt;"Check",K144&lt;&gt;"Customer Units")),IF(M144="","Yes","No"),"No")</f>
        <v>No</v>
      </c>
      <c r="AC14" s="1535" t="str">
        <f>IF(X14="Growth Incentive Single Rate",IF(G147="","Yes","No"),"No")</f>
        <v>No</v>
      </c>
      <c r="AD14" s="1536" t="str">
        <f>IF(X14="Growth Incentive Single Rate",IF(K147="","Yes","No"),"No")</f>
        <v>No</v>
      </c>
    </row>
    <row r="15" spans="1:40" s="796" customFormat="1" ht="15.75" thickBot="1" x14ac:dyDescent="0.3">
      <c r="A15" s="243"/>
      <c r="B15" s="243"/>
      <c r="C15" s="443"/>
      <c r="D15" s="896"/>
      <c r="E15" s="191"/>
      <c r="F15" s="191"/>
      <c r="G15" s="533"/>
      <c r="H15" s="532"/>
      <c r="I15" s="145"/>
      <c r="J15" s="145"/>
      <c r="K15" s="145"/>
      <c r="L15" s="145"/>
      <c r="M15" s="145"/>
      <c r="N15" s="145"/>
      <c r="O15" s="1840"/>
      <c r="P15" s="1841"/>
      <c r="Q15" s="179"/>
      <c r="R15" s="944">
        <v>1</v>
      </c>
      <c r="S15" s="973" t="s">
        <v>1630</v>
      </c>
      <c r="T15" s="972" t="str">
        <f>IF(AND(E$159="Yes",E$160=S15),IF(AND(E$167="Yes",E$168=S15),"Yes","No"),"No")</f>
        <v>No</v>
      </c>
      <c r="U15" s="177" t="s">
        <v>1697</v>
      </c>
      <c r="V15" s="177">
        <v>158</v>
      </c>
      <c r="W15" s="972" t="str">
        <f>IF(E151="Yes","Ecom","")</f>
        <v/>
      </c>
      <c r="X15" s="972" t="str">
        <f>IF($W15&lt;&gt;"",E152,"")</f>
        <v/>
      </c>
      <c r="Y15" s="972" t="str">
        <f>IF(AND($W15&lt;&gt;"",$X15&lt;&gt;"Please Select"),IF(G152="","Yes","No"),"No")</f>
        <v>No</v>
      </c>
      <c r="Z15" s="972" t="str">
        <f>IF(AND($W15&lt;&gt;"",$X15&lt;&gt;"Please Select"),IF(I152="","Yes","No"),"No")</f>
        <v>No</v>
      </c>
      <c r="AA15" s="972" t="str">
        <f>IF(AND($W15&lt;&gt;"",$X15&lt;&gt;"Please Select"),IF(K152="","Yes","No"),"No")</f>
        <v>No</v>
      </c>
      <c r="AB15" s="972" t="str">
        <f>IF(AND($W15&lt;&gt;"",AND(I152&lt;&gt;"Check",K152&lt;&gt;"Customer Units")),IF(M152="","Yes","No"),"No")</f>
        <v>No</v>
      </c>
      <c r="AC15" s="972" t="str">
        <f>IF(X15="E-Commerce Incentive Threshold",IF(G155="","Yes","No"),"No")</f>
        <v>No</v>
      </c>
      <c r="AD15" s="259" t="str">
        <f>IF(X15&lt;&gt;"",IF(K155="","Yes","No"),"No")</f>
        <v>No</v>
      </c>
    </row>
    <row r="16" spans="1:40" s="796" customFormat="1" ht="18" customHeight="1" thickBot="1" x14ac:dyDescent="0.3">
      <c r="A16" s="243"/>
      <c r="B16" s="243"/>
      <c r="C16" s="443" t="str" cm="1">
        <f t="array" aca="1" ref="C16" ca="1">IF(INDIRECT("'Incentives'!C"&amp;'Configurable Tab'!C3+1) = "Yes",IF(INDIRECT("'Incentives'!E"&amp;'Configurable Tab'!C3+5)&lt;Welcome!$D$12,"Yes",IF(INDIRECT("'Incentives'!E"&amp;'Configurable Tab'!C3+5)='Required Info to Submit'!$F$17,"No","")),"")</f>
        <v/>
      </c>
      <c r="D16" s="804" t="s">
        <v>1385</v>
      </c>
      <c r="E16" s="1409" t="str">
        <f>IF(E13="Yes",IF(Welcome!$D$6="New",IF('Required Info to Submit'!F$14="","",'Required Info to Submit'!F$14),""),"")</f>
        <v/>
      </c>
      <c r="F16" s="191"/>
      <c r="G16" s="193" t="s">
        <v>517</v>
      </c>
      <c r="H16" s="532"/>
      <c r="I16" s="145"/>
      <c r="J16" s="145"/>
      <c r="K16" s="145"/>
      <c r="L16" s="145"/>
      <c r="M16" s="145"/>
      <c r="N16" s="145"/>
      <c r="O16" s="1840"/>
      <c r="P16" s="1841"/>
      <c r="Q16" s="179"/>
      <c r="R16" s="177"/>
      <c r="S16" s="571"/>
      <c r="T16" s="177"/>
      <c r="U16" s="177" t="s">
        <v>1698</v>
      </c>
      <c r="V16" s="177">
        <v>166</v>
      </c>
      <c r="W16" s="972" t="str">
        <f>IF(E159="Yes","CB 1","")</f>
        <v/>
      </c>
      <c r="X16" s="972" t="str">
        <f>IF($W16&lt;&gt;"",E160,"")</f>
        <v/>
      </c>
      <c r="Y16" s="972" t="str">
        <f>IF(AND($W16&lt;&gt;"",$X16&lt;&gt;"Please Select"),IF(G160="","Yes","No"),"No")</f>
        <v>No</v>
      </c>
      <c r="Z16" s="972" t="str">
        <f>IF(AND($W16&lt;&gt;"",$X16&lt;&gt;"Please Select"),IF(I160="","Yes","No"),"No")</f>
        <v>No</v>
      </c>
      <c r="AA16" s="972" t="str">
        <f>IF(AND($W16&lt;&gt;"",$X16&lt;&gt;"Please Select"),IF(K160="","Yes","No"),"No")</f>
        <v>No</v>
      </c>
      <c r="AB16" s="972" t="str">
        <f>IF(AND($W16&lt;&gt;"",AND(I160&lt;&gt;"Check",K160&lt;&gt;"Customer Units")),IF(M160="","Yes","No"),"No")</f>
        <v>No</v>
      </c>
      <c r="AC16" s="1537"/>
      <c r="AD16" s="1538"/>
      <c r="AE16" s="259" t="str">
        <f>IF(AND(W16&lt;&gt;"",X16&lt;&gt;"Please Select"),IF(G163="","Yes","No"),"No")</f>
        <v>No</v>
      </c>
    </row>
    <row r="17" spans="1:40" s="796" customFormat="1" ht="18" customHeight="1" thickBot="1" x14ac:dyDescent="0.3">
      <c r="A17" s="243"/>
      <c r="B17" s="243"/>
      <c r="C17" s="443"/>
      <c r="D17" s="804" t="s">
        <v>1386</v>
      </c>
      <c r="E17" s="1409" t="str">
        <f>IF(E13="Yes",IF(Welcome!$D$6="New",IF('Required Info to Submit'!F$17="","",'Required Info to Submit'!F$17),""),"")</f>
        <v/>
      </c>
      <c r="F17" s="191"/>
      <c r="G17" s="884">
        <f>$H$9/52</f>
        <v>0</v>
      </c>
      <c r="H17" s="532"/>
      <c r="I17" s="909"/>
      <c r="J17" s="145"/>
      <c r="K17" s="145"/>
      <c r="L17" s="145"/>
      <c r="M17" s="188"/>
      <c r="N17" s="665"/>
      <c r="O17" s="188"/>
      <c r="P17" s="190"/>
      <c r="Q17" s="179"/>
      <c r="R17" s="177"/>
      <c r="S17" s="571"/>
      <c r="T17" s="177"/>
      <c r="U17" s="177" t="s">
        <v>1699</v>
      </c>
      <c r="V17" s="177">
        <v>174</v>
      </c>
      <c r="W17" s="972" t="str">
        <f>IF(E167="Yes","CB 2","")</f>
        <v/>
      </c>
      <c r="X17" s="972" t="str">
        <f>IF($W17&lt;&gt;"",E168,"")</f>
        <v/>
      </c>
      <c r="Y17" s="972" t="str">
        <f>IF(AND($W17&lt;&gt;"",$X17&lt;&gt;"Please Select"),IF(G168="","Yes","No"),"No")</f>
        <v>No</v>
      </c>
      <c r="Z17" s="972" t="str">
        <f>IF(AND($W17&lt;&gt;"",$X17&lt;&gt;"Please Select"),IF(I168="","Yes","No"),"No")</f>
        <v>No</v>
      </c>
      <c r="AA17" s="972" t="str">
        <f>IF(AND($W17&lt;&gt;"",$X17&lt;&gt;"Please Select"),IF(K168="","Yes","No"),"No")</f>
        <v>No</v>
      </c>
      <c r="AB17" s="972" t="str">
        <f>IF(AND($W17&lt;&gt;"",AND(I168&lt;&gt;"Check",K168&lt;&gt;"Customer Units")),IF(M168="","Yes","No"),"No")</f>
        <v>No</v>
      </c>
      <c r="AC17" s="1537"/>
      <c r="AD17" s="1538"/>
      <c r="AE17" s="259" t="str">
        <f>IF(AND(W17&lt;&gt;"",X17&lt;&gt;"Please Select"),IF(G171="","Yes","No"),"No")</f>
        <v>No</v>
      </c>
    </row>
    <row r="18" spans="1:40" s="796" customFormat="1" ht="15.75" customHeight="1" thickBot="1" x14ac:dyDescent="0.3">
      <c r="A18" s="243"/>
      <c r="B18" s="243"/>
      <c r="C18" s="443"/>
      <c r="D18" s="896"/>
      <c r="E18" s="191"/>
      <c r="F18" s="191"/>
      <c r="G18" s="194" t="s">
        <v>1387</v>
      </c>
      <c r="H18" s="532"/>
      <c r="I18" s="194" t="s">
        <v>1388</v>
      </c>
      <c r="J18" s="145"/>
      <c r="K18" s="194" t="s">
        <v>1389</v>
      </c>
      <c r="L18" s="145"/>
      <c r="M18" s="1836"/>
      <c r="N18" s="665"/>
      <c r="O18" s="6" t="s">
        <v>490</v>
      </c>
      <c r="P18" s="190"/>
      <c r="Q18" s="179"/>
      <c r="R18" s="177"/>
      <c r="S18" s="571"/>
      <c r="T18" s="177"/>
      <c r="U18" s="177" t="s">
        <v>1700</v>
      </c>
      <c r="V18" s="177">
        <v>182</v>
      </c>
      <c r="W18" s="972" t="str">
        <f>IF(E175="Yes","CC","")</f>
        <v/>
      </c>
      <c r="X18" s="972" t="str">
        <f>IF($W18&lt;&gt;"",E176,"")</f>
        <v/>
      </c>
      <c r="Y18" s="972" t="str">
        <f>IF(AND($W18&lt;&gt;"",$X18&lt;&gt;"Please Select"),IF(G176="","Yes","No"),"No")</f>
        <v>No</v>
      </c>
      <c r="Z18" s="972" t="str">
        <f>IF(AND($W18&lt;&gt;"",$X18&lt;&gt;"Please Select"),IF(I176="","Yes","No"),"No")</f>
        <v>No</v>
      </c>
      <c r="AA18" s="972" t="str">
        <f>IF(AND($W18&lt;&gt;"",$X18&lt;&gt;"Please Select"),IF(K176="","Yes","No"),"No")</f>
        <v>No</v>
      </c>
      <c r="AB18" s="972" t="str">
        <f>IF(AND($W18&lt;&gt;"",AND(I176&lt;&gt;"Check",K176&lt;&gt;"Customer Units")),IF(M176="","Yes","No"),"No")</f>
        <v>No</v>
      </c>
      <c r="AC18" s="1540"/>
      <c r="AD18" s="259" t="str">
        <f>IF(X18&lt;&gt;"",IF(K179="","Yes","No"),"No")</f>
        <v>No</v>
      </c>
    </row>
    <row r="19" spans="1:40" s="796" customFormat="1" ht="24" customHeight="1" thickBot="1" x14ac:dyDescent="0.3">
      <c r="A19" s="243"/>
      <c r="B19" s="243"/>
      <c r="C19" s="1338"/>
      <c r="D19" s="893" t="s">
        <v>520</v>
      </c>
      <c r="E19" s="894">
        <f>IFERROR(IF(G19="",0,(G19-$G$17)/$G$17),"")</f>
        <v>0</v>
      </c>
      <c r="F19" s="805" t="s">
        <v>997</v>
      </c>
      <c r="G19" s="1476"/>
      <c r="H19" s="959"/>
      <c r="I19" s="1473" t="str">
        <f>IF(E13="Yes",IF(AND(G19&lt;&gt;"",G20="",G21="",G22="",G23=""),999999999.99,IF(G20&lt;&gt;"",G20-0.01,"")),"")</f>
        <v/>
      </c>
      <c r="J19" s="1298"/>
      <c r="K19" s="1472"/>
      <c r="L19" s="145"/>
      <c r="M19" s="1836"/>
      <c r="N19" s="665"/>
      <c r="O19" s="887">
        <f>IF(Welcome!D6="New",IF(E13="Yes",IF(G20=0,K19*H$10,IF(OR(G20&lt;G17,G20=G17),K20*H$10,K19*H$10)),0),IF(Incentives!E17&lt;Welcome!D12,0,IF(E13="Yes",IF(G20=0,K19*H$10,IF(OR(G20&lt;G17,G20=G17),K20*H$10,K19*H$10)),0)))</f>
        <v>0</v>
      </c>
      <c r="P19" s="190"/>
      <c r="Q19" s="179"/>
      <c r="R19" s="177"/>
      <c r="S19" s="571"/>
      <c r="T19" s="177"/>
      <c r="U19" s="177" t="s">
        <v>1701</v>
      </c>
      <c r="V19" s="177">
        <v>193</v>
      </c>
      <c r="W19" s="972" t="str">
        <f>IF(E183="Yes","PR","")</f>
        <v/>
      </c>
      <c r="X19" s="972" t="str">
        <f>IF($W19&lt;&gt;"",E184,"")</f>
        <v/>
      </c>
      <c r="Y19" s="972" t="str">
        <f>IF(AND($W19&lt;&gt;"",$X19&lt;&gt;"Please Select"),IF(G184="","Yes","No"),"No")</f>
        <v>No</v>
      </c>
      <c r="Z19" s="972" t="str">
        <f>IF(AND($W19&lt;&gt;"",$X19&lt;&gt;"Please Select"),IF(I184="","Yes","No"),"No")</f>
        <v>No</v>
      </c>
      <c r="AA19" s="972" t="str">
        <f>IF(AND($W19&lt;&gt;"",$X19&lt;&gt;"Please Select"),IF(K184="","Yes","No"),"No")</f>
        <v>No</v>
      </c>
      <c r="AB19" s="972" t="str">
        <f>IF(AND($W19&lt;&gt;"",AND(I184&lt;&gt;"Check",K184&lt;&gt;"Customer Units")),IF(M184="","Yes","No"),"No")</f>
        <v>No</v>
      </c>
      <c r="AC19" s="1537"/>
      <c r="AD19" s="1538"/>
      <c r="AE19" s="1538"/>
      <c r="AF19" s="259" t="str">
        <f>IF(AND(W19&lt;&gt;"",X19&lt;&gt;"Please Select"),IF(I187="","Yes","No"),"No")</f>
        <v>No</v>
      </c>
      <c r="AG19" s="1539" t="str">
        <f>IF(X19="Prepaid Rollover",IF(K187="","Yes","No"),"No")</f>
        <v>No</v>
      </c>
      <c r="AH19" s="259" t="str">
        <f>IF(AND(W19&lt;&gt;"",X19&lt;&gt;"Please Select"),IF(M187="","Yes","No"),"No")</f>
        <v>No</v>
      </c>
      <c r="AI19" s="259" t="str">
        <f>IF(AND(W19&lt;&gt;"",X19&lt;&gt;"Please Select"),IF(K190="","Yes","No"),"No")</f>
        <v>No</v>
      </c>
      <c r="AJ19" s="259" t="str">
        <f>IF(AND(W19&lt;&gt;"",X19&lt;&gt;"Please Select"),IF(M190="","Yes","No"),"No")</f>
        <v>No</v>
      </c>
      <c r="AK19" s="259" t="str">
        <f>IF(AND(W19&lt;&gt;"",X19&lt;&gt;"Please Select"),IF(O190="","Yes","No"),"No")</f>
        <v>No</v>
      </c>
    </row>
    <row r="20" spans="1:40" s="796" customFormat="1" ht="24" customHeight="1" thickBot="1" x14ac:dyDescent="0.3">
      <c r="A20" s="243"/>
      <c r="B20" s="243"/>
      <c r="C20" s="443"/>
      <c r="D20" s="893" t="s">
        <v>521</v>
      </c>
      <c r="E20" s="894">
        <f>IFERROR(IF(G20="",0,(G20-$G$17)/$G$17),"")</f>
        <v>0</v>
      </c>
      <c r="F20" s="805" t="s">
        <v>1390</v>
      </c>
      <c r="G20" s="1476"/>
      <c r="H20" s="959"/>
      <c r="I20" s="1473" t="str">
        <f>IF(E13="Yes",IF(AND(G20&lt;&gt;"",G21="",G22="",G23="",I19&lt;&gt;999999999.99),999999999.99,IF(G21&lt;&gt;"",G21-0.01,"")),"")</f>
        <v/>
      </c>
      <c r="J20" s="960"/>
      <c r="K20" s="1472"/>
      <c r="L20" s="807"/>
      <c r="M20" s="1836"/>
      <c r="N20" s="665"/>
      <c r="O20" s="665"/>
      <c r="P20" s="190"/>
      <c r="Q20" s="179"/>
      <c r="R20" s="177"/>
      <c r="S20" s="571"/>
      <c r="T20" s="177"/>
      <c r="U20" s="177" t="s">
        <v>1702</v>
      </c>
      <c r="V20" s="177">
        <v>205</v>
      </c>
      <c r="W20" s="972" t="str">
        <f>IF(E194="Yes","Prepaid 1","")</f>
        <v/>
      </c>
      <c r="X20" s="972" t="str">
        <f>IF($W20&lt;&gt;"",E195,"")</f>
        <v/>
      </c>
      <c r="Y20" s="972" t="str">
        <f>IF(AND($W20&lt;&gt;"",$X20&lt;&gt;"Please Select"),IF(G195="","Yes","No"),"No")</f>
        <v>No</v>
      </c>
      <c r="Z20" s="972" t="str">
        <f>IF(AND($W20&lt;&gt;"",$X20&lt;&gt;"Please Select"),IF(I195="","Yes","No"),"No")</f>
        <v>No</v>
      </c>
      <c r="AA20" s="972" t="str">
        <f>IF(AND($W20&lt;&gt;"",$X20&lt;&gt;"Please Select"),IF(K195="","Yes","No"),"No")</f>
        <v>No</v>
      </c>
      <c r="AB20" s="972" t="str">
        <f>IF(AND($W20&lt;&gt;"",AND(I195&lt;&gt;"Check",K195&lt;&gt;"Customer Units")),IF(M195="","Yes","No"),"No")</f>
        <v>No</v>
      </c>
      <c r="AC20" s="1537"/>
      <c r="AD20" s="1538"/>
      <c r="AE20" s="259" t="str">
        <f>IF(AND(W20&lt;&gt;"",X20&lt;&gt;"Please Select"),IF(G198="","Yes","No"),"No")</f>
        <v>No</v>
      </c>
      <c r="AL20" s="259" t="str">
        <f>IF(AND(W20&lt;&gt;"",AND(X20&lt;&gt;"Prepaid Single Payment",X20&lt;&gt;"Please Select")),IF(Welcome!D16=1,IF(K198="","Yes","No"),IF(Welcome!D16=2,IF(OR(K198="",K199=""),"Yes","No"),IF(Welcome!D16=3,IF(OR(K198="",OR(K199="",K200="")),"Yes","No"),IF(Welcome!D16=4,IF(OR(K198="",OR(K199="",OR(K200="",K201=""))),"Yes","No"),IF(Welcome!D16=5,IF(OR(K198="",OR(K199="",OR(K200="",OR(K201="",K202="")))),"Yes","No"),"No"))))),"No")</f>
        <v>No</v>
      </c>
      <c r="AM20" s="259" t="str">
        <f>IF(X20="Prepay Multi Yr Under",IF(Welcome!D16=1,IF(M198="","Yes","No"),IF(Welcome!D16=2,IF(OR(M198="",M199=""),"Yes","No"),IF(Welcome!D16=3,IF(OR(M198="",OR(M199="",M200="")),"Yes","No"),IF(Welcome!D16=4,IF(OR(M198="",OR(M199="",OR(M200="",M201=""))),"Yes","No"),IF(Welcome!D16=5,IF(OR(M198="",OR(M199="",OR(M200="",OR(M201="",M202="")))),"Yes","No"),"No"))))),"No")</f>
        <v>No</v>
      </c>
    </row>
    <row r="21" spans="1:40" s="796" customFormat="1" ht="24" customHeight="1" thickBot="1" x14ac:dyDescent="0.3">
      <c r="A21" s="243"/>
      <c r="B21" s="243"/>
      <c r="C21" s="443"/>
      <c r="D21" s="893" t="s">
        <v>522</v>
      </c>
      <c r="E21" s="894">
        <f>IFERROR(IF(G21="",0,(G21-$G$17)/$G$17),"")</f>
        <v>0</v>
      </c>
      <c r="F21" s="805" t="s">
        <v>1391</v>
      </c>
      <c r="G21" s="1476"/>
      <c r="H21" s="959"/>
      <c r="I21" s="1473" t="str">
        <f>IF(E13="Yes",IF(AND(G21&lt;&gt;"",G22="",G23="",I20&lt;&gt;999999999.99),999999999.99,IF(G22&lt;&gt;"",G22-0.01,"")),"")</f>
        <v/>
      </c>
      <c r="J21" s="1298"/>
      <c r="K21" s="1472"/>
      <c r="L21" s="145"/>
      <c r="M21" s="1836"/>
      <c r="N21" s="665"/>
      <c r="O21" s="665"/>
      <c r="P21" s="190"/>
      <c r="Q21" s="179"/>
      <c r="R21" s="177"/>
      <c r="S21" s="571"/>
      <c r="T21" s="177"/>
      <c r="U21" s="177" t="s">
        <v>1483</v>
      </c>
      <c r="V21" s="177">
        <v>217</v>
      </c>
      <c r="W21" s="972" t="str">
        <f>IF(E206="Yes","Prepaid 2","")</f>
        <v/>
      </c>
      <c r="X21" s="972" t="str">
        <f>IF($W21&lt;&gt;"",E207,"")</f>
        <v/>
      </c>
      <c r="Y21" s="972" t="str">
        <f>IF(AND($W21&lt;&gt;"",$X21&lt;&gt;"Please Select"),IF(G207="","Yes","No"),"No")</f>
        <v>No</v>
      </c>
      <c r="Z21" s="972" t="str">
        <f>IF(AND($W21&lt;&gt;"",$X21&lt;&gt;"Please Select"),IF(I207="","Yes","No"),"No")</f>
        <v>No</v>
      </c>
      <c r="AA21" s="972" t="str">
        <f>IF(AND($W21&lt;&gt;"",$X21&lt;&gt;"Please Select"),IF(K207="","Yes","No"),"No")</f>
        <v>No</v>
      </c>
      <c r="AB21" s="972" t="str">
        <f>IF(AND($W21&lt;&gt;"",AND(I207&lt;&gt;"Check",K207&lt;&gt;"Customer Units")),IF(M207="","Yes","No"),"No")</f>
        <v>No</v>
      </c>
      <c r="AC21" s="1537"/>
      <c r="AD21" s="1538"/>
      <c r="AE21" s="259" t="str">
        <f>IF(AND(W21&lt;&gt;"",X21&lt;&gt;"Please Select"),IF(G210="","Yes","No"),"No")</f>
        <v>No</v>
      </c>
      <c r="AL21" s="259" t="str">
        <f>IF(AND(W21&lt;&gt;"",AND(X21&lt;&gt;"Prepaid Single Payment",X21&lt;&gt;"Please Select")),IF(Welcome!D16=1,IF(K210="","Yes","No"),IF(Welcome!D16=2,IF(OR(K210="",K211=""),"Yes","No"),IF(Welcome!D16=3,IF(OR(K210="",OR(K211="",K212="")),"Yes","No"),IF(Welcome!D16=4,IF(OR(K210="",OR(K211="",OR(K212="",K213=""))),"Yes","No"),IF(Welcome!D16=5,IF(OR(K210="",OR(K211="",OR(K212="",OR(K213="",K214="")))),"Yes","No"),"No"))))),"No")</f>
        <v>No</v>
      </c>
      <c r="AM21" s="259" t="str">
        <f>IF(X21="Prepay Multi Yr Under",IF(Welcome!D16=1,IF(M210="","Yes","No"),IF(Welcome!D16=2,IF(OR(M210="",M211=""),"Yes","No"),IF(Welcome!D16=3,IF(OR(M210="",OR(M211="",M212="")),"Yes","No"),IF(Welcome!D16=4,IF(OR(M210="",OR(M211="",OR(M212="",M213=""))),"Yes","No"),IF(Welcome!D16=5,IF(OR(M210="",OR(M211="",OR(M212="",OR(M213="",M214="")))),"Yes","No"),"No"))))),"No")</f>
        <v>No</v>
      </c>
    </row>
    <row r="22" spans="1:40" s="796" customFormat="1" ht="24" hidden="1" customHeight="1" thickBot="1" x14ac:dyDescent="0.3">
      <c r="A22" s="243"/>
      <c r="B22" s="243"/>
      <c r="C22" s="443"/>
      <c r="D22" s="893" t="s">
        <v>1392</v>
      </c>
      <c r="E22" s="894">
        <f>IFERROR(IF(G22="",0,(G22-$G$17)/$G$17),"")</f>
        <v>0</v>
      </c>
      <c r="F22" s="805" t="s">
        <v>1393</v>
      </c>
      <c r="G22" s="1476"/>
      <c r="H22" s="959"/>
      <c r="I22" s="1473" t="str">
        <f>IF(E13="Yes",IF(AND(G22&lt;&gt;"",G23="",I21&lt;&gt;999999999.99),999999999.99,IF(G23&lt;&gt;"",G23-0.01,"")),"")</f>
        <v/>
      </c>
      <c r="J22" s="1298"/>
      <c r="K22" s="1472"/>
      <c r="L22" s="145"/>
      <c r="M22" s="665"/>
      <c r="N22" s="665"/>
      <c r="O22" s="665"/>
      <c r="P22" s="190"/>
      <c r="Q22" s="179"/>
      <c r="R22" s="177"/>
      <c r="S22" s="571"/>
      <c r="T22" s="177"/>
      <c r="U22" s="177"/>
      <c r="V22" s="177"/>
      <c r="W22" s="177"/>
      <c r="X22" s="177"/>
      <c r="Y22" s="177"/>
      <c r="Z22" s="177"/>
      <c r="AA22" s="177"/>
      <c r="AB22" s="177"/>
      <c r="AC22" s="177"/>
    </row>
    <row r="23" spans="1:40" s="796" customFormat="1" ht="24" hidden="1" customHeight="1" thickBot="1" x14ac:dyDescent="0.3">
      <c r="A23" s="243"/>
      <c r="B23" s="243"/>
      <c r="C23" s="443"/>
      <c r="D23" s="893" t="s">
        <v>1394</v>
      </c>
      <c r="E23" s="894">
        <f>IFERROR(IF(G23="",0,(G23-$G$17)/$G$17),"")</f>
        <v>0</v>
      </c>
      <c r="F23" s="805" t="s">
        <v>1395</v>
      </c>
      <c r="G23" s="1476"/>
      <c r="H23" s="959"/>
      <c r="I23" s="1473" t="str">
        <f>IF(E13="Yes",IF(AND(G23&lt;&gt;"",I22&lt;&gt;999999999.99),999999999.99,""),"")</f>
        <v/>
      </c>
      <c r="J23" s="1298"/>
      <c r="K23" s="1472"/>
      <c r="L23" s="145"/>
      <c r="M23" s="665"/>
      <c r="N23" s="665"/>
      <c r="O23" s="665"/>
      <c r="P23" s="190"/>
      <c r="Q23" s="179"/>
      <c r="R23" s="177"/>
      <c r="S23" s="571"/>
      <c r="T23" s="177"/>
      <c r="U23" s="177"/>
      <c r="V23" s="177"/>
      <c r="W23" s="177"/>
      <c r="X23" s="177"/>
      <c r="Y23" s="177"/>
      <c r="Z23" s="177"/>
      <c r="AA23" s="177"/>
      <c r="AB23" s="177"/>
      <c r="AC23" s="177"/>
    </row>
    <row r="24" spans="1:40" s="796" customFormat="1" ht="24" customHeight="1" x14ac:dyDescent="0.25">
      <c r="A24" s="245"/>
      <c r="B24" s="245"/>
      <c r="C24" s="638"/>
      <c r="D24" s="898"/>
      <c r="E24" s="198"/>
      <c r="F24" s="199"/>
      <c r="G24" s="200"/>
      <c r="H24" s="201"/>
      <c r="I24" s="591">
        <f>COUNTIF($I$20:$I$23,"&gt;.03")</f>
        <v>0</v>
      </c>
      <c r="J24" s="202"/>
      <c r="K24" s="1068"/>
      <c r="L24" s="202"/>
      <c r="M24" s="204"/>
      <c r="N24" s="204"/>
      <c r="O24" s="204"/>
      <c r="P24" s="205"/>
      <c r="Q24" s="179"/>
      <c r="R24" s="177"/>
      <c r="S24" s="571"/>
      <c r="T24" s="177"/>
      <c r="U24" s="177"/>
      <c r="V24" s="177"/>
      <c r="W24" s="972" t="str">
        <f>IF(E218="Yes","NC","")</f>
        <v/>
      </c>
      <c r="X24" s="972" t="str">
        <f>IF($W24&lt;&gt;"",E219,"")</f>
        <v/>
      </c>
      <c r="Y24" s="972"/>
      <c r="Z24" s="972" t="str">
        <f>IF(AND($W24&lt;&gt;"",$X24&lt;&gt;"Please Select"),IF(I219="","Yes","No"),"No")</f>
        <v>No</v>
      </c>
      <c r="AA24" s="972" t="str">
        <f>IF(AND($W24&lt;&gt;"",$X24&lt;&gt;"Please Select"),IF(K219="","Yes","No"),"No")</f>
        <v>No</v>
      </c>
      <c r="AB24" s="972"/>
      <c r="AC24" s="177"/>
      <c r="AD24" s="972" t="str">
        <f>IF(X24&lt;&gt;"",IF(K222="","Yes","No"),"No")</f>
        <v>No</v>
      </c>
      <c r="AE24" s="1533"/>
    </row>
    <row r="25" spans="1:40" s="796" customFormat="1" ht="10.15" customHeight="1" x14ac:dyDescent="0.25">
      <c r="A25" s="1553"/>
      <c r="C25" s="1339"/>
      <c r="D25" s="899"/>
      <c r="E25" s="206"/>
      <c r="F25" s="207"/>
      <c r="G25" s="208"/>
      <c r="H25" s="209"/>
      <c r="I25" s="210"/>
      <c r="J25" s="180"/>
      <c r="K25" s="211"/>
      <c r="L25" s="180"/>
      <c r="M25" s="212"/>
      <c r="N25" s="212"/>
      <c r="O25" s="212"/>
      <c r="P25" s="177"/>
      <c r="Q25" s="179"/>
      <c r="R25" s="177"/>
      <c r="S25" s="571"/>
      <c r="T25" s="177"/>
      <c r="U25" s="177"/>
      <c r="V25" s="177"/>
      <c r="W25" s="972" t="str">
        <f>IF(E226="Yes","NCA1","")</f>
        <v/>
      </c>
      <c r="X25" s="972" t="str">
        <f>IF($W25&lt;&gt;"",E227,"")</f>
        <v/>
      </c>
      <c r="Y25" s="972" t="str">
        <f>IF(AND($W25&lt;&gt;"",$X25&lt;&gt;"Please Select"),IF(G227="","Yes","No"),"No")</f>
        <v>No</v>
      </c>
      <c r="Z25" s="972" t="str">
        <f>IF(AND($W25&lt;&gt;"",$X25&lt;&gt;"Please Select"),IF(I227="","Yes","No"),"No")</f>
        <v>No</v>
      </c>
      <c r="AA25" s="972" t="str">
        <f>IF(AND($W25&lt;&gt;"",$X25&lt;&gt;"Please Select"),IF(K227="","Yes","No"),"No")</f>
        <v>No</v>
      </c>
      <c r="AB25" s="972" t="str">
        <f>IF(AND($W25&lt;&gt;"",AND(I227&lt;&gt;"Check",K227&lt;&gt;"Customer Units")),IF(M227="","Yes","No"),"No")</f>
        <v>No</v>
      </c>
      <c r="AC25" s="177"/>
      <c r="AD25" s="972" t="str">
        <f>IF(X25&lt;&gt;"",IF(K230="","Yes","No"),"No")</f>
        <v>No</v>
      </c>
      <c r="AE25" s="1533"/>
      <c r="AN25" s="1536" t="str">
        <f>IF(X25&lt;&gt;"",IF(G233="","Yes","No"),"No")</f>
        <v>No</v>
      </c>
    </row>
    <row r="26" spans="1:40" s="796" customFormat="1" ht="21.75" hidden="1" customHeight="1" thickBot="1" x14ac:dyDescent="0.25">
      <c r="A26" s="248"/>
      <c r="B26" s="248"/>
      <c r="C26" s="1337"/>
      <c r="D26" s="1857" t="s">
        <v>851</v>
      </c>
      <c r="E26" s="1857"/>
      <c r="F26" s="185"/>
      <c r="G26" s="1858"/>
      <c r="H26" s="1859"/>
      <c r="I26" s="186"/>
      <c r="J26" s="1862"/>
      <c r="K26" s="1862"/>
      <c r="L26" s="184"/>
      <c r="M26" s="184"/>
      <c r="N26" s="184"/>
      <c r="O26" s="1838" t="str">
        <f>IF(COUNTIF($K$33:$K$37,"&gt;.03")&gt;0,"***Warning:You have entered an Rate % of Sales above the recommended 3%***","")</f>
        <v/>
      </c>
      <c r="P26" s="1839"/>
      <c r="Q26" s="179"/>
      <c r="R26" s="177"/>
      <c r="S26" s="177"/>
      <c r="T26" s="177"/>
      <c r="U26" s="177"/>
      <c r="V26" s="177"/>
      <c r="W26" s="177"/>
      <c r="X26" s="177"/>
      <c r="Y26" s="177"/>
      <c r="Z26" s="177"/>
      <c r="AA26" s="177"/>
      <c r="AB26" s="177"/>
      <c r="AC26" s="177"/>
      <c r="AN26" s="1538"/>
    </row>
    <row r="27" spans="1:40" s="796" customFormat="1" ht="18" hidden="1" customHeight="1" thickBot="1" x14ac:dyDescent="0.3">
      <c r="A27" s="243"/>
      <c r="B27" s="243"/>
      <c r="C27" s="443"/>
      <c r="D27" s="895" t="s">
        <v>523</v>
      </c>
      <c r="E27" s="808" t="s">
        <v>648</v>
      </c>
      <c r="F27" s="277"/>
      <c r="G27" s="228" t="s">
        <v>1380</v>
      </c>
      <c r="H27" s="532"/>
      <c r="I27" s="228" t="s">
        <v>1381</v>
      </c>
      <c r="J27" s="41"/>
      <c r="K27" s="228" t="s">
        <v>833</v>
      </c>
      <c r="L27" s="145"/>
      <c r="M27" s="194" t="s">
        <v>1382</v>
      </c>
      <c r="N27" s="145"/>
      <c r="O27" s="1840"/>
      <c r="P27" s="1841"/>
      <c r="Q27" s="179"/>
      <c r="R27" s="177"/>
      <c r="S27" s="177"/>
      <c r="T27" s="177"/>
      <c r="U27" s="177"/>
      <c r="V27" s="177"/>
      <c r="W27" s="177"/>
      <c r="X27" s="177"/>
      <c r="Y27" s="177"/>
      <c r="Z27" s="177"/>
      <c r="AA27" s="177"/>
      <c r="AB27" s="177"/>
      <c r="AC27" s="177"/>
      <c r="AN27" s="1538"/>
    </row>
    <row r="28" spans="1:40" s="796" customFormat="1" ht="18" hidden="1" customHeight="1" thickBot="1" x14ac:dyDescent="0.3">
      <c r="A28" s="243"/>
      <c r="B28" s="243"/>
      <c r="C28" s="443"/>
      <c r="D28" s="803" t="s">
        <v>1383</v>
      </c>
      <c r="E28" s="868" t="s">
        <v>1384</v>
      </c>
      <c r="F28" s="189"/>
      <c r="G28" s="952"/>
      <c r="H28" s="600"/>
      <c r="I28" s="952"/>
      <c r="J28" s="145"/>
      <c r="K28" s="1475"/>
      <c r="L28" s="145"/>
      <c r="M28" s="1497"/>
      <c r="N28" s="145"/>
      <c r="O28" s="1840"/>
      <c r="P28" s="1841"/>
      <c r="Q28" s="179"/>
      <c r="R28" s="177"/>
      <c r="S28" s="571"/>
      <c r="T28" s="177"/>
      <c r="U28" s="177"/>
      <c r="V28" s="177"/>
      <c r="W28" s="177"/>
      <c r="X28" s="177"/>
      <c r="Y28" s="177"/>
      <c r="Z28" s="177"/>
      <c r="AA28" s="177"/>
      <c r="AB28" s="177"/>
      <c r="AC28" s="177"/>
      <c r="AN28" s="1538"/>
    </row>
    <row r="29" spans="1:40" s="796" customFormat="1" hidden="1" x14ac:dyDescent="0.25">
      <c r="A29" s="243"/>
      <c r="B29" s="243"/>
      <c r="C29" s="443"/>
      <c r="D29" s="896"/>
      <c r="E29" s="191"/>
      <c r="F29" s="191"/>
      <c r="G29" s="533"/>
      <c r="H29" s="532"/>
      <c r="I29" s="145"/>
      <c r="J29" s="145"/>
      <c r="K29" s="145"/>
      <c r="L29" s="145"/>
      <c r="M29" s="145"/>
      <c r="N29" s="145"/>
      <c r="O29" s="1840"/>
      <c r="P29" s="1841"/>
      <c r="Q29" s="179"/>
      <c r="R29" s="177"/>
      <c r="S29" s="571" t="str">
        <f>IF($E29="NO","",IF($I28="Select Payment Method","X",""))</f>
        <v/>
      </c>
      <c r="T29" s="177"/>
      <c r="U29" s="177"/>
      <c r="V29" s="177"/>
      <c r="W29" s="177"/>
      <c r="X29" s="177"/>
      <c r="Y29" s="177"/>
      <c r="Z29" s="177"/>
      <c r="AA29" s="177"/>
      <c r="AB29" s="177"/>
      <c r="AC29" s="177"/>
      <c r="AN29" s="1538"/>
    </row>
    <row r="30" spans="1:40" s="796" customFormat="1" ht="18" hidden="1" customHeight="1" thickBot="1" x14ac:dyDescent="0.3">
      <c r="A30" s="243"/>
      <c r="B30" s="243"/>
      <c r="C30" s="443" t="str" cm="1">
        <f t="array" aca="1" ref="C30" ca="1">IF(INDIRECT("'Incentives'!C"&amp;'Configurable Tab'!C4+1) = "Yes",IF(INDIRECT("'Incentives'!E"&amp;'Configurable Tab'!C4+5)&lt;Welcome!$D$12,"Yes",IF(INDIRECT("'Incentives'!E"&amp;'Configurable Tab'!C4+5)='Required Info to Submit'!$F$17,"No","")),"")</f>
        <v/>
      </c>
      <c r="D30" s="804" t="s">
        <v>1385</v>
      </c>
      <c r="E30" s="1410" t="str">
        <f>IF(E27="Yes",IF(Welcome!$D$6="New",IF('Required Info to Submit'!F$14="","",'Required Info to Submit'!F$14),""),"")</f>
        <v/>
      </c>
      <c r="F30" s="191"/>
      <c r="G30" s="193" t="s">
        <v>517</v>
      </c>
      <c r="H30" s="532"/>
      <c r="I30" s="145"/>
      <c r="J30" s="145"/>
      <c r="K30" s="145"/>
      <c r="L30" s="145"/>
      <c r="M30" s="145"/>
      <c r="N30" s="145"/>
      <c r="O30" s="1840"/>
      <c r="P30" s="1841"/>
      <c r="Q30" s="179"/>
      <c r="R30" s="177"/>
      <c r="S30" s="571"/>
      <c r="T30" s="177"/>
      <c r="U30" s="177"/>
      <c r="V30" s="177"/>
      <c r="W30" s="177"/>
      <c r="X30" s="177"/>
      <c r="Y30" s="177"/>
      <c r="Z30" s="177"/>
      <c r="AA30" s="177"/>
      <c r="AB30" s="177"/>
      <c r="AC30" s="177"/>
      <c r="AN30" s="1538"/>
    </row>
    <row r="31" spans="1:40" s="796" customFormat="1" ht="18" hidden="1" customHeight="1" thickBot="1" x14ac:dyDescent="0.3">
      <c r="A31" s="243"/>
      <c r="B31" s="243"/>
      <c r="C31" s="443"/>
      <c r="D31" s="804" t="s">
        <v>1386</v>
      </c>
      <c r="E31" s="1410" t="str">
        <f>IF(E27="Yes",IF(Welcome!$D$6="New",IF('Required Info to Submit'!F$17="","",'Required Info to Submit'!F$17),""),"")</f>
        <v/>
      </c>
      <c r="F31" s="191"/>
      <c r="G31" s="884">
        <f>$H$9/52</f>
        <v>0</v>
      </c>
      <c r="H31" s="532"/>
      <c r="I31" s="145"/>
      <c r="J31" s="145"/>
      <c r="K31" s="145"/>
      <c r="L31" s="145"/>
      <c r="M31" s="188"/>
      <c r="N31" s="665"/>
      <c r="O31" s="188"/>
      <c r="P31" s="190"/>
      <c r="Q31" s="179"/>
      <c r="R31" s="177"/>
      <c r="S31" s="571"/>
      <c r="T31" s="177"/>
      <c r="U31" s="177"/>
      <c r="V31" s="177"/>
      <c r="W31" s="177"/>
      <c r="X31" s="177"/>
      <c r="Y31" s="177"/>
      <c r="Z31" s="177"/>
      <c r="AA31" s="177"/>
      <c r="AB31" s="177"/>
      <c r="AC31" s="177"/>
      <c r="AN31" s="1538"/>
    </row>
    <row r="32" spans="1:40" s="796" customFormat="1" ht="15.75" hidden="1" customHeight="1" thickBot="1" x14ac:dyDescent="0.25">
      <c r="A32" s="243"/>
      <c r="B32" s="243"/>
      <c r="C32" s="443"/>
      <c r="D32" s="896"/>
      <c r="E32" s="191"/>
      <c r="F32" s="191"/>
      <c r="G32" s="194" t="s">
        <v>1387</v>
      </c>
      <c r="H32" s="532"/>
      <c r="I32" s="194" t="s">
        <v>1388</v>
      </c>
      <c r="J32" s="145"/>
      <c r="K32" s="194" t="s">
        <v>1389</v>
      </c>
      <c r="L32" s="145"/>
      <c r="M32" s="1836"/>
      <c r="N32" s="665"/>
      <c r="O32" s="6" t="s">
        <v>490</v>
      </c>
      <c r="P32" s="190"/>
      <c r="Q32" s="179"/>
      <c r="R32" s="177"/>
      <c r="S32" s="571"/>
      <c r="T32" s="177"/>
      <c r="U32" s="177"/>
      <c r="V32" s="177"/>
      <c r="W32" s="177"/>
      <c r="X32" s="177"/>
      <c r="Y32" s="177"/>
      <c r="Z32" s="177"/>
      <c r="AA32" s="177"/>
      <c r="AB32" s="177"/>
      <c r="AC32" s="177"/>
      <c r="AN32" s="1538"/>
    </row>
    <row r="33" spans="1:40" s="796" customFormat="1" ht="18" hidden="1" customHeight="1" thickBot="1" x14ac:dyDescent="0.3">
      <c r="A33" s="243"/>
      <c r="B33" s="243"/>
      <c r="C33" s="443"/>
      <c r="D33" s="893" t="s">
        <v>520</v>
      </c>
      <c r="E33" s="894">
        <f>IFERROR(IF(G33="",0,(G33-$G$31)/$G$31),"")</f>
        <v>0</v>
      </c>
      <c r="F33" s="805" t="s">
        <v>997</v>
      </c>
      <c r="G33" s="1476"/>
      <c r="H33" s="532"/>
      <c r="I33" s="885" t="str">
        <f>IF(E27="Yes",IF(AND(G33&lt;&gt;"",G34="",G35="",G36="",G37=""),999999999.99,IF(G34&lt;&gt;"",G34-0.01,"")),"")</f>
        <v/>
      </c>
      <c r="J33" s="145"/>
      <c r="K33" s="1472"/>
      <c r="L33" s="145"/>
      <c r="M33" s="1836"/>
      <c r="N33" s="665"/>
      <c r="O33" s="887">
        <f>IF(Welcome!D6="New",IF(E27="Yes",IF(G34=0,K33*H$10,IF(OR(G34&lt;G31,G34=G31),K34*H$10,K33*H$10)),0),IF(Incentives!E31&lt;Welcome!D12,0,IF(E27="Yes",IF(G34=0,K33*H$10,IF(OR(G34&lt;G31,G34=G31),K34*H$10,K33*H$10)),0)))</f>
        <v>0</v>
      </c>
      <c r="P33" s="190"/>
      <c r="Q33" s="179"/>
      <c r="R33" s="177"/>
      <c r="S33" s="571"/>
      <c r="T33" s="177"/>
      <c r="U33" s="177"/>
      <c r="V33" s="177"/>
      <c r="W33" s="177"/>
      <c r="X33" s="177"/>
      <c r="Y33" s="177"/>
      <c r="Z33" s="177"/>
      <c r="AA33" s="177"/>
      <c r="AB33" s="177"/>
      <c r="AC33" s="177"/>
      <c r="AN33" s="1538"/>
    </row>
    <row r="34" spans="1:40" s="796" customFormat="1" ht="18" hidden="1" customHeight="1" thickBot="1" x14ac:dyDescent="0.3">
      <c r="A34" s="243"/>
      <c r="B34" s="243"/>
      <c r="C34" s="443"/>
      <c r="D34" s="893" t="s">
        <v>521</v>
      </c>
      <c r="E34" s="894">
        <f>IFERROR(IF(G34="",0,(G34-$G$31)/$G$31),"")</f>
        <v>0</v>
      </c>
      <c r="F34" s="805" t="s">
        <v>1390</v>
      </c>
      <c r="G34" s="1476"/>
      <c r="H34" s="532"/>
      <c r="I34" s="885" t="str">
        <f>IF(E27="Yes",IF(AND(G34&lt;&gt;"",G35="",G36="",G37="",I33&lt;&gt;999999999.99),999999999.99,IF(G35&lt;&gt;"",G35-0.01,"")),"")</f>
        <v/>
      </c>
      <c r="J34" s="806" t="str">
        <f>IF($E$15="YES","**Tier 1 used for modeling purposes**","")</f>
        <v/>
      </c>
      <c r="K34" s="1472"/>
      <c r="L34" s="807"/>
      <c r="M34" s="1836"/>
      <c r="N34" s="665"/>
      <c r="O34" s="665"/>
      <c r="P34" s="190"/>
      <c r="Q34" s="179"/>
      <c r="R34" s="177"/>
      <c r="S34" s="571"/>
      <c r="T34" s="177"/>
      <c r="U34" s="177"/>
      <c r="V34" s="177"/>
      <c r="W34" s="177"/>
      <c r="X34" s="177"/>
      <c r="Y34" s="177"/>
      <c r="Z34" s="177"/>
      <c r="AA34" s="177"/>
      <c r="AB34" s="177"/>
      <c r="AC34" s="177"/>
      <c r="AN34" s="1538"/>
    </row>
    <row r="35" spans="1:40" s="796" customFormat="1" ht="18" hidden="1" customHeight="1" thickBot="1" x14ac:dyDescent="0.3">
      <c r="A35" s="243"/>
      <c r="B35" s="243"/>
      <c r="C35" s="443"/>
      <c r="D35" s="893" t="s">
        <v>522</v>
      </c>
      <c r="E35" s="894">
        <f>IFERROR(IF(G35="",0,(G35-$G$31)/$G$31),"")</f>
        <v>0</v>
      </c>
      <c r="F35" s="805" t="s">
        <v>1391</v>
      </c>
      <c r="G35" s="1476"/>
      <c r="H35" s="532"/>
      <c r="I35" s="885" t="str">
        <f>IF(E27="Yes",IF(AND(G35&lt;&gt;"",G36="",G37="",I34&lt;&gt;999999999.99),999999999.99,IF(G36&lt;&gt;"",G36-0.01,"")),"")</f>
        <v/>
      </c>
      <c r="J35" s="145"/>
      <c r="K35" s="1472"/>
      <c r="L35" s="145"/>
      <c r="M35" s="1836"/>
      <c r="N35" s="665"/>
      <c r="O35" s="665"/>
      <c r="P35" s="190"/>
      <c r="Q35" s="179"/>
      <c r="R35" s="177"/>
      <c r="S35" s="571"/>
      <c r="T35" s="177"/>
      <c r="U35" s="177"/>
      <c r="V35" s="177"/>
      <c r="W35" s="177"/>
      <c r="X35" s="177"/>
      <c r="Y35" s="177"/>
      <c r="Z35" s="177"/>
      <c r="AA35" s="177"/>
      <c r="AB35" s="177"/>
      <c r="AC35" s="177"/>
      <c r="AN35" s="1538"/>
    </row>
    <row r="36" spans="1:40" s="796" customFormat="1" ht="18" hidden="1" customHeight="1" thickBot="1" x14ac:dyDescent="0.3">
      <c r="A36" s="243"/>
      <c r="B36" s="243"/>
      <c r="C36" s="443"/>
      <c r="D36" s="893" t="s">
        <v>1392</v>
      </c>
      <c r="E36" s="894">
        <f>IFERROR(IF(G36="",0,(G36-$G$31)/$G$31),"")</f>
        <v>0</v>
      </c>
      <c r="F36" s="805" t="s">
        <v>1393</v>
      </c>
      <c r="G36" s="1476"/>
      <c r="H36" s="532"/>
      <c r="I36" s="885" t="str">
        <f>IF(E27="Yes",IF(AND(G36&lt;&gt;"",G37="",I35&lt;&gt;999999999.99),999999999.99,IF(G37&lt;&gt;"",G37-0.01,"")),"")</f>
        <v/>
      </c>
      <c r="J36" s="145"/>
      <c r="K36" s="1472"/>
      <c r="L36" s="145"/>
      <c r="M36" s="1836"/>
      <c r="N36" s="665"/>
      <c r="O36" s="665"/>
      <c r="P36" s="190"/>
      <c r="Q36" s="179"/>
      <c r="R36" s="177"/>
      <c r="S36" s="571"/>
      <c r="T36" s="177"/>
      <c r="U36" s="177"/>
      <c r="V36" s="177"/>
      <c r="W36" s="177"/>
      <c r="X36" s="177"/>
      <c r="Y36" s="177"/>
      <c r="Z36" s="177"/>
      <c r="AA36" s="177"/>
      <c r="AB36" s="177"/>
      <c r="AC36" s="177"/>
      <c r="AN36" s="1538"/>
    </row>
    <row r="37" spans="1:40" s="796" customFormat="1" ht="18" hidden="1" customHeight="1" thickBot="1" x14ac:dyDescent="0.3">
      <c r="A37" s="243"/>
      <c r="B37" s="243"/>
      <c r="C37" s="443"/>
      <c r="D37" s="893" t="s">
        <v>1394</v>
      </c>
      <c r="E37" s="894">
        <f>IF(G37="",0,(G37-$G$31)/$G$31)</f>
        <v>0</v>
      </c>
      <c r="F37" s="805" t="s">
        <v>1395</v>
      </c>
      <c r="G37" s="1476"/>
      <c r="H37" s="532"/>
      <c r="I37" s="885" t="str">
        <f>IF(E27="Yes",IF(AND(G37&lt;&gt;"",I36&lt;&gt;999999999.99),999999999.99,""),"")</f>
        <v/>
      </c>
      <c r="J37" s="145"/>
      <c r="K37" s="1472"/>
      <c r="L37" s="145"/>
      <c r="M37" s="665"/>
      <c r="N37" s="665"/>
      <c r="O37" s="665"/>
      <c r="P37" s="190"/>
      <c r="Q37" s="179"/>
      <c r="R37" s="177"/>
      <c r="S37" s="571"/>
      <c r="T37" s="177"/>
      <c r="U37" s="177"/>
      <c r="V37" s="177"/>
      <c r="W37" s="177"/>
      <c r="X37" s="177"/>
      <c r="Y37" s="177"/>
      <c r="Z37" s="177"/>
      <c r="AA37" s="177"/>
      <c r="AB37" s="177"/>
      <c r="AC37" s="177"/>
      <c r="AN37" s="1538"/>
    </row>
    <row r="38" spans="1:40" s="796" customFormat="1" ht="20.25" hidden="1" customHeight="1" x14ac:dyDescent="0.25">
      <c r="A38" s="245"/>
      <c r="B38" s="245"/>
      <c r="C38" s="638"/>
      <c r="D38" s="898"/>
      <c r="E38" s="198"/>
      <c r="F38" s="199"/>
      <c r="G38" s="200"/>
      <c r="H38" s="201"/>
      <c r="I38" s="591">
        <f>COUNTIF($I$20:$I$23,"&gt;.03")</f>
        <v>0</v>
      </c>
      <c r="J38" s="202"/>
      <c r="K38" s="203"/>
      <c r="L38" s="202"/>
      <c r="M38" s="204"/>
      <c r="N38" s="204"/>
      <c r="O38" s="204"/>
      <c r="P38" s="205"/>
      <c r="Q38" s="179"/>
      <c r="R38" s="177"/>
      <c r="S38" s="571"/>
      <c r="T38" s="177"/>
      <c r="U38" s="177"/>
      <c r="V38" s="177"/>
      <c r="W38" s="177"/>
      <c r="X38" s="177"/>
      <c r="Y38" s="177"/>
      <c r="Z38" s="177"/>
      <c r="AA38" s="177"/>
      <c r="AB38" s="177"/>
      <c r="AC38" s="177"/>
      <c r="AN38" s="1538"/>
    </row>
    <row r="39" spans="1:40" s="796" customFormat="1" ht="10.15" hidden="1" customHeight="1" x14ac:dyDescent="0.25">
      <c r="A39" s="1553"/>
      <c r="C39" s="1339"/>
      <c r="D39" s="899"/>
      <c r="E39" s="206"/>
      <c r="F39" s="207"/>
      <c r="G39" s="208"/>
      <c r="H39" s="209"/>
      <c r="I39" s="210"/>
      <c r="J39" s="180"/>
      <c r="K39" s="211"/>
      <c r="L39" s="180"/>
      <c r="M39" s="212"/>
      <c r="N39" s="212"/>
      <c r="O39" s="212"/>
      <c r="P39" s="177"/>
      <c r="Q39" s="179"/>
      <c r="R39" s="177"/>
      <c r="S39" s="571"/>
      <c r="T39" s="177"/>
      <c r="U39" s="177"/>
      <c r="V39" s="177"/>
      <c r="W39" s="177"/>
      <c r="X39" s="177"/>
      <c r="Y39" s="177"/>
      <c r="Z39" s="177"/>
      <c r="AA39" s="177"/>
      <c r="AB39" s="177"/>
      <c r="AC39" s="177"/>
      <c r="AN39" s="1538"/>
    </row>
    <row r="40" spans="1:40" s="796" customFormat="1" ht="21.75" hidden="1" customHeight="1" thickBot="1" x14ac:dyDescent="0.25">
      <c r="A40" s="248"/>
      <c r="B40" s="248"/>
      <c r="C40" s="1337"/>
      <c r="D40" s="1857" t="s">
        <v>851</v>
      </c>
      <c r="E40" s="1857"/>
      <c r="F40" s="185"/>
      <c r="G40" s="1858"/>
      <c r="H40" s="1859"/>
      <c r="I40" s="186"/>
      <c r="J40" s="1862"/>
      <c r="K40" s="1862"/>
      <c r="L40" s="184"/>
      <c r="M40" s="184"/>
      <c r="N40" s="184"/>
      <c r="O40" s="1838" t="str">
        <f>IF(COUNTIF($K$47:$K$51,"&gt;.03")&gt;0,"***Warning:You have entered an Rate % of Sales above the recommended 3%***","")</f>
        <v/>
      </c>
      <c r="P40" s="1839"/>
      <c r="Q40" s="179"/>
      <c r="R40" s="177"/>
      <c r="S40" s="177"/>
      <c r="T40" s="177"/>
      <c r="U40" s="177"/>
      <c r="V40" s="177"/>
      <c r="W40" s="177"/>
      <c r="X40" s="177"/>
      <c r="Y40" s="177"/>
      <c r="Z40" s="177"/>
      <c r="AA40" s="177"/>
      <c r="AB40" s="177"/>
      <c r="AC40" s="177"/>
      <c r="AN40" s="1538"/>
    </row>
    <row r="41" spans="1:40" s="796" customFormat="1" ht="18" hidden="1" customHeight="1" thickBot="1" x14ac:dyDescent="0.3">
      <c r="A41" s="243"/>
      <c r="B41" s="243"/>
      <c r="C41" s="443"/>
      <c r="D41" s="895" t="s">
        <v>523</v>
      </c>
      <c r="E41" s="808" t="s">
        <v>648</v>
      </c>
      <c r="F41" s="277"/>
      <c r="G41" s="228" t="s">
        <v>1380</v>
      </c>
      <c r="H41" s="532"/>
      <c r="I41" s="228" t="s">
        <v>1381</v>
      </c>
      <c r="J41" s="41"/>
      <c r="K41" s="228" t="s">
        <v>833</v>
      </c>
      <c r="L41" s="145"/>
      <c r="M41" s="194" t="s">
        <v>1382</v>
      </c>
      <c r="N41" s="145"/>
      <c r="O41" s="1840"/>
      <c r="P41" s="1841"/>
      <c r="Q41" s="179"/>
      <c r="R41" s="177"/>
      <c r="S41" s="177"/>
      <c r="T41" s="177"/>
      <c r="U41" s="177"/>
      <c r="V41" s="177"/>
      <c r="W41" s="177"/>
      <c r="X41" s="177"/>
      <c r="Y41" s="177"/>
      <c r="Z41" s="177"/>
      <c r="AA41" s="177"/>
      <c r="AB41" s="177"/>
      <c r="AC41" s="177"/>
      <c r="AN41" s="1538"/>
    </row>
    <row r="42" spans="1:40" s="796" customFormat="1" ht="18" hidden="1" customHeight="1" thickBot="1" x14ac:dyDescent="0.3">
      <c r="A42" s="243"/>
      <c r="B42" s="243"/>
      <c r="C42" s="443"/>
      <c r="D42" s="803" t="s">
        <v>1383</v>
      </c>
      <c r="E42" s="868" t="s">
        <v>1384</v>
      </c>
      <c r="F42" s="189"/>
      <c r="G42" s="952"/>
      <c r="H42" s="600"/>
      <c r="I42" s="952"/>
      <c r="J42" s="145"/>
      <c r="K42" s="1475"/>
      <c r="L42" s="145"/>
      <c r="M42" s="1497"/>
      <c r="N42" s="145"/>
      <c r="O42" s="1840"/>
      <c r="P42" s="1841"/>
      <c r="Q42" s="179"/>
      <c r="R42" s="177"/>
      <c r="S42" s="571"/>
      <c r="T42" s="177"/>
      <c r="U42" s="177"/>
      <c r="V42" s="177"/>
      <c r="W42" s="177"/>
      <c r="X42" s="177"/>
      <c r="Y42" s="177"/>
      <c r="Z42" s="177"/>
      <c r="AA42" s="177"/>
      <c r="AB42" s="177"/>
      <c r="AC42" s="177"/>
      <c r="AN42" s="1538"/>
    </row>
    <row r="43" spans="1:40" s="796" customFormat="1" hidden="1" x14ac:dyDescent="0.25">
      <c r="A43" s="243"/>
      <c r="B43" s="243"/>
      <c r="C43" s="443"/>
      <c r="D43" s="896"/>
      <c r="E43" s="191"/>
      <c r="F43" s="191"/>
      <c r="G43" s="533"/>
      <c r="H43" s="532"/>
      <c r="I43" s="145"/>
      <c r="J43" s="145"/>
      <c r="K43" s="145"/>
      <c r="L43" s="145"/>
      <c r="M43" s="145"/>
      <c r="N43" s="145"/>
      <c r="O43" s="1840"/>
      <c r="P43" s="1841"/>
      <c r="Q43" s="179"/>
      <c r="R43" s="177"/>
      <c r="S43" s="571" t="str">
        <f>IF($E43="NO","",IF($I42="Select Payment Method","X",""))</f>
        <v/>
      </c>
      <c r="T43" s="177"/>
      <c r="U43" s="177"/>
      <c r="V43" s="177"/>
      <c r="W43" s="177"/>
      <c r="X43" s="177"/>
      <c r="Y43" s="177"/>
      <c r="Z43" s="177"/>
      <c r="AA43" s="177"/>
      <c r="AB43" s="177"/>
      <c r="AC43" s="177"/>
      <c r="AN43" s="1538"/>
    </row>
    <row r="44" spans="1:40" s="796" customFormat="1" ht="18" hidden="1" customHeight="1" thickBot="1" x14ac:dyDescent="0.3">
      <c r="A44" s="243"/>
      <c r="B44" s="243"/>
      <c r="C44" s="443" t="str" cm="1">
        <f t="array" aca="1" ref="C44" ca="1">IF(INDIRECT("'Incentives'!C"&amp;'Configurable Tab'!C5+1) = "Yes",IF(INDIRECT("'Incentives'!E"&amp;'Configurable Tab'!C5+5)&lt;Welcome!$D$12,"Yes",IF(INDIRECT("'Incentives'!E"&amp;'Configurable Tab'!C5+5)='Required Info to Submit'!$F$17,"No","")),"")</f>
        <v/>
      </c>
      <c r="D44" s="804" t="s">
        <v>1385</v>
      </c>
      <c r="E44" s="1410" t="str">
        <f>IF(E41="Yes",IF(Welcome!$D$6="New",IF('Required Info to Submit'!F$14="","",'Required Info to Submit'!F$14),""),"")</f>
        <v/>
      </c>
      <c r="F44" s="191"/>
      <c r="G44" s="193" t="s">
        <v>517</v>
      </c>
      <c r="H44" s="532"/>
      <c r="I44" s="145"/>
      <c r="J44" s="145"/>
      <c r="K44" s="145"/>
      <c r="L44" s="145"/>
      <c r="M44" s="145"/>
      <c r="N44" s="145"/>
      <c r="O44" s="1840"/>
      <c r="P44" s="1841"/>
      <c r="Q44" s="179"/>
      <c r="R44" s="177"/>
      <c r="S44" s="571"/>
      <c r="T44" s="177"/>
      <c r="U44" s="177"/>
      <c r="V44" s="177"/>
      <c r="W44" s="177"/>
      <c r="X44" s="177"/>
      <c r="Y44" s="177"/>
      <c r="Z44" s="177"/>
      <c r="AA44" s="177"/>
      <c r="AB44" s="177"/>
      <c r="AC44" s="177"/>
      <c r="AN44" s="1538"/>
    </row>
    <row r="45" spans="1:40" s="796" customFormat="1" ht="18" hidden="1" customHeight="1" thickBot="1" x14ac:dyDescent="0.3">
      <c r="A45" s="243"/>
      <c r="B45" s="243"/>
      <c r="C45" s="443"/>
      <c r="D45" s="804" t="s">
        <v>1386</v>
      </c>
      <c r="E45" s="1410" t="str">
        <f>IF(E41="Yes",IF(Welcome!$D$6="New",IF('Required Info to Submit'!F$17="","",'Required Info to Submit'!F$17),""),"")</f>
        <v/>
      </c>
      <c r="F45" s="191"/>
      <c r="G45" s="884">
        <f>$H$9/52</f>
        <v>0</v>
      </c>
      <c r="H45" s="532"/>
      <c r="I45" s="145"/>
      <c r="J45" s="145"/>
      <c r="K45" s="145"/>
      <c r="L45" s="145"/>
      <c r="M45" s="188"/>
      <c r="N45" s="665"/>
      <c r="O45" s="188"/>
      <c r="P45" s="190"/>
      <c r="Q45" s="179"/>
      <c r="R45" s="177"/>
      <c r="S45" s="571"/>
      <c r="T45" s="177"/>
      <c r="U45" s="177"/>
      <c r="V45" s="177"/>
      <c r="W45" s="177"/>
      <c r="X45" s="177"/>
      <c r="Y45" s="177"/>
      <c r="Z45" s="177"/>
      <c r="AA45" s="177"/>
      <c r="AB45" s="177"/>
      <c r="AC45" s="177"/>
      <c r="AN45" s="1538"/>
    </row>
    <row r="46" spans="1:40" s="796" customFormat="1" ht="18" hidden="1" customHeight="1" thickBot="1" x14ac:dyDescent="0.25">
      <c r="A46" s="243"/>
      <c r="B46" s="243"/>
      <c r="C46" s="443"/>
      <c r="D46" s="896"/>
      <c r="E46" s="191"/>
      <c r="F46" s="191"/>
      <c r="G46" s="194" t="s">
        <v>1387</v>
      </c>
      <c r="H46" s="532"/>
      <c r="I46" s="194" t="s">
        <v>1388</v>
      </c>
      <c r="J46" s="145"/>
      <c r="K46" s="194" t="s">
        <v>1389</v>
      </c>
      <c r="L46" s="145"/>
      <c r="M46" s="1836"/>
      <c r="N46" s="665"/>
      <c r="O46" s="6" t="s">
        <v>490</v>
      </c>
      <c r="P46" s="190"/>
      <c r="Q46" s="179"/>
      <c r="R46" s="177"/>
      <c r="S46" s="571"/>
      <c r="T46" s="177"/>
      <c r="U46" s="177"/>
      <c r="V46" s="177"/>
      <c r="W46" s="177"/>
      <c r="X46" s="177"/>
      <c r="Y46" s="177"/>
      <c r="Z46" s="177"/>
      <c r="AA46" s="177"/>
      <c r="AB46" s="177"/>
      <c r="AC46" s="177"/>
      <c r="AN46" s="1538"/>
    </row>
    <row r="47" spans="1:40" s="796" customFormat="1" ht="18" hidden="1" customHeight="1" thickBot="1" x14ac:dyDescent="0.3">
      <c r="A47" s="243"/>
      <c r="B47" s="243"/>
      <c r="C47" s="443"/>
      <c r="D47" s="893" t="s">
        <v>520</v>
      </c>
      <c r="E47" s="894">
        <f>IFERROR(IF(G47="",0,(G47-$G$45)/$G$45),"")</f>
        <v>0</v>
      </c>
      <c r="F47" s="805" t="s">
        <v>997</v>
      </c>
      <c r="G47" s="1476"/>
      <c r="H47" s="532"/>
      <c r="I47" s="1471" t="str">
        <f>IF(E41="Yes",IF(AND(G47&lt;&gt;"",G48="",G49="",G50="",G51=""),999999999.99,IF(G48&lt;&gt;"",G48-0.01,"")),"")</f>
        <v/>
      </c>
      <c r="J47" s="145"/>
      <c r="K47" s="1472"/>
      <c r="L47" s="145"/>
      <c r="M47" s="1836"/>
      <c r="N47" s="665"/>
      <c r="O47" s="887">
        <f>IF(Welcome!D6="New",IF(E41="Yes",IF(G48=0,K47*H$10,IF(OR(G48&lt;G45,G48=G45),K48*H$10,K47*H$10)),0),IF(Incentives!E45&lt;Welcome!D12,0,IF(E41="Yes",IF(G48=0,K47*H$10,IF(OR(G48&lt;G45,G48=G45),K48*H$10,K47*H$10)),0)))</f>
        <v>0</v>
      </c>
      <c r="P47" s="190"/>
      <c r="Q47" s="179"/>
      <c r="R47" s="177"/>
      <c r="S47" s="571"/>
      <c r="T47" s="177"/>
      <c r="U47" s="177"/>
      <c r="V47" s="177"/>
      <c r="W47" s="177"/>
      <c r="X47" s="177"/>
      <c r="Y47" s="177"/>
      <c r="Z47" s="177"/>
      <c r="AA47" s="177"/>
      <c r="AB47" s="177"/>
      <c r="AC47" s="177"/>
      <c r="AN47" s="1538"/>
    </row>
    <row r="48" spans="1:40" s="796" customFormat="1" ht="18" hidden="1" customHeight="1" thickBot="1" x14ac:dyDescent="0.3">
      <c r="A48" s="243"/>
      <c r="B48" s="243"/>
      <c r="C48" s="443"/>
      <c r="D48" s="893" t="s">
        <v>521</v>
      </c>
      <c r="E48" s="894">
        <f>IFERROR(IF(G48="",0,(G48-$G$45)/$G$45),"")</f>
        <v>0</v>
      </c>
      <c r="F48" s="805" t="s">
        <v>1390</v>
      </c>
      <c r="G48" s="1476"/>
      <c r="H48" s="532"/>
      <c r="I48" s="1471" t="str">
        <f>IF(E41="Yes",IF(AND(G48&lt;&gt;"",G49="",G50="",G51="",I47&lt;&gt;999999999.99),999999999.99,IF(G49&lt;&gt;"",G49-0.01,"")),"")</f>
        <v/>
      </c>
      <c r="J48" s="806" t="str">
        <f>IF($E$15="YES","**Tier 1 used for modeling purposes**","")</f>
        <v/>
      </c>
      <c r="K48" s="1472"/>
      <c r="L48" s="807"/>
      <c r="M48" s="1836"/>
      <c r="N48" s="665"/>
      <c r="O48" s="665"/>
      <c r="P48" s="190"/>
      <c r="Q48" s="179"/>
      <c r="R48" s="177"/>
      <c r="S48" s="571"/>
      <c r="T48" s="177"/>
      <c r="U48" s="177"/>
      <c r="V48" s="177"/>
      <c r="W48" s="177"/>
      <c r="X48" s="177"/>
      <c r="Y48" s="177"/>
      <c r="Z48" s="177"/>
      <c r="AA48" s="177"/>
      <c r="AB48" s="177"/>
      <c r="AC48" s="177"/>
      <c r="AN48" s="1538"/>
    </row>
    <row r="49" spans="1:40" s="796" customFormat="1" ht="18" hidden="1" customHeight="1" thickBot="1" x14ac:dyDescent="0.3">
      <c r="A49" s="243"/>
      <c r="B49" s="243"/>
      <c r="C49" s="443"/>
      <c r="D49" s="893" t="s">
        <v>522</v>
      </c>
      <c r="E49" s="894">
        <f>IFERROR(IF(G49="",0,(G49-$G$45)/$G$45),"")</f>
        <v>0</v>
      </c>
      <c r="F49" s="805" t="s">
        <v>1391</v>
      </c>
      <c r="G49" s="1476"/>
      <c r="H49" s="532"/>
      <c r="I49" s="1471" t="str">
        <f>IF(E41="Yes",IF(AND(G49&lt;&gt;"",G50="",G51="",I48&lt;&gt;999999999.99),999999999.99,IF(G50&lt;&gt;"",G50-0.01,"")),"")</f>
        <v/>
      </c>
      <c r="J49" s="145"/>
      <c r="K49" s="1472"/>
      <c r="L49" s="145"/>
      <c r="M49" s="1836"/>
      <c r="N49" s="665"/>
      <c r="O49" s="665"/>
      <c r="P49" s="190"/>
      <c r="Q49" s="179"/>
      <c r="R49" s="177"/>
      <c r="S49" s="571"/>
      <c r="T49" s="177"/>
      <c r="U49" s="177"/>
      <c r="V49" s="177"/>
      <c r="W49" s="177"/>
      <c r="X49" s="177"/>
      <c r="Y49" s="177"/>
      <c r="Z49" s="177"/>
      <c r="AA49" s="177"/>
      <c r="AB49" s="177"/>
      <c r="AC49" s="177"/>
      <c r="AN49" s="1538"/>
    </row>
    <row r="50" spans="1:40" s="796" customFormat="1" ht="18" hidden="1" customHeight="1" thickBot="1" x14ac:dyDescent="0.3">
      <c r="A50" s="243"/>
      <c r="B50" s="243"/>
      <c r="C50" s="443"/>
      <c r="D50" s="893" t="s">
        <v>1392</v>
      </c>
      <c r="E50" s="894">
        <f>IFERROR(IF(G50="",0,(G50-$G$45)/$G$45),"")</f>
        <v>0</v>
      </c>
      <c r="F50" s="805" t="s">
        <v>1393</v>
      </c>
      <c r="G50" s="1476"/>
      <c r="H50" s="532"/>
      <c r="I50" s="1471" t="str">
        <f>IF(E41="Yes",IF(AND(G50&lt;&gt;"",G51="",I49&lt;&gt;999999999.99),999999999.99,IF(G51&lt;&gt;"",G51-0.01,"")),"")</f>
        <v/>
      </c>
      <c r="J50" s="145"/>
      <c r="K50" s="1472"/>
      <c r="L50" s="145"/>
      <c r="M50" s="1836"/>
      <c r="N50" s="665"/>
      <c r="O50" s="665"/>
      <c r="P50" s="190"/>
      <c r="Q50" s="179"/>
      <c r="R50" s="177"/>
      <c r="S50" s="571"/>
      <c r="T50" s="177"/>
      <c r="U50" s="177"/>
      <c r="V50" s="177"/>
      <c r="W50" s="177"/>
      <c r="X50" s="177"/>
      <c r="Y50" s="177"/>
      <c r="Z50" s="177"/>
      <c r="AA50" s="177"/>
      <c r="AB50" s="177"/>
      <c r="AC50" s="177"/>
      <c r="AN50" s="1538"/>
    </row>
    <row r="51" spans="1:40" s="796" customFormat="1" ht="18" hidden="1" customHeight="1" thickBot="1" x14ac:dyDescent="0.3">
      <c r="A51" s="243"/>
      <c r="B51" s="243"/>
      <c r="C51" s="443"/>
      <c r="D51" s="893" t="s">
        <v>1394</v>
      </c>
      <c r="E51" s="894">
        <f>IFERROR(IF(G51="",0,(G51-$G$45)/$G$45),"")</f>
        <v>0</v>
      </c>
      <c r="F51" s="805" t="s">
        <v>1395</v>
      </c>
      <c r="G51" s="1476"/>
      <c r="H51" s="532"/>
      <c r="I51" s="1471" t="str">
        <f>IF(E41="Yes",IF(AND(G51&lt;&gt;"",I50&lt;&gt;999999999.99),999999999.99,""),"")</f>
        <v/>
      </c>
      <c r="J51" s="145"/>
      <c r="K51" s="1472"/>
      <c r="L51" s="145"/>
      <c r="M51" s="665"/>
      <c r="N51" s="665"/>
      <c r="O51" s="665"/>
      <c r="P51" s="190"/>
      <c r="Q51" s="179"/>
      <c r="R51" s="177"/>
      <c r="S51" s="571"/>
      <c r="T51" s="177"/>
      <c r="U51" s="177"/>
      <c r="V51" s="177"/>
      <c r="W51" s="177"/>
      <c r="X51" s="177"/>
      <c r="Y51" s="177"/>
      <c r="Z51" s="177"/>
      <c r="AA51" s="177"/>
      <c r="AB51" s="177"/>
      <c r="AC51" s="177"/>
      <c r="AN51" s="1538"/>
    </row>
    <row r="52" spans="1:40" s="796" customFormat="1" ht="20.25" hidden="1" customHeight="1" x14ac:dyDescent="0.25">
      <c r="A52" s="245"/>
      <c r="B52" s="245"/>
      <c r="C52" s="638"/>
      <c r="D52" s="898"/>
      <c r="E52" s="198"/>
      <c r="F52" s="199"/>
      <c r="G52" s="200"/>
      <c r="H52" s="201"/>
      <c r="I52" s="591">
        <f>COUNTIF($I$20:$I$23,"&gt;.03")</f>
        <v>0</v>
      </c>
      <c r="J52" s="202"/>
      <c r="K52" s="203"/>
      <c r="L52" s="202"/>
      <c r="M52" s="204"/>
      <c r="N52" s="204"/>
      <c r="O52" s="204"/>
      <c r="P52" s="205"/>
      <c r="Q52" s="179"/>
      <c r="R52" s="177"/>
      <c r="S52" s="571"/>
      <c r="T52" s="177"/>
      <c r="U52" s="177"/>
      <c r="V52" s="177"/>
      <c r="W52" s="177"/>
      <c r="X52" s="177"/>
      <c r="Y52" s="177"/>
      <c r="Z52" s="177"/>
      <c r="AA52" s="177"/>
      <c r="AB52" s="177"/>
      <c r="AC52" s="177"/>
      <c r="AN52" s="1538"/>
    </row>
    <row r="53" spans="1:40" s="796" customFormat="1" ht="10.15" hidden="1" customHeight="1" x14ac:dyDescent="0.25">
      <c r="A53" s="1553"/>
      <c r="C53" s="1339"/>
      <c r="D53" s="899"/>
      <c r="E53" s="206"/>
      <c r="F53" s="207"/>
      <c r="G53" s="208"/>
      <c r="H53" s="209"/>
      <c r="I53" s="210"/>
      <c r="J53" s="180"/>
      <c r="K53" s="211"/>
      <c r="L53" s="180"/>
      <c r="M53" s="212"/>
      <c r="N53" s="212"/>
      <c r="O53" s="212"/>
      <c r="P53" s="177"/>
      <c r="Q53" s="179"/>
      <c r="R53" s="177"/>
      <c r="S53" s="571"/>
      <c r="T53" s="177"/>
      <c r="U53" s="177"/>
      <c r="V53" s="177"/>
      <c r="W53" s="177"/>
      <c r="X53" s="177"/>
      <c r="Y53" s="177"/>
      <c r="Z53" s="177"/>
      <c r="AA53" s="177"/>
      <c r="AB53" s="177"/>
      <c r="AC53" s="177"/>
      <c r="AN53" s="1538"/>
    </row>
    <row r="54" spans="1:40" s="796" customFormat="1" ht="21.75" customHeight="1" thickBot="1" x14ac:dyDescent="0.3">
      <c r="A54" s="248"/>
      <c r="B54" s="248"/>
      <c r="C54" s="1337"/>
      <c r="D54" s="1845" t="s">
        <v>217</v>
      </c>
      <c r="E54" s="1845"/>
      <c r="F54" s="213"/>
      <c r="G54" s="214"/>
      <c r="H54" s="797"/>
      <c r="I54" s="215"/>
      <c r="J54" s="184"/>
      <c r="K54" s="216"/>
      <c r="L54" s="184"/>
      <c r="M54" s="217"/>
      <c r="N54" s="217"/>
      <c r="O54" s="1834" t="str">
        <f>IF(COUNTIF($K$61:$K$65,"&gt;.03")&gt;0,"***Warning:You have entered an Rate % of Sales above the recommended 3%***","")</f>
        <v/>
      </c>
      <c r="P54" s="1835"/>
      <c r="Q54" s="179"/>
      <c r="R54" s="177"/>
      <c r="S54" s="571"/>
      <c r="T54" s="177"/>
      <c r="U54" s="177"/>
      <c r="V54" s="177"/>
      <c r="W54" s="972" t="str">
        <f>IF(E237="Yes","NCA2","")</f>
        <v/>
      </c>
      <c r="X54" s="972" t="str">
        <f>IF($W54&lt;&gt;"",E238,"")</f>
        <v/>
      </c>
      <c r="Y54" s="972" t="str">
        <f>IF(AND($W54&lt;&gt;"",$X54&lt;&gt;"Please Select"),IF(G238="","Yes","No"),"No")</f>
        <v>No</v>
      </c>
      <c r="Z54" s="972" t="str">
        <f>IF(AND($W54&lt;&gt;"",$X54&lt;&gt;"Please Select"),IF(I238="","Yes","No"),"No")</f>
        <v>No</v>
      </c>
      <c r="AA54" s="972" t="str">
        <f>IF(AND($W54&lt;&gt;"",$X54&lt;&gt;"Please Select"),IF(K238="","Yes","No"),"No")</f>
        <v>No</v>
      </c>
      <c r="AB54" s="972" t="str">
        <f>IF(AND($W54&lt;&gt;"",AND(I238&lt;&gt;"Check",K238&lt;&gt;"Customer Units")),IF(M238="","Yes","No"),"No")</f>
        <v>No</v>
      </c>
      <c r="AC54" s="177"/>
      <c r="AD54" s="972" t="str">
        <f>IF(X54&lt;&gt;"",IF(K241="","Yes","No"),"No")</f>
        <v>No</v>
      </c>
      <c r="AN54" s="259" t="str">
        <f>IF(X54&lt;&gt;"",IF(G244="","Yes","No"),"No")</f>
        <v>No</v>
      </c>
    </row>
    <row r="55" spans="1:40" s="796" customFormat="1" ht="18" customHeight="1" thickBot="1" x14ac:dyDescent="0.3">
      <c r="A55" s="243"/>
      <c r="B55" s="243"/>
      <c r="C55" s="443"/>
      <c r="D55" s="895" t="s">
        <v>523</v>
      </c>
      <c r="E55" s="821" t="s">
        <v>648</v>
      </c>
      <c r="F55" s="196"/>
      <c r="G55" s="228" t="s">
        <v>1380</v>
      </c>
      <c r="H55" s="532"/>
      <c r="I55" s="228" t="s">
        <v>1381</v>
      </c>
      <c r="J55" s="41"/>
      <c r="K55" s="228" t="s">
        <v>833</v>
      </c>
      <c r="L55" s="145"/>
      <c r="M55" s="194" t="s">
        <v>1382</v>
      </c>
      <c r="N55" s="218"/>
      <c r="O55" s="1836"/>
      <c r="P55" s="1837"/>
      <c r="Q55" s="179"/>
      <c r="R55" s="177"/>
      <c r="S55" s="571"/>
      <c r="T55" s="177"/>
      <c r="U55" s="177"/>
      <c r="V55" s="177"/>
      <c r="W55" s="972" t="str">
        <f>IF(E248="Yes","NCA3","")</f>
        <v/>
      </c>
      <c r="X55" s="972" t="str">
        <f>IF($W55&lt;&gt;"",E249,"")</f>
        <v/>
      </c>
      <c r="Y55" s="972" t="str">
        <f>IF(AND($W55&lt;&gt;"",$X55&lt;&gt;"Please Select"),IF(G249="","Yes","No"),"No")</f>
        <v>No</v>
      </c>
      <c r="Z55" s="972" t="str">
        <f>IF(AND($W55&lt;&gt;"",$X55&lt;&gt;"Please Select"),IF(I249="","Yes","No"),"No")</f>
        <v>No</v>
      </c>
      <c r="AA55" s="1534" t="str">
        <f>IF(AND($W55&lt;&gt;"",$X55&lt;&gt;"Please Select"),IF(K249="","Yes","No"),"No")</f>
        <v>No</v>
      </c>
      <c r="AB55" s="972" t="str">
        <f>IF(AND($W55&lt;&gt;"",AND(I249&lt;&gt;"Check",K249&lt;&gt;"Customer Units")),IF(M249="","Yes","No"),"No")</f>
        <v>No</v>
      </c>
      <c r="AC55" s="177"/>
      <c r="AD55" s="972" t="str">
        <f>IF(X55&lt;&gt;"",IF(K252="","Yes","No"),"No")</f>
        <v>No</v>
      </c>
      <c r="AN55" s="259" t="str">
        <f>IF(X55&lt;&gt;"",IF(G255="","Yes","No"),"No")</f>
        <v>No</v>
      </c>
    </row>
    <row r="56" spans="1:40" s="796" customFormat="1" ht="33" customHeight="1" thickBot="1" x14ac:dyDescent="0.3">
      <c r="A56" s="243"/>
      <c r="B56" s="243"/>
      <c r="C56" s="443"/>
      <c r="D56" s="803" t="s">
        <v>1383</v>
      </c>
      <c r="E56" s="1470" t="s">
        <v>1384</v>
      </c>
      <c r="F56" s="219"/>
      <c r="G56" s="1475"/>
      <c r="H56" s="532"/>
      <c r="I56" s="1475"/>
      <c r="J56" s="145"/>
      <c r="K56" s="1475"/>
      <c r="L56" s="145"/>
      <c r="M56" s="1497"/>
      <c r="N56" s="218"/>
      <c r="O56" s="1836"/>
      <c r="P56" s="1837"/>
      <c r="Q56" s="179"/>
      <c r="R56" s="944"/>
      <c r="S56" s="571"/>
      <c r="T56" s="177"/>
      <c r="U56" s="177"/>
      <c r="V56" s="177"/>
      <c r="W56" s="972" t="str">
        <f>IF(E259="Yes","NCA4","")</f>
        <v/>
      </c>
      <c r="X56" s="972" t="str">
        <f>IF($W56&lt;&gt;"",E260,"")</f>
        <v/>
      </c>
      <c r="Y56" s="972" t="str">
        <f>IF(AND($W56&lt;&gt;"",$X56&lt;&gt;"Please Select"),IF(G260="","Yes","No"),"No")</f>
        <v>No</v>
      </c>
      <c r="Z56" s="972" t="str">
        <f>IF(AND($W56&lt;&gt;"",$X56&lt;&gt;"Please Select"),IF(I260="","Yes","No"),"No")</f>
        <v>No</v>
      </c>
      <c r="AA56" s="1534" t="str">
        <f>IF(AND($W56&lt;&gt;"",$X56&lt;&gt;"Please Select"),IF(K260="","Yes","No"),"No")</f>
        <v>No</v>
      </c>
      <c r="AB56" s="972" t="str">
        <f>IF(AND($W56&lt;&gt;"",AND(I260&lt;&gt;"Check",K260&lt;&gt;"Customer Units")),IF(M260="","Yes","No"),"No")</f>
        <v>No</v>
      </c>
      <c r="AC56" s="177"/>
      <c r="AD56" s="972" t="str">
        <f>IF(X56&lt;&gt;"",IF(K263="","Yes","No"),"No")</f>
        <v>No</v>
      </c>
      <c r="AN56" s="259" t="str">
        <f>IF(X56&lt;&gt;"",IF(G266="","Yes","No"),"No")</f>
        <v>No</v>
      </c>
    </row>
    <row r="57" spans="1:40" s="796" customFormat="1" ht="18" customHeight="1" thickBot="1" x14ac:dyDescent="0.3">
      <c r="A57" s="243"/>
      <c r="B57" s="243"/>
      <c r="C57" s="443"/>
      <c r="D57" s="7"/>
      <c r="E57" s="145"/>
      <c r="F57" s="219"/>
      <c r="G57" s="532"/>
      <c r="H57" s="532"/>
      <c r="I57" s="220"/>
      <c r="J57" s="145"/>
      <c r="K57" s="145"/>
      <c r="L57" s="145"/>
      <c r="M57" s="145"/>
      <c r="N57" s="145"/>
      <c r="O57" s="1836"/>
      <c r="P57" s="1837"/>
      <c r="Q57" s="179"/>
      <c r="R57" s="177"/>
      <c r="S57" s="571" t="str">
        <f>IF($E57="NO","",IF($I56="Select Payment Method","X",""))</f>
        <v/>
      </c>
      <c r="T57" s="177"/>
      <c r="U57" s="177"/>
      <c r="V57" s="177"/>
      <c r="W57" s="972" t="str">
        <f>IF(E270="Yes","NCA5","")</f>
        <v/>
      </c>
      <c r="X57" s="972" t="str">
        <f>IF($W57&lt;&gt;"",E271,"")</f>
        <v/>
      </c>
      <c r="Y57" s="972" t="str">
        <f>IF(AND($W57&lt;&gt;"",$X57&lt;&gt;"Please Select"),IF(G271="","Yes","No"),"No")</f>
        <v>No</v>
      </c>
      <c r="Z57" s="972" t="str">
        <f>IF(AND($W57&lt;&gt;"",$X57&lt;&gt;"Please Select"),IF(I271="","Yes","No"),"No")</f>
        <v>No</v>
      </c>
      <c r="AA57" s="1534" t="str">
        <f>IF(AND($W57&lt;&gt;"",$X57&lt;&gt;"Please Select"),IF(K271="","Yes","No"),"No")</f>
        <v>No</v>
      </c>
      <c r="AB57" s="972" t="str">
        <f>IF(AND($W57&lt;&gt;"",AND(I271&lt;&gt;"Check",K271&lt;&gt;"Customer Units")),IF(M271="","Yes","No"),"No")</f>
        <v>No</v>
      </c>
      <c r="AC57" s="177"/>
      <c r="AD57" s="972" t="str">
        <f>IF(X57&lt;&gt;"",IF(K274="","Yes","No"),"No")</f>
        <v>No</v>
      </c>
      <c r="AN57" s="259" t="str">
        <f>IF(X57&lt;&gt;"",IF(G277="","Yes","No"),"No")</f>
        <v>No</v>
      </c>
    </row>
    <row r="58" spans="1:40" s="796" customFormat="1" ht="18" customHeight="1" thickBot="1" x14ac:dyDescent="0.3">
      <c r="A58" s="243"/>
      <c r="B58" s="243"/>
      <c r="C58" s="443" t="str" cm="1">
        <f t="array" aca="1" ref="C58" ca="1">IF(INDIRECT("'Incentives'!C"&amp;'Configurable Tab'!C6+1) = "Yes",IF(INDIRECT("'Incentives'!E"&amp;'Configurable Tab'!C6+5)&lt;Welcome!$D$12,"Yes",IF(INDIRECT("'Incentives'!E"&amp;'Configurable Tab'!C6+5)='Required Info to Submit'!$F$17,"No","")),"")</f>
        <v/>
      </c>
      <c r="D58" s="810" t="s">
        <v>1385</v>
      </c>
      <c r="E58" s="1409" t="str">
        <f>IF(E55="Yes",IF(Welcome!$D$6="New",IF('Required Info to Submit'!F$14="","",'Required Info to Submit'!F$14),""),"")</f>
        <v/>
      </c>
      <c r="F58" s="192"/>
      <c r="G58" s="193" t="s">
        <v>716</v>
      </c>
      <c r="H58" s="532"/>
      <c r="I58" s="195"/>
      <c r="J58" s="145"/>
      <c r="K58" s="195"/>
      <c r="L58" s="145"/>
      <c r="M58" s="188"/>
      <c r="N58" s="188"/>
      <c r="O58" s="1836"/>
      <c r="P58" s="1837"/>
      <c r="Q58" s="179"/>
      <c r="R58" s="177"/>
      <c r="S58" s="571"/>
      <c r="T58" s="177"/>
      <c r="U58" s="177"/>
      <c r="V58" s="177"/>
      <c r="W58" s="972" t="str">
        <f>IF(E281="Yes","NCA6","")</f>
        <v/>
      </c>
      <c r="X58" s="972" t="str">
        <f>IF($W58&lt;&gt;"",E282,"")</f>
        <v/>
      </c>
      <c r="Y58" s="972" t="str">
        <f>IF(AND($W58&lt;&gt;"",$X58&lt;&gt;"Please Select"),IF(G282="","Yes","No"),"No")</f>
        <v>No</v>
      </c>
      <c r="Z58" s="972" t="str">
        <f>IF(AND($W58&lt;&gt;"",$X58&lt;&gt;"Please Select"),IF(I282="","Yes","No"),"No")</f>
        <v>No</v>
      </c>
      <c r="AA58" s="1534" t="str">
        <f>IF(AND($W58&lt;&gt;"",$X58&lt;&gt;"Please Select"),IF(K282="","Yes","No"),"No")</f>
        <v>No</v>
      </c>
      <c r="AB58" s="972" t="str">
        <f>IF(AND($W58&lt;&gt;"",AND(I282&lt;&gt;"Check",K282&lt;&gt;"Customer Units")),IF(M282="","Yes","No"),"No")</f>
        <v>No</v>
      </c>
      <c r="AC58" s="177"/>
      <c r="AD58" s="972" t="str">
        <f>IF(X58&lt;&gt;"",IF(K285="","Yes","No"),"No")</f>
        <v>No</v>
      </c>
      <c r="AN58" s="259" t="str">
        <f>IF(X58&lt;&gt;"",IF(G288="","Yes","No"),"No")</f>
        <v>No</v>
      </c>
    </row>
    <row r="59" spans="1:40" s="796" customFormat="1" ht="18" customHeight="1" thickBot="1" x14ac:dyDescent="0.3">
      <c r="A59" s="243"/>
      <c r="B59" s="243"/>
      <c r="C59" s="443"/>
      <c r="D59" s="810" t="s">
        <v>1386</v>
      </c>
      <c r="E59" s="1409" t="str">
        <f>IF(E55="Yes",IF(Welcome!$D$6="New",IF('Required Info to Submit'!F$17="","",'Required Info to Submit'!F$17),""),"")</f>
        <v/>
      </c>
      <c r="F59" s="196"/>
      <c r="G59" s="888">
        <f>IFERROR($H$5/($H$6*52*Welcome!$D$18),0)</f>
        <v>0</v>
      </c>
      <c r="H59" s="532"/>
      <c r="I59" s="195"/>
      <c r="J59" s="145"/>
      <c r="K59" s="197"/>
      <c r="L59" s="197"/>
      <c r="M59" s="195"/>
      <c r="N59" s="195"/>
      <c r="O59" s="188"/>
      <c r="P59" s="190"/>
      <c r="Q59" s="179"/>
      <c r="R59" s="177"/>
      <c r="S59" s="571"/>
      <c r="T59" s="177"/>
      <c r="U59" s="177"/>
      <c r="V59" s="177"/>
      <c r="W59" s="972" t="str">
        <f>IF(E292="Yes","NCA7","")</f>
        <v/>
      </c>
      <c r="X59" s="972" t="str">
        <f>IF($W59&lt;&gt;"",E293,"")</f>
        <v/>
      </c>
      <c r="Y59" s="972" t="str">
        <f>IF(AND($W59&lt;&gt;"",$X59&lt;&gt;"Please Select"),IF(G293="","Yes","No"),"No")</f>
        <v>No</v>
      </c>
      <c r="Z59" s="972" t="str">
        <f>IF(AND($W59&lt;&gt;"",$X59&lt;&gt;"Please Select"),IF(I293="","Yes","No"),"No")</f>
        <v>No</v>
      </c>
      <c r="AA59" s="1534" t="str">
        <f>IF(AND($W59&lt;&gt;"",$X59&lt;&gt;"Please Select"),IF(K293="","Yes","No"),"No")</f>
        <v>No</v>
      </c>
      <c r="AB59" s="972" t="str">
        <f>IF(AND($W59&lt;&gt;"",AND(I293&lt;&gt;"Check",K293&lt;&gt;"Customer Units")),IF(M293="","Yes","No"),"No")</f>
        <v>No</v>
      </c>
      <c r="AC59" s="177"/>
      <c r="AD59" s="972" t="str">
        <f>IF(X59&lt;&gt;"",IF(K296="","Yes","No"),"No")</f>
        <v>No</v>
      </c>
      <c r="AN59" s="259" t="str">
        <f>IF(X59&lt;&gt;"",IF(G299="","Yes","No"),"No")</f>
        <v>No</v>
      </c>
    </row>
    <row r="60" spans="1:40" s="796" customFormat="1" ht="18" customHeight="1" thickBot="1" x14ac:dyDescent="0.3">
      <c r="A60" s="243"/>
      <c r="B60" s="243"/>
      <c r="C60" s="443"/>
      <c r="D60" s="900"/>
      <c r="E60" s="197"/>
      <c r="F60" s="196"/>
      <c r="G60" s="194" t="s">
        <v>1387</v>
      </c>
      <c r="H60" s="532"/>
      <c r="I60" s="194" t="s">
        <v>1388</v>
      </c>
      <c r="J60" s="197"/>
      <c r="K60" s="194" t="s">
        <v>1389</v>
      </c>
      <c r="L60" s="197"/>
      <c r="M60" s="1886"/>
      <c r="N60" s="195"/>
      <c r="O60" s="6" t="s">
        <v>490</v>
      </c>
      <c r="P60" s="190"/>
      <c r="Q60" s="179"/>
      <c r="R60" s="177"/>
      <c r="S60" s="571"/>
      <c r="T60" s="177"/>
      <c r="U60" s="177"/>
      <c r="V60" s="177"/>
      <c r="W60" s="972" t="str">
        <f>IF(E303="Yes","NCA8","")</f>
        <v/>
      </c>
      <c r="X60" s="972" t="str">
        <f>IF($W60&lt;&gt;"",E304,"")</f>
        <v/>
      </c>
      <c r="Y60" s="972" t="str">
        <f>IF(AND($W60&lt;&gt;"",$X60&lt;&gt;"Please Select"),IF(G304="","Yes","No"),"No")</f>
        <v>No</v>
      </c>
      <c r="Z60" s="972" t="str">
        <f>IF(AND($W60&lt;&gt;"",$X60&lt;&gt;"Please Select"),IF(I304="","Yes","No"),"No")</f>
        <v>No</v>
      </c>
      <c r="AA60" s="1534" t="str">
        <f>IF(AND($W60&lt;&gt;"",$X60&lt;&gt;"Please Select"),IF(K304="","Yes","No"),"No")</f>
        <v>No</v>
      </c>
      <c r="AB60" s="972" t="str">
        <f>IF(AND($W60&lt;&gt;"",AND(I304&lt;&gt;"Check",K304&lt;&gt;"Customer Units")),IF(M304="","Yes","No"),"No")</f>
        <v>No</v>
      </c>
      <c r="AC60" s="177"/>
      <c r="AD60" s="972" t="str">
        <f>IF(X60&lt;&gt;"",IF(K307="","Yes","No"),"No")</f>
        <v>No</v>
      </c>
      <c r="AN60" s="259" t="str">
        <f>IF(X60&lt;&gt;"",IF(G310="","Yes","No"),"No")</f>
        <v>No</v>
      </c>
    </row>
    <row r="61" spans="1:40" s="796" customFormat="1" ht="21.75" customHeight="1" thickBot="1" x14ac:dyDescent="0.3">
      <c r="A61" s="243"/>
      <c r="B61" s="243"/>
      <c r="C61" s="443"/>
      <c r="D61" s="893" t="s">
        <v>520</v>
      </c>
      <c r="E61" s="894">
        <f>IFERROR(IF(G61="",0,(G61-$G$59)/$G$59),"")</f>
        <v>0</v>
      </c>
      <c r="F61" s="805" t="s">
        <v>997</v>
      </c>
      <c r="G61" s="1476"/>
      <c r="H61" s="532"/>
      <c r="I61" s="885" t="str">
        <f>IF(E55="Yes",IF(AND(G61&lt;&gt;"",G62="",G63="",G64="",G65=""),999999999.99,IF(G62&lt;&gt;"",G62-0.01,"")),"")</f>
        <v/>
      </c>
      <c r="J61" s="806"/>
      <c r="K61" s="1472"/>
      <c r="L61" s="807"/>
      <c r="M61" s="1886"/>
      <c r="N61" s="197"/>
      <c r="O61" s="887">
        <f>IF(Welcome!D6="New",IF(E55="Yes",IF(G62=0,K61*H$10,IF(OR(G62&lt;G59,G62=G59),K62*H$10,K61*H$10)),0),IF(Incentives!E59&lt;Welcome!D12,0,IF(E55="Yes",IF(G62=0,K61*H$10,IF(OR(G62&lt;G59,G62=G59),K62*H$10,K61*H$10)),0)))</f>
        <v>0</v>
      </c>
      <c r="P61" s="190"/>
      <c r="Q61" s="179"/>
      <c r="R61" s="177"/>
      <c r="S61" s="571"/>
      <c r="T61" s="177"/>
      <c r="U61" s="177"/>
      <c r="V61" s="177"/>
      <c r="W61" s="972" t="str">
        <f>IF(E314="Yes","NCA9","")</f>
        <v/>
      </c>
      <c r="X61" s="972" t="str">
        <f>IF($W61&lt;&gt;"",E315,"")</f>
        <v/>
      </c>
      <c r="Y61" s="972" t="str">
        <f>IF(AND($W61&lt;&gt;"",$X61&lt;&gt;"Please Select"),IF(G315="","Yes","No"),"No")</f>
        <v>No</v>
      </c>
      <c r="Z61" s="972" t="str">
        <f>IF(AND($W61&lt;&gt;"",$X61&lt;&gt;"Please Select"),IF(I315="","Yes","No"),"No")</f>
        <v>No</v>
      </c>
      <c r="AA61" s="1534" t="str">
        <f>IF(AND($W61&lt;&gt;"",$X61&lt;&gt;"Please Select"),IF(K315="","Yes","No"),"No")</f>
        <v>No</v>
      </c>
      <c r="AB61" s="972" t="str">
        <f>IF(AND($W61&lt;&gt;"",AND(I315&lt;&gt;"Check",K315&lt;&gt;"Customer Units")),IF(M315="","Yes","No"),"No")</f>
        <v>No</v>
      </c>
      <c r="AC61" s="177"/>
      <c r="AD61" s="972" t="str">
        <f>IF(X61&lt;&gt;"",IF(K318="","Yes","No"),"No")</f>
        <v>No</v>
      </c>
      <c r="AN61" s="259" t="str">
        <f>IF(X61&lt;&gt;"",IF(G321="","Yes","No"),"No")</f>
        <v>No</v>
      </c>
    </row>
    <row r="62" spans="1:40" s="796" customFormat="1" ht="24" customHeight="1" thickBot="1" x14ac:dyDescent="0.3">
      <c r="A62" s="243"/>
      <c r="B62" s="243"/>
      <c r="C62" s="443"/>
      <c r="D62" s="893" t="s">
        <v>521</v>
      </c>
      <c r="E62" s="894">
        <f>IFERROR(IF(G62="",0,(G62-$G$59)/$G$59),"")</f>
        <v>0</v>
      </c>
      <c r="F62" s="805" t="s">
        <v>1390</v>
      </c>
      <c r="G62" s="1476"/>
      <c r="H62" s="532"/>
      <c r="I62" s="885" t="str">
        <f>IF(E55="Yes",IF(AND(G62&lt;&gt;"",G63="",G64="",G65="",I61&lt;&gt;999999999.99),999999999.99,IF(G63&lt;&gt;"",G63-0.01,"")),"")</f>
        <v/>
      </c>
      <c r="J62" s="145"/>
      <c r="K62" s="1472"/>
      <c r="L62" s="145"/>
      <c r="M62" s="1886"/>
      <c r="N62" s="665"/>
      <c r="O62" s="665"/>
      <c r="P62" s="190"/>
      <c r="Q62" s="179"/>
      <c r="R62" s="177"/>
      <c r="S62" s="571"/>
      <c r="T62" s="177"/>
      <c r="U62" s="177"/>
      <c r="V62" s="177"/>
      <c r="W62" s="972" t="str">
        <f>IF(E325="Yes","NCA10","")</f>
        <v/>
      </c>
      <c r="X62" s="972" t="str">
        <f>IF($W62&lt;&gt;"",E326,"")</f>
        <v/>
      </c>
      <c r="Y62" s="972" t="str">
        <f>IF(AND($W62&lt;&gt;"",$X62&lt;&gt;"Please Select"),IF(G326="","Yes","No"),"No")</f>
        <v>No</v>
      </c>
      <c r="Z62" s="972" t="str">
        <f>IF(AND($W62&lt;&gt;"",$X62&lt;&gt;"Please Select"),IF(I326="","Yes","No"),"No")</f>
        <v>No</v>
      </c>
      <c r="AA62" s="1534" t="str">
        <f>IF(AND($W62&lt;&gt;"",$X62&lt;&gt;"Please Select"),IF(K326="","Yes","No"),"No")</f>
        <v>No</v>
      </c>
      <c r="AB62" s="972" t="str">
        <f>IF(AND($W62&lt;&gt;"",AND(I326&lt;&gt;"Check",K326&lt;&gt;"Customer Units")),IF(M326="","Yes","No"),"No")</f>
        <v>No</v>
      </c>
      <c r="AC62" s="177"/>
      <c r="AD62" s="972" t="str">
        <f>IF(X62&lt;&gt;"",IF(K329="","Yes","No"),"No")</f>
        <v>No</v>
      </c>
      <c r="AE62" s="1675"/>
      <c r="AF62" s="1675"/>
      <c r="AG62" s="1675"/>
      <c r="AH62" s="1675"/>
      <c r="AI62" s="1675"/>
      <c r="AJ62" s="1675"/>
      <c r="AK62" s="1675"/>
      <c r="AL62" s="1675"/>
      <c r="AM62" s="1675"/>
      <c r="AN62" s="259" t="str">
        <f>IF(X62&lt;&gt;"",IF(G332="","Yes","No"),"No")</f>
        <v>No</v>
      </c>
    </row>
    <row r="63" spans="1:40" s="796" customFormat="1" ht="25.5" customHeight="1" thickBot="1" x14ac:dyDescent="0.3">
      <c r="A63" s="243"/>
      <c r="B63" s="243"/>
      <c r="C63" s="443"/>
      <c r="D63" s="893" t="s">
        <v>522</v>
      </c>
      <c r="E63" s="894">
        <f>IFERROR(IF(G63="",0,(G63-$G$59)/$G$59),"")</f>
        <v>0</v>
      </c>
      <c r="F63" s="805" t="s">
        <v>1391</v>
      </c>
      <c r="G63" s="1476"/>
      <c r="H63" s="532"/>
      <c r="I63" s="885" t="str">
        <f>IF(E55="Yes",IF(AND(G63&lt;&gt;"",G64="",G65="",I62&lt;&gt;999999999.99),999999999.99,IF(G64&lt;&gt;"",G64-0.01,"")),"")</f>
        <v/>
      </c>
      <c r="J63" s="145"/>
      <c r="K63" s="1472"/>
      <c r="L63" s="145"/>
      <c r="M63" s="1886"/>
      <c r="N63" s="1346"/>
      <c r="O63" s="1346"/>
      <c r="P63" s="190"/>
      <c r="Q63" s="179"/>
      <c r="R63" s="177"/>
      <c r="S63" s="571"/>
      <c r="T63" s="177"/>
      <c r="U63" s="177"/>
      <c r="V63" s="177"/>
      <c r="W63" s="972" t="str">
        <f>IF(E336="Yes","NCA11","")</f>
        <v/>
      </c>
      <c r="X63" s="972" t="str">
        <f>IF($W63&lt;&gt;"",E337,"")</f>
        <v/>
      </c>
      <c r="Y63" s="972" t="str">
        <f>IF(AND($W63&lt;&gt;"",$X63&lt;&gt;"Please Select"),IF(G337="","Yes","No"),"No")</f>
        <v>No</v>
      </c>
      <c r="Z63" s="972" t="str">
        <f>IF(AND($W63&lt;&gt;"",$X63&lt;&gt;"Please Select"),IF(I337="","Yes","No"),"No")</f>
        <v>No</v>
      </c>
      <c r="AA63" s="1534" t="str">
        <f>IF(AND($W63&lt;&gt;"",$X63&lt;&gt;"Please Select"),IF(K337="","Yes","No"),"No")</f>
        <v>No</v>
      </c>
      <c r="AB63" s="972" t="str">
        <f>IF(AND($W63&lt;&gt;"",AND(I337&lt;&gt;"Check",K337&lt;&gt;"Customer Units")),IF(M337="","Yes","No"),"No")</f>
        <v>No</v>
      </c>
      <c r="AC63" s="177"/>
      <c r="AD63" s="972" t="str">
        <f>IF(X63&lt;&gt;"",IF(K340="","Yes","No"),"No")</f>
        <v>No</v>
      </c>
      <c r="AE63" s="1675"/>
      <c r="AF63" s="1675"/>
      <c r="AG63" s="1675"/>
      <c r="AH63" s="1675"/>
      <c r="AI63" s="1675"/>
      <c r="AJ63" s="1675"/>
      <c r="AK63" s="1675"/>
      <c r="AL63" s="1675"/>
      <c r="AM63" s="1675"/>
      <c r="AN63" s="259" t="str">
        <f>IF(X63&lt;&gt;"",IF(G343="","Yes","No"),"No")</f>
        <v>No</v>
      </c>
    </row>
    <row r="64" spans="1:40" s="796" customFormat="1" ht="24.75" hidden="1" customHeight="1" thickBot="1" x14ac:dyDescent="0.3">
      <c r="A64" s="243"/>
      <c r="B64" s="243"/>
      <c r="C64" s="443"/>
      <c r="D64" s="893" t="s">
        <v>1392</v>
      </c>
      <c r="E64" s="894">
        <f>IFERROR(IF(G64="",0,(G64-$G$59)/$G$59),"")</f>
        <v>0</v>
      </c>
      <c r="F64" s="805" t="s">
        <v>1393</v>
      </c>
      <c r="G64" s="1476"/>
      <c r="H64" s="532"/>
      <c r="I64" s="885" t="str">
        <f>IF(E55="Yes",IF(AND(G64&lt;&gt;"",G65="",I63&lt;&gt;999999999.99),999999999.99,IF(G65&lt;&gt;"",G65-0.01,"")),"")</f>
        <v/>
      </c>
      <c r="J64" s="145"/>
      <c r="K64" s="1472"/>
      <c r="L64" s="145"/>
      <c r="M64" s="1886"/>
      <c r="N64" s="665"/>
      <c r="O64" s="665"/>
      <c r="P64" s="190"/>
      <c r="Q64" s="179"/>
      <c r="R64" s="177"/>
      <c r="S64" s="571"/>
      <c r="T64" s="177"/>
      <c r="U64" s="177"/>
      <c r="V64" s="177"/>
      <c r="W64" s="177"/>
      <c r="X64" s="177"/>
      <c r="Y64" s="177"/>
      <c r="Z64" s="177"/>
      <c r="AA64" s="177"/>
      <c r="AB64" s="177"/>
      <c r="AC64" s="177"/>
    </row>
    <row r="65" spans="1:40" ht="21.75" hidden="1" customHeight="1" thickBot="1" x14ac:dyDescent="0.3">
      <c r="A65" s="243"/>
      <c r="B65" s="243"/>
      <c r="C65" s="1340"/>
      <c r="D65" s="893" t="s">
        <v>1394</v>
      </c>
      <c r="E65" s="894">
        <f>IFERROR(IF(G65="",0,(G65-$G$59)/$G$59),"")</f>
        <v>0</v>
      </c>
      <c r="F65" s="805" t="s">
        <v>1395</v>
      </c>
      <c r="G65" s="1476"/>
      <c r="H65" s="532"/>
      <c r="I65" s="885" t="str">
        <f>IF(E55="Yes",IF(AND(G65&lt;&gt;"",I64&lt;&gt;999999999.99),999999999.99,""),"")</f>
        <v/>
      </c>
      <c r="J65" s="41"/>
      <c r="K65" s="1472"/>
      <c r="L65" s="41"/>
      <c r="M65" s="1346"/>
      <c r="N65" s="665"/>
      <c r="O65" s="665"/>
      <c r="P65" s="221"/>
      <c r="Q65" s="138"/>
      <c r="R65" s="134"/>
      <c r="S65" s="572"/>
      <c r="T65" s="134"/>
      <c r="U65" s="134"/>
      <c r="V65" s="134"/>
      <c r="W65" s="134"/>
      <c r="X65" s="134"/>
      <c r="Y65" s="134"/>
      <c r="Z65" s="134"/>
      <c r="AA65" s="134"/>
      <c r="AB65" s="134"/>
      <c r="AC65" s="134"/>
    </row>
    <row r="66" spans="1:40" ht="20.25" customHeight="1" x14ac:dyDescent="0.25">
      <c r="A66" s="245"/>
      <c r="B66" s="245"/>
      <c r="C66" s="1341"/>
      <c r="D66" s="898"/>
      <c r="E66" s="198"/>
      <c r="F66" s="199"/>
      <c r="G66" s="222"/>
      <c r="H66" s="201"/>
      <c r="I66" s="591">
        <f>COUNTIF($I$61:$I$65,"&gt;.03")</f>
        <v>0</v>
      </c>
      <c r="J66" s="223"/>
      <c r="K66" s="818"/>
      <c r="L66" s="223"/>
      <c r="M66" s="1347"/>
      <c r="N66" s="204"/>
      <c r="O66" s="204"/>
      <c r="P66" s="224"/>
      <c r="Q66" s="138"/>
      <c r="R66" s="134"/>
      <c r="S66" s="572"/>
      <c r="T66" s="134"/>
      <c r="U66" s="134"/>
      <c r="V66" s="134"/>
      <c r="W66" s="972" t="str">
        <f>IF(E347="Yes","NCA12","")</f>
        <v/>
      </c>
      <c r="X66" s="972" t="str">
        <f>IF($W66&lt;&gt;"",E348,"")</f>
        <v/>
      </c>
      <c r="Y66" s="972" t="str">
        <f>IF(AND($W66&lt;&gt;"",$X66&lt;&gt;"Please Select"),IF(G348="","Yes","No"),"No")</f>
        <v>No</v>
      </c>
      <c r="Z66" s="972" t="str">
        <f>IF(AND($W66&lt;&gt;"",$X66&lt;&gt;"Please Select"),IF(I348="","Yes","No"),"No")</f>
        <v>No</v>
      </c>
      <c r="AA66" s="1534" t="str">
        <f>IF(AND($W66&lt;&gt;"",$X66&lt;&gt;"Please Select"),IF(K348="","Yes","No"),"No")</f>
        <v>No</v>
      </c>
      <c r="AB66" s="972" t="str">
        <f>IF(AND($W66&lt;&gt;"",AND(I348&lt;&gt;"Check",K348&lt;&gt;"Customer Units")),IF(M348="","Yes","No"),"No")</f>
        <v>No</v>
      </c>
      <c r="AC66" s="177"/>
      <c r="AD66" s="972" t="str">
        <f>IF(X66&lt;&gt;"",IF(K351="","Yes","No"),"No")</f>
        <v>No</v>
      </c>
      <c r="AE66" s="1675"/>
      <c r="AF66" s="1675"/>
      <c r="AG66" s="1675"/>
      <c r="AH66" s="1675"/>
      <c r="AI66" s="1675"/>
      <c r="AJ66" s="1675"/>
      <c r="AK66" s="1675"/>
      <c r="AL66" s="1675"/>
      <c r="AM66" s="1675"/>
      <c r="AN66" s="259" t="str">
        <f>IF(X66&lt;&gt;"",IF(G354="","Yes","No"),"No")</f>
        <v>No</v>
      </c>
    </row>
    <row r="67" spans="1:40" s="134" customFormat="1" ht="9" customHeight="1" x14ac:dyDescent="0.25">
      <c r="A67" s="177"/>
      <c r="B67" s="177"/>
      <c r="C67" s="1342"/>
      <c r="D67" s="899"/>
      <c r="E67" s="811"/>
      <c r="F67" s="207"/>
      <c r="G67" s="812"/>
      <c r="H67" s="209"/>
      <c r="I67" s="813"/>
      <c r="K67" s="814"/>
      <c r="M67" s="815"/>
      <c r="N67" s="815"/>
      <c r="O67" s="815"/>
      <c r="P67" s="141"/>
      <c r="Q67" s="510"/>
      <c r="S67" s="572"/>
      <c r="W67" s="972" t="str">
        <f>IF(E358="Yes","NCA13","")</f>
        <v/>
      </c>
      <c r="X67" s="972" t="str">
        <f>IF($W67&lt;&gt;"",E359,"")</f>
        <v/>
      </c>
      <c r="Y67" s="972" t="str">
        <f>IF(AND($W67&lt;&gt;"",$X67&lt;&gt;"Please Select"),IF(G359="","Yes","No"),"No")</f>
        <v>No</v>
      </c>
      <c r="Z67" s="972" t="str">
        <f>IF(AND($W67&lt;&gt;"",$X67&lt;&gt;"Please Select"),IF(I359="","Yes","No"),"No")</f>
        <v>No</v>
      </c>
      <c r="AA67" s="1534" t="str">
        <f>IF(AND($W67&lt;&gt;"",$X67&lt;&gt;"Please Select"),IF(K359="","Yes","No"),"No")</f>
        <v>No</v>
      </c>
      <c r="AB67" s="972" t="str">
        <f>IF(AND($W67&lt;&gt;"",AND(I359&lt;&gt;"Check",K359&lt;&gt;"Customer Units")),IF(M359="","Yes","No"),"No")</f>
        <v>No</v>
      </c>
      <c r="AC67" s="177"/>
      <c r="AD67" s="972" t="str">
        <f>IF(X67&lt;&gt;"",IF(K362="","Yes","No"),"No")</f>
        <v>No</v>
      </c>
      <c r="AE67" s="1675"/>
      <c r="AF67" s="1675"/>
      <c r="AG67" s="1675"/>
      <c r="AH67" s="1675"/>
      <c r="AI67" s="1675"/>
      <c r="AJ67" s="1675"/>
      <c r="AK67" s="1675"/>
      <c r="AL67" s="1675"/>
      <c r="AM67" s="1675"/>
      <c r="AN67" s="259" t="str">
        <f>IF(X67&lt;&gt;"",IF(G365="","Yes","No"),"No")</f>
        <v>No</v>
      </c>
    </row>
    <row r="68" spans="1:40" s="796" customFormat="1" ht="21.75" hidden="1" customHeight="1" thickBot="1" x14ac:dyDescent="0.25">
      <c r="A68" s="248"/>
      <c r="B68" s="248"/>
      <c r="C68" s="1337"/>
      <c r="D68" s="1845" t="s">
        <v>217</v>
      </c>
      <c r="E68" s="1845"/>
      <c r="F68" s="213"/>
      <c r="G68" s="214"/>
      <c r="H68" s="797"/>
      <c r="I68" s="215"/>
      <c r="J68" s="184"/>
      <c r="K68" s="216"/>
      <c r="L68" s="184"/>
      <c r="M68" s="217"/>
      <c r="N68" s="217"/>
      <c r="O68" s="1834" t="str">
        <f>IF(COUNTIF($K$75:$K$79,"&gt;.03")&gt;0,"***Warning:You have entered an Rate % of Sales above the recommended 3%***","")</f>
        <v/>
      </c>
      <c r="P68" s="1835"/>
      <c r="Q68" s="179"/>
      <c r="R68" s="177"/>
      <c r="S68" s="571"/>
      <c r="T68" s="177"/>
      <c r="U68" s="177"/>
      <c r="V68" s="177"/>
      <c r="W68" s="177"/>
      <c r="X68" s="177"/>
      <c r="Y68" s="177"/>
      <c r="Z68" s="177"/>
      <c r="AA68" s="177"/>
      <c r="AB68" s="177"/>
      <c r="AC68" s="177"/>
    </row>
    <row r="69" spans="1:40" s="796" customFormat="1" ht="18" hidden="1" customHeight="1" thickBot="1" x14ac:dyDescent="0.3">
      <c r="A69" s="243"/>
      <c r="B69" s="243"/>
      <c r="C69" s="443"/>
      <c r="D69" s="895" t="s">
        <v>523</v>
      </c>
      <c r="E69" s="821" t="s">
        <v>648</v>
      </c>
      <c r="F69" s="196"/>
      <c r="G69" s="228" t="s">
        <v>1380</v>
      </c>
      <c r="H69" s="532"/>
      <c r="I69" s="228" t="s">
        <v>1381</v>
      </c>
      <c r="J69" s="41"/>
      <c r="K69" s="228" t="s">
        <v>833</v>
      </c>
      <c r="L69" s="145"/>
      <c r="M69" s="194" t="s">
        <v>1382</v>
      </c>
      <c r="N69" s="218"/>
      <c r="O69" s="1836"/>
      <c r="P69" s="1837"/>
      <c r="Q69" s="179"/>
      <c r="R69" s="177"/>
      <c r="S69" s="571"/>
      <c r="T69" s="177"/>
      <c r="U69" s="177"/>
      <c r="V69" s="177"/>
      <c r="W69" s="177"/>
      <c r="X69" s="177"/>
      <c r="Y69" s="177"/>
      <c r="Z69" s="177"/>
      <c r="AA69" s="177"/>
      <c r="AB69" s="177"/>
      <c r="AC69" s="177"/>
    </row>
    <row r="70" spans="1:40" s="796" customFormat="1" ht="32.25" hidden="1" customHeight="1" thickBot="1" x14ac:dyDescent="0.3">
      <c r="A70" s="243"/>
      <c r="B70" s="243"/>
      <c r="C70" s="443"/>
      <c r="D70" s="803" t="s">
        <v>1383</v>
      </c>
      <c r="E70" s="868" t="s">
        <v>1384</v>
      </c>
      <c r="F70" s="219"/>
      <c r="G70" s="1111"/>
      <c r="H70" s="532"/>
      <c r="I70" s="952"/>
      <c r="J70" s="145"/>
      <c r="K70" s="1475"/>
      <c r="L70" s="145"/>
      <c r="M70" s="1497"/>
      <c r="N70" s="218"/>
      <c r="O70" s="1836"/>
      <c r="P70" s="1837"/>
      <c r="Q70" s="179"/>
      <c r="R70" s="177"/>
      <c r="S70" s="571"/>
      <c r="T70" s="177"/>
      <c r="U70" s="177"/>
      <c r="V70" s="177"/>
      <c r="W70" s="177"/>
      <c r="X70" s="177"/>
      <c r="Y70" s="177"/>
      <c r="Z70" s="177"/>
      <c r="AA70" s="177"/>
      <c r="AB70" s="177"/>
      <c r="AC70" s="177"/>
    </row>
    <row r="71" spans="1:40" s="796" customFormat="1" ht="18" hidden="1" customHeight="1" thickBot="1" x14ac:dyDescent="0.25">
      <c r="A71" s="243"/>
      <c r="B71" s="243"/>
      <c r="C71" s="443"/>
      <c r="D71" s="7"/>
      <c r="E71" s="145"/>
      <c r="F71" s="219"/>
      <c r="G71" s="532"/>
      <c r="H71" s="532"/>
      <c r="I71" s="220"/>
      <c r="J71" s="145"/>
      <c r="K71" s="145"/>
      <c r="L71" s="145"/>
      <c r="M71" s="145"/>
      <c r="N71" s="145"/>
      <c r="O71" s="1836"/>
      <c r="P71" s="1837"/>
      <c r="Q71" s="179"/>
      <c r="R71" s="177"/>
      <c r="S71" s="571" t="str">
        <f>IF($E71="NO","",IF($I70="Select Payment Method","X",""))</f>
        <v/>
      </c>
      <c r="T71" s="177"/>
      <c r="U71" s="177"/>
      <c r="V71" s="177"/>
      <c r="W71" s="177"/>
      <c r="X71" s="177"/>
      <c r="Y71" s="177"/>
      <c r="Z71" s="177"/>
      <c r="AA71" s="177"/>
      <c r="AB71" s="177"/>
      <c r="AC71" s="177"/>
    </row>
    <row r="72" spans="1:40" s="796" customFormat="1" ht="18" hidden="1" customHeight="1" thickBot="1" x14ac:dyDescent="0.3">
      <c r="A72" s="243"/>
      <c r="B72" s="243"/>
      <c r="C72" s="443" t="str" cm="1">
        <f t="array" aca="1" ref="C72" ca="1">IF(INDIRECT("'Incentives'!C"&amp;'Configurable Tab'!C7+1) = "Yes",IF(INDIRECT("'Incentives'!E"&amp;'Configurable Tab'!C7+5)&lt;Welcome!$D$12,"Yes",IF(INDIRECT("'Incentives'!E"&amp;'Configurable Tab'!C7+5)='Required Info to Submit'!$F$17,"No","")),"")</f>
        <v/>
      </c>
      <c r="D72" s="810" t="s">
        <v>1385</v>
      </c>
      <c r="E72" s="1410" t="str">
        <f>IF(E69="Yes",IF(Welcome!$D$6="New",IF('Required Info to Submit'!F$14="","",'Required Info to Submit'!F$14),""),"")</f>
        <v/>
      </c>
      <c r="F72" s="192"/>
      <c r="G72" s="193" t="s">
        <v>716</v>
      </c>
      <c r="H72" s="532"/>
      <c r="I72" s="195"/>
      <c r="J72" s="145"/>
      <c r="K72" s="195"/>
      <c r="L72" s="145"/>
      <c r="M72" s="188"/>
      <c r="N72" s="188"/>
      <c r="O72" s="1836"/>
      <c r="P72" s="1837"/>
      <c r="Q72" s="179"/>
      <c r="R72" s="177"/>
      <c r="S72" s="571"/>
      <c r="T72" s="177"/>
      <c r="U72" s="177"/>
      <c r="V72" s="177"/>
      <c r="W72" s="177"/>
      <c r="X72" s="177"/>
      <c r="Y72" s="177"/>
      <c r="Z72" s="177"/>
      <c r="AA72" s="177"/>
      <c r="AB72" s="177"/>
      <c r="AC72" s="177"/>
    </row>
    <row r="73" spans="1:40" s="796" customFormat="1" ht="18" hidden="1" customHeight="1" thickBot="1" x14ac:dyDescent="0.3">
      <c r="A73" s="243"/>
      <c r="B73" s="243"/>
      <c r="C73" s="443"/>
      <c r="D73" s="810" t="s">
        <v>1386</v>
      </c>
      <c r="E73" s="1410" t="str">
        <f>IF(E69="Yes",IF(Welcome!$D$6="New",IF('Required Info to Submit'!F$17="","",'Required Info to Submit'!F$17),""),"")</f>
        <v/>
      </c>
      <c r="F73" s="196"/>
      <c r="G73" s="888">
        <f>IFERROR($H$5/($H$6*52*Welcome!$D$18),0)</f>
        <v>0</v>
      </c>
      <c r="H73" s="532"/>
      <c r="I73" s="195"/>
      <c r="J73" s="145"/>
      <c r="K73" s="197"/>
      <c r="L73" s="197"/>
      <c r="M73" s="195"/>
      <c r="N73" s="195"/>
      <c r="O73" s="188"/>
      <c r="P73" s="190"/>
      <c r="Q73" s="179"/>
      <c r="R73" s="177"/>
      <c r="S73" s="571"/>
      <c r="T73" s="177"/>
      <c r="U73" s="177"/>
      <c r="V73" s="177"/>
      <c r="W73" s="177"/>
      <c r="X73" s="177"/>
      <c r="Y73" s="177"/>
      <c r="Z73" s="177"/>
      <c r="AA73" s="177"/>
      <c r="AB73" s="177"/>
      <c r="AC73" s="177"/>
    </row>
    <row r="74" spans="1:40" s="796" customFormat="1" ht="18" hidden="1" customHeight="1" thickBot="1" x14ac:dyDescent="0.25">
      <c r="A74" s="243"/>
      <c r="B74" s="243"/>
      <c r="C74" s="443"/>
      <c r="D74" s="900"/>
      <c r="E74" s="197"/>
      <c r="F74" s="196"/>
      <c r="G74" s="194" t="s">
        <v>1387</v>
      </c>
      <c r="H74" s="532"/>
      <c r="I74" s="194" t="s">
        <v>1388</v>
      </c>
      <c r="J74" s="197"/>
      <c r="K74" s="194" t="s">
        <v>1389</v>
      </c>
      <c r="L74" s="197"/>
      <c r="M74" s="1886"/>
      <c r="N74" s="195"/>
      <c r="O74" s="6" t="s">
        <v>490</v>
      </c>
      <c r="P74" s="190"/>
      <c r="Q74" s="179"/>
      <c r="R74" s="177"/>
      <c r="S74" s="571"/>
      <c r="T74" s="177"/>
      <c r="U74" s="177"/>
      <c r="V74" s="177"/>
      <c r="W74" s="177"/>
      <c r="X74" s="177"/>
      <c r="Y74" s="177"/>
      <c r="Z74" s="177"/>
      <c r="AA74" s="177"/>
      <c r="AB74" s="177"/>
      <c r="AC74" s="177"/>
    </row>
    <row r="75" spans="1:40" s="796" customFormat="1" ht="18" hidden="1" customHeight="1" thickBot="1" x14ac:dyDescent="0.3">
      <c r="A75" s="243"/>
      <c r="B75" s="243"/>
      <c r="C75" s="443"/>
      <c r="D75" s="893" t="s">
        <v>520</v>
      </c>
      <c r="E75" s="894">
        <f>IFERROR(IF(G75="",0,(G75-$G$59)/$G$59),"")</f>
        <v>0</v>
      </c>
      <c r="F75" s="805" t="s">
        <v>997</v>
      </c>
      <c r="G75" s="1476"/>
      <c r="H75" s="532"/>
      <c r="I75" s="885" t="str">
        <f>IF(E69="Yes",IF(AND(G75&lt;&gt;"",G76="",G77="",G78="",G79=""),999999999.99,IF(G76&lt;&gt;"",G76-0.01,"")),"")</f>
        <v/>
      </c>
      <c r="J75" s="806" t="str">
        <f>IF($E$57="YES","**Tier 1 used for modeling purposes**","")</f>
        <v/>
      </c>
      <c r="K75" s="1472"/>
      <c r="L75" s="807"/>
      <c r="M75" s="1886"/>
      <c r="N75" s="197"/>
      <c r="O75" s="887">
        <f>IF(Welcome!D6="New",IF(E69="Yes",IF(G76=0,K75*H$10,IF(OR(G76&lt;G73,G76=G73),K76*H$10,K75*H$10)),0),IF(Incentives!E73&lt;Welcome!D12,0,IF(E69="Yes",IF(G76=0,K75*H$10,IF(OR(G76&lt;G73,G76=G73),K76*H$10,K75*H$10)),0)))</f>
        <v>0</v>
      </c>
      <c r="P75" s="190"/>
      <c r="Q75" s="179"/>
      <c r="R75" s="177"/>
      <c r="S75" s="571"/>
      <c r="T75" s="177"/>
      <c r="U75" s="177"/>
      <c r="V75" s="177"/>
      <c r="W75" s="177"/>
      <c r="X75" s="177"/>
      <c r="Y75" s="177"/>
      <c r="Z75" s="177"/>
      <c r="AA75" s="177"/>
      <c r="AB75" s="177"/>
      <c r="AC75" s="177"/>
    </row>
    <row r="76" spans="1:40" s="796" customFormat="1" ht="18" hidden="1" customHeight="1" thickBot="1" x14ac:dyDescent="0.3">
      <c r="A76" s="243"/>
      <c r="B76" s="243"/>
      <c r="C76" s="443"/>
      <c r="D76" s="893" t="s">
        <v>521</v>
      </c>
      <c r="E76" s="894">
        <f>IFERROR(IF(G76="",0,(G76-$G$59)/$G$59),"")</f>
        <v>0</v>
      </c>
      <c r="F76" s="805" t="s">
        <v>1390</v>
      </c>
      <c r="G76" s="1476"/>
      <c r="H76" s="532"/>
      <c r="I76" s="885" t="str">
        <f>IF(E69="Yes",IF(AND(G76&lt;&gt;"",G77="",G78="",G79="",I75&lt;&gt;999999999.99),999999999.99,IF(G77&lt;&gt;"",G77-0.01,"")),"")</f>
        <v/>
      </c>
      <c r="J76" s="145"/>
      <c r="K76" s="1472"/>
      <c r="L76" s="145"/>
      <c r="M76" s="1886"/>
      <c r="N76" s="665"/>
      <c r="O76" s="665"/>
      <c r="P76" s="190"/>
      <c r="Q76" s="179"/>
      <c r="R76" s="177"/>
      <c r="S76" s="571"/>
      <c r="T76" s="177"/>
      <c r="U76" s="177"/>
      <c r="V76" s="177"/>
      <c r="W76" s="177"/>
      <c r="X76" s="177"/>
      <c r="Y76" s="177"/>
      <c r="Z76" s="177"/>
      <c r="AA76" s="177"/>
      <c r="AB76" s="177"/>
      <c r="AC76" s="177"/>
    </row>
    <row r="77" spans="1:40" s="796" customFormat="1" ht="18" hidden="1" customHeight="1" thickBot="1" x14ac:dyDescent="0.3">
      <c r="A77" s="243"/>
      <c r="B77" s="243"/>
      <c r="C77" s="443"/>
      <c r="D77" s="893" t="s">
        <v>522</v>
      </c>
      <c r="E77" s="894">
        <f>IFERROR(IF(G77="",0,(G77-$G$59)/$G$59),"")</f>
        <v>0</v>
      </c>
      <c r="F77" s="805" t="s">
        <v>1391</v>
      </c>
      <c r="G77" s="1476"/>
      <c r="H77" s="532"/>
      <c r="I77" s="885" t="str">
        <f>IF(E69="Yes",IF(AND(G77&lt;&gt;"",G78="",G79="",I76&lt;&gt;999999999.99),999999999.99,IF(G78&lt;&gt;"",G78-0.01,"")),"")</f>
        <v/>
      </c>
      <c r="J77" s="145"/>
      <c r="K77" s="1472"/>
      <c r="L77" s="145"/>
      <c r="M77" s="1886"/>
      <c r="N77" s="665"/>
      <c r="O77" s="665"/>
      <c r="P77" s="190"/>
      <c r="Q77" s="179"/>
      <c r="R77" s="177"/>
      <c r="S77" s="571"/>
      <c r="T77" s="177"/>
      <c r="U77" s="177"/>
      <c r="V77" s="177"/>
      <c r="W77" s="177"/>
      <c r="X77" s="177"/>
      <c r="Y77" s="177"/>
      <c r="Z77" s="177"/>
      <c r="AA77" s="177"/>
      <c r="AB77" s="177"/>
      <c r="AC77" s="177"/>
    </row>
    <row r="78" spans="1:40" s="796" customFormat="1" ht="18" hidden="1" customHeight="1" thickBot="1" x14ac:dyDescent="0.3">
      <c r="A78" s="243"/>
      <c r="B78" s="243"/>
      <c r="C78" s="443"/>
      <c r="D78" s="893" t="s">
        <v>1392</v>
      </c>
      <c r="E78" s="894">
        <f>IFERROR(IF(G78="",0,(G78-$G$59)/$G$59),"")</f>
        <v>0</v>
      </c>
      <c r="F78" s="805" t="s">
        <v>1393</v>
      </c>
      <c r="G78" s="1476"/>
      <c r="H78" s="532"/>
      <c r="I78" s="885" t="str">
        <f>IF(E69="Yes",IF(AND(G78&lt;&gt;"",G79="",I77&lt;&gt;999999999.99),999999999.99,IF(G79&lt;&gt;"",G79-0.01,"")),"")</f>
        <v/>
      </c>
      <c r="J78" s="145"/>
      <c r="K78" s="1472"/>
      <c r="L78" s="145"/>
      <c r="M78" s="1886"/>
      <c r="N78" s="665"/>
      <c r="O78" s="665"/>
      <c r="P78" s="190"/>
      <c r="Q78" s="179"/>
      <c r="R78" s="177"/>
      <c r="S78" s="571"/>
      <c r="T78" s="177"/>
      <c r="U78" s="177"/>
      <c r="V78" s="177"/>
      <c r="W78" s="177"/>
      <c r="X78" s="177"/>
      <c r="Y78" s="177"/>
      <c r="Z78" s="177"/>
      <c r="AA78" s="177"/>
      <c r="AB78" s="177"/>
      <c r="AC78" s="177"/>
    </row>
    <row r="79" spans="1:40" ht="18" hidden="1" customHeight="1" thickBot="1" x14ac:dyDescent="0.3">
      <c r="A79" s="243"/>
      <c r="B79" s="243"/>
      <c r="C79" s="1340"/>
      <c r="D79" s="893" t="s">
        <v>1394</v>
      </c>
      <c r="E79" s="894">
        <f>IFERROR(IF(G79="",0,(G79-$G$59)/$G$59),"")</f>
        <v>0</v>
      </c>
      <c r="F79" s="805" t="s">
        <v>1395</v>
      </c>
      <c r="G79" s="1476"/>
      <c r="H79" s="532"/>
      <c r="I79" s="885" t="str">
        <f>IF(E69="Yes",IF(AND(G79&lt;&gt;"",I78&lt;&gt;999999999.99),999999999.99,""),"")</f>
        <v/>
      </c>
      <c r="J79" s="41"/>
      <c r="K79" s="1472"/>
      <c r="L79" s="41"/>
      <c r="M79" s="665"/>
      <c r="N79" s="665"/>
      <c r="O79" s="665"/>
      <c r="P79" s="221"/>
      <c r="Q79" s="138"/>
      <c r="R79" s="134"/>
      <c r="S79" s="572"/>
      <c r="T79" s="134"/>
      <c r="U79" s="134"/>
      <c r="V79" s="134"/>
      <c r="W79" s="134"/>
      <c r="X79" s="134"/>
      <c r="Y79" s="134"/>
      <c r="Z79" s="134"/>
      <c r="AA79" s="134"/>
      <c r="AB79" s="134"/>
      <c r="AC79" s="134"/>
    </row>
    <row r="80" spans="1:40" ht="20.25" hidden="1" customHeight="1" x14ac:dyDescent="0.25">
      <c r="A80" s="245"/>
      <c r="B80" s="245"/>
      <c r="C80" s="1341"/>
      <c r="D80" s="898"/>
      <c r="E80" s="198"/>
      <c r="F80" s="199"/>
      <c r="G80" s="222"/>
      <c r="H80" s="201"/>
      <c r="I80" s="591">
        <f>COUNTIF($I$61:$I$65,"&gt;.03")</f>
        <v>0</v>
      </c>
      <c r="J80" s="223"/>
      <c r="K80" s="203"/>
      <c r="L80" s="223"/>
      <c r="M80" s="204"/>
      <c r="N80" s="204"/>
      <c r="O80" s="204"/>
      <c r="P80" s="224"/>
      <c r="Q80" s="138"/>
      <c r="R80" s="134"/>
      <c r="S80" s="572"/>
      <c r="T80" s="134"/>
      <c r="U80" s="134"/>
      <c r="V80" s="134"/>
      <c r="W80" s="134"/>
      <c r="X80" s="134"/>
      <c r="Y80" s="134"/>
      <c r="Z80" s="134"/>
      <c r="AA80" s="134"/>
      <c r="AB80" s="134"/>
      <c r="AC80" s="134"/>
    </row>
    <row r="81" spans="1:40" s="134" customFormat="1" ht="9" hidden="1" customHeight="1" x14ac:dyDescent="0.25">
      <c r="A81" s="177"/>
      <c r="B81" s="177"/>
      <c r="C81" s="1342"/>
      <c r="D81" s="899"/>
      <c r="E81" s="811"/>
      <c r="F81" s="207"/>
      <c r="G81" s="812"/>
      <c r="H81" s="209"/>
      <c r="I81" s="813"/>
      <c r="K81" s="814"/>
      <c r="M81" s="815"/>
      <c r="N81" s="815"/>
      <c r="O81" s="815"/>
      <c r="P81" s="141"/>
      <c r="Q81" s="510"/>
      <c r="S81" s="572"/>
    </row>
    <row r="82" spans="1:40" ht="21" customHeight="1" thickBot="1" x14ac:dyDescent="0.3">
      <c r="A82" s="248"/>
      <c r="B82" s="248"/>
      <c r="C82" s="1343"/>
      <c r="D82" s="1845" t="s">
        <v>525</v>
      </c>
      <c r="E82" s="1845"/>
      <c r="F82" s="213"/>
      <c r="G82" s="225"/>
      <c r="H82" s="797"/>
      <c r="I82" s="215"/>
      <c r="J82" s="226"/>
      <c r="K82" s="216"/>
      <c r="L82" s="226"/>
      <c r="M82" s="217"/>
      <c r="N82" s="217"/>
      <c r="O82" s="1834" t="str">
        <f>IF(COUNTIF($K$89:$K$93,"&gt;.03")&gt;0,"***Warning:You have entered an Rate % of Sales above the recommended 3%***","")</f>
        <v/>
      </c>
      <c r="P82" s="1835"/>
      <c r="Q82" s="138"/>
      <c r="R82" s="134"/>
      <c r="S82" s="572"/>
      <c r="T82" s="134"/>
      <c r="U82" s="134"/>
      <c r="V82" s="134"/>
      <c r="W82" s="972" t="str">
        <f>IF(E369="Yes","NCA14","")</f>
        <v/>
      </c>
      <c r="X82" s="972" t="str">
        <f>IF($W82&lt;&gt;"",E370,"")</f>
        <v/>
      </c>
      <c r="Y82" s="972" t="str">
        <f>IF(AND($W82&lt;&gt;"",$X82&lt;&gt;"Please Select"),IF(G370="","Yes","No"),"No")</f>
        <v>No</v>
      </c>
      <c r="Z82" s="972" t="str">
        <f>IF(AND($W82&lt;&gt;"",$X82&lt;&gt;"Please Select"),IF(I370="","Yes","No"),"No")</f>
        <v>No</v>
      </c>
      <c r="AA82" s="1534" t="str">
        <f>IF(AND($W82&lt;&gt;"",$X82&lt;&gt;"Please Select"),IF(K370="","Yes","No"),"No")</f>
        <v>No</v>
      </c>
      <c r="AB82" s="972" t="str">
        <f>IF(AND($W82&lt;&gt;"",AND(I370&lt;&gt;"Check",K370&lt;&gt;"Customer Units")),IF(M370="","Yes","No"),"No")</f>
        <v>No</v>
      </c>
      <c r="AC82" s="177"/>
      <c r="AD82" s="972" t="str">
        <f>IF(X82&lt;&gt;"",IF(K373="","Yes","No"),"No")</f>
        <v>No</v>
      </c>
      <c r="AE82" s="1675"/>
      <c r="AF82" s="1675"/>
      <c r="AG82" s="1675"/>
      <c r="AH82" s="1675"/>
      <c r="AI82" s="1675"/>
      <c r="AJ82" s="1675"/>
      <c r="AK82" s="1675"/>
      <c r="AL82" s="1675"/>
      <c r="AM82" s="1675"/>
      <c r="AN82" s="259" t="str">
        <f>IF(X82&lt;&gt;"",IF(G376="","Yes","No"),"No")</f>
        <v>No</v>
      </c>
    </row>
    <row r="83" spans="1:40" ht="18" customHeight="1" thickBot="1" x14ac:dyDescent="0.3">
      <c r="A83" s="243"/>
      <c r="B83" s="243"/>
      <c r="C83" s="1340"/>
      <c r="D83" s="895" t="s">
        <v>523</v>
      </c>
      <c r="E83" s="821" t="s">
        <v>648</v>
      </c>
      <c r="F83" s="41"/>
      <c r="G83" s="228" t="s">
        <v>1380</v>
      </c>
      <c r="H83" s="532"/>
      <c r="I83" s="228" t="s">
        <v>1381</v>
      </c>
      <c r="J83" s="41"/>
      <c r="K83" s="228" t="s">
        <v>833</v>
      </c>
      <c r="L83" s="145"/>
      <c r="M83" s="194" t="s">
        <v>1382</v>
      </c>
      <c r="N83" s="218"/>
      <c r="O83" s="1836"/>
      <c r="P83" s="1837"/>
      <c r="Q83" s="138"/>
      <c r="R83" s="134"/>
      <c r="S83" s="572"/>
      <c r="T83" s="134"/>
      <c r="U83" s="134"/>
      <c r="V83" s="134"/>
      <c r="W83" s="972" t="str">
        <f>IF(E380="Yes","NCA15","")</f>
        <v/>
      </c>
      <c r="X83" s="972" t="str">
        <f>IF($W83&lt;&gt;"",E381,"")</f>
        <v/>
      </c>
      <c r="Y83" s="972" t="str">
        <f>IF(AND($W83&lt;&gt;"",$X83&lt;&gt;"Please Select"),IF(G381="","Yes","No"),"No")</f>
        <v>No</v>
      </c>
      <c r="Z83" s="972" t="str">
        <f>IF(AND($W83&lt;&gt;"",$X83&lt;&gt;"Please Select"),IF(I381="","Yes","No"),"No")</f>
        <v>No</v>
      </c>
      <c r="AA83" s="1534" t="str">
        <f>IF(AND($W83&lt;&gt;"",$X83&lt;&gt;"Please Select"),IF(K381="","Yes","No"),"No")</f>
        <v>No</v>
      </c>
      <c r="AB83" s="972" t="str">
        <f>IF(AND($W83&lt;&gt;"",AND(I381&lt;&gt;"Check",K381&lt;&gt;"Customer Units")),IF(M381="","Yes","No"),"No")</f>
        <v>No</v>
      </c>
      <c r="AC83" s="177"/>
      <c r="AD83" s="972" t="str">
        <f>IF(X83&lt;&gt;"",IF(K384="","Yes","No"),"No")</f>
        <v>No</v>
      </c>
      <c r="AE83" s="1675"/>
      <c r="AF83" s="1675"/>
      <c r="AG83" s="1675"/>
      <c r="AH83" s="1675"/>
      <c r="AI83" s="1675"/>
      <c r="AJ83" s="1675"/>
      <c r="AK83" s="1675"/>
      <c r="AL83" s="1675"/>
      <c r="AM83" s="1675"/>
      <c r="AN83" s="259" t="str">
        <f>IF(X83&lt;&gt;"",IF(G387="","Yes","No"),"No")</f>
        <v>No</v>
      </c>
    </row>
    <row r="84" spans="1:40" ht="18" customHeight="1" thickBot="1" x14ac:dyDescent="0.3">
      <c r="A84" s="243"/>
      <c r="B84" s="243"/>
      <c r="C84" s="1340"/>
      <c r="D84" s="803" t="s">
        <v>1383</v>
      </c>
      <c r="E84" s="1470" t="s">
        <v>1384</v>
      </c>
      <c r="F84" s="41"/>
      <c r="G84" s="1475"/>
      <c r="H84" s="532"/>
      <c r="I84" s="1475"/>
      <c r="J84" s="145"/>
      <c r="K84" s="1475"/>
      <c r="L84" s="145"/>
      <c r="M84" s="1497"/>
      <c r="N84" s="218"/>
      <c r="O84" s="1836"/>
      <c r="P84" s="1837"/>
      <c r="Q84" s="138"/>
      <c r="R84" s="396"/>
      <c r="S84" s="572"/>
      <c r="T84" s="134"/>
      <c r="U84" s="134"/>
      <c r="V84" s="134"/>
      <c r="W84" s="972" t="str">
        <f>IF(E391="Yes","NCA16","")</f>
        <v/>
      </c>
      <c r="X84" s="972" t="str">
        <f>IF($W84&lt;&gt;"",E392,"")</f>
        <v/>
      </c>
      <c r="Y84" s="972" t="str">
        <f>IF(AND($W84&lt;&gt;"",$X84&lt;&gt;"Please Select"),IF(G392="","Yes","No"),"No")</f>
        <v>No</v>
      </c>
      <c r="Z84" s="972" t="str">
        <f>IF(AND($W84&lt;&gt;"",$X84&lt;&gt;"Please Select"),IF(I392="","Yes","No"),"No")</f>
        <v>No</v>
      </c>
      <c r="AA84" s="1534" t="str">
        <f>IF(AND($W84&lt;&gt;"",$X84&lt;&gt;"Please Select"),IF(K392="","Yes","No"),"No")</f>
        <v>No</v>
      </c>
      <c r="AB84" s="972" t="str">
        <f>IF(AND($W84&lt;&gt;"",AND(I392&lt;&gt;"Check",K392&lt;&gt;"Customer Units")),IF(M392="","Yes","No"),"No")</f>
        <v>No</v>
      </c>
      <c r="AC84" s="177"/>
      <c r="AD84" s="972" t="str">
        <f>IF(X84&lt;&gt;"",IF(K395="","Yes","No"),"No")</f>
        <v>No</v>
      </c>
      <c r="AE84" s="1675"/>
      <c r="AF84" s="1675"/>
      <c r="AG84" s="1675"/>
      <c r="AH84" s="1675"/>
      <c r="AI84" s="1675"/>
      <c r="AJ84" s="1675"/>
      <c r="AK84" s="1675"/>
      <c r="AL84" s="1675"/>
      <c r="AM84" s="1675"/>
      <c r="AN84" s="259" t="str">
        <f>IF(X84&lt;&gt;"",IF(G398="","Yes","No"),"No")</f>
        <v>No</v>
      </c>
    </row>
    <row r="85" spans="1:40" ht="18" customHeight="1" thickBot="1" x14ac:dyDescent="0.3">
      <c r="A85" s="243"/>
      <c r="B85" s="243"/>
      <c r="C85" s="1340"/>
      <c r="D85" s="7"/>
      <c r="E85" s="575"/>
      <c r="F85" s="41"/>
      <c r="G85" s="41"/>
      <c r="H85" s="41"/>
      <c r="I85" s="227"/>
      <c r="J85" s="41"/>
      <c r="K85" s="41"/>
      <c r="L85" s="41"/>
      <c r="M85" s="41"/>
      <c r="N85" s="41"/>
      <c r="O85" s="1836"/>
      <c r="P85" s="1837"/>
      <c r="Q85" s="138"/>
      <c r="R85" s="134"/>
      <c r="S85" s="571" t="str">
        <f>IF($E85="NO","",IF($I84="Select Payment Method","X",""))</f>
        <v/>
      </c>
      <c r="T85" s="134"/>
      <c r="U85" s="134"/>
      <c r="V85" s="134"/>
      <c r="W85" s="972" t="str">
        <f>IF(E402="Yes","NCA17","")</f>
        <v/>
      </c>
      <c r="X85" s="972" t="str">
        <f>IF($W85&lt;&gt;"",E403,"")</f>
        <v/>
      </c>
      <c r="Y85" s="972" t="str">
        <f>IF(AND($W85&lt;&gt;"",$X85&lt;&gt;"Please Select"),IF(G403="","Yes","No"),"No")</f>
        <v>No</v>
      </c>
      <c r="Z85" s="972" t="str">
        <f>IF(AND($W85&lt;&gt;"",$X85&lt;&gt;"Please Select"),IF(I403="","Yes","No"),"No")</f>
        <v>No</v>
      </c>
      <c r="AA85" s="1534" t="str">
        <f>IF(AND($W85&lt;&gt;"",$X85&lt;&gt;"Please Select"),IF(K403="","Yes","No"),"No")</f>
        <v>No</v>
      </c>
      <c r="AB85" s="972" t="str">
        <f>IF(AND($W85&lt;&gt;"",AND(I403&lt;&gt;"Check",K403&lt;&gt;"Customer Units")),IF(M403="","Yes","No"),"No")</f>
        <v>No</v>
      </c>
      <c r="AC85" s="177"/>
      <c r="AD85" s="972" t="str">
        <f>IF(X85&lt;&gt;"",IF(K406="","Yes","No"),"No")</f>
        <v>No</v>
      </c>
      <c r="AE85" s="1675"/>
      <c r="AF85" s="1675"/>
      <c r="AG85" s="1675"/>
      <c r="AH85" s="1675"/>
      <c r="AI85" s="1675"/>
      <c r="AJ85" s="1675"/>
      <c r="AK85" s="1675"/>
      <c r="AL85" s="1675"/>
      <c r="AM85" s="1675"/>
      <c r="AN85" s="259" t="str">
        <f>IF(X85&lt;&gt;"",IF(G409="","Yes","No"),"No")</f>
        <v>No</v>
      </c>
    </row>
    <row r="86" spans="1:40" ht="18" customHeight="1" thickBot="1" x14ac:dyDescent="0.3">
      <c r="A86" s="243"/>
      <c r="B86" s="243"/>
      <c r="C86" s="1340" t="str" cm="1">
        <f t="array" aca="1" ref="C86" ca="1">IF(INDIRECT("'Incentives'!C"&amp;'Configurable Tab'!C8+1) = "Yes",IF(INDIRECT("'Incentives'!E"&amp;'Configurable Tab'!C8+5)&lt;Welcome!$D$12,"Yes",IF(INDIRECT("'Incentives'!E"&amp;'Configurable Tab'!C8+5)='Required Info to Submit'!$F$17,"No","")),"")</f>
        <v/>
      </c>
      <c r="D86" s="810" t="s">
        <v>1385</v>
      </c>
      <c r="E86" s="1409" t="str">
        <f>IF(E83="Yes",IF(Welcome!$D$6="New",IF('Required Info to Submit'!F$14="","",'Required Info to Submit'!F$14),""),"")</f>
        <v/>
      </c>
      <c r="F86" s="41"/>
      <c r="G86" s="193" t="s">
        <v>995</v>
      </c>
      <c r="H86" s="41"/>
      <c r="I86" s="41"/>
      <c r="J86" s="41"/>
      <c r="K86" s="41"/>
      <c r="L86" s="41"/>
      <c r="M86" s="41"/>
      <c r="N86" s="41"/>
      <c r="O86" s="1836"/>
      <c r="P86" s="1837"/>
      <c r="Q86" s="138"/>
      <c r="R86" s="134"/>
      <c r="S86" s="571"/>
      <c r="T86" s="134"/>
      <c r="U86" s="134"/>
      <c r="V86" s="134"/>
      <c r="W86" s="972" t="str">
        <f>IF(E413="Yes","NCA18","")</f>
        <v/>
      </c>
      <c r="X86" s="972" t="str">
        <f>IF($W86&lt;&gt;"",E414,"")</f>
        <v/>
      </c>
      <c r="Y86" s="972" t="str">
        <f>IF(AND($W86&lt;&gt;"",$X86&lt;&gt;"Please Select"),IF(G414="","Yes","No"),"No")</f>
        <v>No</v>
      </c>
      <c r="Z86" s="972" t="str">
        <f>IF(AND($W86&lt;&gt;"",$X86&lt;&gt;"Please Select"),IF(I414="","Yes","No"),"No")</f>
        <v>No</v>
      </c>
      <c r="AA86" s="1534" t="str">
        <f>IF(AND($W86&lt;&gt;"",$X86&lt;&gt;"Please Select"),IF(K414="","Yes","No"),"No")</f>
        <v>No</v>
      </c>
      <c r="AB86" s="972" t="str">
        <f>IF(AND($W86&lt;&gt;"",AND(I414&lt;&gt;"Check",K414&lt;&gt;"Customer Units")),IF(M414="","Yes","No"),"No")</f>
        <v>No</v>
      </c>
      <c r="AC86" s="177"/>
      <c r="AD86" s="972" t="str">
        <f>IF(X86&lt;&gt;"",IF(K417="","Yes","No"),"No")</f>
        <v>No</v>
      </c>
      <c r="AE86" s="1675"/>
      <c r="AF86" s="1675"/>
      <c r="AG86" s="1675"/>
      <c r="AH86" s="1675"/>
      <c r="AI86" s="1675"/>
      <c r="AJ86" s="1675"/>
      <c r="AK86" s="1675"/>
      <c r="AL86" s="1675"/>
      <c r="AM86" s="1675"/>
      <c r="AN86" s="259" t="str">
        <f>IF(X86&lt;&gt;"",IF(G420="","Yes","No"),"No")</f>
        <v>No</v>
      </c>
    </row>
    <row r="87" spans="1:40" ht="17.25" customHeight="1" thickBot="1" x14ac:dyDescent="0.3">
      <c r="A87" s="243"/>
      <c r="B87" s="243"/>
      <c r="C87" s="1340"/>
      <c r="D87" s="810" t="s">
        <v>1386</v>
      </c>
      <c r="E87" s="1409" t="str">
        <f>IF(E83="Yes",IF(Welcome!$D$6="New",IF('Required Info to Submit'!F$17="","",'Required Info to Submit'!F$17),""),"")</f>
        <v/>
      </c>
      <c r="F87" s="196"/>
      <c r="G87" s="1492">
        <f>IFERROR('EB_CM (Back)'!$B$7,"")</f>
        <v>0</v>
      </c>
      <c r="H87" s="188"/>
      <c r="I87" s="41"/>
      <c r="J87" s="195"/>
      <c r="K87" s="41"/>
      <c r="L87" s="188"/>
      <c r="M87" s="195"/>
      <c r="N87" s="195"/>
      <c r="O87" s="188"/>
      <c r="P87" s="221"/>
      <c r="Q87" s="138"/>
      <c r="R87" s="134"/>
      <c r="S87" s="572"/>
      <c r="T87" s="134"/>
      <c r="U87" s="134"/>
      <c r="V87" s="134"/>
      <c r="W87" s="972" t="str">
        <f>IF(E424="Yes","NCA19","")</f>
        <v/>
      </c>
      <c r="X87" s="972" t="str">
        <f>IF($W87&lt;&gt;"",E425,"")</f>
        <v/>
      </c>
      <c r="Y87" s="972" t="str">
        <f>IF(AND($W87&lt;&gt;"",$X87&lt;&gt;"Please Select"),IF(G425="","Yes","No"),"No")</f>
        <v>No</v>
      </c>
      <c r="Z87" s="972" t="str">
        <f>IF(AND($W87&lt;&gt;"",$X87&lt;&gt;"Please Select"),IF(I425="","Yes","No"),"No")</f>
        <v>No</v>
      </c>
      <c r="AA87" s="1534" t="str">
        <f>IF(AND($W87&lt;&gt;"",$X87&lt;&gt;"Please Select"),IF(K425="","Yes","No"),"No")</f>
        <v>No</v>
      </c>
      <c r="AB87" s="972" t="str">
        <f>IF(AND($W87&lt;&gt;"",AND(I425&lt;&gt;"Check",K425&lt;&gt;"Customer Units")),IF(M425="","Yes","No"),"No")</f>
        <v>No</v>
      </c>
      <c r="AC87" s="177"/>
      <c r="AD87" s="972" t="str">
        <f>IF(X87&lt;&gt;"",IF(K428="","Yes","No"),"No")</f>
        <v>No</v>
      </c>
      <c r="AE87" s="1675"/>
      <c r="AF87" s="1675"/>
      <c r="AG87" s="1675"/>
      <c r="AH87" s="1675"/>
      <c r="AI87" s="1675"/>
      <c r="AJ87" s="1675"/>
      <c r="AK87" s="1675"/>
      <c r="AL87" s="1675"/>
      <c r="AM87" s="1675"/>
      <c r="AN87" s="259" t="str">
        <f>IF(X87&lt;&gt;"",IF(G431="","Yes","No"),"No")</f>
        <v>No</v>
      </c>
    </row>
    <row r="88" spans="1:40" ht="18" customHeight="1" x14ac:dyDescent="0.25">
      <c r="A88" s="243"/>
      <c r="B88" s="243"/>
      <c r="C88" s="1340"/>
      <c r="D88" s="278"/>
      <c r="E88" s="400"/>
      <c r="F88" s="196"/>
      <c r="G88" s="194" t="s">
        <v>1387</v>
      </c>
      <c r="H88" s="532"/>
      <c r="I88" s="194" t="s">
        <v>1388</v>
      </c>
      <c r="J88" s="195"/>
      <c r="K88" s="194" t="s">
        <v>1389</v>
      </c>
      <c r="L88" s="188"/>
      <c r="M88" s="1886"/>
      <c r="N88" s="195"/>
      <c r="O88" s="6" t="s">
        <v>490</v>
      </c>
      <c r="P88" s="221"/>
      <c r="Q88" s="138"/>
      <c r="R88" s="134"/>
      <c r="S88" s="572"/>
      <c r="T88" s="134"/>
      <c r="U88" s="134"/>
      <c r="V88" s="134"/>
      <c r="W88" s="972" t="str">
        <f>IF(E435="Yes","NS1","")</f>
        <v/>
      </c>
      <c r="X88" s="972" t="str">
        <f>IF($W88&lt;&gt;"",E436,"")</f>
        <v/>
      </c>
      <c r="Y88" s="972" t="str">
        <f>IF(AND($W88&lt;&gt;"",$X88&lt;&gt;"Please Select"),IF(G436="","Yes","No"),"No")</f>
        <v>No</v>
      </c>
      <c r="Z88" s="972" t="str">
        <f>IF(AND($W88&lt;&gt;"",$X88&lt;&gt;"Please Select"),IF(I436="","Yes","No"),"No")</f>
        <v>No</v>
      </c>
      <c r="AA88" s="972" t="str">
        <f>IF(AND($W88&lt;&gt;"",$X88&lt;&gt;"Please Select"),IF(K436="","Yes","No"),"No")</f>
        <v>No</v>
      </c>
      <c r="AB88" s="972" t="str">
        <f>IF(AND($W88&lt;&gt;"",AND(I436&lt;&gt;"Check",K436&lt;&gt;"Customer Units")),IF(M436="","Yes","No"),"No")</f>
        <v>No</v>
      </c>
      <c r="AC88" s="177"/>
      <c r="AD88" s="972" t="str">
        <f>IF(X88&lt;&gt;"",IF(K439="","Yes","No"),"No")</f>
        <v>No</v>
      </c>
    </row>
    <row r="89" spans="1:40" ht="17.25" customHeight="1" x14ac:dyDescent="0.25">
      <c r="A89" s="243"/>
      <c r="B89" s="243"/>
      <c r="C89" s="1340"/>
      <c r="D89" s="278"/>
      <c r="E89" s="400"/>
      <c r="F89" s="805" t="s">
        <v>997</v>
      </c>
      <c r="G89" s="1493"/>
      <c r="H89" s="188"/>
      <c r="I89" s="886" t="str">
        <f>IF(E83="Yes",IF(AND(G89&lt;&gt;"",G90="",G91="",G92="",G93=""),1,IF(G90&lt;&gt;"",G90-0.0001,"")),"")</f>
        <v/>
      </c>
      <c r="J89" s="806"/>
      <c r="K89" s="1472"/>
      <c r="L89" s="188"/>
      <c r="M89" s="1886"/>
      <c r="N89" s="197"/>
      <c r="O89" s="887">
        <f>IF(Welcome!D6="New",IF(E83="Yes",IF(AND(G93&lt;=G87,G93&lt;&gt;""),K93*$H$10*G87,IF(AND(G92&lt;=G87,G92&lt;&gt;""),K92*$H$10*G87,IF(AND(G91&lt;=G87,G91&lt;&gt;""),K91*$H$10*G87,IF(AND(G90&lt;=G87,G90&lt;&gt;""),K90*$H$10*G87,K89*$H$10*G87)))),0),IF(Incentives!E87&lt;Welcome!D12,0,IF(E83="Yes",IF(AND(G93&lt;=G87,G93&lt;&gt;""),K93*$H$10*G87,IF(AND(G92&lt;=G87,G92&lt;&gt;""),K92*$H$10*G87,IF(AND(G91&lt;=G87,G91&lt;&gt;""),K91*$H$10*G87,IF(AND(G90&lt;=G87,G90&lt;&gt;""),K90*$H$10*G87,K89*$H$10*G87)))),0)))</f>
        <v>0</v>
      </c>
      <c r="P89" s="221"/>
      <c r="Q89" s="138"/>
      <c r="R89" s="134"/>
      <c r="S89" s="572"/>
      <c r="T89" s="134"/>
      <c r="U89" s="134"/>
      <c r="V89" s="134"/>
      <c r="W89" s="972" t="str">
        <f>IF(E443="Yes","NS2","")</f>
        <v/>
      </c>
      <c r="X89" s="972" t="str">
        <f>IF($W89&lt;&gt;"",E444,"")</f>
        <v/>
      </c>
      <c r="Y89" s="972" t="str">
        <f>IF(AND($W89&lt;&gt;"",$X89&lt;&gt;"Please Select"),IF(G444="","Yes","No"),"No")</f>
        <v>No</v>
      </c>
      <c r="Z89" s="972" t="str">
        <f>IF(AND($W89&lt;&gt;"",$X89&lt;&gt;"Please Select"),IF(I444="","Yes","No"),"No")</f>
        <v>No</v>
      </c>
      <c r="AA89" s="972" t="str">
        <f>IF(AND($W89&lt;&gt;"",$X89&lt;&gt;"Please Select"),IF(K444="","Yes","No"),"No")</f>
        <v>No</v>
      </c>
      <c r="AB89" s="972" t="str">
        <f>IF(AND($W89&lt;&gt;"",AND(I444&lt;&gt;"Check",K444&lt;&gt;"Customer Units")),IF(M444="","Yes","No"),"No")</f>
        <v>No</v>
      </c>
      <c r="AC89" s="177"/>
      <c r="AD89" s="972" t="str">
        <f>IF(X89&lt;&gt;"",IF(K447="","Yes","No"),"No")</f>
        <v>No</v>
      </c>
    </row>
    <row r="90" spans="1:40" ht="17.25" customHeight="1" x14ac:dyDescent="0.25">
      <c r="A90" s="243"/>
      <c r="B90" s="243"/>
      <c r="C90" s="1340"/>
      <c r="D90" s="278"/>
      <c r="E90" s="400"/>
      <c r="F90" s="805" t="s">
        <v>1390</v>
      </c>
      <c r="G90" s="1493"/>
      <c r="H90" s="188"/>
      <c r="I90" s="886" t="str">
        <f>IF(E83="Yes",IF(AND(G90&lt;&gt;"",G91="",G92="",G93="",I89&lt;&gt;1),1,IF(G91&lt;&gt;"",G91-0.0001,"")),"")</f>
        <v/>
      </c>
      <c r="J90" s="229"/>
      <c r="K90" s="1472"/>
      <c r="L90" s="188"/>
      <c r="M90" s="1886"/>
      <c r="N90" s="665"/>
      <c r="O90" s="665"/>
      <c r="P90" s="221"/>
      <c r="Q90" s="138"/>
      <c r="R90" s="134"/>
      <c r="S90" s="572"/>
      <c r="T90" s="134"/>
      <c r="U90" s="134"/>
      <c r="V90" s="134"/>
      <c r="W90" s="972" t="str">
        <f>IF(E451="Yes","NS3","")</f>
        <v/>
      </c>
      <c r="X90" s="972" t="str">
        <f>IF($W90&lt;&gt;"",E452,"")</f>
        <v/>
      </c>
      <c r="Y90" s="972" t="str">
        <f>IF(AND($W90&lt;&gt;"",$X90&lt;&gt;"Please Select"),IF(G452="","Yes","No"),"No")</f>
        <v>No</v>
      </c>
      <c r="Z90" s="972" t="str">
        <f>IF(AND($W90&lt;&gt;"",$X90&lt;&gt;"Please Select"),IF(I452="","Yes","No"),"No")</f>
        <v>No</v>
      </c>
      <c r="AA90" s="972" t="str">
        <f>IF(AND($W90&lt;&gt;"",$X90&lt;&gt;"Please Select"),IF(K452="","Yes","No"),"No")</f>
        <v>No</v>
      </c>
      <c r="AB90" s="972" t="str">
        <f>IF(AND($W90&lt;&gt;"",AND(I452&lt;&gt;"Check",K452&lt;&gt;"Customer Units")),IF(M452="","Yes","No"),"No")</f>
        <v>No</v>
      </c>
      <c r="AC90" s="177"/>
      <c r="AD90" s="972" t="str">
        <f>IF(X90&lt;&gt;"",IF(K455="","Yes","No"),"No")</f>
        <v>No</v>
      </c>
    </row>
    <row r="91" spans="1:40" ht="17.25" customHeight="1" x14ac:dyDescent="0.25">
      <c r="A91" s="243"/>
      <c r="B91" s="243"/>
      <c r="C91" s="1340"/>
      <c r="D91" s="278"/>
      <c r="E91" s="400"/>
      <c r="F91" s="805" t="s">
        <v>1391</v>
      </c>
      <c r="G91" s="1493"/>
      <c r="H91" s="188"/>
      <c r="I91" s="886" t="str">
        <f>IF(E83="Yes",IF(AND(G91&lt;&gt;"",G92="",G93="",I90&lt;&gt;1),1,IF(G92&lt;&gt;"",G92-0.0001,"")),"")</f>
        <v/>
      </c>
      <c r="J91" s="229"/>
      <c r="K91" s="1472"/>
      <c r="L91" s="188"/>
      <c r="M91" s="1886"/>
      <c r="N91" s="665"/>
      <c r="O91" s="665"/>
      <c r="P91" s="221"/>
      <c r="Q91" s="138"/>
      <c r="R91" s="134"/>
      <c r="S91" s="572"/>
      <c r="T91" s="134"/>
      <c r="U91" s="134"/>
      <c r="V91" s="134"/>
      <c r="W91" s="972" t="str">
        <f>IF(E459="Yes","NS4","")</f>
        <v/>
      </c>
      <c r="X91" s="972" t="str">
        <f>IF($W91&lt;&gt;"",E460,"")</f>
        <v/>
      </c>
      <c r="Y91" s="972" t="str">
        <f>IF(AND($W91&lt;&gt;"",$X91&lt;&gt;"Please Select"),IF(G460="","Yes","No"),"No")</f>
        <v>No</v>
      </c>
      <c r="Z91" s="972" t="str">
        <f>IF(AND($W91&lt;&gt;"",$X91&lt;&gt;"Please Select"),IF(I460="","Yes","No"),"No")</f>
        <v>No</v>
      </c>
      <c r="AA91" s="972" t="str">
        <f>IF(AND($W91&lt;&gt;"",$X91&lt;&gt;"Please Select"),IF(K460="","Yes","No"),"No")</f>
        <v>No</v>
      </c>
      <c r="AB91" s="972" t="str">
        <f>IF(AND($W91&lt;&gt;"",AND(I460&lt;&gt;"Check",K460&lt;&gt;"Customer Units")),IF(M460="","Yes","No"),"No")</f>
        <v>No</v>
      </c>
      <c r="AC91" s="177"/>
      <c r="AD91" s="972" t="str">
        <f>IF(X91&lt;&gt;"",IF(K463="","Yes","No"),"No")</f>
        <v>No</v>
      </c>
    </row>
    <row r="92" spans="1:40" ht="17.25" hidden="1" customHeight="1" x14ac:dyDescent="0.25">
      <c r="A92" s="243"/>
      <c r="B92" s="243"/>
      <c r="C92" s="1340"/>
      <c r="D92" s="278"/>
      <c r="E92" s="400"/>
      <c r="F92" s="805" t="s">
        <v>1393</v>
      </c>
      <c r="G92" s="1493"/>
      <c r="H92" s="188"/>
      <c r="I92" s="886" t="str">
        <f>IF(E83="Yes",IF(AND(G92&lt;&gt;"",G93="",I91&lt;&gt;1),1,IF(G93&lt;&gt;"",G93-0.0001,"")),"")</f>
        <v/>
      </c>
      <c r="J92" s="229"/>
      <c r="K92" s="1472"/>
      <c r="L92" s="188"/>
      <c r="M92" s="1886"/>
      <c r="N92" s="665"/>
      <c r="O92" s="665"/>
      <c r="P92" s="221"/>
      <c r="Q92" s="138"/>
      <c r="R92" s="134"/>
      <c r="S92" s="572"/>
      <c r="T92" s="134"/>
      <c r="U92" s="134"/>
      <c r="V92" s="134"/>
      <c r="W92" s="134"/>
      <c r="X92" s="134"/>
      <c r="Y92" s="134"/>
      <c r="Z92" s="134"/>
      <c r="AA92" s="134"/>
      <c r="AB92" s="134"/>
      <c r="AC92" s="177"/>
    </row>
    <row r="93" spans="1:40" ht="17.25" hidden="1" customHeight="1" x14ac:dyDescent="0.25">
      <c r="A93" s="243"/>
      <c r="B93" s="243"/>
      <c r="C93" s="1340"/>
      <c r="D93" s="278"/>
      <c r="E93" s="400"/>
      <c r="F93" s="805" t="s">
        <v>1395</v>
      </c>
      <c r="G93" s="1493"/>
      <c r="H93" s="188"/>
      <c r="I93" s="886" t="str">
        <f>IF(E83="Yes",IF(AND(G93&lt;&gt;"",I92&lt;&gt;1),1,""),"")</f>
        <v/>
      </c>
      <c r="J93" s="229"/>
      <c r="K93" s="1472"/>
      <c r="L93" s="188"/>
      <c r="M93" s="665"/>
      <c r="N93" s="665"/>
      <c r="O93" s="665"/>
      <c r="P93" s="221"/>
      <c r="Q93" s="138"/>
      <c r="R93" s="134"/>
      <c r="S93" s="572"/>
      <c r="T93" s="134"/>
      <c r="U93" s="134"/>
      <c r="V93" s="134"/>
      <c r="W93" s="134"/>
      <c r="X93" s="134"/>
      <c r="Y93" s="134"/>
      <c r="Z93" s="134"/>
      <c r="AA93" s="134"/>
      <c r="AB93" s="134"/>
      <c r="AC93" s="134"/>
    </row>
    <row r="94" spans="1:40" ht="21" customHeight="1" x14ac:dyDescent="0.25">
      <c r="A94" s="245"/>
      <c r="B94" s="245"/>
      <c r="C94" s="1341"/>
      <c r="D94" s="901"/>
      <c r="E94" s="223"/>
      <c r="F94" s="202"/>
      <c r="G94" s="230"/>
      <c r="H94" s="231"/>
      <c r="I94" s="232"/>
      <c r="J94" s="203"/>
      <c r="K94" s="818"/>
      <c r="L94" s="231"/>
      <c r="M94" s="204"/>
      <c r="N94" s="204"/>
      <c r="O94" s="204"/>
      <c r="P94" s="224"/>
      <c r="Q94" s="138"/>
      <c r="R94" s="134"/>
      <c r="S94" s="572"/>
      <c r="T94" s="134" t="str">
        <f>TEXT(DATE(YEAR('Required Info to Submit'!F$14)+1,MONTH('Required Info to Submit'!F$14),DAY('Required Info to Submit'!F$14)+$U$110),"dddd")</f>
        <v>Saturday</v>
      </c>
      <c r="U94" s="134"/>
      <c r="V94" s="134"/>
      <c r="W94" s="972" t="str">
        <f>IF(E467="Yes","NS5","")</f>
        <v/>
      </c>
      <c r="X94" s="972" t="str">
        <f>IF($W94&lt;&gt;"",E468,"")</f>
        <v/>
      </c>
      <c r="Y94" s="972" t="str">
        <f>IF(AND($W94&lt;&gt;"",$X94&lt;&gt;"Please Select"),IF(G468="","Yes","No"),"No")</f>
        <v>No</v>
      </c>
      <c r="Z94" s="972" t="str">
        <f>IF(AND($W94&lt;&gt;"",$X94&lt;&gt;"Please Select"),IF(I468="","Yes","No"),"No")</f>
        <v>No</v>
      </c>
      <c r="AA94" s="972" t="str">
        <f>IF(AND($W94&lt;&gt;"",$X94&lt;&gt;"Please Select"),IF(K468="","Yes","No"),"No")</f>
        <v>No</v>
      </c>
      <c r="AB94" s="972" t="str">
        <f>IF(AND($W94&lt;&gt;"",AND(I468&lt;&gt;"Check",K468&lt;&gt;"Customer Units")),IF(M468="","Yes","No"),"No")</f>
        <v>No</v>
      </c>
      <c r="AC94" s="177"/>
      <c r="AD94" s="972" t="str">
        <f>IF(X94&lt;&gt;"",IF(K471="","Yes","No"),"No")</f>
        <v>No</v>
      </c>
    </row>
    <row r="95" spans="1:40" ht="10.15" customHeight="1" x14ac:dyDescent="0.25">
      <c r="A95" s="1552"/>
      <c r="C95" s="1342"/>
      <c r="D95" s="136"/>
      <c r="E95" s="134"/>
      <c r="F95" s="180"/>
      <c r="G95" s="233"/>
      <c r="H95" s="177"/>
      <c r="I95" s="234"/>
      <c r="J95" s="211"/>
      <c r="K95" s="212"/>
      <c r="L95" s="177"/>
      <c r="M95" s="212"/>
      <c r="N95" s="212"/>
      <c r="O95" s="212"/>
      <c r="P95" s="141"/>
      <c r="Q95" s="138"/>
      <c r="R95" s="134"/>
      <c r="S95" s="572"/>
      <c r="T95" s="134"/>
      <c r="U95" s="141" t="str">
        <f>TEXT(DATE(YEAR('Required Info to Submit'!F$14)+1,MONTH('Required Info to Submit'!F$14),DAY('Required Info to Submit'!F$14)),"dddd")</f>
        <v>Monday</v>
      </c>
      <c r="V95" s="134"/>
      <c r="W95" s="134"/>
      <c r="X95" s="134"/>
      <c r="Y95" s="134"/>
      <c r="Z95" s="134"/>
      <c r="AA95" s="134"/>
      <c r="AB95" s="134"/>
      <c r="AC95" s="134"/>
    </row>
    <row r="96" spans="1:40" ht="21" hidden="1" customHeight="1" thickBot="1" x14ac:dyDescent="0.25">
      <c r="A96" s="248"/>
      <c r="B96" s="248"/>
      <c r="C96" s="1343"/>
      <c r="D96" s="1845" t="s">
        <v>525</v>
      </c>
      <c r="E96" s="1845"/>
      <c r="F96" s="213"/>
      <c r="G96" s="225"/>
      <c r="H96" s="797"/>
      <c r="I96" s="215"/>
      <c r="J96" s="226"/>
      <c r="K96" s="216"/>
      <c r="L96" s="226"/>
      <c r="M96" s="217"/>
      <c r="N96" s="217"/>
      <c r="O96" s="1834" t="str">
        <f>IF(COUNTIF($K$103:$K$107,"&gt;.03")&gt;0,"***Warning:You have entered an Rate % of Sales above the recommended 3%***","")</f>
        <v/>
      </c>
      <c r="P96" s="1835"/>
      <c r="Q96" s="138"/>
      <c r="R96" s="134"/>
      <c r="S96" s="572"/>
      <c r="T96" s="134"/>
      <c r="U96" s="134"/>
      <c r="V96" s="134"/>
      <c r="W96" s="134"/>
      <c r="X96" s="134"/>
      <c r="Y96" s="134"/>
      <c r="Z96" s="134"/>
      <c r="AA96" s="134"/>
      <c r="AB96" s="134"/>
      <c r="AC96" s="134"/>
    </row>
    <row r="97" spans="1:29" ht="18" hidden="1" customHeight="1" thickBot="1" x14ac:dyDescent="0.3">
      <c r="A97" s="243"/>
      <c r="B97" s="243"/>
      <c r="C97" s="1340"/>
      <c r="D97" s="895" t="s">
        <v>523</v>
      </c>
      <c r="E97" s="821" t="s">
        <v>648</v>
      </c>
      <c r="F97" s="41"/>
      <c r="G97" s="228" t="s">
        <v>1380</v>
      </c>
      <c r="H97" s="532"/>
      <c r="I97" s="228" t="s">
        <v>1381</v>
      </c>
      <c r="J97" s="41"/>
      <c r="K97" s="228" t="s">
        <v>833</v>
      </c>
      <c r="L97" s="145"/>
      <c r="M97" s="194" t="s">
        <v>1382</v>
      </c>
      <c r="N97" s="218"/>
      <c r="O97" s="1836"/>
      <c r="P97" s="1837"/>
      <c r="Q97" s="138"/>
      <c r="R97" s="134"/>
      <c r="S97" s="572"/>
      <c r="T97" s="134"/>
      <c r="U97" s="134"/>
      <c r="V97" s="134"/>
      <c r="W97" s="134"/>
      <c r="X97" s="134"/>
      <c r="Y97" s="134"/>
      <c r="Z97" s="134"/>
      <c r="AA97" s="134"/>
      <c r="AB97" s="134"/>
      <c r="AC97" s="134"/>
    </row>
    <row r="98" spans="1:29" ht="18" hidden="1" customHeight="1" thickBot="1" x14ac:dyDescent="0.3">
      <c r="A98" s="243"/>
      <c r="B98" s="243"/>
      <c r="C98" s="1340"/>
      <c r="D98" s="803" t="s">
        <v>1383</v>
      </c>
      <c r="E98" s="868" t="s">
        <v>1384</v>
      </c>
      <c r="F98" s="41"/>
      <c r="G98" s="952"/>
      <c r="H98" s="532"/>
      <c r="I98" s="952"/>
      <c r="J98" s="145"/>
      <c r="K98" s="1475"/>
      <c r="L98" s="145"/>
      <c r="M98" s="1497"/>
      <c r="N98" s="218"/>
      <c r="O98" s="1836"/>
      <c r="P98" s="1837"/>
      <c r="Q98" s="138"/>
      <c r="R98" s="134"/>
      <c r="S98" s="572"/>
      <c r="T98" s="134"/>
      <c r="U98" s="134"/>
      <c r="V98" s="134"/>
      <c r="W98" s="134"/>
      <c r="X98" s="134"/>
      <c r="Y98" s="134"/>
      <c r="Z98" s="134"/>
      <c r="AA98" s="134"/>
      <c r="AB98" s="134"/>
      <c r="AC98" s="134"/>
    </row>
    <row r="99" spans="1:29" ht="18" hidden="1" customHeight="1" thickBot="1" x14ac:dyDescent="0.25">
      <c r="A99" s="243"/>
      <c r="B99" s="243"/>
      <c r="C99" s="1340"/>
      <c r="D99" s="7"/>
      <c r="E99" s="575"/>
      <c r="F99" s="41"/>
      <c r="G99" s="41"/>
      <c r="H99" s="41"/>
      <c r="I99" s="227"/>
      <c r="J99" s="41"/>
      <c r="K99" s="41"/>
      <c r="L99" s="41"/>
      <c r="M99" s="41"/>
      <c r="N99" s="41"/>
      <c r="O99" s="1836"/>
      <c r="P99" s="1837"/>
      <c r="Q99" s="138"/>
      <c r="R99" s="134"/>
      <c r="S99" s="571" t="str">
        <f>IF($E99="NO","",IF($I98="Select Payment Method","X",""))</f>
        <v/>
      </c>
      <c r="T99" s="134"/>
      <c r="U99" s="134"/>
      <c r="V99" s="134"/>
      <c r="W99" s="134"/>
      <c r="X99" s="134"/>
      <c r="Y99" s="134"/>
      <c r="Z99" s="134"/>
      <c r="AA99" s="134"/>
      <c r="AB99" s="134"/>
      <c r="AC99" s="134"/>
    </row>
    <row r="100" spans="1:29" ht="18" hidden="1" customHeight="1" thickBot="1" x14ac:dyDescent="0.3">
      <c r="A100" s="243"/>
      <c r="B100" s="243"/>
      <c r="C100" s="1340" t="str" cm="1">
        <f t="array" aca="1" ref="C100" ca="1">IF(INDIRECT("'Incentives'!C"&amp;'Configurable Tab'!C9+1) = "Yes",IF(INDIRECT("'Incentives'!E"&amp;'Configurable Tab'!C9+5)&lt;Welcome!$D$12,"Yes",IF(INDIRECT("'Incentives'!E"&amp;'Configurable Tab'!C9+5)='Required Info to Submit'!$F$17,"No","")),"")</f>
        <v/>
      </c>
      <c r="D100" s="810" t="s">
        <v>1385</v>
      </c>
      <c r="E100" s="1410" t="str">
        <f>IF(E97="Yes",IF(Welcome!$D$6="New",IF('Required Info to Submit'!F$14="","",'Required Info to Submit'!F$14),""),"")</f>
        <v/>
      </c>
      <c r="F100" s="41"/>
      <c r="G100" s="193" t="s">
        <v>995</v>
      </c>
      <c r="H100" s="41"/>
      <c r="I100" s="41"/>
      <c r="J100" s="41"/>
      <c r="K100" s="41"/>
      <c r="L100" s="41"/>
      <c r="M100" s="41"/>
      <c r="N100" s="41"/>
      <c r="O100" s="1836"/>
      <c r="P100" s="1837"/>
      <c r="Q100" s="138"/>
      <c r="R100" s="134"/>
      <c r="S100" s="571"/>
      <c r="T100" s="134"/>
      <c r="U100" s="134"/>
      <c r="V100" s="134"/>
      <c r="W100" s="134"/>
      <c r="X100" s="134"/>
      <c r="Y100" s="134"/>
      <c r="Z100" s="134"/>
      <c r="AA100" s="134"/>
      <c r="AB100" s="134"/>
      <c r="AC100" s="134"/>
    </row>
    <row r="101" spans="1:29" ht="18" hidden="1" customHeight="1" thickBot="1" x14ac:dyDescent="0.3">
      <c r="A101" s="243"/>
      <c r="B101" s="243"/>
      <c r="C101" s="1340"/>
      <c r="D101" s="810" t="s">
        <v>1386</v>
      </c>
      <c r="E101" s="1410" t="str">
        <f>IF(E97="Yes",IF(Welcome!$D$6="New",IF('Required Info to Submit'!F$17="","",'Required Info to Submit'!F$17),""),"")</f>
        <v/>
      </c>
      <c r="F101" s="196"/>
      <c r="G101" s="1492">
        <f>IFERROR('EB_CM (Back)'!$B$7,"")</f>
        <v>0</v>
      </c>
      <c r="H101" s="188"/>
      <c r="I101" s="41"/>
      <c r="J101" s="195"/>
      <c r="K101" s="41"/>
      <c r="L101" s="188"/>
      <c r="M101" s="195"/>
      <c r="N101" s="195"/>
      <c r="O101" s="188"/>
      <c r="P101" s="221"/>
      <c r="Q101" s="138"/>
      <c r="R101" s="134"/>
      <c r="S101" s="572"/>
      <c r="T101" s="134"/>
      <c r="U101" s="134"/>
      <c r="V101" s="134"/>
      <c r="W101" s="134"/>
      <c r="X101" s="134"/>
      <c r="Y101" s="134"/>
      <c r="Z101" s="134"/>
      <c r="AA101" s="134"/>
      <c r="AB101" s="134"/>
      <c r="AC101" s="134"/>
    </row>
    <row r="102" spans="1:29" ht="18" hidden="1" customHeight="1" x14ac:dyDescent="0.25">
      <c r="A102" s="243"/>
      <c r="B102" s="243"/>
      <c r="C102" s="1340"/>
      <c r="D102" s="278"/>
      <c r="E102" s="400"/>
      <c r="F102" s="196"/>
      <c r="G102" s="194" t="s">
        <v>1387</v>
      </c>
      <c r="H102" s="532"/>
      <c r="I102" s="194" t="s">
        <v>1388</v>
      </c>
      <c r="J102" s="195"/>
      <c r="K102" s="194" t="s">
        <v>1389</v>
      </c>
      <c r="L102" s="188"/>
      <c r="M102" s="1886"/>
      <c r="N102" s="195"/>
      <c r="O102" s="6" t="s">
        <v>490</v>
      </c>
      <c r="P102" s="221"/>
      <c r="Q102" s="138"/>
      <c r="R102" s="134"/>
      <c r="S102" s="572"/>
      <c r="T102" s="134"/>
      <c r="U102" s="134"/>
      <c r="V102" s="134"/>
      <c r="W102" s="134"/>
      <c r="X102" s="134"/>
      <c r="Y102" s="134"/>
      <c r="Z102" s="134"/>
      <c r="AA102" s="134"/>
      <c r="AB102" s="134"/>
      <c r="AC102" s="134"/>
    </row>
    <row r="103" spans="1:29" ht="17.25" hidden="1" customHeight="1" x14ac:dyDescent="0.25">
      <c r="A103" s="243"/>
      <c r="B103" s="243"/>
      <c r="C103" s="1340"/>
      <c r="D103" s="278"/>
      <c r="E103" s="400"/>
      <c r="F103" s="805" t="s">
        <v>997</v>
      </c>
      <c r="G103" s="1493"/>
      <c r="H103" s="188"/>
      <c r="I103" s="954" t="str">
        <f>IF(E97="Yes",IF(AND(G103&lt;&gt;"",G104="",G105="",G106="",G107=""),1,IF(G104&lt;&gt;"",G104-0.0001,"")),"")</f>
        <v/>
      </c>
      <c r="J103" s="806" t="str">
        <f>IF($E$85="YES","**Tier 1 payout used for modeling purposes**","")</f>
        <v/>
      </c>
      <c r="K103" s="1472"/>
      <c r="L103" s="188"/>
      <c r="M103" s="1886"/>
      <c r="N103" s="197"/>
      <c r="O103" s="887">
        <f>IF(Welcome!D6="New",IF(E97="Yes",IF(AND(G107&lt;=G101,G107&lt;&gt;""),K107*$H$10*G101,IF(AND(G106&lt;=G101,G106&lt;&gt;""),K106*$H$10*G101,IF(AND(G105&lt;=G101,G105&lt;&gt;""),K105*$H$10*G101,IF(AND(G104&lt;=G101,G104&lt;&gt;""),K104*$H$10*G101,K103*$H$10*G101)))),0),IF(Incentives!E101&lt;Welcome!D12,0,IF(E97="Yes",IF(AND(G107&lt;=G101,G107&lt;&gt;""),K107*$H$10*G101,IF(AND(G106&lt;=G101,G106&lt;&gt;""),K106*$H$10*G101,IF(AND(G105&lt;=G101,G105&lt;&gt;""),K105*$H$10*G101,IF(AND(G104&lt;=G101,G104&lt;&gt;""),K104*$H$10*G101,K103*$H$10*G101)))),0)))</f>
        <v>0</v>
      </c>
      <c r="P103" s="221"/>
      <c r="Q103" s="138"/>
      <c r="R103" s="134"/>
      <c r="S103" s="572"/>
      <c r="T103" s="134"/>
      <c r="U103" s="134"/>
      <c r="V103" s="134"/>
      <c r="W103" s="134"/>
      <c r="X103" s="134"/>
      <c r="Y103" s="134"/>
      <c r="Z103" s="134"/>
      <c r="AA103" s="134"/>
      <c r="AB103" s="134"/>
      <c r="AC103" s="134"/>
    </row>
    <row r="104" spans="1:29" ht="17.25" hidden="1" customHeight="1" x14ac:dyDescent="0.25">
      <c r="A104" s="243"/>
      <c r="B104" s="243"/>
      <c r="C104" s="1340"/>
      <c r="D104" s="278"/>
      <c r="E104" s="400"/>
      <c r="F104" s="805" t="s">
        <v>1390</v>
      </c>
      <c r="G104" s="1493"/>
      <c r="H104" s="188"/>
      <c r="I104" s="943" t="str">
        <f>IF(E97="Yes",IF(AND(G104&lt;&gt;"",G105="",G106="",G107="",I103&lt;&gt;1),1,IF(G105&lt;&gt;"",G105-0.0001,"")),"")</f>
        <v/>
      </c>
      <c r="J104" s="229"/>
      <c r="K104" s="1472"/>
      <c r="L104" s="188"/>
      <c r="M104" s="1886"/>
      <c r="N104" s="665"/>
      <c r="O104" s="665"/>
      <c r="P104" s="221"/>
      <c r="Q104" s="138"/>
      <c r="R104" s="134"/>
      <c r="S104" s="572"/>
      <c r="T104" s="134"/>
      <c r="U104" s="134"/>
      <c r="V104" s="134"/>
      <c r="W104" s="134"/>
      <c r="X104" s="134"/>
      <c r="Y104" s="134"/>
      <c r="Z104" s="134"/>
      <c r="AA104" s="134"/>
      <c r="AB104" s="134"/>
      <c r="AC104" s="134"/>
    </row>
    <row r="105" spans="1:29" ht="17.25" hidden="1" customHeight="1" x14ac:dyDescent="0.25">
      <c r="A105" s="243"/>
      <c r="B105" s="243"/>
      <c r="C105" s="1340"/>
      <c r="D105" s="278"/>
      <c r="E105" s="400"/>
      <c r="F105" s="805" t="s">
        <v>1391</v>
      </c>
      <c r="G105" s="1493"/>
      <c r="H105" s="188"/>
      <c r="I105" s="943" t="str">
        <f>IF(E97="Yes",IF(AND(G105&lt;&gt;"",G106="",G107="",I104&lt;&gt;1),1,IF(G106&lt;&gt;"",G106-0.0001,"")),"")</f>
        <v/>
      </c>
      <c r="J105" s="229"/>
      <c r="K105" s="1472"/>
      <c r="L105" s="188"/>
      <c r="M105" s="1886"/>
      <c r="N105" s="665"/>
      <c r="O105" s="665"/>
      <c r="P105" s="221"/>
      <c r="Q105" s="138"/>
      <c r="R105" s="134"/>
      <c r="S105" s="572"/>
      <c r="T105" s="134"/>
      <c r="U105" s="134"/>
      <c r="V105" s="134"/>
      <c r="W105" s="134"/>
      <c r="X105" s="134"/>
      <c r="Y105" s="134"/>
      <c r="Z105" s="134"/>
      <c r="AA105" s="134"/>
      <c r="AB105" s="134"/>
      <c r="AC105" s="134"/>
    </row>
    <row r="106" spans="1:29" ht="17.25" hidden="1" customHeight="1" x14ac:dyDescent="0.25">
      <c r="A106" s="243"/>
      <c r="B106" s="243"/>
      <c r="C106" s="1340"/>
      <c r="D106" s="278"/>
      <c r="E106" s="400"/>
      <c r="F106" s="805" t="s">
        <v>1393</v>
      </c>
      <c r="G106" s="1493"/>
      <c r="H106" s="188"/>
      <c r="I106" s="943" t="str">
        <f>IF(E97="Yes",IF(AND(G106&lt;&gt;"",G107="",I105&lt;&gt;1),1,IF(G107&lt;&gt;"",G107-0.0001,"")),"")</f>
        <v/>
      </c>
      <c r="J106" s="229"/>
      <c r="K106" s="1472"/>
      <c r="L106" s="188"/>
      <c r="M106" s="1376"/>
      <c r="N106" s="665"/>
      <c r="O106" s="665"/>
      <c r="P106" s="221"/>
      <c r="Q106" s="138"/>
      <c r="R106" s="134"/>
      <c r="S106" s="572"/>
      <c r="T106" s="134"/>
      <c r="U106" s="134"/>
      <c r="V106" s="134"/>
      <c r="W106" s="134"/>
      <c r="X106" s="134"/>
      <c r="Y106" s="134"/>
      <c r="Z106" s="134"/>
      <c r="AA106" s="134"/>
      <c r="AB106" s="134"/>
      <c r="AC106" s="134"/>
    </row>
    <row r="107" spans="1:29" ht="17.25" hidden="1" customHeight="1" x14ac:dyDescent="0.25">
      <c r="A107" s="243"/>
      <c r="B107" s="243"/>
      <c r="C107" s="1340"/>
      <c r="D107" s="278"/>
      <c r="E107" s="400"/>
      <c r="F107" s="805" t="s">
        <v>1395</v>
      </c>
      <c r="G107" s="1493"/>
      <c r="H107" s="188"/>
      <c r="I107" s="943" t="str">
        <f>IF(E97="Yes",IF(AND(G107&lt;&gt;"",I106&lt;&gt;1),1,""),"")</f>
        <v/>
      </c>
      <c r="J107" s="229"/>
      <c r="K107" s="1472"/>
      <c r="L107" s="188"/>
      <c r="M107" s="665"/>
      <c r="N107" s="665"/>
      <c r="O107" s="665"/>
      <c r="P107" s="221"/>
      <c r="Q107" s="138"/>
      <c r="R107" s="134"/>
      <c r="S107" s="572"/>
      <c r="T107" s="134"/>
      <c r="U107" s="134"/>
      <c r="V107" s="134"/>
      <c r="W107" s="134"/>
      <c r="X107" s="134"/>
      <c r="Y107" s="134"/>
      <c r="Z107" s="134"/>
      <c r="AA107" s="134"/>
      <c r="AB107" s="134"/>
      <c r="AC107" s="134"/>
    </row>
    <row r="108" spans="1:29" ht="21" hidden="1" customHeight="1" x14ac:dyDescent="0.25">
      <c r="A108" s="245"/>
      <c r="B108" s="245"/>
      <c r="C108" s="1341"/>
      <c r="D108" s="901"/>
      <c r="E108" s="223"/>
      <c r="F108" s="202"/>
      <c r="G108" s="230"/>
      <c r="H108" s="231"/>
      <c r="I108" s="232"/>
      <c r="J108" s="203"/>
      <c r="K108" s="204"/>
      <c r="L108" s="231"/>
      <c r="M108" s="204"/>
      <c r="N108" s="204"/>
      <c r="O108" s="204"/>
      <c r="P108" s="224"/>
      <c r="Q108" s="138"/>
      <c r="R108" s="134"/>
      <c r="S108" s="572"/>
      <c r="T108" s="134"/>
      <c r="U108" s="134"/>
      <c r="V108" s="134"/>
      <c r="W108" s="134"/>
      <c r="X108" s="134"/>
      <c r="Y108" s="134"/>
      <c r="Z108" s="134"/>
      <c r="AA108" s="134"/>
      <c r="AB108" s="134"/>
      <c r="AC108" s="134"/>
    </row>
    <row r="109" spans="1:29" ht="10.15" hidden="1" customHeight="1" x14ac:dyDescent="0.25">
      <c r="A109" s="1552"/>
      <c r="C109" s="1342"/>
      <c r="D109" s="136"/>
      <c r="E109" s="134"/>
      <c r="F109" s="180"/>
      <c r="G109" s="233"/>
      <c r="H109" s="177"/>
      <c r="I109" s="234"/>
      <c r="J109" s="211"/>
      <c r="K109" s="212"/>
      <c r="L109" s="177"/>
      <c r="M109" s="212"/>
      <c r="N109" s="212"/>
      <c r="O109" s="212"/>
      <c r="P109" s="141"/>
      <c r="Q109" s="138"/>
      <c r="R109" s="134"/>
      <c r="S109" s="572"/>
      <c r="T109" s="134"/>
      <c r="U109" s="134"/>
      <c r="V109" s="134"/>
      <c r="W109" s="134"/>
      <c r="X109" s="134"/>
      <c r="Y109" s="134"/>
      <c r="Z109" s="134"/>
      <c r="AA109" s="134"/>
      <c r="AB109" s="134"/>
      <c r="AC109" s="134"/>
    </row>
    <row r="110" spans="1:29" ht="20.25" customHeight="1" thickBot="1" x14ac:dyDescent="0.3">
      <c r="A110" s="248"/>
      <c r="B110" s="248"/>
      <c r="C110" s="1343"/>
      <c r="D110" s="1845" t="s">
        <v>1105</v>
      </c>
      <c r="E110" s="1845"/>
      <c r="F110" s="213"/>
      <c r="G110" s="235"/>
      <c r="H110" s="183"/>
      <c r="I110" s="236"/>
      <c r="J110" s="216"/>
      <c r="K110" s="217"/>
      <c r="L110" s="183"/>
      <c r="M110" s="217"/>
      <c r="N110" s="1834" t="str">
        <f>IF(COUNTIF($K$115,"&gt;.02")&gt;0,"***Warning:You have entered an Rate % of Sales above the recommended amount.Rate % of Sales should be between 0% and 2%***","")</f>
        <v/>
      </c>
      <c r="O110" s="1834"/>
      <c r="P110" s="1835"/>
      <c r="Q110" s="138"/>
      <c r="R110" s="134"/>
      <c r="S110" s="141" t="s">
        <v>2036</v>
      </c>
      <c r="T110" s="141">
        <v>6</v>
      </c>
      <c r="U110" s="141">
        <f>INDEX($T$110:$T$116,MATCH($U$95,$S$110:$S$116,0))</f>
        <v>5</v>
      </c>
      <c r="V110" s="134"/>
      <c r="W110" s="134"/>
      <c r="X110" s="1432">
        <f>VALUE(Welcome!$D$8)-VALUE('Required Info to Submit'!$F$14)</f>
        <v>0</v>
      </c>
      <c r="Y110" s="134"/>
      <c r="Z110" s="134"/>
      <c r="AA110" s="134"/>
      <c r="AB110" s="134"/>
      <c r="AC110" s="134"/>
    </row>
    <row r="111" spans="1:29" ht="18" customHeight="1" thickBot="1" x14ac:dyDescent="0.3">
      <c r="A111" s="243"/>
      <c r="B111" s="243"/>
      <c r="C111" s="1340"/>
      <c r="D111" s="895" t="s">
        <v>523</v>
      </c>
      <c r="E111" s="821" t="s">
        <v>648</v>
      </c>
      <c r="F111" s="239"/>
      <c r="G111" s="228" t="s">
        <v>1380</v>
      </c>
      <c r="H111" s="532"/>
      <c r="I111" s="228" t="s">
        <v>1381</v>
      </c>
      <c r="J111" s="41"/>
      <c r="K111" s="228" t="s">
        <v>833</v>
      </c>
      <c r="L111" s="145"/>
      <c r="M111" s="194" t="s">
        <v>1382</v>
      </c>
      <c r="N111" s="1836"/>
      <c r="O111" s="1836"/>
      <c r="P111" s="1837"/>
      <c r="Q111" s="138"/>
      <c r="R111" s="134"/>
      <c r="S111" s="141" t="s">
        <v>2037</v>
      </c>
      <c r="T111" s="141">
        <v>5</v>
      </c>
      <c r="U111" s="134"/>
      <c r="V111" s="134"/>
      <c r="W111" s="134"/>
      <c r="X111" s="572">
        <f>IF($X$110&lt;370,370-$X$110,IF($X$110&lt;734,734-$X$110,IF($X$110&lt;1098,1098-$X$110,IF($X$110&lt;1462,1462-$X$110,IF($X$110&lt;1826,1826-$X$110)))))</f>
        <v>370</v>
      </c>
      <c r="Y111" s="134"/>
      <c r="Z111" s="134"/>
      <c r="AA111" s="134"/>
      <c r="AB111" s="134"/>
      <c r="AC111" s="134"/>
    </row>
    <row r="112" spans="1:29" ht="18" customHeight="1" thickBot="1" x14ac:dyDescent="0.3">
      <c r="A112" s="243"/>
      <c r="B112" s="243"/>
      <c r="C112" s="1340"/>
      <c r="D112" s="803" t="s">
        <v>1383</v>
      </c>
      <c r="E112" s="1296" t="s">
        <v>1384</v>
      </c>
      <c r="F112" s="196"/>
      <c r="G112" s="1299"/>
      <c r="H112" s="532"/>
      <c r="I112" s="1299"/>
      <c r="J112" s="145"/>
      <c r="K112" s="1475"/>
      <c r="L112" s="145"/>
      <c r="M112" s="1497"/>
      <c r="N112" s="1836"/>
      <c r="O112" s="1836"/>
      <c r="P112" s="1837"/>
      <c r="Q112" s="138"/>
      <c r="R112" s="134"/>
      <c r="S112" s="141" t="s">
        <v>2038</v>
      </c>
      <c r="T112" s="1309">
        <v>4</v>
      </c>
      <c r="U112" s="134"/>
      <c r="V112" s="134"/>
      <c r="W112" s="134"/>
      <c r="X112" s="134"/>
      <c r="Y112" s="134"/>
      <c r="Z112" s="134"/>
      <c r="AA112" s="134"/>
      <c r="AB112" s="134"/>
      <c r="AC112" s="134"/>
    </row>
    <row r="113" spans="1:29" ht="18" customHeight="1" thickBot="1" x14ac:dyDescent="0.3">
      <c r="A113" s="243"/>
      <c r="B113" s="243"/>
      <c r="C113" s="1340"/>
      <c r="D113" s="902"/>
      <c r="E113" s="41"/>
      <c r="F113" s="145"/>
      <c r="G113" s="237"/>
      <c r="H113" s="188"/>
      <c r="I113" s="238"/>
      <c r="J113" s="197"/>
      <c r="K113" s="218"/>
      <c r="L113" s="188"/>
      <c r="M113" s="1834"/>
      <c r="N113" s="1836"/>
      <c r="O113" s="1836"/>
      <c r="P113" s="1837"/>
      <c r="Q113" s="138"/>
      <c r="R113" s="134"/>
      <c r="S113" s="141" t="s">
        <v>2039</v>
      </c>
      <c r="T113" s="141">
        <v>3</v>
      </c>
      <c r="U113" s="134"/>
      <c r="V113" s="134"/>
      <c r="W113" s="134"/>
      <c r="X113" s="134"/>
      <c r="Y113" s="134"/>
      <c r="Z113" s="134"/>
      <c r="AA113" s="134"/>
      <c r="AB113" s="134"/>
      <c r="AC113" s="134"/>
    </row>
    <row r="114" spans="1:29" ht="17.25" customHeight="1" thickBot="1" x14ac:dyDescent="0.3">
      <c r="A114" s="243"/>
      <c r="B114" s="243"/>
      <c r="C114" s="1340" t="str" cm="1">
        <f t="array" aca="1" ref="C114" ca="1">IF(INDIRECT("'Incentives'!C"&amp;'Configurable Tab'!C10+1) = "Yes",IF(INDIRECT("'Incentives'!E"&amp;'Configurable Tab'!C10+5)&lt;Welcome!$D$12,"Yes",IF(INDIRECT("'Incentives'!E"&amp;'Configurable Tab'!C10+5)='Required Info to Submit'!$F$17,"No","")),"")</f>
        <v/>
      </c>
      <c r="D114" s="810" t="s">
        <v>1385</v>
      </c>
      <c r="E114" s="1410" t="str">
        <f>IF(E111="Yes",IF(Welcome!$D$6="New",IF('Required Info to Submit'!F$14="","",'Required Info to Submit'!F$14),IF(AND($C$111&lt;&gt;"Yes",Welcome!$D$8&lt;&gt;""),Welcome!$D$8,"")),"")</f>
        <v/>
      </c>
      <c r="F114" s="239"/>
      <c r="G114" s="194" t="s">
        <v>1387</v>
      </c>
      <c r="H114" s="188"/>
      <c r="I114" s="194" t="s">
        <v>1388</v>
      </c>
      <c r="J114" s="195"/>
      <c r="K114" s="194" t="s">
        <v>1389</v>
      </c>
      <c r="L114" s="188"/>
      <c r="M114" s="1836"/>
      <c r="N114" s="195"/>
      <c r="O114" s="6" t="s">
        <v>490</v>
      </c>
      <c r="P114" s="221"/>
      <c r="Q114" s="138"/>
      <c r="R114" s="134"/>
      <c r="S114" s="141" t="s">
        <v>2040</v>
      </c>
      <c r="T114" s="141">
        <v>2</v>
      </c>
      <c r="U114" s="134"/>
      <c r="V114" s="134"/>
      <c r="W114" s="134"/>
      <c r="X114" s="134"/>
      <c r="Y114" s="134"/>
      <c r="Z114" s="134"/>
      <c r="AA114" s="134"/>
      <c r="AB114" s="134"/>
      <c r="AC114" s="134"/>
    </row>
    <row r="115" spans="1:29" ht="30.75" customHeight="1" thickBot="1" x14ac:dyDescent="0.3">
      <c r="A115" s="243"/>
      <c r="B115" s="243"/>
      <c r="C115" s="1340"/>
      <c r="D115" s="810" t="s">
        <v>1386</v>
      </c>
      <c r="E115" s="1410" t="str">
        <f>IFERROR(IF(E111="Yes",IF(Welcome!$D$6="New",IF($E$114="","",($E$114)+370),IF(Welcome!$D$16=1,'Required Info to Submit'!$F$17,Welcome!$D$8+Incentives!$X$111)),""),"")</f>
        <v/>
      </c>
      <c r="F115" s="805" t="str">
        <f>'Incentives Worksheet'!G245</f>
        <v>Weekly Baseline</v>
      </c>
      <c r="G115" s="1477"/>
      <c r="H115" s="188"/>
      <c r="I115" s="889" t="str">
        <f>IF(E111="Yes",999999999.99,"")</f>
        <v/>
      </c>
      <c r="J115" s="229"/>
      <c r="K115" s="1472"/>
      <c r="L115" s="188"/>
      <c r="M115" s="1836"/>
      <c r="N115" s="197"/>
      <c r="O115" s="887">
        <f>IF(Welcome!$D$6="New",IF(E111="No",0,IF((($H$10-(G115*52))*K115)&lt;0,0,(($H$10-(G115*52))*K115))),IF($S$119&lt;&gt;1,0,IF(Incentives!E115&lt;Welcome!$D$12,0,IF(E111="No",0,IF((($H$10-(G115*52))*K115)&lt;0,0,(($H$10-(G115*52))*K115))))))</f>
        <v>0</v>
      </c>
      <c r="P115" s="221"/>
      <c r="Q115" s="138"/>
      <c r="R115" s="795"/>
      <c r="S115" s="141" t="s">
        <v>2041</v>
      </c>
      <c r="T115" s="242">
        <v>1</v>
      </c>
      <c r="U115" s="1308"/>
    </row>
    <row r="116" spans="1:29" ht="22.5" customHeight="1" x14ac:dyDescent="0.25">
      <c r="A116" s="245"/>
      <c r="B116" s="245"/>
      <c r="C116" s="1341"/>
      <c r="D116" s="901"/>
      <c r="E116" s="1498"/>
      <c r="F116" s="459" t="s">
        <v>2088</v>
      </c>
      <c r="G116" s="1499">
        <f>$H$9/52</f>
        <v>0</v>
      </c>
      <c r="H116" s="223"/>
      <c r="I116" s="240"/>
      <c r="J116" s="223"/>
      <c r="K116" s="223"/>
      <c r="L116" s="223"/>
      <c r="M116" s="1885"/>
      <c r="N116" s="223"/>
      <c r="O116" s="223"/>
      <c r="P116" s="224"/>
      <c r="Q116" s="138"/>
      <c r="R116" s="795"/>
      <c r="S116" s="141" t="s">
        <v>2042</v>
      </c>
      <c r="T116" s="242">
        <v>0</v>
      </c>
      <c r="U116" s="1308"/>
    </row>
    <row r="117" spans="1:29" ht="10.15" customHeight="1" x14ac:dyDescent="0.25">
      <c r="A117" s="1552"/>
      <c r="C117" s="1342"/>
      <c r="D117" s="136"/>
      <c r="E117" s="134"/>
      <c r="F117" s="180"/>
      <c r="G117" s="233"/>
      <c r="H117" s="177"/>
      <c r="I117" s="234"/>
      <c r="J117" s="211"/>
      <c r="K117" s="212"/>
      <c r="L117" s="177"/>
      <c r="M117" s="212"/>
      <c r="N117" s="212"/>
      <c r="O117" s="212"/>
      <c r="P117" s="141"/>
      <c r="Q117" s="138"/>
      <c r="R117" s="134"/>
      <c r="S117" s="1308"/>
      <c r="T117" s="141"/>
      <c r="U117" s="134"/>
      <c r="V117" s="134"/>
      <c r="W117" s="134"/>
      <c r="X117" s="134"/>
      <c r="Y117" s="134"/>
      <c r="Z117" s="134"/>
      <c r="AA117" s="134"/>
      <c r="AB117" s="134"/>
      <c r="AC117" s="134"/>
    </row>
    <row r="118" spans="1:29" s="1001" customFormat="1" ht="20.25" hidden="1" customHeight="1" thickBot="1" x14ac:dyDescent="0.25">
      <c r="A118" s="248"/>
      <c r="B118" s="248"/>
      <c r="C118" s="1343"/>
      <c r="D118" s="1845" t="s">
        <v>1105</v>
      </c>
      <c r="E118" s="1845"/>
      <c r="F118" s="213"/>
      <c r="G118" s="235"/>
      <c r="H118" s="183"/>
      <c r="I118" s="236"/>
      <c r="J118" s="216"/>
      <c r="K118" s="217"/>
      <c r="L118" s="183"/>
      <c r="M118" s="217"/>
      <c r="N118" s="1834" t="str">
        <f>IF(COUNTIF($K$123,"&gt;.02")&gt;0,"***Warning:You have entered an Rate % of Sales above the recommended amount.Rate % of Sales should be between 0% and 2%***","")</f>
        <v/>
      </c>
      <c r="O118" s="1834"/>
      <c r="P118" s="1835"/>
      <c r="Q118" s="138"/>
      <c r="R118" s="134"/>
      <c r="S118" s="572"/>
      <c r="T118" s="134"/>
      <c r="U118" s="134"/>
      <c r="V118" s="134"/>
      <c r="W118" s="134"/>
      <c r="X118" s="134"/>
      <c r="Y118" s="134"/>
      <c r="Z118" s="134"/>
      <c r="AA118" s="134"/>
      <c r="AB118" s="134"/>
      <c r="AC118" s="134"/>
    </row>
    <row r="119" spans="1:29" s="1001" customFormat="1" ht="18" hidden="1" customHeight="1" thickBot="1" x14ac:dyDescent="0.3">
      <c r="A119" s="243"/>
      <c r="B119" s="243"/>
      <c r="C119" s="1340"/>
      <c r="D119" s="895" t="s">
        <v>523</v>
      </c>
      <c r="E119" s="821" t="s">
        <v>648</v>
      </c>
      <c r="F119" s="239"/>
      <c r="G119" s="228" t="s">
        <v>1380</v>
      </c>
      <c r="H119" s="532"/>
      <c r="I119" s="228" t="s">
        <v>1381</v>
      </c>
      <c r="J119" s="41"/>
      <c r="K119" s="228" t="s">
        <v>833</v>
      </c>
      <c r="L119" s="858"/>
      <c r="M119" s="194" t="s">
        <v>1382</v>
      </c>
      <c r="N119" s="1836"/>
      <c r="O119" s="1836"/>
      <c r="P119" s="1837"/>
      <c r="Q119" s="138"/>
      <c r="R119" s="134"/>
      <c r="S119" s="1496">
        <f>IF(E143="Yes",5,IF(E135="Yes",4,IF(E127="Yes",3,IF(E119="Yes",2,IF(E111="Yes",1,0)))))</f>
        <v>0</v>
      </c>
      <c r="T119" s="134"/>
      <c r="U119" s="134"/>
      <c r="V119" s="134"/>
      <c r="W119" s="134"/>
      <c r="X119" s="134"/>
      <c r="Y119" s="134"/>
      <c r="Z119" s="134"/>
      <c r="AA119" s="134"/>
      <c r="AB119" s="134"/>
      <c r="AC119" s="134"/>
    </row>
    <row r="120" spans="1:29" s="1001" customFormat="1" ht="18" hidden="1" customHeight="1" thickBot="1" x14ac:dyDescent="0.3">
      <c r="A120" s="243"/>
      <c r="B120" s="243"/>
      <c r="C120" s="1340"/>
      <c r="D120" s="803" t="s">
        <v>1383</v>
      </c>
      <c r="E120" s="1296" t="s">
        <v>1384</v>
      </c>
      <c r="F120" s="196"/>
      <c r="G120" s="1299"/>
      <c r="H120" s="532"/>
      <c r="I120" s="1299"/>
      <c r="J120" s="858"/>
      <c r="K120" s="1475"/>
      <c r="L120" s="858"/>
      <c r="M120" s="1497"/>
      <c r="N120" s="1836"/>
      <c r="O120" s="1836"/>
      <c r="P120" s="1837"/>
      <c r="Q120" s="138"/>
      <c r="R120" s="134"/>
      <c r="S120" s="572"/>
      <c r="T120" s="816"/>
      <c r="U120" s="134"/>
      <c r="V120" s="134"/>
      <c r="W120" s="134"/>
      <c r="X120" s="134"/>
      <c r="Y120" s="134"/>
      <c r="Z120" s="134"/>
      <c r="AA120" s="134"/>
      <c r="AB120" s="134"/>
      <c r="AC120" s="134"/>
    </row>
    <row r="121" spans="1:29" s="1001" customFormat="1" ht="18" hidden="1" customHeight="1" thickBot="1" x14ac:dyDescent="0.25">
      <c r="A121" s="243"/>
      <c r="B121" s="243"/>
      <c r="C121" s="1340"/>
      <c r="D121" s="902"/>
      <c r="E121" s="41"/>
      <c r="F121" s="858"/>
      <c r="G121" s="237"/>
      <c r="H121" s="188"/>
      <c r="I121" s="238"/>
      <c r="J121" s="197"/>
      <c r="K121" s="218"/>
      <c r="L121" s="188"/>
      <c r="M121" s="1834"/>
      <c r="N121" s="1836"/>
      <c r="O121" s="1836"/>
      <c r="P121" s="1837"/>
      <c r="Q121" s="138"/>
      <c r="R121" s="134"/>
      <c r="S121" s="571" t="str">
        <f>IF($E121="NO","",IF($I120="Select Payment Method","X",""))</f>
        <v/>
      </c>
      <c r="T121" s="134"/>
      <c r="U121" s="134"/>
      <c r="V121" s="134"/>
      <c r="W121" s="134"/>
      <c r="X121" s="134"/>
      <c r="Y121" s="134"/>
      <c r="Z121" s="134"/>
      <c r="AA121" s="134"/>
      <c r="AB121" s="134"/>
      <c r="AC121" s="134"/>
    </row>
    <row r="122" spans="1:29" s="1001" customFormat="1" ht="17.25" hidden="1" customHeight="1" thickBot="1" x14ac:dyDescent="0.3">
      <c r="A122" s="243"/>
      <c r="B122" s="243"/>
      <c r="C122" s="1340" t="str" cm="1">
        <f t="array" aca="1" ref="C122" ca="1">IF(INDIRECT("'Incentives'!C"&amp;'Configurable Tab'!C11+1) = "Yes",IF(INDIRECT("'Incentives'!E"&amp;'Configurable Tab'!C11+5)&lt;Welcome!$D$12,"Yes",IF(INDIRECT("'Incentives'!E"&amp;'Configurable Tab'!C11+5)='Required Info to Submit'!$F$17,"No","")),"")</f>
        <v/>
      </c>
      <c r="D122" s="810" t="s">
        <v>1385</v>
      </c>
      <c r="E122" s="1410" t="str">
        <f>IFERROR(IF(E119="Yes",IF(Welcome!$D$6="New",IF('Required Info to Submit'!F$14="","",'Required Info to Submit'!F$14),$E$115+1),""),"")</f>
        <v/>
      </c>
      <c r="F122" s="239"/>
      <c r="G122" s="194" t="s">
        <v>1387</v>
      </c>
      <c r="H122" s="188"/>
      <c r="I122" s="194" t="s">
        <v>1388</v>
      </c>
      <c r="J122" s="195"/>
      <c r="K122" s="194" t="s">
        <v>1389</v>
      </c>
      <c r="L122" s="188"/>
      <c r="M122" s="1836"/>
      <c r="N122" s="195"/>
      <c r="O122" s="6" t="s">
        <v>490</v>
      </c>
      <c r="P122" s="221"/>
      <c r="Q122" s="138"/>
      <c r="R122" s="134"/>
      <c r="S122" s="572"/>
      <c r="T122" s="134"/>
      <c r="U122" s="134"/>
      <c r="V122" s="134"/>
      <c r="W122" s="134"/>
      <c r="X122" s="134"/>
      <c r="Y122" s="134"/>
      <c r="Z122" s="134"/>
      <c r="AA122" s="134"/>
      <c r="AB122" s="134"/>
      <c r="AC122" s="134"/>
    </row>
    <row r="123" spans="1:29" s="1001" customFormat="1" ht="27.75" hidden="1" customHeight="1" thickBot="1" x14ac:dyDescent="0.3">
      <c r="A123" s="243"/>
      <c r="B123" s="243"/>
      <c r="C123" s="1340"/>
      <c r="D123" s="810" t="s">
        <v>1386</v>
      </c>
      <c r="E123" s="1410" t="str">
        <f>IFERROR(IF(E119="Yes",IF(Welcome!$D$6="New",IF($E$122="","",$E$122+370),IF(Welcome!$D$16=2,'Required Info to Submit'!$F$17,IF($E$122="","",$E$122+364))),""),"")</f>
        <v/>
      </c>
      <c r="F123" s="805" t="str">
        <f>'Incentives Worksheet'!G259</f>
        <v>Weekly Baseline</v>
      </c>
      <c r="G123" s="1477"/>
      <c r="H123" s="188"/>
      <c r="I123" s="955" t="str">
        <f>IF(E119="Yes",999999999.99,"")</f>
        <v/>
      </c>
      <c r="J123" s="229"/>
      <c r="K123" s="1472"/>
      <c r="L123" s="188"/>
      <c r="M123" s="1836"/>
      <c r="N123" s="197"/>
      <c r="O123" s="887">
        <f>IF(Welcome!$D$6="New",IF(E119="No",0,IF((($H$10-(G123*52))*K123)&lt;0,0,(($H$10-(G123*52))*K123))),IF($S$119&lt;&gt;2,0,IF(Incentives!E123&lt;Welcome!$D$12,0,IF(E119="No",0,IF((($H$10-(G123*52))*K123)&lt;0,0,(($H$10-(G123*52))*K123))))))</f>
        <v>0</v>
      </c>
      <c r="P123" s="221"/>
      <c r="Q123" s="138"/>
      <c r="S123" s="573"/>
    </row>
    <row r="124" spans="1:29" s="1001" customFormat="1" ht="22.5" hidden="1" customHeight="1" x14ac:dyDescent="0.25">
      <c r="A124" s="245"/>
      <c r="B124" s="245"/>
      <c r="C124" s="1341"/>
      <c r="D124" s="901"/>
      <c r="E124" s="223"/>
      <c r="F124" s="459" t="s">
        <v>2088</v>
      </c>
      <c r="G124" s="1499">
        <f>$H$9/52</f>
        <v>0</v>
      </c>
      <c r="H124" s="223"/>
      <c r="I124" s="240"/>
      <c r="J124" s="223"/>
      <c r="K124" s="223"/>
      <c r="L124" s="223"/>
      <c r="M124" s="1885"/>
      <c r="N124" s="223"/>
      <c r="O124" s="223"/>
      <c r="P124" s="224"/>
      <c r="Q124" s="138"/>
      <c r="S124" s="573"/>
    </row>
    <row r="125" spans="1:29" s="1001" customFormat="1" ht="10.15" hidden="1" customHeight="1" x14ac:dyDescent="0.25">
      <c r="A125" s="1552"/>
      <c r="C125" s="1342"/>
      <c r="D125" s="136"/>
      <c r="E125" s="134"/>
      <c r="F125" s="180"/>
      <c r="G125" s="233"/>
      <c r="H125" s="177"/>
      <c r="I125" s="234"/>
      <c r="J125" s="211"/>
      <c r="K125" s="212"/>
      <c r="L125" s="177"/>
      <c r="M125" s="212"/>
      <c r="N125" s="212"/>
      <c r="O125" s="212"/>
      <c r="P125" s="141"/>
      <c r="Q125" s="138"/>
      <c r="R125" s="134"/>
      <c r="S125" s="572"/>
      <c r="T125" s="134"/>
      <c r="U125" s="134"/>
      <c r="V125" s="134"/>
      <c r="W125" s="134"/>
      <c r="X125" s="134"/>
      <c r="Y125" s="134"/>
      <c r="Z125" s="134"/>
      <c r="AA125" s="134"/>
      <c r="AB125" s="134"/>
      <c r="AC125" s="134"/>
    </row>
    <row r="126" spans="1:29" s="1001" customFormat="1" ht="20.25" hidden="1" customHeight="1" thickBot="1" x14ac:dyDescent="0.25">
      <c r="A126" s="248"/>
      <c r="B126" s="248"/>
      <c r="C126" s="1343"/>
      <c r="D126" s="1845" t="s">
        <v>1105</v>
      </c>
      <c r="E126" s="1845"/>
      <c r="F126" s="213"/>
      <c r="G126" s="235"/>
      <c r="H126" s="183"/>
      <c r="I126" s="236"/>
      <c r="J126" s="216"/>
      <c r="K126" s="217"/>
      <c r="L126" s="183"/>
      <c r="M126" s="217"/>
      <c r="N126" s="1834" t="str">
        <f>IF(COUNTIF($K$131,"&gt;.02")&gt;0,"***Warning:You have entered an Rate % of Sales above the recommended amount.Rate % of Sales should be between 0% and 2%***","")</f>
        <v/>
      </c>
      <c r="O126" s="1834"/>
      <c r="P126" s="1835"/>
      <c r="Q126" s="138"/>
      <c r="R126" s="134"/>
      <c r="S126" s="572"/>
      <c r="T126" s="134"/>
      <c r="U126" s="134"/>
      <c r="V126" s="134"/>
      <c r="W126" s="134"/>
      <c r="X126" s="134"/>
      <c r="Y126" s="134"/>
      <c r="Z126" s="134"/>
      <c r="AA126" s="134"/>
      <c r="AB126" s="134"/>
      <c r="AC126" s="134"/>
    </row>
    <row r="127" spans="1:29" s="1001" customFormat="1" ht="18" hidden="1" customHeight="1" thickBot="1" x14ac:dyDescent="0.3">
      <c r="A127" s="243"/>
      <c r="B127" s="243"/>
      <c r="C127" s="1340"/>
      <c r="D127" s="895" t="s">
        <v>523</v>
      </c>
      <c r="E127" s="821" t="s">
        <v>648</v>
      </c>
      <c r="F127" s="239"/>
      <c r="G127" s="228" t="s">
        <v>1380</v>
      </c>
      <c r="H127" s="532"/>
      <c r="I127" s="228" t="s">
        <v>1381</v>
      </c>
      <c r="J127" s="41"/>
      <c r="K127" s="228" t="s">
        <v>833</v>
      </c>
      <c r="L127" s="858"/>
      <c r="M127" s="194" t="s">
        <v>1382</v>
      </c>
      <c r="N127" s="1836"/>
      <c r="O127" s="1836"/>
      <c r="P127" s="1837"/>
      <c r="Q127" s="138"/>
      <c r="R127" s="134"/>
      <c r="S127" s="572"/>
      <c r="T127" s="134"/>
      <c r="U127" s="134"/>
      <c r="V127" s="134"/>
      <c r="W127" s="134"/>
      <c r="X127" s="134"/>
      <c r="Y127" s="134"/>
      <c r="Z127" s="134"/>
      <c r="AA127" s="134"/>
      <c r="AB127" s="134"/>
      <c r="AC127" s="134"/>
    </row>
    <row r="128" spans="1:29" s="1001" customFormat="1" ht="18" hidden="1" customHeight="1" thickBot="1" x14ac:dyDescent="0.3">
      <c r="A128" s="243"/>
      <c r="B128" s="243"/>
      <c r="C128" s="1340"/>
      <c r="D128" s="803" t="s">
        <v>1383</v>
      </c>
      <c r="E128" s="868" t="s">
        <v>1384</v>
      </c>
      <c r="F128" s="196"/>
      <c r="G128" s="952"/>
      <c r="H128" s="532"/>
      <c r="I128" s="952"/>
      <c r="J128" s="858"/>
      <c r="K128" s="1475"/>
      <c r="L128" s="858"/>
      <c r="M128" s="1497"/>
      <c r="N128" s="1836"/>
      <c r="O128" s="1836"/>
      <c r="P128" s="1837"/>
      <c r="Q128" s="138"/>
      <c r="R128" s="134"/>
      <c r="S128" s="572"/>
      <c r="T128" s="816"/>
      <c r="U128" s="134"/>
      <c r="V128" s="134"/>
      <c r="W128" s="134"/>
      <c r="X128" s="134"/>
      <c r="Y128" s="134"/>
      <c r="Z128" s="134"/>
      <c r="AA128" s="134"/>
      <c r="AB128" s="134"/>
      <c r="AC128" s="134"/>
    </row>
    <row r="129" spans="1:29" s="1001" customFormat="1" ht="18" hidden="1" customHeight="1" thickBot="1" x14ac:dyDescent="0.25">
      <c r="A129" s="243"/>
      <c r="B129" s="243"/>
      <c r="C129" s="1340"/>
      <c r="D129" s="902"/>
      <c r="E129" s="41"/>
      <c r="F129" s="858"/>
      <c r="G129" s="237"/>
      <c r="H129" s="188"/>
      <c r="I129" s="238"/>
      <c r="J129" s="197"/>
      <c r="K129" s="218"/>
      <c r="L129" s="188"/>
      <c r="M129" s="1834"/>
      <c r="N129" s="1836"/>
      <c r="O129" s="1836"/>
      <c r="P129" s="1837"/>
      <c r="Q129" s="138"/>
      <c r="R129" s="134"/>
      <c r="S129" s="571" t="str">
        <f>IF($E129="NO","",IF($I128="Select Payment Method","X",""))</f>
        <v/>
      </c>
      <c r="T129" s="134"/>
      <c r="U129" s="134"/>
      <c r="V129" s="134"/>
      <c r="W129" s="134"/>
      <c r="X129" s="134"/>
      <c r="Y129" s="134"/>
      <c r="Z129" s="134"/>
      <c r="AA129" s="134"/>
      <c r="AB129" s="134"/>
      <c r="AC129" s="134"/>
    </row>
    <row r="130" spans="1:29" s="1001" customFormat="1" ht="17.25" hidden="1" customHeight="1" thickBot="1" x14ac:dyDescent="0.3">
      <c r="A130" s="243"/>
      <c r="B130" s="243"/>
      <c r="C130" s="1340" t="str" cm="1">
        <f t="array" aca="1" ref="C130" ca="1">IF(INDIRECT("'Incentives'!C"&amp;'Configurable Tab'!C12+1) = "Yes",IF(INDIRECT("'Incentives'!E"&amp;'Configurable Tab'!C12+5)&lt;Welcome!$D$12,"Yes",IF(INDIRECT("'Incentives'!E"&amp;'Configurable Tab'!C12+5)='Required Info to Submit'!$F$17,"No","")),"")</f>
        <v/>
      </c>
      <c r="D130" s="810" t="s">
        <v>1385</v>
      </c>
      <c r="E130" s="1410" t="str">
        <f>IFERROR(IF(E127="Yes",IF(Welcome!$D$6="New",IF('Required Info to Submit'!F$14="","",'Required Info to Submit'!F$14),$E$123+1),""),"")</f>
        <v/>
      </c>
      <c r="F130" s="239"/>
      <c r="G130" s="194" t="s">
        <v>1387</v>
      </c>
      <c r="H130" s="188"/>
      <c r="I130" s="194" t="s">
        <v>1388</v>
      </c>
      <c r="J130" s="195"/>
      <c r="K130" s="194" t="s">
        <v>1389</v>
      </c>
      <c r="L130" s="188"/>
      <c r="M130" s="1836"/>
      <c r="N130" s="195"/>
      <c r="O130" s="6" t="s">
        <v>490</v>
      </c>
      <c r="P130" s="221"/>
      <c r="Q130" s="138"/>
      <c r="R130" s="134"/>
      <c r="S130" s="572"/>
      <c r="T130" s="134"/>
      <c r="U130" s="134"/>
      <c r="V130" s="134"/>
      <c r="W130" s="134"/>
      <c r="X130" s="134"/>
      <c r="Y130" s="134"/>
      <c r="Z130" s="134"/>
      <c r="AA130" s="134"/>
      <c r="AB130" s="134"/>
      <c r="AC130" s="134"/>
    </row>
    <row r="131" spans="1:29" s="1001" customFormat="1" ht="27.75" hidden="1" customHeight="1" thickBot="1" x14ac:dyDescent="0.3">
      <c r="A131" s="243"/>
      <c r="B131" s="243"/>
      <c r="C131" s="1340"/>
      <c r="D131" s="810" t="s">
        <v>1386</v>
      </c>
      <c r="E131" s="1410" t="str">
        <f>IFERROR(IF(E127="Yes",IF(Welcome!$D$6="New",IF($E$130="","",$E$130+370),IF(Welcome!$D$16=3,'Required Info to Submit'!F17,IF($E$130="","",$E$130+364))),""),"")</f>
        <v/>
      </c>
      <c r="F131" s="805" t="str">
        <f>'Incentives Worksheet'!G273</f>
        <v>Weekly Baseline</v>
      </c>
      <c r="G131" s="1477"/>
      <c r="H131" s="188"/>
      <c r="I131" s="955" t="str">
        <f>IF(E127="Yes",999999999.99,"")</f>
        <v/>
      </c>
      <c r="J131" s="229"/>
      <c r="K131" s="1472"/>
      <c r="L131" s="188"/>
      <c r="M131" s="1836"/>
      <c r="N131" s="197"/>
      <c r="O131" s="887">
        <f>IF(Welcome!$D$6="New",IF(E127="No",0,IF((($H$10-(G131*52))*K131)&lt;0,0,(($H$10-(G131*52))*K131))),IF($S$119&lt;&gt;3,0,IF(Incentives!E131&lt;Welcome!$D$12,0,IF(E127="No",0,IF((($H$10-(G131*52))*K131)&lt;0,0,(($H$10-(G131*52))*K131))))))</f>
        <v>0</v>
      </c>
      <c r="P131" s="221"/>
      <c r="Q131" s="138"/>
      <c r="S131" s="573"/>
    </row>
    <row r="132" spans="1:29" s="1001" customFormat="1" ht="22.5" hidden="1" customHeight="1" x14ac:dyDescent="0.25">
      <c r="A132" s="245"/>
      <c r="B132" s="245"/>
      <c r="C132" s="1341"/>
      <c r="D132" s="901"/>
      <c r="E132" s="223"/>
      <c r="F132" s="459" t="s">
        <v>2088</v>
      </c>
      <c r="G132" s="1499">
        <f>$H$9/52</f>
        <v>0</v>
      </c>
      <c r="H132" s="223"/>
      <c r="I132" s="240"/>
      <c r="J132" s="223"/>
      <c r="K132" s="223"/>
      <c r="L132" s="223"/>
      <c r="M132" s="1885"/>
      <c r="N132" s="223"/>
      <c r="O132" s="223"/>
      <c r="P132" s="224"/>
      <c r="Q132" s="138"/>
      <c r="S132" s="573"/>
    </row>
    <row r="133" spans="1:29" s="1001" customFormat="1" ht="10.15" hidden="1" customHeight="1" x14ac:dyDescent="0.25">
      <c r="A133" s="1552"/>
      <c r="C133" s="1342"/>
      <c r="D133" s="136"/>
      <c r="E133" s="134"/>
      <c r="F133" s="180"/>
      <c r="G133" s="233"/>
      <c r="H133" s="177"/>
      <c r="I133" s="234"/>
      <c r="J133" s="211"/>
      <c r="K133" s="212"/>
      <c r="L133" s="177"/>
      <c r="M133" s="212"/>
      <c r="N133" s="212"/>
      <c r="O133" s="212"/>
      <c r="P133" s="141"/>
      <c r="Q133" s="138"/>
      <c r="R133" s="134"/>
      <c r="S133" s="572"/>
      <c r="T133" s="134"/>
      <c r="U133" s="134"/>
      <c r="V133" s="134"/>
      <c r="W133" s="134"/>
      <c r="X133" s="134"/>
      <c r="Y133" s="134"/>
      <c r="Z133" s="134"/>
      <c r="AA133" s="134"/>
      <c r="AB133" s="134"/>
      <c r="AC133" s="134"/>
    </row>
    <row r="134" spans="1:29" s="1001" customFormat="1" ht="20.25" hidden="1" customHeight="1" thickBot="1" x14ac:dyDescent="0.25">
      <c r="A134" s="248"/>
      <c r="B134" s="248"/>
      <c r="C134" s="1343"/>
      <c r="D134" s="1845" t="s">
        <v>1105</v>
      </c>
      <c r="E134" s="1845"/>
      <c r="F134" s="213"/>
      <c r="G134" s="235"/>
      <c r="H134" s="183"/>
      <c r="I134" s="236"/>
      <c r="J134" s="216"/>
      <c r="K134" s="217"/>
      <c r="L134" s="183"/>
      <c r="M134" s="217"/>
      <c r="N134" s="1834" t="str">
        <f>IF(COUNTIF($K$139,"&gt;.02")&gt;0,"***Warning:You have entered an Rate % of Sales above the recommended amount.Rate % of Sales should be between 0% and 2%***","")</f>
        <v/>
      </c>
      <c r="O134" s="1834"/>
      <c r="P134" s="1835"/>
      <c r="Q134" s="138"/>
      <c r="R134" s="134"/>
      <c r="S134" s="572"/>
      <c r="T134" s="134"/>
      <c r="U134" s="134"/>
      <c r="V134" s="134"/>
      <c r="W134" s="134"/>
      <c r="X134" s="134"/>
      <c r="Y134" s="134"/>
      <c r="Z134" s="134"/>
      <c r="AA134" s="134"/>
      <c r="AB134" s="134"/>
      <c r="AC134" s="134"/>
    </row>
    <row r="135" spans="1:29" s="1001" customFormat="1" ht="18" hidden="1" customHeight="1" thickBot="1" x14ac:dyDescent="0.3">
      <c r="A135" s="243"/>
      <c r="B135" s="243"/>
      <c r="C135" s="1340"/>
      <c r="D135" s="895" t="s">
        <v>523</v>
      </c>
      <c r="E135" s="821" t="s">
        <v>648</v>
      </c>
      <c r="F135" s="239"/>
      <c r="G135" s="228" t="s">
        <v>1380</v>
      </c>
      <c r="H135" s="532"/>
      <c r="I135" s="228" t="s">
        <v>1381</v>
      </c>
      <c r="J135" s="41"/>
      <c r="K135" s="228" t="s">
        <v>833</v>
      </c>
      <c r="L135" s="858"/>
      <c r="M135" s="194" t="s">
        <v>1382</v>
      </c>
      <c r="N135" s="1836"/>
      <c r="O135" s="1836"/>
      <c r="P135" s="1837"/>
      <c r="Q135" s="138"/>
      <c r="R135" s="134"/>
      <c r="S135" s="572"/>
      <c r="T135" s="134"/>
      <c r="U135" s="134"/>
      <c r="V135" s="134"/>
      <c r="W135" s="134"/>
      <c r="X135" s="134"/>
      <c r="Y135" s="134"/>
      <c r="Z135" s="134"/>
      <c r="AA135" s="134"/>
      <c r="AB135" s="134"/>
      <c r="AC135" s="134"/>
    </row>
    <row r="136" spans="1:29" s="1001" customFormat="1" ht="18" hidden="1" customHeight="1" thickBot="1" x14ac:dyDescent="0.3">
      <c r="A136" s="243"/>
      <c r="B136" s="243"/>
      <c r="C136" s="1340"/>
      <c r="D136" s="803" t="s">
        <v>1383</v>
      </c>
      <c r="E136" s="868" t="s">
        <v>1384</v>
      </c>
      <c r="F136" s="196"/>
      <c r="G136" s="952"/>
      <c r="H136" s="532"/>
      <c r="I136" s="952"/>
      <c r="J136" s="858"/>
      <c r="K136" s="1475"/>
      <c r="L136" s="858"/>
      <c r="M136" s="1497"/>
      <c r="N136" s="1836"/>
      <c r="O136" s="1836"/>
      <c r="P136" s="1837"/>
      <c r="Q136" s="138"/>
      <c r="R136" s="134"/>
      <c r="S136" s="572"/>
      <c r="T136" s="816"/>
      <c r="U136" s="134"/>
      <c r="V136" s="134"/>
      <c r="W136" s="134"/>
      <c r="X136" s="134"/>
      <c r="Y136" s="134"/>
      <c r="Z136" s="134"/>
      <c r="AA136" s="134"/>
      <c r="AB136" s="134"/>
      <c r="AC136" s="134"/>
    </row>
    <row r="137" spans="1:29" s="1001" customFormat="1" ht="18" hidden="1" customHeight="1" thickBot="1" x14ac:dyDescent="0.25">
      <c r="A137" s="243"/>
      <c r="B137" s="243"/>
      <c r="C137" s="1340"/>
      <c r="D137" s="902"/>
      <c r="E137" s="41"/>
      <c r="F137" s="858"/>
      <c r="G137" s="237"/>
      <c r="H137" s="188"/>
      <c r="I137" s="238"/>
      <c r="J137" s="197"/>
      <c r="K137" s="218"/>
      <c r="L137" s="188"/>
      <c r="M137" s="1834"/>
      <c r="N137" s="1836"/>
      <c r="O137" s="1836"/>
      <c r="P137" s="1837"/>
      <c r="Q137" s="138"/>
      <c r="R137" s="134"/>
      <c r="S137" s="571" t="str">
        <f>IF($E137="NO","",IF($I136="Select Payment Method","X",""))</f>
        <v/>
      </c>
      <c r="T137" s="134"/>
      <c r="U137" s="134"/>
      <c r="V137" s="134"/>
      <c r="W137" s="134"/>
      <c r="X137" s="134"/>
      <c r="Y137" s="134"/>
      <c r="Z137" s="134"/>
      <c r="AA137" s="134"/>
      <c r="AB137" s="134"/>
      <c r="AC137" s="134"/>
    </row>
    <row r="138" spans="1:29" s="1001" customFormat="1" ht="17.25" hidden="1" customHeight="1" thickBot="1" x14ac:dyDescent="0.3">
      <c r="A138" s="243"/>
      <c r="B138" s="243"/>
      <c r="C138" s="1340" t="str" cm="1">
        <f t="array" aca="1" ref="C138" ca="1">IF(INDIRECT("'Incentives'!C"&amp;'Configurable Tab'!C13+1) = "Yes",IF(INDIRECT("'Incentives'!E"&amp;'Configurable Tab'!C13+5)&lt;Welcome!$D$12,"Yes",IF(INDIRECT("'Incentives'!E"&amp;'Configurable Tab'!C13+5)='Required Info to Submit'!$F$17,"No","")),"")</f>
        <v/>
      </c>
      <c r="D138" s="810" t="s">
        <v>1385</v>
      </c>
      <c r="E138" s="1410" t="str">
        <f>IFERROR(IF(E135="Yes",IF(Welcome!$D$6="New",IF('Required Info to Submit'!F$14="","",'Required Info to Submit'!F$14),$E$131+1),""),"")</f>
        <v/>
      </c>
      <c r="F138" s="239"/>
      <c r="G138" s="194" t="s">
        <v>1387</v>
      </c>
      <c r="H138" s="188"/>
      <c r="I138" s="194" t="s">
        <v>1388</v>
      </c>
      <c r="J138" s="195"/>
      <c r="K138" s="194" t="s">
        <v>1389</v>
      </c>
      <c r="L138" s="188"/>
      <c r="M138" s="1836"/>
      <c r="N138" s="195"/>
      <c r="O138" s="6" t="s">
        <v>490</v>
      </c>
      <c r="P138" s="221"/>
      <c r="Q138" s="138"/>
      <c r="R138" s="134"/>
      <c r="S138" s="572"/>
      <c r="T138" s="134"/>
      <c r="U138" s="134"/>
      <c r="V138" s="134"/>
      <c r="W138" s="134"/>
      <c r="X138" s="134"/>
      <c r="Y138" s="134"/>
      <c r="Z138" s="134"/>
      <c r="AA138" s="134"/>
      <c r="AB138" s="134"/>
      <c r="AC138" s="134"/>
    </row>
    <row r="139" spans="1:29" s="1001" customFormat="1" ht="27.75" hidden="1" customHeight="1" thickBot="1" x14ac:dyDescent="0.3">
      <c r="A139" s="243"/>
      <c r="B139" s="243"/>
      <c r="C139" s="1340"/>
      <c r="D139" s="810" t="s">
        <v>1386</v>
      </c>
      <c r="E139" s="1410" t="str">
        <f>IFERROR(IF($E$135="Yes",IF(Welcome!$D$6="New",IF($E$138="","",$E$138+370),IF(Welcome!$D$16=4,'Required Info to Submit'!F17,IF($E$138="","",$E$138+364))),""),"")</f>
        <v/>
      </c>
      <c r="F139" s="805" t="str">
        <f>'Incentives Worksheet'!G287</f>
        <v>Weekly Baseline</v>
      </c>
      <c r="G139" s="1477"/>
      <c r="H139" s="188"/>
      <c r="I139" s="955" t="str">
        <f>IF(E135="Yes",999999999.99,"")</f>
        <v/>
      </c>
      <c r="J139" s="229"/>
      <c r="K139" s="1472"/>
      <c r="L139" s="188"/>
      <c r="M139" s="1836"/>
      <c r="N139" s="197"/>
      <c r="O139" s="887">
        <f>IF(Welcome!$D$6="New",IF(E135="No",0,IF((($H$10-(G139*52))*K139)&lt;0,0,(($H$10-(G139*52))*K139))),IF($S$119&lt;&gt;4,0,IF(Incentives!E139&lt;Welcome!$D$12,0,IF(E135="No",0,IF((($H$10-(G139*52))*K139)&lt;0,0,(($H$10-(G139*52))*K139))))))</f>
        <v>0</v>
      </c>
      <c r="P139" s="221"/>
      <c r="Q139" s="138"/>
      <c r="S139" s="573"/>
    </row>
    <row r="140" spans="1:29" s="1001" customFormat="1" ht="23.25" hidden="1" customHeight="1" x14ac:dyDescent="0.25">
      <c r="A140" s="245"/>
      <c r="B140" s="245"/>
      <c r="C140" s="1341"/>
      <c r="D140" s="901"/>
      <c r="E140" s="223"/>
      <c r="F140" s="459" t="s">
        <v>2088</v>
      </c>
      <c r="G140" s="1499">
        <f>$H$9/52</f>
        <v>0</v>
      </c>
      <c r="H140" s="223"/>
      <c r="I140" s="240"/>
      <c r="J140" s="223"/>
      <c r="K140" s="223"/>
      <c r="L140" s="223"/>
      <c r="M140" s="1885"/>
      <c r="N140" s="223"/>
      <c r="O140" s="223"/>
      <c r="P140" s="224"/>
      <c r="Q140" s="138"/>
      <c r="S140" s="573"/>
    </row>
    <row r="141" spans="1:29" s="1001" customFormat="1" ht="10.15" hidden="1" customHeight="1" x14ac:dyDescent="0.25">
      <c r="A141" s="1552"/>
      <c r="C141" s="1342"/>
      <c r="D141" s="136"/>
      <c r="E141" s="134"/>
      <c r="F141" s="180"/>
      <c r="G141" s="233"/>
      <c r="H141" s="177"/>
      <c r="I141" s="234"/>
      <c r="J141" s="211"/>
      <c r="K141" s="212"/>
      <c r="L141" s="177"/>
      <c r="M141" s="212"/>
      <c r="N141" s="212"/>
      <c r="O141" s="212"/>
      <c r="P141" s="141"/>
      <c r="Q141" s="138"/>
      <c r="R141" s="134"/>
      <c r="S141" s="572"/>
      <c r="T141" s="134"/>
      <c r="U141" s="134"/>
      <c r="V141" s="134"/>
      <c r="W141" s="134"/>
      <c r="X141" s="134"/>
      <c r="Y141" s="134"/>
      <c r="Z141" s="134"/>
      <c r="AA141" s="134"/>
      <c r="AB141" s="134"/>
      <c r="AC141" s="134"/>
    </row>
    <row r="142" spans="1:29" s="1001" customFormat="1" ht="20.25" hidden="1" customHeight="1" thickBot="1" x14ac:dyDescent="0.25">
      <c r="A142" s="248"/>
      <c r="B142" s="248"/>
      <c r="C142" s="1343"/>
      <c r="D142" s="1845" t="s">
        <v>1105</v>
      </c>
      <c r="E142" s="1845"/>
      <c r="F142" s="213"/>
      <c r="G142" s="235"/>
      <c r="H142" s="183"/>
      <c r="I142" s="236"/>
      <c r="J142" s="216"/>
      <c r="K142" s="217"/>
      <c r="L142" s="183"/>
      <c r="M142" s="217"/>
      <c r="N142" s="1834" t="str">
        <f>IF(COUNTIF($K$147,"&gt;.02")&gt;0,"***Warning:You have entered an Rate % of Sales above the recommended amount.Rate % of Sales should be between 0% and 2%***","")</f>
        <v/>
      </c>
      <c r="O142" s="1834"/>
      <c r="P142" s="1835"/>
      <c r="Q142" s="138"/>
      <c r="R142" s="134"/>
      <c r="S142" s="572"/>
      <c r="T142" s="134"/>
      <c r="U142" s="134"/>
      <c r="V142" s="134"/>
      <c r="W142" s="134"/>
      <c r="X142" s="134"/>
      <c r="Y142" s="134"/>
      <c r="Z142" s="134"/>
      <c r="AA142" s="134"/>
      <c r="AB142" s="134"/>
      <c r="AC142" s="134"/>
    </row>
    <row r="143" spans="1:29" s="1001" customFormat="1" ht="18" hidden="1" customHeight="1" thickBot="1" x14ac:dyDescent="0.3">
      <c r="A143" s="243"/>
      <c r="B143" s="243"/>
      <c r="C143" s="1340"/>
      <c r="D143" s="895" t="s">
        <v>523</v>
      </c>
      <c r="E143" s="821" t="s">
        <v>648</v>
      </c>
      <c r="F143" s="239"/>
      <c r="G143" s="228" t="s">
        <v>1380</v>
      </c>
      <c r="H143" s="532"/>
      <c r="I143" s="228" t="s">
        <v>1381</v>
      </c>
      <c r="J143" s="41"/>
      <c r="K143" s="228" t="s">
        <v>833</v>
      </c>
      <c r="L143" s="858"/>
      <c r="M143" s="194" t="s">
        <v>1382</v>
      </c>
      <c r="N143" s="1836"/>
      <c r="O143" s="1836"/>
      <c r="P143" s="1837"/>
      <c r="Q143" s="138"/>
      <c r="R143" s="134"/>
      <c r="S143" s="572"/>
      <c r="T143" s="134"/>
      <c r="U143" s="134"/>
      <c r="V143" s="134"/>
      <c r="W143" s="134"/>
      <c r="X143" s="134"/>
      <c r="Y143" s="134"/>
      <c r="Z143" s="134"/>
      <c r="AA143" s="134"/>
      <c r="AB143" s="134"/>
      <c r="AC143" s="134"/>
    </row>
    <row r="144" spans="1:29" s="1001" customFormat="1" ht="18" hidden="1" customHeight="1" thickBot="1" x14ac:dyDescent="0.3">
      <c r="A144" s="243"/>
      <c r="B144" s="243"/>
      <c r="C144" s="1340"/>
      <c r="D144" s="803" t="s">
        <v>1383</v>
      </c>
      <c r="E144" s="868" t="s">
        <v>1384</v>
      </c>
      <c r="F144" s="196"/>
      <c r="G144" s="952"/>
      <c r="H144" s="532"/>
      <c r="I144" s="952"/>
      <c r="J144" s="858"/>
      <c r="K144" s="1475"/>
      <c r="L144" s="858"/>
      <c r="M144" s="1497"/>
      <c r="N144" s="1836"/>
      <c r="O144" s="1836"/>
      <c r="P144" s="1837"/>
      <c r="Q144" s="138"/>
      <c r="R144" s="134"/>
      <c r="S144" s="572"/>
      <c r="T144" s="816"/>
      <c r="U144" s="134"/>
      <c r="V144" s="134"/>
      <c r="W144" s="134"/>
      <c r="X144" s="134"/>
      <c r="Y144" s="134"/>
      <c r="Z144" s="134"/>
      <c r="AA144" s="134"/>
      <c r="AB144" s="134"/>
      <c r="AC144" s="134"/>
    </row>
    <row r="145" spans="1:29" s="1001" customFormat="1" ht="18" hidden="1" customHeight="1" thickBot="1" x14ac:dyDescent="0.25">
      <c r="A145" s="243"/>
      <c r="B145" s="243"/>
      <c r="C145" s="1340"/>
      <c r="D145" s="902"/>
      <c r="E145" s="41"/>
      <c r="F145" s="858"/>
      <c r="G145" s="237"/>
      <c r="H145" s="188"/>
      <c r="I145" s="238"/>
      <c r="J145" s="197"/>
      <c r="K145" s="218"/>
      <c r="L145" s="188"/>
      <c r="M145" s="1834"/>
      <c r="N145" s="1836"/>
      <c r="O145" s="1836"/>
      <c r="P145" s="1837"/>
      <c r="Q145" s="138"/>
      <c r="R145" s="134"/>
      <c r="S145" s="571" t="str">
        <f>IF($E145="NO","",IF($I144="Select Payment Method","X",""))</f>
        <v/>
      </c>
      <c r="T145" s="134"/>
      <c r="U145" s="134"/>
      <c r="V145" s="134"/>
      <c r="W145" s="134"/>
      <c r="X145" s="134"/>
      <c r="Y145" s="134"/>
      <c r="Z145" s="134"/>
      <c r="AA145" s="134"/>
      <c r="AB145" s="134"/>
      <c r="AC145" s="134"/>
    </row>
    <row r="146" spans="1:29" s="1001" customFormat="1" ht="17.25" hidden="1" customHeight="1" thickBot="1" x14ac:dyDescent="0.3">
      <c r="A146" s="243"/>
      <c r="B146" s="243"/>
      <c r="C146" s="1340" t="str" cm="1">
        <f t="array" aca="1" ref="C146" ca="1">IF(INDIRECT("'Incentives'!C"&amp;'Configurable Tab'!C14+1) = "Yes",IF(INDIRECT("'Incentives'!E"&amp;'Configurable Tab'!C14+5)&lt;Welcome!$D$12,"Yes",IF(INDIRECT("'Incentives'!E"&amp;'Configurable Tab'!C14+5)='Required Info to Submit'!$F$17,"No","")),"")</f>
        <v/>
      </c>
      <c r="D146" s="810" t="s">
        <v>1385</v>
      </c>
      <c r="E146" s="1410" t="str">
        <f>IFERROR(IF(E143="Yes",IF(Welcome!$D$6="New",IF('Required Info to Submit'!F$14="","",'Required Info to Submit'!F$14),$E$139+1),""),"")</f>
        <v/>
      </c>
      <c r="F146" s="239"/>
      <c r="G146" s="194" t="s">
        <v>1387</v>
      </c>
      <c r="H146" s="188"/>
      <c r="I146" s="194" t="s">
        <v>1388</v>
      </c>
      <c r="J146" s="195"/>
      <c r="K146" s="194" t="s">
        <v>1389</v>
      </c>
      <c r="L146" s="188"/>
      <c r="M146" s="1836"/>
      <c r="N146" s="195"/>
      <c r="O146" s="6" t="s">
        <v>490</v>
      </c>
      <c r="P146" s="221"/>
      <c r="Q146" s="138"/>
      <c r="R146" s="134"/>
      <c r="S146" s="572"/>
      <c r="T146" s="134"/>
      <c r="U146" s="134"/>
      <c r="V146" s="134"/>
      <c r="W146" s="134"/>
      <c r="X146" s="134"/>
      <c r="Y146" s="134"/>
      <c r="Z146" s="134"/>
      <c r="AA146" s="134"/>
      <c r="AB146" s="134"/>
      <c r="AC146" s="134"/>
    </row>
    <row r="147" spans="1:29" s="1001" customFormat="1" ht="27" hidden="1" customHeight="1" thickBot="1" x14ac:dyDescent="0.3">
      <c r="A147" s="243"/>
      <c r="B147" s="243"/>
      <c r="C147" s="1340"/>
      <c r="D147" s="810" t="s">
        <v>1386</v>
      </c>
      <c r="E147" s="1410" t="str">
        <f>IFERROR(IF(E143="Yes",IF(Welcome!$D$6="New",IF($E$146="","",$E$146+370),'Required Info to Submit'!F17),""),"")</f>
        <v/>
      </c>
      <c r="F147" s="805" t="str">
        <f>'Incentives Worksheet'!G301</f>
        <v>Weekly Baseline</v>
      </c>
      <c r="G147" s="1477"/>
      <c r="H147" s="188"/>
      <c r="I147" s="955" t="str">
        <f>IF(E143="Yes",999999999.99,"")</f>
        <v/>
      </c>
      <c r="J147" s="229"/>
      <c r="K147" s="1472"/>
      <c r="L147" s="188"/>
      <c r="M147" s="1836"/>
      <c r="N147" s="197"/>
      <c r="O147" s="887">
        <f>IF(Welcome!$D$6="New",IF(E143="No",0,IF((($H$10-(G147*52))*K147)&lt;0,0,(($H$10-(G147*52))*K147))),IF($S$119&lt;&gt;5,0,IF(Incentives!E147&lt;Welcome!$D$12,0,IF(E143="No",0,IF((($H$10-(G147*52))*K147)&lt;0,0,(($H$10-(G147*52))*K147))))))</f>
        <v>0</v>
      </c>
      <c r="P147" s="221"/>
      <c r="Q147" s="138"/>
      <c r="S147" s="573"/>
    </row>
    <row r="148" spans="1:29" s="1001" customFormat="1" ht="23.25" hidden="1" customHeight="1" x14ac:dyDescent="0.25">
      <c r="A148" s="245"/>
      <c r="B148" s="245"/>
      <c r="C148" s="1341"/>
      <c r="D148" s="901"/>
      <c r="E148" s="223"/>
      <c r="F148" s="459" t="s">
        <v>2088</v>
      </c>
      <c r="G148" s="1499">
        <f>$H$9/52</f>
        <v>0</v>
      </c>
      <c r="H148" s="223"/>
      <c r="I148" s="240"/>
      <c r="J148" s="223"/>
      <c r="K148" s="223"/>
      <c r="L148" s="223"/>
      <c r="M148" s="1885"/>
      <c r="N148" s="223"/>
      <c r="O148" s="223"/>
      <c r="P148" s="224"/>
      <c r="Q148" s="138"/>
      <c r="S148" s="573"/>
    </row>
    <row r="149" spans="1:29" s="1001" customFormat="1" ht="10.15" hidden="1" customHeight="1" x14ac:dyDescent="0.25">
      <c r="A149" s="1552"/>
      <c r="C149" s="1342"/>
      <c r="D149" s="136"/>
      <c r="E149" s="134"/>
      <c r="F149" s="180"/>
      <c r="G149" s="233"/>
      <c r="H149" s="177"/>
      <c r="I149" s="234"/>
      <c r="J149" s="211"/>
      <c r="K149" s="212"/>
      <c r="L149" s="177"/>
      <c r="M149" s="212"/>
      <c r="N149" s="212"/>
      <c r="O149" s="212"/>
      <c r="P149" s="141"/>
      <c r="Q149" s="138"/>
      <c r="R149" s="134"/>
      <c r="S149" s="572"/>
      <c r="T149" s="134"/>
      <c r="U149" s="134"/>
      <c r="V149" s="134"/>
      <c r="W149" s="134"/>
      <c r="X149" s="134"/>
      <c r="Y149" s="134"/>
      <c r="Z149" s="134"/>
      <c r="AA149" s="134"/>
      <c r="AB149" s="134"/>
      <c r="AC149" s="134"/>
    </row>
    <row r="150" spans="1:29" ht="19.5" customHeight="1" thickBot="1" x14ac:dyDescent="0.3">
      <c r="A150" s="248"/>
      <c r="B150" s="248"/>
      <c r="C150" s="1343"/>
      <c r="D150" s="1845" t="s">
        <v>717</v>
      </c>
      <c r="E150" s="1845"/>
      <c r="F150" s="184"/>
      <c r="G150" s="235"/>
      <c r="H150" s="183"/>
      <c r="I150" s="236"/>
      <c r="J150" s="216"/>
      <c r="K150" s="217"/>
      <c r="L150" s="183"/>
      <c r="M150" s="217"/>
      <c r="N150" s="1834" t="str">
        <f>IF(COUNTIF($K$155,"&gt;.03")&gt;0,"***Warning:You have entered an Rate % of Sales above the recommended 3%***","")</f>
        <v/>
      </c>
      <c r="O150" s="1834"/>
      <c r="P150" s="1835"/>
      <c r="Q150" s="138"/>
      <c r="R150" s="134"/>
      <c r="S150" s="572"/>
      <c r="T150" s="134"/>
      <c r="U150" s="134"/>
      <c r="V150" s="134"/>
      <c r="W150" s="134"/>
      <c r="X150" s="134"/>
      <c r="Y150" s="134"/>
      <c r="Z150" s="134"/>
      <c r="AA150" s="134"/>
      <c r="AB150" s="134"/>
      <c r="AC150" s="134"/>
    </row>
    <row r="151" spans="1:29" ht="18" customHeight="1" thickBot="1" x14ac:dyDescent="0.3">
      <c r="A151" s="243"/>
      <c r="B151" s="243"/>
      <c r="C151" s="1340"/>
      <c r="D151" s="895" t="s">
        <v>523</v>
      </c>
      <c r="E151" s="821" t="s">
        <v>648</v>
      </c>
      <c r="F151" s="239"/>
      <c r="G151" s="228" t="s">
        <v>1380</v>
      </c>
      <c r="H151" s="532"/>
      <c r="I151" s="228" t="s">
        <v>1381</v>
      </c>
      <c r="J151" s="41"/>
      <c r="K151" s="228" t="s">
        <v>833</v>
      </c>
      <c r="L151" s="145"/>
      <c r="M151" s="194" t="s">
        <v>1382</v>
      </c>
      <c r="N151" s="1836"/>
      <c r="O151" s="1836"/>
      <c r="P151" s="1837"/>
      <c r="Q151" s="138"/>
      <c r="R151" s="134"/>
      <c r="S151" s="572"/>
      <c r="T151" s="134"/>
      <c r="U151" s="134"/>
      <c r="V151" s="134"/>
      <c r="W151" s="134"/>
      <c r="X151" s="134"/>
      <c r="Y151" s="134"/>
      <c r="Z151" s="134"/>
      <c r="AA151" s="134"/>
      <c r="AB151" s="134"/>
      <c r="AC151" s="134"/>
    </row>
    <row r="152" spans="1:29" ht="18" customHeight="1" thickBot="1" x14ac:dyDescent="0.3">
      <c r="A152" s="243"/>
      <c r="B152" s="243"/>
      <c r="C152" s="1340"/>
      <c r="D152" s="803" t="s">
        <v>1383</v>
      </c>
      <c r="E152" s="1470" t="s">
        <v>1384</v>
      </c>
      <c r="F152" s="239"/>
      <c r="G152" s="1475"/>
      <c r="H152" s="532"/>
      <c r="I152" s="1475"/>
      <c r="J152" s="145"/>
      <c r="K152" s="1475"/>
      <c r="L152" s="145"/>
      <c r="M152" s="1497"/>
      <c r="N152" s="1836"/>
      <c r="O152" s="1836"/>
      <c r="P152" s="1837"/>
      <c r="Q152" s="138"/>
      <c r="R152" s="134"/>
      <c r="S152" s="572"/>
      <c r="T152" s="816"/>
      <c r="U152" s="134"/>
      <c r="V152" s="134"/>
      <c r="W152" s="134"/>
      <c r="X152" s="134"/>
      <c r="Y152" s="134"/>
      <c r="Z152" s="134"/>
      <c r="AA152" s="134"/>
      <c r="AB152" s="134"/>
      <c r="AC152" s="134"/>
    </row>
    <row r="153" spans="1:29" ht="18" customHeight="1" thickBot="1" x14ac:dyDescent="0.3">
      <c r="A153" s="243"/>
      <c r="B153" s="243"/>
      <c r="C153" s="1340"/>
      <c r="D153" s="902"/>
      <c r="E153" s="41"/>
      <c r="F153" s="239"/>
      <c r="G153" s="237"/>
      <c r="H153" s="188"/>
      <c r="I153" s="238"/>
      <c r="J153" s="197"/>
      <c r="K153" s="218"/>
      <c r="L153" s="188"/>
      <c r="M153" s="1834"/>
      <c r="N153" s="1836"/>
      <c r="O153" s="1836"/>
      <c r="P153" s="1837"/>
      <c r="Q153" s="138"/>
      <c r="R153" s="134"/>
      <c r="S153" s="571" t="str">
        <f>IF($E153="NO","",IF($I152="Select Payment Method","X",""))</f>
        <v/>
      </c>
      <c r="T153" s="134"/>
      <c r="U153" s="134"/>
      <c r="V153" s="134"/>
      <c r="W153" s="134"/>
      <c r="X153" s="134"/>
      <c r="Y153" s="134"/>
      <c r="Z153" s="134"/>
      <c r="AA153" s="134"/>
      <c r="AB153" s="134"/>
      <c r="AC153" s="134"/>
    </row>
    <row r="154" spans="1:29" ht="16.5" customHeight="1" thickBot="1" x14ac:dyDescent="0.3">
      <c r="A154" s="243"/>
      <c r="B154" s="243"/>
      <c r="C154" s="1340" t="str" cm="1">
        <f t="array" aca="1" ref="C154" ca="1">IF(INDIRECT("'Incentives'!C"&amp;'Configurable Tab'!C15+1) = "Yes",IF(INDIRECT("'Incentives'!E"&amp;'Configurable Tab'!C15+5)&lt;Welcome!$D$12,"Yes",IF(INDIRECT("'Incentives'!E"&amp;'Configurable Tab'!C15+5)='Required Info to Submit'!$F$17,"No","")),"")</f>
        <v/>
      </c>
      <c r="D154" s="810" t="s">
        <v>1385</v>
      </c>
      <c r="E154" s="1409" t="str">
        <f>IF(E151="Yes",IF(Welcome!$D$6="New",IF('Required Info to Submit'!F$14="","",'Required Info to Submit'!F$14),""),"")</f>
        <v/>
      </c>
      <c r="F154" s="239"/>
      <c r="G154" s="194" t="s">
        <v>1387</v>
      </c>
      <c r="H154" s="188"/>
      <c r="I154" s="194" t="s">
        <v>1388</v>
      </c>
      <c r="J154" s="195"/>
      <c r="K154" s="194" t="s">
        <v>1389</v>
      </c>
      <c r="L154" s="188"/>
      <c r="M154" s="1836"/>
      <c r="N154" s="218"/>
      <c r="O154" s="6" t="s">
        <v>490</v>
      </c>
      <c r="P154" s="221"/>
      <c r="Q154" s="138"/>
      <c r="R154" s="134"/>
      <c r="S154" s="572"/>
      <c r="T154" s="134"/>
      <c r="U154" s="134"/>
      <c r="V154" s="134"/>
      <c r="W154" s="134"/>
      <c r="X154" s="134"/>
      <c r="Y154" s="134"/>
      <c r="Z154" s="134"/>
      <c r="AA154" s="134"/>
      <c r="AB154" s="134"/>
      <c r="AC154" s="134"/>
    </row>
    <row r="155" spans="1:29" ht="16.5" customHeight="1" thickBot="1" x14ac:dyDescent="0.3">
      <c r="A155" s="243"/>
      <c r="B155" s="243"/>
      <c r="C155" s="1340"/>
      <c r="D155" s="810" t="s">
        <v>1386</v>
      </c>
      <c r="E155" s="1409" t="str">
        <f>IF(E151="Yes",IF(Welcome!$D$6="New",IF('Required Info to Submit'!F$17="","",'Required Info to Submit'!F$17),""),"")</f>
        <v/>
      </c>
      <c r="F155" s="805" t="s">
        <v>997</v>
      </c>
      <c r="G155" s="1493"/>
      <c r="H155" s="188"/>
      <c r="I155" s="886" t="str">
        <f>IF(E151="Yes",1,"")</f>
        <v/>
      </c>
      <c r="J155" s="229"/>
      <c r="K155" s="1472"/>
      <c r="L155" s="188"/>
      <c r="M155" s="1836"/>
      <c r="N155" s="218"/>
      <c r="O155" s="887">
        <f>IF(Welcome!D6="New",IF($E$151="Yes",K155*$H$10,0),IF(Incentives!E155&lt;Welcome!D12,0,IF($E$151="Yes",K155*$H$10,0)))</f>
        <v>0</v>
      </c>
      <c r="P155" s="221"/>
      <c r="Q155" s="138"/>
      <c r="R155" s="795"/>
      <c r="S155" s="573"/>
    </row>
    <row r="156" spans="1:29" ht="20.25" customHeight="1" x14ac:dyDescent="0.25">
      <c r="A156" s="245"/>
      <c r="B156" s="245"/>
      <c r="C156" s="1341"/>
      <c r="D156" s="901"/>
      <c r="E156" s="223"/>
      <c r="F156" s="223"/>
      <c r="G156" s="223"/>
      <c r="H156" s="223"/>
      <c r="I156" s="240"/>
      <c r="J156" s="223"/>
      <c r="K156" s="223"/>
      <c r="L156" s="223"/>
      <c r="M156" s="1885"/>
      <c r="N156" s="223"/>
      <c r="O156" s="223"/>
      <c r="P156" s="224"/>
      <c r="Q156" s="138"/>
      <c r="R156" s="795"/>
      <c r="S156" s="573"/>
    </row>
    <row r="157" spans="1:29" ht="10.15" customHeight="1" x14ac:dyDescent="0.25">
      <c r="A157" s="1552"/>
      <c r="I157" s="241"/>
      <c r="P157" s="242"/>
      <c r="Q157" s="138"/>
      <c r="R157" s="795"/>
      <c r="S157" s="573"/>
    </row>
    <row r="158" spans="1:29" s="796" customFormat="1" ht="20.25" customHeight="1" thickBot="1" x14ac:dyDescent="0.3">
      <c r="A158" s="248"/>
      <c r="B158" s="248"/>
      <c r="C158" s="424"/>
      <c r="D158" s="1845" t="s">
        <v>1095</v>
      </c>
      <c r="E158" s="1845"/>
      <c r="F158" s="213"/>
      <c r="G158" s="235"/>
      <c r="H158" s="183"/>
      <c r="I158" s="236"/>
      <c r="J158" s="216"/>
      <c r="K158" s="217"/>
      <c r="L158" s="183"/>
      <c r="M158" s="217"/>
      <c r="N158" s="1834" t="str">
        <f>IF(AND(G163&gt;=10000,G163&lt;100000),"The amount entered is $10,000 or above. This model can be submitted but will require additional approved before the agreement can be generated. Business Context will need to be provided",IF(G163&gt;=100000,"The amount is greater than $100,000. Please use the custom modeling process in order to accomodate this request",""))</f>
        <v/>
      </c>
      <c r="O158" s="1834"/>
      <c r="P158" s="1835"/>
      <c r="Q158" s="179"/>
      <c r="S158" s="574"/>
    </row>
    <row r="159" spans="1:29" s="796" customFormat="1" ht="18" customHeight="1" thickBot="1" x14ac:dyDescent="0.3">
      <c r="A159" s="243"/>
      <c r="B159" s="243"/>
      <c r="C159" s="417"/>
      <c r="D159" s="895" t="s">
        <v>523</v>
      </c>
      <c r="E159" s="821" t="s">
        <v>648</v>
      </c>
      <c r="F159" s="636"/>
      <c r="G159" s="228" t="s">
        <v>1380</v>
      </c>
      <c r="H159" s="532"/>
      <c r="I159" s="228" t="s">
        <v>1381</v>
      </c>
      <c r="J159" s="41"/>
      <c r="K159" s="228" t="s">
        <v>833</v>
      </c>
      <c r="L159" s="145"/>
      <c r="M159" s="194" t="s">
        <v>1382</v>
      </c>
      <c r="N159" s="1836"/>
      <c r="O159" s="1836"/>
      <c r="P159" s="1837"/>
      <c r="Q159" s="179"/>
      <c r="S159" s="574"/>
    </row>
    <row r="160" spans="1:29" s="796" customFormat="1" ht="18" customHeight="1" thickBot="1" x14ac:dyDescent="0.3">
      <c r="A160" s="243"/>
      <c r="B160" s="243"/>
      <c r="C160" s="417"/>
      <c r="D160" s="803" t="s">
        <v>1383</v>
      </c>
      <c r="E160" s="1470" t="s">
        <v>1384</v>
      </c>
      <c r="F160" s="637" t="s">
        <v>1095</v>
      </c>
      <c r="G160" s="1475" t="str">
        <f>IF(E160&lt;&gt;"Please Select","Program","")</f>
        <v/>
      </c>
      <c r="H160" s="532"/>
      <c r="I160" s="1475"/>
      <c r="J160" s="145"/>
      <c r="K160" s="1475" t="str">
        <f>IF(E160&lt;&gt;"Please Select","Corporate Office","")</f>
        <v/>
      </c>
      <c r="L160" s="145"/>
      <c r="M160" s="1494"/>
      <c r="N160" s="1836"/>
      <c r="O160" s="1836"/>
      <c r="P160" s="1837"/>
      <c r="Q160" s="179"/>
      <c r="S160" s="574"/>
    </row>
    <row r="161" spans="1:19" s="796" customFormat="1" ht="18" customHeight="1" thickBot="1" x14ac:dyDescent="0.3">
      <c r="A161" s="243"/>
      <c r="B161" s="243"/>
      <c r="C161" s="417"/>
      <c r="D161" s="7"/>
      <c r="E161" s="145"/>
      <c r="F161" s="145"/>
      <c r="G161" s="188"/>
      <c r="H161" s="188"/>
      <c r="I161" s="188"/>
      <c r="J161" s="188"/>
      <c r="K161" s="188"/>
      <c r="L161" s="188"/>
      <c r="M161" s="1838"/>
      <c r="N161" s="1836"/>
      <c r="O161" s="1836"/>
      <c r="P161" s="1837"/>
      <c r="Q161" s="179"/>
      <c r="S161" s="571" t="str">
        <f>IF($E161="NO","",IF($I160="Select Payment Method","X",""))</f>
        <v/>
      </c>
    </row>
    <row r="162" spans="1:19" s="796" customFormat="1" ht="18" customHeight="1" thickBot="1" x14ac:dyDescent="0.3">
      <c r="A162" s="243"/>
      <c r="B162" s="243"/>
      <c r="C162" s="417"/>
      <c r="D162" s="810" t="s">
        <v>1385</v>
      </c>
      <c r="E162" s="1409" t="str">
        <f>IF(E159="Yes",IF(Welcome!$D$6="New",IF('Required Info to Submit'!F$14="","",'Required Info to Submit'!F$14),""),"")</f>
        <v/>
      </c>
      <c r="F162" s="636"/>
      <c r="G162" s="228" t="s">
        <v>1396</v>
      </c>
      <c r="H162" s="188"/>
      <c r="I162" s="380"/>
      <c r="J162" s="195"/>
      <c r="K162" s="380"/>
      <c r="L162" s="188"/>
      <c r="M162" s="1840"/>
      <c r="N162" s="218"/>
      <c r="O162" s="6" t="s">
        <v>490</v>
      </c>
      <c r="P162" s="244"/>
      <c r="Q162" s="179"/>
      <c r="S162" s="574"/>
    </row>
    <row r="163" spans="1:19" s="796" customFormat="1" ht="18" customHeight="1" thickBot="1" x14ac:dyDescent="0.3">
      <c r="A163" s="243"/>
      <c r="B163" s="243"/>
      <c r="C163" s="417"/>
      <c r="D163" s="810" t="s">
        <v>1386</v>
      </c>
      <c r="E163" s="1409" t="str">
        <f>IF(E159="Yes",IF(Welcome!$D$6="New",IF('Required Info to Submit'!F$17="","",'Required Info to Submit'!F$17),""),"")</f>
        <v/>
      </c>
      <c r="F163" s="637" t="s">
        <v>1095</v>
      </c>
      <c r="G163" s="1477"/>
      <c r="H163" s="188"/>
      <c r="I163" s="238"/>
      <c r="J163" s="197"/>
      <c r="K163" s="1005"/>
      <c r="L163" s="188"/>
      <c r="M163" s="1840"/>
      <c r="N163" s="218"/>
      <c r="O163" s="887">
        <f>IF(Welcome!D6="New",IFERROR(IF($E159="Yes",$G163/$H$4,0),0),IF(Incentives!E163&lt;Welcome!D12,0,IFERROR(IF($E159="Yes",$G163/$H$4,0),0)))</f>
        <v>0</v>
      </c>
      <c r="P163" s="244"/>
      <c r="Q163" s="179"/>
    </row>
    <row r="164" spans="1:19" s="176" customFormat="1" ht="21" customHeight="1" x14ac:dyDescent="0.25">
      <c r="A164" s="245"/>
      <c r="B164" s="245"/>
      <c r="C164" s="638"/>
      <c r="D164" s="459"/>
      <c r="E164" s="202"/>
      <c r="F164" s="638"/>
      <c r="G164" s="638"/>
      <c r="H164" s="202"/>
      <c r="I164" s="202"/>
      <c r="J164" s="202"/>
      <c r="K164" s="202"/>
      <c r="L164" s="202"/>
      <c r="M164" s="1844"/>
      <c r="N164" s="202"/>
      <c r="O164" s="202"/>
      <c r="P164" s="250"/>
      <c r="Q164" s="251"/>
    </row>
    <row r="165" spans="1:19" s="176" customFormat="1" ht="9" customHeight="1" x14ac:dyDescent="0.25">
      <c r="C165" s="1339"/>
      <c r="D165" s="897"/>
      <c r="E165" s="180"/>
      <c r="F165" s="180"/>
      <c r="G165" s="180"/>
      <c r="H165" s="180"/>
      <c r="I165" s="180"/>
      <c r="J165" s="180"/>
      <c r="K165" s="180"/>
      <c r="L165" s="180"/>
      <c r="M165" s="180"/>
      <c r="N165" s="180"/>
      <c r="O165" s="180"/>
      <c r="P165" s="588"/>
      <c r="Q165" s="251"/>
    </row>
    <row r="166" spans="1:19" s="796" customFormat="1" ht="20.25" hidden="1" customHeight="1" thickBot="1" x14ac:dyDescent="0.25">
      <c r="A166" s="248"/>
      <c r="B166" s="248"/>
      <c r="C166" s="424"/>
      <c r="D166" s="1845" t="s">
        <v>1095</v>
      </c>
      <c r="E166" s="1845"/>
      <c r="F166" s="213"/>
      <c r="G166" s="235"/>
      <c r="H166" s="183"/>
      <c r="I166" s="236"/>
      <c r="J166" s="216"/>
      <c r="K166" s="217"/>
      <c r="L166" s="183"/>
      <c r="M166" s="217"/>
      <c r="N166" s="1834" t="str">
        <f>IF(AND(G171&gt;=10000,G171&lt;100000),"The amount entered is $10,000 or above. This model can be submitted but will require additional approved before the agreement can be generated. Business Context will need to be provided",IF(G171&gt;=100000,"The amount is greater than $100,000. Please use the custom modeling process in order to accomodate this request",""))</f>
        <v/>
      </c>
      <c r="O166" s="1834"/>
      <c r="P166" s="1835"/>
      <c r="Q166" s="179"/>
      <c r="S166" s="574"/>
    </row>
    <row r="167" spans="1:19" s="796" customFormat="1" ht="18" hidden="1" customHeight="1" thickBot="1" x14ac:dyDescent="0.3">
      <c r="A167" s="243"/>
      <c r="B167" s="243"/>
      <c r="C167" s="417"/>
      <c r="D167" s="895" t="s">
        <v>523</v>
      </c>
      <c r="E167" s="821" t="s">
        <v>648</v>
      </c>
      <c r="F167" s="636"/>
      <c r="G167" s="228" t="s">
        <v>1380</v>
      </c>
      <c r="H167" s="532"/>
      <c r="I167" s="228" t="s">
        <v>1381</v>
      </c>
      <c r="J167" s="41"/>
      <c r="K167" s="228" t="s">
        <v>833</v>
      </c>
      <c r="L167" s="145"/>
      <c r="M167" s="194" t="s">
        <v>1382</v>
      </c>
      <c r="N167" s="1836"/>
      <c r="O167" s="1836"/>
      <c r="P167" s="1837"/>
      <c r="Q167" s="179"/>
      <c r="S167" s="574"/>
    </row>
    <row r="168" spans="1:19" s="796" customFormat="1" ht="18" hidden="1" customHeight="1" thickBot="1" x14ac:dyDescent="0.3">
      <c r="A168" s="243"/>
      <c r="B168" s="243"/>
      <c r="C168" s="417"/>
      <c r="D168" s="803" t="s">
        <v>1383</v>
      </c>
      <c r="E168" s="1470" t="s">
        <v>1384</v>
      </c>
      <c r="F168" s="637" t="s">
        <v>1095</v>
      </c>
      <c r="G168" s="1475" t="str">
        <f>IF(E168&lt;&gt;"Please Select","Program","")</f>
        <v/>
      </c>
      <c r="H168" s="532"/>
      <c r="I168" s="1475"/>
      <c r="J168" s="145"/>
      <c r="K168" s="1475" t="str">
        <f>IF(E168&lt;&gt;"Please Select","Corporate Office","")</f>
        <v/>
      </c>
      <c r="L168" s="145"/>
      <c r="M168" s="1494"/>
      <c r="N168" s="1836"/>
      <c r="O168" s="1836"/>
      <c r="P168" s="1837"/>
      <c r="Q168" s="179"/>
      <c r="S168" s="574"/>
    </row>
    <row r="169" spans="1:19" s="796" customFormat="1" ht="18" hidden="1" customHeight="1" thickBot="1" x14ac:dyDescent="0.25">
      <c r="A169" s="243"/>
      <c r="B169" s="243"/>
      <c r="C169" s="417"/>
      <c r="D169" s="7"/>
      <c r="E169" s="145"/>
      <c r="F169" s="145"/>
      <c r="G169" s="188"/>
      <c r="H169" s="188"/>
      <c r="I169" s="188"/>
      <c r="J169" s="188"/>
      <c r="K169" s="188"/>
      <c r="L169" s="188"/>
      <c r="M169" s="1838"/>
      <c r="N169" s="1836"/>
      <c r="O169" s="1836"/>
      <c r="P169" s="1837"/>
      <c r="Q169" s="179"/>
      <c r="S169" s="571" t="str">
        <f>IF($E169="NO","",IF($I168="Select Payment Method","X",""))</f>
        <v/>
      </c>
    </row>
    <row r="170" spans="1:19" s="796" customFormat="1" ht="18" hidden="1" customHeight="1" thickBot="1" x14ac:dyDescent="0.3">
      <c r="A170" s="243"/>
      <c r="B170" s="243"/>
      <c r="C170" s="417"/>
      <c r="D170" s="810" t="s">
        <v>1385</v>
      </c>
      <c r="E170" s="1409" t="str">
        <f>IF(E167="Yes",IF(Welcome!$D$6="New",IF('Required Info to Submit'!F$14="","",'Required Info to Submit'!F$14),""),"")</f>
        <v/>
      </c>
      <c r="F170" s="636"/>
      <c r="G170" s="228" t="s">
        <v>1396</v>
      </c>
      <c r="H170" s="188"/>
      <c r="I170" s="380"/>
      <c r="J170" s="195"/>
      <c r="K170" s="380"/>
      <c r="L170" s="188"/>
      <c r="M170" s="1840"/>
      <c r="N170" s="218"/>
      <c r="O170" s="6" t="s">
        <v>490</v>
      </c>
      <c r="P170" s="244"/>
      <c r="Q170" s="179"/>
      <c r="S170" s="574"/>
    </row>
    <row r="171" spans="1:19" s="796" customFormat="1" ht="18" hidden="1" customHeight="1" thickBot="1" x14ac:dyDescent="0.3">
      <c r="A171" s="243"/>
      <c r="B171" s="243"/>
      <c r="C171" s="417"/>
      <c r="D171" s="810" t="s">
        <v>1386</v>
      </c>
      <c r="E171" s="1409" t="str">
        <f>IF(E167="Yes",IF(Welcome!$D$6="New",IF('Required Info to Submit'!F$17="","",'Required Info to Submit'!F$17),""),"")</f>
        <v/>
      </c>
      <c r="F171" s="637" t="s">
        <v>1095</v>
      </c>
      <c r="G171" s="1477"/>
      <c r="H171" s="188"/>
      <c r="I171" s="238"/>
      <c r="J171" s="197"/>
      <c r="K171" s="1005"/>
      <c r="L171" s="188"/>
      <c r="M171" s="1840"/>
      <c r="N171" s="218"/>
      <c r="O171" s="887">
        <f>IF(Welcome!D6="New",IFERROR(IF($E167="Yes",$G171/$H$4,0),0),IF(Incentives!E171&lt;Welcome!D12,0,IFERROR(IF($E167="Yes",$G171/$H$4,0),0)))</f>
        <v>0</v>
      </c>
      <c r="P171" s="244"/>
      <c r="Q171" s="179"/>
    </row>
    <row r="172" spans="1:19" s="176" customFormat="1" ht="21" hidden="1" customHeight="1" x14ac:dyDescent="0.25">
      <c r="A172" s="245"/>
      <c r="B172" s="245"/>
      <c r="C172" s="638"/>
      <c r="D172" s="459"/>
      <c r="E172" s="202"/>
      <c r="F172" s="638"/>
      <c r="G172" s="638"/>
      <c r="H172" s="202"/>
      <c r="I172" s="202"/>
      <c r="J172" s="202"/>
      <c r="K172" s="202"/>
      <c r="L172" s="202"/>
      <c r="M172" s="1844"/>
      <c r="N172" s="202"/>
      <c r="O172" s="202"/>
      <c r="P172" s="250"/>
      <c r="Q172" s="251"/>
    </row>
    <row r="173" spans="1:19" s="796" customFormat="1" ht="10.15" hidden="1" customHeight="1" x14ac:dyDescent="0.25">
      <c r="A173" s="1553"/>
      <c r="C173" s="247"/>
      <c r="D173" s="897"/>
      <c r="E173" s="177"/>
      <c r="F173" s="207"/>
      <c r="G173" s="233"/>
      <c r="H173" s="177"/>
      <c r="I173" s="234"/>
      <c r="J173" s="211"/>
      <c r="K173" s="212"/>
      <c r="L173" s="177"/>
      <c r="M173" s="212"/>
      <c r="N173" s="212"/>
      <c r="O173" s="212"/>
      <c r="P173" s="247"/>
      <c r="Q173" s="179"/>
      <c r="S173" s="574"/>
    </row>
    <row r="174" spans="1:19" s="176" customFormat="1" ht="33" customHeight="1" thickBot="1" x14ac:dyDescent="0.3">
      <c r="A174" s="248"/>
      <c r="B174" s="248"/>
      <c r="C174" s="1337"/>
      <c r="D174" s="1845" t="s">
        <v>999</v>
      </c>
      <c r="E174" s="1845"/>
      <c r="F174" s="1383"/>
      <c r="G174" s="1383"/>
      <c r="H174" s="1383"/>
      <c r="I174" s="1383"/>
      <c r="J174" s="184"/>
      <c r="K174" s="184"/>
      <c r="L174" s="184"/>
      <c r="M174" s="184"/>
      <c r="N174" s="184"/>
      <c r="O174" s="1838" t="str">
        <f>IF(AND(Welcome!$D$20&lt;&gt;"Yes",$E$175="Yes"),"Credit Card Payment on the Welcome Sheet must be ""YES""  to proceed with this incentive!","")</f>
        <v/>
      </c>
      <c r="P174" s="1839"/>
      <c r="Q174" s="251"/>
    </row>
    <row r="175" spans="1:19" s="176" customFormat="1" ht="18" customHeight="1" thickBot="1" x14ac:dyDescent="0.3">
      <c r="A175" s="243"/>
      <c r="B175" s="243"/>
      <c r="C175" s="443"/>
      <c r="D175" s="895" t="s">
        <v>523</v>
      </c>
      <c r="E175" s="821" t="s">
        <v>648</v>
      </c>
      <c r="F175" s="239"/>
      <c r="G175" s="228" t="s">
        <v>1380</v>
      </c>
      <c r="H175" s="532"/>
      <c r="I175" s="228" t="s">
        <v>1381</v>
      </c>
      <c r="J175" s="41"/>
      <c r="K175" s="228" t="s">
        <v>833</v>
      </c>
      <c r="L175" s="145"/>
      <c r="M175" s="194" t="s">
        <v>1382</v>
      </c>
      <c r="N175" s="145"/>
      <c r="O175" s="1840"/>
      <c r="P175" s="1841"/>
      <c r="Q175" s="251"/>
    </row>
    <row r="176" spans="1:19" s="176" customFormat="1" ht="18" customHeight="1" thickBot="1" x14ac:dyDescent="0.3">
      <c r="A176" s="243"/>
      <c r="B176" s="243"/>
      <c r="C176" s="443"/>
      <c r="D176" s="803" t="s">
        <v>1383</v>
      </c>
      <c r="E176" s="1470" t="s">
        <v>1384</v>
      </c>
      <c r="F176" s="196"/>
      <c r="G176" s="1475"/>
      <c r="H176" s="532"/>
      <c r="I176" s="1475"/>
      <c r="J176" s="145"/>
      <c r="K176" s="1541"/>
      <c r="L176" s="145"/>
      <c r="M176" s="1497"/>
      <c r="N176" s="145"/>
      <c r="O176" s="1840"/>
      <c r="P176" s="1841"/>
      <c r="Q176" s="251"/>
    </row>
    <row r="177" spans="1:19" s="176" customFormat="1" ht="18" customHeight="1" thickBot="1" x14ac:dyDescent="0.3">
      <c r="A177" s="243"/>
      <c r="B177" s="243"/>
      <c r="C177" s="443"/>
      <c r="D177" s="7"/>
      <c r="E177" s="575"/>
      <c r="F177" s="817"/>
      <c r="G177" s="817"/>
      <c r="H177" s="145"/>
      <c r="I177" s="145"/>
      <c r="J177" s="145"/>
      <c r="K177" s="145"/>
      <c r="L177" s="145"/>
      <c r="M177" s="1838" t="str">
        <f>IFERROR(IF(AND($C$175&lt;&gt;"Yes",$K$179&gt;ROUNDUP((((VLOOKUP('Variable Selling'!$A$2,'CC MARKET EXPENSE'!$A:$D,4,0))*100)*VLOOKUP(D174,'Incentive Helper'!$A:$B,2,0)/100)/0.25,0)*0.25/100),"***Warning: Amount entered is greater than the max allowed for this incentive. The Max is listed below the Rate % of Sales",""),"")</f>
        <v/>
      </c>
      <c r="N177" s="145"/>
      <c r="O177" s="145"/>
      <c r="P177" s="590"/>
      <c r="Q177" s="251"/>
      <c r="S177" s="571" t="str">
        <f>IF($D$476=0,"",IF($E177="NO","",IF($I176="Select Payment Method","X","")))</f>
        <v/>
      </c>
    </row>
    <row r="178" spans="1:19" s="176" customFormat="1" ht="18" customHeight="1" thickBot="1" x14ac:dyDescent="0.3">
      <c r="A178" s="243"/>
      <c r="B178" s="243"/>
      <c r="C178" s="443" t="str" cm="1">
        <f t="array" aca="1" ref="C178" ca="1">IF(INDIRECT("'Incentives'!C"&amp;'Configurable Tab'!C18+1) = "Yes",IF(INDIRECT("'Incentives'!E"&amp;'Configurable Tab'!C18+5)&lt;Welcome!$D$12,"Yes",IF(INDIRECT("'Incentives'!E"&amp;'Configurable Tab'!C18+5)='Required Info to Submit'!$F$17,"No","")),"")</f>
        <v/>
      </c>
      <c r="D178" s="810" t="s">
        <v>1385</v>
      </c>
      <c r="E178" s="1409" t="str">
        <f>IF(E175="Yes",IF(Welcome!$D$6="New",IF('Required Info to Submit'!F$14="","",'Required Info to Submit'!F$14),""),"")</f>
        <v/>
      </c>
      <c r="F178" s="239"/>
      <c r="G178" s="145"/>
      <c r="H178" s="145"/>
      <c r="I178" s="145"/>
      <c r="J178" s="145"/>
      <c r="K178" s="194" t="s">
        <v>1389</v>
      </c>
      <c r="L178" s="188"/>
      <c r="M178" s="1840"/>
      <c r="N178" s="145"/>
      <c r="O178" s="6" t="s">
        <v>490</v>
      </c>
      <c r="P178" s="590"/>
      <c r="Q178" s="251"/>
    </row>
    <row r="179" spans="1:19" s="176" customFormat="1" ht="18" customHeight="1" thickBot="1" x14ac:dyDescent="0.3">
      <c r="A179" s="243"/>
      <c r="B179" s="243"/>
      <c r="C179" s="443"/>
      <c r="D179" s="810" t="s">
        <v>1386</v>
      </c>
      <c r="E179" s="1409" t="str">
        <f>IF(E175="Yes",IF(Welcome!$D$6="New",IF('Required Info to Submit'!F$17="","",'Required Info to Submit'!F$17),""),"")</f>
        <v/>
      </c>
      <c r="F179" s="196"/>
      <c r="G179" s="1298"/>
      <c r="H179" s="145"/>
      <c r="I179" s="145"/>
      <c r="J179" s="145"/>
      <c r="K179" s="1472"/>
      <c r="L179" s="188"/>
      <c r="M179" s="1840"/>
      <c r="N179" s="145"/>
      <c r="O179" s="887">
        <f>IF(Welcome!D6="New",IFERROR(IF($E175="Yes",$K$179*$H$10,0),0),IF(Incentives!E179&lt;Welcome!D12,0,IFERROR(IF($E175="Yes",$K$179*$H$10,0),0)))</f>
        <v>0</v>
      </c>
      <c r="P179" s="590"/>
      <c r="Q179" s="251"/>
    </row>
    <row r="180" spans="1:19" s="176" customFormat="1" ht="27" customHeight="1" x14ac:dyDescent="0.25">
      <c r="A180" s="245"/>
      <c r="B180" s="245"/>
      <c r="C180" s="638"/>
      <c r="D180" s="459"/>
      <c r="E180" s="202"/>
      <c r="F180" s="202"/>
      <c r="G180" s="645"/>
      <c r="H180" s="202"/>
      <c r="I180" s="202"/>
      <c r="J180" s="202"/>
      <c r="K180" s="202" t="str">
        <f>IFERROR(_xlfn.CONCAT("Max ",ROUNDUP((((VLOOKUP('Variable Selling'!$A$2,'CC MARKET EXPENSE'!$A:$D,4,0))*100)*((VLOOKUP(D174,'Incentive Helper'!$A:$B,2,0))/100))/0.25,0)*0.25),"")</f>
        <v/>
      </c>
      <c r="L180" s="202"/>
      <c r="M180" s="1844"/>
      <c r="N180" s="202"/>
      <c r="O180" s="202"/>
      <c r="P180" s="250"/>
      <c r="Q180" s="251"/>
    </row>
    <row r="181" spans="1:19" s="852" customFormat="1" ht="10.15" customHeight="1" x14ac:dyDescent="0.25">
      <c r="A181" s="1553"/>
      <c r="C181" s="247"/>
      <c r="D181" s="897"/>
      <c r="E181" s="177"/>
      <c r="F181" s="207"/>
      <c r="G181" s="233"/>
      <c r="H181" s="177"/>
      <c r="I181" s="234"/>
      <c r="J181" s="211"/>
      <c r="K181" s="212"/>
      <c r="L181" s="177"/>
      <c r="M181" s="212"/>
      <c r="N181" s="212"/>
      <c r="O181" s="212"/>
      <c r="P181" s="247"/>
      <c r="Q181" s="179"/>
      <c r="S181" s="574"/>
    </row>
    <row r="182" spans="1:19" s="852" customFormat="1" ht="20.25" customHeight="1" thickBot="1" x14ac:dyDescent="0.3">
      <c r="A182" s="248"/>
      <c r="B182" s="248"/>
      <c r="C182" s="424"/>
      <c r="D182" s="1845" t="s">
        <v>1473</v>
      </c>
      <c r="E182" s="1845"/>
      <c r="F182" s="213"/>
      <c r="G182" s="235"/>
      <c r="H182" s="183"/>
      <c r="I182" s="236"/>
      <c r="J182" s="216"/>
      <c r="K182" s="217"/>
      <c r="L182" s="183"/>
      <c r="M182" s="217"/>
      <c r="N182" s="1853" t="str">
        <f>IF(AND(G187&gt;=10000,G187&lt;100000),"The amount entered is $10,000 or above. This model can be submitted but will require additional approved before the agreement can be generated. Business Context will need to be provided",IF(G187&gt;=100000,"The amount is greater than $100,000. Please use the custom modeling process in order to accomodate this request",""))</f>
        <v/>
      </c>
      <c r="O182" s="1853"/>
      <c r="P182" s="1854"/>
      <c r="Q182" s="179"/>
      <c r="S182" s="574"/>
    </row>
    <row r="183" spans="1:19" s="852" customFormat="1" ht="17.25" customHeight="1" thickBot="1" x14ac:dyDescent="0.3">
      <c r="A183" s="243"/>
      <c r="B183" s="243"/>
      <c r="C183" s="417"/>
      <c r="D183" s="895" t="s">
        <v>523</v>
      </c>
      <c r="E183" s="908" t="s">
        <v>648</v>
      </c>
      <c r="F183" s="636"/>
      <c r="G183" s="228" t="s">
        <v>1380</v>
      </c>
      <c r="H183" s="532"/>
      <c r="I183" s="228" t="s">
        <v>1381</v>
      </c>
      <c r="J183" s="41"/>
      <c r="K183" s="228" t="s">
        <v>833</v>
      </c>
      <c r="L183" s="145"/>
      <c r="M183" s="194" t="s">
        <v>1382</v>
      </c>
      <c r="N183" s="1855"/>
      <c r="O183" s="1855"/>
      <c r="P183" s="1856"/>
      <c r="Q183" s="179"/>
      <c r="S183" s="574"/>
    </row>
    <row r="184" spans="1:19" s="852" customFormat="1" ht="18" customHeight="1" thickBot="1" x14ac:dyDescent="0.3">
      <c r="A184" s="243"/>
      <c r="B184" s="243"/>
      <c r="C184" s="417"/>
      <c r="D184" s="803" t="s">
        <v>1383</v>
      </c>
      <c r="E184" s="860" t="s">
        <v>1384</v>
      </c>
      <c r="F184" s="637" t="s">
        <v>1095</v>
      </c>
      <c r="G184" s="1475" t="str">
        <f>IF(E184&lt;&gt;"Please Select","Program","")</f>
        <v/>
      </c>
      <c r="H184" s="532"/>
      <c r="I184" s="1475"/>
      <c r="J184" s="145"/>
      <c r="K184" s="1475" t="str">
        <f>IF(E184&lt;&gt;"Please Select","Corporate Office","")</f>
        <v/>
      </c>
      <c r="L184" s="145"/>
      <c r="M184" s="1578"/>
      <c r="N184" s="1855"/>
      <c r="O184" s="1855"/>
      <c r="P184" s="1856"/>
      <c r="Q184" s="179"/>
      <c r="S184" s="574"/>
    </row>
    <row r="185" spans="1:19" s="852" customFormat="1" ht="25.5" customHeight="1" thickBot="1" x14ac:dyDescent="0.3">
      <c r="A185" s="243"/>
      <c r="B185" s="243"/>
      <c r="C185" s="417"/>
      <c r="D185" s="7"/>
      <c r="E185" s="145"/>
      <c r="F185" s="196"/>
      <c r="G185" s="643"/>
      <c r="H185" s="188"/>
      <c r="I185" s="236"/>
      <c r="J185" s="642"/>
      <c r="K185" s="217"/>
      <c r="L185" s="188"/>
      <c r="M185" s="855"/>
      <c r="N185" s="1855"/>
      <c r="O185" s="1855"/>
      <c r="P185" s="1856"/>
      <c r="Q185" s="179"/>
      <c r="S185" s="574"/>
    </row>
    <row r="186" spans="1:19" s="852" customFormat="1" ht="18" customHeight="1" thickBot="1" x14ac:dyDescent="0.3">
      <c r="A186" s="243"/>
      <c r="B186" s="243"/>
      <c r="C186" s="417"/>
      <c r="D186" s="810" t="s">
        <v>1385</v>
      </c>
      <c r="E186" s="1410" t="str">
        <f>IF(E183="Yes",IF(Welcome!$D$6="New",IF('Required Info to Submit'!F$14="","",'Required Info to Submit'!F$14),""),"")</f>
        <v/>
      </c>
      <c r="F186" s="854"/>
      <c r="G186" s="228" t="s">
        <v>1396</v>
      </c>
      <c r="H186" s="857"/>
      <c r="I186" s="228" t="s">
        <v>1474</v>
      </c>
      <c r="J186" s="145"/>
      <c r="K186" s="228" t="s">
        <v>1475</v>
      </c>
      <c r="L186" s="145"/>
      <c r="M186" s="228" t="s">
        <v>1402</v>
      </c>
      <c r="N186" s="855"/>
      <c r="O186" s="6" t="s">
        <v>490</v>
      </c>
      <c r="P186" s="856"/>
      <c r="Q186" s="179"/>
      <c r="S186" s="574"/>
    </row>
    <row r="187" spans="1:19" s="852" customFormat="1" ht="17.25" customHeight="1" thickBot="1" x14ac:dyDescent="0.3">
      <c r="A187" s="243"/>
      <c r="B187" s="243"/>
      <c r="C187" s="417"/>
      <c r="D187" s="810" t="s">
        <v>1386</v>
      </c>
      <c r="E187" s="1410" t="str">
        <f>IF(E183="Yes",IF(Welcome!$D$6="New",IF('Required Info to Submit'!F$17="","",'Required Info to Submit'!F$17),""),"")</f>
        <v/>
      </c>
      <c r="F187" s="636"/>
      <c r="G187" s="1476">
        <f>IFERROR(I187+K187,0)</f>
        <v>0</v>
      </c>
      <c r="H187" s="188"/>
      <c r="I187" s="1476"/>
      <c r="J187" s="145"/>
      <c r="K187" s="1476"/>
      <c r="L187" s="145"/>
      <c r="M187" s="1476"/>
      <c r="N187" s="145"/>
      <c r="O187" s="887">
        <f>IF(Welcome!D6="New",IFERROR(IF($E183="Yes",G187/$H$4,0),0),IF(Incentives!E187&lt;Welcome!D12,0,IFERROR(IF($E183="Yes",G187/$H$4,0),0)))</f>
        <v>0</v>
      </c>
      <c r="P187" s="244"/>
      <c r="Q187" s="179"/>
      <c r="S187" s="574"/>
    </row>
    <row r="188" spans="1:19" s="852" customFormat="1" ht="18" customHeight="1" thickBot="1" x14ac:dyDescent="0.3">
      <c r="A188" s="243"/>
      <c r="B188" s="243"/>
      <c r="C188" s="417"/>
      <c r="D188" s="7"/>
      <c r="E188" s="188"/>
      <c r="F188" s="637" t="s">
        <v>1095</v>
      </c>
      <c r="G188" s="809"/>
      <c r="H188" s="188"/>
      <c r="I188" s="859"/>
      <c r="J188" s="188"/>
      <c r="K188" s="809"/>
      <c r="L188" s="188"/>
      <c r="M188" s="145"/>
      <c r="N188" s="145"/>
      <c r="O188" s="145"/>
      <c r="P188" s="244"/>
      <c r="Q188" s="179"/>
    </row>
    <row r="189" spans="1:19" s="852" customFormat="1" ht="33" customHeight="1" x14ac:dyDescent="0.25">
      <c r="A189" s="243"/>
      <c r="B189" s="243"/>
      <c r="C189" s="417"/>
      <c r="D189" s="1887" t="s">
        <v>1476</v>
      </c>
      <c r="E189" s="1888"/>
      <c r="F189" s="637"/>
      <c r="G189" s="228" t="s">
        <v>1478</v>
      </c>
      <c r="H189" s="145"/>
      <c r="I189" s="228" t="s">
        <v>1479</v>
      </c>
      <c r="J189" s="145"/>
      <c r="K189" s="228" t="s">
        <v>1135</v>
      </c>
      <c r="L189" s="220"/>
      <c r="M189" s="228" t="s">
        <v>1480</v>
      </c>
      <c r="N189" s="145"/>
      <c r="O189" s="228" t="s">
        <v>1134</v>
      </c>
      <c r="P189" s="244"/>
      <c r="Q189" s="179"/>
    </row>
    <row r="190" spans="1:19" s="852" customFormat="1" ht="18" customHeight="1" thickBot="1" x14ac:dyDescent="0.3">
      <c r="A190" s="243"/>
      <c r="B190" s="243"/>
      <c r="C190" s="417"/>
      <c r="D190" s="1889" t="s">
        <v>1477</v>
      </c>
      <c r="E190" s="1890"/>
      <c r="F190" s="637"/>
      <c r="G190" s="999"/>
      <c r="H190" s="145"/>
      <c r="I190" s="1524"/>
      <c r="J190" s="145"/>
      <c r="K190" s="1436"/>
      <c r="L190" s="220"/>
      <c r="M190" s="1436"/>
      <c r="N190" s="145"/>
      <c r="O190" s="1476"/>
      <c r="P190" s="244"/>
      <c r="Q190" s="179"/>
    </row>
    <row r="191" spans="1:19" s="176" customFormat="1" ht="21" customHeight="1" x14ac:dyDescent="0.25">
      <c r="A191" s="245"/>
      <c r="B191" s="245"/>
      <c r="C191" s="638"/>
      <c r="D191" s="459"/>
      <c r="E191" s="202"/>
      <c r="F191" s="638"/>
      <c r="G191" s="638"/>
      <c r="H191" s="202"/>
      <c r="I191" s="202"/>
      <c r="J191" s="202"/>
      <c r="K191" s="202"/>
      <c r="L191" s="202"/>
      <c r="M191" s="202"/>
      <c r="N191" s="202"/>
      <c r="O191" s="202"/>
      <c r="P191" s="250"/>
      <c r="Q191" s="251"/>
    </row>
    <row r="192" spans="1:19" s="176" customFormat="1" ht="9" customHeight="1" x14ac:dyDescent="0.25">
      <c r="C192" s="1339"/>
      <c r="D192" s="897"/>
      <c r="E192" s="180"/>
      <c r="F192" s="180"/>
      <c r="G192" s="180"/>
      <c r="H192" s="180"/>
      <c r="I192" s="180"/>
      <c r="J192" s="180"/>
      <c r="K192" s="180"/>
      <c r="L192" s="180"/>
      <c r="M192" s="180"/>
      <c r="N192" s="180"/>
      <c r="O192" s="180"/>
      <c r="P192" s="588"/>
      <c r="Q192" s="251"/>
    </row>
    <row r="193" spans="1:19" s="796" customFormat="1" ht="20.25" customHeight="1" thickBot="1" x14ac:dyDescent="0.3">
      <c r="A193" s="248"/>
      <c r="B193" s="248"/>
      <c r="C193" s="424"/>
      <c r="D193" s="1845" t="s">
        <v>1132</v>
      </c>
      <c r="E193" s="1845"/>
      <c r="F193" s="213"/>
      <c r="G193" s="235"/>
      <c r="H193" s="183"/>
      <c r="I193" s="236"/>
      <c r="J193" s="216"/>
      <c r="K193" s="217"/>
      <c r="L193" s="183"/>
      <c r="M193" s="217"/>
      <c r="N193" s="1853" t="str">
        <f>IF(AND(G198&gt;=10000,G198&lt;100000),"The amount entered is $10,000 or above. This model can be submitted but will require additional approved before the agreement can be generated. Business Context will need to be provided",IF(G198&gt;=100000,"The amount is greater than $100,000. Please use the custom modeling process in order to accomodate this request",""))</f>
        <v/>
      </c>
      <c r="O193" s="1853"/>
      <c r="P193" s="1854"/>
      <c r="Q193" s="179"/>
      <c r="S193" s="574"/>
    </row>
    <row r="194" spans="1:19" s="796" customFormat="1" ht="18" customHeight="1" thickBot="1" x14ac:dyDescent="0.3">
      <c r="A194" s="243"/>
      <c r="B194" s="243"/>
      <c r="C194" s="417"/>
      <c r="D194" s="895" t="s">
        <v>523</v>
      </c>
      <c r="E194" s="821" t="s">
        <v>648</v>
      </c>
      <c r="F194" s="636"/>
      <c r="G194" s="194" t="s">
        <v>1380</v>
      </c>
      <c r="H194" s="188"/>
      <c r="I194" s="194" t="s">
        <v>1381</v>
      </c>
      <c r="J194" s="41"/>
      <c r="K194" s="194" t="s">
        <v>1397</v>
      </c>
      <c r="L194" s="188"/>
      <c r="M194" s="194" t="s">
        <v>1382</v>
      </c>
      <c r="N194" s="1855"/>
      <c r="O194" s="1855"/>
      <c r="P194" s="1856"/>
      <c r="Q194" s="179"/>
      <c r="S194" s="574"/>
    </row>
    <row r="195" spans="1:19" s="796" customFormat="1" ht="18" customHeight="1" thickBot="1" x14ac:dyDescent="0.3">
      <c r="A195" s="243"/>
      <c r="B195" s="243"/>
      <c r="C195" s="417"/>
      <c r="D195" s="803" t="s">
        <v>1383</v>
      </c>
      <c r="E195" s="1470" t="s">
        <v>1384</v>
      </c>
      <c r="F195" s="858"/>
      <c r="G195" s="956"/>
      <c r="H195" s="188"/>
      <c r="I195" s="1475"/>
      <c r="J195" s="858"/>
      <c r="K195" s="1475" t="str">
        <f>IF(E195&lt;&gt;"Please Select","Corporate Office","")</f>
        <v/>
      </c>
      <c r="L195" s="188"/>
      <c r="M195" s="1442"/>
      <c r="N195" s="1855"/>
      <c r="O195" s="1855"/>
      <c r="P195" s="1856"/>
      <c r="Q195" s="179"/>
      <c r="S195" s="574"/>
    </row>
    <row r="196" spans="1:19" s="796" customFormat="1" ht="28.5" customHeight="1" thickBot="1" x14ac:dyDescent="0.3">
      <c r="A196" s="243"/>
      <c r="B196" s="243"/>
      <c r="C196" s="417"/>
      <c r="D196" s="7"/>
      <c r="E196" s="188"/>
      <c r="F196" s="145"/>
      <c r="G196" s="188"/>
      <c r="H196" s="188"/>
      <c r="I196" s="188"/>
      <c r="J196" s="188"/>
      <c r="K196" s="188"/>
      <c r="L196" s="862"/>
      <c r="M196" s="188"/>
      <c r="N196" s="1855"/>
      <c r="O196" s="1855"/>
      <c r="P196" s="1856"/>
      <c r="Q196" s="179"/>
      <c r="S196" s="571" t="str">
        <f>IF($E196="NO","",IF($I195="Select Payment Method","X",""))</f>
        <v/>
      </c>
    </row>
    <row r="197" spans="1:19" s="796" customFormat="1" ht="18" customHeight="1" thickBot="1" x14ac:dyDescent="0.3">
      <c r="A197" s="243"/>
      <c r="B197" s="243"/>
      <c r="C197" s="417" t="str" cm="1">
        <f t="array" aca="1" ref="C197" ca="1">IF(INDIRECT("'Incentives'!C"&amp;'Configurable Tab'!C20+1) = "Yes",IF(INDIRECT("'Incentives'!E"&amp;'Configurable Tab'!C20+5)&lt;Welcome!$D$12,"Yes",IF(INDIRECT("'Incentives'!E"&amp;'Configurable Tab'!C20+5)='Required Info to Submit'!$F$17,"No","")),"")</f>
        <v/>
      </c>
      <c r="D197" s="810" t="s">
        <v>1385</v>
      </c>
      <c r="E197" s="1409" t="str">
        <f>IF(E194="Yes",IF(Welcome!$D$6="New",IF('Required Info to Submit'!F$14="","",'Required Info to Submit'!F$14),""),"")</f>
        <v/>
      </c>
      <c r="F197" s="636"/>
      <c r="G197" s="228" t="s">
        <v>1396</v>
      </c>
      <c r="H197" s="188"/>
      <c r="I197" s="194" t="s">
        <v>1481</v>
      </c>
      <c r="J197" s="1832"/>
      <c r="K197" s="194" t="s">
        <v>727</v>
      </c>
      <c r="L197" s="1832"/>
      <c r="M197" s="194" t="s">
        <v>1482</v>
      </c>
      <c r="N197" s="145"/>
      <c r="O197" s="6" t="s">
        <v>490</v>
      </c>
      <c r="P197" s="244"/>
      <c r="Q197" s="179"/>
      <c r="S197" s="574"/>
    </row>
    <row r="198" spans="1:19" s="796" customFormat="1" ht="18" customHeight="1" thickBot="1" x14ac:dyDescent="0.3">
      <c r="A198" s="243"/>
      <c r="B198" s="243"/>
      <c r="C198" s="417"/>
      <c r="D198" s="810" t="s">
        <v>1386</v>
      </c>
      <c r="E198" s="1409" t="str">
        <f>IF(E194="Yes",IF(Welcome!$D$6="New",IF('Required Info to Submit'!F$17="","",'Required Info to Submit'!F$17),""),"")</f>
        <v/>
      </c>
      <c r="F198" s="637" t="s">
        <v>877</v>
      </c>
      <c r="G198" s="890"/>
      <c r="H198" s="188"/>
      <c r="I198" s="892">
        <v>1</v>
      </c>
      <c r="J198" s="1842"/>
      <c r="K198" s="1476"/>
      <c r="L198" s="1833"/>
      <c r="M198" s="1476"/>
      <c r="N198" s="145"/>
      <c r="O198" s="887">
        <f>IF(Welcome!D6="New",IFERROR(IF($E$194="Yes",G198/$H$4,0),0),IF(Incentives!E198&lt;Welcome!D12,0,IFERROR(IF($E$194="Yes",G198/$H$4,0),0)))</f>
        <v>0</v>
      </c>
      <c r="P198" s="244"/>
      <c r="Q198" s="179"/>
      <c r="S198" s="630"/>
    </row>
    <row r="199" spans="1:19" s="853" customFormat="1" ht="18" customHeight="1" x14ac:dyDescent="0.25">
      <c r="A199" s="243"/>
      <c r="B199" s="243"/>
      <c r="C199" s="417"/>
      <c r="D199" s="907"/>
      <c r="E199" s="639">
        <f>IF($E$197&lt;&gt;"",VALUE($E$197),0)</f>
        <v>0</v>
      </c>
      <c r="F199" s="637"/>
      <c r="G199" s="533"/>
      <c r="H199" s="532"/>
      <c r="I199" s="892">
        <v>2</v>
      </c>
      <c r="J199" s="863"/>
      <c r="K199" s="1476"/>
      <c r="L199" s="864"/>
      <c r="M199" s="1476"/>
      <c r="N199" s="858"/>
      <c r="O199" s="1846"/>
      <c r="P199" s="244"/>
      <c r="Q199" s="179"/>
      <c r="S199" s="630"/>
    </row>
    <row r="200" spans="1:19" s="853" customFormat="1" ht="18" customHeight="1" x14ac:dyDescent="0.25">
      <c r="A200" s="243"/>
      <c r="B200" s="243"/>
      <c r="C200" s="417"/>
      <c r="D200" s="907"/>
      <c r="E200" s="639">
        <f>IF($E$198&lt;&gt;"",VALUE($E$198),0)</f>
        <v>0</v>
      </c>
      <c r="F200" s="637"/>
      <c r="G200" s="194" t="s">
        <v>1389</v>
      </c>
      <c r="H200" s="532"/>
      <c r="I200" s="892">
        <v>3</v>
      </c>
      <c r="J200" s="863"/>
      <c r="K200" s="1476"/>
      <c r="L200" s="864"/>
      <c r="M200" s="1476"/>
      <c r="N200" s="858"/>
      <c r="O200" s="1847"/>
      <c r="P200" s="244"/>
      <c r="Q200" s="179"/>
      <c r="S200" s="630"/>
    </row>
    <row r="201" spans="1:19" s="853" customFormat="1" ht="18" customHeight="1" x14ac:dyDescent="0.25">
      <c r="A201" s="243"/>
      <c r="B201" s="243"/>
      <c r="C201" s="417"/>
      <c r="D201" s="907"/>
      <c r="E201" s="639"/>
      <c r="F201" s="637"/>
      <c r="G201" s="964">
        <f>IFERROR(IF(Welcome!$D$6="New",(Incentives!G187+Incentives!G198)/(Incentives!H5*Incentives!H4),Incentives!G198/(Incentives!H5*(Incentives!E198-Incentives!E197)/365)),0)</f>
        <v>0</v>
      </c>
      <c r="H201" s="532"/>
      <c r="I201" s="892">
        <v>4</v>
      </c>
      <c r="J201" s="863"/>
      <c r="K201" s="1476"/>
      <c r="L201" s="864"/>
      <c r="M201" s="1476"/>
      <c r="N201" s="858"/>
      <c r="O201" s="1847"/>
      <c r="P201" s="244"/>
      <c r="Q201" s="179"/>
      <c r="S201" s="630"/>
    </row>
    <row r="202" spans="1:19" s="853" customFormat="1" ht="18" customHeight="1" x14ac:dyDescent="0.25">
      <c r="A202" s="243"/>
      <c r="B202" s="243"/>
      <c r="C202" s="417"/>
      <c r="D202" s="907"/>
      <c r="E202" s="639"/>
      <c r="F202" s="637"/>
      <c r="G202" s="533"/>
      <c r="H202" s="532"/>
      <c r="I202" s="892">
        <v>5</v>
      </c>
      <c r="J202" s="863"/>
      <c r="K202" s="1476"/>
      <c r="L202" s="864"/>
      <c r="M202" s="1476"/>
      <c r="N202" s="858"/>
      <c r="O202" s="1847"/>
      <c r="P202" s="244"/>
      <c r="Q202" s="179"/>
      <c r="S202" s="630"/>
    </row>
    <row r="203" spans="1:19" s="176" customFormat="1" ht="21" customHeight="1" x14ac:dyDescent="0.25">
      <c r="A203" s="245"/>
      <c r="B203" s="245"/>
      <c r="C203" s="638"/>
      <c r="D203" s="459"/>
      <c r="E203" s="202"/>
      <c r="F203" s="638"/>
      <c r="G203" s="638"/>
      <c r="H203" s="202"/>
      <c r="I203" s="861"/>
      <c r="J203" s="202"/>
      <c r="K203" s="1009">
        <f>SUM(K198:K202)</f>
        <v>0</v>
      </c>
      <c r="L203" s="202"/>
      <c r="M203" s="202"/>
      <c r="N203" s="202"/>
      <c r="O203" s="1848"/>
      <c r="P203" s="250"/>
      <c r="Q203" s="251"/>
    </row>
    <row r="204" spans="1:19" s="796" customFormat="1" ht="9" customHeight="1" x14ac:dyDescent="0.25">
      <c r="A204" s="1553"/>
      <c r="C204" s="247"/>
      <c r="D204" s="897"/>
      <c r="E204" s="177"/>
      <c r="F204" s="207"/>
      <c r="G204" s="233"/>
      <c r="H204" s="177"/>
      <c r="I204" s="234"/>
      <c r="J204" s="211"/>
      <c r="K204" s="212"/>
      <c r="L204" s="177"/>
      <c r="M204" s="212"/>
      <c r="N204" s="212"/>
      <c r="O204" s="212"/>
      <c r="P204" s="247"/>
      <c r="Q204" s="179"/>
      <c r="S204" s="574"/>
    </row>
    <row r="205" spans="1:19" s="796" customFormat="1" ht="20.25" hidden="1" customHeight="1" thickBot="1" x14ac:dyDescent="0.3">
      <c r="A205" s="248"/>
      <c r="B205" s="248"/>
      <c r="C205" s="424"/>
      <c r="D205" s="1845" t="s">
        <v>1132</v>
      </c>
      <c r="E205" s="1845"/>
      <c r="F205" s="213"/>
      <c r="G205" s="235"/>
      <c r="H205" s="183"/>
      <c r="I205" s="236"/>
      <c r="J205" s="216"/>
      <c r="K205" s="217"/>
      <c r="L205" s="183"/>
      <c r="M205" s="217"/>
      <c r="N205" s="1853" t="str">
        <f>IF(AND(G210&gt;=10000,G210&lt;100000),"The amount entered is $10,000 or above. This model can be submitted but will require additional approved before the agreement can be generated. Business Context will need to be provided",IF(G210&gt;=100000,"The amount is greater than $100,000. Please use the custom modeling process in order to accomodate this request",""))</f>
        <v/>
      </c>
      <c r="O205" s="1853"/>
      <c r="P205" s="1854"/>
      <c r="Q205" s="179"/>
      <c r="S205" s="574"/>
    </row>
    <row r="206" spans="1:19" s="796" customFormat="1" ht="18" hidden="1" customHeight="1" thickBot="1" x14ac:dyDescent="0.3">
      <c r="A206" s="243"/>
      <c r="B206" s="243"/>
      <c r="C206" s="417"/>
      <c r="D206" s="895" t="s">
        <v>523</v>
      </c>
      <c r="E206" s="821" t="s">
        <v>648</v>
      </c>
      <c r="F206" s="636"/>
      <c r="G206" s="194" t="s">
        <v>1380</v>
      </c>
      <c r="H206" s="188"/>
      <c r="I206" s="194" t="s">
        <v>1381</v>
      </c>
      <c r="J206" s="41"/>
      <c r="K206" s="194" t="s">
        <v>1397</v>
      </c>
      <c r="L206" s="188"/>
      <c r="M206" s="194" t="s">
        <v>1382</v>
      </c>
      <c r="N206" s="1855"/>
      <c r="O206" s="1855"/>
      <c r="P206" s="1856"/>
      <c r="Q206" s="179"/>
      <c r="S206" s="574"/>
    </row>
    <row r="207" spans="1:19" s="796" customFormat="1" ht="18" hidden="1" customHeight="1" thickBot="1" x14ac:dyDescent="0.3">
      <c r="A207" s="243"/>
      <c r="B207" s="243"/>
      <c r="C207" s="417"/>
      <c r="D207" s="803" t="s">
        <v>1383</v>
      </c>
      <c r="E207" s="1296" t="s">
        <v>1384</v>
      </c>
      <c r="F207" s="637" t="s">
        <v>877</v>
      </c>
      <c r="G207" s="956"/>
      <c r="H207" s="188"/>
      <c r="I207" s="1299"/>
      <c r="J207" s="858"/>
      <c r="K207" s="1299" t="str">
        <f>IF($E$207&lt;&gt;"Please Select","Corporate Office","")</f>
        <v/>
      </c>
      <c r="L207" s="188"/>
      <c r="M207" s="1442"/>
      <c r="N207" s="1855"/>
      <c r="O207" s="1855"/>
      <c r="P207" s="1856"/>
      <c r="Q207" s="179"/>
      <c r="S207" s="574"/>
    </row>
    <row r="208" spans="1:19" s="796" customFormat="1" ht="28.5" hidden="1" customHeight="1" thickBot="1" x14ac:dyDescent="0.3">
      <c r="A208" s="243"/>
      <c r="B208" s="243"/>
      <c r="C208" s="417"/>
      <c r="D208" s="7"/>
      <c r="E208" s="188"/>
      <c r="F208" s="858"/>
      <c r="G208" s="188"/>
      <c r="H208" s="188"/>
      <c r="I208" s="188"/>
      <c r="J208" s="188"/>
      <c r="K208" s="188"/>
      <c r="L208" s="862"/>
      <c r="M208" s="188"/>
      <c r="N208" s="1855"/>
      <c r="O208" s="1855"/>
      <c r="P208" s="1856"/>
      <c r="Q208" s="179"/>
      <c r="S208" s="574"/>
    </row>
    <row r="209" spans="1:19" s="796" customFormat="1" ht="18" hidden="1" customHeight="1" thickBot="1" x14ac:dyDescent="0.3">
      <c r="A209" s="243"/>
      <c r="B209" s="243"/>
      <c r="C209" s="417" t="str" cm="1">
        <f t="array" aca="1" ref="C209" ca="1">IF(INDIRECT("'Incentives'!C"&amp;'Configurable Tab'!C21+1) = "Yes",IF(INDIRECT("'Incentives'!E"&amp;'Configurable Tab'!C21+5)&lt;Welcome!$D$12,"Yes",IF(INDIRECT("'Incentives'!E"&amp;'Configurable Tab'!C21+5)='Required Info to Submit'!$F$17,"No","")),"")</f>
        <v/>
      </c>
      <c r="D209" s="810" t="s">
        <v>1385</v>
      </c>
      <c r="E209" s="1410" t="str">
        <f>IF(E206="Yes",IF(Welcome!$D$6="New",IF('Required Info to Submit'!F$14="","",'Required Info to Submit'!F$14),""),"")</f>
        <v/>
      </c>
      <c r="F209" s="636"/>
      <c r="G209" s="228" t="s">
        <v>1396</v>
      </c>
      <c r="H209" s="188"/>
      <c r="I209" s="194" t="s">
        <v>1481</v>
      </c>
      <c r="J209" s="1832"/>
      <c r="K209" s="194" t="s">
        <v>727</v>
      </c>
      <c r="L209" s="1832"/>
      <c r="M209" s="194" t="s">
        <v>1482</v>
      </c>
      <c r="N209" s="858"/>
      <c r="O209" s="6" t="s">
        <v>490</v>
      </c>
      <c r="P209" s="244"/>
      <c r="Q209" s="179"/>
      <c r="S209" s="574"/>
    </row>
    <row r="210" spans="1:19" s="796" customFormat="1" ht="18" hidden="1" customHeight="1" thickBot="1" x14ac:dyDescent="0.3">
      <c r="A210" s="243"/>
      <c r="B210" s="243"/>
      <c r="C210" s="417"/>
      <c r="D210" s="810" t="s">
        <v>1386</v>
      </c>
      <c r="E210" s="1410" t="str">
        <f>IF(E206="Yes",IF(Welcome!$D$6="New",IF('Required Info to Submit'!F$17="","",'Required Info to Submit'!F$17),""),"")</f>
        <v/>
      </c>
      <c r="F210" s="637" t="s">
        <v>877</v>
      </c>
      <c r="G210" s="1300"/>
      <c r="H210" s="188"/>
      <c r="I210" s="892">
        <v>1</v>
      </c>
      <c r="J210" s="1842"/>
      <c r="K210" s="1476"/>
      <c r="L210" s="1833"/>
      <c r="M210" s="1476"/>
      <c r="N210" s="858"/>
      <c r="O210" s="887">
        <f>IF(Welcome!D6="New",IFERROR(IF($E$194="Yes",G210/$H$4,0),0),IF(Incentives!E210&lt;Welcome!D12,0,IFERROR(IF($E$194="Yes",G210/$H$4,0),0)))</f>
        <v>0</v>
      </c>
      <c r="P210" s="244"/>
      <c r="Q210" s="179"/>
      <c r="S210" s="574"/>
    </row>
    <row r="211" spans="1:19" s="796" customFormat="1" ht="18" hidden="1" customHeight="1" x14ac:dyDescent="0.25">
      <c r="A211" s="243"/>
      <c r="B211" s="243"/>
      <c r="C211" s="417"/>
      <c r="D211" s="907"/>
      <c r="E211" s="639"/>
      <c r="F211" s="637"/>
      <c r="G211" s="533"/>
      <c r="H211" s="532"/>
      <c r="I211" s="892">
        <v>2</v>
      </c>
      <c r="J211" s="863"/>
      <c r="K211" s="1476"/>
      <c r="L211" s="864"/>
      <c r="M211" s="1476"/>
      <c r="N211" s="858"/>
      <c r="O211" s="1846"/>
      <c r="P211" s="244"/>
      <c r="Q211" s="179"/>
    </row>
    <row r="212" spans="1:19" s="853" customFormat="1" ht="18" hidden="1" customHeight="1" x14ac:dyDescent="0.25">
      <c r="A212" s="243"/>
      <c r="B212" s="243"/>
      <c r="C212" s="417"/>
      <c r="D212" s="907"/>
      <c r="E212" s="639"/>
      <c r="F212" s="637"/>
      <c r="G212" s="194" t="s">
        <v>1389</v>
      </c>
      <c r="H212" s="532"/>
      <c r="I212" s="892">
        <v>3</v>
      </c>
      <c r="J212" s="863"/>
      <c r="K212" s="1476"/>
      <c r="L212" s="864"/>
      <c r="M212" s="1476"/>
      <c r="N212" s="858"/>
      <c r="O212" s="1847"/>
      <c r="P212" s="244"/>
      <c r="Q212" s="179"/>
    </row>
    <row r="213" spans="1:19" s="853" customFormat="1" ht="18" hidden="1" customHeight="1" x14ac:dyDescent="0.25">
      <c r="A213" s="243"/>
      <c r="B213" s="243"/>
      <c r="C213" s="417"/>
      <c r="D213" s="907"/>
      <c r="E213" s="639"/>
      <c r="F213" s="637"/>
      <c r="G213" s="964">
        <f>IFERROR(IF(Welcome!$D$6="New",Incentives!G210/(Incentives!H5*Incentives!H4),Incentives!G210/(Incentives!H5*(Incentives!E210-Incentives!E209)/365)),0)</f>
        <v>0</v>
      </c>
      <c r="H213" s="532"/>
      <c r="I213" s="892">
        <v>4</v>
      </c>
      <c r="J213" s="863"/>
      <c r="K213" s="1476"/>
      <c r="L213" s="864"/>
      <c r="M213" s="1476"/>
      <c r="N213" s="858"/>
      <c r="O213" s="1847"/>
      <c r="P213" s="244"/>
      <c r="Q213" s="179"/>
    </row>
    <row r="214" spans="1:19" s="853" customFormat="1" ht="18" hidden="1" customHeight="1" x14ac:dyDescent="0.25">
      <c r="A214" s="243"/>
      <c r="B214" s="243"/>
      <c r="C214" s="417"/>
      <c r="D214" s="907"/>
      <c r="E214" s="639"/>
      <c r="F214" s="637"/>
      <c r="G214" s="533"/>
      <c r="H214" s="532"/>
      <c r="I214" s="892">
        <v>5</v>
      </c>
      <c r="J214" s="863"/>
      <c r="K214" s="1476"/>
      <c r="L214" s="864"/>
      <c r="M214" s="1476"/>
      <c r="N214" s="858"/>
      <c r="O214" s="1847"/>
      <c r="P214" s="244"/>
      <c r="Q214" s="179"/>
    </row>
    <row r="215" spans="1:19" s="176" customFormat="1" ht="21" hidden="1" customHeight="1" x14ac:dyDescent="0.25">
      <c r="A215" s="245"/>
      <c r="B215" s="245"/>
      <c r="C215" s="638"/>
      <c r="D215" s="459"/>
      <c r="E215" s="202"/>
      <c r="F215" s="638"/>
      <c r="G215" s="638"/>
      <c r="H215" s="202"/>
      <c r="I215" s="861"/>
      <c r="J215" s="202"/>
      <c r="K215" s="865">
        <f>SUM(K210:K214)</f>
        <v>0</v>
      </c>
      <c r="L215" s="202"/>
      <c r="M215" s="202"/>
      <c r="N215" s="202"/>
      <c r="O215" s="1848"/>
      <c r="P215" s="250"/>
      <c r="Q215" s="251"/>
    </row>
    <row r="216" spans="1:19" s="796" customFormat="1" ht="10.15" hidden="1" customHeight="1" x14ac:dyDescent="0.25">
      <c r="A216" s="1553"/>
      <c r="C216" s="247"/>
      <c r="D216" s="897"/>
      <c r="E216" s="177"/>
      <c r="F216" s="207"/>
      <c r="G216" s="233"/>
      <c r="H216" s="177"/>
      <c r="I216" s="234"/>
      <c r="J216" s="211"/>
      <c r="K216" s="212"/>
      <c r="L216" s="177"/>
      <c r="M216" s="212"/>
      <c r="N216" s="212"/>
      <c r="O216" s="212"/>
      <c r="P216" s="247"/>
      <c r="Q216" s="179"/>
      <c r="S216" s="574"/>
    </row>
    <row r="217" spans="1:19" s="176" customFormat="1" ht="20.25" hidden="1" customHeight="1" thickBot="1" x14ac:dyDescent="0.3">
      <c r="A217" s="248"/>
      <c r="B217" s="248"/>
      <c r="C217" s="1337"/>
      <c r="D217" s="1830" t="s">
        <v>1483</v>
      </c>
      <c r="E217" s="1830"/>
      <c r="F217" s="866"/>
      <c r="G217" s="184"/>
      <c r="H217" s="184"/>
      <c r="I217" s="184"/>
      <c r="J217" s="184"/>
      <c r="K217" s="184"/>
      <c r="L217" s="184"/>
      <c r="M217" s="184"/>
      <c r="N217" s="184"/>
      <c r="O217" s="184"/>
      <c r="P217" s="589"/>
      <c r="Q217" s="251"/>
    </row>
    <row r="218" spans="1:19" s="176" customFormat="1" ht="17.25" hidden="1" customHeight="1" thickBot="1" x14ac:dyDescent="0.3">
      <c r="A218" s="243"/>
      <c r="B218" s="243"/>
      <c r="C218" s="443"/>
      <c r="D218" s="895" t="s">
        <v>523</v>
      </c>
      <c r="E218" s="821" t="s">
        <v>648</v>
      </c>
      <c r="F218" s="239"/>
      <c r="G218" s="817"/>
      <c r="H218" s="145"/>
      <c r="I218" s="194" t="s">
        <v>1381</v>
      </c>
      <c r="J218" s="41"/>
      <c r="K218" s="194" t="s">
        <v>1397</v>
      </c>
      <c r="L218" s="145"/>
      <c r="M218" s="145"/>
      <c r="N218" s="145"/>
      <c r="O218" s="145"/>
      <c r="P218" s="590"/>
      <c r="Q218" s="251"/>
    </row>
    <row r="219" spans="1:19" s="176" customFormat="1" ht="36" hidden="1" customHeight="1" thickBot="1" x14ac:dyDescent="0.3">
      <c r="A219" s="243"/>
      <c r="B219" s="243"/>
      <c r="C219" s="443"/>
      <c r="D219" s="803" t="s">
        <v>1383</v>
      </c>
      <c r="E219" s="1470" t="s">
        <v>1384</v>
      </c>
      <c r="F219" s="196"/>
      <c r="G219" s="817"/>
      <c r="H219" s="145"/>
      <c r="I219" s="1474"/>
      <c r="J219" s="858"/>
      <c r="K219" s="1475"/>
      <c r="L219" s="145"/>
      <c r="M219" s="951"/>
      <c r="N219" s="145"/>
      <c r="O219" s="145"/>
      <c r="P219" s="590"/>
      <c r="Q219" s="251"/>
    </row>
    <row r="220" spans="1:19" s="176" customFormat="1" ht="15" hidden="1" customHeight="1" thickBot="1" x14ac:dyDescent="0.3">
      <c r="A220" s="243"/>
      <c r="B220" s="243"/>
      <c r="C220" s="443"/>
      <c r="D220" s="7"/>
      <c r="E220" s="575"/>
      <c r="F220" s="817"/>
      <c r="G220" s="817"/>
      <c r="H220" s="145"/>
      <c r="I220" s="188"/>
      <c r="J220" s="188"/>
      <c r="K220" s="188"/>
      <c r="L220" s="145"/>
      <c r="M220" s="1843"/>
      <c r="N220" s="145"/>
      <c r="O220" s="145"/>
      <c r="P220" s="590"/>
      <c r="Q220" s="251"/>
      <c r="S220" s="571" t="str">
        <f>IF($D$476=0,"",IF($E220="NO","",IF($I219="Select Payment Method","X","")))</f>
        <v/>
      </c>
    </row>
    <row r="221" spans="1:19" s="176" customFormat="1" ht="16.5" hidden="1" thickBot="1" x14ac:dyDescent="0.3">
      <c r="A221" s="243"/>
      <c r="B221" s="243"/>
      <c r="C221" s="443"/>
      <c r="D221" s="810" t="s">
        <v>1385</v>
      </c>
      <c r="E221" s="1409" t="str">
        <f>IF(E218="Yes",IF(Welcome!$D$6="New",IF('Required Info to Submit'!F$14="","",'Required Info to Submit'!F$14),""),"")</f>
        <v/>
      </c>
      <c r="F221" s="239"/>
      <c r="G221" s="858"/>
      <c r="H221" s="145"/>
      <c r="I221" s="858"/>
      <c r="J221" s="858"/>
      <c r="K221" s="194" t="s">
        <v>1389</v>
      </c>
      <c r="L221" s="188"/>
      <c r="M221" s="1843"/>
      <c r="N221" s="145"/>
      <c r="O221" s="1038"/>
      <c r="P221" s="590"/>
      <c r="Q221" s="251"/>
    </row>
    <row r="222" spans="1:19" s="176" customFormat="1" ht="18" hidden="1" customHeight="1" thickBot="1" x14ac:dyDescent="0.3">
      <c r="A222" s="243"/>
      <c r="B222" s="243"/>
      <c r="C222" s="443"/>
      <c r="D222" s="810" t="s">
        <v>1386</v>
      </c>
      <c r="E222" s="1409" t="str">
        <f>IF(E218="Yes",IF(Welcome!$D$6="New",IF('Required Info to Submit'!F$17="","",'Required Info to Submit'!F$17),""),"")</f>
        <v/>
      </c>
      <c r="F222" s="196"/>
      <c r="G222" s="858"/>
      <c r="H222" s="145"/>
      <c r="I222" s="858"/>
      <c r="J222" s="858"/>
      <c r="K222" s="1478"/>
      <c r="L222" s="867">
        <f>IF(G201&gt;1,1,G201)</f>
        <v>0</v>
      </c>
      <c r="M222" s="1843"/>
      <c r="N222" s="145"/>
      <c r="O222" s="665"/>
      <c r="P222" s="590"/>
      <c r="Q222" s="251"/>
    </row>
    <row r="223" spans="1:19" s="176" customFormat="1" ht="50.25" hidden="1" customHeight="1" x14ac:dyDescent="0.25">
      <c r="A223" s="245"/>
      <c r="B223" s="245"/>
      <c r="C223" s="638"/>
      <c r="D223" s="459"/>
      <c r="E223" s="202"/>
      <c r="F223" s="202"/>
      <c r="G223" s="645"/>
      <c r="H223" s="202"/>
      <c r="I223" s="202"/>
      <c r="J223" s="202"/>
      <c r="K223" s="1045" t="str">
        <f>IF(AND(K222&lt;=G201,K222&gt;0.01),"Recommended New Customer Location Incentive is 1%",IF(AND(K222&gt;0.01,K222&gt;G201),"Rate cannot be greater than the Prepaid Rate % of Sales",""))</f>
        <v/>
      </c>
      <c r="L223" s="202"/>
      <c r="M223" s="1844"/>
      <c r="N223" s="202"/>
      <c r="O223" s="202"/>
      <c r="P223" s="250"/>
      <c r="Q223" s="251"/>
    </row>
    <row r="224" spans="1:19" s="180" customFormat="1" ht="19.5" hidden="1" customHeight="1" x14ac:dyDescent="0.25">
      <c r="C224" s="1339"/>
      <c r="Q224" s="1092"/>
    </row>
    <row r="225" spans="1:17" s="180" customFormat="1" ht="19.5" hidden="1" customHeight="1" thickBot="1" x14ac:dyDescent="0.3">
      <c r="A225" s="248"/>
      <c r="B225" s="248"/>
      <c r="C225" s="1337"/>
      <c r="D225" s="1830" t="s">
        <v>1775</v>
      </c>
      <c r="E225" s="1831"/>
      <c r="F225" s="866"/>
      <c r="G225" s="184"/>
      <c r="H225" s="184"/>
      <c r="I225" s="184"/>
      <c r="J225" s="184"/>
      <c r="K225" s="184"/>
      <c r="L225" s="184"/>
      <c r="M225" s="184"/>
      <c r="N225" s="184"/>
      <c r="O225" s="184"/>
      <c r="P225" s="589"/>
      <c r="Q225" s="1092"/>
    </row>
    <row r="226" spans="1:17" s="180" customFormat="1" ht="19.5" hidden="1" customHeight="1" thickBot="1" x14ac:dyDescent="0.3">
      <c r="A226" s="243"/>
      <c r="B226" s="243"/>
      <c r="C226" s="443" t="str">
        <f ca="1">IF(OR(C230="Yes",C241="Yes",C251="Yes",C263="Yes",C285="Yes",C296="Yes",C307="Yes",C318="Yes",C274="Yes"),"Yes","")</f>
        <v/>
      </c>
      <c r="D226" s="895" t="s">
        <v>523</v>
      </c>
      <c r="E226" s="821" t="s">
        <v>648</v>
      </c>
      <c r="F226" s="239"/>
      <c r="G226" s="194" t="s">
        <v>1380</v>
      </c>
      <c r="H226" s="188"/>
      <c r="I226" s="194" t="s">
        <v>1381</v>
      </c>
      <c r="J226" s="41"/>
      <c r="K226" s="194" t="s">
        <v>1397</v>
      </c>
      <c r="L226" s="188"/>
      <c r="M226" s="194" t="s">
        <v>1382</v>
      </c>
      <c r="N226" s="858"/>
      <c r="O226" s="858"/>
      <c r="P226" s="590"/>
      <c r="Q226" s="1092"/>
    </row>
    <row r="227" spans="1:17" s="180" customFormat="1" ht="29.25" hidden="1" customHeight="1" thickBot="1" x14ac:dyDescent="0.3">
      <c r="A227" s="243"/>
      <c r="B227" s="243"/>
      <c r="C227" s="443"/>
      <c r="D227" s="803" t="s">
        <v>1383</v>
      </c>
      <c r="E227" s="1318" t="s">
        <v>1384</v>
      </c>
      <c r="F227" s="196"/>
      <c r="G227" s="1319" t="str">
        <f>IF(E226="Yes","Program","")</f>
        <v/>
      </c>
      <c r="H227" s="188"/>
      <c r="I227" s="1320"/>
      <c r="J227" s="858"/>
      <c r="K227" s="1319" t="str">
        <f>IF(E226="Yes","Corporate Office","")</f>
        <v/>
      </c>
      <c r="L227" s="188"/>
      <c r="M227" s="1321"/>
      <c r="N227" s="858"/>
      <c r="O227" s="858"/>
      <c r="P227" s="590"/>
      <c r="Q227" s="1092"/>
    </row>
    <row r="228" spans="1:17" s="180" customFormat="1" ht="19.5" hidden="1" customHeight="1" thickBot="1" x14ac:dyDescent="0.3">
      <c r="A228" s="243"/>
      <c r="B228" s="243"/>
      <c r="C228" s="443"/>
      <c r="D228" s="7"/>
      <c r="E228" s="575"/>
      <c r="F228" s="817"/>
      <c r="G228" s="817"/>
      <c r="H228" s="858"/>
      <c r="I228" s="188"/>
      <c r="J228" s="188"/>
      <c r="K228" s="188"/>
      <c r="L228" s="858"/>
      <c r="M228" s="858"/>
      <c r="N228" s="858"/>
      <c r="O228" s="858"/>
      <c r="P228" s="590"/>
      <c r="Q228" s="1092"/>
    </row>
    <row r="229" spans="1:17" s="180" customFormat="1" ht="19.5" hidden="1" customHeight="1" thickBot="1" x14ac:dyDescent="0.3">
      <c r="A229" s="243"/>
      <c r="B229" s="243"/>
      <c r="C229" s="443"/>
      <c r="D229" s="810" t="s">
        <v>1385</v>
      </c>
      <c r="E229" s="1410" t="str">
        <f>IF(E226="Yes",IFERROR(VLOOKUP(G233,'Required Info to Submit'!$E$23:'Required Info to Submit'!$M$42,7, FALSE),""),"")</f>
        <v/>
      </c>
      <c r="F229" s="239"/>
      <c r="G229" s="228" t="s">
        <v>1396</v>
      </c>
      <c r="H229" s="188"/>
      <c r="I229" s="1322"/>
      <c r="J229" s="1322"/>
      <c r="K229" s="194" t="s">
        <v>1389</v>
      </c>
      <c r="L229" s="1322"/>
      <c r="M229" s="1829" t="str">
        <f>IF(C231="Yes","Retro Accrual will be posted to the GL.  Please provide business rational and ADF pre-approval is required","")</f>
        <v/>
      </c>
      <c r="N229" s="188"/>
      <c r="O229" s="6" t="s">
        <v>490</v>
      </c>
      <c r="P229" s="590"/>
      <c r="Q229" s="1092"/>
    </row>
    <row r="230" spans="1:17" s="180" customFormat="1" ht="19.5" hidden="1" customHeight="1" thickBot="1" x14ac:dyDescent="0.3">
      <c r="A230" s="243"/>
      <c r="B230" s="243"/>
      <c r="C230" s="443" t="str">
        <f ca="1">IF(C229="Yes",IF('Agreement Worksheet'!$K$5&gt;TODAY(),"Yes",""),"")</f>
        <v/>
      </c>
      <c r="D230" s="810" t="s">
        <v>1386</v>
      </c>
      <c r="E230" s="1410" t="str">
        <f>IF(E226="Yes",'Agreement Worksheet'!$K$5,"")</f>
        <v/>
      </c>
      <c r="F230" s="196"/>
      <c r="G230" s="1300" t="str">
        <f>IF(E226="Yes",IFERROR(K233*K230,""),"")</f>
        <v/>
      </c>
      <c r="H230" s="188"/>
      <c r="I230" s="1323"/>
      <c r="J230" s="1323"/>
      <c r="K230" s="1301" t="str">
        <f>IF(E226="Yes",IFERROR($K$222,""),"")</f>
        <v/>
      </c>
      <c r="L230" s="1322"/>
      <c r="M230" s="1829"/>
      <c r="N230" s="188"/>
      <c r="O230" s="887">
        <f>IF(Incentives!E230&lt;Welcome!D12,0,IF(E226="Yes",IFERROR(ROUND((G230/E233),0)*52,0),0))</f>
        <v>0</v>
      </c>
      <c r="P230" s="590"/>
      <c r="Q230" s="1092"/>
    </row>
    <row r="231" spans="1:17" s="180" customFormat="1" ht="19.5" hidden="1" customHeight="1" thickBot="1" x14ac:dyDescent="0.3">
      <c r="A231" s="243"/>
      <c r="B231" s="243"/>
      <c r="C231" s="443" t="str">
        <f>IF(AND($E229&lt;&gt;"",$E229&lt;E232),"Yes","")</f>
        <v/>
      </c>
      <c r="D231" s="858"/>
      <c r="E231" s="858"/>
      <c r="F231" s="196"/>
      <c r="G231" s="1322"/>
      <c r="H231" s="1322"/>
      <c r="I231" s="1322"/>
      <c r="J231" s="1322"/>
      <c r="K231" s="1322"/>
      <c r="L231" s="1322"/>
      <c r="M231" s="1829"/>
      <c r="N231" s="1322"/>
      <c r="O231" s="1322"/>
      <c r="P231" s="590"/>
      <c r="Q231" s="1092"/>
    </row>
    <row r="232" spans="1:17" s="180" customFormat="1" ht="27" hidden="1" customHeight="1" thickBot="1" x14ac:dyDescent="0.3">
      <c r="A232" s="243"/>
      <c r="B232" s="243"/>
      <c r="C232" s="1551"/>
      <c r="D232" s="1324" t="s">
        <v>2004</v>
      </c>
      <c r="E232" s="1411" t="str">
        <f>IF(E226="Yes",IF(Welcome!D8&lt;&gt;"",Welcome!D8,""),"")</f>
        <v/>
      </c>
      <c r="F232" s="196"/>
      <c r="G232" s="228" t="s">
        <v>2005</v>
      </c>
      <c r="H232" s="1322"/>
      <c r="I232" s="228" t="s">
        <v>2006</v>
      </c>
      <c r="J232" s="1322"/>
      <c r="K232" s="228" t="s">
        <v>1482</v>
      </c>
      <c r="L232" s="1322"/>
      <c r="M232" s="1829"/>
      <c r="N232" s="1322"/>
      <c r="O232" s="1322"/>
      <c r="P232" s="590"/>
      <c r="Q232" s="1092"/>
    </row>
    <row r="233" spans="1:17" s="180" customFormat="1" ht="19.5" hidden="1" customHeight="1" thickBot="1" x14ac:dyDescent="0.3">
      <c r="A233" s="243"/>
      <c r="B233" s="243"/>
      <c r="C233" s="443"/>
      <c r="D233" s="1324" t="s">
        <v>2007</v>
      </c>
      <c r="E233" s="1355" t="str">
        <f>IFERROR(('Agreement Worksheet'!$K$5-E229)/7,"")</f>
        <v/>
      </c>
      <c r="F233" s="196"/>
      <c r="G233" s="1325"/>
      <c r="H233" s="1322"/>
      <c r="I233" s="1300" t="str">
        <f>IF(E226="Yes",IFERROR(VLOOKUP(G233,'Customer Inputs'!$G$6:'Customer Inputs'!$P$25,10,FALSE),""),"")</f>
        <v/>
      </c>
      <c r="J233" s="1322"/>
      <c r="K233" s="1300" t="str">
        <f>IFERROR((I233/52)*E233,"")</f>
        <v/>
      </c>
      <c r="L233" s="1322"/>
      <c r="M233" s="1322"/>
      <c r="N233" s="1322"/>
      <c r="O233" s="1322"/>
      <c r="P233" s="590"/>
      <c r="Q233" s="1092"/>
    </row>
    <row r="234" spans="1:17" s="180" customFormat="1" ht="19.5" hidden="1" customHeight="1" x14ac:dyDescent="0.25">
      <c r="A234" s="245"/>
      <c r="B234" s="245"/>
      <c r="C234" s="638"/>
      <c r="D234" s="459"/>
      <c r="E234" s="202"/>
      <c r="F234" s="202"/>
      <c r="G234" s="645"/>
      <c r="H234" s="202"/>
      <c r="I234" s="202"/>
      <c r="J234" s="202"/>
      <c r="K234" s="1045"/>
      <c r="L234" s="202"/>
      <c r="M234" s="202"/>
      <c r="N234" s="202"/>
      <c r="O234" s="202"/>
      <c r="P234" s="250"/>
      <c r="Q234" s="1092"/>
    </row>
    <row r="235" spans="1:17" s="180" customFormat="1" ht="9.75" hidden="1" customHeight="1" x14ac:dyDescent="0.25">
      <c r="C235" s="1339"/>
      <c r="Q235" s="1092"/>
    </row>
    <row r="236" spans="1:17" s="180" customFormat="1" ht="19.5" hidden="1" customHeight="1" thickBot="1" x14ac:dyDescent="0.3">
      <c r="A236" s="248"/>
      <c r="B236" s="248"/>
      <c r="C236" s="1337"/>
      <c r="D236" s="1830" t="s">
        <v>1775</v>
      </c>
      <c r="E236" s="1831"/>
      <c r="F236" s="866"/>
      <c r="G236" s="184"/>
      <c r="H236" s="184"/>
      <c r="I236" s="184"/>
      <c r="J236" s="184"/>
      <c r="K236" s="184"/>
      <c r="L236" s="184"/>
      <c r="M236" s="184"/>
      <c r="N236" s="184"/>
      <c r="O236" s="184"/>
      <c r="P236" s="589"/>
      <c r="Q236" s="1092"/>
    </row>
    <row r="237" spans="1:17" s="180" customFormat="1" ht="19.5" hidden="1" customHeight="1" thickBot="1" x14ac:dyDescent="0.3">
      <c r="A237" s="243"/>
      <c r="B237" s="243"/>
      <c r="C237" s="443"/>
      <c r="D237" s="895" t="s">
        <v>523</v>
      </c>
      <c r="E237" s="821" t="s">
        <v>648</v>
      </c>
      <c r="F237" s="239"/>
      <c r="G237" s="194" t="s">
        <v>1380</v>
      </c>
      <c r="H237" s="188"/>
      <c r="I237" s="194" t="s">
        <v>1381</v>
      </c>
      <c r="J237" s="41"/>
      <c r="K237" s="194" t="s">
        <v>1397</v>
      </c>
      <c r="L237" s="188"/>
      <c r="M237" s="194" t="s">
        <v>1382</v>
      </c>
      <c r="N237" s="858"/>
      <c r="O237" s="858"/>
      <c r="P237" s="590"/>
      <c r="Q237" s="1092"/>
    </row>
    <row r="238" spans="1:17" s="180" customFormat="1" ht="31.5" hidden="1" customHeight="1" thickBot="1" x14ac:dyDescent="0.3">
      <c r="A238" s="243"/>
      <c r="B238" s="243"/>
      <c r="C238" s="443"/>
      <c r="D238" s="803" t="s">
        <v>1383</v>
      </c>
      <c r="E238" s="1318" t="s">
        <v>1384</v>
      </c>
      <c r="F238" s="196"/>
      <c r="G238" s="1319" t="str">
        <f>IF(E237="Yes","Program","")</f>
        <v/>
      </c>
      <c r="H238" s="188"/>
      <c r="I238" s="1320"/>
      <c r="J238" s="858"/>
      <c r="K238" s="1319" t="str">
        <f>IF(E237="Yes","Corporate Office","")</f>
        <v/>
      </c>
      <c r="L238" s="188"/>
      <c r="M238" s="1321"/>
      <c r="N238" s="858"/>
      <c r="O238" s="858"/>
      <c r="P238" s="590"/>
      <c r="Q238" s="1092"/>
    </row>
    <row r="239" spans="1:17" s="180" customFormat="1" ht="19.5" hidden="1" customHeight="1" thickBot="1" x14ac:dyDescent="0.3">
      <c r="A239" s="243"/>
      <c r="B239" s="243"/>
      <c r="C239" s="443"/>
      <c r="D239" s="7"/>
      <c r="E239" s="575"/>
      <c r="F239" s="817"/>
      <c r="G239" s="817"/>
      <c r="H239" s="858"/>
      <c r="I239" s="188"/>
      <c r="J239" s="188"/>
      <c r="K239" s="188"/>
      <c r="L239" s="858"/>
      <c r="M239" s="858"/>
      <c r="N239" s="858"/>
      <c r="O239" s="858"/>
      <c r="P239" s="590"/>
      <c r="Q239" s="1092"/>
    </row>
    <row r="240" spans="1:17" s="180" customFormat="1" ht="19.5" hidden="1" customHeight="1" thickBot="1" x14ac:dyDescent="0.3">
      <c r="A240" s="243"/>
      <c r="B240" s="243"/>
      <c r="C240" s="443"/>
      <c r="D240" s="810" t="s">
        <v>1385</v>
      </c>
      <c r="E240" s="1410" t="str">
        <f>IF(E237="Yes",IFERROR(VLOOKUP(G244,'Required Info to Submit'!$E$23:'Required Info to Submit'!$M$42,7, FALSE),""),"")</f>
        <v/>
      </c>
      <c r="F240" s="239"/>
      <c r="G240" s="228" t="s">
        <v>1396</v>
      </c>
      <c r="H240" s="188"/>
      <c r="I240" s="1322"/>
      <c r="J240" s="1322"/>
      <c r="K240" s="194" t="s">
        <v>1389</v>
      </c>
      <c r="L240" s="1322"/>
      <c r="M240" s="1829" t="str">
        <f>IF(C242="Yes","Retro Accrual will be posted to the GL.  Please provide business rational and ADF pre-approval is required","")</f>
        <v/>
      </c>
      <c r="N240" s="188"/>
      <c r="O240" s="6" t="s">
        <v>490</v>
      </c>
      <c r="P240" s="590"/>
      <c r="Q240" s="1092"/>
    </row>
    <row r="241" spans="1:17" s="180" customFormat="1" ht="19.5" hidden="1" customHeight="1" thickBot="1" x14ac:dyDescent="0.3">
      <c r="A241" s="243"/>
      <c r="B241" s="243"/>
      <c r="C241" s="443" t="str">
        <f ca="1">IF(C240="Yes",IF('Agreement Worksheet'!$K$5&gt;TODAY(),"Yes",""),"")</f>
        <v/>
      </c>
      <c r="D241" s="810" t="s">
        <v>1386</v>
      </c>
      <c r="E241" s="1410" t="str">
        <f>IF(E237="Yes",'Agreement Worksheet'!$K$5,"")</f>
        <v/>
      </c>
      <c r="F241" s="196"/>
      <c r="G241" s="1300" t="str">
        <f>IF(E237="Yes",IFERROR(K244*K241,""),"")</f>
        <v/>
      </c>
      <c r="H241" s="188"/>
      <c r="I241" s="1323"/>
      <c r="J241" s="1323"/>
      <c r="K241" s="1478" t="str">
        <f>IF(E237="Yes",IFERROR($K$222,""),"")</f>
        <v/>
      </c>
      <c r="L241" s="1322"/>
      <c r="M241" s="1829"/>
      <c r="N241" s="188"/>
      <c r="O241" s="887">
        <f>IF(Incentives!E241&lt;Welcome!D12,0,IF(E237="Yes",IFERROR(ROUND((G241/E244),0)*52,0),0))</f>
        <v>0</v>
      </c>
      <c r="P241" s="590"/>
      <c r="Q241" s="1092"/>
    </row>
    <row r="242" spans="1:17" s="180" customFormat="1" ht="19.5" hidden="1" customHeight="1" thickBot="1" x14ac:dyDescent="0.3">
      <c r="A242" s="243"/>
      <c r="B242" s="243"/>
      <c r="C242" s="443" t="str">
        <f>IF(AND($E240&lt;&gt;"",$E240&lt;E243),"Yes","")</f>
        <v/>
      </c>
      <c r="D242" s="858"/>
      <c r="E242" s="858"/>
      <c r="F242" s="196"/>
      <c r="G242" s="1322"/>
      <c r="H242" s="1322"/>
      <c r="I242" s="1322"/>
      <c r="J242" s="1322"/>
      <c r="K242" s="1322"/>
      <c r="L242" s="1322"/>
      <c r="M242" s="1829"/>
      <c r="N242" s="1322"/>
      <c r="O242" s="1322"/>
      <c r="P242" s="590"/>
      <c r="Q242" s="1092"/>
    </row>
    <row r="243" spans="1:17" s="180" customFormat="1" ht="27.75" hidden="1" customHeight="1" thickBot="1" x14ac:dyDescent="0.3">
      <c r="A243" s="243"/>
      <c r="B243" s="243"/>
      <c r="C243" s="443"/>
      <c r="D243" s="1324" t="s">
        <v>2004</v>
      </c>
      <c r="E243" s="1411" t="str">
        <f>IF(E237="Yes",IF(Welcome!D8&lt;&gt;"",Welcome!D8,""),"")</f>
        <v/>
      </c>
      <c r="F243" s="196"/>
      <c r="G243" s="228" t="s">
        <v>2005</v>
      </c>
      <c r="H243" s="1322"/>
      <c r="I243" s="228" t="s">
        <v>2006</v>
      </c>
      <c r="J243" s="1322"/>
      <c r="K243" s="228" t="s">
        <v>1482</v>
      </c>
      <c r="L243" s="1322"/>
      <c r="M243" s="1829"/>
      <c r="N243" s="1322"/>
      <c r="O243" s="1322"/>
      <c r="P243" s="590"/>
      <c r="Q243" s="1092"/>
    </row>
    <row r="244" spans="1:17" s="180" customFormat="1" ht="19.5" hidden="1" customHeight="1" thickBot="1" x14ac:dyDescent="0.3">
      <c r="A244" s="243"/>
      <c r="B244" s="243"/>
      <c r="C244" s="443"/>
      <c r="D244" s="1324" t="s">
        <v>2007</v>
      </c>
      <c r="E244" s="1355" t="str">
        <f>IFERROR(('Agreement Worksheet'!$K$5-E240)/7,"")</f>
        <v/>
      </c>
      <c r="F244" s="196"/>
      <c r="G244" s="1325"/>
      <c r="H244" s="1322"/>
      <c r="I244" s="1476" t="str">
        <f>IF(E237="Yes",IFERROR(VLOOKUP(G244,'Customer Inputs'!$G$6:'Customer Inputs'!$P$25,10,FALSE),""),"")</f>
        <v/>
      </c>
      <c r="J244" s="1322"/>
      <c r="K244" s="1300" t="str">
        <f>IFERROR((I244/52)*E244,"")</f>
        <v/>
      </c>
      <c r="L244" s="1322"/>
      <c r="M244" s="1322"/>
      <c r="N244" s="1322"/>
      <c r="O244" s="1322"/>
      <c r="P244" s="590"/>
      <c r="Q244" s="1092"/>
    </row>
    <row r="245" spans="1:17" s="180" customFormat="1" ht="19.5" hidden="1" customHeight="1" x14ac:dyDescent="0.25">
      <c r="A245" s="245"/>
      <c r="B245" s="245"/>
      <c r="C245" s="638"/>
      <c r="D245" s="459"/>
      <c r="E245" s="202"/>
      <c r="F245" s="202"/>
      <c r="G245" s="645"/>
      <c r="H245" s="202"/>
      <c r="I245" s="202"/>
      <c r="J245" s="202"/>
      <c r="K245" s="1045"/>
      <c r="L245" s="202"/>
      <c r="M245" s="202"/>
      <c r="N245" s="202"/>
      <c r="O245" s="202"/>
      <c r="P245" s="250"/>
      <c r="Q245" s="1092"/>
    </row>
    <row r="246" spans="1:17" s="180" customFormat="1" ht="9" hidden="1" customHeight="1" x14ac:dyDescent="0.25">
      <c r="C246" s="1339"/>
      <c r="Q246" s="1092"/>
    </row>
    <row r="247" spans="1:17" s="180" customFormat="1" ht="19.5" hidden="1" customHeight="1" thickBot="1" x14ac:dyDescent="0.3">
      <c r="A247" s="248"/>
      <c r="B247" s="248"/>
      <c r="C247" s="1337"/>
      <c r="D247" s="1830" t="s">
        <v>1775</v>
      </c>
      <c r="E247" s="1831"/>
      <c r="F247" s="866"/>
      <c r="G247" s="184"/>
      <c r="H247" s="184"/>
      <c r="I247" s="184"/>
      <c r="J247" s="184"/>
      <c r="K247" s="184"/>
      <c r="L247" s="184"/>
      <c r="M247" s="184"/>
      <c r="N247" s="184"/>
      <c r="O247" s="184"/>
      <c r="P247" s="589"/>
      <c r="Q247" s="1092"/>
    </row>
    <row r="248" spans="1:17" s="180" customFormat="1" ht="19.5" hidden="1" customHeight="1" thickBot="1" x14ac:dyDescent="0.3">
      <c r="A248" s="243"/>
      <c r="B248" s="243"/>
      <c r="C248" s="443"/>
      <c r="D248" s="895" t="s">
        <v>523</v>
      </c>
      <c r="E248" s="821" t="s">
        <v>648</v>
      </c>
      <c r="F248" s="239"/>
      <c r="G248" s="194" t="s">
        <v>1380</v>
      </c>
      <c r="H248" s="188"/>
      <c r="I248" s="194" t="s">
        <v>1381</v>
      </c>
      <c r="J248" s="41"/>
      <c r="K248" s="194" t="s">
        <v>1397</v>
      </c>
      <c r="L248" s="188"/>
      <c r="M248" s="194" t="s">
        <v>1382</v>
      </c>
      <c r="N248" s="858"/>
      <c r="O248" s="858"/>
      <c r="P248" s="590"/>
      <c r="Q248" s="1092"/>
    </row>
    <row r="249" spans="1:17" s="180" customFormat="1" ht="35.25" hidden="1" customHeight="1" thickBot="1" x14ac:dyDescent="0.3">
      <c r="A249" s="243"/>
      <c r="B249" s="243"/>
      <c r="C249" s="443"/>
      <c r="D249" s="803" t="s">
        <v>1383</v>
      </c>
      <c r="E249" s="1318" t="s">
        <v>1384</v>
      </c>
      <c r="F249" s="196"/>
      <c r="G249" s="1319" t="str">
        <f>IF(E248="Yes","Program","")</f>
        <v/>
      </c>
      <c r="H249" s="188"/>
      <c r="I249" s="1320"/>
      <c r="J249" s="858"/>
      <c r="K249" s="1319" t="str">
        <f>IF(E248="Yes","Corporate Office","")</f>
        <v/>
      </c>
      <c r="L249" s="188"/>
      <c r="M249" s="1321"/>
      <c r="N249" s="858"/>
      <c r="O249" s="858"/>
      <c r="P249" s="590"/>
      <c r="Q249" s="1092"/>
    </row>
    <row r="250" spans="1:17" s="180" customFormat="1" ht="19.5" hidden="1" customHeight="1" thickBot="1" x14ac:dyDescent="0.3">
      <c r="A250" s="243"/>
      <c r="B250" s="243"/>
      <c r="C250" s="443"/>
      <c r="D250" s="7"/>
      <c r="E250" s="575"/>
      <c r="F250" s="817"/>
      <c r="G250" s="817"/>
      <c r="H250" s="858"/>
      <c r="I250" s="188"/>
      <c r="J250" s="188"/>
      <c r="K250" s="188"/>
      <c r="L250" s="858"/>
      <c r="M250" s="858"/>
      <c r="N250" s="858"/>
      <c r="O250" s="858"/>
      <c r="P250" s="590"/>
      <c r="Q250" s="1092"/>
    </row>
    <row r="251" spans="1:17" s="180" customFormat="1" ht="19.5" hidden="1" customHeight="1" thickBot="1" x14ac:dyDescent="0.3">
      <c r="A251" s="243"/>
      <c r="B251" s="243"/>
      <c r="C251" s="443"/>
      <c r="D251" s="810" t="s">
        <v>1385</v>
      </c>
      <c r="E251" s="1410" t="str">
        <f>IF(E248="Yes",IFERROR(VLOOKUP(G255,'Required Info to Submit'!$E$23:'Required Info to Submit'!$M$42,7, FALSE),""),"")</f>
        <v/>
      </c>
      <c r="F251" s="239"/>
      <c r="G251" s="228" t="s">
        <v>1396</v>
      </c>
      <c r="H251" s="188"/>
      <c r="I251" s="1322"/>
      <c r="J251" s="1322"/>
      <c r="K251" s="194" t="s">
        <v>1389</v>
      </c>
      <c r="L251" s="1322"/>
      <c r="M251" s="1829" t="str">
        <f>IF(C253="Yes","Retro Accrual will be posted to the GL.  Please provide business rational and ADF pre-approval is required","")</f>
        <v/>
      </c>
      <c r="N251" s="188"/>
      <c r="O251" s="6" t="s">
        <v>490</v>
      </c>
      <c r="P251" s="590"/>
      <c r="Q251" s="1092"/>
    </row>
    <row r="252" spans="1:17" s="180" customFormat="1" ht="19.5" hidden="1" customHeight="1" thickBot="1" x14ac:dyDescent="0.3">
      <c r="A252" s="243"/>
      <c r="B252" s="243"/>
      <c r="C252" s="443" t="str">
        <f ca="1">IF(C251="Yes",IF('Agreement Worksheet'!$K$5&gt;TODAY(),"Yes",""),"")</f>
        <v/>
      </c>
      <c r="D252" s="810" t="s">
        <v>1386</v>
      </c>
      <c r="E252" s="1410" t="str">
        <f>IF(E248="Yes",'Agreement Worksheet'!$K$5,"")</f>
        <v/>
      </c>
      <c r="F252" s="196"/>
      <c r="G252" s="1300" t="str">
        <f>IF(E248="Yes",IFERROR(K255*K252,""),"")</f>
        <v/>
      </c>
      <c r="H252" s="188"/>
      <c r="I252" s="1323"/>
      <c r="J252" s="1323"/>
      <c r="K252" s="1478" t="str">
        <f>IF(E248="Yes",IFERROR($K$222,""),"")</f>
        <v/>
      </c>
      <c r="L252" s="1322"/>
      <c r="M252" s="1829"/>
      <c r="N252" s="188"/>
      <c r="O252" s="887">
        <f>IF(Incentives!E252&lt;Welcome!D12,0,IF(E248="Yes",IFERROR(ROUND((G252/E255),0)*52,0),0))</f>
        <v>0</v>
      </c>
      <c r="P252" s="590"/>
      <c r="Q252" s="1092"/>
    </row>
    <row r="253" spans="1:17" s="180" customFormat="1" ht="19.5" hidden="1" customHeight="1" thickBot="1" x14ac:dyDescent="0.3">
      <c r="A253" s="243"/>
      <c r="B253" s="243"/>
      <c r="C253" s="443" t="str">
        <f>IF(AND($E251&lt;&gt;"",$E251&lt;E254),"Yes","")</f>
        <v/>
      </c>
      <c r="D253" s="858"/>
      <c r="E253" s="858"/>
      <c r="F253" s="196"/>
      <c r="G253" s="1322"/>
      <c r="H253" s="1322"/>
      <c r="I253" s="1322"/>
      <c r="J253" s="1322"/>
      <c r="K253" s="1322"/>
      <c r="L253" s="1322"/>
      <c r="M253" s="1829"/>
      <c r="N253" s="1322"/>
      <c r="O253" s="1322"/>
      <c r="P253" s="590"/>
      <c r="Q253" s="1092"/>
    </row>
    <row r="254" spans="1:17" s="180" customFormat="1" ht="31.5" hidden="1" customHeight="1" thickBot="1" x14ac:dyDescent="0.3">
      <c r="A254" s="243"/>
      <c r="B254" s="243"/>
      <c r="C254" s="443"/>
      <c r="D254" s="1324" t="s">
        <v>2004</v>
      </c>
      <c r="E254" s="1411" t="str">
        <f>IF(E248="Yes",IF(Welcome!D8&lt;&gt;"",Welcome!D8,""),"")</f>
        <v/>
      </c>
      <c r="F254" s="196"/>
      <c r="G254" s="228" t="s">
        <v>2005</v>
      </c>
      <c r="H254" s="1322"/>
      <c r="I254" s="228" t="s">
        <v>2006</v>
      </c>
      <c r="J254" s="1322"/>
      <c r="K254" s="228" t="s">
        <v>1482</v>
      </c>
      <c r="L254" s="1322"/>
      <c r="M254" s="1829"/>
      <c r="N254" s="1322"/>
      <c r="O254" s="1322"/>
      <c r="P254" s="590"/>
      <c r="Q254" s="1092"/>
    </row>
    <row r="255" spans="1:17" s="180" customFormat="1" ht="19.5" hidden="1" customHeight="1" thickBot="1" x14ac:dyDescent="0.3">
      <c r="A255" s="243"/>
      <c r="B255" s="243"/>
      <c r="C255" s="443"/>
      <c r="D255" s="1324" t="s">
        <v>2007</v>
      </c>
      <c r="E255" s="1355" t="str">
        <f>IFERROR(('Agreement Worksheet'!$K$5-E251)/7,"")</f>
        <v/>
      </c>
      <c r="F255" s="196"/>
      <c r="G255" s="1325"/>
      <c r="H255" s="1322"/>
      <c r="I255" s="1476" t="str">
        <f>IF(E248="Yes",IFERROR(VLOOKUP(G255,'Customer Inputs'!$G$6:'Customer Inputs'!$P$25,10,FALSE),""),"")</f>
        <v/>
      </c>
      <c r="J255" s="1322"/>
      <c r="K255" s="1300" t="str">
        <f>IFERROR((I255/52)*E255,"")</f>
        <v/>
      </c>
      <c r="L255" s="1322"/>
      <c r="M255" s="1322"/>
      <c r="N255" s="1322"/>
      <c r="O255" s="1322"/>
      <c r="P255" s="590"/>
      <c r="Q255" s="1092"/>
    </row>
    <row r="256" spans="1:17" s="180" customFormat="1" ht="19.5" hidden="1" customHeight="1" x14ac:dyDescent="0.25">
      <c r="A256" s="245"/>
      <c r="B256" s="245"/>
      <c r="C256" s="638"/>
      <c r="D256" s="459"/>
      <c r="E256" s="202"/>
      <c r="F256" s="202"/>
      <c r="G256" s="645"/>
      <c r="H256" s="202"/>
      <c r="I256" s="202"/>
      <c r="J256" s="202"/>
      <c r="K256" s="1045"/>
      <c r="L256" s="202"/>
      <c r="M256" s="202"/>
      <c r="N256" s="202"/>
      <c r="O256" s="202"/>
      <c r="P256" s="250"/>
      <c r="Q256" s="1092"/>
    </row>
    <row r="257" spans="1:17" s="180" customFormat="1" ht="9" hidden="1" customHeight="1" x14ac:dyDescent="0.25">
      <c r="C257" s="1339"/>
      <c r="Q257" s="1092"/>
    </row>
    <row r="258" spans="1:17" s="180" customFormat="1" ht="19.5" hidden="1" customHeight="1" thickBot="1" x14ac:dyDescent="0.3">
      <c r="A258" s="248"/>
      <c r="B258" s="248"/>
      <c r="C258" s="1337"/>
      <c r="D258" s="1830" t="s">
        <v>1775</v>
      </c>
      <c r="E258" s="1831"/>
      <c r="F258" s="866"/>
      <c r="G258" s="184"/>
      <c r="H258" s="184"/>
      <c r="I258" s="184"/>
      <c r="J258" s="184"/>
      <c r="K258" s="184"/>
      <c r="L258" s="184"/>
      <c r="M258" s="184"/>
      <c r="N258" s="184"/>
      <c r="O258" s="184"/>
      <c r="P258" s="589"/>
      <c r="Q258" s="1092"/>
    </row>
    <row r="259" spans="1:17" s="180" customFormat="1" ht="19.5" hidden="1" customHeight="1" thickBot="1" x14ac:dyDescent="0.3">
      <c r="A259" s="243"/>
      <c r="B259" s="243"/>
      <c r="C259" s="443"/>
      <c r="D259" s="895" t="s">
        <v>523</v>
      </c>
      <c r="E259" s="821" t="s">
        <v>648</v>
      </c>
      <c r="F259" s="239"/>
      <c r="G259" s="194" t="s">
        <v>1380</v>
      </c>
      <c r="H259" s="188"/>
      <c r="I259" s="194" t="s">
        <v>1381</v>
      </c>
      <c r="J259" s="41"/>
      <c r="K259" s="194" t="s">
        <v>1397</v>
      </c>
      <c r="L259" s="188"/>
      <c r="M259" s="194" t="s">
        <v>1382</v>
      </c>
      <c r="N259" s="858"/>
      <c r="O259" s="858"/>
      <c r="P259" s="590"/>
      <c r="Q259" s="1092"/>
    </row>
    <row r="260" spans="1:17" s="180" customFormat="1" ht="34.5" hidden="1" customHeight="1" thickBot="1" x14ac:dyDescent="0.3">
      <c r="A260" s="243"/>
      <c r="B260" s="243"/>
      <c r="C260" s="443"/>
      <c r="D260" s="803" t="s">
        <v>1383</v>
      </c>
      <c r="E260" s="1318" t="s">
        <v>1384</v>
      </c>
      <c r="F260" s="196"/>
      <c r="G260" s="1319" t="str">
        <f>IF(E259="Yes","Program","")</f>
        <v/>
      </c>
      <c r="H260" s="188"/>
      <c r="I260" s="1320"/>
      <c r="J260" s="858"/>
      <c r="K260" s="1319" t="str">
        <f>IF(E259="Yes","Corporate Office","")</f>
        <v/>
      </c>
      <c r="L260" s="188"/>
      <c r="M260" s="1321"/>
      <c r="N260" s="858"/>
      <c r="O260" s="858"/>
      <c r="P260" s="590"/>
      <c r="Q260" s="1092"/>
    </row>
    <row r="261" spans="1:17" s="180" customFormat="1" ht="19.5" hidden="1" customHeight="1" thickBot="1" x14ac:dyDescent="0.3">
      <c r="A261" s="243"/>
      <c r="B261" s="243"/>
      <c r="C261" s="443"/>
      <c r="D261" s="7"/>
      <c r="E261" s="575"/>
      <c r="F261" s="817"/>
      <c r="G261" s="817"/>
      <c r="H261" s="858"/>
      <c r="I261" s="188"/>
      <c r="J261" s="188"/>
      <c r="K261" s="188"/>
      <c r="L261" s="858"/>
      <c r="M261" s="858"/>
      <c r="N261" s="858"/>
      <c r="O261" s="858"/>
      <c r="P261" s="590"/>
      <c r="Q261" s="1092"/>
    </row>
    <row r="262" spans="1:17" s="180" customFormat="1" ht="19.5" hidden="1" customHeight="1" thickBot="1" x14ac:dyDescent="0.3">
      <c r="A262" s="243"/>
      <c r="B262" s="243"/>
      <c r="C262" s="443"/>
      <c r="D262" s="810" t="s">
        <v>1385</v>
      </c>
      <c r="E262" s="1410" t="str">
        <f>IF(E259="Yes",IFERROR(VLOOKUP(G266,'Required Info to Submit'!$E$23:'Required Info to Submit'!$M$42,7, FALSE),""),"")</f>
        <v/>
      </c>
      <c r="F262" s="239"/>
      <c r="G262" s="228" t="s">
        <v>1396</v>
      </c>
      <c r="H262" s="188"/>
      <c r="I262" s="1322"/>
      <c r="J262" s="1322"/>
      <c r="K262" s="194" t="s">
        <v>1389</v>
      </c>
      <c r="L262" s="1322"/>
      <c r="M262" s="1829" t="str">
        <f>IF(C264="Yes","Retro Accrual will be posted to the GL.  Please provide business rational and ADF pre-approval is required","")</f>
        <v/>
      </c>
      <c r="N262" s="188"/>
      <c r="O262" s="6" t="s">
        <v>490</v>
      </c>
      <c r="P262" s="590"/>
      <c r="Q262" s="1092"/>
    </row>
    <row r="263" spans="1:17" s="180" customFormat="1" ht="19.5" hidden="1" customHeight="1" thickBot="1" x14ac:dyDescent="0.3">
      <c r="A263" s="243"/>
      <c r="B263" s="243"/>
      <c r="C263" s="443" t="str">
        <f ca="1">IF(C262="Yes",IF('Agreement Worksheet'!$K$5&gt;TODAY(),"Yes",""),"")</f>
        <v/>
      </c>
      <c r="D263" s="810" t="s">
        <v>1386</v>
      </c>
      <c r="E263" s="1410" t="str">
        <f>IF(E259="Yes",'Agreement Worksheet'!$K$5,"")</f>
        <v/>
      </c>
      <c r="F263" s="196"/>
      <c r="G263" s="1300" t="str">
        <f>IF(E259="Yes",IFERROR(K266*K263,""),"")</f>
        <v/>
      </c>
      <c r="H263" s="188"/>
      <c r="I263" s="1323"/>
      <c r="J263" s="1323"/>
      <c r="K263" s="1478" t="str">
        <f>IF(E259="Yes",IFERROR($K$222,""),"")</f>
        <v/>
      </c>
      <c r="L263" s="1322"/>
      <c r="M263" s="1829"/>
      <c r="N263" s="188"/>
      <c r="O263" s="887">
        <f>IF(Incentives!E263&lt;Welcome!D12,0,IF(E259="Yes",IFERROR(ROUND((G263/E266),0)*52,0),0))</f>
        <v>0</v>
      </c>
      <c r="P263" s="590"/>
      <c r="Q263" s="1092"/>
    </row>
    <row r="264" spans="1:17" s="180" customFormat="1" ht="19.5" hidden="1" customHeight="1" thickBot="1" x14ac:dyDescent="0.3">
      <c r="A264" s="243"/>
      <c r="B264" s="243"/>
      <c r="C264" s="443" t="str">
        <f>IF(AND($E262&lt;&gt;"",$E262&lt;E265),"Yes","")</f>
        <v/>
      </c>
      <c r="D264" s="858"/>
      <c r="E264" s="858"/>
      <c r="F264" s="196"/>
      <c r="G264" s="1322"/>
      <c r="H264" s="1322"/>
      <c r="I264" s="1322"/>
      <c r="J264" s="1322"/>
      <c r="K264" s="1322"/>
      <c r="L264" s="1322"/>
      <c r="M264" s="1829"/>
      <c r="N264" s="1322"/>
      <c r="O264" s="1322"/>
      <c r="P264" s="590"/>
      <c r="Q264" s="1092"/>
    </row>
    <row r="265" spans="1:17" s="180" customFormat="1" ht="27" hidden="1" customHeight="1" thickBot="1" x14ac:dyDescent="0.3">
      <c r="A265" s="243"/>
      <c r="B265" s="243"/>
      <c r="C265" s="443"/>
      <c r="D265" s="1324" t="s">
        <v>2004</v>
      </c>
      <c r="E265" s="1411" t="str">
        <f>IF(E259="Yes",IF(Welcome!D8&lt;&gt;"",Welcome!D8,""),"")</f>
        <v/>
      </c>
      <c r="F265" s="196"/>
      <c r="G265" s="228" t="s">
        <v>2005</v>
      </c>
      <c r="H265" s="1322"/>
      <c r="I265" s="228" t="s">
        <v>2006</v>
      </c>
      <c r="J265" s="1322"/>
      <c r="K265" s="228" t="s">
        <v>1482</v>
      </c>
      <c r="L265" s="1322"/>
      <c r="M265" s="1829"/>
      <c r="N265" s="1322"/>
      <c r="O265" s="1322"/>
      <c r="P265" s="590"/>
      <c r="Q265" s="1092"/>
    </row>
    <row r="266" spans="1:17" s="180" customFormat="1" ht="19.5" hidden="1" customHeight="1" thickBot="1" x14ac:dyDescent="0.3">
      <c r="A266" s="243"/>
      <c r="B266" s="243"/>
      <c r="C266" s="443"/>
      <c r="D266" s="1324" t="s">
        <v>2007</v>
      </c>
      <c r="E266" s="1355" t="str">
        <f>IFERROR(('Agreement Worksheet'!$K$5-E262)/7,"")</f>
        <v/>
      </c>
      <c r="F266" s="196"/>
      <c r="G266" s="1325"/>
      <c r="H266" s="1322"/>
      <c r="I266" s="1476" t="str">
        <f>IF(E259="Yes",IFERROR(VLOOKUP(G266,'Customer Inputs'!$G$6:'Customer Inputs'!$P$25,10,FALSE),""),"")</f>
        <v/>
      </c>
      <c r="J266" s="1322"/>
      <c r="K266" s="1300" t="str">
        <f>IFERROR((I266/52)*E266,"")</f>
        <v/>
      </c>
      <c r="L266" s="1322"/>
      <c r="M266" s="1322"/>
      <c r="N266" s="1322"/>
      <c r="O266" s="1322"/>
      <c r="P266" s="590"/>
      <c r="Q266" s="1092"/>
    </row>
    <row r="267" spans="1:17" s="180" customFormat="1" ht="19.5" hidden="1" customHeight="1" x14ac:dyDescent="0.25">
      <c r="A267" s="245"/>
      <c r="B267" s="245"/>
      <c r="C267" s="638"/>
      <c r="D267" s="459"/>
      <c r="E267" s="202"/>
      <c r="F267" s="202"/>
      <c r="G267" s="645"/>
      <c r="H267" s="202"/>
      <c r="I267" s="202"/>
      <c r="J267" s="202"/>
      <c r="K267" s="1045"/>
      <c r="L267" s="202"/>
      <c r="M267" s="202"/>
      <c r="N267" s="202"/>
      <c r="O267" s="202"/>
      <c r="P267" s="250"/>
      <c r="Q267" s="1092"/>
    </row>
    <row r="268" spans="1:17" s="180" customFormat="1" ht="9" hidden="1" customHeight="1" x14ac:dyDescent="0.25">
      <c r="C268" s="1339"/>
      <c r="Q268" s="1092"/>
    </row>
    <row r="269" spans="1:17" s="180" customFormat="1" ht="19.5" hidden="1" customHeight="1" thickBot="1" x14ac:dyDescent="0.3">
      <c r="A269" s="248"/>
      <c r="B269" s="248"/>
      <c r="C269" s="1337"/>
      <c r="D269" s="1830" t="s">
        <v>1775</v>
      </c>
      <c r="E269" s="1831"/>
      <c r="F269" s="866"/>
      <c r="G269" s="184"/>
      <c r="H269" s="184"/>
      <c r="I269" s="184"/>
      <c r="J269" s="184"/>
      <c r="K269" s="184"/>
      <c r="L269" s="184"/>
      <c r="M269" s="184"/>
      <c r="N269" s="184"/>
      <c r="O269" s="184"/>
      <c r="P269" s="589"/>
      <c r="Q269" s="1092"/>
    </row>
    <row r="270" spans="1:17" s="180" customFormat="1" ht="19.5" hidden="1" customHeight="1" thickBot="1" x14ac:dyDescent="0.3">
      <c r="A270" s="243"/>
      <c r="B270" s="243"/>
      <c r="C270" s="443"/>
      <c r="D270" s="895" t="s">
        <v>523</v>
      </c>
      <c r="E270" s="821" t="s">
        <v>648</v>
      </c>
      <c r="F270" s="239"/>
      <c r="G270" s="194" t="s">
        <v>1380</v>
      </c>
      <c r="H270" s="188"/>
      <c r="I270" s="194" t="s">
        <v>1381</v>
      </c>
      <c r="J270" s="41"/>
      <c r="K270" s="194" t="s">
        <v>1397</v>
      </c>
      <c r="L270" s="188"/>
      <c r="M270" s="194" t="s">
        <v>1382</v>
      </c>
      <c r="N270" s="858"/>
      <c r="O270" s="858"/>
      <c r="P270" s="590"/>
      <c r="Q270" s="1092"/>
    </row>
    <row r="271" spans="1:17" s="180" customFormat="1" ht="36.75" hidden="1" customHeight="1" thickBot="1" x14ac:dyDescent="0.3">
      <c r="A271" s="243"/>
      <c r="B271" s="243"/>
      <c r="C271" s="443"/>
      <c r="D271" s="803" t="s">
        <v>1383</v>
      </c>
      <c r="E271" s="1318" t="s">
        <v>1384</v>
      </c>
      <c r="F271" s="196"/>
      <c r="G271" s="1319" t="str">
        <f>IF(E270="Yes","Program","")</f>
        <v/>
      </c>
      <c r="H271" s="188"/>
      <c r="I271" s="1320"/>
      <c r="J271" s="858"/>
      <c r="K271" s="1319" t="str">
        <f>IF(E270="Yes","Corporate Office","")</f>
        <v/>
      </c>
      <c r="L271" s="188"/>
      <c r="M271" s="1321"/>
      <c r="N271" s="858"/>
      <c r="O271" s="858"/>
      <c r="P271" s="590"/>
      <c r="Q271" s="1092"/>
    </row>
    <row r="272" spans="1:17" s="180" customFormat="1" ht="19.5" hidden="1" customHeight="1" thickBot="1" x14ac:dyDescent="0.3">
      <c r="A272" s="243"/>
      <c r="B272" s="243"/>
      <c r="C272" s="443"/>
      <c r="D272" s="7"/>
      <c r="E272" s="575"/>
      <c r="F272" s="817"/>
      <c r="G272" s="817"/>
      <c r="H272" s="858"/>
      <c r="I272" s="188"/>
      <c r="J272" s="188"/>
      <c r="K272" s="188"/>
      <c r="L272" s="858"/>
      <c r="M272" s="858"/>
      <c r="N272" s="858"/>
      <c r="O272" s="858"/>
      <c r="P272" s="590"/>
      <c r="Q272" s="1092"/>
    </row>
    <row r="273" spans="1:17" s="180" customFormat="1" ht="19.5" hidden="1" customHeight="1" thickBot="1" x14ac:dyDescent="0.3">
      <c r="A273" s="243"/>
      <c r="B273" s="243"/>
      <c r="C273" s="443"/>
      <c r="D273" s="810" t="s">
        <v>1385</v>
      </c>
      <c r="E273" s="1410" t="str">
        <f>IF(E270="Yes",IFERROR(VLOOKUP(G277,'Required Info to Submit'!$E$23:'Required Info to Submit'!$M$42,7, FALSE),""),"")</f>
        <v/>
      </c>
      <c r="F273" s="239"/>
      <c r="G273" s="228" t="s">
        <v>1396</v>
      </c>
      <c r="H273" s="188"/>
      <c r="I273" s="1322"/>
      <c r="J273" s="1322"/>
      <c r="K273" s="194" t="s">
        <v>1389</v>
      </c>
      <c r="L273" s="1322"/>
      <c r="M273" s="1829" t="str">
        <f>IF(C275="Yes","Retro Accrual will be posted to the GL.  Please provide business rational and ADF pre-approval is required","")</f>
        <v/>
      </c>
      <c r="N273" s="188"/>
      <c r="O273" s="6" t="s">
        <v>490</v>
      </c>
      <c r="P273" s="590"/>
      <c r="Q273" s="1092"/>
    </row>
    <row r="274" spans="1:17" s="180" customFormat="1" ht="19.5" hidden="1" customHeight="1" thickBot="1" x14ac:dyDescent="0.3">
      <c r="A274" s="243"/>
      <c r="B274" s="243"/>
      <c r="C274" s="443" t="str">
        <f ca="1">IF(C273="Yes",IF('Agreement Worksheet'!$K$5&gt;TODAY(),"Yes",""),"")</f>
        <v/>
      </c>
      <c r="D274" s="810" t="s">
        <v>1386</v>
      </c>
      <c r="E274" s="1410" t="str">
        <f>IF(E270="Yes",'Agreement Worksheet'!$K$5,"")</f>
        <v/>
      </c>
      <c r="F274" s="196"/>
      <c r="G274" s="1300" t="str">
        <f>IF(E270="Yes",IFERROR(K277*K274,""),"")</f>
        <v/>
      </c>
      <c r="H274" s="188"/>
      <c r="I274" s="1323"/>
      <c r="J274" s="1323"/>
      <c r="K274" s="1478" t="str">
        <f>IF(E270="Yes",IFERROR($K$222,""),"")</f>
        <v/>
      </c>
      <c r="L274" s="1322"/>
      <c r="M274" s="1829"/>
      <c r="N274" s="188"/>
      <c r="O274" s="887">
        <f>IF(Incentives!E274&lt;Welcome!D12,0,IF(E270="Yes",IFERROR(ROUND((G274/E277),0)*52,0),0))</f>
        <v>0</v>
      </c>
      <c r="P274" s="590"/>
      <c r="Q274" s="1092"/>
    </row>
    <row r="275" spans="1:17" s="180" customFormat="1" ht="19.5" hidden="1" customHeight="1" thickBot="1" x14ac:dyDescent="0.3">
      <c r="A275" s="243"/>
      <c r="B275" s="243"/>
      <c r="C275" s="443" t="str">
        <f>IF(AND($E273&lt;&gt;"",$E273&lt;E276),"Yes","")</f>
        <v/>
      </c>
      <c r="D275" s="858"/>
      <c r="E275" s="858"/>
      <c r="F275" s="196"/>
      <c r="G275" s="1322"/>
      <c r="H275" s="1322"/>
      <c r="I275" s="1322"/>
      <c r="J275" s="1322"/>
      <c r="K275" s="1322"/>
      <c r="L275" s="1322"/>
      <c r="M275" s="1829"/>
      <c r="N275" s="1322"/>
      <c r="O275" s="1322"/>
      <c r="P275" s="590"/>
      <c r="Q275" s="1092"/>
    </row>
    <row r="276" spans="1:17" s="180" customFormat="1" ht="29.25" hidden="1" customHeight="1" thickBot="1" x14ac:dyDescent="0.3">
      <c r="A276" s="243"/>
      <c r="B276" s="243"/>
      <c r="C276" s="443"/>
      <c r="D276" s="1324" t="s">
        <v>2004</v>
      </c>
      <c r="E276" s="1411" t="str">
        <f>IF(E270="Yes",IF(Welcome!D8&lt;&gt;"",Welcome!D8,""),"")</f>
        <v/>
      </c>
      <c r="F276" s="196"/>
      <c r="G276" s="228" t="s">
        <v>2005</v>
      </c>
      <c r="H276" s="1322"/>
      <c r="I276" s="228" t="s">
        <v>2006</v>
      </c>
      <c r="J276" s="1322"/>
      <c r="K276" s="228" t="s">
        <v>1482</v>
      </c>
      <c r="L276" s="1322"/>
      <c r="M276" s="1829"/>
      <c r="N276" s="1322"/>
      <c r="O276" s="1322"/>
      <c r="P276" s="590"/>
      <c r="Q276" s="1092"/>
    </row>
    <row r="277" spans="1:17" s="180" customFormat="1" ht="19.5" hidden="1" customHeight="1" thickBot="1" x14ac:dyDescent="0.3">
      <c r="A277" s="243"/>
      <c r="B277" s="243"/>
      <c r="C277" s="443"/>
      <c r="D277" s="1324" t="s">
        <v>2007</v>
      </c>
      <c r="E277" s="1355" t="str">
        <f>IFERROR(('Agreement Worksheet'!$K$5-E273)/7,"")</f>
        <v/>
      </c>
      <c r="F277" s="196"/>
      <c r="G277" s="1325"/>
      <c r="H277" s="1322"/>
      <c r="I277" s="1476" t="str">
        <f>IF(E270="Yes",IFERROR(VLOOKUP(G277,'Customer Inputs'!$G$6:'Customer Inputs'!$P$25,10,FALSE),""),"")</f>
        <v/>
      </c>
      <c r="J277" s="1322"/>
      <c r="K277" s="1300" t="str">
        <f>IFERROR((I277/52)*E277,"")</f>
        <v/>
      </c>
      <c r="L277" s="1322"/>
      <c r="M277" s="1322"/>
      <c r="N277" s="1322"/>
      <c r="O277" s="1322"/>
      <c r="P277" s="590"/>
      <c r="Q277" s="1092"/>
    </row>
    <row r="278" spans="1:17" s="180" customFormat="1" ht="19.5" hidden="1" customHeight="1" x14ac:dyDescent="0.25">
      <c r="A278" s="245"/>
      <c r="B278" s="245"/>
      <c r="C278" s="638"/>
      <c r="D278" s="459"/>
      <c r="E278" s="202"/>
      <c r="F278" s="202"/>
      <c r="G278" s="645"/>
      <c r="H278" s="202"/>
      <c r="I278" s="202"/>
      <c r="J278" s="202"/>
      <c r="K278" s="1045"/>
      <c r="L278" s="202"/>
      <c r="M278" s="202"/>
      <c r="N278" s="202"/>
      <c r="O278" s="202"/>
      <c r="P278" s="250"/>
      <c r="Q278" s="1092"/>
    </row>
    <row r="279" spans="1:17" s="180" customFormat="1" ht="9" hidden="1" customHeight="1" x14ac:dyDescent="0.25">
      <c r="C279" s="1339"/>
      <c r="Q279" s="1092"/>
    </row>
    <row r="280" spans="1:17" s="180" customFormat="1" ht="19.5" hidden="1" customHeight="1" thickBot="1" x14ac:dyDescent="0.3">
      <c r="A280" s="248"/>
      <c r="B280" s="248"/>
      <c r="C280" s="1337"/>
      <c r="D280" s="1830" t="s">
        <v>1775</v>
      </c>
      <c r="E280" s="1831"/>
      <c r="F280" s="866"/>
      <c r="G280" s="184"/>
      <c r="H280" s="184"/>
      <c r="I280" s="184"/>
      <c r="J280" s="184"/>
      <c r="K280" s="184"/>
      <c r="L280" s="184"/>
      <c r="M280" s="184"/>
      <c r="N280" s="184"/>
      <c r="O280" s="184"/>
      <c r="P280" s="589"/>
      <c r="Q280" s="1092"/>
    </row>
    <row r="281" spans="1:17" s="180" customFormat="1" ht="19.5" hidden="1" customHeight="1" thickBot="1" x14ac:dyDescent="0.3">
      <c r="A281" s="243"/>
      <c r="B281" s="243"/>
      <c r="C281" s="443"/>
      <c r="D281" s="895" t="s">
        <v>523</v>
      </c>
      <c r="E281" s="821" t="s">
        <v>648</v>
      </c>
      <c r="F281" s="239"/>
      <c r="G281" s="194" t="s">
        <v>1380</v>
      </c>
      <c r="H281" s="188"/>
      <c r="I281" s="194" t="s">
        <v>1381</v>
      </c>
      <c r="J281" s="41"/>
      <c r="K281" s="194" t="s">
        <v>1397</v>
      </c>
      <c r="L281" s="188"/>
      <c r="M281" s="194" t="s">
        <v>1382</v>
      </c>
      <c r="N281" s="858"/>
      <c r="O281" s="858"/>
      <c r="P281" s="590"/>
      <c r="Q281" s="1092"/>
    </row>
    <row r="282" spans="1:17" s="180" customFormat="1" ht="31.5" hidden="1" customHeight="1" thickBot="1" x14ac:dyDescent="0.3">
      <c r="A282" s="243"/>
      <c r="B282" s="243"/>
      <c r="C282" s="443"/>
      <c r="D282" s="803" t="s">
        <v>1383</v>
      </c>
      <c r="E282" s="1318" t="s">
        <v>1384</v>
      </c>
      <c r="F282" s="196"/>
      <c r="G282" s="1319" t="str">
        <f>IF(E281="Yes","Program","")</f>
        <v/>
      </c>
      <c r="H282" s="188"/>
      <c r="I282" s="1320"/>
      <c r="J282" s="858"/>
      <c r="K282" s="1319" t="str">
        <f>IF(E281="Yes","Corporate Office","")</f>
        <v/>
      </c>
      <c r="L282" s="188"/>
      <c r="M282" s="1321"/>
      <c r="N282" s="858"/>
      <c r="O282" s="858"/>
      <c r="P282" s="590"/>
      <c r="Q282" s="1092"/>
    </row>
    <row r="283" spans="1:17" s="180" customFormat="1" ht="19.5" hidden="1" customHeight="1" thickBot="1" x14ac:dyDescent="0.3">
      <c r="A283" s="243"/>
      <c r="B283" s="243"/>
      <c r="C283" s="443"/>
      <c r="D283" s="7"/>
      <c r="E283" s="575"/>
      <c r="F283" s="817"/>
      <c r="G283" s="817"/>
      <c r="H283" s="858"/>
      <c r="I283" s="188"/>
      <c r="J283" s="188"/>
      <c r="K283" s="188"/>
      <c r="L283" s="858"/>
      <c r="M283" s="858"/>
      <c r="N283" s="858"/>
      <c r="O283" s="858"/>
      <c r="P283" s="590"/>
      <c r="Q283" s="1092"/>
    </row>
    <row r="284" spans="1:17" s="180" customFormat="1" ht="19.5" hidden="1" customHeight="1" thickBot="1" x14ac:dyDescent="0.3">
      <c r="A284" s="243"/>
      <c r="B284" s="243"/>
      <c r="C284" s="443"/>
      <c r="D284" s="810" t="s">
        <v>1385</v>
      </c>
      <c r="E284" s="1410" t="str">
        <f>IF(E281="Yes",IFERROR(VLOOKUP(G288,'Required Info to Submit'!$E$23:'Required Info to Submit'!$M$42,7, FALSE),""),"")</f>
        <v/>
      </c>
      <c r="F284" s="239"/>
      <c r="G284" s="228" t="s">
        <v>1396</v>
      </c>
      <c r="H284" s="188"/>
      <c r="I284" s="1322"/>
      <c r="J284" s="1322"/>
      <c r="K284" s="194" t="s">
        <v>1389</v>
      </c>
      <c r="L284" s="1322"/>
      <c r="M284" s="1829" t="str">
        <f>IF(C286="Yes","Retro Accrual will be posted to the GL.  Please provide business rational and ADF pre-approval is required","")</f>
        <v/>
      </c>
      <c r="N284" s="188"/>
      <c r="O284" s="6" t="s">
        <v>490</v>
      </c>
      <c r="P284" s="590"/>
      <c r="Q284" s="1092"/>
    </row>
    <row r="285" spans="1:17" s="180" customFormat="1" ht="19.5" hidden="1" customHeight="1" thickBot="1" x14ac:dyDescent="0.3">
      <c r="A285" s="243"/>
      <c r="B285" s="243"/>
      <c r="C285" s="443" t="str">
        <f ca="1">IF(C284="Yes",IF('Agreement Worksheet'!$K$5&gt;TODAY(),"Yes",""),"")</f>
        <v/>
      </c>
      <c r="D285" s="810" t="s">
        <v>1386</v>
      </c>
      <c r="E285" s="1410" t="str">
        <f>IF(E281="Yes",'Agreement Worksheet'!$K$5,"")</f>
        <v/>
      </c>
      <c r="F285" s="196"/>
      <c r="G285" s="1300" t="str">
        <f>IF(E281="Yes",IFERROR(K288*K285,""),"")</f>
        <v/>
      </c>
      <c r="H285" s="188"/>
      <c r="I285" s="1323"/>
      <c r="J285" s="1323"/>
      <c r="K285" s="1478" t="str">
        <f>IF(E281="Yes",IFERROR($K$222,""),"")</f>
        <v/>
      </c>
      <c r="L285" s="1322"/>
      <c r="M285" s="1829"/>
      <c r="N285" s="188"/>
      <c r="O285" s="887">
        <f>IF(Incentives!E285&lt;Welcome!D12,0,IF(E281="Yes",IFERROR(ROUND((G285/E288),0)*52,0),0))</f>
        <v>0</v>
      </c>
      <c r="P285" s="590"/>
      <c r="Q285" s="1092"/>
    </row>
    <row r="286" spans="1:17" s="180" customFormat="1" ht="19.5" hidden="1" customHeight="1" thickBot="1" x14ac:dyDescent="0.3">
      <c r="A286" s="243"/>
      <c r="B286" s="243"/>
      <c r="C286" s="443" t="str">
        <f>IF(AND($E284&lt;&gt;"",$E284&lt;E287),"Yes","")</f>
        <v/>
      </c>
      <c r="D286" s="858"/>
      <c r="E286" s="858"/>
      <c r="F286" s="196"/>
      <c r="G286" s="1322"/>
      <c r="H286" s="1322"/>
      <c r="I286" s="1322"/>
      <c r="J286" s="1322"/>
      <c r="K286" s="1322"/>
      <c r="L286" s="1322"/>
      <c r="M286" s="1829"/>
      <c r="N286" s="1322"/>
      <c r="O286" s="1322"/>
      <c r="P286" s="590"/>
      <c r="Q286" s="1092"/>
    </row>
    <row r="287" spans="1:17" s="180" customFormat="1" ht="30.75" hidden="1" customHeight="1" thickBot="1" x14ac:dyDescent="0.3">
      <c r="A287" s="243"/>
      <c r="B287" s="243"/>
      <c r="C287" s="443"/>
      <c r="D287" s="1324" t="s">
        <v>2004</v>
      </c>
      <c r="E287" s="1411" t="str">
        <f>IF(E281="Yes",IF(Welcome!D8&lt;&gt;"",Welcome!D8,""),"")</f>
        <v/>
      </c>
      <c r="F287" s="196"/>
      <c r="G287" s="228" t="s">
        <v>2005</v>
      </c>
      <c r="H287" s="1322"/>
      <c r="I287" s="228" t="s">
        <v>2006</v>
      </c>
      <c r="J287" s="1322"/>
      <c r="K287" s="228" t="s">
        <v>1482</v>
      </c>
      <c r="L287" s="1322"/>
      <c r="M287" s="1829"/>
      <c r="N287" s="1322"/>
      <c r="O287" s="1322"/>
      <c r="P287" s="590"/>
      <c r="Q287" s="1092"/>
    </row>
    <row r="288" spans="1:17" s="180" customFormat="1" ht="19.5" hidden="1" customHeight="1" thickBot="1" x14ac:dyDescent="0.3">
      <c r="A288" s="243"/>
      <c r="B288" s="243"/>
      <c r="C288" s="443"/>
      <c r="D288" s="1324" t="s">
        <v>2007</v>
      </c>
      <c r="E288" s="1355" t="str">
        <f>IFERROR(('Agreement Worksheet'!$K$5-E284)/7,"")</f>
        <v/>
      </c>
      <c r="F288" s="196"/>
      <c r="G288" s="1325"/>
      <c r="H288" s="1322"/>
      <c r="I288" s="1476" t="str">
        <f>IF(E281="Yes",IFERROR(VLOOKUP(G288,'Customer Inputs'!$G$6:'Customer Inputs'!$P$25,10,FALSE),""),"")</f>
        <v/>
      </c>
      <c r="J288" s="1322"/>
      <c r="K288" s="1300" t="str">
        <f>IFERROR((I288/52)*E288,"")</f>
        <v/>
      </c>
      <c r="L288" s="1322"/>
      <c r="M288" s="1322"/>
      <c r="N288" s="1322"/>
      <c r="O288" s="1322"/>
      <c r="P288" s="590"/>
      <c r="Q288" s="1092"/>
    </row>
    <row r="289" spans="1:17" s="180" customFormat="1" ht="19.5" hidden="1" customHeight="1" x14ac:dyDescent="0.25">
      <c r="A289" s="245"/>
      <c r="B289" s="245"/>
      <c r="C289" s="638"/>
      <c r="D289" s="459"/>
      <c r="E289" s="202"/>
      <c r="F289" s="202"/>
      <c r="G289" s="645"/>
      <c r="H289" s="202"/>
      <c r="I289" s="202"/>
      <c r="J289" s="202"/>
      <c r="K289" s="1045"/>
      <c r="L289" s="202"/>
      <c r="M289" s="202"/>
      <c r="N289" s="202"/>
      <c r="O289" s="202"/>
      <c r="P289" s="250"/>
      <c r="Q289" s="1092"/>
    </row>
    <row r="290" spans="1:17" s="180" customFormat="1" ht="9" hidden="1" customHeight="1" x14ac:dyDescent="0.25">
      <c r="C290" s="1339"/>
      <c r="Q290" s="1092"/>
    </row>
    <row r="291" spans="1:17" s="180" customFormat="1" ht="19.5" hidden="1" customHeight="1" thickBot="1" x14ac:dyDescent="0.3">
      <c r="A291" s="248"/>
      <c r="B291" s="248"/>
      <c r="C291" s="1337"/>
      <c r="D291" s="1830" t="s">
        <v>1775</v>
      </c>
      <c r="E291" s="1831"/>
      <c r="F291" s="866"/>
      <c r="G291" s="184"/>
      <c r="H291" s="184"/>
      <c r="I291" s="184"/>
      <c r="J291" s="184"/>
      <c r="K291" s="184"/>
      <c r="L291" s="184"/>
      <c r="M291" s="184"/>
      <c r="N291" s="184"/>
      <c r="O291" s="184"/>
      <c r="P291" s="589"/>
      <c r="Q291" s="1092"/>
    </row>
    <row r="292" spans="1:17" s="180" customFormat="1" ht="19.5" hidden="1" customHeight="1" thickBot="1" x14ac:dyDescent="0.3">
      <c r="A292" s="243"/>
      <c r="B292" s="243"/>
      <c r="C292" s="443"/>
      <c r="D292" s="895" t="s">
        <v>523</v>
      </c>
      <c r="E292" s="821" t="s">
        <v>648</v>
      </c>
      <c r="F292" s="239"/>
      <c r="G292" s="194" t="s">
        <v>1380</v>
      </c>
      <c r="H292" s="188"/>
      <c r="I292" s="194" t="s">
        <v>1381</v>
      </c>
      <c r="J292" s="41"/>
      <c r="K292" s="194" t="s">
        <v>1397</v>
      </c>
      <c r="L292" s="188"/>
      <c r="M292" s="194" t="s">
        <v>1382</v>
      </c>
      <c r="N292" s="858"/>
      <c r="O292" s="858"/>
      <c r="P292" s="590"/>
      <c r="Q292" s="1092"/>
    </row>
    <row r="293" spans="1:17" s="180" customFormat="1" ht="31.5" hidden="1" customHeight="1" thickBot="1" x14ac:dyDescent="0.3">
      <c r="A293" s="243"/>
      <c r="B293" s="243"/>
      <c r="C293" s="443"/>
      <c r="D293" s="803" t="s">
        <v>1383</v>
      </c>
      <c r="E293" s="1318" t="s">
        <v>1384</v>
      </c>
      <c r="F293" s="196"/>
      <c r="G293" s="1319" t="str">
        <f>IF(E292="Yes","Program","")</f>
        <v/>
      </c>
      <c r="H293" s="188"/>
      <c r="I293" s="1320"/>
      <c r="J293" s="858"/>
      <c r="K293" s="1319" t="str">
        <f>IF(E292="Yes","Corporate Office","")</f>
        <v/>
      </c>
      <c r="L293" s="188"/>
      <c r="M293" s="1321"/>
      <c r="N293" s="858"/>
      <c r="O293" s="858"/>
      <c r="P293" s="590"/>
      <c r="Q293" s="1092"/>
    </row>
    <row r="294" spans="1:17" s="180" customFormat="1" ht="19.5" hidden="1" customHeight="1" thickBot="1" x14ac:dyDescent="0.3">
      <c r="A294" s="243"/>
      <c r="B294" s="243"/>
      <c r="C294" s="443"/>
      <c r="D294" s="7"/>
      <c r="E294" s="575"/>
      <c r="F294" s="817"/>
      <c r="G294" s="817"/>
      <c r="H294" s="858"/>
      <c r="I294" s="188"/>
      <c r="J294" s="188"/>
      <c r="K294" s="188"/>
      <c r="L294" s="858"/>
      <c r="M294" s="858"/>
      <c r="N294" s="858"/>
      <c r="O294" s="858"/>
      <c r="P294" s="590"/>
      <c r="Q294" s="1092"/>
    </row>
    <row r="295" spans="1:17" s="180" customFormat="1" ht="19.5" hidden="1" customHeight="1" thickBot="1" x14ac:dyDescent="0.3">
      <c r="A295" s="243"/>
      <c r="B295" s="243"/>
      <c r="C295" s="443"/>
      <c r="D295" s="810" t="s">
        <v>1385</v>
      </c>
      <c r="E295" s="1410" t="str">
        <f>IF(E292="Yes",IFERROR(VLOOKUP(G299,'Required Info to Submit'!$E$23:'Required Info to Submit'!$M$42,7, FALSE),""),"")</f>
        <v/>
      </c>
      <c r="F295" s="239"/>
      <c r="G295" s="228" t="s">
        <v>1396</v>
      </c>
      <c r="H295" s="188"/>
      <c r="I295" s="1322"/>
      <c r="J295" s="1322"/>
      <c r="K295" s="194" t="s">
        <v>1389</v>
      </c>
      <c r="L295" s="1322"/>
      <c r="M295" s="1829" t="str">
        <f>IF(C297="Yes","Retro Accrual will be posted to the GL.  Please provide business rational and ADF pre-approval is required","")</f>
        <v/>
      </c>
      <c r="N295" s="188"/>
      <c r="O295" s="6" t="s">
        <v>490</v>
      </c>
      <c r="P295" s="590"/>
      <c r="Q295" s="1092"/>
    </row>
    <row r="296" spans="1:17" s="180" customFormat="1" ht="19.5" hidden="1" customHeight="1" thickBot="1" x14ac:dyDescent="0.3">
      <c r="A296" s="243"/>
      <c r="B296" s="243"/>
      <c r="C296" s="443" t="str">
        <f ca="1">IF(C295="Yes",IF('Agreement Worksheet'!$K$5&gt;TODAY(),"Yes",""),"")</f>
        <v/>
      </c>
      <c r="D296" s="810" t="s">
        <v>1386</v>
      </c>
      <c r="E296" s="1410" t="str">
        <f>IF(E292="Yes",'Agreement Worksheet'!$K$5,"")</f>
        <v/>
      </c>
      <c r="F296" s="196"/>
      <c r="G296" s="1300" t="str">
        <f>IF(E292="Yes",IFERROR(K299*K296,""),"")</f>
        <v/>
      </c>
      <c r="H296" s="188"/>
      <c r="I296" s="1323"/>
      <c r="J296" s="1323"/>
      <c r="K296" s="1478" t="str">
        <f>IF(E292="Yes",IFERROR($K$222,""),"")</f>
        <v/>
      </c>
      <c r="L296" s="1322"/>
      <c r="M296" s="1829"/>
      <c r="N296" s="188"/>
      <c r="O296" s="887">
        <f>IF(Incentives!E296&lt;Welcome!D12,0,IF(E292="Yes",IFERROR(ROUND((G296/E299),0)*52,0),0))</f>
        <v>0</v>
      </c>
      <c r="P296" s="590"/>
      <c r="Q296" s="1092"/>
    </row>
    <row r="297" spans="1:17" s="180" customFormat="1" ht="19.5" hidden="1" customHeight="1" thickBot="1" x14ac:dyDescent="0.3">
      <c r="A297" s="243"/>
      <c r="B297" s="243"/>
      <c r="C297" s="443" t="str">
        <f>IF(AND($E295&lt;&gt;"",$E295&lt;E298),"Yes","")</f>
        <v/>
      </c>
      <c r="D297" s="858"/>
      <c r="E297" s="858"/>
      <c r="F297" s="196"/>
      <c r="G297" s="1322"/>
      <c r="H297" s="1322"/>
      <c r="I297" s="1322"/>
      <c r="J297" s="1322"/>
      <c r="K297" s="1322"/>
      <c r="L297" s="1322"/>
      <c r="M297" s="1829"/>
      <c r="N297" s="1322"/>
      <c r="O297" s="1322"/>
      <c r="P297" s="590"/>
      <c r="Q297" s="1092"/>
    </row>
    <row r="298" spans="1:17" s="180" customFormat="1" ht="31.5" hidden="1" customHeight="1" thickBot="1" x14ac:dyDescent="0.3">
      <c r="A298" s="243"/>
      <c r="B298" s="243"/>
      <c r="C298" s="443"/>
      <c r="D298" s="1324" t="s">
        <v>2004</v>
      </c>
      <c r="E298" s="1411" t="str">
        <f>IF(E292="Yes",IF(Welcome!D8&lt;&gt;"",Welcome!D8,""),"")</f>
        <v/>
      </c>
      <c r="F298" s="196"/>
      <c r="G298" s="228" t="s">
        <v>2005</v>
      </c>
      <c r="H298" s="1322"/>
      <c r="I298" s="228" t="s">
        <v>2006</v>
      </c>
      <c r="J298" s="1322"/>
      <c r="K298" s="228" t="s">
        <v>1482</v>
      </c>
      <c r="L298" s="1322"/>
      <c r="M298" s="1829"/>
      <c r="N298" s="1322"/>
      <c r="O298" s="1322"/>
      <c r="P298" s="590"/>
      <c r="Q298" s="1092"/>
    </row>
    <row r="299" spans="1:17" s="180" customFormat="1" ht="19.5" hidden="1" customHeight="1" thickBot="1" x14ac:dyDescent="0.3">
      <c r="A299" s="243"/>
      <c r="B299" s="243"/>
      <c r="C299" s="443"/>
      <c r="D299" s="1324" t="s">
        <v>2007</v>
      </c>
      <c r="E299" s="1355" t="str">
        <f>IFERROR(('Agreement Worksheet'!$K$5-E295)/7,"")</f>
        <v/>
      </c>
      <c r="F299" s="196"/>
      <c r="G299" s="1325"/>
      <c r="H299" s="1322"/>
      <c r="I299" s="1476" t="str">
        <f>IF(E292="Yes",IFERROR(VLOOKUP(G299,'Customer Inputs'!$G$6:'Customer Inputs'!$P$25,10,FALSE),""),"")</f>
        <v/>
      </c>
      <c r="J299" s="1322"/>
      <c r="K299" s="1300" t="str">
        <f>IFERROR((I299/52)*E299,"")</f>
        <v/>
      </c>
      <c r="L299" s="1322"/>
      <c r="M299" s="1322"/>
      <c r="N299" s="1322"/>
      <c r="O299" s="1322"/>
      <c r="P299" s="590"/>
      <c r="Q299" s="1092"/>
    </row>
    <row r="300" spans="1:17" s="180" customFormat="1" ht="19.5" hidden="1" customHeight="1" x14ac:dyDescent="0.25">
      <c r="A300" s="245"/>
      <c r="B300" s="245"/>
      <c r="C300" s="638"/>
      <c r="D300" s="459"/>
      <c r="E300" s="202"/>
      <c r="F300" s="202"/>
      <c r="G300" s="645"/>
      <c r="H300" s="202"/>
      <c r="I300" s="202"/>
      <c r="J300" s="202"/>
      <c r="K300" s="1045"/>
      <c r="L300" s="202"/>
      <c r="M300" s="202"/>
      <c r="N300" s="202"/>
      <c r="O300" s="202"/>
      <c r="P300" s="250"/>
      <c r="Q300" s="1092"/>
    </row>
    <row r="301" spans="1:17" s="180" customFormat="1" ht="9" hidden="1" customHeight="1" x14ac:dyDescent="0.25">
      <c r="C301" s="1339"/>
      <c r="Q301" s="1092"/>
    </row>
    <row r="302" spans="1:17" s="180" customFormat="1" ht="19.5" hidden="1" customHeight="1" thickBot="1" x14ac:dyDescent="0.3">
      <c r="A302" s="248"/>
      <c r="B302" s="248"/>
      <c r="C302" s="1337"/>
      <c r="D302" s="1830" t="s">
        <v>1775</v>
      </c>
      <c r="E302" s="1831"/>
      <c r="F302" s="866"/>
      <c r="G302" s="184"/>
      <c r="H302" s="184"/>
      <c r="I302" s="184"/>
      <c r="J302" s="184"/>
      <c r="K302" s="184"/>
      <c r="L302" s="184"/>
      <c r="M302" s="184"/>
      <c r="N302" s="184"/>
      <c r="O302" s="184"/>
      <c r="P302" s="589"/>
      <c r="Q302" s="1092"/>
    </row>
    <row r="303" spans="1:17" s="180" customFormat="1" ht="19.5" hidden="1" customHeight="1" thickBot="1" x14ac:dyDescent="0.3">
      <c r="A303" s="243"/>
      <c r="B303" s="243"/>
      <c r="C303" s="443"/>
      <c r="D303" s="895" t="s">
        <v>523</v>
      </c>
      <c r="E303" s="821" t="s">
        <v>648</v>
      </c>
      <c r="F303" s="239"/>
      <c r="G303" s="194" t="s">
        <v>1380</v>
      </c>
      <c r="H303" s="188"/>
      <c r="I303" s="194" t="s">
        <v>1381</v>
      </c>
      <c r="J303" s="41"/>
      <c r="K303" s="194" t="s">
        <v>1397</v>
      </c>
      <c r="L303" s="188"/>
      <c r="M303" s="194" t="s">
        <v>1382</v>
      </c>
      <c r="N303" s="858"/>
      <c r="O303" s="858"/>
      <c r="P303" s="590"/>
      <c r="Q303" s="1092"/>
    </row>
    <row r="304" spans="1:17" s="180" customFormat="1" ht="33.75" hidden="1" customHeight="1" thickBot="1" x14ac:dyDescent="0.3">
      <c r="A304" s="243"/>
      <c r="B304" s="243"/>
      <c r="C304" s="443"/>
      <c r="D304" s="803" t="s">
        <v>1383</v>
      </c>
      <c r="E304" s="1318" t="s">
        <v>1384</v>
      </c>
      <c r="F304" s="196"/>
      <c r="G304" s="1319" t="str">
        <f>IF(E303="Yes","Program","")</f>
        <v/>
      </c>
      <c r="H304" s="188"/>
      <c r="I304" s="1320"/>
      <c r="J304" s="858"/>
      <c r="K304" s="1319" t="str">
        <f>IF(E303="Yes","Corporate Office","")</f>
        <v/>
      </c>
      <c r="L304" s="188"/>
      <c r="M304" s="1321"/>
      <c r="N304" s="858"/>
      <c r="O304" s="858"/>
      <c r="P304" s="590"/>
      <c r="Q304" s="1092"/>
    </row>
    <row r="305" spans="1:17" s="180" customFormat="1" ht="19.5" hidden="1" customHeight="1" thickBot="1" x14ac:dyDescent="0.3">
      <c r="A305" s="243"/>
      <c r="B305" s="243"/>
      <c r="C305" s="443"/>
      <c r="D305" s="7"/>
      <c r="E305" s="575"/>
      <c r="F305" s="817"/>
      <c r="G305" s="817"/>
      <c r="H305" s="858"/>
      <c r="I305" s="188"/>
      <c r="J305" s="188"/>
      <c r="K305" s="188"/>
      <c r="L305" s="858"/>
      <c r="M305" s="858"/>
      <c r="N305" s="858"/>
      <c r="O305" s="858"/>
      <c r="P305" s="590"/>
      <c r="Q305" s="1092"/>
    </row>
    <row r="306" spans="1:17" s="180" customFormat="1" ht="19.5" hidden="1" customHeight="1" thickBot="1" x14ac:dyDescent="0.3">
      <c r="A306" s="243"/>
      <c r="B306" s="243"/>
      <c r="C306" s="443"/>
      <c r="D306" s="810" t="s">
        <v>1385</v>
      </c>
      <c r="E306" s="1410" t="str">
        <f>IF(E303="Yes",IFERROR(VLOOKUP(G310,'Required Info to Submit'!$E$23:'Required Info to Submit'!$M$42,7, FALSE),""),"")</f>
        <v/>
      </c>
      <c r="F306" s="239"/>
      <c r="G306" s="228" t="s">
        <v>1396</v>
      </c>
      <c r="H306" s="188"/>
      <c r="I306" s="1322"/>
      <c r="J306" s="1322"/>
      <c r="K306" s="194" t="s">
        <v>1389</v>
      </c>
      <c r="L306" s="1322"/>
      <c r="M306" s="1829" t="str">
        <f>IF(C308="Yes","Retro Accrual will be posted to the GL.  Please provide business rational and ADF pre-approval is required","")</f>
        <v/>
      </c>
      <c r="N306" s="188"/>
      <c r="O306" s="6" t="s">
        <v>490</v>
      </c>
      <c r="P306" s="590"/>
      <c r="Q306" s="1092"/>
    </row>
    <row r="307" spans="1:17" s="180" customFormat="1" ht="19.5" hidden="1" customHeight="1" thickBot="1" x14ac:dyDescent="0.3">
      <c r="A307" s="243"/>
      <c r="B307" s="243"/>
      <c r="C307" s="443" t="str">
        <f ca="1">IF(C306="Yes",IF('Agreement Worksheet'!$K$5&gt;TODAY(),"Yes",""),"")</f>
        <v/>
      </c>
      <c r="D307" s="810" t="s">
        <v>1386</v>
      </c>
      <c r="E307" s="1410" t="str">
        <f>IF(E303="Yes",'Agreement Worksheet'!$K$5,"")</f>
        <v/>
      </c>
      <c r="F307" s="196"/>
      <c r="G307" s="1300" t="str">
        <f>IF(E303="Yes",IFERROR(K310*K307,""),"")</f>
        <v/>
      </c>
      <c r="H307" s="188"/>
      <c r="I307" s="1323"/>
      <c r="J307" s="1323"/>
      <c r="K307" s="1478" t="str">
        <f>IF(E303="Yes",IFERROR($K$222,""),"")</f>
        <v/>
      </c>
      <c r="L307" s="1322"/>
      <c r="M307" s="1829"/>
      <c r="N307" s="188"/>
      <c r="O307" s="887">
        <f>IF(Incentives!E307&lt;Welcome!D12,0,IF(E303="Yes",IFERROR(ROUND((G307/E310),0)*52,0),0))</f>
        <v>0</v>
      </c>
      <c r="P307" s="590"/>
      <c r="Q307" s="1092"/>
    </row>
    <row r="308" spans="1:17" s="180" customFormat="1" ht="19.5" hidden="1" customHeight="1" thickBot="1" x14ac:dyDescent="0.3">
      <c r="A308" s="243"/>
      <c r="B308" s="243"/>
      <c r="C308" s="443" t="str">
        <f>IF(AND($E306&lt;&gt;"",$E306&lt;E309),"Yes","")</f>
        <v/>
      </c>
      <c r="D308" s="858"/>
      <c r="E308" s="858"/>
      <c r="F308" s="196"/>
      <c r="G308" s="1322"/>
      <c r="H308" s="1322"/>
      <c r="I308" s="1322"/>
      <c r="J308" s="1322"/>
      <c r="K308" s="1322"/>
      <c r="L308" s="1322"/>
      <c r="M308" s="1829"/>
      <c r="N308" s="1322"/>
      <c r="O308" s="1322"/>
      <c r="P308" s="590"/>
      <c r="Q308" s="1092"/>
    </row>
    <row r="309" spans="1:17" s="180" customFormat="1" ht="29.25" hidden="1" customHeight="1" thickBot="1" x14ac:dyDescent="0.3">
      <c r="A309" s="243"/>
      <c r="B309" s="243"/>
      <c r="C309" s="443"/>
      <c r="D309" s="1324" t="s">
        <v>2004</v>
      </c>
      <c r="E309" s="1411" t="str">
        <f>IF(E303="Yes",IF(Welcome!D8&lt;&gt;"",Welcome!D8,""),"")</f>
        <v/>
      </c>
      <c r="F309" s="196"/>
      <c r="G309" s="228" t="s">
        <v>2005</v>
      </c>
      <c r="H309" s="1322"/>
      <c r="I309" s="228" t="s">
        <v>2006</v>
      </c>
      <c r="J309" s="1322"/>
      <c r="K309" s="228" t="s">
        <v>1482</v>
      </c>
      <c r="L309" s="1322"/>
      <c r="M309" s="1829"/>
      <c r="N309" s="1322"/>
      <c r="O309" s="1322"/>
      <c r="P309" s="590"/>
      <c r="Q309" s="1092"/>
    </row>
    <row r="310" spans="1:17" s="180" customFormat="1" ht="19.5" hidden="1" customHeight="1" thickBot="1" x14ac:dyDescent="0.3">
      <c r="A310" s="243"/>
      <c r="B310" s="243"/>
      <c r="C310" s="443"/>
      <c r="D310" s="1324" t="s">
        <v>2007</v>
      </c>
      <c r="E310" s="1355" t="str">
        <f>IFERROR(('Agreement Worksheet'!$K$5-E306)/7,"")</f>
        <v/>
      </c>
      <c r="F310" s="196"/>
      <c r="G310" s="1325"/>
      <c r="H310" s="1322"/>
      <c r="I310" s="1476" t="str">
        <f>IF(E303="Yes",IFERROR(VLOOKUP(G310,'Customer Inputs'!$G$6:'Customer Inputs'!$P$25,10,FALSE),""),"")</f>
        <v/>
      </c>
      <c r="J310" s="1322"/>
      <c r="K310" s="1300" t="str">
        <f>IFERROR((I310/52)*E310,"")</f>
        <v/>
      </c>
      <c r="L310" s="1322"/>
      <c r="M310" s="1322"/>
      <c r="N310" s="1322"/>
      <c r="O310" s="1322"/>
      <c r="P310" s="590"/>
      <c r="Q310" s="1092"/>
    </row>
    <row r="311" spans="1:17" s="180" customFormat="1" ht="19.5" hidden="1" customHeight="1" x14ac:dyDescent="0.25">
      <c r="A311" s="245"/>
      <c r="B311" s="245"/>
      <c r="C311" s="638"/>
      <c r="D311" s="459"/>
      <c r="E311" s="202"/>
      <c r="F311" s="202"/>
      <c r="G311" s="645"/>
      <c r="H311" s="202"/>
      <c r="I311" s="202"/>
      <c r="J311" s="202"/>
      <c r="K311" s="1045"/>
      <c r="L311" s="202"/>
      <c r="M311" s="202"/>
      <c r="N311" s="202"/>
      <c r="O311" s="202"/>
      <c r="P311" s="250"/>
      <c r="Q311" s="1092"/>
    </row>
    <row r="312" spans="1:17" s="180" customFormat="1" ht="9" hidden="1" customHeight="1" x14ac:dyDescent="0.25">
      <c r="C312" s="1339"/>
      <c r="Q312" s="1092"/>
    </row>
    <row r="313" spans="1:17" s="180" customFormat="1" ht="19.5" hidden="1" customHeight="1" thickBot="1" x14ac:dyDescent="0.3">
      <c r="A313" s="248"/>
      <c r="B313" s="248"/>
      <c r="C313" s="1337"/>
      <c r="D313" s="1830" t="s">
        <v>1775</v>
      </c>
      <c r="E313" s="1831"/>
      <c r="F313" s="866"/>
      <c r="G313" s="184"/>
      <c r="H313" s="184"/>
      <c r="I313" s="184"/>
      <c r="J313" s="184"/>
      <c r="K313" s="184"/>
      <c r="L313" s="184"/>
      <c r="M313" s="184"/>
      <c r="N313" s="184"/>
      <c r="O313" s="184"/>
      <c r="P313" s="589"/>
      <c r="Q313" s="1092"/>
    </row>
    <row r="314" spans="1:17" s="180" customFormat="1" ht="19.5" hidden="1" customHeight="1" thickBot="1" x14ac:dyDescent="0.3">
      <c r="A314" s="243"/>
      <c r="B314" s="243"/>
      <c r="C314" s="443"/>
      <c r="D314" s="895" t="s">
        <v>523</v>
      </c>
      <c r="E314" s="821" t="s">
        <v>648</v>
      </c>
      <c r="F314" s="239"/>
      <c r="G314" s="194" t="s">
        <v>1380</v>
      </c>
      <c r="H314" s="188"/>
      <c r="I314" s="194" t="s">
        <v>1381</v>
      </c>
      <c r="J314" s="41"/>
      <c r="K314" s="194" t="s">
        <v>1397</v>
      </c>
      <c r="L314" s="188"/>
      <c r="M314" s="194" t="s">
        <v>1382</v>
      </c>
      <c r="N314" s="858"/>
      <c r="O314" s="858"/>
      <c r="P314" s="590"/>
      <c r="Q314" s="1092"/>
    </row>
    <row r="315" spans="1:17" s="180" customFormat="1" ht="29.25" hidden="1" customHeight="1" thickBot="1" x14ac:dyDescent="0.3">
      <c r="A315" s="243"/>
      <c r="B315" s="243"/>
      <c r="C315" s="443"/>
      <c r="D315" s="803" t="s">
        <v>1383</v>
      </c>
      <c r="E315" s="1318" t="s">
        <v>1384</v>
      </c>
      <c r="F315" s="196"/>
      <c r="G315" s="1319" t="str">
        <f>IF(E314="Yes","Program","")</f>
        <v/>
      </c>
      <c r="H315" s="188"/>
      <c r="I315" s="1320"/>
      <c r="J315" s="858"/>
      <c r="K315" s="1319" t="str">
        <f>IF(E314="Yes","Corporate Office","")</f>
        <v/>
      </c>
      <c r="L315" s="188"/>
      <c r="M315" s="1321"/>
      <c r="N315" s="858"/>
      <c r="O315" s="858"/>
      <c r="P315" s="590"/>
      <c r="Q315" s="1092"/>
    </row>
    <row r="316" spans="1:17" s="180" customFormat="1" ht="19.5" hidden="1" customHeight="1" thickBot="1" x14ac:dyDescent="0.3">
      <c r="A316" s="243"/>
      <c r="B316" s="243"/>
      <c r="C316" s="443"/>
      <c r="D316" s="7"/>
      <c r="E316" s="575"/>
      <c r="F316" s="817"/>
      <c r="G316" s="817"/>
      <c r="H316" s="858"/>
      <c r="I316" s="188"/>
      <c r="J316" s="188"/>
      <c r="K316" s="188"/>
      <c r="L316" s="858"/>
      <c r="M316" s="858"/>
      <c r="N316" s="858"/>
      <c r="O316" s="858"/>
      <c r="P316" s="590"/>
      <c r="Q316" s="1092"/>
    </row>
    <row r="317" spans="1:17" s="180" customFormat="1" ht="19.5" hidden="1" customHeight="1" thickBot="1" x14ac:dyDescent="0.3">
      <c r="A317" s="243"/>
      <c r="B317" s="243"/>
      <c r="C317" s="443"/>
      <c r="D317" s="810" t="s">
        <v>1385</v>
      </c>
      <c r="E317" s="1410" t="str">
        <f>IF(E314="Yes",IFERROR(VLOOKUP(G321,'Required Info to Submit'!$E$23:'Required Info to Submit'!$M$42,7, FALSE),""),"")</f>
        <v/>
      </c>
      <c r="F317" s="239"/>
      <c r="G317" s="228" t="s">
        <v>1396</v>
      </c>
      <c r="H317" s="188"/>
      <c r="I317" s="1322"/>
      <c r="J317" s="1322"/>
      <c r="K317" s="194" t="s">
        <v>1389</v>
      </c>
      <c r="L317" s="1322"/>
      <c r="M317" s="1829" t="str">
        <f>IF(C319="Yes","Retro Accrual will be posted to the GL.  Please provide business rational and ADF pre-approval is required","")</f>
        <v/>
      </c>
      <c r="N317" s="188"/>
      <c r="O317" s="6" t="s">
        <v>490</v>
      </c>
      <c r="P317" s="590"/>
      <c r="Q317" s="1092"/>
    </row>
    <row r="318" spans="1:17" s="180" customFormat="1" ht="19.5" hidden="1" customHeight="1" thickBot="1" x14ac:dyDescent="0.3">
      <c r="A318" s="243"/>
      <c r="B318" s="243"/>
      <c r="C318" s="443" t="str">
        <f ca="1">IF(C317="Yes",IF('Agreement Worksheet'!$K$5&gt;TODAY(),"Yes",""),"")</f>
        <v/>
      </c>
      <c r="D318" s="810" t="s">
        <v>1386</v>
      </c>
      <c r="E318" s="1410" t="str">
        <f>IF(E314="Yes",'Agreement Worksheet'!$K$5,"")</f>
        <v/>
      </c>
      <c r="F318" s="196"/>
      <c r="G318" s="1300" t="str">
        <f>IF(E314="Yes",IFERROR(K321*K318,""),"")</f>
        <v/>
      </c>
      <c r="H318" s="188"/>
      <c r="I318" s="1323"/>
      <c r="J318" s="1323"/>
      <c r="K318" s="1478" t="str">
        <f>IF(E314="Yes",IFERROR($K$222,""),"")</f>
        <v/>
      </c>
      <c r="L318" s="1322"/>
      <c r="M318" s="1829"/>
      <c r="N318" s="188"/>
      <c r="O318" s="887">
        <f>IF(Incentives!E318&lt;Welcome!D12,0,IF(E314="Yes",IFERROR(ROUND((G318/E321),0)*52,0),0))</f>
        <v>0</v>
      </c>
      <c r="P318" s="590"/>
      <c r="Q318" s="1092"/>
    </row>
    <row r="319" spans="1:17" s="180" customFormat="1" ht="19.5" hidden="1" customHeight="1" thickBot="1" x14ac:dyDescent="0.3">
      <c r="A319" s="243"/>
      <c r="B319" s="243"/>
      <c r="C319" s="443" t="str">
        <f>IF(AND($E317&lt;&gt;"",$E317&lt;E320),"Yes","")</f>
        <v/>
      </c>
      <c r="D319" s="858"/>
      <c r="E319" s="858"/>
      <c r="F319" s="196"/>
      <c r="G319" s="1322"/>
      <c r="H319" s="1322"/>
      <c r="I319" s="1322"/>
      <c r="J319" s="1322"/>
      <c r="K319" s="1322"/>
      <c r="L319" s="1322"/>
      <c r="M319" s="1829"/>
      <c r="N319" s="1322"/>
      <c r="O319" s="1322"/>
      <c r="P319" s="590"/>
      <c r="Q319" s="1092"/>
    </row>
    <row r="320" spans="1:17" s="180" customFormat="1" ht="27" hidden="1" customHeight="1" thickBot="1" x14ac:dyDescent="0.3">
      <c r="A320" s="243"/>
      <c r="B320" s="243"/>
      <c r="C320" s="443"/>
      <c r="D320" s="1324" t="s">
        <v>2004</v>
      </c>
      <c r="E320" s="1411" t="str">
        <f>IF(E314="Yes",IF(Welcome!D$8&lt;&gt;"",Welcome!D$8,""),"")</f>
        <v/>
      </c>
      <c r="F320" s="196"/>
      <c r="G320" s="228" t="s">
        <v>2005</v>
      </c>
      <c r="H320" s="1322"/>
      <c r="I320" s="228" t="s">
        <v>2006</v>
      </c>
      <c r="J320" s="1322"/>
      <c r="K320" s="228" t="s">
        <v>1482</v>
      </c>
      <c r="L320" s="1322"/>
      <c r="M320" s="1829"/>
      <c r="N320" s="1322"/>
      <c r="O320" s="1322"/>
      <c r="P320" s="590"/>
      <c r="Q320" s="1092"/>
    </row>
    <row r="321" spans="1:17" s="180" customFormat="1" ht="19.5" hidden="1" customHeight="1" thickBot="1" x14ac:dyDescent="0.3">
      <c r="A321" s="243"/>
      <c r="B321" s="243"/>
      <c r="C321" s="443"/>
      <c r="D321" s="1324" t="s">
        <v>2007</v>
      </c>
      <c r="E321" s="1355" t="str">
        <f>IFERROR(('Agreement Worksheet'!$K$5-E317)/7,"")</f>
        <v/>
      </c>
      <c r="F321" s="196"/>
      <c r="G321" s="1325"/>
      <c r="H321" s="1322"/>
      <c r="I321" s="1476" t="str">
        <f>IF(E314="Yes",IFERROR(VLOOKUP(G321,'Customer Inputs'!$G$6:'Customer Inputs'!$P$25,10,FALSE),""),"")</f>
        <v/>
      </c>
      <c r="J321" s="1322"/>
      <c r="K321" s="1300" t="str">
        <f>IFERROR((I321/52)*E321,"")</f>
        <v/>
      </c>
      <c r="L321" s="1322"/>
      <c r="M321" s="1322"/>
      <c r="N321" s="1322"/>
      <c r="O321" s="1322"/>
      <c r="P321" s="590"/>
      <c r="Q321" s="1092"/>
    </row>
    <row r="322" spans="1:17" s="180" customFormat="1" ht="19.5" hidden="1" customHeight="1" x14ac:dyDescent="0.25">
      <c r="A322" s="245"/>
      <c r="B322" s="245"/>
      <c r="C322" s="638"/>
      <c r="D322" s="459"/>
      <c r="E322" s="202"/>
      <c r="F322" s="202"/>
      <c r="G322" s="645"/>
      <c r="H322" s="202"/>
      <c r="I322" s="202"/>
      <c r="J322" s="202"/>
      <c r="K322" s="1045"/>
      <c r="L322" s="202"/>
      <c r="M322" s="202"/>
      <c r="N322" s="202"/>
      <c r="O322" s="202"/>
      <c r="P322" s="250"/>
      <c r="Q322" s="1092"/>
    </row>
    <row r="323" spans="1:17" s="180" customFormat="1" ht="9" hidden="1" customHeight="1" x14ac:dyDescent="0.25">
      <c r="C323" s="1339"/>
      <c r="Q323" s="1092"/>
    </row>
    <row r="324" spans="1:17" s="180" customFormat="1" ht="19.5" hidden="1" customHeight="1" thickBot="1" x14ac:dyDescent="0.3">
      <c r="A324" s="248"/>
      <c r="B324" s="248"/>
      <c r="C324" s="1337"/>
      <c r="D324" s="1830" t="s">
        <v>1775</v>
      </c>
      <c r="E324" s="1831"/>
      <c r="F324" s="866"/>
      <c r="G324" s="184"/>
      <c r="H324" s="184"/>
      <c r="I324" s="184"/>
      <c r="J324" s="184"/>
      <c r="K324" s="184"/>
      <c r="L324" s="184"/>
      <c r="M324" s="184"/>
      <c r="N324" s="184"/>
      <c r="O324" s="184"/>
      <c r="P324" s="589"/>
      <c r="Q324" s="1092"/>
    </row>
    <row r="325" spans="1:17" s="180" customFormat="1" ht="19.5" hidden="1" customHeight="1" thickBot="1" x14ac:dyDescent="0.3">
      <c r="A325" s="243"/>
      <c r="B325" s="243"/>
      <c r="C325" s="443"/>
      <c r="D325" s="895" t="s">
        <v>523</v>
      </c>
      <c r="E325" s="821" t="s">
        <v>648</v>
      </c>
      <c r="F325" s="239"/>
      <c r="G325" s="194" t="s">
        <v>1380</v>
      </c>
      <c r="H325" s="188"/>
      <c r="I325" s="194" t="s">
        <v>1381</v>
      </c>
      <c r="J325" s="41"/>
      <c r="K325" s="194" t="s">
        <v>1397</v>
      </c>
      <c r="L325" s="188"/>
      <c r="M325" s="194" t="s">
        <v>1382</v>
      </c>
      <c r="N325" s="858"/>
      <c r="O325" s="858"/>
      <c r="P325" s="590"/>
      <c r="Q325" s="1092"/>
    </row>
    <row r="326" spans="1:17" s="180" customFormat="1" ht="29.25" hidden="1" customHeight="1" thickBot="1" x14ac:dyDescent="0.3">
      <c r="A326" s="243"/>
      <c r="B326" s="243"/>
      <c r="C326" s="443"/>
      <c r="D326" s="803" t="s">
        <v>1383</v>
      </c>
      <c r="E326" s="1318" t="s">
        <v>1384</v>
      </c>
      <c r="F326" s="196"/>
      <c r="G326" s="1319" t="str">
        <f>IF(E325="Yes","Program","")</f>
        <v/>
      </c>
      <c r="H326" s="188"/>
      <c r="I326" s="1320"/>
      <c r="J326" s="858"/>
      <c r="K326" s="1319" t="str">
        <f>IF(E325="Yes","Corporate Office","")</f>
        <v/>
      </c>
      <c r="L326" s="188"/>
      <c r="M326" s="1321"/>
      <c r="N326" s="858"/>
      <c r="O326" s="858"/>
      <c r="P326" s="590"/>
      <c r="Q326" s="1092"/>
    </row>
    <row r="327" spans="1:17" s="180" customFormat="1" ht="19.5" hidden="1" customHeight="1" thickBot="1" x14ac:dyDescent="0.3">
      <c r="A327" s="243"/>
      <c r="B327" s="243"/>
      <c r="C327" s="443"/>
      <c r="D327" s="7"/>
      <c r="E327" s="575"/>
      <c r="F327" s="817"/>
      <c r="G327" s="817"/>
      <c r="H327" s="858"/>
      <c r="I327" s="188"/>
      <c r="J327" s="188"/>
      <c r="K327" s="188"/>
      <c r="L327" s="858"/>
      <c r="M327" s="858"/>
      <c r="N327" s="858"/>
      <c r="O327" s="858"/>
      <c r="P327" s="590"/>
      <c r="Q327" s="1092"/>
    </row>
    <row r="328" spans="1:17" s="180" customFormat="1" ht="19.5" hidden="1" customHeight="1" thickBot="1" x14ac:dyDescent="0.3">
      <c r="A328" s="243"/>
      <c r="B328" s="243"/>
      <c r="C328" s="443"/>
      <c r="D328" s="810" t="s">
        <v>1385</v>
      </c>
      <c r="E328" s="1410" t="str">
        <f>IF(E325="Yes",IFERROR(VLOOKUP(G332,'Required Info to Submit'!$E$23:'Required Info to Submit'!$M$42,7, FALSE),""),"")</f>
        <v/>
      </c>
      <c r="F328" s="239"/>
      <c r="G328" s="228" t="s">
        <v>1396</v>
      </c>
      <c r="H328" s="188"/>
      <c r="I328" s="1322"/>
      <c r="J328" s="1322"/>
      <c r="K328" s="194" t="s">
        <v>1389</v>
      </c>
      <c r="L328" s="1322"/>
      <c r="M328" s="1829" t="str">
        <f>IF(C330="Yes","Retro Accrual will be posted to the GL.  Please provide business rational and ADF pre-approval is required","")</f>
        <v/>
      </c>
      <c r="N328" s="188"/>
      <c r="O328" s="6" t="s">
        <v>490</v>
      </c>
      <c r="P328" s="590"/>
      <c r="Q328" s="1092"/>
    </row>
    <row r="329" spans="1:17" s="180" customFormat="1" ht="19.5" hidden="1" customHeight="1" thickBot="1" x14ac:dyDescent="0.3">
      <c r="A329" s="243"/>
      <c r="B329" s="243"/>
      <c r="C329" s="443" t="str">
        <f ca="1">IF(C328="Yes",IF('Agreement Worksheet'!$K$5&gt;TODAY(),"Yes",""),"")</f>
        <v/>
      </c>
      <c r="D329" s="810" t="s">
        <v>1386</v>
      </c>
      <c r="E329" s="1410" t="str">
        <f>IF(E325="Yes",'Agreement Worksheet'!$K$5,"")</f>
        <v/>
      </c>
      <c r="F329" s="196"/>
      <c r="G329" s="1476" t="str">
        <f>IF(E325="Yes",IFERROR(K332*K329,""),"")</f>
        <v/>
      </c>
      <c r="H329" s="188"/>
      <c r="I329" s="1323"/>
      <c r="J329" s="1323"/>
      <c r="K329" s="1478" t="str">
        <f>IF(E325="Yes",IFERROR($K$222,""),"")</f>
        <v/>
      </c>
      <c r="L329" s="1322"/>
      <c r="M329" s="1829"/>
      <c r="N329" s="188"/>
      <c r="O329" s="887">
        <f>IF(Incentives!E329&lt;Welcome!D23,0,IF(E325="Yes",IFERROR(ROUND((G329/E332),0)*52,0),0))</f>
        <v>0</v>
      </c>
      <c r="P329" s="590"/>
      <c r="Q329" s="1092"/>
    </row>
    <row r="330" spans="1:17" s="180" customFormat="1" ht="19.5" hidden="1" customHeight="1" thickBot="1" x14ac:dyDescent="0.3">
      <c r="A330" s="243"/>
      <c r="B330" s="243"/>
      <c r="C330" s="443" t="str">
        <f>IF(AND($E328&lt;&gt;"",$E328&lt;E331),"Yes","")</f>
        <v/>
      </c>
      <c r="D330" s="858"/>
      <c r="E330" s="858"/>
      <c r="F330" s="196"/>
      <c r="G330" s="1322"/>
      <c r="H330" s="1322"/>
      <c r="I330" s="1322"/>
      <c r="J330" s="1322"/>
      <c r="K330" s="1322"/>
      <c r="L330" s="1322"/>
      <c r="M330" s="1829"/>
      <c r="N330" s="1322"/>
      <c r="O330" s="1322"/>
      <c r="P330" s="590"/>
      <c r="Q330" s="1092"/>
    </row>
    <row r="331" spans="1:17" s="180" customFormat="1" ht="27" hidden="1" customHeight="1" thickBot="1" x14ac:dyDescent="0.3">
      <c r="A331" s="243"/>
      <c r="B331" s="243"/>
      <c r="C331" s="443"/>
      <c r="D331" s="1324" t="s">
        <v>2004</v>
      </c>
      <c r="E331" s="1411" t="str">
        <f>IF(E325="Yes",IF(Welcome!D$8&lt;&gt;"",Welcome!D$8,""),"")</f>
        <v/>
      </c>
      <c r="F331" s="196"/>
      <c r="G331" s="228" t="s">
        <v>2005</v>
      </c>
      <c r="H331" s="1322"/>
      <c r="I331" s="228" t="s">
        <v>2006</v>
      </c>
      <c r="J331" s="1322"/>
      <c r="K331" s="228" t="s">
        <v>1482</v>
      </c>
      <c r="L331" s="1322"/>
      <c r="M331" s="1829"/>
      <c r="N331" s="1322"/>
      <c r="O331" s="1322"/>
      <c r="P331" s="590"/>
      <c r="Q331" s="1092"/>
    </row>
    <row r="332" spans="1:17" s="180" customFormat="1" ht="19.5" hidden="1" customHeight="1" thickBot="1" x14ac:dyDescent="0.3">
      <c r="A332" s="243"/>
      <c r="B332" s="243"/>
      <c r="C332" s="443"/>
      <c r="D332" s="1324" t="s">
        <v>2007</v>
      </c>
      <c r="E332" s="1355" t="str">
        <f>IFERROR(('Agreement Worksheet'!$K$5-E328)/7,"")</f>
        <v/>
      </c>
      <c r="F332" s="196"/>
      <c r="G332" s="1325"/>
      <c r="H332" s="1322"/>
      <c r="I332" s="1476" t="str">
        <f>IF(E325="Yes",IFERROR(VLOOKUP(G332,'Customer Inputs'!$G$6:'Customer Inputs'!$P$25,10,FALSE),""),"")</f>
        <v/>
      </c>
      <c r="J332" s="1322"/>
      <c r="K332" s="1476" t="str">
        <f>IFERROR((I332/52)*E332,"")</f>
        <v/>
      </c>
      <c r="L332" s="1322"/>
      <c r="M332" s="1322"/>
      <c r="N332" s="1322"/>
      <c r="O332" s="1322"/>
      <c r="P332" s="590"/>
      <c r="Q332" s="1092"/>
    </row>
    <row r="333" spans="1:17" s="180" customFormat="1" ht="19.5" hidden="1" customHeight="1" x14ac:dyDescent="0.25">
      <c r="A333" s="245"/>
      <c r="B333" s="245"/>
      <c r="C333" s="638"/>
      <c r="D333" s="459"/>
      <c r="E333" s="202"/>
      <c r="F333" s="202"/>
      <c r="G333" s="645"/>
      <c r="H333" s="202"/>
      <c r="I333" s="202"/>
      <c r="J333" s="202"/>
      <c r="K333" s="1045"/>
      <c r="L333" s="202"/>
      <c r="M333" s="202"/>
      <c r="N333" s="202"/>
      <c r="O333" s="202"/>
      <c r="P333" s="250"/>
      <c r="Q333" s="1092"/>
    </row>
    <row r="334" spans="1:17" s="180" customFormat="1" ht="9" hidden="1" customHeight="1" x14ac:dyDescent="0.25">
      <c r="C334" s="1339"/>
      <c r="Q334" s="1092"/>
    </row>
    <row r="335" spans="1:17" s="180" customFormat="1" ht="19.5" hidden="1" customHeight="1" thickBot="1" x14ac:dyDescent="0.3">
      <c r="A335" s="248"/>
      <c r="B335" s="248"/>
      <c r="C335" s="1337"/>
      <c r="D335" s="1830" t="s">
        <v>1775</v>
      </c>
      <c r="E335" s="1831"/>
      <c r="F335" s="866"/>
      <c r="G335" s="184"/>
      <c r="H335" s="184"/>
      <c r="I335" s="184"/>
      <c r="J335" s="184"/>
      <c r="K335" s="184"/>
      <c r="L335" s="184"/>
      <c r="M335" s="184"/>
      <c r="N335" s="184"/>
      <c r="O335" s="184"/>
      <c r="P335" s="589"/>
      <c r="Q335" s="1092"/>
    </row>
    <row r="336" spans="1:17" s="180" customFormat="1" ht="19.5" hidden="1" customHeight="1" thickBot="1" x14ac:dyDescent="0.3">
      <c r="A336" s="243"/>
      <c r="B336" s="243"/>
      <c r="C336" s="443"/>
      <c r="D336" s="895" t="s">
        <v>523</v>
      </c>
      <c r="E336" s="821" t="s">
        <v>648</v>
      </c>
      <c r="F336" s="239"/>
      <c r="G336" s="194" t="s">
        <v>1380</v>
      </c>
      <c r="H336" s="188"/>
      <c r="I336" s="194" t="s">
        <v>1381</v>
      </c>
      <c r="J336" s="41"/>
      <c r="K336" s="194" t="s">
        <v>1397</v>
      </c>
      <c r="L336" s="188"/>
      <c r="M336" s="194" t="s">
        <v>1382</v>
      </c>
      <c r="N336" s="858"/>
      <c r="O336" s="858"/>
      <c r="P336" s="590"/>
      <c r="Q336" s="1092"/>
    </row>
    <row r="337" spans="1:17" s="180" customFormat="1" ht="29.25" hidden="1" customHeight="1" thickBot="1" x14ac:dyDescent="0.3">
      <c r="A337" s="243"/>
      <c r="B337" s="243"/>
      <c r="C337" s="443"/>
      <c r="D337" s="803" t="s">
        <v>1383</v>
      </c>
      <c r="E337" s="1318" t="s">
        <v>1384</v>
      </c>
      <c r="F337" s="196"/>
      <c r="G337" s="1319" t="str">
        <f>IF(E336="Yes","Program","")</f>
        <v/>
      </c>
      <c r="H337" s="188"/>
      <c r="I337" s="1320"/>
      <c r="J337" s="858"/>
      <c r="K337" s="1319" t="str">
        <f>IF(E336="Yes","Corporate Office","")</f>
        <v/>
      </c>
      <c r="L337" s="188"/>
      <c r="M337" s="1321"/>
      <c r="N337" s="858"/>
      <c r="O337" s="858"/>
      <c r="P337" s="590"/>
      <c r="Q337" s="1092"/>
    </row>
    <row r="338" spans="1:17" s="180" customFormat="1" ht="19.5" hidden="1" customHeight="1" thickBot="1" x14ac:dyDescent="0.3">
      <c r="A338" s="243"/>
      <c r="B338" s="243"/>
      <c r="C338" s="443"/>
      <c r="D338" s="7"/>
      <c r="E338" s="575"/>
      <c r="F338" s="817"/>
      <c r="G338" s="817"/>
      <c r="H338" s="858"/>
      <c r="I338" s="188"/>
      <c r="J338" s="188"/>
      <c r="K338" s="188"/>
      <c r="L338" s="858"/>
      <c r="M338" s="858"/>
      <c r="N338" s="858"/>
      <c r="O338" s="858"/>
      <c r="P338" s="590"/>
      <c r="Q338" s="1092"/>
    </row>
    <row r="339" spans="1:17" s="180" customFormat="1" ht="19.5" hidden="1" customHeight="1" thickBot="1" x14ac:dyDescent="0.3">
      <c r="A339" s="243"/>
      <c r="B339" s="243"/>
      <c r="C339" s="443"/>
      <c r="D339" s="810" t="s">
        <v>1385</v>
      </c>
      <c r="E339" s="1410" t="str">
        <f>IF(E336="Yes",IFERROR(VLOOKUP(G343,'Required Info to Submit'!$E$23:'Required Info to Submit'!$M$42,7, FALSE),""),"")</f>
        <v/>
      </c>
      <c r="F339" s="239"/>
      <c r="G339" s="228" t="s">
        <v>1396</v>
      </c>
      <c r="H339" s="188"/>
      <c r="I339" s="1322"/>
      <c r="J339" s="1322"/>
      <c r="K339" s="194" t="s">
        <v>1389</v>
      </c>
      <c r="L339" s="1322"/>
      <c r="M339" s="1829" t="str">
        <f>IF(C341="Yes","Retro Accrual will be posted to the GL.  Please provide business rational and ADF pre-approval is required","")</f>
        <v/>
      </c>
      <c r="N339" s="188"/>
      <c r="O339" s="6" t="s">
        <v>490</v>
      </c>
      <c r="P339" s="590"/>
      <c r="Q339" s="1092"/>
    </row>
    <row r="340" spans="1:17" s="180" customFormat="1" ht="19.5" hidden="1" customHeight="1" thickBot="1" x14ac:dyDescent="0.3">
      <c r="A340" s="243"/>
      <c r="B340" s="243"/>
      <c r="C340" s="443" t="str">
        <f ca="1">IF(C339="Yes",IF('Agreement Worksheet'!$K$5&gt;TODAY(),"Yes",""),"")</f>
        <v/>
      </c>
      <c r="D340" s="810" t="s">
        <v>1386</v>
      </c>
      <c r="E340" s="1410" t="str">
        <f>IF(E336="Yes",'Agreement Worksheet'!$K$5,"")</f>
        <v/>
      </c>
      <c r="F340" s="196"/>
      <c r="G340" s="1476" t="str">
        <f>IF(E336="Yes",IFERROR(K343*K340,""),"")</f>
        <v/>
      </c>
      <c r="H340" s="188"/>
      <c r="I340" s="1323"/>
      <c r="J340" s="1323"/>
      <c r="K340" s="1478" t="str">
        <f>IF(E336="Yes",IFERROR($K$222,""),"")</f>
        <v/>
      </c>
      <c r="L340" s="1322"/>
      <c r="M340" s="1829"/>
      <c r="N340" s="188"/>
      <c r="O340" s="887">
        <f>IF(Incentives!E340&lt;Welcome!D34,0,IF(E336="Yes",IFERROR(ROUND((G340/E343),0)*52,0),0))</f>
        <v>0</v>
      </c>
      <c r="P340" s="590"/>
      <c r="Q340" s="1092"/>
    </row>
    <row r="341" spans="1:17" s="180" customFormat="1" ht="19.5" hidden="1" customHeight="1" thickBot="1" x14ac:dyDescent="0.3">
      <c r="A341" s="243"/>
      <c r="B341" s="243"/>
      <c r="C341" s="443" t="str">
        <f>IF(AND($E339&lt;&gt;"",$E339&lt;E342),"Yes","")</f>
        <v/>
      </c>
      <c r="D341" s="858"/>
      <c r="E341" s="858"/>
      <c r="F341" s="196"/>
      <c r="G341" s="1322"/>
      <c r="H341" s="1322"/>
      <c r="I341" s="1322"/>
      <c r="J341" s="1322"/>
      <c r="K341" s="1322"/>
      <c r="L341" s="1322"/>
      <c r="M341" s="1829"/>
      <c r="N341" s="1322"/>
      <c r="O341" s="1322"/>
      <c r="P341" s="590"/>
      <c r="Q341" s="1092"/>
    </row>
    <row r="342" spans="1:17" s="180" customFormat="1" ht="27" hidden="1" customHeight="1" thickBot="1" x14ac:dyDescent="0.3">
      <c r="A342" s="243"/>
      <c r="B342" s="243"/>
      <c r="C342" s="443"/>
      <c r="D342" s="1324" t="s">
        <v>2004</v>
      </c>
      <c r="E342" s="1411" t="str">
        <f>IF(E336="Yes",IF(Welcome!D$8&lt;&gt;"",Welcome!D$8,""),"")</f>
        <v/>
      </c>
      <c r="F342" s="196"/>
      <c r="G342" s="228" t="s">
        <v>2005</v>
      </c>
      <c r="H342" s="1322"/>
      <c r="I342" s="228" t="s">
        <v>2006</v>
      </c>
      <c r="J342" s="1322"/>
      <c r="K342" s="228" t="s">
        <v>1482</v>
      </c>
      <c r="L342" s="1322"/>
      <c r="M342" s="1829"/>
      <c r="N342" s="1322"/>
      <c r="O342" s="1322"/>
      <c r="P342" s="590"/>
      <c r="Q342" s="1092"/>
    </row>
    <row r="343" spans="1:17" s="180" customFormat="1" ht="19.5" hidden="1" customHeight="1" thickBot="1" x14ac:dyDescent="0.3">
      <c r="A343" s="243"/>
      <c r="B343" s="243"/>
      <c r="C343" s="443"/>
      <c r="D343" s="1324" t="s">
        <v>2007</v>
      </c>
      <c r="E343" s="1355" t="str">
        <f>IFERROR(('Agreement Worksheet'!$K$5-E339)/7,"")</f>
        <v/>
      </c>
      <c r="F343" s="196"/>
      <c r="G343" s="1325"/>
      <c r="H343" s="1322"/>
      <c r="I343" s="1476" t="str">
        <f>IF(E336="Yes",IFERROR(VLOOKUP(G343,'Customer Inputs'!$G$6:'Customer Inputs'!$P$25,10,FALSE),""),"")</f>
        <v/>
      </c>
      <c r="J343" s="1322"/>
      <c r="K343" s="1476" t="str">
        <f>IFERROR((I343/52)*E343,"")</f>
        <v/>
      </c>
      <c r="L343" s="1322"/>
      <c r="M343" s="1322"/>
      <c r="N343" s="1322"/>
      <c r="O343" s="1322"/>
      <c r="P343" s="590"/>
      <c r="Q343" s="1092"/>
    </row>
    <row r="344" spans="1:17" s="180" customFormat="1" ht="19.5" hidden="1" customHeight="1" x14ac:dyDescent="0.25">
      <c r="A344" s="245"/>
      <c r="B344" s="245"/>
      <c r="C344" s="638"/>
      <c r="D344" s="459"/>
      <c r="E344" s="202"/>
      <c r="F344" s="202"/>
      <c r="G344" s="645"/>
      <c r="H344" s="202"/>
      <c r="I344" s="202"/>
      <c r="J344" s="202"/>
      <c r="K344" s="1045"/>
      <c r="L344" s="202"/>
      <c r="M344" s="202"/>
      <c r="N344" s="202"/>
      <c r="O344" s="202"/>
      <c r="P344" s="250"/>
      <c r="Q344" s="1092"/>
    </row>
    <row r="345" spans="1:17" s="180" customFormat="1" ht="9" hidden="1" customHeight="1" x14ac:dyDescent="0.25">
      <c r="C345" s="1339"/>
      <c r="Q345" s="1092"/>
    </row>
    <row r="346" spans="1:17" s="180" customFormat="1" ht="19.5" hidden="1" customHeight="1" thickBot="1" x14ac:dyDescent="0.3">
      <c r="A346" s="248"/>
      <c r="B346" s="248"/>
      <c r="C346" s="1337"/>
      <c r="D346" s="1830" t="s">
        <v>1775</v>
      </c>
      <c r="E346" s="1831"/>
      <c r="F346" s="866"/>
      <c r="G346" s="184"/>
      <c r="H346" s="184"/>
      <c r="I346" s="184"/>
      <c r="J346" s="184"/>
      <c r="K346" s="184"/>
      <c r="L346" s="184"/>
      <c r="M346" s="184"/>
      <c r="N346" s="184"/>
      <c r="O346" s="184"/>
      <c r="P346" s="589"/>
      <c r="Q346" s="1092"/>
    </row>
    <row r="347" spans="1:17" s="180" customFormat="1" ht="19.5" hidden="1" customHeight="1" thickBot="1" x14ac:dyDescent="0.3">
      <c r="A347" s="243"/>
      <c r="B347" s="243"/>
      <c r="C347" s="443"/>
      <c r="D347" s="895" t="s">
        <v>523</v>
      </c>
      <c r="E347" s="821" t="s">
        <v>648</v>
      </c>
      <c r="F347" s="239"/>
      <c r="G347" s="194" t="s">
        <v>1380</v>
      </c>
      <c r="H347" s="188"/>
      <c r="I347" s="194" t="s">
        <v>1381</v>
      </c>
      <c r="J347" s="41"/>
      <c r="K347" s="194" t="s">
        <v>1397</v>
      </c>
      <c r="L347" s="188"/>
      <c r="M347" s="194" t="s">
        <v>1382</v>
      </c>
      <c r="N347" s="858"/>
      <c r="O347" s="858"/>
      <c r="P347" s="590"/>
      <c r="Q347" s="1092"/>
    </row>
    <row r="348" spans="1:17" s="180" customFormat="1" ht="29.25" hidden="1" customHeight="1" thickBot="1" x14ac:dyDescent="0.3">
      <c r="A348" s="243"/>
      <c r="B348" s="243"/>
      <c r="C348" s="443"/>
      <c r="D348" s="803" t="s">
        <v>1383</v>
      </c>
      <c r="E348" s="1318" t="s">
        <v>1384</v>
      </c>
      <c r="F348" s="196"/>
      <c r="G348" s="1319" t="str">
        <f>IF(E347="Yes","Program","")</f>
        <v/>
      </c>
      <c r="H348" s="188"/>
      <c r="I348" s="1320"/>
      <c r="J348" s="858"/>
      <c r="K348" s="1319" t="str">
        <f>IF(E347="Yes","Corporate Office","")</f>
        <v/>
      </c>
      <c r="L348" s="188"/>
      <c r="M348" s="1321"/>
      <c r="N348" s="858"/>
      <c r="O348" s="858"/>
      <c r="P348" s="590"/>
      <c r="Q348" s="1092"/>
    </row>
    <row r="349" spans="1:17" s="180" customFormat="1" ht="19.5" hidden="1" customHeight="1" thickBot="1" x14ac:dyDescent="0.3">
      <c r="A349" s="243"/>
      <c r="B349" s="243"/>
      <c r="C349" s="443"/>
      <c r="D349" s="7"/>
      <c r="E349" s="575"/>
      <c r="F349" s="817"/>
      <c r="G349" s="817"/>
      <c r="H349" s="858"/>
      <c r="I349" s="188"/>
      <c r="J349" s="188"/>
      <c r="K349" s="188"/>
      <c r="L349" s="858"/>
      <c r="M349" s="858"/>
      <c r="N349" s="858"/>
      <c r="O349" s="858"/>
      <c r="P349" s="590"/>
      <c r="Q349" s="1092"/>
    </row>
    <row r="350" spans="1:17" s="180" customFormat="1" ht="19.5" hidden="1" customHeight="1" thickBot="1" x14ac:dyDescent="0.3">
      <c r="A350" s="243"/>
      <c r="B350" s="243"/>
      <c r="C350" s="443"/>
      <c r="D350" s="810" t="s">
        <v>1385</v>
      </c>
      <c r="E350" s="1410" t="str">
        <f>IF(E347="Yes",IFERROR(VLOOKUP(G354,'Required Info to Submit'!$E$23:'Required Info to Submit'!$M$42,7, FALSE),""),"")</f>
        <v/>
      </c>
      <c r="F350" s="239"/>
      <c r="G350" s="228" t="s">
        <v>1396</v>
      </c>
      <c r="H350" s="188"/>
      <c r="I350" s="1322"/>
      <c r="J350" s="1322"/>
      <c r="K350" s="194" t="s">
        <v>1389</v>
      </c>
      <c r="L350" s="1322"/>
      <c r="M350" s="1829" t="str">
        <f>IF(C352="Yes","Retro Accrual will be posted to the GL.  Please provide business rational and ADF pre-approval is required","")</f>
        <v/>
      </c>
      <c r="N350" s="188"/>
      <c r="O350" s="6" t="s">
        <v>490</v>
      </c>
      <c r="P350" s="590"/>
      <c r="Q350" s="1092"/>
    </row>
    <row r="351" spans="1:17" s="180" customFormat="1" ht="19.5" hidden="1" customHeight="1" thickBot="1" x14ac:dyDescent="0.3">
      <c r="A351" s="243"/>
      <c r="B351" s="243"/>
      <c r="C351" s="443" t="str">
        <f ca="1">IF(C350="Yes",IF('Agreement Worksheet'!$K$5&gt;TODAY(),"Yes",""),"")</f>
        <v/>
      </c>
      <c r="D351" s="810" t="s">
        <v>1386</v>
      </c>
      <c r="E351" s="1410" t="str">
        <f>IF(E347="Yes",'Agreement Worksheet'!$K$5,"")</f>
        <v/>
      </c>
      <c r="F351" s="196"/>
      <c r="G351" s="1476" t="str">
        <f>IF(E347="Yes",IFERROR(K354*K351,""),"")</f>
        <v/>
      </c>
      <c r="H351" s="188"/>
      <c r="I351" s="1323"/>
      <c r="J351" s="1323"/>
      <c r="K351" s="1478" t="str">
        <f>IF(E347="Yes",IFERROR($K$222,""),"")</f>
        <v/>
      </c>
      <c r="L351" s="1322"/>
      <c r="M351" s="1829"/>
      <c r="N351" s="188"/>
      <c r="O351" s="887">
        <f>IF(Incentives!E351&lt;Welcome!D45,0,IF(E347="Yes",IFERROR(ROUND((G351/E354),0)*52,0),0))</f>
        <v>0</v>
      </c>
      <c r="P351" s="590"/>
      <c r="Q351" s="1092"/>
    </row>
    <row r="352" spans="1:17" s="180" customFormat="1" ht="19.5" hidden="1" customHeight="1" thickBot="1" x14ac:dyDescent="0.3">
      <c r="A352" s="243"/>
      <c r="B352" s="243"/>
      <c r="C352" s="443" t="str">
        <f>IF(AND($E350&lt;&gt;"",$E350&lt;E353),"Yes","")</f>
        <v/>
      </c>
      <c r="D352" s="858"/>
      <c r="E352" s="858"/>
      <c r="F352" s="196"/>
      <c r="G352" s="1322"/>
      <c r="H352" s="1322"/>
      <c r="I352" s="1322"/>
      <c r="J352" s="1322"/>
      <c r="K352" s="1322"/>
      <c r="L352" s="1322"/>
      <c r="M352" s="1829"/>
      <c r="N352" s="1322"/>
      <c r="O352" s="1322"/>
      <c r="P352" s="590"/>
      <c r="Q352" s="1092"/>
    </row>
    <row r="353" spans="1:17" s="180" customFormat="1" ht="27" hidden="1" customHeight="1" thickBot="1" x14ac:dyDescent="0.3">
      <c r="A353" s="243"/>
      <c r="B353" s="243"/>
      <c r="C353" s="443"/>
      <c r="D353" s="1324" t="s">
        <v>2004</v>
      </c>
      <c r="E353" s="1411" t="str">
        <f>IF(E347="Yes",IF(Welcome!D$8&lt;&gt;"",Welcome!D$8,""),"")</f>
        <v/>
      </c>
      <c r="F353" s="196"/>
      <c r="G353" s="228" t="s">
        <v>2005</v>
      </c>
      <c r="H353" s="1322"/>
      <c r="I353" s="228" t="s">
        <v>2006</v>
      </c>
      <c r="J353" s="1322"/>
      <c r="K353" s="228" t="s">
        <v>1482</v>
      </c>
      <c r="L353" s="1322"/>
      <c r="M353" s="1829"/>
      <c r="N353" s="1322"/>
      <c r="O353" s="1322"/>
      <c r="P353" s="590"/>
      <c r="Q353" s="1092"/>
    </row>
    <row r="354" spans="1:17" s="180" customFormat="1" ht="19.5" hidden="1" customHeight="1" thickBot="1" x14ac:dyDescent="0.3">
      <c r="A354" s="243"/>
      <c r="B354" s="243"/>
      <c r="C354" s="443"/>
      <c r="D354" s="1324" t="s">
        <v>2007</v>
      </c>
      <c r="E354" s="1355" t="str">
        <f>IFERROR(('Agreement Worksheet'!$K$5-E350)/7,"")</f>
        <v/>
      </c>
      <c r="F354" s="196"/>
      <c r="G354" s="1325"/>
      <c r="H354" s="1322"/>
      <c r="I354" s="1476" t="str">
        <f>IF(E347="Yes",IFERROR(VLOOKUP(G354,'Customer Inputs'!$G$6:'Customer Inputs'!$P$25,10,FALSE),""),"")</f>
        <v/>
      </c>
      <c r="J354" s="1322"/>
      <c r="K354" s="1476" t="str">
        <f>IFERROR((I354/52)*E354,"")</f>
        <v/>
      </c>
      <c r="L354" s="1322"/>
      <c r="M354" s="1322"/>
      <c r="N354" s="1322"/>
      <c r="O354" s="1322"/>
      <c r="P354" s="590"/>
      <c r="Q354" s="1092"/>
    </row>
    <row r="355" spans="1:17" s="180" customFormat="1" ht="19.5" hidden="1" customHeight="1" x14ac:dyDescent="0.25">
      <c r="A355" s="245"/>
      <c r="B355" s="245"/>
      <c r="C355" s="638"/>
      <c r="D355" s="459"/>
      <c r="E355" s="202"/>
      <c r="F355" s="202"/>
      <c r="G355" s="645"/>
      <c r="H355" s="202"/>
      <c r="I355" s="202"/>
      <c r="J355" s="202"/>
      <c r="K355" s="1045"/>
      <c r="L355" s="202"/>
      <c r="M355" s="202"/>
      <c r="N355" s="202"/>
      <c r="O355" s="202"/>
      <c r="P355" s="250"/>
      <c r="Q355" s="1092"/>
    </row>
    <row r="356" spans="1:17" s="180" customFormat="1" ht="9" hidden="1" customHeight="1" x14ac:dyDescent="0.25">
      <c r="C356" s="1339"/>
      <c r="Q356" s="1092"/>
    </row>
    <row r="357" spans="1:17" s="180" customFormat="1" ht="19.5" hidden="1" customHeight="1" thickBot="1" x14ac:dyDescent="0.3">
      <c r="A357" s="248"/>
      <c r="B357" s="248"/>
      <c r="C357" s="1337"/>
      <c r="D357" s="1830" t="s">
        <v>1775</v>
      </c>
      <c r="E357" s="1831"/>
      <c r="F357" s="866"/>
      <c r="G357" s="184"/>
      <c r="H357" s="184"/>
      <c r="I357" s="184"/>
      <c r="J357" s="184"/>
      <c r="K357" s="184"/>
      <c r="L357" s="184"/>
      <c r="M357" s="184"/>
      <c r="N357" s="184"/>
      <c r="O357" s="184"/>
      <c r="P357" s="589"/>
      <c r="Q357" s="1092"/>
    </row>
    <row r="358" spans="1:17" s="180" customFormat="1" ht="19.5" hidden="1" customHeight="1" thickBot="1" x14ac:dyDescent="0.3">
      <c r="A358" s="243"/>
      <c r="B358" s="243"/>
      <c r="C358" s="443"/>
      <c r="D358" s="895" t="s">
        <v>523</v>
      </c>
      <c r="E358" s="821" t="s">
        <v>648</v>
      </c>
      <c r="F358" s="239"/>
      <c r="G358" s="194" t="s">
        <v>1380</v>
      </c>
      <c r="H358" s="188"/>
      <c r="I358" s="194" t="s">
        <v>1381</v>
      </c>
      <c r="J358" s="41"/>
      <c r="K358" s="194" t="s">
        <v>1397</v>
      </c>
      <c r="L358" s="188"/>
      <c r="M358" s="194" t="s">
        <v>1382</v>
      </c>
      <c r="N358" s="858"/>
      <c r="O358" s="858"/>
      <c r="P358" s="590"/>
      <c r="Q358" s="1092"/>
    </row>
    <row r="359" spans="1:17" s="180" customFormat="1" ht="29.25" hidden="1" customHeight="1" thickBot="1" x14ac:dyDescent="0.3">
      <c r="A359" s="243"/>
      <c r="B359" s="243"/>
      <c r="C359" s="443"/>
      <c r="D359" s="803" t="s">
        <v>1383</v>
      </c>
      <c r="E359" s="1318" t="s">
        <v>1384</v>
      </c>
      <c r="F359" s="196"/>
      <c r="G359" s="1319" t="str">
        <f>IF(E358="Yes","Program","")</f>
        <v/>
      </c>
      <c r="H359" s="188"/>
      <c r="I359" s="1320"/>
      <c r="J359" s="858"/>
      <c r="K359" s="1319" t="str">
        <f>IF(E358="Yes","Corporate Office","")</f>
        <v/>
      </c>
      <c r="L359" s="188"/>
      <c r="M359" s="1321"/>
      <c r="N359" s="858"/>
      <c r="O359" s="858"/>
      <c r="P359" s="590"/>
      <c r="Q359" s="1092"/>
    </row>
    <row r="360" spans="1:17" s="180" customFormat="1" ht="19.5" hidden="1" customHeight="1" thickBot="1" x14ac:dyDescent="0.3">
      <c r="A360" s="243"/>
      <c r="B360" s="243"/>
      <c r="C360" s="443"/>
      <c r="D360" s="7"/>
      <c r="E360" s="575"/>
      <c r="F360" s="817"/>
      <c r="G360" s="817"/>
      <c r="H360" s="858"/>
      <c r="I360" s="188"/>
      <c r="J360" s="188"/>
      <c r="K360" s="188"/>
      <c r="L360" s="858"/>
      <c r="M360" s="858"/>
      <c r="N360" s="858"/>
      <c r="O360" s="858"/>
      <c r="P360" s="590"/>
      <c r="Q360" s="1092"/>
    </row>
    <row r="361" spans="1:17" s="180" customFormat="1" ht="19.5" hidden="1" customHeight="1" thickBot="1" x14ac:dyDescent="0.3">
      <c r="A361" s="243"/>
      <c r="B361" s="243"/>
      <c r="C361" s="443"/>
      <c r="D361" s="810" t="s">
        <v>1385</v>
      </c>
      <c r="E361" s="1410" t="str">
        <f>IF(E358="Yes",IFERROR(VLOOKUP(G365,'Required Info to Submit'!$E$23:'Required Info to Submit'!$M$42,7, FALSE),""),"")</f>
        <v/>
      </c>
      <c r="F361" s="239"/>
      <c r="G361" s="228" t="s">
        <v>1396</v>
      </c>
      <c r="H361" s="188"/>
      <c r="I361" s="1322"/>
      <c r="J361" s="1322"/>
      <c r="K361" s="194" t="s">
        <v>1389</v>
      </c>
      <c r="L361" s="1322"/>
      <c r="M361" s="1829" t="str">
        <f>IF(C363="Yes","Retro Accrual will be posted to the GL.  Please provide business rational and ADF pre-approval is required","")</f>
        <v/>
      </c>
      <c r="N361" s="188"/>
      <c r="O361" s="6" t="s">
        <v>490</v>
      </c>
      <c r="P361" s="590"/>
      <c r="Q361" s="1092"/>
    </row>
    <row r="362" spans="1:17" s="180" customFormat="1" ht="19.5" hidden="1" customHeight="1" thickBot="1" x14ac:dyDescent="0.3">
      <c r="A362" s="243"/>
      <c r="B362" s="243"/>
      <c r="C362" s="443" t="str">
        <f ca="1">IF(C361="Yes",IF('Agreement Worksheet'!$K$5&gt;TODAY(),"Yes",""),"")</f>
        <v/>
      </c>
      <c r="D362" s="810" t="s">
        <v>1386</v>
      </c>
      <c r="E362" s="1410" t="str">
        <f>IF(E358="Yes",'Agreement Worksheet'!$K$5,"")</f>
        <v/>
      </c>
      <c r="F362" s="196"/>
      <c r="G362" s="1476" t="str">
        <f>IF(E358="Yes",IFERROR(K365*K362,""),"")</f>
        <v/>
      </c>
      <c r="H362" s="188"/>
      <c r="I362" s="1323"/>
      <c r="J362" s="1323"/>
      <c r="K362" s="1478" t="str">
        <f>IF(E358="Yes",IFERROR($K$222,""),"")</f>
        <v/>
      </c>
      <c r="L362" s="1322"/>
      <c r="M362" s="1829"/>
      <c r="N362" s="188"/>
      <c r="O362" s="887">
        <f>IF(Incentives!E362&lt;Welcome!D56,0,IF(E358="Yes",IFERROR(ROUND((G362/E365),0)*52,0),0))</f>
        <v>0</v>
      </c>
      <c r="P362" s="590"/>
      <c r="Q362" s="1092"/>
    </row>
    <row r="363" spans="1:17" s="180" customFormat="1" ht="19.5" hidden="1" customHeight="1" thickBot="1" x14ac:dyDescent="0.3">
      <c r="A363" s="243"/>
      <c r="B363" s="243"/>
      <c r="C363" s="443" t="str">
        <f>IF(AND($E361&lt;&gt;"",$E361&lt;E364),"Yes","")</f>
        <v/>
      </c>
      <c r="D363" s="858"/>
      <c r="E363" s="858"/>
      <c r="F363" s="196"/>
      <c r="G363" s="1322"/>
      <c r="H363" s="1322"/>
      <c r="I363" s="1322"/>
      <c r="J363" s="1322"/>
      <c r="K363" s="1322"/>
      <c r="L363" s="1322"/>
      <c r="M363" s="1829"/>
      <c r="N363" s="1322"/>
      <c r="O363" s="1322"/>
      <c r="P363" s="590"/>
      <c r="Q363" s="1092"/>
    </row>
    <row r="364" spans="1:17" s="180" customFormat="1" ht="27" hidden="1" customHeight="1" thickBot="1" x14ac:dyDescent="0.3">
      <c r="A364" s="243"/>
      <c r="B364" s="243"/>
      <c r="C364" s="443"/>
      <c r="D364" s="1324" t="s">
        <v>2004</v>
      </c>
      <c r="E364" s="1411" t="str">
        <f>IF(E358="Yes",IF(Welcome!D$8&lt;&gt;"",Welcome!D$8,""),"")</f>
        <v/>
      </c>
      <c r="F364" s="196"/>
      <c r="G364" s="228" t="s">
        <v>2005</v>
      </c>
      <c r="H364" s="1322"/>
      <c r="I364" s="228" t="s">
        <v>2006</v>
      </c>
      <c r="J364" s="1322"/>
      <c r="K364" s="228" t="s">
        <v>1482</v>
      </c>
      <c r="L364" s="1322"/>
      <c r="M364" s="1829"/>
      <c r="N364" s="1322"/>
      <c r="O364" s="1322"/>
      <c r="P364" s="590"/>
      <c r="Q364" s="1092"/>
    </row>
    <row r="365" spans="1:17" s="180" customFormat="1" ht="19.5" hidden="1" customHeight="1" thickBot="1" x14ac:dyDescent="0.3">
      <c r="A365" s="243"/>
      <c r="B365" s="243"/>
      <c r="C365" s="443"/>
      <c r="D365" s="1324" t="s">
        <v>2007</v>
      </c>
      <c r="E365" s="1355" t="str">
        <f>IFERROR(('Agreement Worksheet'!$K$5-E361)/7,"")</f>
        <v/>
      </c>
      <c r="F365" s="196"/>
      <c r="G365" s="1325"/>
      <c r="H365" s="1322"/>
      <c r="I365" s="1476" t="str">
        <f>IF(E358="Yes",IFERROR(VLOOKUP(G365,'Customer Inputs'!$G$6:'Customer Inputs'!$P$25,10,FALSE),""),"")</f>
        <v/>
      </c>
      <c r="J365" s="1322"/>
      <c r="K365" s="1476" t="str">
        <f>IFERROR((I365/52)*E365,"")</f>
        <v/>
      </c>
      <c r="L365" s="1322"/>
      <c r="M365" s="1322"/>
      <c r="N365" s="1322"/>
      <c r="O365" s="1322"/>
      <c r="P365" s="590"/>
      <c r="Q365" s="1092"/>
    </row>
    <row r="366" spans="1:17" s="180" customFormat="1" ht="19.5" hidden="1" customHeight="1" x14ac:dyDescent="0.25">
      <c r="A366" s="245"/>
      <c r="B366" s="245"/>
      <c r="C366" s="638"/>
      <c r="D366" s="459"/>
      <c r="E366" s="202"/>
      <c r="F366" s="202"/>
      <c r="G366" s="645"/>
      <c r="H366" s="202"/>
      <c r="I366" s="202"/>
      <c r="J366" s="202"/>
      <c r="K366" s="1045"/>
      <c r="L366" s="202"/>
      <c r="M366" s="202"/>
      <c r="N366" s="202"/>
      <c r="O366" s="202"/>
      <c r="P366" s="250"/>
      <c r="Q366" s="1092"/>
    </row>
    <row r="367" spans="1:17" s="180" customFormat="1" ht="9" hidden="1" customHeight="1" x14ac:dyDescent="0.25">
      <c r="C367" s="1339"/>
      <c r="Q367" s="1092"/>
    </row>
    <row r="368" spans="1:17" s="180" customFormat="1" ht="19.5" hidden="1" customHeight="1" thickBot="1" x14ac:dyDescent="0.3">
      <c r="A368" s="248"/>
      <c r="B368" s="248"/>
      <c r="C368" s="1337"/>
      <c r="D368" s="1830" t="s">
        <v>1775</v>
      </c>
      <c r="E368" s="1831"/>
      <c r="F368" s="866"/>
      <c r="G368" s="184"/>
      <c r="H368" s="184"/>
      <c r="I368" s="184"/>
      <c r="J368" s="184"/>
      <c r="K368" s="184"/>
      <c r="L368" s="184"/>
      <c r="M368" s="184"/>
      <c r="N368" s="184"/>
      <c r="O368" s="184"/>
      <c r="P368" s="589"/>
      <c r="Q368" s="1092"/>
    </row>
    <row r="369" spans="1:17" s="180" customFormat="1" ht="19.5" hidden="1" customHeight="1" thickBot="1" x14ac:dyDescent="0.3">
      <c r="A369" s="243"/>
      <c r="B369" s="243"/>
      <c r="C369" s="443"/>
      <c r="D369" s="895" t="s">
        <v>523</v>
      </c>
      <c r="E369" s="821" t="s">
        <v>648</v>
      </c>
      <c r="F369" s="239"/>
      <c r="G369" s="194" t="s">
        <v>1380</v>
      </c>
      <c r="H369" s="188"/>
      <c r="I369" s="194" t="s">
        <v>1381</v>
      </c>
      <c r="J369" s="41"/>
      <c r="K369" s="194" t="s">
        <v>1397</v>
      </c>
      <c r="L369" s="188"/>
      <c r="M369" s="194" t="s">
        <v>1382</v>
      </c>
      <c r="N369" s="858"/>
      <c r="O369" s="858"/>
      <c r="P369" s="590"/>
      <c r="Q369" s="1092"/>
    </row>
    <row r="370" spans="1:17" s="180" customFormat="1" ht="29.25" hidden="1" customHeight="1" thickBot="1" x14ac:dyDescent="0.3">
      <c r="A370" s="243"/>
      <c r="B370" s="243"/>
      <c r="C370" s="443"/>
      <c r="D370" s="803" t="s">
        <v>1383</v>
      </c>
      <c r="E370" s="1318" t="s">
        <v>1384</v>
      </c>
      <c r="F370" s="196"/>
      <c r="G370" s="1319" t="str">
        <f>IF(E369="Yes","Program","")</f>
        <v/>
      </c>
      <c r="H370" s="188"/>
      <c r="I370" s="1320"/>
      <c r="J370" s="858"/>
      <c r="K370" s="1319" t="str">
        <f>IF(E369="Yes","Corporate Office","")</f>
        <v/>
      </c>
      <c r="L370" s="188"/>
      <c r="M370" s="1321"/>
      <c r="N370" s="858"/>
      <c r="O370" s="858"/>
      <c r="P370" s="590"/>
      <c r="Q370" s="1092"/>
    </row>
    <row r="371" spans="1:17" s="180" customFormat="1" ht="19.5" hidden="1" customHeight="1" thickBot="1" x14ac:dyDescent="0.3">
      <c r="A371" s="243"/>
      <c r="B371" s="243"/>
      <c r="C371" s="443"/>
      <c r="D371" s="7"/>
      <c r="E371" s="575"/>
      <c r="F371" s="817"/>
      <c r="G371" s="817"/>
      <c r="H371" s="858"/>
      <c r="I371" s="188"/>
      <c r="J371" s="188"/>
      <c r="K371" s="188"/>
      <c r="L371" s="858"/>
      <c r="M371" s="858"/>
      <c r="N371" s="858"/>
      <c r="O371" s="858"/>
      <c r="P371" s="590"/>
      <c r="Q371" s="1092"/>
    </row>
    <row r="372" spans="1:17" s="180" customFormat="1" ht="19.5" hidden="1" customHeight="1" thickBot="1" x14ac:dyDescent="0.3">
      <c r="A372" s="243"/>
      <c r="B372" s="243"/>
      <c r="C372" s="443"/>
      <c r="D372" s="810" t="s">
        <v>1385</v>
      </c>
      <c r="E372" s="1410" t="str">
        <f>IF(E369="Yes",IFERROR(VLOOKUP(G376,'Required Info to Submit'!$E$23:'Required Info to Submit'!$M$42,7, FALSE),""),"")</f>
        <v/>
      </c>
      <c r="F372" s="239"/>
      <c r="G372" s="228" t="s">
        <v>1396</v>
      </c>
      <c r="H372" s="188"/>
      <c r="I372" s="1322"/>
      <c r="J372" s="1322"/>
      <c r="K372" s="194" t="s">
        <v>1389</v>
      </c>
      <c r="L372" s="1322"/>
      <c r="M372" s="1829" t="str">
        <f>IF(C374="Yes","Retro Accrual will be posted to the GL.  Please provide business rational and ADF pre-approval is required","")</f>
        <v/>
      </c>
      <c r="N372" s="188"/>
      <c r="O372" s="6" t="s">
        <v>490</v>
      </c>
      <c r="P372" s="590"/>
      <c r="Q372" s="1092"/>
    </row>
    <row r="373" spans="1:17" s="180" customFormat="1" ht="19.5" hidden="1" customHeight="1" thickBot="1" x14ac:dyDescent="0.3">
      <c r="A373" s="243"/>
      <c r="B373" s="243"/>
      <c r="C373" s="443" t="str">
        <f ca="1">IF(C372="Yes",IF('Agreement Worksheet'!$K$5&gt;TODAY(),"Yes",""),"")</f>
        <v/>
      </c>
      <c r="D373" s="810" t="s">
        <v>1386</v>
      </c>
      <c r="E373" s="1410" t="str">
        <f>IF(E369="Yes",'Agreement Worksheet'!$K$5,"")</f>
        <v/>
      </c>
      <c r="F373" s="196"/>
      <c r="G373" s="1476" t="str">
        <f>IF(E369="Yes",IFERROR(K376*K373,""),"")</f>
        <v/>
      </c>
      <c r="H373" s="188"/>
      <c r="I373" s="1323"/>
      <c r="J373" s="1323"/>
      <c r="K373" s="1478" t="str">
        <f>IF(E369="Yes",IFERROR($K$222,""),"")</f>
        <v/>
      </c>
      <c r="L373" s="1322"/>
      <c r="M373" s="1829"/>
      <c r="N373" s="188"/>
      <c r="O373" s="887">
        <f>IF(Incentives!E373&lt;Welcome!D67,0,IF(E369="Yes",IFERROR(ROUND((G373/E376),0)*52,0),0))</f>
        <v>0</v>
      </c>
      <c r="P373" s="590"/>
      <c r="Q373" s="1092"/>
    </row>
    <row r="374" spans="1:17" s="180" customFormat="1" ht="19.5" hidden="1" customHeight="1" thickBot="1" x14ac:dyDescent="0.3">
      <c r="A374" s="243"/>
      <c r="B374" s="243"/>
      <c r="C374" s="443" t="str">
        <f>IF(AND($E372&lt;&gt;"",$E372&lt;E375),"Yes","")</f>
        <v/>
      </c>
      <c r="D374" s="858"/>
      <c r="E374" s="858"/>
      <c r="F374" s="196"/>
      <c r="G374" s="1322"/>
      <c r="H374" s="1322"/>
      <c r="I374" s="1322"/>
      <c r="J374" s="1322"/>
      <c r="K374" s="1322"/>
      <c r="L374" s="1322"/>
      <c r="M374" s="1829"/>
      <c r="N374" s="1322"/>
      <c r="O374" s="1322"/>
      <c r="P374" s="590"/>
      <c r="Q374" s="1092"/>
    </row>
    <row r="375" spans="1:17" s="180" customFormat="1" ht="27" hidden="1" customHeight="1" thickBot="1" x14ac:dyDescent="0.3">
      <c r="A375" s="243"/>
      <c r="B375" s="243"/>
      <c r="C375" s="443"/>
      <c r="D375" s="1324" t="s">
        <v>2004</v>
      </c>
      <c r="E375" s="1411" t="str">
        <f>IF(E369="Yes",IF(Welcome!D$8&lt;&gt;"",Welcome!D$8,""),"")</f>
        <v/>
      </c>
      <c r="F375" s="196"/>
      <c r="G375" s="228" t="s">
        <v>2005</v>
      </c>
      <c r="H375" s="1322"/>
      <c r="I375" s="228" t="s">
        <v>2006</v>
      </c>
      <c r="J375" s="1322"/>
      <c r="K375" s="228" t="s">
        <v>1482</v>
      </c>
      <c r="L375" s="1322"/>
      <c r="M375" s="1829"/>
      <c r="N375" s="1322"/>
      <c r="O375" s="1322"/>
      <c r="P375" s="590"/>
      <c r="Q375" s="1092"/>
    </row>
    <row r="376" spans="1:17" s="180" customFormat="1" ht="19.5" hidden="1" customHeight="1" thickBot="1" x14ac:dyDescent="0.3">
      <c r="A376" s="243"/>
      <c r="B376" s="243"/>
      <c r="C376" s="443"/>
      <c r="D376" s="1324" t="s">
        <v>2007</v>
      </c>
      <c r="E376" s="1355" t="str">
        <f>IFERROR(('Agreement Worksheet'!$K$5-E372)/7,"")</f>
        <v/>
      </c>
      <c r="F376" s="196"/>
      <c r="G376" s="1325"/>
      <c r="H376" s="1322"/>
      <c r="I376" s="1476" t="str">
        <f>IF(E369="Yes",IFERROR(VLOOKUP(G376,'Customer Inputs'!$G$6:'Customer Inputs'!$P$25,10,FALSE),""),"")</f>
        <v/>
      </c>
      <c r="J376" s="1322"/>
      <c r="K376" s="1476" t="str">
        <f>IFERROR((I376/52)*E376,"")</f>
        <v/>
      </c>
      <c r="L376" s="1322"/>
      <c r="M376" s="1322"/>
      <c r="N376" s="1322"/>
      <c r="O376" s="1322"/>
      <c r="P376" s="590"/>
      <c r="Q376" s="1092"/>
    </row>
    <row r="377" spans="1:17" s="180" customFormat="1" ht="19.5" hidden="1" customHeight="1" x14ac:dyDescent="0.25">
      <c r="A377" s="245"/>
      <c r="B377" s="245"/>
      <c r="C377" s="638"/>
      <c r="D377" s="459"/>
      <c r="E377" s="202"/>
      <c r="F377" s="202"/>
      <c r="G377" s="645"/>
      <c r="H377" s="202"/>
      <c r="I377" s="202"/>
      <c r="J377" s="202"/>
      <c r="K377" s="1045"/>
      <c r="L377" s="202"/>
      <c r="M377" s="202"/>
      <c r="N377" s="202"/>
      <c r="O377" s="202"/>
      <c r="P377" s="250"/>
      <c r="Q377" s="1092"/>
    </row>
    <row r="378" spans="1:17" s="180" customFormat="1" ht="9" hidden="1" customHeight="1" x14ac:dyDescent="0.25">
      <c r="C378" s="1339"/>
      <c r="Q378" s="1092"/>
    </row>
    <row r="379" spans="1:17" s="180" customFormat="1" ht="19.5" hidden="1" customHeight="1" thickBot="1" x14ac:dyDescent="0.3">
      <c r="A379" s="248"/>
      <c r="B379" s="248"/>
      <c r="C379" s="1337"/>
      <c r="D379" s="1830" t="s">
        <v>1775</v>
      </c>
      <c r="E379" s="1831"/>
      <c r="F379" s="866"/>
      <c r="G379" s="184"/>
      <c r="H379" s="184"/>
      <c r="I379" s="184"/>
      <c r="J379" s="184"/>
      <c r="K379" s="184"/>
      <c r="L379" s="184"/>
      <c r="M379" s="184"/>
      <c r="N379" s="184"/>
      <c r="O379" s="184"/>
      <c r="P379" s="589"/>
      <c r="Q379" s="1092"/>
    </row>
    <row r="380" spans="1:17" s="180" customFormat="1" ht="19.5" hidden="1" customHeight="1" thickBot="1" x14ac:dyDescent="0.3">
      <c r="A380" s="243"/>
      <c r="B380" s="243"/>
      <c r="C380" s="443"/>
      <c r="D380" s="895" t="s">
        <v>523</v>
      </c>
      <c r="E380" s="821" t="s">
        <v>648</v>
      </c>
      <c r="F380" s="239"/>
      <c r="G380" s="194" t="s">
        <v>1380</v>
      </c>
      <c r="H380" s="188"/>
      <c r="I380" s="194" t="s">
        <v>1381</v>
      </c>
      <c r="J380" s="41"/>
      <c r="K380" s="194" t="s">
        <v>1397</v>
      </c>
      <c r="L380" s="188"/>
      <c r="M380" s="194" t="s">
        <v>1382</v>
      </c>
      <c r="N380" s="858"/>
      <c r="O380" s="858"/>
      <c r="P380" s="590"/>
      <c r="Q380" s="1092"/>
    </row>
    <row r="381" spans="1:17" s="180" customFormat="1" ht="29.25" hidden="1" customHeight="1" thickBot="1" x14ac:dyDescent="0.3">
      <c r="A381" s="243"/>
      <c r="B381" s="243"/>
      <c r="C381" s="443"/>
      <c r="D381" s="803" t="s">
        <v>1383</v>
      </c>
      <c r="E381" s="1318" t="s">
        <v>1384</v>
      </c>
      <c r="F381" s="196"/>
      <c r="G381" s="1319" t="str">
        <f>IF(E380="Yes","Program","")</f>
        <v/>
      </c>
      <c r="H381" s="188"/>
      <c r="I381" s="1320"/>
      <c r="J381" s="858"/>
      <c r="K381" s="1319" t="str">
        <f>IF(E380="Yes","Corporate Office","")</f>
        <v/>
      </c>
      <c r="L381" s="188"/>
      <c r="M381" s="1321"/>
      <c r="N381" s="858"/>
      <c r="O381" s="858"/>
      <c r="P381" s="590"/>
      <c r="Q381" s="1092"/>
    </row>
    <row r="382" spans="1:17" s="180" customFormat="1" ht="19.5" hidden="1" customHeight="1" thickBot="1" x14ac:dyDescent="0.3">
      <c r="A382" s="243"/>
      <c r="B382" s="243"/>
      <c r="C382" s="443"/>
      <c r="D382" s="7"/>
      <c r="E382" s="575"/>
      <c r="F382" s="817"/>
      <c r="G382" s="817"/>
      <c r="H382" s="858"/>
      <c r="I382" s="188"/>
      <c r="J382" s="188"/>
      <c r="K382" s="188"/>
      <c r="L382" s="858"/>
      <c r="M382" s="858"/>
      <c r="N382" s="858"/>
      <c r="O382" s="858"/>
      <c r="P382" s="590"/>
      <c r="Q382" s="1092"/>
    </row>
    <row r="383" spans="1:17" s="180" customFormat="1" ht="19.5" hidden="1" customHeight="1" thickBot="1" x14ac:dyDescent="0.3">
      <c r="A383" s="243"/>
      <c r="B383" s="243"/>
      <c r="C383" s="443"/>
      <c r="D383" s="810" t="s">
        <v>1385</v>
      </c>
      <c r="E383" s="1410" t="str">
        <f>IF(E380="Yes",IFERROR(VLOOKUP(G387,'Required Info to Submit'!$E$23:'Required Info to Submit'!$M$42,7, FALSE),""),"")</f>
        <v/>
      </c>
      <c r="F383" s="239"/>
      <c r="G383" s="228" t="s">
        <v>1396</v>
      </c>
      <c r="H383" s="188"/>
      <c r="I383" s="1322"/>
      <c r="J383" s="1322"/>
      <c r="K383" s="194" t="s">
        <v>1389</v>
      </c>
      <c r="L383" s="1322"/>
      <c r="M383" s="1829" t="str">
        <f>IF(C385="Yes","Retro Accrual will be posted to the GL.  Please provide business rational and ADF pre-approval is required","")</f>
        <v/>
      </c>
      <c r="N383" s="188"/>
      <c r="O383" s="6" t="s">
        <v>490</v>
      </c>
      <c r="P383" s="590"/>
      <c r="Q383" s="1092"/>
    </row>
    <row r="384" spans="1:17" s="180" customFormat="1" ht="19.5" hidden="1" customHeight="1" thickBot="1" x14ac:dyDescent="0.3">
      <c r="A384" s="243"/>
      <c r="B384" s="243"/>
      <c r="C384" s="443" t="str">
        <f ca="1">IF(C383="Yes",IF('Agreement Worksheet'!$K$5&gt;TODAY(),"Yes",""),"")</f>
        <v/>
      </c>
      <c r="D384" s="810" t="s">
        <v>1386</v>
      </c>
      <c r="E384" s="1410" t="str">
        <f>IF(E380="Yes",'Agreement Worksheet'!$K$5,"")</f>
        <v/>
      </c>
      <c r="F384" s="196"/>
      <c r="G384" s="1476" t="str">
        <f>IF(E380="Yes",IFERROR(K387*K384,""),"")</f>
        <v/>
      </c>
      <c r="H384" s="188"/>
      <c r="I384" s="1323"/>
      <c r="J384" s="1323"/>
      <c r="K384" s="1478" t="str">
        <f>IF(E380="Yes",IFERROR($K$222,""),"")</f>
        <v/>
      </c>
      <c r="L384" s="1322"/>
      <c r="M384" s="1829"/>
      <c r="N384" s="188"/>
      <c r="O384" s="887">
        <f>IF(Incentives!E384&lt;Welcome!D78,0,IF(E380="Yes",IFERROR(ROUND((G384/E387),0)*52,0),0))</f>
        <v>0</v>
      </c>
      <c r="P384" s="590"/>
      <c r="Q384" s="1092"/>
    </row>
    <row r="385" spans="1:17" s="180" customFormat="1" ht="19.5" hidden="1" customHeight="1" thickBot="1" x14ac:dyDescent="0.3">
      <c r="A385" s="243"/>
      <c r="B385" s="243"/>
      <c r="C385" s="443" t="str">
        <f>IF(AND($E383&lt;&gt;"",$E383&lt;E386),"Yes","")</f>
        <v/>
      </c>
      <c r="D385" s="858"/>
      <c r="E385" s="858"/>
      <c r="F385" s="196"/>
      <c r="G385" s="1322"/>
      <c r="H385" s="1322"/>
      <c r="I385" s="1322"/>
      <c r="J385" s="1322"/>
      <c r="K385" s="1322"/>
      <c r="L385" s="1322"/>
      <c r="M385" s="1829"/>
      <c r="N385" s="1322"/>
      <c r="O385" s="1322"/>
      <c r="P385" s="590"/>
      <c r="Q385" s="1092"/>
    </row>
    <row r="386" spans="1:17" s="180" customFormat="1" ht="27" hidden="1" customHeight="1" thickBot="1" x14ac:dyDescent="0.3">
      <c r="A386" s="243"/>
      <c r="B386" s="243"/>
      <c r="C386" s="443"/>
      <c r="D386" s="1324" t="s">
        <v>2004</v>
      </c>
      <c r="E386" s="1411" t="str">
        <f>IF(E380="Yes",IF(Welcome!D$8&lt;&gt;"",Welcome!D$8,""),"")</f>
        <v/>
      </c>
      <c r="F386" s="196"/>
      <c r="G386" s="228" t="s">
        <v>2005</v>
      </c>
      <c r="H386" s="1322"/>
      <c r="I386" s="228" t="s">
        <v>2006</v>
      </c>
      <c r="J386" s="1322"/>
      <c r="K386" s="228" t="s">
        <v>1482</v>
      </c>
      <c r="L386" s="1322"/>
      <c r="M386" s="1829"/>
      <c r="N386" s="1322"/>
      <c r="O386" s="1322"/>
      <c r="P386" s="590"/>
      <c r="Q386" s="1092"/>
    </row>
    <row r="387" spans="1:17" s="180" customFormat="1" ht="19.5" hidden="1" customHeight="1" thickBot="1" x14ac:dyDescent="0.3">
      <c r="A387" s="243"/>
      <c r="B387" s="243"/>
      <c r="C387" s="443"/>
      <c r="D387" s="1324" t="s">
        <v>2007</v>
      </c>
      <c r="E387" s="1355" t="str">
        <f>IFERROR(('Agreement Worksheet'!$K$5-E383)/7,"")</f>
        <v/>
      </c>
      <c r="F387" s="196"/>
      <c r="G387" s="1325"/>
      <c r="H387" s="1322"/>
      <c r="I387" s="1476" t="str">
        <f>IF(E380="Yes",IFERROR(VLOOKUP(G387,'Customer Inputs'!$G$6:'Customer Inputs'!$P$25,10,FALSE),""),"")</f>
        <v/>
      </c>
      <c r="J387" s="1322"/>
      <c r="K387" s="1476" t="str">
        <f>IFERROR((I387/52)*E387,"")</f>
        <v/>
      </c>
      <c r="L387" s="1322"/>
      <c r="M387" s="1322"/>
      <c r="N387" s="1322"/>
      <c r="O387" s="1322"/>
      <c r="P387" s="590"/>
      <c r="Q387" s="1092"/>
    </row>
    <row r="388" spans="1:17" s="180" customFormat="1" ht="19.5" hidden="1" customHeight="1" x14ac:dyDescent="0.25">
      <c r="A388" s="245"/>
      <c r="B388" s="245"/>
      <c r="C388" s="638"/>
      <c r="D388" s="459"/>
      <c r="E388" s="202"/>
      <c r="F388" s="202"/>
      <c r="G388" s="645"/>
      <c r="H388" s="202"/>
      <c r="I388" s="202"/>
      <c r="J388" s="202"/>
      <c r="K388" s="1045"/>
      <c r="L388" s="202"/>
      <c r="M388" s="202"/>
      <c r="N388" s="202"/>
      <c r="O388" s="202"/>
      <c r="P388" s="250"/>
      <c r="Q388" s="1092"/>
    </row>
    <row r="389" spans="1:17" s="180" customFormat="1" ht="9" hidden="1" customHeight="1" x14ac:dyDescent="0.25">
      <c r="C389" s="1339"/>
      <c r="Q389" s="1092"/>
    </row>
    <row r="390" spans="1:17" s="180" customFormat="1" ht="19.5" hidden="1" customHeight="1" thickBot="1" x14ac:dyDescent="0.3">
      <c r="A390" s="248"/>
      <c r="B390" s="248"/>
      <c r="C390" s="1337"/>
      <c r="D390" s="1830" t="s">
        <v>1775</v>
      </c>
      <c r="E390" s="1831"/>
      <c r="F390" s="866"/>
      <c r="G390" s="184"/>
      <c r="H390" s="184"/>
      <c r="I390" s="184"/>
      <c r="J390" s="184"/>
      <c r="K390" s="184"/>
      <c r="L390" s="184"/>
      <c r="M390" s="184"/>
      <c r="N390" s="184"/>
      <c r="O390" s="184"/>
      <c r="P390" s="589"/>
      <c r="Q390" s="1092"/>
    </row>
    <row r="391" spans="1:17" s="180" customFormat="1" ht="19.5" hidden="1" customHeight="1" thickBot="1" x14ac:dyDescent="0.3">
      <c r="A391" s="243"/>
      <c r="B391" s="243"/>
      <c r="C391" s="443"/>
      <c r="D391" s="895" t="s">
        <v>523</v>
      </c>
      <c r="E391" s="821" t="s">
        <v>648</v>
      </c>
      <c r="F391" s="239"/>
      <c r="G391" s="194" t="s">
        <v>1380</v>
      </c>
      <c r="H391" s="188"/>
      <c r="I391" s="194" t="s">
        <v>1381</v>
      </c>
      <c r="J391" s="41"/>
      <c r="K391" s="194" t="s">
        <v>1397</v>
      </c>
      <c r="L391" s="188"/>
      <c r="M391" s="194" t="s">
        <v>1382</v>
      </c>
      <c r="N391" s="858"/>
      <c r="O391" s="858"/>
      <c r="P391" s="590"/>
      <c r="Q391" s="1092"/>
    </row>
    <row r="392" spans="1:17" s="180" customFormat="1" ht="29.25" hidden="1" customHeight="1" thickBot="1" x14ac:dyDescent="0.3">
      <c r="A392" s="243"/>
      <c r="B392" s="243"/>
      <c r="C392" s="443"/>
      <c r="D392" s="803" t="s">
        <v>1383</v>
      </c>
      <c r="E392" s="1318" t="s">
        <v>1384</v>
      </c>
      <c r="F392" s="196"/>
      <c r="G392" s="1319" t="str">
        <f>IF(E391="Yes","Program","")</f>
        <v/>
      </c>
      <c r="H392" s="188"/>
      <c r="I392" s="1320"/>
      <c r="J392" s="858"/>
      <c r="K392" s="1319" t="str">
        <f>IF(E391="Yes","Corporate Office","")</f>
        <v/>
      </c>
      <c r="L392" s="188"/>
      <c r="M392" s="1321"/>
      <c r="N392" s="858"/>
      <c r="O392" s="858"/>
      <c r="P392" s="590"/>
      <c r="Q392" s="1092"/>
    </row>
    <row r="393" spans="1:17" s="180" customFormat="1" ht="19.5" hidden="1" customHeight="1" thickBot="1" x14ac:dyDescent="0.3">
      <c r="A393" s="243"/>
      <c r="B393" s="243"/>
      <c r="C393" s="443"/>
      <c r="D393" s="7"/>
      <c r="E393" s="575"/>
      <c r="F393" s="817"/>
      <c r="G393" s="817"/>
      <c r="H393" s="858"/>
      <c r="I393" s="188"/>
      <c r="J393" s="188"/>
      <c r="K393" s="188"/>
      <c r="L393" s="858"/>
      <c r="M393" s="858"/>
      <c r="N393" s="858"/>
      <c r="O393" s="858"/>
      <c r="P393" s="590"/>
      <c r="Q393" s="1092"/>
    </row>
    <row r="394" spans="1:17" s="180" customFormat="1" ht="19.5" hidden="1" customHeight="1" thickBot="1" x14ac:dyDescent="0.3">
      <c r="A394" s="243"/>
      <c r="B394" s="243"/>
      <c r="C394" s="443"/>
      <c r="D394" s="810" t="s">
        <v>1385</v>
      </c>
      <c r="E394" s="1410" t="str">
        <f>IF(E391="Yes",IFERROR(VLOOKUP(G398,'Required Info to Submit'!$E$23:'Required Info to Submit'!$M$42,7, FALSE),""),"")</f>
        <v/>
      </c>
      <c r="F394" s="239"/>
      <c r="G394" s="228" t="s">
        <v>1396</v>
      </c>
      <c r="H394" s="188"/>
      <c r="I394" s="1322"/>
      <c r="J394" s="1322"/>
      <c r="K394" s="194" t="s">
        <v>1389</v>
      </c>
      <c r="L394" s="1322"/>
      <c r="M394" s="1829" t="str">
        <f>IF(C396="Yes","Retro Accrual will be posted to the GL.  Please provide business rational and ADF pre-approval is required","")</f>
        <v/>
      </c>
      <c r="N394" s="188"/>
      <c r="O394" s="6" t="s">
        <v>490</v>
      </c>
      <c r="P394" s="590"/>
      <c r="Q394" s="1092"/>
    </row>
    <row r="395" spans="1:17" s="180" customFormat="1" ht="19.5" hidden="1" customHeight="1" thickBot="1" x14ac:dyDescent="0.3">
      <c r="A395" s="243"/>
      <c r="B395" s="243"/>
      <c r="C395" s="443" t="str">
        <f ca="1">IF(C394="Yes",IF('Agreement Worksheet'!$K$5&gt;TODAY(),"Yes",""),"")</f>
        <v/>
      </c>
      <c r="D395" s="810" t="s">
        <v>1386</v>
      </c>
      <c r="E395" s="1410" t="str">
        <f>IF(E391="Yes",'Agreement Worksheet'!$K$5,"")</f>
        <v/>
      </c>
      <c r="F395" s="196"/>
      <c r="G395" s="1476" t="str">
        <f>IF(E391="Yes",IFERROR(K398*K395,""),"")</f>
        <v/>
      </c>
      <c r="H395" s="188"/>
      <c r="I395" s="1323"/>
      <c r="J395" s="1323"/>
      <c r="K395" s="1478" t="str">
        <f>IF(E391="Yes",IFERROR($K$222,""),"")</f>
        <v/>
      </c>
      <c r="L395" s="1322"/>
      <c r="M395" s="1829"/>
      <c r="N395" s="188"/>
      <c r="O395" s="887">
        <f>IF(Incentives!E395&lt;Welcome!D89,0,IF(E391="Yes",IFERROR(ROUND((G395/E398),0)*52,0),0))</f>
        <v>0</v>
      </c>
      <c r="P395" s="590"/>
      <c r="Q395" s="1092"/>
    </row>
    <row r="396" spans="1:17" s="180" customFormat="1" ht="19.5" hidden="1" customHeight="1" thickBot="1" x14ac:dyDescent="0.3">
      <c r="A396" s="243"/>
      <c r="B396" s="243"/>
      <c r="C396" s="443" t="str">
        <f>IF(AND($E394&lt;&gt;"",$E394&lt;E397),"Yes","")</f>
        <v/>
      </c>
      <c r="D396" s="858"/>
      <c r="E396" s="858"/>
      <c r="F396" s="196"/>
      <c r="G396" s="1322"/>
      <c r="H396" s="1322"/>
      <c r="I396" s="1322"/>
      <c r="J396" s="1322"/>
      <c r="K396" s="1322"/>
      <c r="L396" s="1322"/>
      <c r="M396" s="1829"/>
      <c r="N396" s="1322"/>
      <c r="O396" s="1322"/>
      <c r="P396" s="590"/>
      <c r="Q396" s="1092"/>
    </row>
    <row r="397" spans="1:17" s="180" customFormat="1" ht="27" hidden="1" customHeight="1" thickBot="1" x14ac:dyDescent="0.3">
      <c r="A397" s="243"/>
      <c r="B397" s="243"/>
      <c r="C397" s="443"/>
      <c r="D397" s="1324" t="s">
        <v>2004</v>
      </c>
      <c r="E397" s="1411" t="str">
        <f>IF(E391="Yes",IF(Welcome!D$8&lt;&gt;"",Welcome!D$8,""),"")</f>
        <v/>
      </c>
      <c r="F397" s="196"/>
      <c r="G397" s="228" t="s">
        <v>2005</v>
      </c>
      <c r="H397" s="1322"/>
      <c r="I397" s="228" t="s">
        <v>2006</v>
      </c>
      <c r="J397" s="1322"/>
      <c r="K397" s="228" t="s">
        <v>1482</v>
      </c>
      <c r="L397" s="1322"/>
      <c r="M397" s="1829"/>
      <c r="N397" s="1322"/>
      <c r="O397" s="1322"/>
      <c r="P397" s="590"/>
      <c r="Q397" s="1092"/>
    </row>
    <row r="398" spans="1:17" s="180" customFormat="1" ht="19.5" hidden="1" customHeight="1" thickBot="1" x14ac:dyDescent="0.3">
      <c r="A398" s="243"/>
      <c r="B398" s="243"/>
      <c r="C398" s="443"/>
      <c r="D398" s="1324" t="s">
        <v>2007</v>
      </c>
      <c r="E398" s="1355" t="str">
        <f>IFERROR(('Agreement Worksheet'!$K$5-E394)/7,"")</f>
        <v/>
      </c>
      <c r="F398" s="196"/>
      <c r="G398" s="1325"/>
      <c r="H398" s="1322"/>
      <c r="I398" s="1476" t="str">
        <f>IF(E391="Yes",IFERROR(VLOOKUP(G398,'Customer Inputs'!$G$6:'Customer Inputs'!$P$25,10,FALSE),""),"")</f>
        <v/>
      </c>
      <c r="J398" s="1322"/>
      <c r="K398" s="1476" t="str">
        <f>IFERROR((I398/52)*E398,"")</f>
        <v/>
      </c>
      <c r="L398" s="1322"/>
      <c r="M398" s="1322"/>
      <c r="N398" s="1322"/>
      <c r="O398" s="1322"/>
      <c r="P398" s="590"/>
      <c r="Q398" s="1092"/>
    </row>
    <row r="399" spans="1:17" s="180" customFormat="1" ht="19.5" hidden="1" customHeight="1" x14ac:dyDescent="0.25">
      <c r="A399" s="245"/>
      <c r="B399" s="245"/>
      <c r="C399" s="638"/>
      <c r="D399" s="459"/>
      <c r="E399" s="202"/>
      <c r="F399" s="202"/>
      <c r="G399" s="645"/>
      <c r="H399" s="202"/>
      <c r="I399" s="202"/>
      <c r="J399" s="202"/>
      <c r="K399" s="1045"/>
      <c r="L399" s="202"/>
      <c r="M399" s="202"/>
      <c r="N399" s="202"/>
      <c r="O399" s="202"/>
      <c r="P399" s="250"/>
      <c r="Q399" s="1092"/>
    </row>
    <row r="400" spans="1:17" s="180" customFormat="1" ht="9" hidden="1" customHeight="1" x14ac:dyDescent="0.25">
      <c r="C400" s="1339"/>
      <c r="Q400" s="1092"/>
    </row>
    <row r="401" spans="1:17" s="180" customFormat="1" ht="19.5" hidden="1" customHeight="1" thickBot="1" x14ac:dyDescent="0.3">
      <c r="A401" s="248"/>
      <c r="B401" s="248"/>
      <c r="C401" s="1337"/>
      <c r="D401" s="1830" t="s">
        <v>1775</v>
      </c>
      <c r="E401" s="1831"/>
      <c r="F401" s="866"/>
      <c r="G401" s="184"/>
      <c r="H401" s="184"/>
      <c r="I401" s="184"/>
      <c r="J401" s="184"/>
      <c r="K401" s="184"/>
      <c r="L401" s="184"/>
      <c r="M401" s="184"/>
      <c r="N401" s="184"/>
      <c r="O401" s="184"/>
      <c r="P401" s="589"/>
      <c r="Q401" s="1092"/>
    </row>
    <row r="402" spans="1:17" s="180" customFormat="1" ht="19.5" hidden="1" customHeight="1" thickBot="1" x14ac:dyDescent="0.3">
      <c r="A402" s="243"/>
      <c r="B402" s="243"/>
      <c r="C402" s="443"/>
      <c r="D402" s="895" t="s">
        <v>523</v>
      </c>
      <c r="E402" s="821" t="s">
        <v>648</v>
      </c>
      <c r="F402" s="239"/>
      <c r="G402" s="194" t="s">
        <v>1380</v>
      </c>
      <c r="H402" s="188"/>
      <c r="I402" s="194" t="s">
        <v>1381</v>
      </c>
      <c r="J402" s="41"/>
      <c r="K402" s="194" t="s">
        <v>1397</v>
      </c>
      <c r="L402" s="188"/>
      <c r="M402" s="194" t="s">
        <v>1382</v>
      </c>
      <c r="N402" s="858"/>
      <c r="O402" s="858"/>
      <c r="P402" s="590"/>
      <c r="Q402" s="1092"/>
    </row>
    <row r="403" spans="1:17" s="180" customFormat="1" ht="29.25" hidden="1" customHeight="1" thickBot="1" x14ac:dyDescent="0.3">
      <c r="A403" s="243"/>
      <c r="B403" s="243"/>
      <c r="C403" s="443"/>
      <c r="D403" s="803" t="s">
        <v>1383</v>
      </c>
      <c r="E403" s="1318" t="s">
        <v>1384</v>
      </c>
      <c r="F403" s="196"/>
      <c r="G403" s="1319" t="str">
        <f>IF(E402="Yes","Program","")</f>
        <v/>
      </c>
      <c r="H403" s="188"/>
      <c r="I403" s="1320"/>
      <c r="J403" s="858"/>
      <c r="K403" s="1319" t="str">
        <f>IF(E402="Yes","Corporate Office","")</f>
        <v/>
      </c>
      <c r="L403" s="188"/>
      <c r="M403" s="1321"/>
      <c r="N403" s="858"/>
      <c r="O403" s="858"/>
      <c r="P403" s="590"/>
      <c r="Q403" s="1092"/>
    </row>
    <row r="404" spans="1:17" s="180" customFormat="1" ht="19.5" hidden="1" customHeight="1" thickBot="1" x14ac:dyDescent="0.3">
      <c r="A404" s="243"/>
      <c r="B404" s="243"/>
      <c r="C404" s="443"/>
      <c r="D404" s="7"/>
      <c r="E404" s="575"/>
      <c r="F404" s="817"/>
      <c r="G404" s="817"/>
      <c r="H404" s="858"/>
      <c r="I404" s="188"/>
      <c r="J404" s="188"/>
      <c r="K404" s="188"/>
      <c r="L404" s="858"/>
      <c r="M404" s="858"/>
      <c r="N404" s="858"/>
      <c r="O404" s="858"/>
      <c r="P404" s="590"/>
      <c r="Q404" s="1092"/>
    </row>
    <row r="405" spans="1:17" s="180" customFormat="1" ht="19.5" hidden="1" customHeight="1" thickBot="1" x14ac:dyDescent="0.3">
      <c r="A405" s="243"/>
      <c r="B405" s="243"/>
      <c r="C405" s="443"/>
      <c r="D405" s="810" t="s">
        <v>1385</v>
      </c>
      <c r="E405" s="1410" t="str">
        <f>IF(E402="Yes",IFERROR(VLOOKUP(G409,'Required Info to Submit'!$E$23:'Required Info to Submit'!$M$42,7, FALSE),""),"")</f>
        <v/>
      </c>
      <c r="F405" s="239"/>
      <c r="G405" s="228" t="s">
        <v>1396</v>
      </c>
      <c r="H405" s="188"/>
      <c r="I405" s="1322"/>
      <c r="J405" s="1322"/>
      <c r="K405" s="194" t="s">
        <v>1389</v>
      </c>
      <c r="L405" s="1322"/>
      <c r="M405" s="1829" t="str">
        <f>IF(C407="Yes","Retro Accrual will be posted to the GL.  Please provide business rational and ADF pre-approval is required","")</f>
        <v/>
      </c>
      <c r="N405" s="188"/>
      <c r="O405" s="6" t="s">
        <v>490</v>
      </c>
      <c r="P405" s="590"/>
      <c r="Q405" s="1092"/>
    </row>
    <row r="406" spans="1:17" s="180" customFormat="1" ht="19.5" hidden="1" customHeight="1" thickBot="1" x14ac:dyDescent="0.3">
      <c r="A406" s="243"/>
      <c r="B406" s="243"/>
      <c r="C406" s="443" t="str">
        <f ca="1">IF(C405="Yes",IF('Agreement Worksheet'!$K$5&gt;TODAY(),"Yes",""),"")</f>
        <v/>
      </c>
      <c r="D406" s="810" t="s">
        <v>1386</v>
      </c>
      <c r="E406" s="1410" t="str">
        <f>IF(E402="Yes",'Agreement Worksheet'!$K$5,"")</f>
        <v/>
      </c>
      <c r="F406" s="196"/>
      <c r="G406" s="1476" t="str">
        <f>IF(E402="Yes",IFERROR(K409*K406,""),"")</f>
        <v/>
      </c>
      <c r="H406" s="188"/>
      <c r="I406" s="1323"/>
      <c r="J406" s="1323"/>
      <c r="K406" s="1478" t="str">
        <f>IF(E402="Yes",IFERROR($K$222,""),"")</f>
        <v/>
      </c>
      <c r="L406" s="1322"/>
      <c r="M406" s="1829"/>
      <c r="N406" s="188"/>
      <c r="O406" s="887">
        <f>IF(Incentives!E406&lt;Welcome!D100,0,IF(E402="Yes",IFERROR(ROUND((G406/E409),0)*52,0),0))</f>
        <v>0</v>
      </c>
      <c r="P406" s="590"/>
      <c r="Q406" s="1092"/>
    </row>
    <row r="407" spans="1:17" s="180" customFormat="1" ht="19.5" hidden="1" customHeight="1" thickBot="1" x14ac:dyDescent="0.3">
      <c r="A407" s="243"/>
      <c r="B407" s="243"/>
      <c r="C407" s="443" t="str">
        <f>IF(AND($E405&lt;&gt;"",$E405&lt;E408),"Yes","")</f>
        <v/>
      </c>
      <c r="D407" s="858"/>
      <c r="E407" s="858"/>
      <c r="F407" s="196"/>
      <c r="G407" s="1322"/>
      <c r="H407" s="1322"/>
      <c r="I407" s="1322"/>
      <c r="J407" s="1322"/>
      <c r="K407" s="1322"/>
      <c r="L407" s="1322"/>
      <c r="M407" s="1829"/>
      <c r="N407" s="1322"/>
      <c r="O407" s="1322"/>
      <c r="P407" s="590"/>
      <c r="Q407" s="1092"/>
    </row>
    <row r="408" spans="1:17" s="180" customFormat="1" ht="27" hidden="1" customHeight="1" thickBot="1" x14ac:dyDescent="0.3">
      <c r="A408" s="243"/>
      <c r="B408" s="243"/>
      <c r="C408" s="443"/>
      <c r="D408" s="1324" t="s">
        <v>2004</v>
      </c>
      <c r="E408" s="1411" t="str">
        <f>IF(E402="Yes",IF(Welcome!D$8&lt;&gt;"",Welcome!D$8,""),"")</f>
        <v/>
      </c>
      <c r="F408" s="196"/>
      <c r="G408" s="228" t="s">
        <v>2005</v>
      </c>
      <c r="H408" s="1322"/>
      <c r="I408" s="228" t="s">
        <v>2006</v>
      </c>
      <c r="J408" s="1322"/>
      <c r="K408" s="228" t="s">
        <v>1482</v>
      </c>
      <c r="L408" s="1322"/>
      <c r="M408" s="1829"/>
      <c r="N408" s="1322"/>
      <c r="O408" s="1322"/>
      <c r="P408" s="590"/>
      <c r="Q408" s="1092"/>
    </row>
    <row r="409" spans="1:17" s="180" customFormat="1" ht="19.5" hidden="1" customHeight="1" thickBot="1" x14ac:dyDescent="0.3">
      <c r="A409" s="243"/>
      <c r="B409" s="243"/>
      <c r="C409" s="443"/>
      <c r="D409" s="1324" t="s">
        <v>2007</v>
      </c>
      <c r="E409" s="1355" t="str">
        <f>IFERROR(('Agreement Worksheet'!$K$5-E405)/7,"")</f>
        <v/>
      </c>
      <c r="F409" s="196"/>
      <c r="G409" s="1325"/>
      <c r="H409" s="1322"/>
      <c r="I409" s="1476" t="str">
        <f>IF(E402="Yes",IFERROR(VLOOKUP(G409,'Customer Inputs'!$G$6:'Customer Inputs'!$P$25,10,FALSE),""),"")</f>
        <v/>
      </c>
      <c r="J409" s="1322"/>
      <c r="K409" s="1476" t="str">
        <f>IFERROR((I409/52)*E409,"")</f>
        <v/>
      </c>
      <c r="L409" s="1322"/>
      <c r="M409" s="1322"/>
      <c r="N409" s="1322"/>
      <c r="O409" s="1322"/>
      <c r="P409" s="590"/>
      <c r="Q409" s="1092"/>
    </row>
    <row r="410" spans="1:17" s="180" customFormat="1" ht="19.5" hidden="1" customHeight="1" x14ac:dyDescent="0.25">
      <c r="A410" s="245"/>
      <c r="B410" s="245"/>
      <c r="C410" s="638"/>
      <c r="D410" s="459"/>
      <c r="E410" s="202"/>
      <c r="F410" s="202"/>
      <c r="G410" s="645"/>
      <c r="H410" s="202"/>
      <c r="I410" s="202"/>
      <c r="J410" s="202"/>
      <c r="K410" s="1045"/>
      <c r="L410" s="202"/>
      <c r="M410" s="202"/>
      <c r="N410" s="202"/>
      <c r="O410" s="202"/>
      <c r="P410" s="250"/>
      <c r="Q410" s="1092"/>
    </row>
    <row r="411" spans="1:17" s="180" customFormat="1" ht="9" hidden="1" customHeight="1" x14ac:dyDescent="0.25">
      <c r="C411" s="1339"/>
      <c r="Q411" s="1092"/>
    </row>
    <row r="412" spans="1:17" s="180" customFormat="1" ht="19.5" hidden="1" customHeight="1" thickBot="1" x14ac:dyDescent="0.3">
      <c r="A412" s="248"/>
      <c r="B412" s="248"/>
      <c r="C412" s="1337"/>
      <c r="D412" s="1830" t="s">
        <v>1775</v>
      </c>
      <c r="E412" s="1831"/>
      <c r="F412" s="866"/>
      <c r="G412" s="184"/>
      <c r="H412" s="184"/>
      <c r="I412" s="184"/>
      <c r="J412" s="184"/>
      <c r="K412" s="184"/>
      <c r="L412" s="184"/>
      <c r="M412" s="184"/>
      <c r="N412" s="184"/>
      <c r="O412" s="184"/>
      <c r="P412" s="589"/>
      <c r="Q412" s="1092"/>
    </row>
    <row r="413" spans="1:17" s="180" customFormat="1" ht="19.5" hidden="1" customHeight="1" thickBot="1" x14ac:dyDescent="0.3">
      <c r="A413" s="243"/>
      <c r="B413" s="243"/>
      <c r="C413" s="443"/>
      <c r="D413" s="895" t="s">
        <v>523</v>
      </c>
      <c r="E413" s="821" t="s">
        <v>648</v>
      </c>
      <c r="F413" s="239"/>
      <c r="G413" s="194" t="s">
        <v>1380</v>
      </c>
      <c r="H413" s="188"/>
      <c r="I413" s="194" t="s">
        <v>1381</v>
      </c>
      <c r="J413" s="41"/>
      <c r="K413" s="194" t="s">
        <v>1397</v>
      </c>
      <c r="L413" s="188"/>
      <c r="M413" s="194" t="s">
        <v>1382</v>
      </c>
      <c r="N413" s="858"/>
      <c r="O413" s="858"/>
      <c r="P413" s="590"/>
      <c r="Q413" s="1092"/>
    </row>
    <row r="414" spans="1:17" s="180" customFormat="1" ht="29.25" hidden="1" customHeight="1" thickBot="1" x14ac:dyDescent="0.3">
      <c r="A414" s="243"/>
      <c r="B414" s="243"/>
      <c r="C414" s="443"/>
      <c r="D414" s="803" t="s">
        <v>1383</v>
      </c>
      <c r="E414" s="1318" t="s">
        <v>1384</v>
      </c>
      <c r="F414" s="196"/>
      <c r="G414" s="1319" t="str">
        <f>IF(E413="Yes","Program","")</f>
        <v/>
      </c>
      <c r="H414" s="188"/>
      <c r="I414" s="1320"/>
      <c r="J414" s="858"/>
      <c r="K414" s="1319" t="str">
        <f>IF(E413="Yes","Corporate Office","")</f>
        <v/>
      </c>
      <c r="L414" s="188"/>
      <c r="M414" s="1321"/>
      <c r="N414" s="858"/>
      <c r="O414" s="858"/>
      <c r="P414" s="590"/>
      <c r="Q414" s="1092"/>
    </row>
    <row r="415" spans="1:17" s="180" customFormat="1" ht="19.5" hidden="1" customHeight="1" thickBot="1" x14ac:dyDescent="0.3">
      <c r="A415" s="243"/>
      <c r="B415" s="243"/>
      <c r="C415" s="443"/>
      <c r="D415" s="7"/>
      <c r="E415" s="575"/>
      <c r="F415" s="817"/>
      <c r="G415" s="817"/>
      <c r="H415" s="858"/>
      <c r="I415" s="188"/>
      <c r="J415" s="188"/>
      <c r="K415" s="188"/>
      <c r="L415" s="858"/>
      <c r="M415" s="858"/>
      <c r="N415" s="858"/>
      <c r="O415" s="858"/>
      <c r="P415" s="590"/>
      <c r="Q415" s="1092"/>
    </row>
    <row r="416" spans="1:17" s="180" customFormat="1" ht="19.5" hidden="1" customHeight="1" thickBot="1" x14ac:dyDescent="0.3">
      <c r="A416" s="243"/>
      <c r="B416" s="243"/>
      <c r="C416" s="443"/>
      <c r="D416" s="810" t="s">
        <v>1385</v>
      </c>
      <c r="E416" s="1410" t="str">
        <f>IF(E413="Yes",IFERROR(VLOOKUP(G420,'Required Info to Submit'!$E$23:'Required Info to Submit'!$M$42,7, FALSE),""),"")</f>
        <v/>
      </c>
      <c r="F416" s="239"/>
      <c r="G416" s="228" t="s">
        <v>1396</v>
      </c>
      <c r="H416" s="188"/>
      <c r="I416" s="1322"/>
      <c r="J416" s="1322"/>
      <c r="K416" s="194" t="s">
        <v>1389</v>
      </c>
      <c r="L416" s="1322"/>
      <c r="M416" s="1829" t="str">
        <f>IF(C418="Yes","Retro Accrual will be posted to the GL.  Please provide business rational and ADF pre-approval is required","")</f>
        <v/>
      </c>
      <c r="N416" s="188"/>
      <c r="O416" s="6" t="s">
        <v>490</v>
      </c>
      <c r="P416" s="590"/>
      <c r="Q416" s="1092"/>
    </row>
    <row r="417" spans="1:17" s="180" customFormat="1" ht="19.5" hidden="1" customHeight="1" thickBot="1" x14ac:dyDescent="0.3">
      <c r="A417" s="243"/>
      <c r="B417" s="243"/>
      <c r="C417" s="443" t="str">
        <f ca="1">IF(C416="Yes",IF('Agreement Worksheet'!$K$5&gt;TODAY(),"Yes",""),"")</f>
        <v/>
      </c>
      <c r="D417" s="810" t="s">
        <v>1386</v>
      </c>
      <c r="E417" s="1410" t="str">
        <f>IF(E413="Yes",'Agreement Worksheet'!$K$5,"")</f>
        <v/>
      </c>
      <c r="F417" s="196"/>
      <c r="G417" s="1476" t="str">
        <f>IF(E413="Yes",IFERROR(K420*K417,""),"")</f>
        <v/>
      </c>
      <c r="H417" s="188"/>
      <c r="I417" s="1323"/>
      <c r="J417" s="1323"/>
      <c r="K417" s="1478" t="str">
        <f>IF(E413="Yes",IFERROR($K$222,""),"")</f>
        <v/>
      </c>
      <c r="L417" s="1322"/>
      <c r="M417" s="1829"/>
      <c r="N417" s="188"/>
      <c r="O417" s="887">
        <f>IF(Incentives!E417&lt;Welcome!D111,0,IF(E413="Yes",IFERROR(ROUND((G417/E420),0)*52,0),0))</f>
        <v>0</v>
      </c>
      <c r="P417" s="590"/>
      <c r="Q417" s="1092"/>
    </row>
    <row r="418" spans="1:17" s="180" customFormat="1" ht="19.5" hidden="1" customHeight="1" thickBot="1" x14ac:dyDescent="0.3">
      <c r="A418" s="243"/>
      <c r="B418" s="243"/>
      <c r="C418" s="443" t="str">
        <f>IF(AND($E416&lt;&gt;"",$E416&lt;E419),"Yes","")</f>
        <v/>
      </c>
      <c r="D418" s="858"/>
      <c r="E418" s="858"/>
      <c r="F418" s="196"/>
      <c r="G418" s="1322"/>
      <c r="H418" s="1322"/>
      <c r="I418" s="1322"/>
      <c r="J418" s="1322"/>
      <c r="K418" s="1322"/>
      <c r="L418" s="1322"/>
      <c r="M418" s="1829"/>
      <c r="N418" s="1322"/>
      <c r="O418" s="1322"/>
      <c r="P418" s="590"/>
      <c r="Q418" s="1092"/>
    </row>
    <row r="419" spans="1:17" s="180" customFormat="1" ht="27" hidden="1" customHeight="1" thickBot="1" x14ac:dyDescent="0.3">
      <c r="A419" s="243"/>
      <c r="B419" s="243"/>
      <c r="C419" s="443"/>
      <c r="D419" s="1324" t="s">
        <v>2004</v>
      </c>
      <c r="E419" s="1411" t="str">
        <f>IF(E413="Yes",IF(Welcome!D$8&lt;&gt;"",Welcome!D$8,""),"")</f>
        <v/>
      </c>
      <c r="F419" s="196"/>
      <c r="G419" s="228" t="s">
        <v>2005</v>
      </c>
      <c r="H419" s="1322"/>
      <c r="I419" s="228" t="s">
        <v>2006</v>
      </c>
      <c r="J419" s="1322"/>
      <c r="K419" s="228" t="s">
        <v>1482</v>
      </c>
      <c r="L419" s="1322"/>
      <c r="M419" s="1829"/>
      <c r="N419" s="1322"/>
      <c r="O419" s="1322"/>
      <c r="P419" s="590"/>
      <c r="Q419" s="1092"/>
    </row>
    <row r="420" spans="1:17" s="180" customFormat="1" ht="19.5" hidden="1" customHeight="1" thickBot="1" x14ac:dyDescent="0.3">
      <c r="A420" s="243"/>
      <c r="B420" s="243"/>
      <c r="C420" s="443"/>
      <c r="D420" s="1324" t="s">
        <v>2007</v>
      </c>
      <c r="E420" s="1355" t="str">
        <f>IFERROR(('Agreement Worksheet'!$K$5-E416)/7,"")</f>
        <v/>
      </c>
      <c r="F420" s="196"/>
      <c r="G420" s="1325"/>
      <c r="H420" s="1322"/>
      <c r="I420" s="1476" t="str">
        <f>IF(E413="Yes",IFERROR(VLOOKUP(G420,'Customer Inputs'!$G$6:'Customer Inputs'!$P$25,10,FALSE),""),"")</f>
        <v/>
      </c>
      <c r="J420" s="1322"/>
      <c r="K420" s="1476" t="str">
        <f>IFERROR((I420/52)*E420,"")</f>
        <v/>
      </c>
      <c r="L420" s="1322"/>
      <c r="M420" s="1322"/>
      <c r="N420" s="1322"/>
      <c r="O420" s="1322"/>
      <c r="P420" s="590"/>
      <c r="Q420" s="1092"/>
    </row>
    <row r="421" spans="1:17" s="180" customFormat="1" ht="19.5" hidden="1" customHeight="1" x14ac:dyDescent="0.25">
      <c r="A421" s="245"/>
      <c r="B421" s="245"/>
      <c r="C421" s="638"/>
      <c r="D421" s="459"/>
      <c r="E421" s="202"/>
      <c r="F421" s="202"/>
      <c r="G421" s="645"/>
      <c r="H421" s="202"/>
      <c r="I421" s="202"/>
      <c r="J421" s="202"/>
      <c r="K421" s="1045"/>
      <c r="L421" s="202"/>
      <c r="M421" s="202"/>
      <c r="N421" s="202"/>
      <c r="O421" s="202"/>
      <c r="P421" s="250"/>
      <c r="Q421" s="1092"/>
    </row>
    <row r="422" spans="1:17" s="180" customFormat="1" ht="9" hidden="1" customHeight="1" x14ac:dyDescent="0.25">
      <c r="C422" s="1339"/>
      <c r="Q422" s="1092"/>
    </row>
    <row r="423" spans="1:17" s="180" customFormat="1" ht="19.5" hidden="1" customHeight="1" thickBot="1" x14ac:dyDescent="0.3">
      <c r="A423" s="248"/>
      <c r="B423" s="248"/>
      <c r="C423" s="1337"/>
      <c r="D423" s="1830" t="s">
        <v>1775</v>
      </c>
      <c r="E423" s="1831"/>
      <c r="F423" s="866"/>
      <c r="G423" s="184"/>
      <c r="H423" s="184"/>
      <c r="I423" s="184"/>
      <c r="J423" s="184"/>
      <c r="K423" s="184"/>
      <c r="L423" s="184"/>
      <c r="M423" s="184"/>
      <c r="N423" s="184"/>
      <c r="O423" s="184"/>
      <c r="P423" s="589"/>
      <c r="Q423" s="1092"/>
    </row>
    <row r="424" spans="1:17" s="180" customFormat="1" ht="19.5" hidden="1" customHeight="1" thickBot="1" x14ac:dyDescent="0.3">
      <c r="A424" s="243"/>
      <c r="B424" s="243"/>
      <c r="C424" s="443"/>
      <c r="D424" s="895" t="s">
        <v>523</v>
      </c>
      <c r="E424" s="821" t="s">
        <v>648</v>
      </c>
      <c r="F424" s="239"/>
      <c r="G424" s="194" t="s">
        <v>1380</v>
      </c>
      <c r="H424" s="188"/>
      <c r="I424" s="194" t="s">
        <v>1381</v>
      </c>
      <c r="J424" s="41"/>
      <c r="K424" s="194" t="s">
        <v>1397</v>
      </c>
      <c r="L424" s="188"/>
      <c r="M424" s="194" t="s">
        <v>1382</v>
      </c>
      <c r="N424" s="858"/>
      <c r="O424" s="858"/>
      <c r="P424" s="590"/>
      <c r="Q424" s="1092"/>
    </row>
    <row r="425" spans="1:17" s="180" customFormat="1" ht="29.25" hidden="1" customHeight="1" thickBot="1" x14ac:dyDescent="0.3">
      <c r="A425" s="243"/>
      <c r="B425" s="243"/>
      <c r="C425" s="443"/>
      <c r="D425" s="803" t="s">
        <v>1383</v>
      </c>
      <c r="E425" s="1318" t="s">
        <v>1384</v>
      </c>
      <c r="F425" s="196"/>
      <c r="G425" s="1319" t="str">
        <f>IF(E424="Yes","Program","")</f>
        <v/>
      </c>
      <c r="H425" s="188"/>
      <c r="I425" s="1320"/>
      <c r="J425" s="858"/>
      <c r="K425" s="1319" t="str">
        <f>IF(E424="Yes","Corporate Office","")</f>
        <v/>
      </c>
      <c r="L425" s="188"/>
      <c r="M425" s="1321"/>
      <c r="N425" s="858"/>
      <c r="O425" s="858"/>
      <c r="P425" s="590"/>
      <c r="Q425" s="1092"/>
    </row>
    <row r="426" spans="1:17" s="180" customFormat="1" ht="19.5" hidden="1" customHeight="1" thickBot="1" x14ac:dyDescent="0.3">
      <c r="A426" s="243"/>
      <c r="B426" s="243"/>
      <c r="C426" s="443"/>
      <c r="D426" s="7"/>
      <c r="E426" s="575"/>
      <c r="F426" s="817"/>
      <c r="G426" s="817"/>
      <c r="H426" s="858"/>
      <c r="I426" s="188"/>
      <c r="J426" s="188"/>
      <c r="K426" s="188"/>
      <c r="L426" s="858"/>
      <c r="M426" s="858"/>
      <c r="N426" s="858"/>
      <c r="O426" s="858"/>
      <c r="P426" s="590"/>
      <c r="Q426" s="1092"/>
    </row>
    <row r="427" spans="1:17" s="180" customFormat="1" ht="19.5" hidden="1" customHeight="1" thickBot="1" x14ac:dyDescent="0.3">
      <c r="A427" s="243"/>
      <c r="B427" s="243"/>
      <c r="C427" s="443"/>
      <c r="D427" s="810" t="s">
        <v>1385</v>
      </c>
      <c r="E427" s="1410" t="str">
        <f>IF(E424="Yes",IFERROR(VLOOKUP(G431,'Required Info to Submit'!$E$23:'Required Info to Submit'!$M$42,7, FALSE),""),"")</f>
        <v/>
      </c>
      <c r="F427" s="239"/>
      <c r="G427" s="228" t="s">
        <v>1396</v>
      </c>
      <c r="H427" s="188"/>
      <c r="I427" s="1322"/>
      <c r="J427" s="1322"/>
      <c r="K427" s="194" t="s">
        <v>1389</v>
      </c>
      <c r="L427" s="1322"/>
      <c r="M427" s="1829" t="str">
        <f>IF(C429="Yes","Retro Accrual will be posted to the GL.  Please provide business rational and ADF pre-approval is required","")</f>
        <v/>
      </c>
      <c r="N427" s="188"/>
      <c r="O427" s="6" t="s">
        <v>490</v>
      </c>
      <c r="P427" s="590"/>
      <c r="Q427" s="1092"/>
    </row>
    <row r="428" spans="1:17" s="180" customFormat="1" ht="19.5" hidden="1" customHeight="1" thickBot="1" x14ac:dyDescent="0.3">
      <c r="A428" s="243"/>
      <c r="B428" s="243"/>
      <c r="C428" s="443" t="str">
        <f ca="1">IF(C427="Yes",IF('Agreement Worksheet'!$K$5&gt;TODAY(),"Yes",""),"")</f>
        <v/>
      </c>
      <c r="D428" s="810" t="s">
        <v>1386</v>
      </c>
      <c r="E428" s="1410" t="str">
        <f>IF(E424="Yes",'Agreement Worksheet'!$K$5,"")</f>
        <v/>
      </c>
      <c r="F428" s="196"/>
      <c r="G428" s="1476" t="str">
        <f>IF(E424="Yes",IFERROR(K431*K428,""),"")</f>
        <v/>
      </c>
      <c r="H428" s="188"/>
      <c r="I428" s="1323"/>
      <c r="J428" s="1323"/>
      <c r="K428" s="1478" t="str">
        <f>IF(E424="Yes",IFERROR($K$222,""),"")</f>
        <v/>
      </c>
      <c r="L428" s="1322"/>
      <c r="M428" s="1829"/>
      <c r="N428" s="188"/>
      <c r="O428" s="887">
        <f>IF(Incentives!E428&lt;Welcome!D122,0,IF(E424="Yes",IFERROR(ROUND((G428/E431),0)*52,0),0))</f>
        <v>0</v>
      </c>
      <c r="P428" s="590"/>
      <c r="Q428" s="1092"/>
    </row>
    <row r="429" spans="1:17" s="180" customFormat="1" ht="19.5" hidden="1" customHeight="1" thickBot="1" x14ac:dyDescent="0.3">
      <c r="A429" s="243"/>
      <c r="B429" s="243"/>
      <c r="C429" s="443" t="str">
        <f>IF(AND($E427&lt;&gt;"",$E427&lt;E430),"Yes","")</f>
        <v/>
      </c>
      <c r="D429" s="858"/>
      <c r="E429" s="858"/>
      <c r="F429" s="196"/>
      <c r="G429" s="1322"/>
      <c r="H429" s="1322"/>
      <c r="I429" s="1322"/>
      <c r="J429" s="1322"/>
      <c r="K429" s="1322"/>
      <c r="L429" s="1322"/>
      <c r="M429" s="1829"/>
      <c r="N429" s="1322"/>
      <c r="O429" s="1322"/>
      <c r="P429" s="590"/>
      <c r="Q429" s="1092"/>
    </row>
    <row r="430" spans="1:17" s="180" customFormat="1" ht="27" hidden="1" customHeight="1" thickBot="1" x14ac:dyDescent="0.3">
      <c r="A430" s="243"/>
      <c r="B430" s="243"/>
      <c r="C430" s="443"/>
      <c r="D430" s="1324" t="s">
        <v>2004</v>
      </c>
      <c r="E430" s="1411" t="str">
        <f>IF(E424="Yes",IF(Welcome!D$8&lt;&gt;"",Welcome!D$8,""),"")</f>
        <v/>
      </c>
      <c r="F430" s="196"/>
      <c r="G430" s="228" t="s">
        <v>2005</v>
      </c>
      <c r="H430" s="1322"/>
      <c r="I430" s="228" t="s">
        <v>2006</v>
      </c>
      <c r="J430" s="1322"/>
      <c r="K430" s="228" t="s">
        <v>1482</v>
      </c>
      <c r="L430" s="1322"/>
      <c r="M430" s="1829"/>
      <c r="N430" s="1322"/>
      <c r="O430" s="1322"/>
      <c r="P430" s="590"/>
      <c r="Q430" s="1092"/>
    </row>
    <row r="431" spans="1:17" s="180" customFormat="1" ht="19.5" hidden="1" customHeight="1" thickBot="1" x14ac:dyDescent="0.3">
      <c r="A431" s="243"/>
      <c r="B431" s="243"/>
      <c r="C431" s="443"/>
      <c r="D431" s="1324" t="s">
        <v>2007</v>
      </c>
      <c r="E431" s="1355" t="str">
        <f>IFERROR(('Agreement Worksheet'!$K$5-E427)/7,"")</f>
        <v/>
      </c>
      <c r="F431" s="196"/>
      <c r="G431" s="1325"/>
      <c r="H431" s="1322"/>
      <c r="I431" s="1476" t="str">
        <f>IF(E424="Yes",IFERROR(VLOOKUP(G431,'Customer Inputs'!$G$6:'Customer Inputs'!$P$25,10,FALSE),""),"")</f>
        <v/>
      </c>
      <c r="J431" s="1322"/>
      <c r="K431" s="1476" t="str">
        <f>IFERROR((I431/52)*E431,"")</f>
        <v/>
      </c>
      <c r="L431" s="1322"/>
      <c r="M431" s="1322"/>
      <c r="N431" s="1322"/>
      <c r="O431" s="1322"/>
      <c r="P431" s="590"/>
      <c r="Q431" s="1092"/>
    </row>
    <row r="432" spans="1:17" s="180" customFormat="1" ht="19.5" hidden="1" customHeight="1" x14ac:dyDescent="0.25">
      <c r="A432" s="245"/>
      <c r="B432" s="245"/>
      <c r="C432" s="638"/>
      <c r="D432" s="459"/>
      <c r="E432" s="202"/>
      <c r="F432" s="202"/>
      <c r="G432" s="645"/>
      <c r="H432" s="202"/>
      <c r="I432" s="202"/>
      <c r="J432" s="202"/>
      <c r="K432" s="1045"/>
      <c r="L432" s="202"/>
      <c r="M432" s="202"/>
      <c r="N432" s="202"/>
      <c r="O432" s="202"/>
      <c r="P432" s="250"/>
      <c r="Q432" s="1092"/>
    </row>
    <row r="433" spans="1:19" s="180" customFormat="1" ht="9.75" hidden="1" customHeight="1" x14ac:dyDescent="0.25">
      <c r="C433" s="1339"/>
      <c r="Q433" s="1092"/>
    </row>
    <row r="434" spans="1:19" s="176" customFormat="1" ht="33" hidden="1" customHeight="1" thickBot="1" x14ac:dyDescent="0.3">
      <c r="A434" s="1591"/>
      <c r="B434" s="1591"/>
      <c r="C434" s="1592"/>
      <c r="D434" s="1851" t="s">
        <v>2141</v>
      </c>
      <c r="E434" s="1851"/>
      <c r="F434" s="1593"/>
      <c r="G434" s="1593"/>
      <c r="H434" s="1593"/>
      <c r="I434" s="1593"/>
      <c r="J434" s="1594"/>
      <c r="K434" s="1594"/>
      <c r="L434" s="1594"/>
      <c r="M434" s="1594"/>
      <c r="N434" s="1594"/>
      <c r="O434" s="1838" t="str">
        <f>IF(K439&gt;0.03,"***Warning:You have entered an Rate % of Sales above the recommended 3%***","")</f>
        <v/>
      </c>
      <c r="P434" s="1839"/>
      <c r="Q434" s="251"/>
    </row>
    <row r="435" spans="1:19" s="176" customFormat="1" ht="18" hidden="1" customHeight="1" thickBot="1" x14ac:dyDescent="0.3">
      <c r="A435" s="1596"/>
      <c r="B435" s="1596"/>
      <c r="C435" s="1597"/>
      <c r="D435" s="1598" t="s">
        <v>523</v>
      </c>
      <c r="E435" s="821" t="s">
        <v>648</v>
      </c>
      <c r="F435" s="1599"/>
      <c r="G435" s="1579" t="s">
        <v>1380</v>
      </c>
      <c r="H435" s="959"/>
      <c r="I435" s="1579" t="s">
        <v>1381</v>
      </c>
      <c r="J435" s="1600"/>
      <c r="K435" s="1579" t="s">
        <v>833</v>
      </c>
      <c r="L435" s="1298"/>
      <c r="M435" s="926" t="s">
        <v>1382</v>
      </c>
      <c r="N435" s="1298"/>
      <c r="O435" s="1840"/>
      <c r="P435" s="1841"/>
      <c r="Q435" s="251"/>
    </row>
    <row r="436" spans="1:19" s="176" customFormat="1" ht="18" hidden="1" customHeight="1" thickBot="1" x14ac:dyDescent="0.3">
      <c r="A436" s="1596"/>
      <c r="B436" s="1596"/>
      <c r="C436" s="1597"/>
      <c r="D436" s="1602" t="s">
        <v>1383</v>
      </c>
      <c r="E436" s="1333" t="s">
        <v>1384</v>
      </c>
      <c r="F436" s="1603"/>
      <c r="G436" s="1475"/>
      <c r="H436" s="600"/>
      <c r="I436" s="1475"/>
      <c r="J436" s="858"/>
      <c r="K436" s="1541"/>
      <c r="L436" s="858"/>
      <c r="M436" s="1497"/>
      <c r="N436" s="1298"/>
      <c r="O436" s="1840"/>
      <c r="P436" s="1841"/>
      <c r="Q436" s="251"/>
    </row>
    <row r="437" spans="1:19" s="176" customFormat="1" ht="18" hidden="1" customHeight="1" thickBot="1" x14ac:dyDescent="0.3">
      <c r="A437" s="1596"/>
      <c r="B437" s="1596"/>
      <c r="C437" s="1597"/>
      <c r="D437" s="1604"/>
      <c r="E437" s="1605"/>
      <c r="F437" s="1606"/>
      <c r="G437" s="1606"/>
      <c r="H437" s="1298"/>
      <c r="I437" s="1298"/>
      <c r="J437" s="1298"/>
      <c r="K437" s="1298"/>
      <c r="L437" s="1298"/>
      <c r="M437" s="1595"/>
      <c r="N437" s="1298"/>
      <c r="O437" s="1840"/>
      <c r="P437" s="1841"/>
      <c r="Q437" s="251"/>
      <c r="S437" s="571" t="str">
        <f>IF($D$476=0,"",IF($E437="NO","",IF($I436="Select Payment Method","X","")))</f>
        <v/>
      </c>
    </row>
    <row r="438" spans="1:19" s="176" customFormat="1" ht="18" hidden="1" customHeight="1" thickBot="1" x14ac:dyDescent="0.3">
      <c r="A438" s="1596"/>
      <c r="B438" s="1596"/>
      <c r="C438" s="1597" t="str" cm="1">
        <f t="array" aca="1" ref="C438" ca="1">IF(INDIRECT("'Incentives'!C"&amp;'Configurable Tab'!C168+1) = "Yes",IF(INDIRECT("'Incentives'!E"&amp;'Configurable Tab'!C168+5)&lt;Welcome!$D$12,"Yes",IF(INDIRECT("'Incentives'!E"&amp;'Configurable Tab'!C168+5)='Required Info to Submit'!$F$17,"No","")),"")</f>
        <v/>
      </c>
      <c r="D438" s="1607" t="s">
        <v>1385</v>
      </c>
      <c r="E438" s="1409" t="str">
        <f>IF(E435="Yes",IF(Welcome!$D$6="New",IF('Required Info to Submit'!F$14="","",'Required Info to Submit'!F$14),""),"")</f>
        <v/>
      </c>
      <c r="F438" s="1599"/>
      <c r="G438" s="1298"/>
      <c r="H438" s="1298"/>
      <c r="I438" s="1298"/>
      <c r="J438" s="1298"/>
      <c r="K438" s="194" t="s">
        <v>1389</v>
      </c>
      <c r="L438" s="1608"/>
      <c r="M438" s="1601"/>
      <c r="N438" s="1298"/>
      <c r="O438" s="1840"/>
      <c r="P438" s="1841"/>
      <c r="Q438" s="251"/>
    </row>
    <row r="439" spans="1:19" s="176" customFormat="1" ht="18" hidden="1" customHeight="1" thickBot="1" x14ac:dyDescent="0.3">
      <c r="A439" s="1596"/>
      <c r="B439" s="1596"/>
      <c r="C439" s="1597"/>
      <c r="D439" s="1607" t="s">
        <v>1386</v>
      </c>
      <c r="E439" s="1409" t="str">
        <f>IF(E435="Yes",IF(Welcome!$D$6="New",IF('Required Info to Submit'!F$17="","",'Required Info to Submit'!F$17),""),"")</f>
        <v/>
      </c>
      <c r="F439" s="1603"/>
      <c r="G439" s="1298"/>
      <c r="H439" s="1298"/>
      <c r="I439" s="1298"/>
      <c r="J439" s="1298"/>
      <c r="K439" s="1472"/>
      <c r="L439" s="1608"/>
      <c r="M439" s="1601"/>
      <c r="N439" s="1298"/>
      <c r="O439" s="1601"/>
      <c r="P439" s="590"/>
      <c r="Q439" s="251"/>
    </row>
    <row r="440" spans="1:19" s="176" customFormat="1" ht="27" hidden="1" customHeight="1" x14ac:dyDescent="0.25">
      <c r="A440" s="1609"/>
      <c r="B440" s="1609"/>
      <c r="C440" s="1610"/>
      <c r="D440" s="1611"/>
      <c r="E440" s="1612"/>
      <c r="F440" s="1612"/>
      <c r="G440" s="1613"/>
      <c r="H440" s="1612"/>
      <c r="I440" s="1612"/>
      <c r="J440" s="1612"/>
      <c r="K440" s="1612"/>
      <c r="L440" s="1612"/>
      <c r="M440" s="1614"/>
      <c r="N440" s="1612"/>
      <c r="O440" s="1612"/>
      <c r="P440" s="250"/>
      <c r="Q440" s="251"/>
    </row>
    <row r="441" spans="1:19" s="180" customFormat="1" ht="9" hidden="1" customHeight="1" x14ac:dyDescent="0.25">
      <c r="C441" s="1339"/>
      <c r="K441" s="1615"/>
      <c r="Q441" s="1092"/>
    </row>
    <row r="442" spans="1:19" s="176" customFormat="1" ht="33" hidden="1" customHeight="1" thickBot="1" x14ac:dyDescent="0.3">
      <c r="A442" s="1591"/>
      <c r="B442" s="1591"/>
      <c r="C442" s="1592"/>
      <c r="D442" s="1851" t="s">
        <v>2141</v>
      </c>
      <c r="E442" s="1851"/>
      <c r="F442" s="1593"/>
      <c r="G442" s="1593"/>
      <c r="H442" s="1593"/>
      <c r="I442" s="1593"/>
      <c r="J442" s="1594"/>
      <c r="K442" s="1594"/>
      <c r="L442" s="1594"/>
      <c r="M442" s="1594"/>
      <c r="N442" s="1594"/>
      <c r="O442" s="1838" t="str">
        <f>IF(K447&gt;0.03,"***Warning:You have entered an Rate % of Sales above the recommended 3%***","")</f>
        <v/>
      </c>
      <c r="P442" s="1839"/>
      <c r="Q442" s="251"/>
    </row>
    <row r="443" spans="1:19" s="176" customFormat="1" ht="18" hidden="1" customHeight="1" thickBot="1" x14ac:dyDescent="0.3">
      <c r="A443" s="1596"/>
      <c r="B443" s="1596"/>
      <c r="C443" s="1597"/>
      <c r="D443" s="1598" t="s">
        <v>523</v>
      </c>
      <c r="E443" s="821" t="s">
        <v>648</v>
      </c>
      <c r="F443" s="1599"/>
      <c r="G443" s="1648" t="s">
        <v>1380</v>
      </c>
      <c r="H443" s="959"/>
      <c r="I443" s="1648" t="s">
        <v>1381</v>
      </c>
      <c r="J443" s="1600"/>
      <c r="K443" s="1648" t="s">
        <v>833</v>
      </c>
      <c r="L443" s="1298"/>
      <c r="M443" s="926" t="s">
        <v>1382</v>
      </c>
      <c r="N443" s="1298"/>
      <c r="O443" s="1840"/>
      <c r="P443" s="1841"/>
      <c r="Q443" s="251"/>
    </row>
    <row r="444" spans="1:19" s="176" customFormat="1" ht="18" hidden="1" customHeight="1" thickBot="1" x14ac:dyDescent="0.3">
      <c r="A444" s="1596"/>
      <c r="B444" s="1596"/>
      <c r="C444" s="1597"/>
      <c r="D444" s="1602" t="s">
        <v>1383</v>
      </c>
      <c r="E444" s="1333" t="s">
        <v>1384</v>
      </c>
      <c r="F444" s="1603"/>
      <c r="G444" s="1475"/>
      <c r="H444" s="600"/>
      <c r="I444" s="1475"/>
      <c r="J444" s="858"/>
      <c r="K444" s="1541"/>
      <c r="L444" s="858"/>
      <c r="M444" s="1497"/>
      <c r="N444" s="1298"/>
      <c r="O444" s="1840"/>
      <c r="P444" s="1841"/>
      <c r="Q444" s="251"/>
    </row>
    <row r="445" spans="1:19" s="176" customFormat="1" ht="18" hidden="1" customHeight="1" thickBot="1" x14ac:dyDescent="0.3">
      <c r="A445" s="1596"/>
      <c r="B445" s="1596"/>
      <c r="C445" s="1597"/>
      <c r="D445" s="1604"/>
      <c r="E445" s="1605"/>
      <c r="F445" s="1606"/>
      <c r="G445" s="1606"/>
      <c r="H445" s="1298"/>
      <c r="I445" s="1298"/>
      <c r="J445" s="1298"/>
      <c r="K445" s="1298"/>
      <c r="L445" s="1298"/>
      <c r="M445" s="1595"/>
      <c r="N445" s="1298"/>
      <c r="O445" s="1840"/>
      <c r="P445" s="1841"/>
      <c r="Q445" s="251"/>
      <c r="S445" s="571" t="str">
        <f>IF($D$476=0,"",IF($E445="NO","",IF($I444="Select Payment Method","X","")))</f>
        <v/>
      </c>
    </row>
    <row r="446" spans="1:19" s="176" customFormat="1" ht="18" hidden="1" customHeight="1" thickBot="1" x14ac:dyDescent="0.3">
      <c r="A446" s="1596"/>
      <c r="B446" s="1596"/>
      <c r="C446" s="1597" t="str" cm="1">
        <f t="array" aca="1" ref="C446" ca="1">IF(INDIRECT("'Incentives'!C"&amp;'Configurable Tab'!C176+1) = "Yes",IF(INDIRECT("'Incentives'!E"&amp;'Configurable Tab'!C176+5)&lt;Welcome!$D$12,"Yes",IF(INDIRECT("'Incentives'!E"&amp;'Configurable Tab'!C176+5)='Required Info to Submit'!$F$17,"No","")),"")</f>
        <v/>
      </c>
      <c r="D446" s="1607" t="s">
        <v>1385</v>
      </c>
      <c r="E446" s="1409" t="str">
        <f>IF(E443="Yes",IF(Welcome!$D$6="New",IF('Required Info to Submit'!F$14="","",'Required Info to Submit'!F$14),""),"")</f>
        <v/>
      </c>
      <c r="F446" s="1599"/>
      <c r="G446" s="1298"/>
      <c r="H446" s="1298"/>
      <c r="I446" s="1298"/>
      <c r="J446" s="1298"/>
      <c r="K446" s="194" t="s">
        <v>1389</v>
      </c>
      <c r="L446" s="1608"/>
      <c r="M446" s="1601"/>
      <c r="N446" s="1298"/>
      <c r="O446" s="1840"/>
      <c r="P446" s="1841"/>
      <c r="Q446" s="251"/>
    </row>
    <row r="447" spans="1:19" s="176" customFormat="1" ht="18" hidden="1" customHeight="1" thickBot="1" x14ac:dyDescent="0.3">
      <c r="A447" s="1596"/>
      <c r="B447" s="1596"/>
      <c r="C447" s="1597"/>
      <c r="D447" s="1607" t="s">
        <v>1386</v>
      </c>
      <c r="E447" s="1409" t="str">
        <f>IF(E443="Yes",IF(Welcome!$D$6="New",IF('Required Info to Submit'!F$17="","",'Required Info to Submit'!F$17),""),"")</f>
        <v/>
      </c>
      <c r="F447" s="1603"/>
      <c r="G447" s="1298"/>
      <c r="H447" s="1298"/>
      <c r="I447" s="1298"/>
      <c r="J447" s="1298"/>
      <c r="K447" s="1472"/>
      <c r="L447" s="1608"/>
      <c r="M447" s="1601"/>
      <c r="N447" s="1298"/>
      <c r="O447" s="1601"/>
      <c r="P447" s="590"/>
      <c r="Q447" s="251"/>
    </row>
    <row r="448" spans="1:19" s="176" customFormat="1" ht="27" hidden="1" customHeight="1" x14ac:dyDescent="0.25">
      <c r="A448" s="1609"/>
      <c r="B448" s="1609"/>
      <c r="C448" s="1610"/>
      <c r="D448" s="1611"/>
      <c r="E448" s="1612"/>
      <c r="F448" s="1612"/>
      <c r="G448" s="1613"/>
      <c r="H448" s="1612"/>
      <c r="I448" s="1612"/>
      <c r="J448" s="1612"/>
      <c r="K448" s="1612"/>
      <c r="L448" s="1612"/>
      <c r="M448" s="1614"/>
      <c r="N448" s="1612"/>
      <c r="O448" s="1612"/>
      <c r="P448" s="250"/>
      <c r="Q448" s="251"/>
    </row>
    <row r="449" spans="1:19" s="180" customFormat="1" ht="9" hidden="1" customHeight="1" x14ac:dyDescent="0.25">
      <c r="C449" s="1339"/>
      <c r="K449" s="1615"/>
      <c r="Q449" s="1092"/>
    </row>
    <row r="450" spans="1:19" s="176" customFormat="1" ht="33" hidden="1" customHeight="1" thickBot="1" x14ac:dyDescent="0.3">
      <c r="A450" s="1591"/>
      <c r="B450" s="1591"/>
      <c r="C450" s="1592"/>
      <c r="D450" s="1851" t="s">
        <v>2141</v>
      </c>
      <c r="E450" s="1851"/>
      <c r="F450" s="1593"/>
      <c r="G450" s="1593"/>
      <c r="H450" s="1593"/>
      <c r="I450" s="1593"/>
      <c r="J450" s="1594"/>
      <c r="K450" s="1594"/>
      <c r="L450" s="1594"/>
      <c r="M450" s="1594"/>
      <c r="N450" s="1594"/>
      <c r="O450" s="1838" t="str">
        <f>IF(K455&gt;0.03,"***Warning:You have entered an Rate % of Sales above the recommended 3%***","")</f>
        <v/>
      </c>
      <c r="P450" s="1839"/>
      <c r="Q450" s="251"/>
    </row>
    <row r="451" spans="1:19" s="176" customFormat="1" ht="18" hidden="1" customHeight="1" thickBot="1" x14ac:dyDescent="0.3">
      <c r="A451" s="1596"/>
      <c r="B451" s="1596"/>
      <c r="C451" s="1597"/>
      <c r="D451" s="1598" t="s">
        <v>523</v>
      </c>
      <c r="E451" s="821" t="s">
        <v>648</v>
      </c>
      <c r="F451" s="1599"/>
      <c r="G451" s="1648" t="s">
        <v>1380</v>
      </c>
      <c r="H451" s="959"/>
      <c r="I451" s="1648" t="s">
        <v>1381</v>
      </c>
      <c r="J451" s="1600"/>
      <c r="K451" s="1648" t="s">
        <v>833</v>
      </c>
      <c r="L451" s="1298"/>
      <c r="M451" s="926" t="s">
        <v>1382</v>
      </c>
      <c r="N451" s="1298"/>
      <c r="O451" s="1840"/>
      <c r="P451" s="1841"/>
      <c r="Q451" s="251"/>
    </row>
    <row r="452" spans="1:19" s="176" customFormat="1" ht="18" hidden="1" customHeight="1" thickBot="1" x14ac:dyDescent="0.3">
      <c r="A452" s="1596"/>
      <c r="B452" s="1596"/>
      <c r="C452" s="1597"/>
      <c r="D452" s="1602" t="s">
        <v>1383</v>
      </c>
      <c r="E452" s="1333" t="s">
        <v>1384</v>
      </c>
      <c r="F452" s="1603"/>
      <c r="G452" s="1475"/>
      <c r="H452" s="600"/>
      <c r="I452" s="1475"/>
      <c r="J452" s="858"/>
      <c r="K452" s="1541"/>
      <c r="L452" s="858"/>
      <c r="M452" s="1497"/>
      <c r="N452" s="1298"/>
      <c r="O452" s="1840"/>
      <c r="P452" s="1841"/>
      <c r="Q452" s="251"/>
    </row>
    <row r="453" spans="1:19" s="176" customFormat="1" ht="18" hidden="1" customHeight="1" thickBot="1" x14ac:dyDescent="0.3">
      <c r="A453" s="1596"/>
      <c r="B453" s="1596"/>
      <c r="C453" s="1597"/>
      <c r="D453" s="1604"/>
      <c r="E453" s="1605"/>
      <c r="F453" s="1606"/>
      <c r="G453" s="1606"/>
      <c r="H453" s="1298"/>
      <c r="I453" s="1298"/>
      <c r="J453" s="1298"/>
      <c r="K453" s="1298"/>
      <c r="L453" s="1298"/>
      <c r="M453" s="1595"/>
      <c r="N453" s="1298"/>
      <c r="O453" s="1840"/>
      <c r="P453" s="1841"/>
      <c r="Q453" s="251"/>
      <c r="S453" s="571" t="str">
        <f>IF($D$476=0,"",IF($E453="NO","",IF($I452="Select Payment Method","X","")))</f>
        <v/>
      </c>
    </row>
    <row r="454" spans="1:19" s="176" customFormat="1" ht="18" hidden="1" customHeight="1" thickBot="1" x14ac:dyDescent="0.3">
      <c r="A454" s="1596"/>
      <c r="B454" s="1596"/>
      <c r="C454" s="1597" t="str" cm="1">
        <f t="array" aca="1" ref="C454" ca="1">IF(INDIRECT("'Incentives'!C"&amp;'Configurable Tab'!C184+1) = "Yes",IF(INDIRECT("'Incentives'!E"&amp;'Configurable Tab'!C184+5)&lt;Welcome!$D$12,"Yes",IF(INDIRECT("'Incentives'!E"&amp;'Configurable Tab'!C184+5)='Required Info to Submit'!$F$17,"No","")),"")</f>
        <v/>
      </c>
      <c r="D454" s="1607" t="s">
        <v>1385</v>
      </c>
      <c r="E454" s="1409" t="str">
        <f>IF(E451="Yes",IF(Welcome!$D$6="New",IF('Required Info to Submit'!F$14="","",'Required Info to Submit'!F$14),""),"")</f>
        <v/>
      </c>
      <c r="F454" s="1599"/>
      <c r="G454" s="1298"/>
      <c r="H454" s="1298"/>
      <c r="I454" s="1298"/>
      <c r="J454" s="1298"/>
      <c r="K454" s="194" t="s">
        <v>1389</v>
      </c>
      <c r="L454" s="1608"/>
      <c r="M454" s="1601"/>
      <c r="N454" s="1298"/>
      <c r="O454" s="1840"/>
      <c r="P454" s="1841"/>
      <c r="Q454" s="251"/>
    </row>
    <row r="455" spans="1:19" s="176" customFormat="1" ht="18" hidden="1" customHeight="1" thickBot="1" x14ac:dyDescent="0.3">
      <c r="A455" s="1596"/>
      <c r="B455" s="1596"/>
      <c r="C455" s="1597"/>
      <c r="D455" s="1607" t="s">
        <v>1386</v>
      </c>
      <c r="E455" s="1409" t="str">
        <f>IF(E451="Yes",IF(Welcome!$D$6="New",IF('Required Info to Submit'!F$17="","",'Required Info to Submit'!F$17),""),"")</f>
        <v/>
      </c>
      <c r="F455" s="1603"/>
      <c r="G455" s="1298"/>
      <c r="H455" s="1298"/>
      <c r="I455" s="1298"/>
      <c r="J455" s="1298"/>
      <c r="K455" s="1472"/>
      <c r="L455" s="1608"/>
      <c r="M455" s="1601"/>
      <c r="N455" s="1298"/>
      <c r="O455" s="1601"/>
      <c r="P455" s="590"/>
      <c r="Q455" s="251"/>
    </row>
    <row r="456" spans="1:19" s="176" customFormat="1" ht="27" hidden="1" customHeight="1" x14ac:dyDescent="0.25">
      <c r="A456" s="1609"/>
      <c r="B456" s="1609"/>
      <c r="C456" s="1610"/>
      <c r="D456" s="1611"/>
      <c r="E456" s="1612"/>
      <c r="F456" s="1612"/>
      <c r="G456" s="1613"/>
      <c r="H456" s="1612"/>
      <c r="I456" s="1612"/>
      <c r="J456" s="1612"/>
      <c r="K456" s="1612"/>
      <c r="L456" s="1612"/>
      <c r="M456" s="1614"/>
      <c r="N456" s="1612"/>
      <c r="O456" s="1612"/>
      <c r="P456" s="250"/>
      <c r="Q456" s="251"/>
    </row>
    <row r="457" spans="1:19" s="180" customFormat="1" ht="9" hidden="1" customHeight="1" x14ac:dyDescent="0.25">
      <c r="C457" s="1339"/>
      <c r="K457" s="1615"/>
      <c r="Q457" s="1092"/>
    </row>
    <row r="458" spans="1:19" s="176" customFormat="1" ht="33" hidden="1" customHeight="1" thickBot="1" x14ac:dyDescent="0.3">
      <c r="A458" s="1591"/>
      <c r="B458" s="1591"/>
      <c r="C458" s="1592"/>
      <c r="D458" s="1851" t="s">
        <v>2141</v>
      </c>
      <c r="E458" s="1851"/>
      <c r="F458" s="1593"/>
      <c r="G458" s="1593"/>
      <c r="H458" s="1593"/>
      <c r="I458" s="1593"/>
      <c r="J458" s="1594"/>
      <c r="K458" s="1594"/>
      <c r="L458" s="1594"/>
      <c r="M458" s="1594"/>
      <c r="N458" s="1594"/>
      <c r="O458" s="1838" t="str">
        <f>IF(K463&gt;0.03,"***Warning:You have entered an Rate % of Sales above the recommended 3%***","")</f>
        <v/>
      </c>
      <c r="P458" s="1839"/>
      <c r="Q458" s="251"/>
    </row>
    <row r="459" spans="1:19" s="176" customFormat="1" ht="18" hidden="1" customHeight="1" thickBot="1" x14ac:dyDescent="0.3">
      <c r="A459" s="1596"/>
      <c r="B459" s="1596"/>
      <c r="C459" s="1597"/>
      <c r="D459" s="1598" t="s">
        <v>523</v>
      </c>
      <c r="E459" s="821" t="s">
        <v>648</v>
      </c>
      <c r="F459" s="1599"/>
      <c r="G459" s="1648" t="s">
        <v>1380</v>
      </c>
      <c r="H459" s="959"/>
      <c r="I459" s="1648" t="s">
        <v>1381</v>
      </c>
      <c r="J459" s="1600"/>
      <c r="K459" s="1648" t="s">
        <v>833</v>
      </c>
      <c r="L459" s="1298"/>
      <c r="M459" s="926" t="s">
        <v>1382</v>
      </c>
      <c r="N459" s="1298"/>
      <c r="O459" s="1840"/>
      <c r="P459" s="1841"/>
      <c r="Q459" s="251"/>
    </row>
    <row r="460" spans="1:19" s="176" customFormat="1" ht="18" hidden="1" customHeight="1" thickBot="1" x14ac:dyDescent="0.3">
      <c r="A460" s="1596"/>
      <c r="B460" s="1596"/>
      <c r="C460" s="1597"/>
      <c r="D460" s="1602" t="s">
        <v>1383</v>
      </c>
      <c r="E460" s="1333" t="s">
        <v>1384</v>
      </c>
      <c r="F460" s="1603"/>
      <c r="G460" s="1475"/>
      <c r="H460" s="600"/>
      <c r="I460" s="1475"/>
      <c r="J460" s="858"/>
      <c r="K460" s="1541"/>
      <c r="L460" s="858"/>
      <c r="M460" s="1497"/>
      <c r="N460" s="1298"/>
      <c r="O460" s="1840"/>
      <c r="P460" s="1841"/>
      <c r="Q460" s="251"/>
    </row>
    <row r="461" spans="1:19" s="176" customFormat="1" ht="18" hidden="1" customHeight="1" thickBot="1" x14ac:dyDescent="0.3">
      <c r="A461" s="1596"/>
      <c r="B461" s="1596"/>
      <c r="C461" s="1597"/>
      <c r="D461" s="1604"/>
      <c r="E461" s="1605"/>
      <c r="F461" s="1606"/>
      <c r="G461" s="1606"/>
      <c r="H461" s="1298"/>
      <c r="I461" s="1298"/>
      <c r="J461" s="1298"/>
      <c r="K461" s="1298"/>
      <c r="L461" s="1298"/>
      <c r="M461" s="1595"/>
      <c r="N461" s="1298"/>
      <c r="O461" s="1840"/>
      <c r="P461" s="1841"/>
      <c r="Q461" s="251"/>
      <c r="S461" s="571" t="str">
        <f>IF($D$476=0,"",IF($E461="NO","",IF($I460="Select Payment Method","X","")))</f>
        <v/>
      </c>
    </row>
    <row r="462" spans="1:19" s="176" customFormat="1" ht="18" hidden="1" customHeight="1" thickBot="1" x14ac:dyDescent="0.3">
      <c r="A462" s="1596"/>
      <c r="B462" s="1596"/>
      <c r="C462" s="1597" t="str" cm="1">
        <f t="array" aca="1" ref="C462" ca="1">IF(INDIRECT("'Incentives'!C"&amp;'Configurable Tab'!C192+1) = "Yes",IF(INDIRECT("'Incentives'!E"&amp;'Configurable Tab'!C192+5)&lt;Welcome!$D$12,"Yes",IF(INDIRECT("'Incentives'!E"&amp;'Configurable Tab'!C192+5)='Required Info to Submit'!$F$17,"No","")),"")</f>
        <v/>
      </c>
      <c r="D462" s="1607" t="s">
        <v>1385</v>
      </c>
      <c r="E462" s="1409" t="str">
        <f>IF(E459="Yes",IF(Welcome!$D$6="New",IF('Required Info to Submit'!F$14="","",'Required Info to Submit'!F$14),""),"")</f>
        <v/>
      </c>
      <c r="F462" s="1599"/>
      <c r="G462" s="1298"/>
      <c r="H462" s="1298"/>
      <c r="I462" s="1298"/>
      <c r="J462" s="1298"/>
      <c r="K462" s="194" t="s">
        <v>1389</v>
      </c>
      <c r="L462" s="1608"/>
      <c r="M462" s="1601"/>
      <c r="N462" s="1298"/>
      <c r="O462" s="1840"/>
      <c r="P462" s="1841"/>
      <c r="Q462" s="251"/>
    </row>
    <row r="463" spans="1:19" s="176" customFormat="1" ht="18" hidden="1" customHeight="1" thickBot="1" x14ac:dyDescent="0.3">
      <c r="A463" s="1596"/>
      <c r="B463" s="1596"/>
      <c r="C463" s="1597"/>
      <c r="D463" s="1607" t="s">
        <v>1386</v>
      </c>
      <c r="E463" s="1409" t="str">
        <f>IF(E459="Yes",IF(Welcome!$D$6="New",IF('Required Info to Submit'!F$17="","",'Required Info to Submit'!F$17),""),"")</f>
        <v/>
      </c>
      <c r="F463" s="1603"/>
      <c r="G463" s="1298"/>
      <c r="H463" s="1298"/>
      <c r="I463" s="1298"/>
      <c r="J463" s="1298"/>
      <c r="K463" s="1472"/>
      <c r="L463" s="1608"/>
      <c r="M463" s="1601"/>
      <c r="N463" s="1298"/>
      <c r="O463" s="1601"/>
      <c r="P463" s="590"/>
      <c r="Q463" s="251"/>
    </row>
    <row r="464" spans="1:19" s="176" customFormat="1" ht="27" hidden="1" customHeight="1" x14ac:dyDescent="0.25">
      <c r="A464" s="1609"/>
      <c r="B464" s="1609"/>
      <c r="C464" s="1610"/>
      <c r="D464" s="1611"/>
      <c r="E464" s="1612"/>
      <c r="F464" s="1612"/>
      <c r="G464" s="1613"/>
      <c r="H464" s="1612"/>
      <c r="I464" s="1612"/>
      <c r="J464" s="1612"/>
      <c r="K464" s="1612"/>
      <c r="L464" s="1612"/>
      <c r="M464" s="1614"/>
      <c r="N464" s="1612"/>
      <c r="O464" s="1612"/>
      <c r="P464" s="250"/>
      <c r="Q464" s="251"/>
    </row>
    <row r="465" spans="1:22" s="180" customFormat="1" ht="9" hidden="1" customHeight="1" x14ac:dyDescent="0.25">
      <c r="C465" s="1339"/>
      <c r="K465" s="1615"/>
      <c r="Q465" s="1092"/>
    </row>
    <row r="466" spans="1:22" s="176" customFormat="1" ht="33" hidden="1" customHeight="1" thickBot="1" x14ac:dyDescent="0.3">
      <c r="A466" s="1591"/>
      <c r="B466" s="1591"/>
      <c r="C466" s="1592"/>
      <c r="D466" s="1851" t="s">
        <v>2141</v>
      </c>
      <c r="E466" s="1851"/>
      <c r="F466" s="1593"/>
      <c r="G466" s="1593"/>
      <c r="H466" s="1593"/>
      <c r="I466" s="1593"/>
      <c r="J466" s="1594"/>
      <c r="K466" s="1594"/>
      <c r="L466" s="1594"/>
      <c r="M466" s="1594"/>
      <c r="N466" s="1594"/>
      <c r="O466" s="1838" t="str">
        <f>IF(K471&gt;0.03,"***Warning:You have entered an Rate % of Sales above the recommended 3%***","")</f>
        <v/>
      </c>
      <c r="P466" s="1839"/>
      <c r="Q466" s="251"/>
    </row>
    <row r="467" spans="1:22" s="176" customFormat="1" ht="18" hidden="1" customHeight="1" thickBot="1" x14ac:dyDescent="0.3">
      <c r="A467" s="1596"/>
      <c r="B467" s="1596"/>
      <c r="C467" s="1597"/>
      <c r="D467" s="1598" t="s">
        <v>523</v>
      </c>
      <c r="E467" s="821" t="s">
        <v>648</v>
      </c>
      <c r="F467" s="1599"/>
      <c r="G467" s="1648" t="s">
        <v>1380</v>
      </c>
      <c r="H467" s="959"/>
      <c r="I467" s="1648" t="s">
        <v>1381</v>
      </c>
      <c r="J467" s="1600"/>
      <c r="K467" s="1648" t="s">
        <v>833</v>
      </c>
      <c r="L467" s="1298"/>
      <c r="M467" s="926" t="s">
        <v>1382</v>
      </c>
      <c r="N467" s="1298"/>
      <c r="O467" s="1840"/>
      <c r="P467" s="1841"/>
      <c r="Q467" s="251"/>
    </row>
    <row r="468" spans="1:22" s="176" customFormat="1" ht="18" hidden="1" customHeight="1" thickBot="1" x14ac:dyDescent="0.3">
      <c r="A468" s="1596"/>
      <c r="B468" s="1596"/>
      <c r="C468" s="1597"/>
      <c r="D468" s="1602" t="s">
        <v>1383</v>
      </c>
      <c r="E468" s="1333" t="s">
        <v>1384</v>
      </c>
      <c r="F468" s="1603"/>
      <c r="G468" s="1475"/>
      <c r="H468" s="600"/>
      <c r="I468" s="1475"/>
      <c r="J468" s="858"/>
      <c r="K468" s="1541"/>
      <c r="L468" s="858"/>
      <c r="M468" s="1497"/>
      <c r="N468" s="1298"/>
      <c r="O468" s="1840"/>
      <c r="P468" s="1841"/>
      <c r="Q468" s="251"/>
    </row>
    <row r="469" spans="1:22" s="176" customFormat="1" ht="18" hidden="1" customHeight="1" thickBot="1" x14ac:dyDescent="0.3">
      <c r="A469" s="1596"/>
      <c r="B469" s="1596"/>
      <c r="C469" s="1597"/>
      <c r="D469" s="1604"/>
      <c r="E469" s="1605"/>
      <c r="F469" s="1606"/>
      <c r="G469" s="1606"/>
      <c r="H469" s="1298"/>
      <c r="I469" s="1298"/>
      <c r="J469" s="1298"/>
      <c r="K469" s="1298"/>
      <c r="L469" s="1298"/>
      <c r="M469" s="1595"/>
      <c r="N469" s="1298"/>
      <c r="O469" s="1840"/>
      <c r="P469" s="1841"/>
      <c r="Q469" s="251"/>
      <c r="S469" s="571" t="str">
        <f>IF($D$476=0,"",IF($E469="NO","",IF($I468="Select Payment Method","X","")))</f>
        <v/>
      </c>
    </row>
    <row r="470" spans="1:22" s="176" customFormat="1" ht="18" hidden="1" customHeight="1" thickBot="1" x14ac:dyDescent="0.3">
      <c r="A470" s="1596"/>
      <c r="B470" s="1596"/>
      <c r="C470" s="1597" t="str" cm="1">
        <f t="array" aca="1" ref="C470" ca="1">IF(INDIRECT("'Incentives'!C"&amp;'Configurable Tab'!C200+1) = "Yes",IF(INDIRECT("'Incentives'!E"&amp;'Configurable Tab'!C200+5)&lt;Welcome!$D$12,"Yes",IF(INDIRECT("'Incentives'!E"&amp;'Configurable Tab'!C200+5)='Required Info to Submit'!$F$17,"No","")),"")</f>
        <v/>
      </c>
      <c r="D470" s="1607" t="s">
        <v>1385</v>
      </c>
      <c r="E470" s="1409" t="str">
        <f>IF(E467="Yes",IF(Welcome!$D$6="New",IF('Required Info to Submit'!F$14="","",'Required Info to Submit'!F$14),""),"")</f>
        <v/>
      </c>
      <c r="F470" s="1599"/>
      <c r="G470" s="1298"/>
      <c r="H470" s="1298"/>
      <c r="I470" s="1298"/>
      <c r="J470" s="1298"/>
      <c r="K470" s="194" t="s">
        <v>1389</v>
      </c>
      <c r="L470" s="1608"/>
      <c r="M470" s="1601"/>
      <c r="N470" s="1298"/>
      <c r="O470" s="1840"/>
      <c r="P470" s="1841"/>
      <c r="Q470" s="251"/>
    </row>
    <row r="471" spans="1:22" s="176" customFormat="1" ht="18" hidden="1" customHeight="1" thickBot="1" x14ac:dyDescent="0.3">
      <c r="A471" s="1596"/>
      <c r="B471" s="1596"/>
      <c r="C471" s="1597"/>
      <c r="D471" s="1607" t="s">
        <v>1386</v>
      </c>
      <c r="E471" s="1409" t="str">
        <f>IF(E467="Yes",IF(Welcome!$D$6="New",IF('Required Info to Submit'!F$17="","",'Required Info to Submit'!F$17),""),"")</f>
        <v/>
      </c>
      <c r="F471" s="1603"/>
      <c r="G471" s="1298"/>
      <c r="H471" s="1298"/>
      <c r="I471" s="1298"/>
      <c r="J471" s="1298"/>
      <c r="K471" s="1472"/>
      <c r="L471" s="1608"/>
      <c r="M471" s="1601"/>
      <c r="N471" s="1298"/>
      <c r="O471" s="1601"/>
      <c r="P471" s="590"/>
      <c r="Q471" s="251"/>
    </row>
    <row r="472" spans="1:22" s="176" customFormat="1" ht="27" hidden="1" customHeight="1" x14ac:dyDescent="0.25">
      <c r="A472" s="1609"/>
      <c r="B472" s="1609"/>
      <c r="C472" s="1610"/>
      <c r="D472" s="1611"/>
      <c r="E472" s="1612"/>
      <c r="F472" s="1612"/>
      <c r="G472" s="1613"/>
      <c r="H472" s="1612"/>
      <c r="I472" s="1612"/>
      <c r="J472" s="1612"/>
      <c r="K472" s="1612"/>
      <c r="L472" s="1612"/>
      <c r="M472" s="1614"/>
      <c r="N472" s="1612"/>
      <c r="O472" s="1612"/>
      <c r="P472" s="250"/>
      <c r="Q472" s="251"/>
    </row>
    <row r="473" spans="1:22" s="180" customFormat="1" ht="9" customHeight="1" thickBot="1" x14ac:dyDescent="0.3">
      <c r="C473" s="1339"/>
      <c r="K473" s="1615"/>
      <c r="Q473" s="1092"/>
    </row>
    <row r="474" spans="1:22" s="176" customFormat="1" ht="24" customHeight="1" thickBot="1" x14ac:dyDescent="0.3">
      <c r="C474" s="1339"/>
      <c r="D474" s="433"/>
      <c r="E474" s="180"/>
      <c r="F474" s="180"/>
      <c r="G474" s="180"/>
      <c r="H474" s="180"/>
      <c r="I474" s="180"/>
      <c r="J474" s="180"/>
      <c r="K474" s="180"/>
      <c r="L474" s="180"/>
      <c r="M474" s="819"/>
      <c r="N474" s="253" t="s">
        <v>1727</v>
      </c>
      <c r="O474" s="1039"/>
      <c r="P474" s="180"/>
      <c r="Q474" s="251"/>
      <c r="R474" s="180"/>
      <c r="S474" s="180"/>
      <c r="T474" s="180"/>
    </row>
    <row r="475" spans="1:22" s="176" customFormat="1" ht="24" customHeight="1" thickBot="1" x14ac:dyDescent="0.3">
      <c r="C475" s="1339"/>
      <c r="D475" s="433"/>
      <c r="E475" s="180"/>
      <c r="F475" s="180"/>
      <c r="G475" s="180"/>
      <c r="H475" s="180"/>
      <c r="I475" s="180"/>
      <c r="J475" s="180"/>
      <c r="K475" s="180"/>
      <c r="L475" s="180"/>
      <c r="M475" s="819"/>
      <c r="N475" s="180"/>
      <c r="O475" s="180"/>
      <c r="P475" s="180"/>
      <c r="Q475" s="251"/>
      <c r="R475" s="180"/>
      <c r="S475" s="180"/>
      <c r="T475" s="180"/>
    </row>
    <row r="476" spans="1:22" s="252" customFormat="1" ht="24" customHeight="1" thickBot="1" x14ac:dyDescent="0.35">
      <c r="C476" s="1344"/>
      <c r="D476" s="903">
        <f>'Customer Inputs'!$K$27</f>
        <v>0</v>
      </c>
      <c r="M476" s="820"/>
      <c r="N476" s="253" t="s">
        <v>226</v>
      </c>
      <c r="O476" s="1030">
        <f>IFERROR(O19+O33+O47+O61+O75+O89+O103+O115+O123+O131+O139+O147+O155+O163+O171+O179+O187+O198+O210+O230+O241+O252+O263+O274+O285+O296+O307+O318+O474,0)</f>
        <v>0</v>
      </c>
      <c r="Q476" s="254"/>
      <c r="T476" s="327"/>
      <c r="U476" s="327"/>
      <c r="V476" s="328"/>
    </row>
    <row r="477" spans="1:22" s="252" customFormat="1" ht="27.6" customHeight="1" thickBot="1" x14ac:dyDescent="0.35">
      <c r="C477" s="1344"/>
      <c r="D477" s="904"/>
      <c r="L477" s="253"/>
      <c r="M477" s="569" t="str">
        <f>IF(M479&gt;0,"**Select Payment Method Above**","")</f>
        <v/>
      </c>
      <c r="N477" s="569"/>
      <c r="O477" s="569"/>
      <c r="P477" s="378" t="s">
        <v>202</v>
      </c>
      <c r="Q477" s="254"/>
    </row>
    <row r="478" spans="1:22" ht="24" customHeight="1" thickBot="1" x14ac:dyDescent="0.3">
      <c r="N478" s="253" t="s">
        <v>227</v>
      </c>
      <c r="O478" s="1031">
        <f>IFERROR($O$476/'PIM Model'!$G$31,0)</f>
        <v>0</v>
      </c>
      <c r="P478" s="379">
        <v>0.05</v>
      </c>
      <c r="Q478" s="138"/>
      <c r="R478" s="795"/>
    </row>
    <row r="479" spans="1:22" ht="24" customHeight="1" thickBot="1" x14ac:dyDescent="0.3">
      <c r="A479" s="256"/>
      <c r="B479" s="256"/>
      <c r="C479" s="1345"/>
      <c r="D479" s="905"/>
      <c r="E479" s="256"/>
      <c r="F479" s="256"/>
      <c r="G479" s="256"/>
      <c r="H479" s="256"/>
      <c r="I479" s="256"/>
      <c r="J479" s="256"/>
      <c r="K479" s="256"/>
      <c r="L479" s="544"/>
      <c r="M479" s="570">
        <f>COUNTIF($S$14:$S$223,"X")</f>
        <v>0</v>
      </c>
      <c r="N479" s="570"/>
      <c r="O479" s="570"/>
      <c r="P479" s="545"/>
      <c r="Q479" s="257"/>
      <c r="R479" s="795"/>
    </row>
    <row r="480" spans="1:22" ht="48.6" customHeight="1" x14ac:dyDescent="0.25">
      <c r="C480" s="1849"/>
      <c r="D480" s="1849"/>
      <c r="I480" s="543"/>
      <c r="L480" s="796"/>
      <c r="M480" s="1850"/>
      <c r="N480" s="1850"/>
      <c r="O480" s="1850"/>
      <c r="P480" s="1850"/>
      <c r="R480" s="795"/>
    </row>
    <row r="771" hidden="1" x14ac:dyDescent="0.25"/>
    <row r="772" hidden="1" x14ac:dyDescent="0.25"/>
    <row r="773" hidden="1" x14ac:dyDescent="0.25"/>
    <row r="774" hidden="1" x14ac:dyDescent="0.25"/>
    <row r="775" hidden="1" x14ac:dyDescent="0.25"/>
    <row r="776" hidden="1" x14ac:dyDescent="0.25"/>
    <row r="777" hidden="1" x14ac:dyDescent="0.25"/>
    <row r="778" hidden="1" x14ac:dyDescent="0.25"/>
    <row r="779" hidden="1" x14ac:dyDescent="0.25"/>
    <row r="780" hidden="1" x14ac:dyDescent="0.25"/>
    <row r="781" hidden="1" x14ac:dyDescent="0.25"/>
    <row r="782" hidden="1" x14ac:dyDescent="0.25"/>
    <row r="783" hidden="1" x14ac:dyDescent="0.25"/>
    <row r="784" hidden="1" x14ac:dyDescent="0.25"/>
  </sheetData>
  <sheetProtection algorithmName="SHA-512" hashValue="ij9CG7DXKMJYksbosZWpeNoVZ4l486C72n8SS/+ScTPmAUFhTzj3aT5BzSbEaA9T7w6OWf0vzIr2ZreTEVA+dg==" saltValue="dqpagY3wufOpy4Va0ToCZQ==" spinCount="100000" sheet="1" objects="1" scenarios="1"/>
  <mergeCells count="136">
    <mergeCell ref="O174:P176"/>
    <mergeCell ref="M102:M105"/>
    <mergeCell ref="D150:E150"/>
    <mergeCell ref="D189:E189"/>
    <mergeCell ref="D190:E190"/>
    <mergeCell ref="D134:E134"/>
    <mergeCell ref="N110:P113"/>
    <mergeCell ref="N150:P153"/>
    <mergeCell ref="N118:P121"/>
    <mergeCell ref="N134:P137"/>
    <mergeCell ref="N126:P129"/>
    <mergeCell ref="N142:P145"/>
    <mergeCell ref="M145:M148"/>
    <mergeCell ref="N158:P161"/>
    <mergeCell ref="N166:P169"/>
    <mergeCell ref="H9:I9"/>
    <mergeCell ref="D8:D9"/>
    <mergeCell ref="E8:E9"/>
    <mergeCell ref="J40:K40"/>
    <mergeCell ref="M153:M156"/>
    <mergeCell ref="M161:M164"/>
    <mergeCell ref="M169:M172"/>
    <mergeCell ref="M177:M180"/>
    <mergeCell ref="M88:M92"/>
    <mergeCell ref="M113:M116"/>
    <mergeCell ref="M121:M124"/>
    <mergeCell ref="M129:M132"/>
    <mergeCell ref="M137:M140"/>
    <mergeCell ref="M18:M21"/>
    <mergeCell ref="M32:M36"/>
    <mergeCell ref="M46:M50"/>
    <mergeCell ref="M60:M64"/>
    <mergeCell ref="M74:M78"/>
    <mergeCell ref="D82:E82"/>
    <mergeCell ref="D96:E96"/>
    <mergeCell ref="D118:E118"/>
    <mergeCell ref="H3:I3"/>
    <mergeCell ref="L3:M3"/>
    <mergeCell ref="H4:I4"/>
    <mergeCell ref="L4:M4"/>
    <mergeCell ref="H5:I5"/>
    <mergeCell ref="L5:M5"/>
    <mergeCell ref="H6:I6"/>
    <mergeCell ref="L6:M6"/>
    <mergeCell ref="H7:I7"/>
    <mergeCell ref="L7:M7"/>
    <mergeCell ref="T10:T11"/>
    <mergeCell ref="S10:S11"/>
    <mergeCell ref="N205:P208"/>
    <mergeCell ref="D174:E174"/>
    <mergeCell ref="D40:E40"/>
    <mergeCell ref="G40:H40"/>
    <mergeCell ref="N182:P185"/>
    <mergeCell ref="D182:E182"/>
    <mergeCell ref="H10:I10"/>
    <mergeCell ref="G12:H12"/>
    <mergeCell ref="J12:K12"/>
    <mergeCell ref="D26:E26"/>
    <mergeCell ref="G26:H26"/>
    <mergeCell ref="J26:K26"/>
    <mergeCell ref="D158:E158"/>
    <mergeCell ref="D166:E166"/>
    <mergeCell ref="D193:E193"/>
    <mergeCell ref="D205:E205"/>
    <mergeCell ref="J197:J198"/>
    <mergeCell ref="O12:P16"/>
    <mergeCell ref="O54:P58"/>
    <mergeCell ref="D12:E12"/>
    <mergeCell ref="N193:P196"/>
    <mergeCell ref="O96:P100"/>
    <mergeCell ref="C480:D480"/>
    <mergeCell ref="M480:P480"/>
    <mergeCell ref="D269:E269"/>
    <mergeCell ref="D280:E280"/>
    <mergeCell ref="D291:E291"/>
    <mergeCell ref="D302:E302"/>
    <mergeCell ref="M273:M276"/>
    <mergeCell ref="M284:M287"/>
    <mergeCell ref="M295:M298"/>
    <mergeCell ref="M306:M309"/>
    <mergeCell ref="M317:M320"/>
    <mergeCell ref="D313:E313"/>
    <mergeCell ref="D434:E434"/>
    <mergeCell ref="D442:E442"/>
    <mergeCell ref="D450:E450"/>
    <mergeCell ref="D458:E458"/>
    <mergeCell ref="D466:E466"/>
    <mergeCell ref="O434:P438"/>
    <mergeCell ref="O442:P446"/>
    <mergeCell ref="O450:P454"/>
    <mergeCell ref="O458:P462"/>
    <mergeCell ref="O466:P470"/>
    <mergeCell ref="D324:E324"/>
    <mergeCell ref="M328:M331"/>
    <mergeCell ref="M262:M265"/>
    <mergeCell ref="D225:E225"/>
    <mergeCell ref="D236:E236"/>
    <mergeCell ref="D247:E247"/>
    <mergeCell ref="D258:E258"/>
    <mergeCell ref="L197:L198"/>
    <mergeCell ref="O82:P86"/>
    <mergeCell ref="O26:P30"/>
    <mergeCell ref="O40:P44"/>
    <mergeCell ref="O68:P72"/>
    <mergeCell ref="J209:J210"/>
    <mergeCell ref="L209:L210"/>
    <mergeCell ref="M229:M232"/>
    <mergeCell ref="M240:M243"/>
    <mergeCell ref="M251:M254"/>
    <mergeCell ref="D217:E217"/>
    <mergeCell ref="M220:M223"/>
    <mergeCell ref="D126:E126"/>
    <mergeCell ref="D142:E142"/>
    <mergeCell ref="D110:E110"/>
    <mergeCell ref="D54:E54"/>
    <mergeCell ref="D68:E68"/>
    <mergeCell ref="O199:O203"/>
    <mergeCell ref="O211:O215"/>
    <mergeCell ref="D335:E335"/>
    <mergeCell ref="M339:M342"/>
    <mergeCell ref="D346:E346"/>
    <mergeCell ref="M350:M353"/>
    <mergeCell ref="D357:E357"/>
    <mergeCell ref="M361:M364"/>
    <mergeCell ref="D368:E368"/>
    <mergeCell ref="M372:M375"/>
    <mergeCell ref="D379:E379"/>
    <mergeCell ref="M383:M386"/>
    <mergeCell ref="D390:E390"/>
    <mergeCell ref="M394:M397"/>
    <mergeCell ref="D401:E401"/>
    <mergeCell ref="M405:M408"/>
    <mergeCell ref="D412:E412"/>
    <mergeCell ref="M416:M419"/>
    <mergeCell ref="D423:E423"/>
    <mergeCell ref="M427:M430"/>
  </mergeCells>
  <phoneticPr fontId="87" type="noConversion"/>
  <conditionalFormatting sqref="O478">
    <cfRule type="expression" dxfId="1277" priority="1389">
      <formula>$M$479&gt;0</formula>
    </cfRule>
    <cfRule type="cellIs" dxfId="1276" priority="1392" operator="lessThan">
      <formula>$P$478</formula>
    </cfRule>
    <cfRule type="cellIs" dxfId="1275" priority="1393" operator="greaterThan">
      <formula>$P$478</formula>
    </cfRule>
  </conditionalFormatting>
  <conditionalFormatting sqref="I14">
    <cfRule type="expression" dxfId="1274" priority="908">
      <formula>AND($C$13="Yes",$C$16="No")</formula>
    </cfRule>
    <cfRule type="expression" dxfId="1273" priority="1391">
      <formula>AND($C$13&lt;&gt;"Yes",$E$14&lt;&gt;"Please Select")</formula>
    </cfRule>
  </conditionalFormatting>
  <conditionalFormatting sqref="G61 K61">
    <cfRule type="expression" dxfId="1272" priority="1390">
      <formula>AND($C$55&lt;&gt;"Yes",OR($E56="DS Tiered Average Invoice Dollar Qualifier",$E56="DS Threshold Average Invoice Dollar Qualifier"))</formula>
    </cfRule>
  </conditionalFormatting>
  <conditionalFormatting sqref="G14">
    <cfRule type="expression" dxfId="1271" priority="909">
      <formula>AND($C$13="Yes",$C$16="No")</formula>
    </cfRule>
    <cfRule type="expression" dxfId="1270" priority="1387">
      <formula>AND($C$13&lt;&gt;"Yes",$E$14&lt;&gt;"Please Select")</formula>
    </cfRule>
  </conditionalFormatting>
  <conditionalFormatting sqref="G17">
    <cfRule type="expression" dxfId="1269" priority="1380">
      <formula>$E$15="YES"</formula>
    </cfRule>
  </conditionalFormatting>
  <conditionalFormatting sqref="G31">
    <cfRule type="expression" dxfId="1268" priority="1379">
      <formula>$E$15="YES"</formula>
    </cfRule>
  </conditionalFormatting>
  <conditionalFormatting sqref="G45">
    <cfRule type="expression" dxfId="1267" priority="1377">
      <formula>$E$15="YES"</formula>
    </cfRule>
  </conditionalFormatting>
  <conditionalFormatting sqref="E14">
    <cfRule type="expression" dxfId="1266" priority="1375">
      <formula>OR(AND($C$13&lt;&gt;"Yes",$E$13="No"),$C$13="Yes")</formula>
    </cfRule>
    <cfRule type="expression" dxfId="1265" priority="1376">
      <formula>AND($E$13="Yes",$C$13&lt;&gt;"Yes")</formula>
    </cfRule>
  </conditionalFormatting>
  <conditionalFormatting sqref="E28">
    <cfRule type="expression" dxfId="1264" priority="1373">
      <formula>OR($C$27="Yes",AND($E$27="No",$C$27&lt;&gt;"Yes"))</formula>
    </cfRule>
    <cfRule type="expression" dxfId="1263" priority="1374">
      <formula>AND($C$27&lt;&gt;"Yes",$E$27="Yes")</formula>
    </cfRule>
  </conditionalFormatting>
  <conditionalFormatting sqref="E42">
    <cfRule type="expression" dxfId="1262" priority="1371">
      <formula>OR($C$41="Yes",AND($E$41="No",$C$41&lt;&gt;"Yes"))</formula>
    </cfRule>
    <cfRule type="expression" dxfId="1261" priority="1372">
      <formula>AND($E$41="Yes",$C$41&lt;&gt;"Yes")</formula>
    </cfRule>
  </conditionalFormatting>
  <conditionalFormatting sqref="M14">
    <cfRule type="expression" dxfId="1260" priority="499">
      <formula>AND($K14="Corporate Office",$C13="Yes",$C16="No")</formula>
    </cfRule>
    <cfRule type="expression" dxfId="1259" priority="1368">
      <formula>OR(AND($K14&lt;&gt;"Corporate Office",$C13&lt;&gt;"Yes"),AND($C13="Yes",$C16&lt;&gt;"No"))</formula>
    </cfRule>
    <cfRule type="expression" dxfId="1258" priority="1369">
      <formula>$I14="Check"</formula>
    </cfRule>
    <cfRule type="expression" dxfId="1257" priority="1370">
      <formula>AND($I14="Credit Memo",$K14="Corporate Office",$C13&lt;&gt;"Yes")</formula>
    </cfRule>
  </conditionalFormatting>
  <conditionalFormatting sqref="E56">
    <cfRule type="expression" dxfId="1256" priority="1359">
      <formula>AND($C$55&lt;&gt;"Yes",$E$55="Yes")</formula>
    </cfRule>
    <cfRule type="expression" dxfId="1255" priority="1360">
      <formula>OR(AND($C$55&lt;&gt;"Yes",$E$55="No"),$C$55="Yes")</formula>
    </cfRule>
  </conditionalFormatting>
  <conditionalFormatting sqref="E70">
    <cfRule type="expression" dxfId="1254" priority="1357">
      <formula>AND($C$69&lt;&gt;"Yes",$E$69="Yes")</formula>
    </cfRule>
    <cfRule type="expression" dxfId="1253" priority="1358">
      <formula>OR(AND($E$69="No",$C$69&lt;&gt;"Yes"),$C$69="Yes")</formula>
    </cfRule>
  </conditionalFormatting>
  <conditionalFormatting sqref="K14">
    <cfRule type="expression" dxfId="1252" priority="907">
      <formula>AND($C13="Yes",AND($C16="No",$I14&lt;&gt;"Check"))</formula>
    </cfRule>
    <cfRule type="expression" dxfId="1251" priority="1356">
      <formula>AND($E14&lt;&gt;"Please Select",$I14&lt;&gt;"Check",$C$13&lt;&gt;"Yes")</formula>
    </cfRule>
  </conditionalFormatting>
  <conditionalFormatting sqref="I56">
    <cfRule type="expression" dxfId="1250" priority="919">
      <formula>AND($C$55="Yes",$C$58="No")</formula>
    </cfRule>
    <cfRule type="expression" dxfId="1249" priority="1355">
      <formula>AND($C$55&lt;&gt;"Yes",$E$56&lt;&gt;"Please Select")</formula>
    </cfRule>
  </conditionalFormatting>
  <conditionalFormatting sqref="G56">
    <cfRule type="expression" dxfId="1248" priority="920">
      <formula>AND($C$55="Yes",$C$58="No")</formula>
    </cfRule>
    <cfRule type="expression" dxfId="1247" priority="1353">
      <formula>AND($C$55&lt;&gt;"Yes",$E$56&lt;&gt;"Please Select")</formula>
    </cfRule>
  </conditionalFormatting>
  <conditionalFormatting sqref="I28">
    <cfRule type="expression" dxfId="1246" priority="902">
      <formula>AND($C$27="Yes",$C$30="No")</formula>
    </cfRule>
    <cfRule type="expression" dxfId="1245" priority="1352">
      <formula>AND($C$27&lt;&gt;"Yes",$E$28&lt;&gt;"Please Select")</formula>
    </cfRule>
  </conditionalFormatting>
  <conditionalFormatting sqref="G28">
    <cfRule type="expression" dxfId="1244" priority="903">
      <formula>AND($C$27="Yes",$C$30="No")</formula>
    </cfRule>
    <cfRule type="expression" dxfId="1243" priority="1351">
      <formula>AND($C$27&lt;&gt;"Yes",$E$28&lt;&gt;"Please Select")</formula>
    </cfRule>
  </conditionalFormatting>
  <conditionalFormatting sqref="I42">
    <cfRule type="expression" dxfId="1242" priority="899">
      <formula>AND($C$41="Yes",$C$44="No")</formula>
    </cfRule>
    <cfRule type="expression" dxfId="1241" priority="1349">
      <formula>AND($C$41&lt;&gt;"Yes",$E$42&lt;&gt;"Please Select")</formula>
    </cfRule>
  </conditionalFormatting>
  <conditionalFormatting sqref="G42">
    <cfRule type="expression" dxfId="1240" priority="900">
      <formula>AND($C$41="Yes",$C$44="No")</formula>
    </cfRule>
    <cfRule type="expression" dxfId="1239" priority="1348">
      <formula>AND($C$41&lt;&gt;"Yes",$E$42&lt;&gt;"Please Select")</formula>
    </cfRule>
  </conditionalFormatting>
  <conditionalFormatting sqref="I70">
    <cfRule type="expression" dxfId="1238" priority="914">
      <formula>AND($C$69="Yes",$C$72="No")</formula>
    </cfRule>
    <cfRule type="expression" dxfId="1237" priority="1346">
      <formula>AND($C$69&lt;&gt;"Yes",$E$70&lt;&gt;"Please Select")</formula>
    </cfRule>
  </conditionalFormatting>
  <conditionalFormatting sqref="I84">
    <cfRule type="expression" dxfId="1236" priority="933">
      <formula>AND($C$83="Yes",$C$86="No")</formula>
    </cfRule>
    <cfRule type="expression" dxfId="1235" priority="1332">
      <formula>AND($C$83&lt;&gt;"Yes",$E$84&lt;&gt;"Please Select")</formula>
    </cfRule>
  </conditionalFormatting>
  <conditionalFormatting sqref="G84">
    <cfRule type="expression" dxfId="1234" priority="934">
      <formula>AND($C$83="Yes",$C$86="No")</formula>
    </cfRule>
    <cfRule type="expression" dxfId="1233" priority="1330">
      <formula>AND($C$83&lt;&gt;"Yes",$E$84&lt;&gt;"Please Select")</formula>
    </cfRule>
  </conditionalFormatting>
  <conditionalFormatting sqref="I98">
    <cfRule type="expression" dxfId="1232" priority="926">
      <formula>AND($C$97="Yes",$C$100="No")</formula>
    </cfRule>
    <cfRule type="expression" dxfId="1231" priority="1326">
      <formula>AND($C$97&lt;&gt;"Yes",$E$98&lt;&gt;"Please Select")</formula>
    </cfRule>
  </conditionalFormatting>
  <conditionalFormatting sqref="G98">
    <cfRule type="expression" dxfId="1230" priority="927">
      <formula>AND($C$97="Yes",$C$100="No")</formula>
    </cfRule>
    <cfRule type="expression" dxfId="1229" priority="1324">
      <formula>AND($C$97&lt;&gt;"Yes",$E$98&lt;&gt;"Please Select")</formula>
    </cfRule>
  </conditionalFormatting>
  <conditionalFormatting sqref="E98">
    <cfRule type="expression" dxfId="1228" priority="1319">
      <formula>AND($C$97&lt;&gt;"Yes",$E$97="Yes")</formula>
    </cfRule>
    <cfRule type="expression" dxfId="1227" priority="1320">
      <formula>OR(AND($C$97&lt;&gt;"Yes",$E$97="No"),$C$97="Yes")</formula>
    </cfRule>
  </conditionalFormatting>
  <conditionalFormatting sqref="E84">
    <cfRule type="expression" dxfId="1226" priority="1317">
      <formula>AND($C$83&lt;&gt;"Yes",$E$83="Yes")</formula>
    </cfRule>
    <cfRule type="expression" dxfId="1225" priority="1318">
      <formula>OR($C$83="Yes",AND($C$83&lt;&gt;"Yes",$E$83="No"))</formula>
    </cfRule>
  </conditionalFormatting>
  <conditionalFormatting sqref="G33">
    <cfRule type="expression" dxfId="1224" priority="897">
      <formula>AND(OR($E28="Volume Incentive Threshold",$E28="Volume Incentive Tiered",$C$27="Yes"),$C$30="No")</formula>
    </cfRule>
    <cfRule type="expression" dxfId="1223" priority="1316">
      <formula>AND(OR($E28="Volume Incentive Threshold",$E28="Volume Incentive Tiered"),$C$27&lt;&gt;"Yes")</formula>
    </cfRule>
  </conditionalFormatting>
  <conditionalFormatting sqref="G47">
    <cfRule type="expression" dxfId="1222" priority="892">
      <formula>AND(OR($E42="Volume Incentive Threshold",$E42="Volume Incentive Tiered"),$C$41="Yes",$C$44="No")</formula>
    </cfRule>
    <cfRule type="expression" dxfId="1221" priority="1314">
      <formula>AND(OR($E42="Volume Incentive Threshold",$E42="Volume Incentive Tiered"),$C$41&lt;&gt;"Yes")</formula>
    </cfRule>
  </conditionalFormatting>
  <conditionalFormatting sqref="G19">
    <cfRule type="expression" dxfId="1220" priority="906">
      <formula>AND(OR($E14="Volume Incentive Threshold",$E14="Volume Incentive Tiered"),$C$13="Yes",$C$16="No")</formula>
    </cfRule>
    <cfRule type="expression" dxfId="1219" priority="1312">
      <formula>AND($C$13&lt;&gt;"Yes",OR($E14="Volume Incentive Threshold",$E14="Volume Incentive Tiered"))</formula>
    </cfRule>
  </conditionalFormatting>
  <conditionalFormatting sqref="G20 K20">
    <cfRule type="expression" dxfId="1218" priority="904">
      <formula>AND($C$13="Yes",$C$16="No",$E14="Volume Incentive Tiered")</formula>
    </cfRule>
    <cfRule type="expression" dxfId="1217" priority="1311">
      <formula>AND($C$13&lt;&gt;"Yes",$E14="Volume Incentive Tiered")</formula>
    </cfRule>
  </conditionalFormatting>
  <conditionalFormatting sqref="G62 K62">
    <cfRule type="expression" dxfId="1216" priority="916">
      <formula>AND($E56="DS Tiered Average Invoice Dollar Qualifier",$C$55="Yes",$C$58="No")</formula>
    </cfRule>
    <cfRule type="expression" dxfId="1215" priority="1310">
      <formula>AND($C$55&lt;&gt;"Yes",$E56="DS Tiered Average Invoice Dollar Qualifier")</formula>
    </cfRule>
  </conditionalFormatting>
  <conditionalFormatting sqref="G89">
    <cfRule type="expression" dxfId="1214" priority="931">
      <formula>AND($C$8="Yes",$C$86="No",OR($E$84="EB Threshold Percent Qualifier",$E$84="EB Tiered Percent Qualifier"))</formula>
    </cfRule>
    <cfRule type="expression" dxfId="1213" priority="1307">
      <formula>AND(OR($E$84="EB Threshold Percent Qualifier",$E$84="EB Tiered Percent Qualifier"),$C$83&lt;&gt;"Yes")</formula>
    </cfRule>
  </conditionalFormatting>
  <conditionalFormatting sqref="K90">
    <cfRule type="expression" dxfId="1212" priority="928">
      <formula>AND($C$83="Yes",$C$86="No",$E84="EB Tiered Percent Qualifier")</formula>
    </cfRule>
    <cfRule type="expression" dxfId="1211" priority="1306">
      <formula>AND($C$83&lt;&gt;"Yes",$E84="EB Tiered Percent Qualifier")</formula>
    </cfRule>
  </conditionalFormatting>
  <conditionalFormatting sqref="G103">
    <cfRule type="expression" dxfId="1210" priority="924">
      <formula>AND($C$97="Yes",$C$100="No",OR($E$98="EB Threshold Percent Qualifier",$E$98="EB Tiered Percent Qualifier"))</formula>
    </cfRule>
    <cfRule type="expression" dxfId="1209" priority="1305">
      <formula>AND(OR($E$98="EB Threshold Percent Qualifier",$E$98="EB Tiered Percent Qualifier"),$C$97&lt;&gt;"Yes")</formula>
    </cfRule>
  </conditionalFormatting>
  <conditionalFormatting sqref="I112">
    <cfRule type="expression" dxfId="1208" priority="969">
      <formula>AND($C$111="Yes",$C$114="No")</formula>
    </cfRule>
    <cfRule type="expression" dxfId="1207" priority="1301">
      <formula>AND($E$112&lt;&gt;"Please Select",$C$111&lt;&gt;"Yes")</formula>
    </cfRule>
  </conditionalFormatting>
  <conditionalFormatting sqref="G112">
    <cfRule type="expression" dxfId="1206" priority="970">
      <formula>AND($C$111="Yes",$C$114="No")</formula>
    </cfRule>
    <cfRule type="expression" dxfId="1205" priority="1299">
      <formula>AND($E$112&lt;&gt;"Please Select",$C$111&lt;&gt;"Yes")</formula>
    </cfRule>
  </conditionalFormatting>
  <conditionalFormatting sqref="E112">
    <cfRule type="expression" dxfId="1204" priority="1295">
      <formula>AND($C$111&lt;&gt;"Yes",$E$111="Yes")</formula>
    </cfRule>
  </conditionalFormatting>
  <conditionalFormatting sqref="G115">
    <cfRule type="expression" dxfId="1203" priority="967">
      <formula>AND($C$111="Yes",$C$114="No")</formula>
    </cfRule>
    <cfRule type="expression" dxfId="1202" priority="1294">
      <formula>AND($C$111&lt;&gt;"Yes",$E$112="Growth Incentive Single Rate")</formula>
    </cfRule>
  </conditionalFormatting>
  <conditionalFormatting sqref="K115">
    <cfRule type="expression" dxfId="1201" priority="966">
      <formula>AND($C$111="Yes",$C$114="No")</formula>
    </cfRule>
    <cfRule type="expression" dxfId="1200" priority="1293">
      <formula>AND($E$112&lt;&gt;"Please Select",$C$111&lt;&gt;"Yes")</formula>
    </cfRule>
  </conditionalFormatting>
  <conditionalFormatting sqref="I152">
    <cfRule type="expression" dxfId="1199" priority="944">
      <formula>AND($C$151="Yes",$C$154="No")</formula>
    </cfRule>
    <cfRule type="expression" dxfId="1198" priority="1292">
      <formula>AND($E$152&lt;&gt;"Please Select",$C$151&lt;&gt;"Yes")</formula>
    </cfRule>
  </conditionalFormatting>
  <conditionalFormatting sqref="G152">
    <cfRule type="expression" dxfId="1197" priority="945">
      <formula>AND($C$151="Yes",$C$154="No")</formula>
    </cfRule>
    <cfRule type="expression" dxfId="1196" priority="1290">
      <formula>AND($E$152&lt;&gt;"Please Select",$C$151&lt;&gt;"Yes")</formula>
    </cfRule>
  </conditionalFormatting>
  <conditionalFormatting sqref="G155">
    <cfRule type="expression" dxfId="1195" priority="942">
      <formula>AND($C$151="Yes",$C$154="No")</formula>
    </cfRule>
    <cfRule type="expression" dxfId="1194" priority="1286">
      <formula>AND($E$152="E-Commerce Incentive Threshold",$C$151&lt;&gt;"Yes")</formula>
    </cfRule>
  </conditionalFormatting>
  <conditionalFormatting sqref="E152">
    <cfRule type="expression" dxfId="1193" priority="1284">
      <formula>AND($C$151&lt;&gt;"Yes",$E$151="Yes")</formula>
    </cfRule>
  </conditionalFormatting>
  <conditionalFormatting sqref="I160">
    <cfRule type="expression" dxfId="1192" priority="1283">
      <formula>AND($E$160&lt;&gt;"Please Select",$C$159&lt;&gt;"Yes")</formula>
    </cfRule>
  </conditionalFormatting>
  <conditionalFormatting sqref="M160">
    <cfRule type="expression" dxfId="1191" priority="1280">
      <formula>OR(AND($K160&lt;&gt;"Corporate Office",$C159&lt;&gt;"Yes"),$C159="Yes")</formula>
    </cfRule>
    <cfRule type="expression" dxfId="1190" priority="1281">
      <formula>$I160="Check"</formula>
    </cfRule>
    <cfRule type="expression" dxfId="1189" priority="1282">
      <formula>AND($I160="Credit Memo",$K160="Corporate Office",$C159&lt;&gt;"Yes")</formula>
    </cfRule>
  </conditionalFormatting>
  <conditionalFormatting sqref="E160">
    <cfRule type="expression" dxfId="1188" priority="1279">
      <formula>AND($E$159="Yes",$C$159&lt;&gt;"Yes")</formula>
    </cfRule>
  </conditionalFormatting>
  <conditionalFormatting sqref="G163">
    <cfRule type="expression" dxfId="1187" priority="1278">
      <formula>AND($C$159&lt;&gt;"Yes",$E$160&lt;&gt;"Please Select")</formula>
    </cfRule>
  </conditionalFormatting>
  <conditionalFormatting sqref="E168">
    <cfRule type="expression" dxfId="1186" priority="1277">
      <formula>AND($E$167="Yes",$C$167&lt;&gt;"Yes")</formula>
    </cfRule>
  </conditionalFormatting>
  <conditionalFormatting sqref="I168">
    <cfRule type="expression" dxfId="1185" priority="1276">
      <formula>AND($E$168&lt;&gt;"Please Select",$C$167&lt;&gt;"Yes")</formula>
    </cfRule>
  </conditionalFormatting>
  <conditionalFormatting sqref="G171">
    <cfRule type="expression" dxfId="1184" priority="1272">
      <formula>AND($C$167&lt;&gt;"Yes",$E$168&lt;&gt;"Please Select")</formula>
    </cfRule>
  </conditionalFormatting>
  <conditionalFormatting sqref="I176">
    <cfRule type="expression" dxfId="1183" priority="1270">
      <formula>AND($C$175&lt;&gt;"Yes",$E$176&lt;&gt;"Please Select")</formula>
    </cfRule>
  </conditionalFormatting>
  <conditionalFormatting sqref="G176">
    <cfRule type="expression" dxfId="1182" priority="1268">
      <formula>AND($E$176&lt;&gt;"Please Select",$C$175&lt;&gt;"Yes")</formula>
    </cfRule>
  </conditionalFormatting>
  <conditionalFormatting sqref="M176">
    <cfRule type="expression" dxfId="1181" priority="450">
      <formula>AND($K$176="Corporate Office",$C$175="Yes",$C$178="No")</formula>
    </cfRule>
    <cfRule type="expression" dxfId="1180" priority="1265">
      <formula>OR(AND($K$176&lt;&gt;"Corporate Office",$C$175&lt;&gt;"Yes"),AND($C$175="Yes",$C$178&lt;&gt;"No"))</formula>
    </cfRule>
    <cfRule type="expression" dxfId="1179" priority="1266">
      <formula>AND($I$176="Check",$C$175&lt;&gt;"Yes")</formula>
    </cfRule>
    <cfRule type="expression" dxfId="1178" priority="1267">
      <formula>AND($I$176="Credit Memo",$K$176="Corporate Office",$C$175&lt;&gt;"Yes")</formula>
    </cfRule>
  </conditionalFormatting>
  <conditionalFormatting sqref="E176">
    <cfRule type="expression" dxfId="1177" priority="1264">
      <formula>AND($E$175="Yes",$C$175&lt;&gt;"Yes")</formula>
    </cfRule>
  </conditionalFormatting>
  <conditionalFormatting sqref="K155">
    <cfRule type="expression" dxfId="1176" priority="941">
      <formula>AND($C$151="Yes",$C$154="No")</formula>
    </cfRule>
    <cfRule type="expression" dxfId="1175" priority="1262">
      <formula>AND($E$152&lt;&gt;"Please Select",$C$151&lt;&gt;"Yes")</formula>
    </cfRule>
  </conditionalFormatting>
  <conditionalFormatting sqref="K179">
    <cfRule type="expression" dxfId="1174" priority="1261">
      <formula>AND($C$175&lt;&gt;"Yes",$E$176&lt;&gt;"Please Select")</formula>
    </cfRule>
  </conditionalFormatting>
  <conditionalFormatting sqref="I184">
    <cfRule type="expression" dxfId="1173" priority="1255">
      <formula>AND($C$183&lt;&gt;"Yes",$E184&lt;&gt;"Please Select")</formula>
    </cfRule>
  </conditionalFormatting>
  <conditionalFormatting sqref="M184">
    <cfRule type="expression" dxfId="1172" priority="1252">
      <formula>OR(AND($K184&lt;&gt;"Corporate Office",$C$183&lt;&gt;"Yes"),$C$183="Yes")</formula>
    </cfRule>
    <cfRule type="expression" dxfId="1171" priority="1253">
      <formula>AND($I184="Check")</formula>
    </cfRule>
    <cfRule type="expression" dxfId="1170" priority="1254">
      <formula>AND($I184="Credit Memo",$K184="Corporate Office",$C$183&lt;&gt;"Yes")</formula>
    </cfRule>
  </conditionalFormatting>
  <conditionalFormatting sqref="E184">
    <cfRule type="expression" dxfId="1169" priority="1251">
      <formula>AND($C$183&lt;&gt;"Yes",$E$183="Yes")</formula>
    </cfRule>
  </conditionalFormatting>
  <conditionalFormatting sqref="G190">
    <cfRule type="expression" dxfId="1168" priority="1250">
      <formula>AND($C$183&lt;&gt;"Yes",$E184&lt;&gt;"Please Select")</formula>
    </cfRule>
  </conditionalFormatting>
  <conditionalFormatting sqref="I190">
    <cfRule type="expression" dxfId="1167" priority="1246">
      <formula>AND($C$183&lt;&gt;"Yes",COUNT(SEARCH("ICM", $G190))=1)</formula>
    </cfRule>
    <cfRule type="expression" dxfId="1166" priority="1249">
      <formula>AND($C$183&lt;&gt;"Yes",$E184&lt;&gt;"Please Select")</formula>
    </cfRule>
  </conditionalFormatting>
  <conditionalFormatting sqref="K187">
    <cfRule type="expression" dxfId="1165" priority="1245">
      <formula>AND($E184 = "Prepaid Rollover",$C$183&lt;&gt;"Yes")</formula>
    </cfRule>
  </conditionalFormatting>
  <conditionalFormatting sqref="M190">
    <cfRule type="expression" dxfId="1164" priority="1243">
      <formula>AND($C$183&lt;&gt;"Yes",$E184&lt;&gt;"Please Select")</formula>
    </cfRule>
  </conditionalFormatting>
  <conditionalFormatting sqref="M187">
    <cfRule type="expression" dxfId="1163" priority="1242">
      <formula>AND($E184&lt;&gt;"Please Select",$C$183&lt;&gt;"Yes")</formula>
    </cfRule>
  </conditionalFormatting>
  <conditionalFormatting sqref="K190">
    <cfRule type="expression" dxfId="1162" priority="1241">
      <formula>AND($C$183&lt;&gt;"Yes",$E184&lt;&gt;"Please Select")</formula>
    </cfRule>
  </conditionalFormatting>
  <conditionalFormatting sqref="N182:P185">
    <cfRule type="expression" dxfId="1161" priority="1239">
      <formula>AND($G$187&lt;100000,$G187&gt;=10000)</formula>
    </cfRule>
    <cfRule type="expression" dxfId="1160" priority="1240">
      <formula>$G187&gt;=100000</formula>
    </cfRule>
  </conditionalFormatting>
  <conditionalFormatting sqref="O190">
    <cfRule type="expression" dxfId="1159" priority="1238">
      <formula>AND($E184&lt;&gt;"Please Select",$C$183&lt;&gt;"Yes")</formula>
    </cfRule>
  </conditionalFormatting>
  <conditionalFormatting sqref="G195">
    <cfRule type="expression" dxfId="1158" priority="1219">
      <formula>AND($C$194&lt;&gt;"Yes",$E195="Prepay Multi Yr Under")</formula>
    </cfRule>
  </conditionalFormatting>
  <conditionalFormatting sqref="G207">
    <cfRule type="expression" dxfId="1157" priority="1218">
      <formula>AND($C$206&lt;&gt;"Yes",$E207="Prepay Multi Yr Under")</formula>
    </cfRule>
  </conditionalFormatting>
  <conditionalFormatting sqref="I195">
    <cfRule type="expression" dxfId="1156" priority="1217">
      <formula>AND($C$194&lt;&gt;"Yes",$E195&lt;&gt;"Please Select")</formula>
    </cfRule>
  </conditionalFormatting>
  <conditionalFormatting sqref="I207">
    <cfRule type="expression" dxfId="1155" priority="1216">
      <formula>AND($C$206&lt;&gt;"Yes",$E207&lt;&gt;"Please Select")</formula>
    </cfRule>
  </conditionalFormatting>
  <conditionalFormatting sqref="M195">
    <cfRule type="expression" dxfId="1154" priority="449">
      <formula>OR(AND($K195&lt;&gt;"Corporate Office",$C194&lt;&gt;"Yes"),$C194="Yes")</formula>
    </cfRule>
    <cfRule type="expression" dxfId="1153" priority="1213">
      <formula>$I195="Check"</formula>
    </cfRule>
    <cfRule type="expression" dxfId="1152" priority="1214">
      <formula>AND($K195="Corporate Office",$I195="Check",$C194&lt;&gt;"Yes")</formula>
    </cfRule>
    <cfRule type="expression" dxfId="1151" priority="1215">
      <formula>AND($I195="Credit Memo",$K195="Corporate Office",$C194&lt;&gt;"Yes")</formula>
    </cfRule>
  </conditionalFormatting>
  <conditionalFormatting sqref="N193:P196">
    <cfRule type="expression" dxfId="1150" priority="1208">
      <formula>AND($G$198&lt;100000,$G198&gt;=10000)</formula>
    </cfRule>
    <cfRule type="expression" dxfId="1149" priority="1209">
      <formula>$G198&gt;=100000</formula>
    </cfRule>
  </conditionalFormatting>
  <conditionalFormatting sqref="N205:P208">
    <cfRule type="expression" dxfId="1148" priority="1206">
      <formula>AND($G$210&lt;100000,$G210&gt;=10000)</formula>
    </cfRule>
    <cfRule type="expression" dxfId="1147" priority="1207">
      <formula>$G210&gt;=100000</formula>
    </cfRule>
  </conditionalFormatting>
  <conditionalFormatting sqref="I219">
    <cfRule type="expression" dxfId="1146" priority="1178">
      <formula>AND($C$218&lt;&gt;"Yes",$E219&lt;&gt;"Please Select")</formula>
    </cfRule>
  </conditionalFormatting>
  <conditionalFormatting sqref="E219">
    <cfRule type="expression" dxfId="1145" priority="1177">
      <formula>AND($C$218&lt;&gt;"Yes",$E$218="Yes")</formula>
    </cfRule>
  </conditionalFormatting>
  <conditionalFormatting sqref="K222">
    <cfRule type="expression" dxfId="1144" priority="1175">
      <formula>AND($C$218&lt;&gt;"Yes",$E$219&lt;&gt;"Please Select")</formula>
    </cfRule>
  </conditionalFormatting>
  <conditionalFormatting sqref="E195">
    <cfRule type="expression" dxfId="1143" priority="1155">
      <formula>AND($C$194&lt;&gt;"Yes",$E$194="Yes")</formula>
    </cfRule>
  </conditionalFormatting>
  <conditionalFormatting sqref="K21:K23 G21:G23">
    <cfRule type="expression" dxfId="1142" priority="1154">
      <formula>OR(AND($E$14="Volume Incentive Tiered",$C$13&lt;&gt;"Yes"),AND($C$13="Yes",$C$16="No",$E$14="Volume Incentive Tiered"))</formula>
    </cfRule>
  </conditionalFormatting>
  <conditionalFormatting sqref="K63:K65">
    <cfRule type="expression" dxfId="1141" priority="1143">
      <formula>OR(AND($E$56="DS Tiered Average Invoice Dollar Qualifier",$C$55&lt;&gt;"Yes"),AND($C$55="Yes",$C$58="No",$E$56="DS Tiered Average Invoice Dollar Qualifier"))</formula>
    </cfRule>
  </conditionalFormatting>
  <conditionalFormatting sqref="K91:K93">
    <cfRule type="expression" dxfId="1140" priority="1142">
      <formula>OR(AND($C$83&lt;&gt;"Yes",$E$84="EB Tiered Percent Qualifier"),AND($C$83="Yes",$C$86="No",,$E$84="EB Tiered Percent Qualifier"))</formula>
    </cfRule>
  </conditionalFormatting>
  <conditionalFormatting sqref="K77:K79">
    <cfRule type="expression" dxfId="1139" priority="1132">
      <formula>OR(AND($E$70="DS Tiered Average Invoice Dollar Qualifier",$C$69&lt;&gt;"Yes"),AND($C$69="Yes",$C$58="72",$E$70="DS Tiered Average Invoice Dollar Qualifier"))</formula>
    </cfRule>
  </conditionalFormatting>
  <conditionalFormatting sqref="K104">
    <cfRule type="expression" dxfId="1138" priority="922">
      <formula>AND($C$97="Yes",$C$100="No",$E98="EB Tiered Percent Qualifier")</formula>
    </cfRule>
    <cfRule type="expression" dxfId="1137" priority="1130">
      <formula>AND($E98="EB Tiered Percent Qualifier",$C$97&lt;&gt;"Yes")</formula>
    </cfRule>
  </conditionalFormatting>
  <conditionalFormatting sqref="K105:K107">
    <cfRule type="expression" dxfId="1136" priority="1129">
      <formula>OR(AND($C$97&lt;&gt;"Yes",$E$98="EB Tiered Percent Qualifier"),AND($C$97="Yes",$C$100="No",$E$98="EB Tiered Percent Qualifier"))</formula>
    </cfRule>
  </conditionalFormatting>
  <conditionalFormatting sqref="T12:T14">
    <cfRule type="cellIs" dxfId="1135" priority="1128" operator="equal">
      <formula>"Yes"</formula>
    </cfRule>
  </conditionalFormatting>
  <conditionalFormatting sqref="K19">
    <cfRule type="expression" dxfId="1134" priority="905">
      <formula>AND($C$13="Yes",$C$16="No")</formula>
    </cfRule>
    <cfRule type="expression" dxfId="1133" priority="1125">
      <formula>AND($E$14&lt;&gt;"Please Select",$C$13&lt;&gt;"Yes")</formula>
    </cfRule>
  </conditionalFormatting>
  <conditionalFormatting sqref="K33">
    <cfRule type="expression" dxfId="1132" priority="896">
      <formula>AND($C$27="Yes",$C$30="No")</formula>
    </cfRule>
    <cfRule type="expression" dxfId="1131" priority="1124">
      <formula>AND($C$27&lt;&gt;"Yes",$E$28&lt;&gt;"Please Select")</formula>
    </cfRule>
  </conditionalFormatting>
  <conditionalFormatting sqref="K47">
    <cfRule type="expression" dxfId="1130" priority="891">
      <formula>AND($C$41="Yes",$C$44="No")</formula>
    </cfRule>
    <cfRule type="expression" dxfId="1129" priority="1123">
      <formula>AND($C$41&lt;&gt;"Yes",$E$42&lt;&gt;"Please Select")</formula>
    </cfRule>
  </conditionalFormatting>
  <conditionalFormatting sqref="K89">
    <cfRule type="expression" dxfId="1128" priority="929">
      <formula>AND($C$83="Yes",$C$86="No")</formula>
    </cfRule>
    <cfRule type="expression" dxfId="1127" priority="1122">
      <formula>AND($C$83&lt;&gt;"Yes",$E$84&lt;&gt;"Please Select")</formula>
    </cfRule>
  </conditionalFormatting>
  <conditionalFormatting sqref="K103">
    <cfRule type="expression" dxfId="1126" priority="921">
      <formula>AND($C$97="Yes",$C$100="No")</formula>
    </cfRule>
    <cfRule type="expression" dxfId="1125" priority="1121">
      <formula>AND($C$97&lt;&gt;"Yes",$E$98&lt;&gt;"Please Select")</formula>
    </cfRule>
  </conditionalFormatting>
  <conditionalFormatting sqref="K176">
    <cfRule type="expression" dxfId="1124" priority="500">
      <formula>AND($C175="Yes",AND($C178="No",$I176&lt;&gt;"Check"))</formula>
    </cfRule>
    <cfRule type="expression" dxfId="1123" priority="1104">
      <formula>AND($E176&lt;&gt;"Please Select",$I176&lt;&gt;"Check",$C$175&lt;&gt;"Yes")</formula>
    </cfRule>
  </conditionalFormatting>
  <conditionalFormatting sqref="I187">
    <cfRule type="expression" dxfId="1122" priority="1083">
      <formula>AND($C$183&lt;&gt;"Yes",$E$184&lt;&gt;"Please Select")</formula>
    </cfRule>
  </conditionalFormatting>
  <conditionalFormatting sqref="G198">
    <cfRule type="expression" dxfId="1121" priority="1081">
      <formula>AND($C$194&lt;&gt;"Yes",$E$195="Prepaid Single Payment")</formula>
    </cfRule>
  </conditionalFormatting>
  <conditionalFormatting sqref="G210">
    <cfRule type="expression" dxfId="1120" priority="1080">
      <formula>AND($C$206&lt;&gt;"Yes",$E$207="Prepaid Single Payment")</formula>
    </cfRule>
  </conditionalFormatting>
  <conditionalFormatting sqref="G105:G107">
    <cfRule type="expression" dxfId="1119" priority="1079">
      <formula>OR(AND($C$97&lt;&gt;"Yes",$E$98="EB Tiered Percent Qualifier"),AND($C$97="Yes",$C$100="No",$E$98="EB Tiered Percent Qualifier"))</formula>
    </cfRule>
  </conditionalFormatting>
  <conditionalFormatting sqref="G91:G93">
    <cfRule type="expression" dxfId="1118" priority="1078">
      <formula>OR(AND($C$83&lt;&gt;"Yes",$E$84="EB Tiered Percent Qualifier"),AND($C$83="Yes",$C$86="No",$E$84="EB Tiered Percent Qualifier"))</formula>
    </cfRule>
  </conditionalFormatting>
  <conditionalFormatting sqref="G90">
    <cfRule type="expression" dxfId="1117" priority="930">
      <formula>AND($C$83="Yes",$C$86="No",$E$84="EB Tiered Percent Qualifier")</formula>
    </cfRule>
    <cfRule type="expression" dxfId="1116" priority="1077">
      <formula>AND($C$83&lt;&gt;"Yes",$E$84="EB Tiered Percent Qualifier")</formula>
    </cfRule>
  </conditionalFormatting>
  <conditionalFormatting sqref="G104">
    <cfRule type="expression" dxfId="1115" priority="923">
      <formula>AND($E$98="EB Tiered Percent Qualifier",$C$97="Yes",$C$100="No")</formula>
    </cfRule>
    <cfRule type="expression" dxfId="1114" priority="1076">
      <formula>AND($C$97&lt;&gt;"Yes",$E$98="EB Tiered Percent Qualifier")</formula>
    </cfRule>
  </conditionalFormatting>
  <conditionalFormatting sqref="I89:I93">
    <cfRule type="cellIs" dxfId="1113" priority="1075" operator="equal">
      <formula>0</formula>
    </cfRule>
  </conditionalFormatting>
  <conditionalFormatting sqref="I103:I107">
    <cfRule type="cellIs" dxfId="1112" priority="1074" operator="equal">
      <formula>0</formula>
    </cfRule>
  </conditionalFormatting>
  <conditionalFormatting sqref="K198:K202">
    <cfRule type="expression" dxfId="1111" priority="1063">
      <formula>OR(AND($C$194&lt;&gt;"Yes",$E$195="Prepaid Single Payment"),$C$194="Yes")</formula>
    </cfRule>
  </conditionalFormatting>
  <conditionalFormatting sqref="K210:K214">
    <cfRule type="expression" dxfId="1110" priority="1062">
      <formula>AND($C$206&lt;&gt;"Yes",$E$207="Prepaid Single Payment")</formula>
    </cfRule>
  </conditionalFormatting>
  <conditionalFormatting sqref="E207">
    <cfRule type="expression" dxfId="1109" priority="1061">
      <formula>AND($E$206="Yes",$C$206&lt;&gt;"Yes")</formula>
    </cfRule>
  </conditionalFormatting>
  <conditionalFormatting sqref="I120">
    <cfRule type="expression" dxfId="1108" priority="964">
      <formula>AND($C$119="Yes",$C$122="No")</formula>
    </cfRule>
    <cfRule type="expression" dxfId="1107" priority="1059">
      <formula>AND($C$119&lt;&gt;"Yes",$E$120&lt;&gt;"Please Select")</formula>
    </cfRule>
  </conditionalFormatting>
  <conditionalFormatting sqref="G120">
    <cfRule type="expression" dxfId="1106" priority="965">
      <formula>AND($C$119="Yes",$C$122="No")</formula>
    </cfRule>
    <cfRule type="expression" dxfId="1105" priority="1058">
      <formula>AND($C$119&lt;&gt;"Yes",$E$120&lt;&gt;"Please Select")</formula>
    </cfRule>
  </conditionalFormatting>
  <conditionalFormatting sqref="E120">
    <cfRule type="expression" dxfId="1104" priority="1054">
      <formula>AND($C$119&lt;&gt;"Yes",$E$119="Yes")</formula>
    </cfRule>
  </conditionalFormatting>
  <conditionalFormatting sqref="G123">
    <cfRule type="expression" dxfId="1103" priority="962">
      <formula>AND($C$119="Yes",$C$122="No")</formula>
    </cfRule>
    <cfRule type="expression" dxfId="1102" priority="1053">
      <formula>AND($C$119&lt;&gt;"Yes",$E$120="Growth Incentive Single Rate")</formula>
    </cfRule>
  </conditionalFormatting>
  <conditionalFormatting sqref="K123">
    <cfRule type="expression" dxfId="1101" priority="961">
      <formula>AND($C$119="Yes",$C$122="No")</formula>
    </cfRule>
    <cfRule type="expression" dxfId="1100" priority="1052">
      <formula>AND($C$119&lt;&gt;"Yes",$E$120&lt;&gt;"Please Select")</formula>
    </cfRule>
  </conditionalFormatting>
  <conditionalFormatting sqref="I128">
    <cfRule type="expression" dxfId="1099" priority="959">
      <formula>AND($C$127="Yes",$C$130="No")</formula>
    </cfRule>
    <cfRule type="expression" dxfId="1098" priority="1050">
      <formula>AND($E$128&lt;&gt;"Please Select",$C$127&lt;&gt;"Yes")</formula>
    </cfRule>
  </conditionalFormatting>
  <conditionalFormatting sqref="G128">
    <cfRule type="expression" dxfId="1097" priority="960">
      <formula>AND($C$127="Yes",$C$130="No")</formula>
    </cfRule>
    <cfRule type="expression" dxfId="1096" priority="1049">
      <formula>AND($E$128&lt;&gt;"Please Select",$C$127&lt;&gt;"Yes")</formula>
    </cfRule>
  </conditionalFormatting>
  <conditionalFormatting sqref="E128">
    <cfRule type="expression" dxfId="1095" priority="1045">
      <formula>AND($C$135&lt;&gt;"Yes",$E$127="Yes")</formula>
    </cfRule>
  </conditionalFormatting>
  <conditionalFormatting sqref="G131">
    <cfRule type="expression" dxfId="1094" priority="956">
      <formula>AND($C$127="Yes",$C$130="No")</formula>
    </cfRule>
    <cfRule type="expression" dxfId="1093" priority="1044">
      <formula>AND($E$128="Growth Incentive Single Rate",$C$127&lt;&gt;"Yes")</formula>
    </cfRule>
  </conditionalFormatting>
  <conditionalFormatting sqref="K131">
    <cfRule type="expression" dxfId="1092" priority="955">
      <formula>AND($C$127="Yes",$C$130="No")</formula>
    </cfRule>
    <cfRule type="expression" dxfId="1091" priority="1043">
      <formula>AND($E$128&lt;&gt;"Please Select",$C$127&lt;&gt;"Yes")</formula>
    </cfRule>
  </conditionalFormatting>
  <conditionalFormatting sqref="I144">
    <cfRule type="expression" dxfId="1090" priority="949">
      <formula>AND($C$143="Yes",$C$146="No")</formula>
    </cfRule>
    <cfRule type="expression" dxfId="1089" priority="1041">
      <formula>AND($E$144&lt;&gt;"Please Select",$C$143&lt;&gt;"Yes")</formula>
    </cfRule>
  </conditionalFormatting>
  <conditionalFormatting sqref="G144">
    <cfRule type="expression" dxfId="1088" priority="950">
      <formula>AND($C$143="Yes",$C$146="No")</formula>
    </cfRule>
    <cfRule type="expression" dxfId="1087" priority="1040">
      <formula>AND($E$144&lt;&gt;"Please Select",$C$143&lt;&gt;"Yes")</formula>
    </cfRule>
  </conditionalFormatting>
  <conditionalFormatting sqref="E144">
    <cfRule type="expression" dxfId="1086" priority="1036">
      <formula>AND($E$143="Yes",$C$143&lt;&gt;"Yes")</formula>
    </cfRule>
  </conditionalFormatting>
  <conditionalFormatting sqref="G147">
    <cfRule type="expression" dxfId="1085" priority="947">
      <formula>AND($C$143="Yes",$C$146="No")</formula>
    </cfRule>
    <cfRule type="expression" dxfId="1084" priority="1035">
      <formula>AND($E$144="Growth Incentive Single Rate",$C$143&lt;&gt;"Yes")</formula>
    </cfRule>
  </conditionalFormatting>
  <conditionalFormatting sqref="K147">
    <cfRule type="expression" dxfId="1083" priority="946">
      <formula>AND($C$143="Yes",$C$146="No")</formula>
    </cfRule>
    <cfRule type="expression" dxfId="1082" priority="1034">
      <formula>AND($E$144&lt;&gt;"Please Select",$C$143&lt;&gt;"Yes")</formula>
    </cfRule>
  </conditionalFormatting>
  <conditionalFormatting sqref="I136">
    <cfRule type="expression" dxfId="1081" priority="953">
      <formula>AND($C$135="Yes",$C$138="No")</formula>
    </cfRule>
    <cfRule type="expression" dxfId="1080" priority="1032">
      <formula>AND($E$136&lt;&gt;"Please Select",$C$135&lt;&gt;"Yes")</formula>
    </cfRule>
  </conditionalFormatting>
  <conditionalFormatting sqref="G136">
    <cfRule type="expression" dxfId="1079" priority="954">
      <formula>AND($C$135="Yes",$C$138="No")</formula>
    </cfRule>
    <cfRule type="expression" dxfId="1078" priority="1031">
      <formula>AND($C$135&lt;&gt;"Yes",$E$136&lt;&gt;"Please Select")</formula>
    </cfRule>
  </conditionalFormatting>
  <conditionalFormatting sqref="E136">
    <cfRule type="expression" dxfId="1077" priority="1027">
      <formula>AND($E$135="Yes",$C$135&lt;&gt;"Yes")</formula>
    </cfRule>
  </conditionalFormatting>
  <conditionalFormatting sqref="G139">
    <cfRule type="expression" dxfId="1076" priority="957">
      <formula>AND($C$135="Yes",$C$138="No")</formula>
    </cfRule>
    <cfRule type="expression" dxfId="1075" priority="1026">
      <formula>AND($E$136="Growth Incentive Single Rate",$C$135&lt;&gt;"Yes")</formula>
    </cfRule>
  </conditionalFormatting>
  <conditionalFormatting sqref="K139">
    <cfRule type="expression" dxfId="1074" priority="951">
      <formula>AND($C$135="Yes",$C$138="No")</formula>
    </cfRule>
    <cfRule type="expression" dxfId="1073" priority="1025">
      <formula>AND($E$136&lt;&gt;"Please Select",$C$135&lt;&gt;"Yes")</formula>
    </cfRule>
  </conditionalFormatting>
  <conditionalFormatting sqref="K223">
    <cfRule type="cellIs" dxfId="1072" priority="1021" operator="equal">
      <formula>"Rate cannot be greater than the Prepaid Rate % of Sales"</formula>
    </cfRule>
    <cfRule type="cellIs" dxfId="1071" priority="1023" operator="equal">
      <formula>"Recommended New Customer Location Incentive is 1%"</formula>
    </cfRule>
  </conditionalFormatting>
  <conditionalFormatting sqref="G70">
    <cfRule type="expression" dxfId="1070" priority="915">
      <formula>AND($C$69="Yes",$C$72="No")</formula>
    </cfRule>
    <cfRule type="expression" dxfId="1069" priority="978">
      <formula>AND($C$69&lt;&gt;"Yes",$E$70&lt;&gt;"Please Select")</formula>
    </cfRule>
  </conditionalFormatting>
  <conditionalFormatting sqref="G63:G65">
    <cfRule type="expression" dxfId="1068" priority="975">
      <formula>OR(AND($E$56="DS Tiered Average Invoice Dollar Qualifier",$C$55&lt;&gt;"Yes"),AND($C$55="Yes",$C$58="No",$E$56="DS Tiered Average Invoice Dollar Qualifier"))</formula>
    </cfRule>
  </conditionalFormatting>
  <conditionalFormatting sqref="G77:G79">
    <cfRule type="expression" dxfId="1067" priority="974">
      <formula>OR(AND($E$70="DS Tiered Average Invoice Dollar Qualifier",$C$69&lt;&gt;"Yes"),AND($C$69="Yes",$C$58="72",$E$70="DS Tiered Average Invoice Dollar Qualifier"))</formula>
    </cfRule>
  </conditionalFormatting>
  <conditionalFormatting sqref="D8:D9">
    <cfRule type="expression" dxfId="1066" priority="973">
      <formula>$D$10=""</formula>
    </cfRule>
  </conditionalFormatting>
  <conditionalFormatting sqref="E8:E9">
    <cfRule type="expression" dxfId="1065" priority="971">
      <formula>$D$10=""</formula>
    </cfRule>
  </conditionalFormatting>
  <conditionalFormatting sqref="G61">
    <cfRule type="expression" dxfId="1064" priority="917">
      <formula>AND(OR($E56="DS Tiered Average Invoice Dollar Qualifier",$E56="DS Threshold Average Invoice Dollar Qualifier"),$C$55="Yes",$C$58="No")</formula>
    </cfRule>
  </conditionalFormatting>
  <conditionalFormatting sqref="G75 K75">
    <cfRule type="expression" dxfId="1063" priority="911">
      <formula>AND(OR($E70="DS Tiered Average Invoice Dollar Qualifier",$E70="DS Threshold Average Invoice Dollar Qualifier"),$C$69="Yes",$C$72="No")</formula>
    </cfRule>
    <cfRule type="expression" dxfId="1062" priority="977">
      <formula>AND(OR($E70="DS Tiered Average Invoice Dollar Qualifier",$E70="DS Threshold Average Invoice Dollar Qualifier"),$C$69&lt;&gt;"Yes")</formula>
    </cfRule>
  </conditionalFormatting>
  <conditionalFormatting sqref="G76 K76">
    <cfRule type="expression" dxfId="1061" priority="910">
      <formula>AND($C$69="Yes",$C$72="No",$E70="DS Tiered Average Invoice Dollar Qualifier")</formula>
    </cfRule>
    <cfRule type="expression" dxfId="1060" priority="976">
      <formula>AND($C$69&lt;&gt;"Yes",$E70="DS Tiered Average Invoice Dollar Qualifier")</formula>
    </cfRule>
  </conditionalFormatting>
  <conditionalFormatting sqref="G34 K34">
    <cfRule type="expression" dxfId="1059" priority="895">
      <formula>AND($E28="Volume Incentive Tiered",$C$27="Yes",$C$30="No")</formula>
    </cfRule>
    <cfRule type="expression" dxfId="1058" priority="1315">
      <formula>AND($E28="Volume Incentive Tiered",$C$27&lt;&gt;"Yes")</formula>
    </cfRule>
  </conditionalFormatting>
  <conditionalFormatting sqref="G35:G37 K35:K37">
    <cfRule type="expression" dxfId="1057" priority="894">
      <formula>OR(AND($E$28="Volume Incentive Tiered",$C$27&lt;&gt;"Yes"),AND($C$27="Yes",$C$30="No",$E$28="Volume Incentive Tiered"))</formula>
    </cfRule>
  </conditionalFormatting>
  <conditionalFormatting sqref="G48 K48">
    <cfRule type="expression" dxfId="1056" priority="890">
      <formula>AND($E42="Volume Incentive Tiered",$C$41="Yes",$C$44="No")</formula>
    </cfRule>
    <cfRule type="expression" dxfId="1055" priority="1313">
      <formula>AND($E42="Volume Incentive Tiered",$C$41&lt;&gt;"Yes")</formula>
    </cfRule>
  </conditionalFormatting>
  <conditionalFormatting sqref="G49:G51 K49:K51">
    <cfRule type="expression" dxfId="1054" priority="889">
      <formula>OR(AND($E$42="Volume Incentive Tiered",$C$41&lt;&gt;"Yes"),AND($C$41="Yes",$C$44="No",$E$42="Volume Incentive Tiered"))</formula>
    </cfRule>
  </conditionalFormatting>
  <conditionalFormatting sqref="K61">
    <cfRule type="expression" dxfId="1053" priority="888">
      <formula>AND($C$55="Yes",$C$58="No",OR($E56="DS Tiered Average Invoice Dollar Qualifier",$E56="DS Threshold Average Invoice Dollar Qualifier"))</formula>
    </cfRule>
  </conditionalFormatting>
  <conditionalFormatting sqref="K234">
    <cfRule type="cellIs" dxfId="1052" priority="886" operator="equal">
      <formula>"Rate cannot be greater than the Prepaid Rate % of Sales"</formula>
    </cfRule>
    <cfRule type="cellIs" dxfId="1051" priority="887" operator="equal">
      <formula>"Recommended NCI is 1%"</formula>
    </cfRule>
  </conditionalFormatting>
  <conditionalFormatting sqref="E226">
    <cfRule type="expression" dxfId="1050" priority="881">
      <formula>$C229="Yes"</formula>
    </cfRule>
  </conditionalFormatting>
  <conditionalFormatting sqref="E227">
    <cfRule type="expression" dxfId="1049" priority="878">
      <formula>OR($E226="No",$C229="Yes")</formula>
    </cfRule>
    <cfRule type="expression" dxfId="1048" priority="879">
      <formula>$C229=""</formula>
    </cfRule>
  </conditionalFormatting>
  <conditionalFormatting sqref="M227">
    <cfRule type="expression" dxfId="1047" priority="873">
      <formula>$E$226="No"</formula>
    </cfRule>
    <cfRule type="expression" dxfId="1046" priority="876">
      <formula>AND($C$229&lt;&gt;"Yes",$I227="Credit Memo",$K227="Corporate Office")</formula>
    </cfRule>
    <cfRule type="expression" dxfId="1045" priority="877">
      <formula>AND($C$229&lt;&gt;"Yes",$K227="Corporate Office",$I227="Check")</formula>
    </cfRule>
  </conditionalFormatting>
  <conditionalFormatting sqref="G233">
    <cfRule type="expression" dxfId="1044" priority="874">
      <formula>OR($C$229="Yes",$E$226="No")</formula>
    </cfRule>
    <cfRule type="expression" dxfId="1043" priority="875">
      <formula>$E$226="Yes"</formula>
    </cfRule>
  </conditionalFormatting>
  <conditionalFormatting sqref="K245">
    <cfRule type="cellIs" dxfId="1042" priority="736" operator="equal">
      <formula>"Rate cannot be greater than the Prepaid Rate % of Sales"</formula>
    </cfRule>
    <cfRule type="cellIs" dxfId="1041" priority="737" operator="equal">
      <formula>"Recommended NCI is 1%"</formula>
    </cfRule>
  </conditionalFormatting>
  <conditionalFormatting sqref="M238">
    <cfRule type="expression" dxfId="1040" priority="723">
      <formula>$E$237="No"</formula>
    </cfRule>
    <cfRule type="expression" dxfId="1039" priority="726">
      <formula>AND($C$240&lt;&gt;"Yes",$I238="Credit Memo",$K238="Corporate Office")</formula>
    </cfRule>
    <cfRule type="expression" dxfId="1038" priority="727">
      <formula>AND($C$240&lt;&gt;"Yes",$K238="Corporate Office",$I238="Check")</formula>
    </cfRule>
  </conditionalFormatting>
  <conditionalFormatting sqref="G244">
    <cfRule type="expression" dxfId="1037" priority="724">
      <formula>OR($C$240="Yes",$E$237="No")</formula>
    </cfRule>
    <cfRule type="expression" dxfId="1036" priority="725">
      <formula>$E$237="Yes"</formula>
    </cfRule>
  </conditionalFormatting>
  <conditionalFormatting sqref="K256">
    <cfRule type="cellIs" dxfId="1035" priority="721" operator="equal">
      <formula>"Rate cannot be greater than the Prepaid Rate % of Sales"</formula>
    </cfRule>
    <cfRule type="cellIs" dxfId="1034" priority="722" operator="equal">
      <formula>"Recommended NCI is 1%"</formula>
    </cfRule>
  </conditionalFormatting>
  <conditionalFormatting sqref="M249">
    <cfRule type="expression" dxfId="1033" priority="708">
      <formula>$E$248="No"</formula>
    </cfRule>
    <cfRule type="expression" dxfId="1032" priority="711">
      <formula>AND($C$251&lt;&gt;"Yes",$I249="Credit Memo",$K249="Corporate Office")</formula>
    </cfRule>
    <cfRule type="expression" dxfId="1031" priority="712">
      <formula>AND($C$251&lt;&gt;"Yes",$K249="Corporate Office",$I249="Check")</formula>
    </cfRule>
  </conditionalFormatting>
  <conditionalFormatting sqref="G255">
    <cfRule type="expression" dxfId="1030" priority="709">
      <formula>OR($C$251="Yes",$E$248="No")</formula>
    </cfRule>
    <cfRule type="expression" dxfId="1029" priority="710">
      <formula>$E$248="Yes"</formula>
    </cfRule>
  </conditionalFormatting>
  <conditionalFormatting sqref="K267">
    <cfRule type="cellIs" dxfId="1028" priority="706" operator="equal">
      <formula>"Rate cannot be greater than the Prepaid Rate % of Sales"</formula>
    </cfRule>
    <cfRule type="cellIs" dxfId="1027" priority="707" operator="equal">
      <formula>"Recommended NCI is 1%"</formula>
    </cfRule>
  </conditionalFormatting>
  <conditionalFormatting sqref="M260">
    <cfRule type="expression" dxfId="1026" priority="693">
      <formula>$E$259="No"</formula>
    </cfRule>
    <cfRule type="expression" dxfId="1025" priority="696">
      <formula>AND($C$262&lt;&gt;"Yes",$I260="Credit Memo",$K260="Corporate Office")</formula>
    </cfRule>
    <cfRule type="expression" dxfId="1024" priority="697">
      <formula>AND($C$262&lt;&gt;"Yes",$K260="Corporate Office",$I260="Check")</formula>
    </cfRule>
  </conditionalFormatting>
  <conditionalFormatting sqref="G266">
    <cfRule type="expression" dxfId="1023" priority="694">
      <formula>OR($C$262="Yes",$E$259="No")</formula>
    </cfRule>
    <cfRule type="expression" dxfId="1022" priority="695">
      <formula>$E$259="Yes"</formula>
    </cfRule>
  </conditionalFormatting>
  <conditionalFormatting sqref="K278">
    <cfRule type="cellIs" dxfId="1021" priority="691" operator="equal">
      <formula>"Rate cannot be greater than the Prepaid Rate % of Sales"</formula>
    </cfRule>
    <cfRule type="cellIs" dxfId="1020" priority="692" operator="equal">
      <formula>"Recommended NCI is 1%"</formula>
    </cfRule>
  </conditionalFormatting>
  <conditionalFormatting sqref="M271">
    <cfRule type="expression" dxfId="1019" priority="678">
      <formula>$E$270="No"</formula>
    </cfRule>
    <cfRule type="expression" dxfId="1018" priority="681">
      <formula>AND($C$273&lt;&gt;"Yes",$I271="Credit Memo",$K271="Corporate Office")</formula>
    </cfRule>
    <cfRule type="expression" dxfId="1017" priority="682">
      <formula>AND($C$273&lt;&gt;"Yes",$K271="Corporate Office",$I271="Check")</formula>
    </cfRule>
  </conditionalFormatting>
  <conditionalFormatting sqref="G277">
    <cfRule type="expression" dxfId="1016" priority="679">
      <formula>OR($C$273="Yes",$E$270="No")</formula>
    </cfRule>
    <cfRule type="expression" dxfId="1015" priority="680">
      <formula>$E$270="Yes"</formula>
    </cfRule>
  </conditionalFormatting>
  <conditionalFormatting sqref="K289">
    <cfRule type="cellIs" dxfId="1014" priority="676" operator="equal">
      <formula>"Rate cannot be greater than the Prepaid Rate % of Sales"</formula>
    </cfRule>
    <cfRule type="cellIs" dxfId="1013" priority="677" operator="equal">
      <formula>"Recommended NCI is 1%"</formula>
    </cfRule>
  </conditionalFormatting>
  <conditionalFormatting sqref="M282">
    <cfRule type="expression" dxfId="1012" priority="663">
      <formula>$E$281="No"</formula>
    </cfRule>
    <cfRule type="expression" dxfId="1011" priority="666">
      <formula>AND($C$284&lt;&gt;"Yes",$I282="Credit Memo",$K282="Corporate Office")</formula>
    </cfRule>
    <cfRule type="expression" dxfId="1010" priority="667">
      <formula>AND($C$284&lt;&gt;"Yes",$K282="Corporate Office",$I282="Check")</formula>
    </cfRule>
  </conditionalFormatting>
  <conditionalFormatting sqref="G288">
    <cfRule type="expression" dxfId="1009" priority="664">
      <formula>OR($C$284="Yes",$E$281="No")</formula>
    </cfRule>
    <cfRule type="expression" dxfId="1008" priority="665">
      <formula>$E$281="Yes"</formula>
    </cfRule>
  </conditionalFormatting>
  <conditionalFormatting sqref="K300">
    <cfRule type="cellIs" dxfId="1007" priority="661" operator="equal">
      <formula>"Rate cannot be greater than the Prepaid Rate % of Sales"</formula>
    </cfRule>
    <cfRule type="cellIs" dxfId="1006" priority="662" operator="equal">
      <formula>"Recommended NCI is 1%"</formula>
    </cfRule>
  </conditionalFormatting>
  <conditionalFormatting sqref="M293">
    <cfRule type="expression" dxfId="1005" priority="648">
      <formula>$E$292="No"</formula>
    </cfRule>
    <cfRule type="expression" dxfId="1004" priority="651">
      <formula>AND($C$295&lt;&gt;"Yes",$I293="Credit Memo",$K293="Corporate Office")</formula>
    </cfRule>
    <cfRule type="expression" dxfId="1003" priority="652">
      <formula>AND($C$295&lt;&gt;"Yes",$K293="Corporate Office",$I293="Check")</formula>
    </cfRule>
  </conditionalFormatting>
  <conditionalFormatting sqref="G299">
    <cfRule type="expression" dxfId="1002" priority="649">
      <formula>OR($C$295="Yes",$E$292="No")</formula>
    </cfRule>
    <cfRule type="expression" dxfId="1001" priority="650">
      <formula>$E$292="Yes"</formula>
    </cfRule>
  </conditionalFormatting>
  <conditionalFormatting sqref="K311">
    <cfRule type="cellIs" dxfId="1000" priority="646" operator="equal">
      <formula>"Rate cannot be greater than the Prepaid Rate % of Sales"</formula>
    </cfRule>
    <cfRule type="cellIs" dxfId="999" priority="647" operator="equal">
      <formula>"Recommended NCI is 1%"</formula>
    </cfRule>
  </conditionalFormatting>
  <conditionalFormatting sqref="M304">
    <cfRule type="expression" dxfId="998" priority="633">
      <formula>$E$303="No"</formula>
    </cfRule>
    <cfRule type="expression" dxfId="997" priority="636">
      <formula>AND($C$306&lt;&gt;"Yes",$I304="Credit Memo",$K304="Corporate Office")</formula>
    </cfRule>
    <cfRule type="expression" dxfId="996" priority="637">
      <formula>AND($C$306&lt;&gt;"Yes",$K304="Corporate Office",$I304="Check")</formula>
    </cfRule>
  </conditionalFormatting>
  <conditionalFormatting sqref="G310">
    <cfRule type="expression" dxfId="995" priority="634">
      <formula>OR($C$306="Yes",$E$303="No")</formula>
    </cfRule>
    <cfRule type="expression" dxfId="994" priority="635">
      <formula>$E$303="Yes"</formula>
    </cfRule>
  </conditionalFormatting>
  <conditionalFormatting sqref="K322">
    <cfRule type="cellIs" dxfId="993" priority="631" operator="equal">
      <formula>"Rate cannot be greater than the Prepaid Rate % of Sales"</formula>
    </cfRule>
    <cfRule type="cellIs" dxfId="992" priority="632" operator="equal">
      <formula>"Recommended NCI is 1%"</formula>
    </cfRule>
  </conditionalFormatting>
  <conditionalFormatting sqref="M315">
    <cfRule type="expression" dxfId="991" priority="618">
      <formula>$E314="No"</formula>
    </cfRule>
    <cfRule type="expression" dxfId="990" priority="621">
      <formula>AND($C317&lt;&gt;"Yes",$I315="Credit Memo",$K315="Corporate Office")</formula>
    </cfRule>
    <cfRule type="expression" dxfId="989" priority="622">
      <formula>AND($C317&lt;&gt;"Yes",$K315="Corporate Office",$I315="Check")</formula>
    </cfRule>
  </conditionalFormatting>
  <conditionalFormatting sqref="G321">
    <cfRule type="expression" dxfId="988" priority="619">
      <formula>OR($C317="Yes",$E314="No")</formula>
    </cfRule>
    <cfRule type="expression" dxfId="987" priority="620">
      <formula>$E314="Yes"</formula>
    </cfRule>
  </conditionalFormatting>
  <conditionalFormatting sqref="O12:P16">
    <cfRule type="notContainsBlanks" dxfId="986" priority="558">
      <formula>LEN(TRIM(O12))&gt;0</formula>
    </cfRule>
  </conditionalFormatting>
  <conditionalFormatting sqref="O54:P58">
    <cfRule type="notContainsBlanks" dxfId="985" priority="557">
      <formula>LEN(TRIM(O54))&gt;0</formula>
    </cfRule>
  </conditionalFormatting>
  <conditionalFormatting sqref="O82:P86">
    <cfRule type="notContainsBlanks" dxfId="984" priority="556">
      <formula>LEN(TRIM(O82))&gt;0</formula>
    </cfRule>
  </conditionalFormatting>
  <conditionalFormatting sqref="O26:P30">
    <cfRule type="notContainsBlanks" dxfId="983" priority="555">
      <formula>LEN(TRIM(O26))&gt;0</formula>
    </cfRule>
  </conditionalFormatting>
  <conditionalFormatting sqref="O40:P44">
    <cfRule type="notContainsBlanks" dxfId="982" priority="554">
      <formula>LEN(TRIM(O40))&gt;0</formula>
    </cfRule>
  </conditionalFormatting>
  <conditionalFormatting sqref="O68:P72">
    <cfRule type="notContainsBlanks" dxfId="981" priority="553">
      <formula>LEN(TRIM(O68))&gt;0</formula>
    </cfRule>
  </conditionalFormatting>
  <conditionalFormatting sqref="O96:P100">
    <cfRule type="notContainsBlanks" dxfId="980" priority="552">
      <formula>LEN(TRIM(O96))&gt;0</formula>
    </cfRule>
  </conditionalFormatting>
  <conditionalFormatting sqref="N110:P113">
    <cfRule type="notContainsBlanks" dxfId="979" priority="551">
      <formula>LEN(TRIM(N110))&gt;0</formula>
    </cfRule>
  </conditionalFormatting>
  <conditionalFormatting sqref="N150:P153">
    <cfRule type="notContainsBlanks" dxfId="978" priority="550">
      <formula>LEN(TRIM(N150))&gt;0</formula>
    </cfRule>
  </conditionalFormatting>
  <conditionalFormatting sqref="N118:P121">
    <cfRule type="notContainsBlanks" dxfId="977" priority="549">
      <formula>LEN(TRIM(N118))&gt;0</formula>
    </cfRule>
  </conditionalFormatting>
  <conditionalFormatting sqref="N134:P137">
    <cfRule type="notContainsBlanks" dxfId="976" priority="548">
      <formula>LEN(TRIM(N134))&gt;0</formula>
    </cfRule>
  </conditionalFormatting>
  <conditionalFormatting sqref="N126:P129">
    <cfRule type="notContainsBlanks" dxfId="975" priority="547">
      <formula>LEN(TRIM(N126))&gt;0</formula>
    </cfRule>
  </conditionalFormatting>
  <conditionalFormatting sqref="N142:P145">
    <cfRule type="notContainsBlanks" dxfId="974" priority="546">
      <formula>LEN(TRIM(N142))&gt;0</formula>
    </cfRule>
  </conditionalFormatting>
  <conditionalFormatting sqref="O174:P176">
    <cfRule type="notContainsBlanks" dxfId="973" priority="545">
      <formula>LEN(TRIM(O174))&gt;0</formula>
    </cfRule>
  </conditionalFormatting>
  <conditionalFormatting sqref="N158:P161">
    <cfRule type="expression" dxfId="972" priority="543">
      <formula>$G163&gt;=100000</formula>
    </cfRule>
    <cfRule type="expression" dxfId="971" priority="544">
      <formula>AND($G$163&lt;100000,$G163&gt;=10000)</formula>
    </cfRule>
  </conditionalFormatting>
  <conditionalFormatting sqref="N166:P169">
    <cfRule type="expression" dxfId="970" priority="541">
      <formula>$G171&gt;=100000</formula>
    </cfRule>
    <cfRule type="expression" dxfId="969" priority="542">
      <formula>AND($G$163&lt;100000,$G171&gt;=10000)</formula>
    </cfRule>
  </conditionalFormatting>
  <conditionalFormatting sqref="K28">
    <cfRule type="expression" dxfId="968" priority="539">
      <formula>AND($C27="Yes",AND($C30="No",$I28&lt;&gt;"Check"))</formula>
    </cfRule>
    <cfRule type="expression" dxfId="967" priority="540">
      <formula>AND($E28&lt;&gt;"Please Select",$I28&lt;&gt;"Check",$C$13&lt;&gt;"Yes")</formula>
    </cfRule>
  </conditionalFormatting>
  <conditionalFormatting sqref="K42">
    <cfRule type="expression" dxfId="966" priority="535">
      <formula>AND($C41="Yes",AND($C44="No",$I42&lt;&gt;"Check"))</formula>
    </cfRule>
    <cfRule type="expression" dxfId="965" priority="536">
      <formula>AND($E42&lt;&gt;"Please Select",$I42&lt;&gt;"Check",$C$13&lt;&gt;"Yes")</formula>
    </cfRule>
  </conditionalFormatting>
  <conditionalFormatting sqref="K56">
    <cfRule type="expression" dxfId="964" priority="533">
      <formula>AND($C55="Yes",AND($C58="No",$I56&lt;&gt;"Check"))</formula>
    </cfRule>
    <cfRule type="expression" dxfId="963" priority="534">
      <formula>AND($E56&lt;&gt;"Please Select",$I56&lt;&gt;"Check",$C$13&lt;&gt;"Yes")</formula>
    </cfRule>
  </conditionalFormatting>
  <conditionalFormatting sqref="K70">
    <cfRule type="expression" dxfId="962" priority="531">
      <formula>AND($C69="Yes",AND($C72="No",$I70&lt;&gt;"Check"))</formula>
    </cfRule>
    <cfRule type="expression" dxfId="961" priority="532">
      <formula>AND($E70&lt;&gt;"Please Select",$I70&lt;&gt;"Check",$C$13&lt;&gt;"Yes")</formula>
    </cfRule>
  </conditionalFormatting>
  <conditionalFormatting sqref="K84">
    <cfRule type="expression" dxfId="960" priority="529">
      <formula>AND($C83="Yes",AND($C86="No",$I84&lt;&gt;"Check"))</formula>
    </cfRule>
    <cfRule type="expression" dxfId="959" priority="530">
      <formula>AND($E84&lt;&gt;"Please Select",$I84&lt;&gt;"Check",$C$13&lt;&gt;"Yes")</formula>
    </cfRule>
  </conditionalFormatting>
  <conditionalFormatting sqref="K98">
    <cfRule type="expression" dxfId="958" priority="527">
      <formula>AND($C97="Yes",AND($C100="No",$I98&lt;&gt;"Check"))</formula>
    </cfRule>
    <cfRule type="expression" dxfId="957" priority="528">
      <formula>AND($E98&lt;&gt;"Please Select",$I98&lt;&gt;"Check",$C$13&lt;&gt;"Yes")</formula>
    </cfRule>
  </conditionalFormatting>
  <conditionalFormatting sqref="K112">
    <cfRule type="expression" dxfId="956" priority="525">
      <formula>AND($C111="Yes",AND($C114="No",$I112&lt;&gt;"Check"))</formula>
    </cfRule>
    <cfRule type="expression" dxfId="955" priority="526">
      <formula>AND($E112&lt;&gt;"Please Select",$I112&lt;&gt;"Check",$C$13&lt;&gt;"Yes")</formula>
    </cfRule>
  </conditionalFormatting>
  <conditionalFormatting sqref="K120">
    <cfRule type="expression" dxfId="954" priority="523">
      <formula>AND($C119="Yes",AND($C122="No",$I120&lt;&gt;"Check"))</formula>
    </cfRule>
    <cfRule type="expression" dxfId="953" priority="524">
      <formula>AND($E120&lt;&gt;"Please Select",$I120&lt;&gt;"Check",$C$13&lt;&gt;"Yes")</formula>
    </cfRule>
  </conditionalFormatting>
  <conditionalFormatting sqref="K128">
    <cfRule type="expression" dxfId="952" priority="521">
      <formula>AND($C127="Yes",AND($C130="No",$I128&lt;&gt;"Check"))</formula>
    </cfRule>
    <cfRule type="expression" dxfId="951" priority="522">
      <formula>AND($E128&lt;&gt;"Please Select",$I128&lt;&gt;"Check",$C$13&lt;&gt;"Yes")</formula>
    </cfRule>
  </conditionalFormatting>
  <conditionalFormatting sqref="K136">
    <cfRule type="expression" dxfId="950" priority="519">
      <formula>AND($C135="Yes",AND($C138="No",$I136&lt;&gt;"Check"))</formula>
    </cfRule>
    <cfRule type="expression" dxfId="949" priority="520">
      <formula>AND($E136&lt;&gt;"Please Select",$I136&lt;&gt;"Check",$C$13&lt;&gt;"Yes")</formula>
    </cfRule>
  </conditionalFormatting>
  <conditionalFormatting sqref="K144">
    <cfRule type="expression" dxfId="948" priority="517">
      <formula>AND($C143="Yes",AND($C146="No",$I144&lt;&gt;"Check"))</formula>
    </cfRule>
    <cfRule type="expression" dxfId="947" priority="518">
      <formula>AND($E144&lt;&gt;"Please Select",$I144&lt;&gt;"Check",$C$13&lt;&gt;"Yes")</formula>
    </cfRule>
  </conditionalFormatting>
  <conditionalFormatting sqref="K152">
    <cfRule type="expression" dxfId="946" priority="515">
      <formula>AND($C151="Yes",AND($C154="No",$I152&lt;&gt;"Check"))</formula>
    </cfRule>
    <cfRule type="expression" dxfId="945" priority="516">
      <formula>AND($E152&lt;&gt;"Please Select",$I152&lt;&gt;"Check",$C$13&lt;&gt;"Yes")</formula>
    </cfRule>
  </conditionalFormatting>
  <conditionalFormatting sqref="M177:M180">
    <cfRule type="expression" dxfId="944" priority="505">
      <formula>AND($C$175&lt;&gt;"Yes",$E$176&lt;&gt;"Please Select")</formula>
    </cfRule>
  </conditionalFormatting>
  <conditionalFormatting sqref="M207">
    <cfRule type="expression" dxfId="943" priority="445">
      <formula>OR(AND($K207&lt;&gt;"Corporate Office",$C206&lt;&gt;"Yes"),$C206="Yes")</formula>
    </cfRule>
    <cfRule type="expression" dxfId="942" priority="446">
      <formula>$I207="Check"</formula>
    </cfRule>
    <cfRule type="expression" dxfId="941" priority="447">
      <formula>AND($K207="Corporate Office",$I207="Check",$C206&lt;&gt;"Yes")</formula>
    </cfRule>
    <cfRule type="expression" dxfId="940" priority="448">
      <formula>AND($I207="Credit Memo",$K207="Corporate Office",$C206&lt;&gt;"Yes")</formula>
    </cfRule>
  </conditionalFormatting>
  <conditionalFormatting sqref="M28">
    <cfRule type="expression" dxfId="939" priority="433">
      <formula>AND($K28="Corporate Office",$C27="Yes",$C30="No")</formula>
    </cfRule>
    <cfRule type="expression" dxfId="938" priority="434">
      <formula>OR(AND($K28&lt;&gt;"Corporate Office",$C27&lt;&gt;"Yes"),AND($C27="Yes",$C30&lt;&gt;"No"))</formula>
    </cfRule>
    <cfRule type="expression" dxfId="937" priority="435">
      <formula>$I28="Check"</formula>
    </cfRule>
    <cfRule type="expression" dxfId="936" priority="436">
      <formula>AND($I28="Credit Memo",$K28="Corporate Office",$C27&lt;&gt;"Yes")</formula>
    </cfRule>
  </conditionalFormatting>
  <conditionalFormatting sqref="M42">
    <cfRule type="expression" dxfId="935" priority="429">
      <formula>AND($K42="Corporate Office",$C41="Yes",$C44="No")</formula>
    </cfRule>
    <cfRule type="expression" dxfId="934" priority="430">
      <formula>OR(AND($K42&lt;&gt;"Corporate Office",$C41&lt;&gt;"Yes"),AND($C41="Yes",$C44&lt;&gt;"No"))</formula>
    </cfRule>
    <cfRule type="expression" dxfId="933" priority="431">
      <formula>$I42="Check"</formula>
    </cfRule>
    <cfRule type="expression" dxfId="932" priority="432">
      <formula>AND($I42="Credit Memo",$K42="Corporate Office",$C41&lt;&gt;"Yes")</formula>
    </cfRule>
  </conditionalFormatting>
  <conditionalFormatting sqref="M56">
    <cfRule type="expression" dxfId="931" priority="425">
      <formula>AND($K56="Corporate Office",$C55="Yes",$C58="No")</formula>
    </cfRule>
    <cfRule type="expression" dxfId="930" priority="426">
      <formula>OR(AND($K56&lt;&gt;"Corporate Office",$C55&lt;&gt;"Yes"),AND($C55="Yes",$C58&lt;&gt;"No"))</formula>
    </cfRule>
    <cfRule type="expression" dxfId="929" priority="427">
      <formula>$I56="Check"</formula>
    </cfRule>
    <cfRule type="expression" dxfId="928" priority="428">
      <formula>AND($I56="Credit Memo",$K56="Corporate Office",$C55&lt;&gt;"Yes")</formula>
    </cfRule>
  </conditionalFormatting>
  <conditionalFormatting sqref="M70">
    <cfRule type="expression" dxfId="927" priority="421">
      <formula>AND($K70="Corporate Office",$C69="Yes",$C72="No")</formula>
    </cfRule>
    <cfRule type="expression" dxfId="926" priority="422">
      <formula>OR(AND($K70&lt;&gt;"Corporate Office",$C69&lt;&gt;"Yes"),AND($C69="Yes",$C72&lt;&gt;"No"))</formula>
    </cfRule>
    <cfRule type="expression" dxfId="925" priority="423">
      <formula>$I70="Check"</formula>
    </cfRule>
    <cfRule type="expression" dxfId="924" priority="424">
      <formula>AND($I70="Credit Memo",$K70="Corporate Office",$C69&lt;&gt;"Yes")</formula>
    </cfRule>
  </conditionalFormatting>
  <conditionalFormatting sqref="M84">
    <cfRule type="expression" dxfId="923" priority="417">
      <formula>AND($K84="Corporate Office",$C83="Yes",$C86="No")</formula>
    </cfRule>
    <cfRule type="expression" dxfId="922" priority="418">
      <formula>OR(AND($K84&lt;&gt;"Corporate Office",$C83&lt;&gt;"Yes"),AND($C83="Yes",$C86&lt;&gt;"No"))</formula>
    </cfRule>
    <cfRule type="expression" dxfId="921" priority="419">
      <formula>$I84="Check"</formula>
    </cfRule>
    <cfRule type="expression" dxfId="920" priority="420">
      <formula>AND($I84="Credit Memo",$K84="Corporate Office",$C83&lt;&gt;"Yes")</formula>
    </cfRule>
  </conditionalFormatting>
  <conditionalFormatting sqref="M98">
    <cfRule type="expression" dxfId="919" priority="413">
      <formula>AND($K98="Corporate Office",$C97="Yes",$C100="No")</formula>
    </cfRule>
    <cfRule type="expression" dxfId="918" priority="414">
      <formula>OR(AND($K98&lt;&gt;"Corporate Office",$C97&lt;&gt;"Yes"),AND($C97="Yes",$C100&lt;&gt;"No"))</formula>
    </cfRule>
    <cfRule type="expression" dxfId="917" priority="415">
      <formula>$I98="Check"</formula>
    </cfRule>
    <cfRule type="expression" dxfId="916" priority="416">
      <formula>AND($I98="Credit Memo",$K98="Corporate Office",$C97&lt;&gt;"Yes")</formula>
    </cfRule>
  </conditionalFormatting>
  <conditionalFormatting sqref="M112">
    <cfRule type="expression" dxfId="915" priority="409">
      <formula>AND($K112="Corporate Office",$C111="Yes",$C114="No")</formula>
    </cfRule>
    <cfRule type="expression" dxfId="914" priority="410">
      <formula>OR(AND($K112&lt;&gt;"Corporate Office",$C111&lt;&gt;"Yes"),AND($C111="Yes",$C114&lt;&gt;"No"))</formula>
    </cfRule>
    <cfRule type="expression" dxfId="913" priority="411">
      <formula>$I112="Check"</formula>
    </cfRule>
    <cfRule type="expression" dxfId="912" priority="412">
      <formula>AND($I112="Credit Memo",$K112="Corporate Office",$C111&lt;&gt;"Yes")</formula>
    </cfRule>
  </conditionalFormatting>
  <conditionalFormatting sqref="M120">
    <cfRule type="expression" dxfId="911" priority="405">
      <formula>AND($K120="Corporate Office",$C119="Yes",$C122="No")</formula>
    </cfRule>
    <cfRule type="expression" dxfId="910" priority="406">
      <formula>OR(AND($K120&lt;&gt;"Corporate Office",$C119&lt;&gt;"Yes"),AND($C119="Yes",$C122&lt;&gt;"No"))</formula>
    </cfRule>
    <cfRule type="expression" dxfId="909" priority="407">
      <formula>$I120="Check"</formula>
    </cfRule>
    <cfRule type="expression" dxfId="908" priority="408">
      <formula>AND($I120="Credit Memo",$K120="Corporate Office",$C119&lt;&gt;"Yes")</formula>
    </cfRule>
  </conditionalFormatting>
  <conditionalFormatting sqref="M128">
    <cfRule type="expression" dxfId="907" priority="401">
      <formula>AND($K128="Corporate Office",$C127="Yes",$C130="No")</formula>
    </cfRule>
    <cfRule type="expression" dxfId="906" priority="402">
      <formula>OR(AND($K128&lt;&gt;"Corporate Office",$C127&lt;&gt;"Yes"),AND($C127="Yes",$C130&lt;&gt;"No"))</formula>
    </cfRule>
    <cfRule type="expression" dxfId="905" priority="403">
      <formula>$I128="Check"</formula>
    </cfRule>
    <cfRule type="expression" dxfId="904" priority="404">
      <formula>AND($I128="Credit Memo",$K128="Corporate Office",$C127&lt;&gt;"Yes")</formula>
    </cfRule>
  </conditionalFormatting>
  <conditionalFormatting sqref="M136">
    <cfRule type="expression" dxfId="903" priority="397">
      <formula>AND($K136="Corporate Office",$C135="Yes",$C138="No")</formula>
    </cfRule>
    <cfRule type="expression" dxfId="902" priority="398">
      <formula>OR(AND($K136&lt;&gt;"Corporate Office",$C135&lt;&gt;"Yes"),AND($C135="Yes",$C138&lt;&gt;"No"))</formula>
    </cfRule>
    <cfRule type="expression" dxfId="901" priority="399">
      <formula>$I136="Check"</formula>
    </cfRule>
    <cfRule type="expression" dxfId="900" priority="400">
      <formula>AND($I136="Credit Memo",$K136="Corporate Office",$C135&lt;&gt;"Yes")</formula>
    </cfRule>
  </conditionalFormatting>
  <conditionalFormatting sqref="M144">
    <cfRule type="expression" dxfId="899" priority="393">
      <formula>AND($K144="Corporate Office",$C143="Yes",$C146="No")</formula>
    </cfRule>
    <cfRule type="expression" dxfId="898" priority="394">
      <formula>OR(AND($K144&lt;&gt;"Corporate Office",$C143&lt;&gt;"Yes"),AND($C143="Yes",$C146&lt;&gt;"No"))</formula>
    </cfRule>
    <cfRule type="expression" dxfId="897" priority="395">
      <formula>$I144="Check"</formula>
    </cfRule>
    <cfRule type="expression" dxfId="896" priority="396">
      <formula>AND($I144="Credit Memo",$K144="Corporate Office",$C143&lt;&gt;"Yes")</formula>
    </cfRule>
  </conditionalFormatting>
  <conditionalFormatting sqref="M152">
    <cfRule type="expression" dxfId="895" priority="389">
      <formula>AND($K152="Corporate Office",$C151="Yes",$C154="No")</formula>
    </cfRule>
    <cfRule type="expression" dxfId="894" priority="390">
      <formula>OR(AND($K152&lt;&gt;"Corporate Office",$C151&lt;&gt;"Yes"),AND($C151="Yes",$C154&lt;&gt;"No"))</formula>
    </cfRule>
    <cfRule type="expression" dxfId="893" priority="391">
      <formula>$I152="Check"</formula>
    </cfRule>
    <cfRule type="expression" dxfId="892" priority="392">
      <formula>AND($I152="Credit Memo",$K152="Corporate Office",$C151&lt;&gt;"Yes")</formula>
    </cfRule>
  </conditionalFormatting>
  <conditionalFormatting sqref="M168">
    <cfRule type="expression" dxfId="891" priority="386">
      <formula>OR(AND($K168&lt;&gt;"Corporate Office",$C167&lt;&gt;"Yes"),$C167="Yes")</formula>
    </cfRule>
    <cfRule type="expression" dxfId="890" priority="387">
      <formula>$I168="Check"</formula>
    </cfRule>
    <cfRule type="expression" dxfId="889" priority="388">
      <formula>AND($I168="Credit Memo",$K168="Corporate Office",$C167&lt;&gt;"Yes")</formula>
    </cfRule>
  </conditionalFormatting>
  <conditionalFormatting sqref="O439">
    <cfRule type="notContainsBlanks" dxfId="888" priority="370">
      <formula>LEN(TRIM(O439))&gt;0</formula>
    </cfRule>
  </conditionalFormatting>
  <conditionalFormatting sqref="I436">
    <cfRule type="expression" dxfId="887" priority="362">
      <formula>AND($C435="Yes",$C438="No")</formula>
    </cfRule>
    <cfRule type="expression" dxfId="886" priority="369">
      <formula>AND($C435&lt;&gt;"Yes",$E436&lt;&gt;"Please Select")</formula>
    </cfRule>
  </conditionalFormatting>
  <conditionalFormatting sqref="G436">
    <cfRule type="expression" dxfId="885" priority="363">
      <formula>AND($C435="Yes",$C438="No")</formula>
    </cfRule>
    <cfRule type="expression" dxfId="884" priority="368">
      <formula>AND($C435&lt;&gt;"Yes",$E436&lt;&gt;"Please Select")</formula>
    </cfRule>
  </conditionalFormatting>
  <conditionalFormatting sqref="M436">
    <cfRule type="expression" dxfId="883" priority="360">
      <formula>AND($K436="Corporate Office",$C435="Yes",$C438="No")</formula>
    </cfRule>
    <cfRule type="expression" dxfId="882" priority="365">
      <formula>OR(AND($K436&lt;&gt;"Corporate Office",$C435&lt;&gt;"Yes"),AND($C435="Yes",$C438&lt;&gt;"No"))</formula>
    </cfRule>
    <cfRule type="expression" dxfId="881" priority="366">
      <formula>$I436="Check"</formula>
    </cfRule>
    <cfRule type="expression" dxfId="880" priority="367">
      <formula>AND($I436="Credit Memo",$K436="Corporate Office",$C435&lt;&gt;"Yes")</formula>
    </cfRule>
  </conditionalFormatting>
  <conditionalFormatting sqref="K436">
    <cfRule type="expression" dxfId="879" priority="361">
      <formula>AND($C435="Yes",AND($C438="No",$I436&lt;&gt;"Check"))</formula>
    </cfRule>
    <cfRule type="expression" dxfId="878" priority="364">
      <formula>AND($E436&lt;&gt;"Please Select",$I436&lt;&gt;"Check",$C$435&lt;&gt;"Yes")</formula>
    </cfRule>
  </conditionalFormatting>
  <conditionalFormatting sqref="E436">
    <cfRule type="expression" dxfId="877" priority="358">
      <formula>OR(AND($C435&lt;&gt;"Yes",$E435="No"),$C435="Yes")</formula>
    </cfRule>
    <cfRule type="expression" dxfId="876" priority="359">
      <formula>AND($E435="Yes",$C435&lt;&gt;"Yes")</formula>
    </cfRule>
  </conditionalFormatting>
  <conditionalFormatting sqref="M448">
    <cfRule type="expression" dxfId="875" priority="354">
      <formula>AND($C$175&lt;&gt;"Yes",$E$176&lt;&gt;"Please Select")</formula>
    </cfRule>
  </conditionalFormatting>
  <conditionalFormatting sqref="O447">
    <cfRule type="notContainsBlanks" dxfId="874" priority="352">
      <formula>LEN(TRIM(O447))&gt;0</formula>
    </cfRule>
  </conditionalFormatting>
  <conditionalFormatting sqref="O455">
    <cfRule type="notContainsBlanks" dxfId="873" priority="334">
      <formula>LEN(TRIM(O455))&gt;0</formula>
    </cfRule>
  </conditionalFormatting>
  <conditionalFormatting sqref="O463">
    <cfRule type="notContainsBlanks" dxfId="872" priority="316">
      <formula>LEN(TRIM(O463))&gt;0</formula>
    </cfRule>
  </conditionalFormatting>
  <conditionalFormatting sqref="O471">
    <cfRule type="notContainsBlanks" dxfId="871" priority="298">
      <formula>LEN(TRIM(O471))&gt;0</formula>
    </cfRule>
  </conditionalFormatting>
  <conditionalFormatting sqref="I444">
    <cfRule type="expression" dxfId="870" priority="274">
      <formula>AND($C443="Yes",$C446="No")</formula>
    </cfRule>
    <cfRule type="expression" dxfId="869" priority="281">
      <formula>AND($C443&lt;&gt;"Yes",$E444&lt;&gt;"Please Select")</formula>
    </cfRule>
  </conditionalFormatting>
  <conditionalFormatting sqref="G444">
    <cfRule type="expression" dxfId="868" priority="275">
      <formula>AND($C443="Yes",$C446="No")</formula>
    </cfRule>
    <cfRule type="expression" dxfId="867" priority="280">
      <formula>AND($C443&lt;&gt;"Yes",$E444&lt;&gt;"Please Select")</formula>
    </cfRule>
  </conditionalFormatting>
  <conditionalFormatting sqref="M444">
    <cfRule type="expression" dxfId="866" priority="272">
      <formula>AND($K444="Corporate Office",$C443="Yes",$C446="No")</formula>
    </cfRule>
    <cfRule type="expression" dxfId="865" priority="277">
      <formula>OR(AND($K444&lt;&gt;"Corporate Office",$C443&lt;&gt;"Yes"),AND($C443="Yes",$C446&lt;&gt;"No"))</formula>
    </cfRule>
    <cfRule type="expression" dxfId="864" priority="278">
      <formula>$I444="Check"</formula>
    </cfRule>
    <cfRule type="expression" dxfId="863" priority="279">
      <formula>AND($I444="Credit Memo",$K444="Corporate Office",$C443&lt;&gt;"Yes")</formula>
    </cfRule>
  </conditionalFormatting>
  <conditionalFormatting sqref="K444">
    <cfRule type="expression" dxfId="862" priority="273">
      <formula>AND($C443="Yes",AND($C446="No",$I444&lt;&gt;"Check"))</formula>
    </cfRule>
    <cfRule type="expression" dxfId="861" priority="276">
      <formula>AND($E444&lt;&gt;"Please Select",$I444&lt;&gt;"Check",$C$435&lt;&gt;"Yes")</formula>
    </cfRule>
  </conditionalFormatting>
  <conditionalFormatting sqref="I452">
    <cfRule type="expression" dxfId="860" priority="260">
      <formula>AND($C451="Yes",$C454="No")</formula>
    </cfRule>
    <cfRule type="expression" dxfId="859" priority="267">
      <formula>AND($C451&lt;&gt;"Yes",$E452&lt;&gt;"Please Select")</formula>
    </cfRule>
  </conditionalFormatting>
  <conditionalFormatting sqref="G452">
    <cfRule type="expression" dxfId="858" priority="261">
      <formula>AND($C451="Yes",$C454="No")</formula>
    </cfRule>
    <cfRule type="expression" dxfId="857" priority="266">
      <formula>AND($C451&lt;&gt;"Yes",$E452&lt;&gt;"Please Select")</formula>
    </cfRule>
  </conditionalFormatting>
  <conditionalFormatting sqref="M452">
    <cfRule type="expression" dxfId="856" priority="258">
      <formula>AND($K452="Corporate Office",$C451="Yes",$C454="No")</formula>
    </cfRule>
    <cfRule type="expression" dxfId="855" priority="263">
      <formula>OR(AND($K452&lt;&gt;"Corporate Office",$C451&lt;&gt;"Yes"),AND($C451="Yes",$C454&lt;&gt;"No"))</formula>
    </cfRule>
    <cfRule type="expression" dxfId="854" priority="264">
      <formula>$I452="Check"</formula>
    </cfRule>
    <cfRule type="expression" dxfId="853" priority="265">
      <formula>AND($I452="Credit Memo",$K452="Corporate Office",$C451&lt;&gt;"Yes")</formula>
    </cfRule>
  </conditionalFormatting>
  <conditionalFormatting sqref="K452">
    <cfRule type="expression" dxfId="852" priority="259">
      <formula>AND($C451="Yes",AND($C454="No",$I452&lt;&gt;"Check"))</formula>
    </cfRule>
    <cfRule type="expression" dxfId="851" priority="262">
      <formula>AND($E452&lt;&gt;"Please Select",$I452&lt;&gt;"Check",$C$435&lt;&gt;"Yes")</formula>
    </cfRule>
  </conditionalFormatting>
  <conditionalFormatting sqref="I460">
    <cfRule type="expression" dxfId="850" priority="246">
      <formula>AND($C459="Yes",$C462="No")</formula>
    </cfRule>
    <cfRule type="expression" dxfId="849" priority="253">
      <formula>AND($C459&lt;&gt;"Yes",$E460&lt;&gt;"Please Select")</formula>
    </cfRule>
  </conditionalFormatting>
  <conditionalFormatting sqref="G460">
    <cfRule type="expression" dxfId="848" priority="247">
      <formula>AND($C459="Yes",$C462="No")</formula>
    </cfRule>
    <cfRule type="expression" dxfId="847" priority="252">
      <formula>AND($C459&lt;&gt;"Yes",$E460&lt;&gt;"Please Select")</formula>
    </cfRule>
  </conditionalFormatting>
  <conditionalFormatting sqref="M460">
    <cfRule type="expression" dxfId="846" priority="244">
      <formula>AND($K460="Corporate Office",$C459="Yes",$C462="No")</formula>
    </cfRule>
    <cfRule type="expression" dxfId="845" priority="249">
      <formula>OR(AND($K460&lt;&gt;"Corporate Office",$C459&lt;&gt;"Yes"),AND($C459="Yes",$C462&lt;&gt;"No"))</formula>
    </cfRule>
    <cfRule type="expression" dxfId="844" priority="250">
      <formula>$I460="Check"</formula>
    </cfRule>
    <cfRule type="expression" dxfId="843" priority="251">
      <formula>AND($I460="Credit Memo",$K460="Corporate Office",$C459&lt;&gt;"Yes")</formula>
    </cfRule>
  </conditionalFormatting>
  <conditionalFormatting sqref="K460">
    <cfRule type="expression" dxfId="842" priority="245">
      <formula>AND($C459="Yes",AND($C462="No",$I460&lt;&gt;"Check"))</formula>
    </cfRule>
    <cfRule type="expression" dxfId="841" priority="248">
      <formula>AND($E460&lt;&gt;"Please Select",$I460&lt;&gt;"Check",$C$435&lt;&gt;"Yes")</formula>
    </cfRule>
  </conditionalFormatting>
  <conditionalFormatting sqref="I468">
    <cfRule type="expression" dxfId="840" priority="232">
      <formula>AND($C467="Yes",$C470="No")</formula>
    </cfRule>
    <cfRule type="expression" dxfId="839" priority="239">
      <formula>AND($C467&lt;&gt;"Yes",$E468&lt;&gt;"Please Select")</formula>
    </cfRule>
  </conditionalFormatting>
  <conditionalFormatting sqref="G468">
    <cfRule type="expression" dxfId="838" priority="233">
      <formula>AND($C467="Yes",$C470="No")</formula>
    </cfRule>
    <cfRule type="expression" dxfId="837" priority="238">
      <formula>AND($C467&lt;&gt;"Yes",$E468&lt;&gt;"Please Select")</formula>
    </cfRule>
  </conditionalFormatting>
  <conditionalFormatting sqref="M468">
    <cfRule type="expression" dxfId="836" priority="230">
      <formula>AND($K468="Corporate Office",$C467="Yes",$C470="No")</formula>
    </cfRule>
    <cfRule type="expression" dxfId="835" priority="235">
      <formula>OR(AND($K468&lt;&gt;"Corporate Office",$C467&lt;&gt;"Yes"),AND($C467="Yes",$C470&lt;&gt;"No"))</formula>
    </cfRule>
    <cfRule type="expression" dxfId="834" priority="236">
      <formula>$I468="Check"</formula>
    </cfRule>
    <cfRule type="expression" dxfId="833" priority="237">
      <formula>AND($I468="Credit Memo",$K468="Corporate Office",$C467&lt;&gt;"Yes")</formula>
    </cfRule>
  </conditionalFormatting>
  <conditionalFormatting sqref="K468">
    <cfRule type="expression" dxfId="832" priority="231">
      <formula>AND($C467="Yes",AND($C470="No",$I468&lt;&gt;"Check"))</formula>
    </cfRule>
    <cfRule type="expression" dxfId="831" priority="234">
      <formula>AND($E468&lt;&gt;"Please Select",$I468&lt;&gt;"Check",$C$435&lt;&gt;"Yes")</formula>
    </cfRule>
  </conditionalFormatting>
  <conditionalFormatting sqref="O434:P438">
    <cfRule type="notContainsBlanks" dxfId="830" priority="227">
      <formula>LEN(TRIM(O434))&gt;0</formula>
    </cfRule>
  </conditionalFormatting>
  <conditionalFormatting sqref="O442:P446">
    <cfRule type="notContainsBlanks" dxfId="829" priority="226">
      <formula>LEN(TRIM(O442))&gt;0</formula>
    </cfRule>
  </conditionalFormatting>
  <conditionalFormatting sqref="O450:P454">
    <cfRule type="notContainsBlanks" dxfId="828" priority="225">
      <formula>LEN(TRIM(O450))&gt;0</formula>
    </cfRule>
  </conditionalFormatting>
  <conditionalFormatting sqref="O458:P462">
    <cfRule type="notContainsBlanks" dxfId="827" priority="224">
      <formula>LEN(TRIM(O458))&gt;0</formula>
    </cfRule>
  </conditionalFormatting>
  <conditionalFormatting sqref="O466:P470">
    <cfRule type="notContainsBlanks" dxfId="826" priority="223">
      <formula>LEN(TRIM(O466))&gt;0</formula>
    </cfRule>
  </conditionalFormatting>
  <conditionalFormatting sqref="K333">
    <cfRule type="cellIs" dxfId="825" priority="221" operator="equal">
      <formula>"Rate cannot be greater than the Prepaid Rate % of Sales"</formula>
    </cfRule>
    <cfRule type="cellIs" dxfId="824" priority="222" operator="equal">
      <formula>"Recommended NCI is 1%"</formula>
    </cfRule>
  </conditionalFormatting>
  <conditionalFormatting sqref="K344">
    <cfRule type="cellIs" dxfId="823" priority="211" operator="equal">
      <formula>"Rate cannot be greater than the Prepaid Rate % of Sales"</formula>
    </cfRule>
    <cfRule type="cellIs" dxfId="822" priority="212" operator="equal">
      <formula>"Recommended NCI is 1%"</formula>
    </cfRule>
  </conditionalFormatting>
  <conditionalFormatting sqref="K355">
    <cfRule type="cellIs" dxfId="821" priority="201" operator="equal">
      <formula>"Rate cannot be greater than the Prepaid Rate % of Sales"</formula>
    </cfRule>
    <cfRule type="cellIs" dxfId="820" priority="202" operator="equal">
      <formula>"Recommended NCI is 1%"</formula>
    </cfRule>
  </conditionalFormatting>
  <conditionalFormatting sqref="K366">
    <cfRule type="cellIs" dxfId="819" priority="191" operator="equal">
      <formula>"Rate cannot be greater than the Prepaid Rate % of Sales"</formula>
    </cfRule>
    <cfRule type="cellIs" dxfId="818" priority="192" operator="equal">
      <formula>"Recommended NCI is 1%"</formula>
    </cfRule>
  </conditionalFormatting>
  <conditionalFormatting sqref="K377">
    <cfRule type="cellIs" dxfId="817" priority="181" operator="equal">
      <formula>"Rate cannot be greater than the Prepaid Rate % of Sales"</formula>
    </cfRule>
    <cfRule type="cellIs" dxfId="816" priority="182" operator="equal">
      <formula>"Recommended NCI is 1%"</formula>
    </cfRule>
  </conditionalFormatting>
  <conditionalFormatting sqref="K388">
    <cfRule type="cellIs" dxfId="815" priority="171" operator="equal">
      <formula>"Rate cannot be greater than the Prepaid Rate % of Sales"</formula>
    </cfRule>
    <cfRule type="cellIs" dxfId="814" priority="172" operator="equal">
      <formula>"Recommended NCI is 1%"</formula>
    </cfRule>
  </conditionalFormatting>
  <conditionalFormatting sqref="K399">
    <cfRule type="cellIs" dxfId="813" priority="161" operator="equal">
      <formula>"Rate cannot be greater than the Prepaid Rate % of Sales"</formula>
    </cfRule>
    <cfRule type="cellIs" dxfId="812" priority="162" operator="equal">
      <formula>"Recommended NCI is 1%"</formula>
    </cfRule>
  </conditionalFormatting>
  <conditionalFormatting sqref="K410">
    <cfRule type="cellIs" dxfId="811" priority="151" operator="equal">
      <formula>"Rate cannot be greater than the Prepaid Rate % of Sales"</formula>
    </cfRule>
    <cfRule type="cellIs" dxfId="810" priority="152" operator="equal">
      <formula>"Recommended NCI is 1%"</formula>
    </cfRule>
  </conditionalFormatting>
  <conditionalFormatting sqref="K421">
    <cfRule type="cellIs" dxfId="809" priority="141" operator="equal">
      <formula>"Rate cannot be greater than the Prepaid Rate % of Sales"</formula>
    </cfRule>
    <cfRule type="cellIs" dxfId="808" priority="142" operator="equal">
      <formula>"Recommended NCI is 1%"</formula>
    </cfRule>
  </conditionalFormatting>
  <conditionalFormatting sqref="K432">
    <cfRule type="cellIs" dxfId="807" priority="131" operator="equal">
      <formula>"Rate cannot be greater than the Prepaid Rate % of Sales"</formula>
    </cfRule>
    <cfRule type="cellIs" dxfId="806" priority="132" operator="equal">
      <formula>"Recommended NCI is 1%"</formula>
    </cfRule>
  </conditionalFormatting>
  <conditionalFormatting sqref="M326">
    <cfRule type="expression" dxfId="805" priority="118">
      <formula>$E325="No"</formula>
    </cfRule>
    <cfRule type="expression" dxfId="804" priority="121">
      <formula>AND($C328&lt;&gt;"Yes",$I326="Credit Memo",$K326="Corporate Office")</formula>
    </cfRule>
    <cfRule type="expression" dxfId="803" priority="122">
      <formula>AND($C328&lt;&gt;"Yes",$K326="Corporate Office",$I326="Check")</formula>
    </cfRule>
  </conditionalFormatting>
  <conditionalFormatting sqref="G332">
    <cfRule type="expression" dxfId="802" priority="119">
      <formula>OR($C328="Yes",$E325="No")</formula>
    </cfRule>
    <cfRule type="expression" dxfId="801" priority="120">
      <formula>$E325="Yes"</formula>
    </cfRule>
  </conditionalFormatting>
  <conditionalFormatting sqref="M337">
    <cfRule type="expression" dxfId="800" priority="113">
      <formula>$E336="No"</formula>
    </cfRule>
    <cfRule type="expression" dxfId="799" priority="116">
      <formula>AND($C339&lt;&gt;"Yes",$I337="Credit Memo",$K337="Corporate Office")</formula>
    </cfRule>
    <cfRule type="expression" dxfId="798" priority="117">
      <formula>AND($C339&lt;&gt;"Yes",$K337="Corporate Office",$I337="Check")</formula>
    </cfRule>
  </conditionalFormatting>
  <conditionalFormatting sqref="G343">
    <cfRule type="expression" dxfId="797" priority="114">
      <formula>OR($C339="Yes",$E336="No")</formula>
    </cfRule>
    <cfRule type="expression" dxfId="796" priority="115">
      <formula>$E336="Yes"</formula>
    </cfRule>
  </conditionalFormatting>
  <conditionalFormatting sqref="M348">
    <cfRule type="expression" dxfId="795" priority="108">
      <formula>$E347="No"</formula>
    </cfRule>
    <cfRule type="expression" dxfId="794" priority="111">
      <formula>AND($C350&lt;&gt;"Yes",$I348="Credit Memo",$K348="Corporate Office")</formula>
    </cfRule>
    <cfRule type="expression" dxfId="793" priority="112">
      <formula>AND($C350&lt;&gt;"Yes",$K348="Corporate Office",$I348="Check")</formula>
    </cfRule>
  </conditionalFormatting>
  <conditionalFormatting sqref="G354">
    <cfRule type="expression" dxfId="792" priority="109">
      <formula>OR($C350="Yes",$E347="No")</formula>
    </cfRule>
    <cfRule type="expression" dxfId="791" priority="110">
      <formula>$E347="Yes"</formula>
    </cfRule>
  </conditionalFormatting>
  <conditionalFormatting sqref="M359">
    <cfRule type="expression" dxfId="790" priority="103">
      <formula>$E358="No"</formula>
    </cfRule>
    <cfRule type="expression" dxfId="789" priority="106">
      <formula>AND($C361&lt;&gt;"Yes",$I359="Credit Memo",$K359="Corporate Office")</formula>
    </cfRule>
    <cfRule type="expression" dxfId="788" priority="107">
      <formula>AND($C361&lt;&gt;"Yes",$K359="Corporate Office",$I359="Check")</formula>
    </cfRule>
  </conditionalFormatting>
  <conditionalFormatting sqref="G365">
    <cfRule type="expression" dxfId="787" priority="104">
      <formula>OR($C361="Yes",$E358="No")</formula>
    </cfRule>
    <cfRule type="expression" dxfId="786" priority="105">
      <formula>$E358="Yes"</formula>
    </cfRule>
  </conditionalFormatting>
  <conditionalFormatting sqref="M370">
    <cfRule type="expression" dxfId="785" priority="98">
      <formula>$E369="No"</formula>
    </cfRule>
    <cfRule type="expression" dxfId="784" priority="101">
      <formula>AND($C372&lt;&gt;"Yes",$I370="Credit Memo",$K370="Corporate Office")</formula>
    </cfRule>
    <cfRule type="expression" dxfId="783" priority="102">
      <formula>AND($C372&lt;&gt;"Yes",$K370="Corporate Office",$I370="Check")</formula>
    </cfRule>
  </conditionalFormatting>
  <conditionalFormatting sqref="G376">
    <cfRule type="expression" dxfId="782" priority="99">
      <formula>OR($C372="Yes",$E369="No")</formula>
    </cfRule>
    <cfRule type="expression" dxfId="781" priority="100">
      <formula>$E369="Yes"</formula>
    </cfRule>
  </conditionalFormatting>
  <conditionalFormatting sqref="M381">
    <cfRule type="expression" dxfId="780" priority="93">
      <formula>$E380="No"</formula>
    </cfRule>
    <cfRule type="expression" dxfId="779" priority="96">
      <formula>AND($C383&lt;&gt;"Yes",$I381="Credit Memo",$K381="Corporate Office")</formula>
    </cfRule>
    <cfRule type="expression" dxfId="778" priority="97">
      <formula>AND($C383&lt;&gt;"Yes",$K381="Corporate Office",$I381="Check")</formula>
    </cfRule>
  </conditionalFormatting>
  <conditionalFormatting sqref="G387">
    <cfRule type="expression" dxfId="777" priority="94">
      <formula>OR($C383="Yes",$E380="No")</formula>
    </cfRule>
    <cfRule type="expression" dxfId="776" priority="95">
      <formula>$E380="Yes"</formula>
    </cfRule>
  </conditionalFormatting>
  <conditionalFormatting sqref="M392">
    <cfRule type="expression" dxfId="775" priority="88">
      <formula>$E391="No"</formula>
    </cfRule>
    <cfRule type="expression" dxfId="774" priority="91">
      <formula>AND($C394&lt;&gt;"Yes",$I392="Credit Memo",$K392="Corporate Office")</formula>
    </cfRule>
    <cfRule type="expression" dxfId="773" priority="92">
      <formula>AND($C394&lt;&gt;"Yes",$K392="Corporate Office",$I392="Check")</formula>
    </cfRule>
  </conditionalFormatting>
  <conditionalFormatting sqref="G398">
    <cfRule type="expression" dxfId="772" priority="89">
      <formula>OR($C394="Yes",$E391="No")</formula>
    </cfRule>
    <cfRule type="expression" dxfId="771" priority="90">
      <formula>$E391="Yes"</formula>
    </cfRule>
  </conditionalFormatting>
  <conditionalFormatting sqref="M403">
    <cfRule type="expression" dxfId="770" priority="83">
      <formula>$E402="No"</formula>
    </cfRule>
    <cfRule type="expression" dxfId="769" priority="86">
      <formula>AND($C405&lt;&gt;"Yes",$I403="Credit Memo",$K403="Corporate Office")</formula>
    </cfRule>
    <cfRule type="expression" dxfId="768" priority="87">
      <formula>AND($C405&lt;&gt;"Yes",$K403="Corporate Office",$I403="Check")</formula>
    </cfRule>
  </conditionalFormatting>
  <conditionalFormatting sqref="G409">
    <cfRule type="expression" dxfId="767" priority="84">
      <formula>OR($C405="Yes",$E402="No")</formula>
    </cfRule>
    <cfRule type="expression" dxfId="766" priority="85">
      <formula>$E402="Yes"</formula>
    </cfRule>
  </conditionalFormatting>
  <conditionalFormatting sqref="M414">
    <cfRule type="expression" dxfId="765" priority="78">
      <formula>$E413="No"</formula>
    </cfRule>
    <cfRule type="expression" dxfId="764" priority="81">
      <formula>AND($C416&lt;&gt;"Yes",$I414="Credit Memo",$K414="Corporate Office")</formula>
    </cfRule>
    <cfRule type="expression" dxfId="763" priority="82">
      <formula>AND($C416&lt;&gt;"Yes",$K414="Corporate Office",$I414="Check")</formula>
    </cfRule>
  </conditionalFormatting>
  <conditionalFormatting sqref="G420">
    <cfRule type="expression" dxfId="762" priority="79">
      <formula>OR($C416="Yes",$E413="No")</formula>
    </cfRule>
    <cfRule type="expression" dxfId="761" priority="80">
      <formula>$E413="Yes"</formula>
    </cfRule>
  </conditionalFormatting>
  <conditionalFormatting sqref="M425">
    <cfRule type="expression" dxfId="760" priority="73">
      <formula>$E424="No"</formula>
    </cfRule>
    <cfRule type="expression" dxfId="759" priority="76">
      <formula>AND($C427&lt;&gt;"Yes",$I425="Credit Memo",$K425="Corporate Office")</formula>
    </cfRule>
    <cfRule type="expression" dxfId="758" priority="77">
      <formula>AND($C427&lt;&gt;"Yes",$K425="Corporate Office",$I425="Check")</formula>
    </cfRule>
  </conditionalFormatting>
  <conditionalFormatting sqref="G431">
    <cfRule type="expression" dxfId="757" priority="74">
      <formula>OR($C427="Yes",$E424="No")</formula>
    </cfRule>
    <cfRule type="expression" dxfId="756" priority="75">
      <formula>$E424="Yes"</formula>
    </cfRule>
  </conditionalFormatting>
  <conditionalFormatting sqref="K439">
    <cfRule type="expression" dxfId="755" priority="71">
      <formula>AND($C435="Yes",$C438="No")</formula>
    </cfRule>
    <cfRule type="expression" dxfId="754" priority="72">
      <formula>AND($E436&lt;&gt;"Please Select",$C435&lt;&gt;"Yes")</formula>
    </cfRule>
  </conditionalFormatting>
  <conditionalFormatting sqref="K447">
    <cfRule type="expression" dxfId="753" priority="69">
      <formula>AND($C443="Yes",$C446="No")</formula>
    </cfRule>
    <cfRule type="expression" dxfId="752" priority="70">
      <formula>AND($E444&lt;&gt;"Please Select",$C443&lt;&gt;"Yes")</formula>
    </cfRule>
  </conditionalFormatting>
  <conditionalFormatting sqref="K455">
    <cfRule type="expression" dxfId="751" priority="67">
      <formula>AND($C451="Yes",$C454="No")</formula>
    </cfRule>
    <cfRule type="expression" dxfId="750" priority="68">
      <formula>AND($E452&lt;&gt;"Please Select",$C451&lt;&gt;"Yes")</formula>
    </cfRule>
  </conditionalFormatting>
  <conditionalFormatting sqref="K463">
    <cfRule type="expression" dxfId="749" priority="65">
      <formula>AND($C459="Yes",$C462="No")</formula>
    </cfRule>
    <cfRule type="expression" dxfId="748" priority="66">
      <formula>AND($E460&lt;&gt;"Please Select",$C459&lt;&gt;"Yes")</formula>
    </cfRule>
  </conditionalFormatting>
  <conditionalFormatting sqref="K471">
    <cfRule type="expression" dxfId="747" priority="63">
      <formula>AND($C467="Yes",$C470="No")</formula>
    </cfRule>
    <cfRule type="expression" dxfId="746" priority="64">
      <formula>AND($E468&lt;&gt;"Please Select",$C467&lt;&gt;"Yes")</formula>
    </cfRule>
  </conditionalFormatting>
  <conditionalFormatting sqref="E444">
    <cfRule type="expression" dxfId="745" priority="61">
      <formula>OR(AND($C443&lt;&gt;"Yes",$E443="No"),$C443="Yes")</formula>
    </cfRule>
    <cfRule type="expression" dxfId="744" priority="62">
      <formula>AND($E443="Yes",$C443&lt;&gt;"Yes")</formula>
    </cfRule>
  </conditionalFormatting>
  <conditionalFormatting sqref="E452">
    <cfRule type="expression" dxfId="743" priority="59">
      <formula>OR(AND($C451&lt;&gt;"Yes",$E451="No"),$C451="Yes")</formula>
    </cfRule>
    <cfRule type="expression" dxfId="742" priority="60">
      <formula>AND($E451="Yes",$C451&lt;&gt;"Yes")</formula>
    </cfRule>
  </conditionalFormatting>
  <conditionalFormatting sqref="E460">
    <cfRule type="expression" dxfId="741" priority="57">
      <formula>OR(AND($C459&lt;&gt;"Yes",$E459="No"),$C459="Yes")</formula>
    </cfRule>
    <cfRule type="expression" dxfId="740" priority="58">
      <formula>AND($E459="Yes",$C459&lt;&gt;"Yes")</formula>
    </cfRule>
  </conditionalFormatting>
  <conditionalFormatting sqref="E468">
    <cfRule type="expression" dxfId="739" priority="55">
      <formula>OR(AND($C467&lt;&gt;"Yes",$E467="No"),$C467="Yes")</formula>
    </cfRule>
    <cfRule type="expression" dxfId="738" priority="56">
      <formula>AND($E467="Yes",$C467&lt;&gt;"Yes")</formula>
    </cfRule>
  </conditionalFormatting>
  <conditionalFormatting sqref="E237">
    <cfRule type="expression" dxfId="737" priority="54">
      <formula>$C240="Yes"</formula>
    </cfRule>
  </conditionalFormatting>
  <conditionalFormatting sqref="E238">
    <cfRule type="expression" dxfId="736" priority="52">
      <formula>OR($E237="No",$C240="Yes")</formula>
    </cfRule>
    <cfRule type="expression" dxfId="735" priority="53">
      <formula>$C240=""</formula>
    </cfRule>
  </conditionalFormatting>
  <conditionalFormatting sqref="E248">
    <cfRule type="expression" dxfId="734" priority="51">
      <formula>$C251="Yes"</formula>
    </cfRule>
  </conditionalFormatting>
  <conditionalFormatting sqref="E249">
    <cfRule type="expression" dxfId="733" priority="49">
      <formula>OR($E248="No",$C251="Yes")</formula>
    </cfRule>
    <cfRule type="expression" dxfId="732" priority="50">
      <formula>$C251=""</formula>
    </cfRule>
  </conditionalFormatting>
  <conditionalFormatting sqref="E259">
    <cfRule type="expression" dxfId="731" priority="48">
      <formula>$C262="Yes"</formula>
    </cfRule>
  </conditionalFormatting>
  <conditionalFormatting sqref="E260">
    <cfRule type="expression" dxfId="730" priority="46">
      <formula>OR($E259="No",$C262="Yes")</formula>
    </cfRule>
    <cfRule type="expression" dxfId="729" priority="47">
      <formula>$C262=""</formula>
    </cfRule>
  </conditionalFormatting>
  <conditionalFormatting sqref="E270">
    <cfRule type="expression" dxfId="728" priority="45">
      <formula>$C273="Yes"</formula>
    </cfRule>
  </conditionalFormatting>
  <conditionalFormatting sqref="E271">
    <cfRule type="expression" dxfId="727" priority="43">
      <formula>OR($E270="No",$C273="Yes")</formula>
    </cfRule>
    <cfRule type="expression" dxfId="726" priority="44">
      <formula>$C273=""</formula>
    </cfRule>
  </conditionalFormatting>
  <conditionalFormatting sqref="E281">
    <cfRule type="expression" dxfId="725" priority="42">
      <formula>$C284="Yes"</formula>
    </cfRule>
  </conditionalFormatting>
  <conditionalFormatting sqref="E282">
    <cfRule type="expression" dxfId="724" priority="40">
      <formula>OR($E281="No",$C284="Yes")</formula>
    </cfRule>
    <cfRule type="expression" dxfId="723" priority="41">
      <formula>$C284=""</formula>
    </cfRule>
  </conditionalFormatting>
  <conditionalFormatting sqref="E292">
    <cfRule type="expression" dxfId="722" priority="39">
      <formula>$C295="Yes"</formula>
    </cfRule>
  </conditionalFormatting>
  <conditionalFormatting sqref="E293">
    <cfRule type="expression" dxfId="721" priority="37">
      <formula>OR($E292="No",$C295="Yes")</formula>
    </cfRule>
    <cfRule type="expression" dxfId="720" priority="38">
      <formula>$C295=""</formula>
    </cfRule>
  </conditionalFormatting>
  <conditionalFormatting sqref="E303">
    <cfRule type="expression" dxfId="719" priority="36">
      <formula>$C306="Yes"</formula>
    </cfRule>
  </conditionalFormatting>
  <conditionalFormatting sqref="E304">
    <cfRule type="expression" dxfId="718" priority="34">
      <formula>OR($E303="No",$C306="Yes")</formula>
    </cfRule>
    <cfRule type="expression" dxfId="717" priority="35">
      <formula>$C306=""</formula>
    </cfRule>
  </conditionalFormatting>
  <conditionalFormatting sqref="E314">
    <cfRule type="expression" dxfId="716" priority="33">
      <formula>$C317="Yes"</formula>
    </cfRule>
  </conditionalFormatting>
  <conditionalFormatting sqref="E315">
    <cfRule type="expression" dxfId="715" priority="31">
      <formula>OR($E314="No",$C317="Yes")</formula>
    </cfRule>
    <cfRule type="expression" dxfId="714" priority="32">
      <formula>$C317=""</formula>
    </cfRule>
  </conditionalFormatting>
  <conditionalFormatting sqref="E325">
    <cfRule type="expression" dxfId="713" priority="30">
      <formula>$C328="Yes"</formula>
    </cfRule>
  </conditionalFormatting>
  <conditionalFormatting sqref="E326">
    <cfRule type="expression" dxfId="712" priority="28">
      <formula>OR($E325="No",$C328="Yes")</formula>
    </cfRule>
    <cfRule type="expression" dxfId="711" priority="29">
      <formula>$C328=""</formula>
    </cfRule>
  </conditionalFormatting>
  <conditionalFormatting sqref="E336">
    <cfRule type="expression" dxfId="710" priority="27">
      <formula>$C339="Yes"</formula>
    </cfRule>
  </conditionalFormatting>
  <conditionalFormatting sqref="E337">
    <cfRule type="expression" dxfId="709" priority="25">
      <formula>OR($E336="No",$C339="Yes")</formula>
    </cfRule>
    <cfRule type="expression" dxfId="708" priority="26">
      <formula>$C339=""</formula>
    </cfRule>
  </conditionalFormatting>
  <conditionalFormatting sqref="E347">
    <cfRule type="expression" dxfId="707" priority="24">
      <formula>$C350="Yes"</formula>
    </cfRule>
  </conditionalFormatting>
  <conditionalFormatting sqref="E348">
    <cfRule type="expression" dxfId="706" priority="22">
      <formula>OR($E347="No",$C350="Yes")</formula>
    </cfRule>
    <cfRule type="expression" dxfId="705" priority="23">
      <formula>$C350=""</formula>
    </cfRule>
  </conditionalFormatting>
  <conditionalFormatting sqref="E358">
    <cfRule type="expression" dxfId="704" priority="21">
      <formula>$C361="Yes"</formula>
    </cfRule>
  </conditionalFormatting>
  <conditionalFormatting sqref="E359">
    <cfRule type="expression" dxfId="703" priority="19">
      <formula>OR($E358="No",$C361="Yes")</formula>
    </cfRule>
    <cfRule type="expression" dxfId="702" priority="20">
      <formula>$C361=""</formula>
    </cfRule>
  </conditionalFormatting>
  <conditionalFormatting sqref="E369">
    <cfRule type="expression" dxfId="701" priority="18">
      <formula>$C372="Yes"</formula>
    </cfRule>
  </conditionalFormatting>
  <conditionalFormatting sqref="E370">
    <cfRule type="expression" dxfId="700" priority="16">
      <formula>OR($E369="No",$C372="Yes")</formula>
    </cfRule>
    <cfRule type="expression" dxfId="699" priority="17">
      <formula>$C372=""</formula>
    </cfRule>
  </conditionalFormatting>
  <conditionalFormatting sqref="E380">
    <cfRule type="expression" dxfId="698" priority="15">
      <formula>$C383="Yes"</formula>
    </cfRule>
  </conditionalFormatting>
  <conditionalFormatting sqref="E381">
    <cfRule type="expression" dxfId="697" priority="13">
      <formula>OR($E380="No",$C383="Yes")</formula>
    </cfRule>
    <cfRule type="expression" dxfId="696" priority="14">
      <formula>$C383=""</formula>
    </cfRule>
  </conditionalFormatting>
  <conditionalFormatting sqref="E391">
    <cfRule type="expression" dxfId="695" priority="12">
      <formula>$C394="Yes"</formula>
    </cfRule>
  </conditionalFormatting>
  <conditionalFormatting sqref="E392">
    <cfRule type="expression" dxfId="694" priority="10">
      <formula>OR($E391="No",$C394="Yes")</formula>
    </cfRule>
    <cfRule type="expression" dxfId="693" priority="11">
      <formula>$C394=""</formula>
    </cfRule>
  </conditionalFormatting>
  <conditionalFormatting sqref="E402">
    <cfRule type="expression" dxfId="692" priority="9">
      <formula>$C405="Yes"</formula>
    </cfRule>
  </conditionalFormatting>
  <conditionalFormatting sqref="E403">
    <cfRule type="expression" dxfId="691" priority="7">
      <formula>OR($E402="No",$C405="Yes")</formula>
    </cfRule>
    <cfRule type="expression" dxfId="690" priority="8">
      <formula>$C405=""</formula>
    </cfRule>
  </conditionalFormatting>
  <conditionalFormatting sqref="E413">
    <cfRule type="expression" dxfId="689" priority="6">
      <formula>$C416="Yes"</formula>
    </cfRule>
  </conditionalFormatting>
  <conditionalFormatting sqref="E414">
    <cfRule type="expression" dxfId="688" priority="4">
      <formula>OR($E413="No",$C416="Yes")</formula>
    </cfRule>
    <cfRule type="expression" dxfId="687" priority="5">
      <formula>$C416=""</formula>
    </cfRule>
  </conditionalFormatting>
  <conditionalFormatting sqref="E424">
    <cfRule type="expression" dxfId="686" priority="3">
      <formula>$C427="Yes"</formula>
    </cfRule>
  </conditionalFormatting>
  <conditionalFormatting sqref="E425">
    <cfRule type="expression" dxfId="685" priority="1">
      <formula>OR($E424="No",$C427="Yes")</formula>
    </cfRule>
    <cfRule type="expression" dxfId="684" priority="2">
      <formula>$C427=""</formula>
    </cfRule>
  </conditionalFormatting>
  <dataValidations count="44">
    <dataValidation type="list" allowBlank="1" showInputMessage="1" showErrorMessage="1" sqref="E184" xr:uid="{00000000-0002-0000-0400-000000000000}">
      <formula1>"Please Select, Prepaid Rollover, Prepaid Rollover No Payment"</formula1>
    </dataValidation>
    <dataValidation type="list" allowBlank="1" showInputMessage="1" showErrorMessage="1" sqref="E176" xr:uid="{00000000-0002-0000-0400-000001000000}">
      <formula1>"Please Select, Payment Rewards Incentive"</formula1>
    </dataValidation>
    <dataValidation type="list" allowBlank="1" showInputMessage="1" showErrorMessage="1" sqref="E160 E168" xr:uid="{00000000-0002-0000-0400-000002000000}">
      <formula1>"Please Select, CHECK Business Tools Incentive, TOAST Incentive,"</formula1>
    </dataValidation>
    <dataValidation type="list" allowBlank="1" showInputMessage="1" showErrorMessage="1" sqref="E152" xr:uid="{00000000-0002-0000-0400-000003000000}">
      <formula1>"Please Select, E-Commerce Incentive Threshold"</formula1>
    </dataValidation>
    <dataValidation type="list" allowBlank="1" showInputMessage="1" showErrorMessage="1" sqref="E112 E120 E128 E144 E136" xr:uid="{00000000-0002-0000-0400-000004000000}">
      <formula1>"Please Select, Growth Incentive Single Rate"</formula1>
    </dataValidation>
    <dataValidation type="list" allowBlank="1" showInputMessage="1" showErrorMessage="1" sqref="E27 E41" xr:uid="{00000000-0002-0000-0400-000005000000}">
      <formula1>"No,Yes"</formula1>
    </dataValidation>
    <dataValidation type="list" allowBlank="1" showInputMessage="1" showErrorMessage="1" sqref="E98 E84" xr:uid="{00000000-0002-0000-0400-000006000000}">
      <formula1>"Please Select, EB Single Rate,  EB Threshold Percent Qualifier, EB Tiered Percent Qualifier"</formula1>
    </dataValidation>
    <dataValidation type="list" allowBlank="1" showInputMessage="1" showErrorMessage="1" sqref="E56 E70" xr:uid="{00000000-0002-0000-0400-000008000000}">
      <formula1>"Please Select, DS Threshold Average Invoice Dollar Qualifier, DS Tiered Average Invoice Dollar Qualifier"</formula1>
    </dataValidation>
    <dataValidation type="list" allowBlank="1" showInputMessage="1" showErrorMessage="1" sqref="K14 K28 K120 K219 K42 K56 K70 K84 K98 K144 K136 K128 K176 K112 K152 K436 K460 K444 K452 K468" xr:uid="{00000000-0002-0000-0400-000009000000}">
      <formula1>"Customer Units, Corporate Office"</formula1>
    </dataValidation>
    <dataValidation type="decimal" allowBlank="1" showInputMessage="1" showErrorMessage="1" sqref="O479" xr:uid="{00000000-0002-0000-0400-00000A000000}">
      <formula1>0</formula1>
      <formula2>Q479</formula2>
    </dataValidation>
    <dataValidation type="decimal" allowBlank="1" showInputMessage="1" showErrorMessage="1" sqref="O478 M479:N479" xr:uid="{00000000-0002-0000-0400-00000B000000}">
      <formula1>0</formula1>
      <formula2>P478</formula2>
    </dataValidation>
    <dataValidation type="list" allowBlank="1" showInputMessage="1" showErrorMessage="1" sqref="E14 E28 E42" xr:uid="{00000000-0002-0000-0400-00000C000000}">
      <formula1>"Please Select, Volume Incentive Single Rate,  Volume Incentive Threshold, Volume Incentive Tiered"</formula1>
    </dataValidation>
    <dataValidation type="list" allowBlank="1" showInputMessage="1" showErrorMessage="1" sqref="E4 E6 E83 E55 E13 E69 E97 E111 E151 E159 E167 E175 E194 E183 E206 E218 E119 E127 E143 E135 E303 E226 E314 E413 E248 E259 E270 E281 E292 E8:E9 E435 E443 E451 E459 E467 E325 E237 E336 E347 E358 E369 E380 E391 E402 E424" xr:uid="{00000000-0002-0000-0400-00000D000000}">
      <formula1>"Yes, No"</formula1>
    </dataValidation>
    <dataValidation type="whole" operator="lessThan" allowBlank="1" showInputMessage="1" showErrorMessage="1" sqref="S198:S202" xr:uid="{00000000-0002-0000-0400-00000E000000}">
      <formula1>10000</formula1>
    </dataValidation>
    <dataValidation type="list" allowBlank="1" showInputMessage="1" showErrorMessage="1" sqref="G98 G14 G28 G42 G56 G136 G84 G112 G152 G176 G120 G128 G144 G70 G195 G436 G460 G444 G452 G468"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I210:I214 G213 I198:I202" xr:uid="{00000000-0002-0000-0400-000011000000}">
      <formula1>100000</formula1>
    </dataValidation>
    <dataValidation type="list" allowBlank="1" showInputMessage="1" showErrorMessage="1" sqref="I14 I56 I28 I42 I70 I112 I152 I160 I176 I84 I98 I184 I195 I207 I219 I168 I120 I128 I144 I136 I227 I315 I238 I249 I260 I271 I282 I293 I304 I436 I460 I444 I452 I468 I414 I326 I337 I348 I359 I370 I381 I392 I403 I425" xr:uid="{00000000-0002-0000-0400-000012000000}">
      <formula1>"Credit Memo, Check"</formula1>
    </dataValidation>
    <dataValidation type="list" operator="lessThanOrEqual" allowBlank="1" showErrorMessage="1" errorTitle="Signing Limit Exceeded" error="The signing incentive cannot exceed $100,000.  Please use the custom modeling process in order to accomodate this request. " sqref="M187"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90 O190 I190" xr:uid="{00000000-0002-0000-0400-000015000000}"/>
    <dataValidation type="list" allowBlank="1" showInputMessage="1" showErrorMessage="1" sqref="G207" xr:uid="{00000000-0002-0000-0400-000016000000}">
      <formula1>"Annual, Quarterly, Monthly, Weekly, Program"</formula1>
    </dataValidation>
    <dataValidation type="list" allowBlank="1" showInputMessage="1" showErrorMessage="1" sqref="E195 E207" xr:uid="{00000000-0002-0000-0400-000017000000}">
      <formula1>"Please Select, Prepaid Single Payment, Prepay Multi Yr Under, Multi Payment Prepaid Incentive"</formula1>
    </dataValidation>
    <dataValidation type="list" allowBlank="1" showInputMessage="1" showErrorMessage="1" sqref="E219"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90:I93 I104:I107" xr:uid="{00000000-0002-0000-0400-000019000000}"/>
    <dataValidation type="decimal" operator="lessThan" allowBlank="1" showInputMessage="1" showErrorMessage="1" sqref="G139 G131 G147 G155 G123 G115" xr:uid="{00000000-0002-0000-0400-00001A000000}">
      <formula1>I115</formula1>
    </dataValidation>
    <dataValidation type="custom" operator="lessThanOrEqual" allowBlank="1" showErrorMessage="1" errorTitle="Signing Limit Exceeded" error="The New Customer Location rate cannot exceed the lower of Rate % of Sales on the Prepaid or 1% " sqref="K222" xr:uid="{8035A27F-4F01-4BEA-BF7C-CEC2233A6F30}">
      <formula1>NOT(AND(K222&gt;0.01,K222&gt;G201))</formula1>
    </dataValidation>
    <dataValidation type="decimal" operator="lessThanOrEqual" allowBlank="1" showErrorMessage="1" errorTitle="Prepaid Limit Exceeded" error="The prepaid incentive cannot exceed $100,000.  Please use the custom modeling process in order to accomodate this request. " sqref="G201" xr:uid="{40DAC4F8-02E9-4B0E-A63D-7A60FE71A989}">
      <formula1>100000</formula1>
    </dataValidation>
    <dataValidation type="custom" operator="lessThan" allowBlank="1" showErrorMessage="1" errorTitle="Invalid Tier Value" error="Minimum Units for current tier must be &gt; Maximum Units for prior tier" sqref="G23" xr:uid="{580487BC-C591-492D-B469-68215A54EBAC}">
      <formula1>AND(G23&lt;I23,G23&gt;=G$17,G23&gt;G22)</formula1>
    </dataValidation>
    <dataValidation type="custom" operator="lessThan" allowBlank="1" showInputMessage="1" showErrorMessage="1" error="Minimum Units for current tier must be &gt; Maximum Units for prior tier" sqref="G76 G20 G34 G48 G62" xr:uid="{A4A9284A-4C28-4C29-8205-42B55048465C}">
      <formula1>AND(G20&lt;I20,G20&gt;G19)</formula1>
    </dataValidation>
    <dataValidation type="custom" operator="lessThan" allowBlank="1" showErrorMessage="1" errorTitle="Invalid Tier Value" error="Minimum Units for current tier must be &gt; Maximum Units for prior tier_x000a_" sqref="G35:G37" xr:uid="{327AA65A-BF1A-4DDD-9063-A941E4F59553}">
      <formula1>AND(G35&lt;I35,G35&gt;=G$31,G35&gt;G34)</formula1>
    </dataValidation>
    <dataValidation type="custom" operator="lessThan" allowBlank="1" showErrorMessage="1" errorTitle="Invalid Tier Value" error="Minimum Units for current tier must be &gt; Maximum Units for prior tier" sqref="G51 G49" xr:uid="{8CEB0889-FE95-4F19-8007-E686B40D380E}">
      <formula1>AND(G49&lt;I49,G49&gt;=G$45,G49&gt;G48)</formula1>
    </dataValidation>
    <dataValidation type="custom" operator="lessThan" allowBlank="1" showErrorMessage="1" errorTitle="Invalid Tier Value" error="Minimum Units for current tier must be &gt; Maximum Units for prior tier" sqref="G65 G63" xr:uid="{F810F81E-0A66-4196-A85A-5577EA47821A}">
      <formula1>AND(G63&lt;I63,G63&gt;=G$59,G63&gt;G62)</formula1>
    </dataValidation>
    <dataValidation type="custom" operator="lessThan" allowBlank="1" showErrorMessage="1" errorTitle="Invalid Tier Value" error="Minimum Units for current tier must be &gt; Maximum Units for prior tier_x000a_" sqref="G77:G79" xr:uid="{E8BDC849-B802-469A-9A97-9ECCE4B6C43F}">
      <formula1>AND(G77&lt;I77,G77&gt;=G$73,G77&gt;G76)</formula1>
    </dataValidation>
    <dataValidation type="list" allowBlank="1" showInputMessage="1" showErrorMessage="1" sqref="E227 E315 E414 E249 E260 E271 E282 E293 E304 E326 E238 E337 E348 E359 E370 E381 E392 E403 E425" xr:uid="{9BABD2D4-8DE1-40A0-99C0-633A4978DBEC}">
      <formula1>"Please Select,New Customer Location Amendment"</formula1>
    </dataValidation>
    <dataValidation type="decimal" operator="lessThanOrEqual" allowBlank="1" showInputMessage="1" showErrorMessage="1" error="The Payment Amount should be less than $100,000" sqref="K198:K202 K210:K214" xr:uid="{4C9CA10A-C728-48F2-A3AC-E580C3837509}">
      <formula1>100000</formula1>
    </dataValidation>
    <dataValidation type="decimal" operator="lessThan" allowBlank="1" showInputMessage="1" showErrorMessage="1" error="Minimum Units for current tier must be &gt; Maximum Units for prior tier" sqref="G103 G19 G33 G47 G61 G75 G89" xr:uid="{E984B6A7-21CE-451F-8007-ABA55F3D26D7}">
      <formula1>I19</formula1>
    </dataValidation>
    <dataValidation type="custom" allowBlank="1" showInputMessage="1" showErrorMessage="1" error="Minimum Units for current tier must be &gt; Maximum Units for prior tier" sqref="G90:G93 G104:G107" xr:uid="{6EF119EC-D3F3-4DAC-9266-FFF4F161B0CB}">
      <formula1>AND(G90&lt;I90,G90&gt;G89)</formula1>
    </dataValidation>
    <dataValidation type="date" operator="greaterThanOrEqual" allowBlank="1" showInputMessage="1" showErrorMessage="1" errorTitle="Date Type Error!" error="Invalid Date Data Entry!_x000a_Please format as ..._x000a_M/D/YYYY" sqref="K190 M190" xr:uid="{57782DE2-686B-4B08-A305-1D411526EC05}">
      <formula1>33922</formula1>
    </dataValidation>
    <dataValidation type="date" operator="greaterThan" allowBlank="1" showInputMessage="1" showErrorMessage="1" error="Incentive Expiration date should not be less than Incentive Effective Date" sqref="E147 E139 E131 E123 E115" xr:uid="{13EAFE79-7EF9-47C5-9360-05639E3E06DD}">
      <formula1>E114</formula1>
    </dataValidation>
    <dataValidation operator="greaterThanOrEqual" allowBlank="1" showInputMessage="1" showErrorMessage="1" error="The Incentive Effective Date cannot be less than Agreement Effective Date" sqref="E229 E273 E284 E295 E416 E240 E251 E262 E306 E317 E328 E339 E350 E361 E372 E383 E394 E405 E427" xr:uid="{BD11A85E-FEC9-4442-B730-39F84D746D6E}"/>
    <dataValidation type="custom" operator="lessThan" allowBlank="1" showErrorMessage="1" errorTitle="Invalid Tier Value" error="Minimum Units for current tier must be &gt; Maximum Units for prior tier_x000a_" sqref="G21:G22" xr:uid="{0BA14C20-4A60-4E7B-9988-BDF8CD559975}">
      <formula1>AND(G21&lt;I21,G21&gt;=G$17,G21&gt;G20)</formula1>
    </dataValidation>
    <dataValidation type="custom" operator="lessThan" allowBlank="1" showErrorMessage="1" errorTitle="Invalid Tier Value" error="Minimum Units for current tier must be &gt; Maximum Units for prior tier_x000a_" sqref="G50" xr:uid="{9C7EA820-D832-43AC-A8FB-FBB0C7E93C0C}">
      <formula1>AND(G50&lt;I50,G50&gt;=G$45,G50&gt;G49)</formula1>
    </dataValidation>
    <dataValidation type="custom" operator="lessThan" allowBlank="1" showErrorMessage="1" errorTitle="Invalid Tier Value" error="Minimum Units for current tier must be &gt; Maximum Units for prior tier_x000a_" sqref="G64" xr:uid="{FE255526-7202-42A6-B87D-12E20E83EE3D}">
      <formula1>AND(G64&lt;I64,G64&gt;=G$59,G64&gt;G63)</formula1>
    </dataValidation>
    <dataValidation type="list" allowBlank="1" showInputMessage="1" showErrorMessage="1" sqref="E436 E460 E444 E452 E468" xr:uid="{91303CE6-88E5-4528-8051-6C92E56948CD}">
      <formula1>"Please Select, Non Standard"</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1073" id="{00000000-000E-0000-0400-0000DF010000}">
            <xm:f>OR(AND($E$195="Prepay Multi Yr Under",$C$194="Yes",$C$197&lt;&gt;"No"),$E$195&lt;&gt;"Prepay Multi Yr Under",AND($E$195="Prepay Multi Yr Under",$C$194="Yes",$C$197="No",Welcome!$D$16="Select Term"))</xm:f>
            <x14:dxf>
              <fill>
                <patternFill>
                  <bgColor theme="0" tint="-0.24994659260841701"/>
                </patternFill>
              </fill>
            </x14:dxf>
          </x14:cfRule>
          <xm:sqref>M198</xm:sqref>
        </x14:conditionalFormatting>
        <x14:conditionalFormatting xmlns:xm="http://schemas.microsoft.com/office/excel/2006/main">
          <x14:cfRule type="expression" priority="594" id="{A53C37C6-B670-4B0C-B1FF-B6C44BC8255C}">
            <xm:f>OR(AND($E$195="Prepay Multi Yr Under",$C$194="Yes",$C$197&lt;&gt;"No"),AND($E$195="Prepay Multi Yr Under",$C$194="Yes",$C$197="No",AND(Welcome!$D$16&lt;=1,Welcome!$D$16&lt;&gt;"Select Term")),$E$195&lt;&gt;"Prepay Multi Yr Under")</xm:f>
            <x14:dxf>
              <fill>
                <patternFill>
                  <bgColor theme="0" tint="-0.24994659260841701"/>
                </patternFill>
              </fill>
            </x14:dxf>
          </x14:cfRule>
          <xm:sqref>M199</xm:sqref>
        </x14:conditionalFormatting>
        <x14:conditionalFormatting xmlns:xm="http://schemas.microsoft.com/office/excel/2006/main">
          <x14:cfRule type="expression" priority="590" id="{4D4B57EF-D973-4BE2-BF39-B2F23BD0947F}">
            <xm:f>OR(AND($E$207="Prepay Multi Yr Under",$C$206="Yes",$C$209&lt;&gt;"No"),AND($E$207="Prepay Multi Yr Under",Welcome!$D$16="Select Term",$C$206="Yes",$C$209="No"),$E$207&lt;&gt;"Prepay Multi Yr Under")</xm:f>
            <x14:dxf>
              <fill>
                <patternFill>
                  <bgColor theme="0" tint="-0.24994659260841701"/>
                </patternFill>
              </fill>
            </x14:dxf>
          </x14:cfRule>
          <xm:sqref>M210</xm:sqref>
        </x14:conditionalFormatting>
        <x14:conditionalFormatting xmlns:xm="http://schemas.microsoft.com/office/excel/2006/main">
          <x14:cfRule type="expression" priority="1060" id="{9AB09ED0-C7FA-499D-B098-FDC2AFC3FDB0}">
            <xm:f>AND($C$175&lt;&gt;"Yes",$K$179&gt;ROUNDUP((((VLOOKUP('Variable Selling'!$A$2,'CC MARKET EXPENSE'!$A:$D,4,0))*100)*VLOOKUP(D174,'Incentive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K179</xm:sqref>
        </x14:conditionalFormatting>
        <x14:conditionalFormatting xmlns:xm="http://schemas.microsoft.com/office/excel/2006/main">
          <x14:cfRule type="expression" priority="385" id="{7AFB0FBA-25D2-4D1D-B169-90AF90E35C64}">
            <xm:f>AND(AND(Welcome!$D$10&lt;&gt;"MDA",Welcome!$D$10&lt;&gt;"PON Only"),Welcome!$D$6="Amendment")</xm:f>
            <x14:dxf>
              <fill>
                <patternFill>
                  <bgColor theme="0"/>
                </patternFill>
              </fill>
            </x14:dxf>
          </x14:cfRule>
          <x14:cfRule type="expression" priority="1259" id="{CC77D9D5-08D0-497D-857C-05FC5404FFA2}">
            <xm:f>AND(AND(Welcome!$D$10&lt;&gt;"MDA",Welcome!$D$10&lt;&gt;"PON Only"),Welcome!$D$6="New")</xm:f>
            <x14:dxf>
              <fill>
                <patternFill>
                  <bgColor rgb="FFFFFF00"/>
                </patternFill>
              </fill>
            </x14:dxf>
          </x14:cfRule>
          <x14:cfRule type="expression" priority="1260" id="{38E3C295-11FC-47D7-A4DD-A4DA78AA3DFA}">
            <xm:f>OR(Welcome!$D$10="MDA",Welcome!$D$10="PON Only")</xm:f>
            <x14:dxf>
              <fill>
                <patternFill>
                  <bgColor theme="0" tint="-0.24994659260841701"/>
                </patternFill>
              </fill>
            </x14:dxf>
          </x14:cfRule>
          <xm:sqref>E4</xm:sqref>
        </x14:conditionalFormatting>
        <x14:conditionalFormatting xmlns:xm="http://schemas.microsoft.com/office/excel/2006/main">
          <x14:cfRule type="expression" priority="1205" id="{6388F6F4-BC96-4A22-B9C9-C66819C9AEA3}">
            <xm:f>AND($E$195="Prepay Multi Yr Under",$E$195&lt;&gt;"Please Select",AND(TYPE(Welcome!$D$16)&lt;&gt;2,Welcome!$D$16&gt;0,Welcome!$D$16&lt;&gt;"Select Term"),$C$194&lt;&gt;"Yes")</xm:f>
            <x14:dxf>
              <fill>
                <patternFill>
                  <bgColor rgb="FFFFFF00"/>
                </patternFill>
              </fill>
            </x14:dxf>
          </x14:cfRule>
          <xm:sqref>K198 M198</xm:sqref>
        </x14:conditionalFormatting>
        <x14:conditionalFormatting xmlns:xm="http://schemas.microsoft.com/office/excel/2006/main">
          <x14:cfRule type="expression" priority="1202" id="{C0212BBB-8B7C-4571-A1F7-10E9FF4027C1}">
            <xm:f>AND($E$195="Prepay Multi Yr Under",$E$195="Prepay Multi Yr Under",$E$195&lt;&gt;"Please Select",AND(TYPE(Welcome!$D$16)&lt;&gt;2,Welcome!$D$16&gt;1,Welcome!$D$16&lt;&gt;"Select Term"),$C$194&lt;&gt;"Yes")</xm:f>
            <x14:dxf>
              <fill>
                <patternFill>
                  <bgColor rgb="FFFFFF00"/>
                </patternFill>
              </fill>
            </x14:dxf>
          </x14:cfRule>
          <xm:sqref>K199 M199</xm:sqref>
        </x14:conditionalFormatting>
        <x14:conditionalFormatting xmlns:xm="http://schemas.microsoft.com/office/excel/2006/main">
          <x14:cfRule type="expression" priority="1199" id="{D791997E-92B7-4CA6-A598-E899348E35B6}">
            <xm:f>AND($E$195="Prepay Multi Yr Under",$E$195&lt;&gt;"Please Select",AND(TYPE(Welcome!$D$16)&lt;&gt;2,Welcome!$D$16&gt;2,Welcome!$D$16&lt;&gt;"Select Term"),$C$194&lt;&gt;"Yes")</xm:f>
            <x14:dxf>
              <fill>
                <patternFill>
                  <bgColor rgb="FFFFFF00"/>
                </patternFill>
              </fill>
            </x14:dxf>
          </x14:cfRule>
          <xm:sqref>K200 M200</xm:sqref>
        </x14:conditionalFormatting>
        <x14:conditionalFormatting xmlns:xm="http://schemas.microsoft.com/office/excel/2006/main">
          <x14:cfRule type="expression" priority="1196" id="{3BC8ABD1-0ECC-406D-89A2-2AD1E7A7DB69}">
            <xm:f>AND($E$195="Prepay Multi Yr Under",$E$195&lt;&gt;"Please Select",AND(TYPE(Welcome!$D$16)&lt;&gt;2,Welcome!$D$16&gt;3,Welcome!$D$16&lt;&gt;"Select Term"),$C$194&lt;&gt;"Yes")</xm:f>
            <x14:dxf>
              <fill>
                <patternFill>
                  <bgColor rgb="FFFFFF00"/>
                </patternFill>
              </fill>
            </x14:dxf>
          </x14:cfRule>
          <xm:sqref>K201 M201</xm:sqref>
        </x14:conditionalFormatting>
        <x14:conditionalFormatting xmlns:xm="http://schemas.microsoft.com/office/excel/2006/main">
          <x14:cfRule type="expression" priority="1195" id="{15852C53-F0E0-47DF-9A9A-EF8E54D13288}">
            <xm:f>AND($E$195&lt;&gt;"Please Select",TYPE(Welcome!$D$16)&lt;&gt;2,Welcome!$D$16=5,$C$194&lt;&gt;"Yes",$E$195="Prepay Multi Yr Under")</xm:f>
            <x14:dxf>
              <fill>
                <patternFill>
                  <bgColor rgb="FFFFFF00"/>
                </patternFill>
              </fill>
            </x14:dxf>
          </x14:cfRule>
          <xm:sqref>K202 M202</xm:sqref>
        </x14:conditionalFormatting>
        <x14:conditionalFormatting xmlns:xm="http://schemas.microsoft.com/office/excel/2006/main">
          <x14:cfRule type="expression" priority="1120" id="{87C58F1A-CF07-46D3-9FF3-B2F7FCB19C35}">
            <xm:f>AND($E$207="Prepay Multi Yr Under",$E$207&lt;&gt;"Please Select",AND(TYPE(Welcome!$D$16)&lt;&gt;2,Welcome!$D$16&gt;0,Welcome!$D$16&lt;&gt;"Select Term"),$C$206&lt;&gt;"Yes")</xm:f>
            <x14:dxf>
              <fill>
                <patternFill>
                  <bgColor rgb="FFFFFF00"/>
                </patternFill>
              </fill>
            </x14:dxf>
          </x14:cfRule>
          <xm:sqref>K210 M210</xm:sqref>
        </x14:conditionalFormatting>
        <x14:conditionalFormatting xmlns:xm="http://schemas.microsoft.com/office/excel/2006/main">
          <x14:cfRule type="expression" priority="1119" id="{29F73B7C-9811-4DE8-B385-FC7BF69CBCCD}">
            <xm:f>AND($E$207="Prepay Multi Yr Under",$E$207&lt;&gt;"Please Select",AND(TYPE(Welcome!$D$16)&lt;&gt;2,Welcome!$D$16&gt;1,Welcome!$D$16&lt;&gt;"Select Term"),$C$206&lt;&gt;"Yes")</xm:f>
            <x14:dxf>
              <fill>
                <patternFill>
                  <bgColor rgb="FFFFFF00"/>
                </patternFill>
              </fill>
            </x14:dxf>
          </x14:cfRule>
          <xm:sqref>K211 M211</xm:sqref>
        </x14:conditionalFormatting>
        <x14:conditionalFormatting xmlns:xm="http://schemas.microsoft.com/office/excel/2006/main">
          <x14:cfRule type="expression" priority="1118" id="{C33F5F17-4C9C-43D2-9ACA-566547147BF3}">
            <xm:f>AND($E$207="Prepay Multi Yr Under",$E$207&lt;&gt;"Please Select",AND(TYPE(Welcome!$D$16)&lt;&gt;2,Welcome!$D$16&gt;2,Welcome!$D$16&lt;&gt;"Select Term"),$C$206&lt;&gt;"Yes")</xm:f>
            <x14:dxf>
              <fill>
                <patternFill>
                  <bgColor rgb="FFFFFF00"/>
                </patternFill>
              </fill>
            </x14:dxf>
          </x14:cfRule>
          <xm:sqref>K212 M212</xm:sqref>
        </x14:conditionalFormatting>
        <x14:conditionalFormatting xmlns:xm="http://schemas.microsoft.com/office/excel/2006/main">
          <x14:cfRule type="expression" priority="1117" id="{29C0CDC8-ACFA-4514-9241-2D2B76126D65}">
            <xm:f>AND($E$207="Prepay Multi Yr Under",$E$207&lt;&gt;"Please Select",AND(TYPE(Welcome!$D$16)&lt;&gt;2,Welcome!$D$16&gt;3,Welcome!$D$16&lt;&gt;"Select Term"),$C$206&lt;&gt;"Yes")</xm:f>
            <x14:dxf>
              <fill>
                <patternFill>
                  <bgColor rgb="FFFFFF00"/>
                </patternFill>
              </fill>
            </x14:dxf>
          </x14:cfRule>
          <xm:sqref>K213 M213</xm:sqref>
        </x14:conditionalFormatting>
        <x14:conditionalFormatting xmlns:xm="http://schemas.microsoft.com/office/excel/2006/main">
          <x14:cfRule type="expression" priority="1116" id="{1E688AE0-8ED8-41BE-87AF-B2FDB944F2F4}">
            <xm:f>AND($E$207="Prepay Multi Yr Under",$E$207&lt;&gt;"Please Select",TYPE(Welcome!$D$16)&lt;&gt;2,Welcome!$D$16=5,$C$206&lt;&gt;"Yes")</xm:f>
            <x14:dxf>
              <fill>
                <patternFill>
                  <bgColor rgb="FFFFFF00"/>
                </patternFill>
              </fill>
            </x14:dxf>
          </x14:cfRule>
          <xm:sqref>K214 M214</xm:sqref>
        </x14:conditionalFormatting>
        <x14:conditionalFormatting xmlns:xm="http://schemas.microsoft.com/office/excel/2006/main">
          <x14:cfRule type="expression" priority="593" id="{0E94933A-A0F8-434C-A147-CC2798EB135B}">
            <xm:f>OR(AND($E$195="Prepay Multi Yr Under",$C$194="Yes",$C$197&lt;&gt;"No"),AND($E$195="Prepay Multi Yr Under",$C$194="Yes",$C$197="No",AND(Welcome!$D$16&lt;3,Welcome!$D$16&lt;&gt;"Select Term")),$E$195&lt;&gt;"Prepay Multi Yr Under")</xm:f>
            <x14:dxf>
              <fill>
                <patternFill>
                  <bgColor theme="0" tint="-0.24994659260841701"/>
                </patternFill>
              </fill>
            </x14:dxf>
          </x14:cfRule>
          <xm:sqref>M200</xm:sqref>
        </x14:conditionalFormatting>
        <x14:conditionalFormatting xmlns:xm="http://schemas.microsoft.com/office/excel/2006/main">
          <x14:cfRule type="expression" priority="592" id="{C4B4EE8E-AC13-4D20-987A-74F1095625C6}">
            <xm:f>OR(AND($E$195="Prepay Multi Yr Under",$C$194="Yes",$C$197&lt;&gt;"No"),AND($E$195="Prepay Multi Yr Under",$C$194="Yes",$C$197="No",AND(Welcome!$D$16&lt;4,Welcome!$D$16&lt;&gt;"Select Term")),$E$195&lt;&gt;"Prepay Multi Yr Under")</xm:f>
            <x14:dxf>
              <fill>
                <patternFill>
                  <bgColor theme="0" tint="-0.24994659260841701"/>
                </patternFill>
              </fill>
            </x14:dxf>
          </x14:cfRule>
          <xm:sqref>M201</xm:sqref>
        </x14:conditionalFormatting>
        <x14:conditionalFormatting xmlns:xm="http://schemas.microsoft.com/office/excel/2006/main">
          <x14:cfRule type="expression" priority="591" id="{7A530F38-8B9C-4FBE-9E01-6125750D2856}">
            <xm:f>OR(AND($E$195="Prepay Multi Yr Under",$C$194="Yes",$C$197&lt;&gt;"No"),AND($E$195="Prepay Multi Yr Under",$C$194="Yes",$C$197="No",AND(Welcome!$D$16&lt;5,Welcome!$D$16&lt;&gt;"Select Term")),$E$195&lt;&gt;"Prepay Multi Yr Under")</xm:f>
            <x14:dxf>
              <fill>
                <patternFill>
                  <bgColor theme="0" tint="-0.24994659260841701"/>
                </patternFill>
              </fill>
            </x14:dxf>
          </x14:cfRule>
          <xm:sqref>M202</xm:sqref>
        </x14:conditionalFormatting>
        <x14:conditionalFormatting xmlns:xm="http://schemas.microsoft.com/office/excel/2006/main">
          <x14:cfRule type="expression" priority="589" id="{EE27DD83-6850-4BD5-9D20-470E872D2F9F}">
            <xm:f>OR(AND($E$207="Prepay Multi Yr Under",$C$206="Yes",$C$209&lt;&gt;"No"),AND($E$207="Prepay Multi Yr Under",AND(Welcome!$D$16&lt;=1,Welcome!$D$16&lt;&gt;"Select Term"),$C$206="Yes",$C$209="No"),$E$207&lt;&gt;"Prepay Multi Yr Under")</xm:f>
            <x14:dxf>
              <fill>
                <patternFill>
                  <bgColor theme="0" tint="-0.24994659260841701"/>
                </patternFill>
              </fill>
            </x14:dxf>
          </x14:cfRule>
          <xm:sqref>M211</xm:sqref>
        </x14:conditionalFormatting>
        <x14:conditionalFormatting xmlns:xm="http://schemas.microsoft.com/office/excel/2006/main">
          <x14:cfRule type="expression" priority="1068" id="{00000000-000E-0000-0400-0000DA010000}">
            <xm:f>OR(AND($E$207="Prepay Multi Yr Under",$C$206="Yes",$C$209&lt;&gt;"No"),$E$207&lt;&gt;"Prepay Multi Yr Under",AND($E$207="Prepay Multi Yr Under",AND(Welcome!$D$16&lt;3,Welcome!$D$16&lt;&gt;"Select Term"),$C$206="Yes",$C$209="No"))</xm:f>
            <x14:dxf>
              <fill>
                <patternFill>
                  <bgColor theme="0" tint="-0.24994659260841701"/>
                </patternFill>
              </fill>
            </x14:dxf>
          </x14:cfRule>
          <xm:sqref>M212</xm:sqref>
        </x14:conditionalFormatting>
        <x14:conditionalFormatting xmlns:xm="http://schemas.microsoft.com/office/excel/2006/main">
          <x14:cfRule type="expression" priority="588" id="{99C6B6E7-EF72-4A6D-B7E0-E318F63471AB}">
            <xm:f>OR(AND($E$207="Prepay Multi Yr Under",$C$206="Yes",$C$209&lt;&gt;"No"),AND($E$207="Prepay Multi Yr Under",AND(Welcome!$D$16&lt;4,Welcome!$D$16&lt;&gt;"Select Term"),$C$206="Yes",$C$209="No"),$E$207&lt;&gt;"Prepay Multi Yr Under")</xm:f>
            <x14:dxf>
              <fill>
                <patternFill>
                  <bgColor theme="0" tint="-0.24994659260841701"/>
                </patternFill>
              </fill>
            </x14:dxf>
          </x14:cfRule>
          <xm:sqref>M213</xm:sqref>
        </x14:conditionalFormatting>
        <x14:conditionalFormatting xmlns:xm="http://schemas.microsoft.com/office/excel/2006/main">
          <x14:cfRule type="expression" priority="587" id="{E273B239-1D0C-4548-B12A-CFFEFE7DCF46}">
            <xm:f>OR(AND($E$207="Prepay Multi Yr Under",$C$206="Yes",$C$209&lt;&gt;"No"),AND($E$207="Prepay Multi Yr Under",AND(Welcome!$D$16&lt;5,Welcome!$D$16&lt;&gt;"Select Term"),$C$206="Yes",$C$209="No"),$E$207&lt;&gt;"Prepay Multi Yr Under")</xm:f>
            <x14:dxf>
              <fill>
                <patternFill>
                  <bgColor theme="0" tint="-0.24994659260841701"/>
                </patternFill>
              </fill>
            </x14:dxf>
          </x14:cfRule>
          <xm:sqref>M214</xm:sqref>
        </x14:conditionalFormatting>
        <x14:conditionalFormatting xmlns:xm="http://schemas.microsoft.com/office/excel/2006/main">
          <x14:cfRule type="expression" priority="568" id="{EDC469E7-222F-4E10-9401-B17D216861A4}">
            <xm:f>AND($E$195="Multi Payment Prepaid Incentive",$E$195&lt;&gt;"Please Select",AND(TYPE(Welcome!$D$16)&lt;&gt;2,Welcome!$D$16&gt;0,Welcome!$D$16&lt;&gt;"Select Term"),$C$194&lt;&gt;"Yes")</xm:f>
            <x14:dxf>
              <fill>
                <patternFill>
                  <bgColor rgb="FFFFFF00"/>
                </patternFill>
              </fill>
            </x14:dxf>
          </x14:cfRule>
          <xm:sqref>K198</xm:sqref>
        </x14:conditionalFormatting>
        <x14:conditionalFormatting xmlns:xm="http://schemas.microsoft.com/office/excel/2006/main">
          <x14:cfRule type="expression" priority="567" id="{4C99482C-B296-4B08-BB36-8B1146F24B8D}">
            <xm:f>AND($E$195="Multi Payment Prepaid Incentive",$E$195&lt;&gt;"Please Select",AND(TYPE(Welcome!$D$16)&lt;&gt;2,Welcome!$D$16&gt;1,Welcome!$D$16&lt;&gt;"Select Term"),$C$194&lt;&gt;"Yes")</xm:f>
            <x14:dxf>
              <fill>
                <patternFill>
                  <bgColor rgb="FFFFFF00"/>
                </patternFill>
              </fill>
            </x14:dxf>
          </x14:cfRule>
          <xm:sqref>K199</xm:sqref>
        </x14:conditionalFormatting>
        <x14:conditionalFormatting xmlns:xm="http://schemas.microsoft.com/office/excel/2006/main">
          <x14:cfRule type="expression" priority="566" id="{EC1ABAD2-E2F5-448B-A21A-1DB44861B782}">
            <xm:f>AND($E$195="Multi Payment Prepaid Incentive",$E$195&lt;&gt;"Please Select",AND(TYPE(Welcome!$D$16)&lt;&gt;2,Welcome!$D$16&gt;2,Welcome!$D$16&lt;&gt;"Select Term"),$C$194&lt;&gt;"Yes")</xm:f>
            <x14:dxf>
              <fill>
                <patternFill>
                  <bgColor rgb="FFFFFF00"/>
                </patternFill>
              </fill>
            </x14:dxf>
          </x14:cfRule>
          <xm:sqref>K200</xm:sqref>
        </x14:conditionalFormatting>
        <x14:conditionalFormatting xmlns:xm="http://schemas.microsoft.com/office/excel/2006/main">
          <x14:cfRule type="expression" priority="565" id="{9BCD8A3C-83C8-48FF-9961-B9F8B2FFF6F4}">
            <xm:f>AND($E$195="Multi Payment Prepaid Incentive",$E$195&lt;&gt;"Please Select",AND(TYPE(Welcome!$D$16)&lt;&gt;2,Welcome!$D$16&gt;3,Welcome!$D$16&lt;&gt;"Select Term"),$C$194&lt;&gt;"Yes")</xm:f>
            <x14:dxf>
              <fill>
                <patternFill>
                  <bgColor rgb="FFFFFF00"/>
                </patternFill>
              </fill>
            </x14:dxf>
          </x14:cfRule>
          <xm:sqref>K201</xm:sqref>
        </x14:conditionalFormatting>
        <x14:conditionalFormatting xmlns:xm="http://schemas.microsoft.com/office/excel/2006/main">
          <x14:cfRule type="expression" priority="564" id="{35889F0B-B317-47F7-81C7-2FA0AFAA2C3B}">
            <xm:f>AND($E$195="Multi Payment Prepaid Incentive",$E$195&lt;&gt;"Please Select",AND(TYPE(Welcome!$D$16)&lt;&gt;2,Welcome!$D$16&gt;4,Welcome!$D$16&lt;&gt;"Select Term"),$C$194&lt;&gt;"Yes")</xm:f>
            <x14:dxf>
              <fill>
                <patternFill>
                  <bgColor rgb="FFFFFF00"/>
                </patternFill>
              </fill>
            </x14:dxf>
          </x14:cfRule>
          <xm:sqref>K202</xm:sqref>
        </x14:conditionalFormatting>
        <x14:conditionalFormatting xmlns:xm="http://schemas.microsoft.com/office/excel/2006/main">
          <x14:cfRule type="expression" priority="563" id="{CBCD70E8-FCD5-4A15-95B4-6A6DF910E5A2}">
            <xm:f>AND($E$207="Multi Payment Prepaid Incentive",$E$207&lt;&gt;"Please Select",AND(TYPE(Welcome!$D$16)&lt;&gt;2,Welcome!$D$16&gt;0,Welcome!$D$16&lt;&gt;"Select Term"),$C$206&lt;&gt;"Yes")</xm:f>
            <x14:dxf>
              <fill>
                <patternFill>
                  <bgColor rgb="FFFFFF00"/>
                </patternFill>
              </fill>
            </x14:dxf>
          </x14:cfRule>
          <xm:sqref>K210</xm:sqref>
        </x14:conditionalFormatting>
        <x14:conditionalFormatting xmlns:xm="http://schemas.microsoft.com/office/excel/2006/main">
          <x14:cfRule type="expression" priority="562" id="{D12BF103-8637-4CD5-8B83-77350D714436}">
            <xm:f>AND($E$207="Multi Payment Prepaid Incentive",$E$207&lt;&gt;"Please Select",AND(TYPE(Welcome!$D$16)&lt;&gt;2,Welcome!$D$16&gt;1,Welcome!$D$16&lt;&gt;"Select Term"),$C$206&lt;&gt;"Yes")</xm:f>
            <x14:dxf>
              <fill>
                <patternFill>
                  <bgColor rgb="FFFFFF00"/>
                </patternFill>
              </fill>
            </x14:dxf>
          </x14:cfRule>
          <xm:sqref>K211</xm:sqref>
        </x14:conditionalFormatting>
        <x14:conditionalFormatting xmlns:xm="http://schemas.microsoft.com/office/excel/2006/main">
          <x14:cfRule type="expression" priority="561" id="{B8EC1DDC-2250-4230-9CE7-8BAC6561807B}">
            <xm:f>AND($E$207="Multi Payment Prepaid Incentive",$E$207&lt;&gt;"Please Select",AND(TYPE(Welcome!$D$16)&lt;&gt;2,Welcome!$D$16&gt;2,Welcome!$D$16&lt;&gt;"Select Term"),$C$206&lt;&gt;"Yes")</xm:f>
            <x14:dxf>
              <fill>
                <patternFill>
                  <bgColor rgb="FFFFFF00"/>
                </patternFill>
              </fill>
            </x14:dxf>
          </x14:cfRule>
          <xm:sqref>K212</xm:sqref>
        </x14:conditionalFormatting>
        <x14:conditionalFormatting xmlns:xm="http://schemas.microsoft.com/office/excel/2006/main">
          <x14:cfRule type="expression" priority="560" id="{08782B19-FD93-4FF1-B4C6-DACDA29341AD}">
            <xm:f>AND($E$207="Multi Payment Prepaid Incentive",$E$207&lt;&gt;"Please Select",AND(TYPE(Welcome!$D$16)&lt;&gt;2,Welcome!$D$16&gt;3,Welcome!$D$16&lt;&gt;"Select Term"),$C$206&lt;&gt;"Yes")</xm:f>
            <x14:dxf>
              <fill>
                <patternFill>
                  <bgColor rgb="FFFFFF00"/>
                </patternFill>
              </fill>
            </x14:dxf>
          </x14:cfRule>
          <xm:sqref>K213</xm:sqref>
        </x14:conditionalFormatting>
        <x14:conditionalFormatting xmlns:xm="http://schemas.microsoft.com/office/excel/2006/main">
          <x14:cfRule type="expression" priority="559" id="{C810E1EE-C4C1-4EC9-AACE-8944433CDD3D}">
            <xm:f>AND($E$207="Multi Payment Prepaid Incentive",$E$207&lt;&gt;"Please Select",AND(TYPE(Welcome!$D$16)&lt;&gt;2,Welcome!$D$16&gt;4,Welcome!$D$16&lt;&gt;"Select Term"),$C$206&lt;&gt;"Yes")</xm:f>
            <x14:dxf>
              <fill>
                <patternFill>
                  <bgColor rgb="FFFFFF00"/>
                </patternFill>
              </fill>
            </x14:dxf>
          </x14:cfRule>
          <xm:sqref>K214</xm:sqref>
        </x14:conditionalFormatting>
        <x14:conditionalFormatting xmlns:xm="http://schemas.microsoft.com/office/excel/2006/main">
          <x14:cfRule type="expression" priority="509" id="{5C2F5EC5-8080-4544-8C09-3B4081ADDF67}">
            <xm:f>Welcome!$D$10="PON Only"</xm:f>
            <x14:dxf>
              <fill>
                <patternFill>
                  <bgColor theme="0" tint="-0.24994659260841701"/>
                </patternFill>
              </fill>
            </x14:dxf>
          </x14:cfRule>
          <xm:sqref>E6</xm:sqref>
        </x14:conditionalFormatting>
        <x14:conditionalFormatting xmlns:xm="http://schemas.microsoft.com/office/excel/2006/main">
          <x14:cfRule type="expression" priority="501" id="{8DBDC46E-93A2-4684-B572-C04995A48200}">
            <xm:f>AND($C$175&lt;&gt;"Yes",$K$179&gt;ROUNDUP((((VLOOKUP('Variable Selling'!$A$2,'CC MARKET EXPENSE'!$A:$D,4,0))*100)*VLOOKUP(D174,'Incentive Helper'!$A:$B,2,0)/100)/0.25,0)*0.25/100)</xm:f>
            <x14:dxf>
              <font>
                <color rgb="FFFF0000"/>
              </font>
              <fill>
                <patternFill>
                  <bgColor rgb="FFFFFF00"/>
                </patternFill>
              </fill>
              <border>
                <left style="thin">
                  <color auto="1"/>
                </left>
                <right style="thin">
                  <color auto="1"/>
                </right>
                <top style="thin">
                  <color auto="1"/>
                </top>
                <bottom style="thin">
                  <color auto="1"/>
                </bottom>
              </border>
            </x14:dxf>
          </x14:cfRule>
          <xm:sqref>M177:M180</xm:sqref>
        </x14:conditionalFormatting>
        <x14:conditionalFormatting xmlns:xm="http://schemas.microsoft.com/office/excel/2006/main">
          <x14:cfRule type="expression" priority="353" id="{6C6BC44D-D513-4009-8CA3-C602CD2E0E87}">
            <xm:f>AND($C$175&lt;&gt;"Yes",$K$179&gt;ROUNDUP((((VLOOKUP('Variable Selling'!$A$2,'CC MARKET EXPENSE'!$A:$D,4,0))*100)*VLOOKUP(D445,'Incentive Helper'!$A:$B,2,0)/100)/0.25,0)*0.25/100)</xm:f>
            <x14:dxf>
              <font>
                <color rgb="FFFF0000"/>
              </font>
              <fill>
                <patternFill>
                  <bgColor rgb="FFFFFF00"/>
                </patternFill>
              </fill>
              <border>
                <left style="thin">
                  <color auto="1"/>
                </left>
                <right style="thin">
                  <color auto="1"/>
                </right>
                <top style="thin">
                  <color auto="1"/>
                </top>
                <bottom style="thin">
                  <color auto="1"/>
                </bottom>
              </border>
            </x14:dxf>
          </x14:cfRule>
          <xm:sqref>M448</xm:sqref>
        </x14:conditionalFormatting>
      </x14:conditionalFormattings>
    </ext>
    <ext xmlns:x14="http://schemas.microsoft.com/office/spreadsheetml/2009/9/main" uri="{CCE6A557-97BC-4b89-ADB6-D9C93CAAB3DF}">
      <x14:dataValidations xmlns:xm="http://schemas.microsoft.com/office/excel/2006/main" count="7">
        <x14:dataValidation type="date" operator="lessThanOrEqual" allowBlank="1" showInputMessage="1" showErrorMessage="1" error="Incentive Expiration date should not be greater than Agreement Expiration Date" xr:uid="{84308CB2-BA3F-4B5E-B09E-54C1608BCB03}">
          <x14:formula1>
            <xm:f>'Required Info to Submit'!$F$17</xm:f>
          </x14:formula1>
          <xm:sqref>E187</xm:sqref>
        </x14:dataValidation>
        <x14:dataValidation type="custom" operator="lessThanOrEqual" allowBlank="1" showInputMessage="1" showErrorMessage="1" error="Incentive Expiration date should not be less than Incentive Effective Date" xr:uid="{8CE1DC7B-8FA9-410D-AB8A-41D24C6D3EDA}">
          <x14:formula1>
            <xm:f>AND(E179&lt;='Required Info to Submit'!$F$17,E179&gt;E178)</xm:f>
          </x14:formula1>
          <xm:sqref>E179 E439 E447 E455 E463 E471</xm:sqref>
        </x14:dataValidation>
        <x14:dataValidation type="date" operator="greaterThanOrEqual" allowBlank="1" showInputMessage="1" showErrorMessage="1" error="The Incentive Effective Date cannot be less than Agreement Effective Date" xr:uid="{2AF75404-0BB1-49BF-A045-40CDFA9593B1}">
          <x14:formula1>
            <xm:f>'Required Info to Submit'!$F$14</xm:f>
          </x14:formula1>
          <xm:sqref>E16 E30 E44 E58 E72 E138 E100 E197 E154 E114 E86 E146 E209 E162 E178 E186 E130 E122 E438 E446 E454 E462 E470</xm:sqref>
        </x14:dataValidation>
        <x14:dataValidation type="date" operator="greaterThan" allowBlank="1" showInputMessage="1" showErrorMessage="1" error="The Incentive Effective Date cannot be less than Agreement Effective Date" xr:uid="{A3FA20E7-86CF-45E8-92D5-85E0AB63CE07}">
          <x14:formula1>
            <xm:f>'Required Info to Submit'!$F$14</xm:f>
          </x14:formula1>
          <xm:sqref>E221</xm:sqref>
        </x14:dataValidation>
        <x14:dataValidation type="custom" operator="lessThanOrEqual" allowBlank="1" showInputMessage="1" showErrorMessage="1" error="Incentive Expiration date should not be greater than Agreement Expiration Date and less than Incentive Effective Date" xr:uid="{6F635959-6DF8-4EFC-B29D-26081D1471F7}">
          <x14:formula1>
            <xm:f>AND(E17&lt;='Required Info to Submit'!$F$17,E17&gt;E16)</xm:f>
          </x14:formula1>
          <xm:sqref>E17 E45 E59 E73 E87 E155 E163 E171 E31</xm:sqref>
        </x14:dataValidation>
        <x14:dataValidation type="date" operator="lessThanOrEqual" allowBlank="1" showInputMessage="1" showErrorMessage="1" error="Incentive Expiration date should not be greater than Agreement Expiration Date and less than Incentive Effective Date" xr:uid="{DFFB97CB-1EB6-4130-9E40-246B99DBC35B}">
          <x14:formula1>
            <xm:f>AND(E101&lt;='Required Info to Submit'!$F$17,E101&gt;E100)</xm:f>
          </x14:formula1>
          <xm:sqref>E222 E101 E210</xm:sqref>
        </x14:dataValidation>
        <x14:dataValidation type="date" operator="lessThanOrEqual" allowBlank="1" showInputMessage="1" showErrorMessage="1" error="Incentive Expiration date should not be greater than Agreement Expiration Date and less than Incentive Effective Date" xr:uid="{3A55301D-1306-4AA8-BF98-402EE4F43B23}">
          <x14:formula1>
            <xm:f>AND(E198&lt;='Required Info to Submit'!$F$208,E17&gt;E197)</xm:f>
          </x14:formula1>
          <xm:sqref>E198</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 sqref="E1"/>
    </sheetView>
  </sheetViews>
  <sheetFormatPr defaultRowHeight="15" x14ac:dyDescent="0.25"/>
  <sheetData>
    <row r="1" spans="1:1" x14ac:dyDescent="0.25">
      <c r="A1" s="667"/>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41"/>
  <sheetViews>
    <sheetView showGridLines="0" topLeftCell="A2"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568"/>
      <c r="C2" s="1905" t="s">
        <v>210</v>
      </c>
      <c r="D2" s="1905"/>
      <c r="E2" s="1905"/>
      <c r="F2" s="401"/>
      <c r="G2" s="172"/>
      <c r="H2" s="172"/>
      <c r="I2" s="172"/>
      <c r="J2" s="172"/>
      <c r="K2" s="172"/>
      <c r="L2" s="175"/>
    </row>
    <row r="3" spans="2:23" x14ac:dyDescent="0.25">
      <c r="B3" s="178"/>
      <c r="C3" s="1909" t="s">
        <v>1156</v>
      </c>
      <c r="D3" s="1910"/>
      <c r="E3" s="321" t="str">
        <f>Welcome!$D$10</f>
        <v>Please Select</v>
      </c>
      <c r="F3" s="324"/>
      <c r="G3" s="374" t="s">
        <v>110</v>
      </c>
      <c r="H3" s="1907" t="str">
        <f>IFERROR(VLOOKUP($H$4,'Market Geography'!$D:$G,4,FALSE),"Select Market")</f>
        <v>Select Market</v>
      </c>
      <c r="I3" s="1907"/>
      <c r="J3" s="1907"/>
      <c r="K3" s="1908"/>
      <c r="L3" s="179"/>
    </row>
    <row r="4" spans="2:23" x14ac:dyDescent="0.25">
      <c r="B4" s="178"/>
      <c r="C4" s="1896" t="s">
        <v>1157</v>
      </c>
      <c r="D4" s="1897"/>
      <c r="E4" s="290" t="str">
        <f>Welcome!$D$16</f>
        <v>Select Term</v>
      </c>
      <c r="F4" s="402"/>
      <c r="G4" s="375" t="s">
        <v>840</v>
      </c>
      <c r="H4" s="1892">
        <f>Welcome!$D$4</f>
        <v>0</v>
      </c>
      <c r="I4" s="1892"/>
      <c r="J4" s="1892"/>
      <c r="K4" s="1893"/>
      <c r="L4" s="179"/>
    </row>
    <row r="5" spans="2:23" x14ac:dyDescent="0.25">
      <c r="B5" s="178"/>
      <c r="C5" s="1896" t="s">
        <v>1162</v>
      </c>
      <c r="D5" s="1897"/>
      <c r="E5" s="143">
        <f>'PIM Model'!$G$31</f>
        <v>0</v>
      </c>
      <c r="F5" s="403"/>
      <c r="G5" s="375" t="s">
        <v>107</v>
      </c>
      <c r="H5" s="1892" t="str">
        <f>'Multi-Customer'!$S$49</f>
        <v>Enter Customer(s)</v>
      </c>
      <c r="I5" s="1892"/>
      <c r="J5" s="1892"/>
      <c r="K5" s="1893"/>
      <c r="L5" s="179"/>
    </row>
    <row r="6" spans="2:23" x14ac:dyDescent="0.25">
      <c r="B6" s="178"/>
      <c r="C6" s="1896" t="s">
        <v>1163</v>
      </c>
      <c r="D6" s="1897"/>
      <c r="E6" s="144">
        <f>'PIM Model'!$E$6</f>
        <v>0</v>
      </c>
      <c r="F6" s="324"/>
      <c r="G6" s="375" t="s">
        <v>1170</v>
      </c>
      <c r="H6" s="1892" t="str">
        <f>IF('Multi-Customer'!$AL$40 = "MULTIPLE MENU TYPES","MULTIPLE TYPES",'Multi-Customer'!$AH$40)</f>
        <v>MULTIPLE TYPES</v>
      </c>
      <c r="I6" s="1892"/>
      <c r="J6" s="1892"/>
      <c r="K6" s="1893"/>
      <c r="L6" s="179"/>
      <c r="R6" s="404"/>
    </row>
    <row r="7" spans="2:23" ht="15.75" thickBot="1" x14ac:dyDescent="0.3">
      <c r="B7" s="178"/>
      <c r="C7" s="1898" t="s">
        <v>1164</v>
      </c>
      <c r="D7" s="1899"/>
      <c r="E7" s="322">
        <f>IFERROR('PIM Ranges'!$AW$3,0)</f>
        <v>0</v>
      </c>
      <c r="F7" s="177"/>
      <c r="G7" s="376" t="s">
        <v>1165</v>
      </c>
      <c r="H7" s="1894" t="s">
        <v>206</v>
      </c>
      <c r="I7" s="1894"/>
      <c r="J7" s="1894"/>
      <c r="K7" s="1895"/>
      <c r="L7" s="179"/>
      <c r="P7" s="177"/>
      <c r="Q7" s="153"/>
      <c r="R7" s="405"/>
      <c r="S7" s="134"/>
      <c r="T7" s="153"/>
      <c r="U7" s="177"/>
      <c r="V7" s="153"/>
      <c r="W7" s="177"/>
    </row>
    <row r="8" spans="2:23" ht="13.9" customHeight="1" x14ac:dyDescent="0.25">
      <c r="B8" s="178"/>
      <c r="D8" s="136"/>
      <c r="E8" s="1816"/>
      <c r="F8" s="1816"/>
      <c r="G8"/>
      <c r="H8"/>
      <c r="I8" s="331"/>
      <c r="J8" s="27"/>
      <c r="K8" s="27"/>
      <c r="L8" s="179"/>
      <c r="P8" s="177"/>
      <c r="Q8" s="136"/>
      <c r="R8" s="406"/>
      <c r="S8" s="134"/>
      <c r="T8" s="211"/>
      <c r="U8" s="177"/>
      <c r="V8" s="212"/>
      <c r="W8" s="177"/>
    </row>
    <row r="9" spans="2:23" ht="13.9" customHeight="1" x14ac:dyDescent="0.25">
      <c r="B9" s="178"/>
      <c r="C9" s="248"/>
      <c r="D9" s="407"/>
      <c r="E9" s="184"/>
      <c r="F9" s="183"/>
      <c r="G9" s="183"/>
      <c r="H9" s="183"/>
      <c r="I9" s="408"/>
      <c r="J9" s="408"/>
      <c r="K9" s="409"/>
      <c r="L9" s="179"/>
      <c r="P9" s="177"/>
      <c r="Q9" s="136"/>
      <c r="R9" s="406"/>
      <c r="S9" s="134"/>
      <c r="T9" s="211"/>
      <c r="U9" s="177"/>
      <c r="V9" s="212"/>
      <c r="W9" s="177"/>
    </row>
    <row r="10" spans="2:23" ht="26.45" customHeight="1" x14ac:dyDescent="0.25">
      <c r="B10" s="178"/>
      <c r="C10" s="243"/>
      <c r="D10" s="6" t="s">
        <v>125</v>
      </c>
      <c r="E10" s="534" t="s">
        <v>1166</v>
      </c>
      <c r="F10" s="188"/>
      <c r="G10" s="534" t="s">
        <v>1167</v>
      </c>
      <c r="H10" s="188"/>
      <c r="I10" s="1900" t="s">
        <v>843</v>
      </c>
      <c r="J10" s="1900"/>
      <c r="K10" s="244"/>
      <c r="L10" s="179"/>
      <c r="P10" s="177"/>
      <c r="Q10" s="177"/>
      <c r="R10" s="410"/>
      <c r="S10" s="177"/>
      <c r="T10" s="177"/>
      <c r="U10" s="177"/>
      <c r="V10" s="177"/>
      <c r="W10" s="177"/>
    </row>
    <row r="11" spans="2:23" ht="23.45" customHeight="1" x14ac:dyDescent="0.25">
      <c r="B11" s="178"/>
      <c r="C11" s="243"/>
      <c r="D11" s="411" t="s">
        <v>1254</v>
      </c>
      <c r="E11" s="412">
        <f>IFERROR('Variable Costs (Back)'!$AI$35,0)</f>
        <v>0</v>
      </c>
      <c r="F11" s="188"/>
      <c r="G11" s="413">
        <f>IFERROR(E11/'PIM Model'!$H$31,0)</f>
        <v>0</v>
      </c>
      <c r="H11" s="188"/>
      <c r="I11" s="1901" t="str">
        <f>IFERROR($E11/$E$5,"")</f>
        <v/>
      </c>
      <c r="J11" s="1901"/>
      <c r="K11" s="244"/>
      <c r="L11" s="179"/>
      <c r="R11" s="404"/>
    </row>
    <row r="12" spans="2:23" ht="36" customHeight="1" x14ac:dyDescent="0.25">
      <c r="B12" s="178"/>
      <c r="C12" s="243"/>
      <c r="D12" s="1902" t="s">
        <v>677</v>
      </c>
      <c r="E12" s="1902"/>
      <c r="F12" s="414"/>
      <c r="G12" s="415"/>
      <c r="H12" s="188"/>
      <c r="I12" s="416"/>
      <c r="J12" s="417"/>
      <c r="K12" s="244"/>
      <c r="L12" s="179"/>
    </row>
    <row r="13" spans="2:23" s="613" customFormat="1" ht="23.45" customHeight="1" x14ac:dyDescent="0.25">
      <c r="B13" s="178"/>
      <c r="C13" s="243"/>
      <c r="D13" s="411" t="s">
        <v>1097</v>
      </c>
      <c r="E13" s="412">
        <f>'Tracking &amp; Profitability'!E27*-1</f>
        <v>0</v>
      </c>
      <c r="F13" s="188"/>
      <c r="G13" s="413">
        <f>'Tracking &amp; Profitability'!G27*-1</f>
        <v>0</v>
      </c>
      <c r="H13" s="188"/>
      <c r="I13" s="1901" t="str">
        <f>IFERROR(E13/E5,"")</f>
        <v/>
      </c>
      <c r="J13" s="1901"/>
      <c r="K13" s="244"/>
      <c r="L13" s="179"/>
    </row>
    <row r="14" spans="2:23" s="613" customFormat="1" ht="36.6" customHeight="1" x14ac:dyDescent="0.25">
      <c r="B14" s="178"/>
      <c r="C14" s="243"/>
      <c r="D14" s="1902" t="s">
        <v>1098</v>
      </c>
      <c r="E14" s="1902"/>
      <c r="F14" s="414"/>
      <c r="G14" s="415"/>
      <c r="H14" s="188"/>
      <c r="I14" s="416"/>
      <c r="J14" s="417"/>
      <c r="K14" s="244"/>
      <c r="L14" s="179"/>
    </row>
    <row r="15" spans="2:23" ht="23.45" customHeight="1" x14ac:dyDescent="0.25">
      <c r="B15" s="178"/>
      <c r="C15" s="243"/>
      <c r="D15" s="411" t="s">
        <v>1168</v>
      </c>
      <c r="E15" s="412">
        <f>IFERROR('Variable Costs (Back)'!$AJ$35,0)</f>
        <v>0</v>
      </c>
      <c r="F15" s="188"/>
      <c r="G15" s="413">
        <f>IFERROR(E15/'PIM Model'!$H$31,0)</f>
        <v>0</v>
      </c>
      <c r="H15" s="188"/>
      <c r="I15" s="1901" t="str">
        <f>IFERROR($E15/$E$5,"")</f>
        <v/>
      </c>
      <c r="J15" s="1901"/>
      <c r="K15" s="244"/>
      <c r="L15" s="179"/>
    </row>
    <row r="16" spans="2:23" ht="26.45" customHeight="1" x14ac:dyDescent="0.25">
      <c r="B16" s="178"/>
      <c r="C16" s="243"/>
      <c r="D16" s="1891" t="s">
        <v>679</v>
      </c>
      <c r="E16" s="1891"/>
      <c r="F16" s="414"/>
      <c r="G16" s="415"/>
      <c r="H16" s="188"/>
      <c r="I16" s="416"/>
      <c r="J16" s="417"/>
      <c r="K16" s="244"/>
      <c r="L16" s="179"/>
    </row>
    <row r="17" spans="2:12" ht="23.45" customHeight="1" x14ac:dyDescent="0.25">
      <c r="B17" s="178"/>
      <c r="C17" s="243"/>
      <c r="D17" s="411" t="s">
        <v>1169</v>
      </c>
      <c r="E17" s="412">
        <f>IFERROR('Variable Costs (Back)'!$AH$35,0)</f>
        <v>0</v>
      </c>
      <c r="F17" s="188"/>
      <c r="G17" s="413">
        <f>IFERROR(E17/'PIM Model'!$H$31,0)</f>
        <v>0</v>
      </c>
      <c r="H17" s="188"/>
      <c r="I17" s="1901" t="str">
        <f>IFERROR($E17/$E$5,"")</f>
        <v/>
      </c>
      <c r="J17" s="1901"/>
      <c r="K17" s="244"/>
      <c r="L17" s="179"/>
    </row>
    <row r="18" spans="2:12" ht="25.9" customHeight="1" x14ac:dyDescent="0.25">
      <c r="B18" s="178"/>
      <c r="C18" s="243"/>
      <c r="D18" s="1891" t="s">
        <v>678</v>
      </c>
      <c r="E18" s="1903"/>
      <c r="F18" s="414"/>
      <c r="G18" s="415"/>
      <c r="H18" s="188"/>
      <c r="I18" s="417"/>
      <c r="J18" s="417"/>
      <c r="K18" s="244"/>
      <c r="L18" s="179"/>
    </row>
    <row r="19" spans="2:12" ht="25.15" customHeight="1" x14ac:dyDescent="0.25">
      <c r="B19" s="178"/>
      <c r="C19" s="243"/>
      <c r="D19" s="418" t="s">
        <v>228</v>
      </c>
      <c r="E19" s="419">
        <f>IFERROR(E11+E15+E17+E13,0)</f>
        <v>0</v>
      </c>
      <c r="F19" s="188"/>
      <c r="G19" s="420">
        <f>IFERROR(E19/'PIM Model'!$H$31,0)</f>
        <v>0</v>
      </c>
      <c r="H19" s="421"/>
      <c r="I19" s="1904" t="str">
        <f>IFERROR($E19/$E$5,"")</f>
        <v/>
      </c>
      <c r="J19" s="1904"/>
      <c r="K19" s="244"/>
      <c r="L19" s="179"/>
    </row>
    <row r="20" spans="2:12" s="1393" customFormat="1" ht="25.15" customHeight="1" x14ac:dyDescent="0.25">
      <c r="B20" s="178"/>
      <c r="C20" s="243"/>
      <c r="D20" s="414"/>
      <c r="E20" s="414"/>
      <c r="F20" s="414"/>
      <c r="G20" s="414"/>
      <c r="H20" s="414"/>
      <c r="I20" s="414"/>
      <c r="J20" s="414"/>
      <c r="K20" s="244"/>
      <c r="L20" s="179"/>
    </row>
    <row r="21" spans="2:12" s="1393" customFormat="1" ht="25.15" customHeight="1" x14ac:dyDescent="0.25">
      <c r="B21" s="178"/>
      <c r="C21" s="243"/>
      <c r="D21" s="418" t="s">
        <v>2071</v>
      </c>
      <c r="E21" s="419">
        <f>IFERROR('Variable Costs (Back)'!$AK$35,0)</f>
        <v>0</v>
      </c>
      <c r="F21" s="188"/>
      <c r="G21" s="420">
        <f>IFERROR(E21/'PIM Model'!$H$31,0)</f>
        <v>0</v>
      </c>
      <c r="H21" s="421"/>
      <c r="I21" s="1904" t="str">
        <f>IFERROR($E21/$E$5,"")</f>
        <v/>
      </c>
      <c r="J21" s="1904"/>
      <c r="K21" s="244"/>
      <c r="L21" s="179"/>
    </row>
    <row r="22" spans="2:12" ht="13.9" customHeight="1" x14ac:dyDescent="0.25">
      <c r="B22" s="178"/>
      <c r="C22" s="245"/>
      <c r="D22" s="231"/>
      <c r="E22" s="231"/>
      <c r="F22" s="231"/>
      <c r="G22" s="231"/>
      <c r="H22" s="231"/>
      <c r="I22" s="422"/>
      <c r="J22" s="422"/>
      <c r="K22" s="246"/>
      <c r="L22" s="179"/>
    </row>
    <row r="23" spans="2:12" s="177" customFormat="1" ht="13.9" customHeight="1" x14ac:dyDescent="0.25">
      <c r="B23" s="423"/>
      <c r="L23" s="182"/>
    </row>
    <row r="24" spans="2:12" ht="13.9" customHeight="1" x14ac:dyDescent="0.25">
      <c r="B24" s="178"/>
      <c r="C24" s="248"/>
      <c r="D24" s="183"/>
      <c r="E24" s="183"/>
      <c r="F24" s="183"/>
      <c r="G24" s="183"/>
      <c r="H24" s="183"/>
      <c r="I24" s="424"/>
      <c r="J24" s="424"/>
      <c r="K24" s="249"/>
      <c r="L24" s="179"/>
    </row>
    <row r="25" spans="2:12" ht="16.149999999999999" customHeight="1" x14ac:dyDescent="0.25">
      <c r="B25" s="178"/>
      <c r="C25" s="243"/>
      <c r="D25" s="425" t="s">
        <v>896</v>
      </c>
      <c r="E25" s="426">
        <f>'PIM Ranges'!AR33</f>
        <v>0</v>
      </c>
      <c r="F25" s="188"/>
      <c r="G25" s="427">
        <f>IFERROR(E25/'PIM Model'!$H$31,0)</f>
        <v>0</v>
      </c>
      <c r="H25" s="188"/>
      <c r="I25" s="1901" t="str">
        <f>IFERROR($E25/$E$5,"")</f>
        <v/>
      </c>
      <c r="J25" s="1901"/>
      <c r="K25" s="244"/>
      <c r="L25" s="179"/>
    </row>
    <row r="26" spans="2:12" ht="16.149999999999999" customHeight="1" x14ac:dyDescent="0.25">
      <c r="B26" s="178"/>
      <c r="C26" s="243"/>
      <c r="D26" s="1906" t="s">
        <v>879</v>
      </c>
      <c r="E26" s="1906"/>
      <c r="F26" s="414"/>
      <c r="G26" s="415"/>
      <c r="H26" s="188"/>
      <c r="I26" s="417"/>
      <c r="J26" s="417"/>
      <c r="K26" s="244"/>
      <c r="L26" s="179"/>
    </row>
    <row r="27" spans="2:12" ht="13.9" customHeight="1" x14ac:dyDescent="0.25">
      <c r="B27" s="178"/>
      <c r="C27" s="245"/>
      <c r="D27" s="428"/>
      <c r="E27" s="429"/>
      <c r="F27" s="231"/>
      <c r="G27" s="430"/>
      <c r="H27" s="231"/>
      <c r="I27" s="422"/>
      <c r="J27" s="422"/>
      <c r="K27" s="246"/>
      <c r="L27" s="179"/>
    </row>
    <row r="28" spans="2:12" ht="13.9" customHeight="1" x14ac:dyDescent="0.25">
      <c r="B28" s="178"/>
      <c r="C28" s="177"/>
      <c r="D28" s="177"/>
      <c r="E28" s="177"/>
      <c r="H28" s="177"/>
      <c r="I28" s="177"/>
      <c r="J28" s="177"/>
      <c r="K28" s="177"/>
      <c r="L28" s="179"/>
    </row>
    <row r="29" spans="2:12" ht="13.9" customHeight="1" x14ac:dyDescent="0.25">
      <c r="B29" s="178"/>
      <c r="C29" s="248"/>
      <c r="D29" s="183"/>
      <c r="E29" s="183"/>
      <c r="F29" s="183"/>
      <c r="G29" s="183"/>
      <c r="H29" s="183"/>
      <c r="I29" s="424"/>
      <c r="J29" s="424"/>
      <c r="K29" s="249"/>
      <c r="L29" s="179"/>
    </row>
    <row r="30" spans="2:12" ht="26.45" customHeight="1" x14ac:dyDescent="0.25">
      <c r="B30" s="178"/>
      <c r="C30" s="243"/>
      <c r="D30" s="6" t="s">
        <v>218</v>
      </c>
      <c r="E30" s="534" t="s">
        <v>1166</v>
      </c>
      <c r="F30" s="188"/>
      <c r="G30" s="534" t="s">
        <v>1167</v>
      </c>
      <c r="H30" s="188"/>
      <c r="I30" s="1900" t="s">
        <v>843</v>
      </c>
      <c r="J30" s="1900"/>
      <c r="K30" s="244"/>
      <c r="L30" s="179"/>
    </row>
    <row r="31" spans="2:12" ht="25.15" customHeight="1" x14ac:dyDescent="0.25">
      <c r="B31" s="178"/>
      <c r="C31" s="243"/>
      <c r="D31" s="425" t="s">
        <v>221</v>
      </c>
      <c r="E31" s="426">
        <f>'PIM Ranges'!AQ33</f>
        <v>0</v>
      </c>
      <c r="F31" s="188"/>
      <c r="G31" s="413">
        <f>IFERROR(E31/'PIM Model'!$H$31,0)</f>
        <v>0</v>
      </c>
      <c r="H31" s="188"/>
      <c r="I31" s="1901" t="str">
        <f>IFERROR($E31/$E$5,"")</f>
        <v/>
      </c>
      <c r="J31" s="1901"/>
      <c r="K31" s="244"/>
      <c r="L31" s="179"/>
    </row>
    <row r="32" spans="2:12" ht="17.45" customHeight="1" x14ac:dyDescent="0.25">
      <c r="B32" s="178"/>
      <c r="C32" s="243"/>
      <c r="D32" s="425" t="s">
        <v>220</v>
      </c>
      <c r="E32" s="426">
        <f>IFERROR(VLOOKUP($H$4,'Variable Div Avgs'!$D:$L,9,FALSE)*'PIM Model'!$H$31,0)</f>
        <v>0</v>
      </c>
      <c r="F32" s="188"/>
      <c r="G32" s="413">
        <f>IFERROR(E32/'PIM Model'!$H$31,0)</f>
        <v>0</v>
      </c>
      <c r="H32" s="188"/>
      <c r="I32" s="1901" t="str">
        <f>IFERROR($E32/$E$5,"")</f>
        <v/>
      </c>
      <c r="J32" s="1901"/>
      <c r="K32" s="244"/>
      <c r="L32" s="179"/>
    </row>
    <row r="33" spans="2:12" ht="27.6" customHeight="1" x14ac:dyDescent="0.25">
      <c r="B33" s="178"/>
      <c r="C33" s="431"/>
      <c r="D33" s="1891" t="s">
        <v>2077</v>
      </c>
      <c r="E33" s="1891"/>
      <c r="F33" s="432"/>
      <c r="G33" s="432"/>
      <c r="H33" s="432"/>
      <c r="I33" s="422"/>
      <c r="J33" s="422"/>
      <c r="K33" s="246"/>
      <c r="L33" s="179"/>
    </row>
    <row r="34" spans="2:12" s="721" customFormat="1" ht="27.6" customHeight="1" x14ac:dyDescent="0.25">
      <c r="B34" s="178"/>
      <c r="C34" s="177"/>
      <c r="D34" s="177"/>
      <c r="E34" s="177"/>
      <c r="H34" s="177"/>
      <c r="I34" s="177"/>
      <c r="J34" s="177"/>
      <c r="K34" s="177"/>
      <c r="L34" s="179"/>
    </row>
    <row r="35" spans="2:12" s="721" customFormat="1" ht="27.6" customHeight="1" x14ac:dyDescent="0.25">
      <c r="B35" s="178"/>
      <c r="C35" s="248"/>
      <c r="D35" s="183"/>
      <c r="E35" s="183"/>
      <c r="F35" s="183"/>
      <c r="G35" s="183"/>
      <c r="H35" s="183"/>
      <c r="I35" s="424"/>
      <c r="J35" s="424"/>
      <c r="K35" s="249"/>
      <c r="L35" s="179"/>
    </row>
    <row r="36" spans="2:12" s="721" customFormat="1" ht="23.25" customHeight="1" x14ac:dyDescent="0.25">
      <c r="B36" s="178"/>
      <c r="C36" s="243"/>
      <c r="D36" s="6" t="s">
        <v>1260</v>
      </c>
      <c r="E36" s="722" t="s">
        <v>264</v>
      </c>
      <c r="F36" s="188"/>
      <c r="G36" s="722" t="s">
        <v>1167</v>
      </c>
      <c r="H36" s="188"/>
      <c r="I36" s="723"/>
      <c r="J36" s="723"/>
      <c r="K36" s="244"/>
      <c r="L36" s="179"/>
    </row>
    <row r="37" spans="2:12" s="721" customFormat="1" ht="23.25" customHeight="1" x14ac:dyDescent="0.25">
      <c r="B37" s="178"/>
      <c r="C37" s="243"/>
      <c r="D37" s="425" t="s">
        <v>1962</v>
      </c>
      <c r="E37" s="725">
        <f>IFERROR(IF('Customer Inputs'!AW26&lt;'Customer Inputs'!AW27,'Customer Inputs'!AW27,'Customer Inputs'!AW26),0)</f>
        <v>0</v>
      </c>
      <c r="F37" s="188"/>
      <c r="G37" s="723"/>
      <c r="H37" s="188"/>
      <c r="I37" s="723"/>
      <c r="J37" s="723"/>
      <c r="K37" s="244"/>
      <c r="L37" s="179"/>
    </row>
    <row r="38" spans="2:12" s="721" customFormat="1" ht="22.5" customHeight="1" x14ac:dyDescent="0.25">
      <c r="B38" s="178"/>
      <c r="C38" s="243"/>
      <c r="D38" s="425" t="s">
        <v>1261</v>
      </c>
      <c r="E38" s="725">
        <f>IFERROR(IF('Customer Inputs'!AW26&lt;'Customer Inputs'!AW27,('Customer Inputs'!AY26+'Customer Inputs'!AZ26),'Customer Inputs'!AX26),0)</f>
        <v>0</v>
      </c>
      <c r="F38" s="188"/>
      <c r="G38" s="413">
        <f>IFERROR('Customer Inputs'!AW28/'PIM Model'!$H$31,0)</f>
        <v>0</v>
      </c>
      <c r="H38" s="188"/>
      <c r="I38" s="723"/>
      <c r="J38" s="723"/>
      <c r="K38" s="244"/>
      <c r="L38" s="179"/>
    </row>
    <row r="39" spans="2:12" s="721" customFormat="1" ht="27.6" customHeight="1" x14ac:dyDescent="0.25">
      <c r="B39" s="178"/>
      <c r="C39" s="431"/>
      <c r="D39" s="1891"/>
      <c r="E39" s="1891"/>
      <c r="F39" s="432"/>
      <c r="G39" s="432"/>
      <c r="H39" s="432"/>
      <c r="I39" s="422"/>
      <c r="J39" s="422"/>
      <c r="K39" s="246"/>
      <c r="L39" s="179"/>
    </row>
    <row r="40" spans="2:12" ht="21.6" customHeight="1" thickBot="1" x14ac:dyDescent="0.3">
      <c r="B40" s="537"/>
      <c r="C40" s="531"/>
      <c r="D40" s="531"/>
      <c r="E40" s="531"/>
      <c r="F40" s="531"/>
      <c r="G40" s="531"/>
      <c r="H40" s="531"/>
      <c r="I40" s="531"/>
      <c r="J40" s="531"/>
      <c r="K40" s="531"/>
      <c r="L40" s="538"/>
    </row>
    <row r="41" spans="2:12" ht="39" customHeight="1" x14ac:dyDescent="0.25"/>
  </sheetData>
  <sheetProtection algorithmName="SHA-512" hashValue="08juXzvRCa1Ij/I0dCDXEZugZX1SwEfe8L8XUYhZwqCGHlqoDkqDhIGiU0d2vqxa3eytxm3Foefl6908fcpu+A==" saltValue="4Kp+enzq88vQTaDwDcVDVw==" spinCount="100000" sheet="1" selectLockedCells="1"/>
  <mergeCells count="30">
    <mergeCell ref="C2:E2"/>
    <mergeCell ref="I31:J31"/>
    <mergeCell ref="I32:J32"/>
    <mergeCell ref="I15:J15"/>
    <mergeCell ref="I17:J17"/>
    <mergeCell ref="I19:J19"/>
    <mergeCell ref="I25:J25"/>
    <mergeCell ref="I30:J30"/>
    <mergeCell ref="D26:E26"/>
    <mergeCell ref="I11:J11"/>
    <mergeCell ref="H3:K3"/>
    <mergeCell ref="H4:K4"/>
    <mergeCell ref="H5:K5"/>
    <mergeCell ref="C3:D3"/>
    <mergeCell ref="C4:D4"/>
    <mergeCell ref="C5:D5"/>
    <mergeCell ref="D39:E39"/>
    <mergeCell ref="H6:K6"/>
    <mergeCell ref="H7:K7"/>
    <mergeCell ref="C6:D6"/>
    <mergeCell ref="C7:D7"/>
    <mergeCell ref="I10:J10"/>
    <mergeCell ref="I13:J13"/>
    <mergeCell ref="D33:E33"/>
    <mergeCell ref="E8:F8"/>
    <mergeCell ref="D16:E16"/>
    <mergeCell ref="D12:E12"/>
    <mergeCell ref="D18:E18"/>
    <mergeCell ref="D14:E14"/>
    <mergeCell ref="I21:J21"/>
  </mergeCells>
  <dataValidations count="1">
    <dataValidation type="decimal" allowBlank="1" showInputMessage="1" showErrorMessage="1" sqref="E32 E38" xr:uid="{00000000-0002-0000-0600-000000000000}">
      <formula1>#REF!</formula1>
      <formula2>C32</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5"/>
  <sheetViews>
    <sheetView showGridLines="0" zoomScale="80" zoomScaleNormal="80" zoomScaleSheetLayoutView="100" workbookViewId="0">
      <selection activeCell="E16" sqref="E16"/>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433"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627" customWidth="1"/>
    <col min="17" max="17" width="10.85546875" style="176" customWidth="1"/>
    <col min="18" max="18" width="11.5703125" style="627" bestFit="1" customWidth="1"/>
    <col min="19" max="19" width="2.42578125" style="176" customWidth="1"/>
    <col min="20" max="20" width="13.140625" style="176" customWidth="1"/>
    <col min="21" max="21" width="21.140625" style="5" hidden="1" customWidth="1"/>
    <col min="22" max="22" width="10.140625" style="5" hidden="1"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518</v>
      </c>
      <c r="U1" s="574" t="str">
        <f>N23</f>
        <v/>
      </c>
      <c r="X1" s="574" t="str">
        <f>IF(AND(NOT(ISBLANK(Welcome!D10)),Welcome!$D$10 &lt;&gt; "CIA"),IF(COUNTBLANK('PIM Model'!K10:K30)&gt;0,"TRUE","FALSE"),"FALSE")</f>
        <v>TRUE</v>
      </c>
    </row>
    <row r="2" spans="1:31" ht="21" x14ac:dyDescent="0.25">
      <c r="B2" s="568"/>
      <c r="C2" s="434" t="s">
        <v>129</v>
      </c>
      <c r="D2" s="172"/>
      <c r="E2" s="434"/>
      <c r="F2" s="435"/>
      <c r="G2" s="174"/>
      <c r="H2" s="174"/>
      <c r="I2" s="174"/>
      <c r="J2" s="174"/>
      <c r="K2" s="174"/>
      <c r="L2" s="174"/>
      <c r="M2" s="174"/>
      <c r="N2" s="172"/>
      <c r="O2" s="172"/>
      <c r="P2" s="628"/>
      <c r="Q2" s="174"/>
      <c r="R2" s="628"/>
      <c r="S2" s="436"/>
    </row>
    <row r="3" spans="1:31" ht="8.4499999999999993" customHeight="1" thickBot="1" x14ac:dyDescent="0.3">
      <c r="B3" s="178"/>
      <c r="D3" s="5"/>
      <c r="F3" s="177"/>
      <c r="G3" s="5"/>
      <c r="H3" s="5"/>
      <c r="I3" s="5"/>
      <c r="J3" s="713"/>
      <c r="K3" s="713"/>
      <c r="L3" s="713"/>
      <c r="M3" s="713"/>
      <c r="S3" s="251"/>
    </row>
    <row r="4" spans="1:31" ht="14.45" customHeight="1" x14ac:dyDescent="0.25">
      <c r="B4" s="178"/>
      <c r="C4" s="1909" t="s">
        <v>1156</v>
      </c>
      <c r="D4" s="1910"/>
      <c r="E4" s="536" t="str">
        <f>Welcome!$D$10</f>
        <v>Please Select</v>
      </c>
      <c r="F4" s="139"/>
      <c r="G4" s="374" t="s">
        <v>110</v>
      </c>
      <c r="H4" s="1823" t="str">
        <f>IFERROR(VLOOKUP($H$5,'Market Geography'!$D:$G,4,FALSE),"Select Market")</f>
        <v>Select Market</v>
      </c>
      <c r="I4" s="1824"/>
      <c r="J4" s="1825"/>
      <c r="K4" s="713"/>
      <c r="L4" s="713"/>
      <c r="M4" s="713"/>
      <c r="N4" s="713"/>
      <c r="O4" s="713"/>
      <c r="P4" s="631"/>
      <c r="Q4" s="633"/>
      <c r="R4" s="603"/>
      <c r="S4" s="437"/>
    </row>
    <row r="5" spans="1:31" x14ac:dyDescent="0.25">
      <c r="B5" s="178"/>
      <c r="C5" s="1896" t="s">
        <v>1157</v>
      </c>
      <c r="D5" s="1897"/>
      <c r="E5" s="290" t="str">
        <f>Welcome!$D$16</f>
        <v>Select Term</v>
      </c>
      <c r="F5" s="139"/>
      <c r="G5" s="375" t="s">
        <v>840</v>
      </c>
      <c r="H5" s="1820">
        <f>Welcome!$D$4</f>
        <v>0</v>
      </c>
      <c r="I5" s="1821"/>
      <c r="J5" s="1822"/>
      <c r="K5" s="713"/>
      <c r="L5" s="713"/>
      <c r="M5" s="713"/>
      <c r="N5" s="713"/>
      <c r="O5" s="713"/>
      <c r="P5" s="631"/>
      <c r="Q5" s="633"/>
      <c r="R5" s="603"/>
      <c r="S5" s="437"/>
    </row>
    <row r="6" spans="1:31" x14ac:dyDescent="0.25">
      <c r="B6" s="178"/>
      <c r="C6" s="1896" t="s">
        <v>1162</v>
      </c>
      <c r="D6" s="1897"/>
      <c r="E6" s="291">
        <f>IFERROR('PIM Model'!$G$31,0)</f>
        <v>0</v>
      </c>
      <c r="F6" s="323"/>
      <c r="G6" s="375" t="s">
        <v>107</v>
      </c>
      <c r="H6" s="1820" t="str">
        <f>'Multi-Customer'!$S$49</f>
        <v>Enter Customer(s)</v>
      </c>
      <c r="I6" s="1821"/>
      <c r="J6" s="1822"/>
      <c r="K6" s="713"/>
      <c r="L6" s="713"/>
      <c r="M6" s="713"/>
      <c r="N6" s="713"/>
      <c r="O6" s="713"/>
      <c r="P6" s="631"/>
      <c r="Q6" s="633"/>
      <c r="R6" s="603"/>
      <c r="S6" s="437"/>
    </row>
    <row r="7" spans="1:31" x14ac:dyDescent="0.25">
      <c r="B7" s="178"/>
      <c r="C7" s="1896" t="s">
        <v>1163</v>
      </c>
      <c r="D7" s="1897"/>
      <c r="E7" s="438">
        <f>IFERROR('Variable Costs (Back)'!$K$36,0)</f>
        <v>0</v>
      </c>
      <c r="F7" s="177"/>
      <c r="G7" s="375" t="s">
        <v>1170</v>
      </c>
      <c r="H7" s="1820" t="str">
        <f>'Multi-Customer'!$AH$40</f>
        <v>MULTIPLE TYPES</v>
      </c>
      <c r="I7" s="1821"/>
      <c r="J7" s="1822"/>
      <c r="K7" s="713"/>
      <c r="L7" s="713"/>
      <c r="M7" s="713"/>
      <c r="N7" s="713"/>
      <c r="O7" s="713"/>
      <c r="P7" s="631"/>
      <c r="Q7" s="633"/>
      <c r="R7" s="603"/>
      <c r="S7" s="437"/>
    </row>
    <row r="8" spans="1:31" ht="15.75" thickBot="1" x14ac:dyDescent="0.3">
      <c r="B8" s="178"/>
      <c r="C8" s="1898" t="s">
        <v>1164</v>
      </c>
      <c r="D8" s="1899"/>
      <c r="E8" s="322">
        <f>IFERROR('PIM Ranges'!$AW$3,0)</f>
        <v>0</v>
      </c>
      <c r="F8" s="324"/>
      <c r="G8" s="376" t="s">
        <v>1165</v>
      </c>
      <c r="H8" s="1911" t="s">
        <v>206</v>
      </c>
      <c r="I8" s="1912"/>
      <c r="J8" s="1913"/>
      <c r="K8" s="713"/>
      <c r="L8" s="713"/>
      <c r="M8" s="713"/>
      <c r="N8" s="713"/>
      <c r="O8" s="713"/>
      <c r="P8" s="632"/>
      <c r="Q8" s="633"/>
      <c r="R8" s="603"/>
      <c r="S8" s="439"/>
    </row>
    <row r="9" spans="1:31" ht="8.4499999999999993" customHeight="1" x14ac:dyDescent="0.25">
      <c r="B9" s="178"/>
      <c r="D9" s="136"/>
      <c r="E9" s="535"/>
      <c r="F9" s="535"/>
      <c r="G9" s="535"/>
      <c r="H9" s="535"/>
      <c r="I9" s="535"/>
      <c r="J9" s="711"/>
      <c r="K9" s="711"/>
      <c r="L9" s="711"/>
      <c r="M9" s="711"/>
      <c r="S9" s="251"/>
    </row>
    <row r="10" spans="1:31" ht="7.9" customHeight="1" x14ac:dyDescent="0.25">
      <c r="B10" s="178"/>
      <c r="C10" s="248"/>
      <c r="D10" s="440"/>
      <c r="E10" s="183"/>
      <c r="F10" s="183"/>
      <c r="G10" s="183"/>
      <c r="H10" s="183"/>
      <c r="I10" s="183"/>
      <c r="J10" s="183"/>
      <c r="K10" s="183"/>
      <c r="L10" s="183"/>
      <c r="M10" s="183"/>
      <c r="N10" s="183"/>
      <c r="O10" s="187"/>
      <c r="P10"/>
      <c r="Q10" s="629"/>
      <c r="R10" s="626"/>
      <c r="S10" s="179"/>
      <c r="T10" s="5"/>
    </row>
    <row r="11" spans="1:31" ht="18.600000000000001" customHeight="1" x14ac:dyDescent="0.25">
      <c r="B11" s="178"/>
      <c r="C11" s="243"/>
      <c r="D11" s="7"/>
      <c r="E11" s="6" t="s">
        <v>1166</v>
      </c>
      <c r="F11" s="35"/>
      <c r="G11" s="193" t="s">
        <v>1167</v>
      </c>
      <c r="H11" s="195"/>
      <c r="I11" s="188"/>
      <c r="J11" s="188"/>
      <c r="K11" s="188"/>
      <c r="L11" s="188"/>
      <c r="M11" s="188"/>
      <c r="N11" s="188"/>
      <c r="O11" s="190"/>
      <c r="P11"/>
      <c r="Q11" s="1920" t="s">
        <v>1130</v>
      </c>
      <c r="R11" s="1920"/>
      <c r="S11" s="179"/>
      <c r="T11" s="5"/>
    </row>
    <row r="12" spans="1:31" ht="21" customHeight="1" x14ac:dyDescent="0.25">
      <c r="B12" s="178"/>
      <c r="C12" s="243"/>
      <c r="D12" s="581" t="s">
        <v>680</v>
      </c>
      <c r="E12" s="582">
        <f>IFERROR('PIM Model'!$G$31,0)</f>
        <v>0</v>
      </c>
      <c r="F12" s="36"/>
      <c r="G12" s="583">
        <f>IFERROR(E12/'PIM Model'!$H$31,0)</f>
        <v>0</v>
      </c>
      <c r="H12" s="442"/>
      <c r="I12" s="443"/>
      <c r="J12" s="443"/>
      <c r="K12" s="443"/>
      <c r="L12" s="443"/>
      <c r="M12" s="443"/>
      <c r="N12" s="444" t="str">
        <f>IF(AND(Welcome!D10="CIA",E12&lt;150000),"Spend",IF(AND(OR(Welcome!D10="MDA",Welcome!D10="PON Only",Welcome!D10="New PON Existing CIA",Welcome!D10="New PON New CIA"),E12&lt;250000),"Spend",IF(E12&gt;2500000,"Spend","Approve")))</f>
        <v>Approve</v>
      </c>
      <c r="O12" s="445"/>
      <c r="P12"/>
      <c r="Q12" s="662"/>
      <c r="R12" s="663"/>
      <c r="S12" s="179"/>
      <c r="T12" s="5"/>
    </row>
    <row r="13" spans="1:31" ht="21" customHeight="1" x14ac:dyDescent="0.25">
      <c r="B13" s="178"/>
      <c r="C13" s="243"/>
      <c r="D13" s="8" t="s">
        <v>487</v>
      </c>
      <c r="E13" s="12">
        <f>IFERROR('PIM Model'!$I$34,0)</f>
        <v>0</v>
      </c>
      <c r="F13" s="36"/>
      <c r="G13" s="441">
        <f>IFERROR(E13/'PIM Model'!$H$31,0)</f>
        <v>0</v>
      </c>
      <c r="H13" s="442"/>
      <c r="I13" s="443"/>
      <c r="J13" s="449"/>
      <c r="K13" s="443"/>
      <c r="L13" s="443"/>
      <c r="M13" s="443"/>
      <c r="N13" s="446" t="str">
        <f>IF(E13&gt;0,IF(N17=0,IF(X1="FALSE","Approve","Reject"),"Reject"),"")</f>
        <v/>
      </c>
      <c r="O13" s="445"/>
      <c r="P13"/>
      <c r="Q13" s="662"/>
      <c r="R13" s="663"/>
      <c r="S13" s="179"/>
      <c r="T13" s="5"/>
    </row>
    <row r="14" spans="1:31" ht="7.15" customHeight="1" x14ac:dyDescent="0.25">
      <c r="B14" s="178"/>
      <c r="C14" s="243"/>
      <c r="D14" s="584"/>
      <c r="E14" s="585"/>
      <c r="F14" s="585"/>
      <c r="G14" s="578"/>
      <c r="H14" s="578"/>
      <c r="I14" s="579"/>
      <c r="J14" s="449"/>
      <c r="K14" s="443"/>
      <c r="L14" s="443"/>
      <c r="M14" s="443"/>
      <c r="N14" s="580"/>
      <c r="O14" s="445"/>
      <c r="P14"/>
      <c r="Q14" s="629"/>
      <c r="R14" s="626"/>
      <c r="S14" s="179"/>
      <c r="T14" s="5"/>
    </row>
    <row r="15" spans="1:31" ht="21" customHeight="1" x14ac:dyDescent="0.25">
      <c r="B15" s="178"/>
      <c r="C15" s="243"/>
      <c r="D15" s="584"/>
      <c r="E15" s="6" t="s">
        <v>1166</v>
      </c>
      <c r="F15" s="35"/>
      <c r="G15" s="124" t="s">
        <v>1167</v>
      </c>
      <c r="H15" s="447"/>
      <c r="I15" s="193" t="s">
        <v>843</v>
      </c>
      <c r="J15" s="449"/>
      <c r="K15" s="443"/>
      <c r="L15" s="443"/>
      <c r="M15" s="443"/>
      <c r="N15" s="580"/>
      <c r="O15" s="445"/>
      <c r="P15"/>
      <c r="Q15" s="629"/>
      <c r="R15" s="626"/>
      <c r="S15" s="179"/>
      <c r="T15" s="5"/>
      <c r="AE15" s="5" t="e">
        <f>Incentives!K179&gt;ROUNDUP((((VLOOKUP('Variable Selling'!$A$2,'CC MARKET EXPENSE'!$A:$D,4,0))*100)*50/100)/0.25,0)*0.25/100</f>
        <v>#N/A</v>
      </c>
    </row>
    <row r="16" spans="1:31" ht="24" customHeight="1" x14ac:dyDescent="0.25">
      <c r="B16" s="178"/>
      <c r="C16" s="243"/>
      <c r="D16" s="16" t="s">
        <v>996</v>
      </c>
      <c r="E16" s="586">
        <v>0</v>
      </c>
      <c r="F16" s="123"/>
      <c r="G16" s="579"/>
      <c r="H16" s="578"/>
      <c r="I16" s="579"/>
      <c r="J16" s="449"/>
      <c r="K16" s="443"/>
      <c r="L16" s="443"/>
      <c r="M16" s="443"/>
      <c r="N16" s="580"/>
      <c r="O16" s="445"/>
      <c r="P16"/>
      <c r="Q16" s="629"/>
      <c r="R16" s="626"/>
      <c r="S16" s="179"/>
      <c r="T16" s="5"/>
    </row>
    <row r="17" spans="2:21" ht="24" customHeight="1" x14ac:dyDescent="0.25">
      <c r="B17" s="178"/>
      <c r="C17" s="243"/>
      <c r="D17" s="16" t="s">
        <v>1251</v>
      </c>
      <c r="E17" s="12">
        <f>IFERROR('Variable Costs &amp; Income'!E25*-1,0)-E16</f>
        <v>0</v>
      </c>
      <c r="F17" s="36"/>
      <c r="G17" s="441">
        <f>IFERROR(E17/'PIM Model'!$H$31,0)</f>
        <v>0</v>
      </c>
      <c r="H17" s="447"/>
      <c r="I17" s="450">
        <f>IFERROR(E17/E12,0)</f>
        <v>0</v>
      </c>
      <c r="J17" s="449"/>
      <c r="K17" s="443"/>
      <c r="L17" s="443"/>
      <c r="M17" s="443"/>
      <c r="N17" s="664">
        <f>COUNTIF('PIM Model'!$AB$10:$AB$30,"ERROR")+COUNTIFS('PIM Model'!$AF$10:$AJ$30,"BELOW")</f>
        <v>0</v>
      </c>
      <c r="O17" s="448"/>
      <c r="P17"/>
      <c r="Q17" s="629"/>
      <c r="R17" s="626"/>
      <c r="S17" s="179"/>
      <c r="T17" s="5"/>
    </row>
    <row r="18" spans="2:21" ht="13.15" customHeight="1" x14ac:dyDescent="0.25">
      <c r="B18" s="178"/>
      <c r="C18" s="243"/>
      <c r="D18" s="188"/>
      <c r="E18" s="188"/>
      <c r="F18" s="188"/>
      <c r="G18" s="188"/>
      <c r="H18" s="447"/>
      <c r="I18" s="449"/>
      <c r="J18" s="449"/>
      <c r="K18" s="443"/>
      <c r="L18" s="443"/>
      <c r="M18" s="443"/>
      <c r="N18" s="449"/>
      <c r="O18" s="448"/>
      <c r="P18"/>
      <c r="Q18" s="629"/>
      <c r="R18" s="626"/>
      <c r="S18" s="179"/>
      <c r="T18" s="5"/>
    </row>
    <row r="19" spans="2:21" ht="21.6" customHeight="1" x14ac:dyDescent="0.25">
      <c r="B19" s="178"/>
      <c r="C19" s="243"/>
      <c r="D19" s="188"/>
      <c r="E19" s="6" t="s">
        <v>1166</v>
      </c>
      <c r="F19" s="35"/>
      <c r="G19" s="193" t="s">
        <v>1167</v>
      </c>
      <c r="H19" s="447"/>
      <c r="I19" s="193" t="s">
        <v>843</v>
      </c>
      <c r="J19" s="449"/>
      <c r="K19" s="443"/>
      <c r="L19" s="443"/>
      <c r="M19" s="443"/>
      <c r="N19" s="449"/>
      <c r="O19" s="448"/>
      <c r="P19"/>
      <c r="Q19" s="629"/>
      <c r="R19" s="626"/>
      <c r="S19" s="179"/>
      <c r="T19" s="5"/>
    </row>
    <row r="20" spans="2:21" ht="21.6" customHeight="1" x14ac:dyDescent="0.25">
      <c r="B20" s="178"/>
      <c r="C20" s="243"/>
      <c r="D20" s="8" t="s">
        <v>898</v>
      </c>
      <c r="E20" s="12">
        <f>E13+E17</f>
        <v>0</v>
      </c>
      <c r="F20" s="36"/>
      <c r="G20" s="441">
        <f>IFERROR(E20/'PIM Model'!$H$31,0)</f>
        <v>0</v>
      </c>
      <c r="H20" s="447"/>
      <c r="I20" s="450">
        <f>IFERROR(E20/E12,0)</f>
        <v>0</v>
      </c>
      <c r="J20" s="449"/>
      <c r="K20" s="443"/>
      <c r="L20" s="443"/>
      <c r="M20" s="443"/>
      <c r="N20" s="449"/>
      <c r="O20" s="448"/>
      <c r="P20"/>
      <c r="Q20" s="629"/>
      <c r="R20" s="626"/>
      <c r="S20" s="179"/>
      <c r="T20" s="5"/>
      <c r="U20" s="5">
        <f>IFERROR(E7*Welcome!D18*52,0)</f>
        <v>0</v>
      </c>
    </row>
    <row r="21" spans="2:21" x14ac:dyDescent="0.25">
      <c r="B21" s="178"/>
      <c r="C21" s="243"/>
      <c r="D21" s="7"/>
      <c r="E21" s="447"/>
      <c r="F21" s="447"/>
      <c r="G21" s="447"/>
      <c r="H21" s="447"/>
      <c r="I21" s="449"/>
      <c r="J21" s="449"/>
      <c r="K21" s="443"/>
      <c r="L21" s="443"/>
      <c r="M21" s="443"/>
      <c r="N21" s="449"/>
      <c r="O21" s="448"/>
      <c r="P21"/>
      <c r="Q21" s="1918" t="s">
        <v>1130</v>
      </c>
      <c r="R21" s="1919"/>
      <c r="S21" s="179"/>
      <c r="T21" s="5"/>
      <c r="U21" s="5">
        <f>IFERROR('Agreement Worksheet'!H18/E8,0)</f>
        <v>0</v>
      </c>
    </row>
    <row r="22" spans="2:21" s="1020" customFormat="1" ht="21" customHeight="1" x14ac:dyDescent="0.25">
      <c r="B22" s="178"/>
      <c r="C22" s="243"/>
      <c r="D22" s="1027" t="s">
        <v>1726</v>
      </c>
      <c r="E22" s="1035">
        <f>IFERROR(Incentives!O474*-1,0)</f>
        <v>0</v>
      </c>
      <c r="F22" s="447"/>
      <c r="G22" s="1034"/>
      <c r="H22" s="447"/>
      <c r="I22" s="449"/>
      <c r="J22" s="449"/>
      <c r="K22" s="443"/>
      <c r="L22" s="443"/>
      <c r="M22" s="443"/>
      <c r="N22" s="449"/>
      <c r="O22" s="448"/>
      <c r="P22" s="1019"/>
      <c r="Q22" s="1021"/>
      <c r="R22" s="1022"/>
      <c r="S22" s="179"/>
      <c r="U22" s="1020">
        <f>IFERROR(E23/'Agreement Worksheet'!H18,0)</f>
        <v>0</v>
      </c>
    </row>
    <row r="23" spans="2:21" ht="24" customHeight="1" x14ac:dyDescent="0.25">
      <c r="B23" s="178"/>
      <c r="C23" s="243"/>
      <c r="D23" s="16" t="s">
        <v>1252</v>
      </c>
      <c r="E23" s="12">
        <f>IFERROR(Incentives!O476*-1,0)</f>
        <v>0</v>
      </c>
      <c r="F23" s="451">
        <f>Incentives!O478</f>
        <v>0</v>
      </c>
      <c r="G23" s="441">
        <f>IFERROR(E23/'PIM Model'!$H$31,0)</f>
        <v>0</v>
      </c>
      <c r="H23" s="442"/>
      <c r="I23" s="576"/>
      <c r="J23" s="576"/>
      <c r="K23" s="576"/>
      <c r="L23" s="576"/>
      <c r="M23" s="576"/>
      <c r="N23" s="416" t="str">
        <f>IF(Q23="Yes","Approve",IF(E23=0,"",IF(AND(Incentives!$E$175="Yes",Welcome!D20="No"),"Reject",IF(OR(F23&gt;0.05,T23="Yes"),"Reject",IF(Incentives!K179&gt;ROUNDUP((((VLOOKUP('Variable Selling'!$A$2,'CC MARKET EXPENSE'!$A:$D,4,0))*100)*50/100)/0.25,0)*0.25/100,"Reject",IF(U23&gt;=10000,"Caution","Approve"))))))</f>
        <v/>
      </c>
      <c r="O23" s="452"/>
      <c r="P23"/>
      <c r="Q23" s="634"/>
      <c r="R23" s="635"/>
      <c r="S23" s="179"/>
      <c r="T23" s="5" t="str">
        <f>IF(Welcome!$D$6 = "Amendment",IF(OR(Incentives!$E$16&lt;'Required Info to Submit'!$F$14,Incentives!$E$30&lt;'Required Info to Submit'!$F$14,Incentives!$E$44&lt;'Required Info to Submit'!$F$14,Incentives!$E$58&lt;'Required Info to Submit'!$F$14,Incentives!$E$72&lt;'Required Info to Submit'!$F$14,Incentives!$E$86&lt;'Required Info to Submit'!$F$14,Incentives!$E$100&lt;'Required Info to Submit'!$F$14,Incentives!$E$114&lt;'Required Info to Submit'!$F$14,Incentives!$E$122&lt;'Required Info to Submit'!$F$14,Incentives!$E$130&lt;'Required Info to Submit'!$F$14,Incentives!$E$138&lt;'Required Info to Submit'!$F$14,Incentives!E146&lt;'Required Info to Submit'!$F$14,Incentives!$E$154&lt;'Required Info to Submit'!$F$14,Incentives!E162&lt;'Required Info to Submit'!$F$14,Incentives!$E$170&lt;'Required Info to Submit'!$F$14,Incentives!$E$178&lt;'Required Info to Submit'!$F$14,Incentives!$E$186&lt;'Required Info to Submit'!$F$14,Incentives!$E$197&lt;'Required Info to Submit'!$F$14,Incentives!$E$209&lt;'Required Info to Submit'!$F$14,Incentives!$E$221&lt;'Required Info to Submit'!$F$14,Incentives!C231="Yes",Incentives!C242="Yes",Incentives!C253="Yes",Incentives!C264="Yes",Incentives!C275="Yes",Incentives!C286="Yes",Incentives!C297="Yes",Incentives!C308="Yes",Incentives!C319="Yes"),"Yes",""),"")</f>
        <v/>
      </c>
      <c r="U23" s="1037">
        <f>SUM(Incentives!G163,Incentives!G171,Incentives!G187,Incentives!G198,Incentives!G210)</f>
        <v>0</v>
      </c>
    </row>
    <row r="24" spans="2:21" ht="21.6" customHeight="1" x14ac:dyDescent="0.25">
      <c r="B24" s="178"/>
      <c r="C24" s="243"/>
      <c r="D24" s="8" t="s">
        <v>1253</v>
      </c>
      <c r="E24" s="12">
        <f>E20+E23</f>
        <v>0</v>
      </c>
      <c r="F24" s="36"/>
      <c r="G24" s="441">
        <f>IFERROR(E24/'PIM Model'!$H$31,0)</f>
        <v>0</v>
      </c>
      <c r="H24" s="442"/>
      <c r="I24" s="188"/>
      <c r="J24" s="188"/>
      <c r="K24" s="188"/>
      <c r="L24" s="188"/>
      <c r="M24" s="188"/>
      <c r="N24" s="188"/>
      <c r="O24" s="190"/>
      <c r="P24"/>
      <c r="Q24" s="629"/>
      <c r="R24" s="626"/>
      <c r="S24" s="179"/>
      <c r="T24" s="574"/>
      <c r="U24" s="630">
        <f>SUM(E34,E24,E33)</f>
        <v>0</v>
      </c>
    </row>
    <row r="25" spans="2:21" ht="11.45" customHeight="1" x14ac:dyDescent="0.25">
      <c r="B25" s="178"/>
      <c r="C25" s="243"/>
      <c r="D25" s="7"/>
      <c r="E25" s="447"/>
      <c r="F25" s="447"/>
      <c r="G25" s="453"/>
      <c r="H25" s="453"/>
      <c r="I25" s="188"/>
      <c r="J25" s="188"/>
      <c r="K25" s="188"/>
      <c r="L25" s="188"/>
      <c r="M25" s="188"/>
      <c r="N25" s="188"/>
      <c r="O25" s="190"/>
      <c r="P25"/>
      <c r="Q25" s="629"/>
      <c r="R25" s="626"/>
      <c r="S25" s="179"/>
      <c r="T25" s="5"/>
      <c r="U25" s="5">
        <f>IFERROR((U24/'Agreement Worksheet'!H18)*100,0)</f>
        <v>0</v>
      </c>
    </row>
    <row r="26" spans="2:21" ht="21.6" customHeight="1" x14ac:dyDescent="0.25">
      <c r="B26" s="178"/>
      <c r="C26" s="243"/>
      <c r="D26" s="16" t="s">
        <v>1254</v>
      </c>
      <c r="E26" s="13">
        <f>IFERROR('Variable Costs &amp; Income'!$E$11*-1,0)</f>
        <v>0</v>
      </c>
      <c r="F26" s="37"/>
      <c r="G26" s="454">
        <f>IFERROR(E26/'PIM Model'!$H$31,0)</f>
        <v>0</v>
      </c>
      <c r="H26" s="64"/>
      <c r="I26" s="455"/>
      <c r="J26" s="455"/>
      <c r="K26" s="455"/>
      <c r="L26" s="455"/>
      <c r="M26" s="455"/>
      <c r="N26" s="455"/>
      <c r="O26" s="190"/>
      <c r="P26"/>
      <c r="Q26" s="629"/>
      <c r="R26" s="626"/>
      <c r="S26" s="179"/>
      <c r="T26" s="5"/>
      <c r="U26" s="1276">
        <f>IFERROR(U24/U20,0)</f>
        <v>0</v>
      </c>
    </row>
    <row r="27" spans="2:21" ht="21.6" customHeight="1" x14ac:dyDescent="0.25">
      <c r="B27" s="178"/>
      <c r="C27" s="243"/>
      <c r="D27" s="16" t="s">
        <v>1097</v>
      </c>
      <c r="E27" s="13">
        <f>IF(AND(Welcome!D20="YES",Incentives!E175="Yes"),0,IF(AND(Welcome!D20="YES",Incentives!E175="No"),E12*(VLOOKUP('Variable Selling'!$A$2,'CC MARKET EXPENSE'!$A:$D,4,0)),0))*-1</f>
        <v>0</v>
      </c>
      <c r="F27" s="37"/>
      <c r="G27" s="454">
        <f>IFERROR(E27/'PIM Model'!$H$31,0)</f>
        <v>0</v>
      </c>
      <c r="H27" s="64"/>
      <c r="I27" s="455"/>
      <c r="J27" s="455"/>
      <c r="K27" s="455"/>
      <c r="L27" s="455"/>
      <c r="M27" s="455"/>
      <c r="N27" s="455"/>
      <c r="O27" s="190"/>
      <c r="P27"/>
      <c r="Q27" s="629"/>
      <c r="R27" s="626"/>
      <c r="S27" s="179"/>
      <c r="T27" s="5"/>
      <c r="U27" s="5">
        <f>IFERROR(U24/'PIM Model'!H31,0)</f>
        <v>0</v>
      </c>
    </row>
    <row r="28" spans="2:21" ht="21.6" customHeight="1" x14ac:dyDescent="0.25">
      <c r="B28" s="178"/>
      <c r="C28" s="243"/>
      <c r="D28" s="16" t="s">
        <v>1168</v>
      </c>
      <c r="E28" s="13">
        <f>IFERROR('Variable Costs &amp; Income'!$E$15*-1,0)</f>
        <v>0</v>
      </c>
      <c r="F28" s="37"/>
      <c r="G28" s="454">
        <f>IFERROR(E28/'PIM Model'!$H$31,0)</f>
        <v>0</v>
      </c>
      <c r="H28" s="64"/>
      <c r="I28" s="455"/>
      <c r="J28" s="455"/>
      <c r="K28" s="455"/>
      <c r="L28" s="455"/>
      <c r="M28" s="455"/>
      <c r="N28" s="455"/>
      <c r="O28" s="190"/>
      <c r="P28"/>
      <c r="Q28" s="629"/>
      <c r="R28" s="626"/>
      <c r="S28" s="179"/>
      <c r="T28" s="5"/>
    </row>
    <row r="29" spans="2:21" ht="21" customHeight="1" x14ac:dyDescent="0.25">
      <c r="B29" s="178"/>
      <c r="C29" s="243"/>
      <c r="D29" s="16" t="s">
        <v>1169</v>
      </c>
      <c r="E29" s="13">
        <f>IFERROR('Variable Costs &amp; Income'!$E$17*-1,0)</f>
        <v>0</v>
      </c>
      <c r="F29" s="37"/>
      <c r="G29" s="454">
        <f>IFERROR(E29/'PIM Model'!$H$31,0)</f>
        <v>0</v>
      </c>
      <c r="H29" s="64"/>
      <c r="I29" s="455"/>
      <c r="J29" s="455"/>
      <c r="K29" s="455"/>
      <c r="L29" s="455"/>
      <c r="M29" s="455"/>
      <c r="N29" s="455"/>
      <c r="O29" s="190"/>
      <c r="P29"/>
      <c r="Q29" s="629"/>
      <c r="R29" s="626"/>
      <c r="S29" s="179"/>
      <c r="T29" s="5"/>
    </row>
    <row r="30" spans="2:21" s="1393" customFormat="1" ht="21" customHeight="1" x14ac:dyDescent="0.25">
      <c r="B30" s="178"/>
      <c r="C30" s="243"/>
      <c r="D30" s="188"/>
      <c r="E30" s="188"/>
      <c r="F30" s="188"/>
      <c r="G30" s="188"/>
      <c r="H30" s="64"/>
      <c r="I30" s="455"/>
      <c r="J30" s="455"/>
      <c r="K30" s="455"/>
      <c r="L30" s="455"/>
      <c r="M30" s="455"/>
      <c r="N30" s="455"/>
      <c r="O30" s="190"/>
      <c r="P30" s="1392"/>
      <c r="Q30" s="1394"/>
      <c r="R30" s="1392"/>
      <c r="S30" s="179"/>
    </row>
    <row r="31" spans="2:21" s="1393" customFormat="1" ht="21" customHeight="1" x14ac:dyDescent="0.25">
      <c r="B31" s="178"/>
      <c r="C31" s="243"/>
      <c r="D31" s="16" t="s">
        <v>2071</v>
      </c>
      <c r="E31" s="13">
        <f>IFERROR('Variable Costs &amp; Income'!$E$21*-1,0)</f>
        <v>0</v>
      </c>
      <c r="F31" s="37"/>
      <c r="G31" s="454">
        <f>IFERROR(E31/'PIM Model'!$H$31,0)</f>
        <v>0</v>
      </c>
      <c r="H31" s="64"/>
      <c r="I31" s="455"/>
      <c r="J31" s="455"/>
      <c r="K31" s="455"/>
      <c r="L31" s="455"/>
      <c r="M31" s="455"/>
      <c r="N31" s="455"/>
      <c r="O31" s="190"/>
      <c r="P31" s="1392"/>
      <c r="Q31" s="1394"/>
      <c r="R31" s="1392"/>
      <c r="S31" s="179"/>
    </row>
    <row r="32" spans="2:21" ht="23.45" customHeight="1" x14ac:dyDescent="0.25">
      <c r="B32" s="178"/>
      <c r="C32" s="243"/>
      <c r="D32" s="7"/>
      <c r="E32" s="447"/>
      <c r="F32" s="447"/>
      <c r="G32" s="453"/>
      <c r="H32" s="453"/>
      <c r="I32" s="188"/>
      <c r="J32" s="188"/>
      <c r="K32" s="188"/>
      <c r="L32" s="188"/>
      <c r="M32" s="188"/>
      <c r="N32" s="188"/>
      <c r="O32" s="190"/>
      <c r="P32"/>
      <c r="Q32" s="629"/>
      <c r="R32" s="626"/>
      <c r="S32" s="179"/>
      <c r="T32" s="5"/>
    </row>
    <row r="33" spans="2:20" ht="23.45" customHeight="1" x14ac:dyDescent="0.25">
      <c r="B33" s="178"/>
      <c r="C33" s="243"/>
      <c r="D33" s="17" t="s">
        <v>221</v>
      </c>
      <c r="E33" s="12">
        <f>IFERROR('Variable Costs &amp; Income'!$E$31,0)</f>
        <v>0</v>
      </c>
      <c r="F33" s="36"/>
      <c r="G33" s="441">
        <f>IFERROR(E33/'PIM Model'!$H$31,0)</f>
        <v>0</v>
      </c>
      <c r="H33" s="442"/>
      <c r="I33" s="188"/>
      <c r="J33" s="188"/>
      <c r="K33" s="188"/>
      <c r="L33" s="188"/>
      <c r="M33" s="188"/>
      <c r="N33" s="188"/>
      <c r="O33" s="190"/>
      <c r="P33"/>
      <c r="Q33" s="629"/>
      <c r="R33" s="626"/>
      <c r="S33" s="179"/>
      <c r="T33" s="5"/>
    </row>
    <row r="34" spans="2:20" ht="21" customHeight="1" x14ac:dyDescent="0.25">
      <c r="B34" s="178"/>
      <c r="C34" s="243"/>
      <c r="D34" s="17" t="s">
        <v>220</v>
      </c>
      <c r="E34" s="12">
        <f>'Variable Costs &amp; Income'!$E$32</f>
        <v>0</v>
      </c>
      <c r="F34" s="36"/>
      <c r="G34" s="441">
        <f>IFERROR(E34/'PIM Model'!$H$31,0)</f>
        <v>0</v>
      </c>
      <c r="H34" s="442"/>
      <c r="I34" s="188"/>
      <c r="J34" s="188"/>
      <c r="K34" s="188"/>
      <c r="L34" s="188"/>
      <c r="M34" s="188"/>
      <c r="N34" s="188"/>
      <c r="O34" s="190"/>
      <c r="P34"/>
      <c r="Q34" s="629"/>
      <c r="R34" s="626"/>
      <c r="S34" s="179"/>
      <c r="T34" s="5"/>
    </row>
    <row r="35" spans="2:20" ht="30.75" customHeight="1" x14ac:dyDescent="0.25">
      <c r="B35" s="178"/>
      <c r="C35" s="243"/>
      <c r="D35" s="1917" t="s">
        <v>2077</v>
      </c>
      <c r="E35" s="1917"/>
      <c r="F35" s="1917"/>
      <c r="G35" s="1917"/>
      <c r="H35" s="456"/>
      <c r="I35" s="1916" t="str">
        <f>IF($J$36=0,IF($N$36=0,"","Customer EB % Missing"),IF($N$36=0,"Customer Drops/Wk Missing","Customer EB % &amp; Drops/Wk Missing"))</f>
        <v/>
      </c>
      <c r="J35" s="1916"/>
      <c r="K35" s="1916"/>
      <c r="L35" s="1916"/>
      <c r="M35" s="1916"/>
      <c r="N35" s="1916"/>
      <c r="O35" s="190"/>
      <c r="P35"/>
      <c r="Q35" s="629"/>
      <c r="R35" s="626"/>
      <c r="S35" s="179"/>
      <c r="T35" s="5"/>
    </row>
    <row r="36" spans="2:20" ht="36.75" customHeight="1" x14ac:dyDescent="0.25">
      <c r="B36" s="178"/>
      <c r="C36" s="243"/>
      <c r="D36" s="7"/>
      <c r="E36" s="714" t="s">
        <v>1166</v>
      </c>
      <c r="F36" s="447"/>
      <c r="G36" s="715" t="s">
        <v>1167</v>
      </c>
      <c r="H36" s="587">
        <f>J36+N36</f>
        <v>0</v>
      </c>
      <c r="I36" s="715" t="s">
        <v>843</v>
      </c>
      <c r="J36" s="867">
        <f>'Customer Inputs'!$Y$26</f>
        <v>0</v>
      </c>
      <c r="K36" s="715" t="s">
        <v>1256</v>
      </c>
      <c r="L36" s="188"/>
      <c r="M36" s="716" t="s">
        <v>1257</v>
      </c>
      <c r="N36" s="417">
        <f>'Customer Inputs'!$AB$26</f>
        <v>0</v>
      </c>
      <c r="O36" s="190"/>
      <c r="P36"/>
      <c r="Q36" s="727"/>
      <c r="R36" s="726"/>
      <c r="S36" s="179"/>
      <c r="T36" s="5"/>
    </row>
    <row r="37" spans="2:20" ht="24" customHeight="1" x14ac:dyDescent="0.25">
      <c r="B37" s="178"/>
      <c r="C37" s="243"/>
      <c r="D37" s="8" t="s">
        <v>1255</v>
      </c>
      <c r="E37" s="12">
        <f>IFERROR(E24+E26+E28+E29+E33+E34+E27+E31,"")</f>
        <v>0</v>
      </c>
      <c r="F37" s="36"/>
      <c r="G37" s="441">
        <f>IFERROR(E37/'PIM Model'!$H$31,0)</f>
        <v>0</v>
      </c>
      <c r="H37" s="457">
        <f>'EB_CM (Back)'!$C$26-'EB_CM (Back)'!$C$27</f>
        <v>0.08</v>
      </c>
      <c r="I37" s="450">
        <f>IFERROR($E$37/'PIM Model'!$G$31,0)</f>
        <v>0</v>
      </c>
      <c r="J37" s="188"/>
      <c r="K37" s="773">
        <f>IFERROR(E37/($E$7*Welcome!$D$18*52),0)</f>
        <v>0</v>
      </c>
      <c r="L37" s="188"/>
      <c r="M37" s="773">
        <f>IFERROR(E37/(Welcome!$D$18*52),0)</f>
        <v>0</v>
      </c>
      <c r="N37" s="417">
        <f>'Customer Inputs'!$AB$26</f>
        <v>0</v>
      </c>
      <c r="O37" s="190"/>
      <c r="P37"/>
      <c r="Q37" s="727"/>
      <c r="R37" s="726"/>
      <c r="S37" s="179"/>
      <c r="T37" s="5"/>
    </row>
    <row r="38" spans="2:20" s="713" customFormat="1" ht="24" customHeight="1" x14ac:dyDescent="0.25">
      <c r="B38" s="178"/>
      <c r="C38" s="243"/>
      <c r="D38" s="7"/>
      <c r="E38" s="447"/>
      <c r="F38" s="447"/>
      <c r="G38" s="453"/>
      <c r="H38" s="453"/>
      <c r="I38" s="188"/>
      <c r="J38" s="188"/>
      <c r="K38" s="188"/>
      <c r="L38" s="188"/>
      <c r="M38" s="188"/>
      <c r="N38" s="188"/>
      <c r="O38" s="190"/>
      <c r="P38" s="712"/>
      <c r="Q38" s="718"/>
      <c r="R38" s="718"/>
      <c r="S38" s="179"/>
    </row>
    <row r="39" spans="2:20" s="713" customFormat="1" ht="24" customHeight="1" x14ac:dyDescent="0.25">
      <c r="B39" s="178"/>
      <c r="C39" s="243"/>
      <c r="D39" s="8" t="s">
        <v>1258</v>
      </c>
      <c r="E39" s="12">
        <f>IFERROR('Customer Inputs'!AW28,0)</f>
        <v>0</v>
      </c>
      <c r="F39" s="717"/>
      <c r="G39" s="441">
        <f>IFERROR(E39/'PIM Model'!$H$31,0)</f>
        <v>0</v>
      </c>
      <c r="H39" s="457"/>
      <c r="I39" s="188"/>
      <c r="J39" s="188"/>
      <c r="K39" s="188"/>
      <c r="L39" s="188"/>
      <c r="M39" s="188"/>
      <c r="N39" s="188"/>
      <c r="O39" s="190"/>
      <c r="P39" s="712"/>
      <c r="Q39" s="718"/>
      <c r="R39" s="718"/>
      <c r="S39" s="179"/>
    </row>
    <row r="40" spans="2:20" s="713" customFormat="1" ht="24" customHeight="1" x14ac:dyDescent="0.25">
      <c r="B40" s="178"/>
      <c r="C40" s="243"/>
      <c r="D40" s="7"/>
      <c r="E40" s="447"/>
      <c r="F40" s="447"/>
      <c r="G40" s="453"/>
      <c r="H40" s="453"/>
      <c r="I40" s="188"/>
      <c r="J40" s="188"/>
      <c r="K40" s="188"/>
      <c r="L40" s="188"/>
      <c r="M40" s="188"/>
      <c r="N40" s="188"/>
      <c r="O40" s="190"/>
      <c r="P40" s="712"/>
      <c r="Q40" s="1914" t="s">
        <v>1130</v>
      </c>
      <c r="R40" s="1914"/>
      <c r="S40" s="179"/>
    </row>
    <row r="41" spans="2:20" s="713" customFormat="1" ht="24" customHeight="1" x14ac:dyDescent="0.25">
      <c r="B41" s="178"/>
      <c r="C41" s="243"/>
      <c r="D41" s="8" t="s">
        <v>1259</v>
      </c>
      <c r="E41" s="12">
        <f>IFERROR(E37-E39,0)</f>
        <v>0</v>
      </c>
      <c r="F41" s="717"/>
      <c r="G41" s="441">
        <f>IFERROR(E41/'PIM Model'!$H$31,0)</f>
        <v>0</v>
      </c>
      <c r="H41" s="457">
        <f>'EB_CM (Back)'!$C$26-'EB_CM (Back)'!$C$27</f>
        <v>0.08</v>
      </c>
      <c r="I41" s="450">
        <f>IFERROR($E$41/'PIM Model'!$G$31,0)</f>
        <v>0</v>
      </c>
      <c r="J41" s="188"/>
      <c r="K41" s="773">
        <f>IFERROR(E41/($E$7*Welcome!$D$18*52),0)</f>
        <v>0</v>
      </c>
      <c r="L41" s="188"/>
      <c r="M41" s="773">
        <f>IFERROR(E41/(Welcome!$D$18*52),0)</f>
        <v>0</v>
      </c>
      <c r="N41" s="458" t="str">
        <f>IFERROR(IF($Q$41="Yes","Approve",IF(H41&gt;0,"Reject","Approve")),"Reject")</f>
        <v>Reject</v>
      </c>
      <c r="O41" s="190"/>
      <c r="P41" s="712"/>
      <c r="Q41" s="1096"/>
      <c r="R41" s="718"/>
      <c r="S41" s="179"/>
    </row>
    <row r="42" spans="2:20" ht="24.6" customHeight="1" x14ac:dyDescent="0.25">
      <c r="B42" s="178"/>
      <c r="C42" s="245"/>
      <c r="D42" s="459"/>
      <c r="E42" s="460"/>
      <c r="F42" s="460"/>
      <c r="G42" s="202"/>
      <c r="H42" s="460"/>
      <c r="I42" s="231"/>
      <c r="J42" s="231"/>
      <c r="K42" s="231"/>
      <c r="L42" s="231"/>
      <c r="M42" s="231"/>
      <c r="N42" s="231"/>
      <c r="O42" s="205"/>
      <c r="P42"/>
      <c r="Q42" s="629"/>
      <c r="R42" s="626"/>
      <c r="S42" s="179"/>
      <c r="T42" s="5"/>
    </row>
    <row r="43" spans="2:20" ht="41.25" customHeight="1" thickBot="1" x14ac:dyDescent="0.3">
      <c r="B43" s="537"/>
      <c r="C43" s="546"/>
      <c r="D43" s="547"/>
      <c r="E43" s="548"/>
      <c r="F43" s="548"/>
      <c r="G43" s="549"/>
      <c r="H43" s="548"/>
      <c r="I43" s="546"/>
      <c r="J43" s="546"/>
      <c r="K43" s="546"/>
      <c r="L43" s="546"/>
      <c r="M43" s="546"/>
      <c r="N43" s="546"/>
      <c r="O43" s="546"/>
      <c r="P43" s="546"/>
      <c r="Q43" s="549"/>
      <c r="R43" s="546"/>
      <c r="S43" s="538"/>
    </row>
    <row r="44" spans="2:20" ht="40.5" customHeight="1" x14ac:dyDescent="0.25">
      <c r="B44" s="1915"/>
      <c r="C44" s="1915"/>
      <c r="D44" s="1915"/>
      <c r="N44" s="1850"/>
      <c r="O44" s="1850"/>
      <c r="P44" s="1850"/>
      <c r="Q44" s="1850"/>
      <c r="R44" s="1850"/>
      <c r="S44" s="1850"/>
    </row>
    <row r="45" spans="2:20" x14ac:dyDescent="0.25">
      <c r="S45" s="463"/>
    </row>
  </sheetData>
  <sheetProtection algorithmName="SHA-512" hashValue="3gkNWxr8OIh3QSszfxfhuRp0MEBW/m21UzTH3wQ+4OcAvE6pyhQrbWaPk9sgnsnrA9i7YtE7daeYED4/fEppsg==" saltValue="OAsYZh83clX/4XwAP2USgQ==" spinCount="100000" sheet="1" objects="1" scenarios="1"/>
  <mergeCells count="17">
    <mergeCell ref="H4:J4"/>
    <mergeCell ref="H5:J5"/>
    <mergeCell ref="H6:J6"/>
    <mergeCell ref="H7:J7"/>
    <mergeCell ref="C4:D4"/>
    <mergeCell ref="C5:D5"/>
    <mergeCell ref="C6:D6"/>
    <mergeCell ref="H8:J8"/>
    <mergeCell ref="Q40:R40"/>
    <mergeCell ref="C7:D7"/>
    <mergeCell ref="C8:D8"/>
    <mergeCell ref="B44:D44"/>
    <mergeCell ref="N44:S44"/>
    <mergeCell ref="I35:N35"/>
    <mergeCell ref="D35:G35"/>
    <mergeCell ref="Q21:R21"/>
    <mergeCell ref="Q11:R11"/>
  </mergeCells>
  <conditionalFormatting sqref="I26:M31">
    <cfRule type="containsText" dxfId="646" priority="76" operator="containsText" text="Below Average">
      <formula>NOT(ISERROR(SEARCH("Below Average",I26)))</formula>
    </cfRule>
  </conditionalFormatting>
  <conditionalFormatting sqref="N12">
    <cfRule type="expression" dxfId="645" priority="51">
      <formula>$Q$12="yes"</formula>
    </cfRule>
    <cfRule type="containsText" dxfId="644" priority="67" operator="containsText" text="Spend">
      <formula>NOT(ISERROR(SEARCH("Spend",N12)))</formula>
    </cfRule>
    <cfRule type="containsText" dxfId="643" priority="71" operator="containsText" text="Approve">
      <formula>NOT(ISERROR(SEARCH("Approve",N12)))</formula>
    </cfRule>
  </conditionalFormatting>
  <conditionalFormatting sqref="N13:N16">
    <cfRule type="containsText" dxfId="642" priority="66" operator="containsText" text="Reject">
      <formula>NOT(ISERROR(SEARCH("Reject",N13)))</formula>
    </cfRule>
    <cfRule type="containsText" dxfId="641" priority="70" operator="containsText" text="Approve">
      <formula>NOT(ISERROR(SEARCH("Approve",N13)))</formula>
    </cfRule>
  </conditionalFormatting>
  <conditionalFormatting sqref="E16">
    <cfRule type="cellIs" dxfId="640" priority="63" operator="notEqual">
      <formula>0</formula>
    </cfRule>
  </conditionalFormatting>
  <conditionalFormatting sqref="Q40:R41">
    <cfRule type="expression" dxfId="639" priority="2">
      <formula>H41&lt;0</formula>
    </cfRule>
  </conditionalFormatting>
  <conditionalFormatting sqref="N13">
    <cfRule type="expression" dxfId="638" priority="48">
      <formula>$Q$13="Yes"</formula>
    </cfRule>
  </conditionalFormatting>
  <conditionalFormatting sqref="Q11:R11">
    <cfRule type="expression" dxfId="637" priority="42">
      <formula>OR($N$13="Reject",$N$13="")</formula>
    </cfRule>
    <cfRule type="expression" dxfId="636" priority="45">
      <formula>$N$12="Spend"</formula>
    </cfRule>
  </conditionalFormatting>
  <conditionalFormatting sqref="Q12:R12">
    <cfRule type="expression" dxfId="635" priority="44">
      <formula>$N$12="spend"</formula>
    </cfRule>
  </conditionalFormatting>
  <conditionalFormatting sqref="Q13:R13">
    <cfRule type="expression" dxfId="634" priority="43">
      <formula>OR($N$13="Reject",$N$13="")</formula>
    </cfRule>
  </conditionalFormatting>
  <conditionalFormatting sqref="R23">
    <cfRule type="containsText" dxfId="633" priority="37" operator="containsText" text="Caution">
      <formula>NOT(ISERROR(SEARCH("Caution",R23)))</formula>
    </cfRule>
  </conditionalFormatting>
  <conditionalFormatting sqref="N23">
    <cfRule type="expression" dxfId="632" priority="1">
      <formula>$T$23="Yes"</formula>
    </cfRule>
    <cfRule type="expression" dxfId="631" priority="26" stopIfTrue="1">
      <formula>$Q$23="Yes"</formula>
    </cfRule>
    <cfRule type="containsText" dxfId="630" priority="29" operator="containsText" text="Reject">
      <formula>NOT(ISERROR(SEARCH("Reject",N23)))</formula>
    </cfRule>
    <cfRule type="containsText" dxfId="629" priority="30" operator="containsText" text="Caution">
      <formula>NOT(ISERROR(SEARCH("Caution",N23)))</formula>
    </cfRule>
    <cfRule type="expression" dxfId="628" priority="31">
      <formula>$N$23="Approve"</formula>
    </cfRule>
  </conditionalFormatting>
  <conditionalFormatting sqref="Q21:R22">
    <cfRule type="expression" dxfId="627" priority="12">
      <formula>$U$1=""</formula>
    </cfRule>
    <cfRule type="expression" dxfId="626" priority="13">
      <formula>$U$1="Caution"</formula>
    </cfRule>
    <cfRule type="expression" dxfId="625" priority="14">
      <formula>$U$1="Reject"</formula>
    </cfRule>
    <cfRule type="expression" dxfId="624" priority="15">
      <formula>AND($Q$23&lt;&gt;"Yes",$U$1="Approve")</formula>
    </cfRule>
    <cfRule type="expression" dxfId="623" priority="16">
      <formula>AND($Q$23="Yes",$U$1="Approve")</formula>
    </cfRule>
  </conditionalFormatting>
  <conditionalFormatting sqref="Q23:R23">
    <cfRule type="expression" dxfId="622" priority="7">
      <formula>$U$1=""</formula>
    </cfRule>
    <cfRule type="expression" dxfId="621" priority="8">
      <formula>$U$1="Caution"</formula>
    </cfRule>
    <cfRule type="expression" dxfId="620" priority="9">
      <formula>$U$1="Reject"</formula>
    </cfRule>
    <cfRule type="expression" dxfId="619" priority="10">
      <formula>AND($Q$23&lt;&gt;"Yes",$U$1="Approve")</formula>
    </cfRule>
    <cfRule type="expression" dxfId="618" priority="11">
      <formula>AND($Q$23="Yes",$U$1="Approve")</formula>
    </cfRule>
  </conditionalFormatting>
  <conditionalFormatting sqref="N41">
    <cfRule type="expression" dxfId="617" priority="3">
      <formula>$Q$41="Yes"</formula>
    </cfRule>
    <cfRule type="expression" dxfId="616" priority="4">
      <formula>$H$36&gt;0</formula>
    </cfRule>
    <cfRule type="containsText" dxfId="615" priority="5" operator="containsText" text="Reject">
      <formula>NOT(ISERROR(SEARCH("Reject",N41)))</formula>
    </cfRule>
    <cfRule type="expression" dxfId="614" priority="6">
      <formula>N41="Approve"</formula>
    </cfRule>
  </conditionalFormatting>
  <conditionalFormatting sqref="Q41:R41">
    <cfRule type="expression" dxfId="613" priority="57">
      <formula>OR($N$41="Reject",$Q$41="Yes")</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3 Q12:Q13 Q41"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1" id="{41635243-D390-48D9-8FE0-4CCDC518C0E6}">
            <xm:f>IF(AND(NOT(ISBLANK(Welcome!H10)),Welcome!$D$10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20" id="{4FFD9646-6430-44B4-989D-B43A6A28BC70}">
            <xm:f>IF(AND(NOT(ISBLANK(Welcome!H10)),Welcome!$D$10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7" id="{35364305-5EBF-4F8A-AD4C-CE98152733EC}">
            <xm:f>AND($N$23 &lt;&gt; "Caution",Incentives!K147&gt;ROUNDUP((((VLOOKUP('Variable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N23</xm:sqref>
        </x14:conditionalFormatting>
        <x14:conditionalFormatting xmlns:xm="http://schemas.microsoft.com/office/excel/2006/main">
          <x14:cfRule type="expression" priority="19" id="{EB726641-F8BC-4ADF-8C45-31C300D5EA89}">
            <xm:f>IF(AND(NOT(ISBLANK(Welcome!H10)),Welcome!$D$10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8" id="{905B42C3-BE8C-40F1-AFD9-AFB4F35D9567}">
            <xm:f>IF(AND(NOT(ISBLANK(Welcome!H10)),Welcome!$D$10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AA56"/>
  <sheetViews>
    <sheetView showGridLines="0" topLeftCell="B1" zoomScale="80" zoomScaleNormal="80" zoomScaleSheetLayoutView="70" workbookViewId="0">
      <selection activeCell="K14" sqref="K14"/>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10" width="20.7109375" customWidth="1"/>
    <col min="11" max="12" width="19.7109375" style="682" customWidth="1"/>
    <col min="13" max="13" width="26.42578125" style="682" customWidth="1"/>
    <col min="14" max="14" width="20.42578125" style="682" hidden="1" customWidth="1"/>
    <col min="15" max="15" width="20.42578125" style="726" hidden="1" customWidth="1"/>
    <col min="16" max="16" width="5" customWidth="1"/>
    <col min="17" max="17" width="8.85546875" style="573" customWidth="1"/>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 min="24" max="27" width="8.85546875" hidden="1" customWidth="1"/>
  </cols>
  <sheetData>
    <row r="1" spans="3:26" ht="15.75" thickBot="1" x14ac:dyDescent="0.3">
      <c r="R1" s="258" t="s">
        <v>641</v>
      </c>
      <c r="S1" s="258" t="s">
        <v>642</v>
      </c>
      <c r="T1" s="258" t="s">
        <v>643</v>
      </c>
      <c r="U1" s="134"/>
      <c r="W1" s="329" t="s">
        <v>881</v>
      </c>
      <c r="Z1">
        <f>ROW(F54)</f>
        <v>54</v>
      </c>
    </row>
    <row r="2" spans="3:26" s="5" customFormat="1" ht="22.5" customHeight="1" x14ac:dyDescent="0.25">
      <c r="C2" s="1926" t="s">
        <v>644</v>
      </c>
      <c r="D2" s="1927"/>
      <c r="E2" s="1927"/>
      <c r="F2" s="1927"/>
      <c r="G2" s="1927"/>
      <c r="H2" s="1927"/>
      <c r="I2" s="1927"/>
      <c r="J2" s="1927"/>
      <c r="K2" s="1927"/>
      <c r="L2" s="1927"/>
      <c r="M2" s="1927"/>
      <c r="N2" s="1927"/>
      <c r="O2" s="1927"/>
      <c r="P2" s="1928"/>
      <c r="Q2" s="574"/>
      <c r="R2" s="259" t="s">
        <v>645</v>
      </c>
      <c r="S2" s="259" t="s">
        <v>646</v>
      </c>
      <c r="T2" s="259" t="s">
        <v>482</v>
      </c>
      <c r="V2" s="5" t="s">
        <v>882</v>
      </c>
      <c r="W2" s="5">
        <f>IF(Welcome!D18=W3,0,Welcome!D18)</f>
        <v>0</v>
      </c>
      <c r="Z2" s="5">
        <f>Z1+2</f>
        <v>56</v>
      </c>
    </row>
    <row r="3" spans="3:26" x14ac:dyDescent="0.25">
      <c r="C3" s="502"/>
      <c r="D3" s="260"/>
      <c r="E3" s="260"/>
      <c r="F3" s="260"/>
      <c r="G3" s="260"/>
      <c r="H3" s="260"/>
      <c r="I3" s="260"/>
      <c r="J3" s="260"/>
      <c r="K3" s="260"/>
      <c r="L3" s="260"/>
      <c r="M3" s="260"/>
      <c r="N3" s="260"/>
      <c r="O3" s="260"/>
      <c r="P3" s="503"/>
      <c r="R3" s="1" t="s">
        <v>647</v>
      </c>
      <c r="S3" s="1" t="s">
        <v>648</v>
      </c>
      <c r="T3" s="1" t="s">
        <v>481</v>
      </c>
      <c r="W3" t="s">
        <v>454</v>
      </c>
    </row>
    <row r="4" spans="3:26" x14ac:dyDescent="0.25">
      <c r="C4" s="137"/>
      <c r="E4" s="331" t="s">
        <v>844</v>
      </c>
      <c r="F4" s="1929"/>
      <c r="G4" s="1929"/>
      <c r="P4" s="504"/>
      <c r="T4" s="1" t="s">
        <v>480</v>
      </c>
    </row>
    <row r="5" spans="3:26" x14ac:dyDescent="0.25">
      <c r="C5" s="137"/>
      <c r="E5" s="331"/>
      <c r="P5" s="138"/>
    </row>
    <row r="6" spans="3:26" x14ac:dyDescent="0.25">
      <c r="C6" s="137"/>
      <c r="E6" s="136" t="s">
        <v>1171</v>
      </c>
      <c r="F6" s="1929"/>
      <c r="G6" s="1929"/>
      <c r="P6" s="138"/>
    </row>
    <row r="7" spans="3:26" x14ac:dyDescent="0.25">
      <c r="C7" s="137"/>
      <c r="E7" s="136"/>
      <c r="P7" s="138"/>
    </row>
    <row r="8" spans="3:26" x14ac:dyDescent="0.25">
      <c r="C8" s="137"/>
      <c r="E8" s="136" t="s">
        <v>1172</v>
      </c>
      <c r="F8" s="1929"/>
      <c r="G8" s="1929"/>
      <c r="P8" s="138"/>
      <c r="R8" t="str" cm="1">
        <f t="array" ref="R8">RemoveSpecChar(F8)</f>
        <v/>
      </c>
    </row>
    <row r="9" spans="3:26" x14ac:dyDescent="0.25">
      <c r="C9" s="137"/>
      <c r="E9" s="136" t="s">
        <v>1173</v>
      </c>
      <c r="F9" s="1929"/>
      <c r="G9" s="1929"/>
      <c r="P9" s="138"/>
    </row>
    <row r="10" spans="3:26" x14ac:dyDescent="0.25">
      <c r="C10" s="137"/>
      <c r="E10" s="136" t="s">
        <v>836</v>
      </c>
      <c r="F10" s="1929"/>
      <c r="G10" s="1929"/>
      <c r="P10" s="138"/>
    </row>
    <row r="11" spans="3:26" x14ac:dyDescent="0.25">
      <c r="C11" s="137"/>
      <c r="E11" s="136" t="s">
        <v>798</v>
      </c>
      <c r="F11" s="1929"/>
      <c r="G11" s="1929"/>
      <c r="P11" s="138"/>
    </row>
    <row r="12" spans="3:26" x14ac:dyDescent="0.25">
      <c r="C12" s="137"/>
      <c r="E12" s="136" t="s">
        <v>1174</v>
      </c>
      <c r="F12" s="1929"/>
      <c r="G12" s="1929"/>
      <c r="P12" s="138"/>
    </row>
    <row r="13" spans="3:26" x14ac:dyDescent="0.25">
      <c r="C13" s="137"/>
      <c r="E13" s="136"/>
      <c r="F13" s="1931"/>
      <c r="G13" s="1931"/>
      <c r="P13" s="138"/>
    </row>
    <row r="14" spans="3:26" x14ac:dyDescent="0.25">
      <c r="C14" s="137"/>
      <c r="E14" s="136" t="s">
        <v>1175</v>
      </c>
      <c r="F14" s="1930"/>
      <c r="G14" s="1930"/>
      <c r="H14" s="513"/>
      <c r="P14" s="138"/>
      <c r="Q14" s="618">
        <f>WEEKDAY(F14,2)</f>
        <v>6</v>
      </c>
    </row>
    <row r="15" spans="3:26" s="682" customFormat="1" ht="13.5" customHeight="1" x14ac:dyDescent="0.25">
      <c r="C15" s="137"/>
      <c r="F15" s="950" t="s">
        <v>956</v>
      </c>
      <c r="G15" s="950" t="str">
        <f>IF(F14="","",TEXT(F14,"dddd"))</f>
        <v/>
      </c>
      <c r="O15" s="726"/>
      <c r="P15" s="138"/>
      <c r="Q15" s="573"/>
    </row>
    <row r="16" spans="3:26" s="682" customFormat="1" ht="13.5" customHeight="1" x14ac:dyDescent="0.25">
      <c r="C16" s="137"/>
      <c r="F16" s="697"/>
      <c r="G16" s="697"/>
      <c r="O16" s="726"/>
      <c r="P16" s="138"/>
      <c r="Q16" s="573"/>
    </row>
    <row r="17" spans="1:18" s="682" customFormat="1" ht="13.5" customHeight="1" x14ac:dyDescent="0.25">
      <c r="C17" s="137"/>
      <c r="E17" s="136" t="s">
        <v>1176</v>
      </c>
      <c r="F17" s="1932" t="str">
        <f>IF(F14="","",IF('Agreement Worksheet'!J5="End of Week",F14+(364*IF(OR(Welcome!D16="Select Term",Welcome!D16=""),0,Welcome!D16))+6,R17-1))</f>
        <v/>
      </c>
      <c r="G17" s="1932"/>
      <c r="O17" s="726"/>
      <c r="P17" s="138"/>
      <c r="Q17" s="573"/>
      <c r="R17" s="1525" t="str">
        <f>IF(F14="","",DATE(YEAR(F14)+IF(OR(Welcome!D16="Select Term",Welcome!D16=""),0,Welcome!D16),MONTH(F14),DAY(F14)))</f>
        <v/>
      </c>
    </row>
    <row r="18" spans="1:18" ht="13.5" customHeight="1" x14ac:dyDescent="0.25">
      <c r="C18" s="137"/>
      <c r="F18" s="1495"/>
      <c r="G18" s="1495"/>
      <c r="P18" s="138"/>
    </row>
    <row r="19" spans="1:18" s="617" customFormat="1" ht="14.25" customHeight="1" x14ac:dyDescent="0.25">
      <c r="C19" s="137"/>
      <c r="E19" s="136" t="s">
        <v>1177</v>
      </c>
      <c r="F19" s="1924" t="str">
        <f>Welcome!D10</f>
        <v>Please Select</v>
      </c>
      <c r="G19" s="1925"/>
      <c r="K19" s="682"/>
      <c r="L19" s="682"/>
      <c r="M19" s="682"/>
      <c r="N19" s="682"/>
      <c r="O19" s="726"/>
      <c r="P19" s="138"/>
      <c r="Q19" s="573"/>
    </row>
    <row r="20" spans="1:18" s="617" customFormat="1" ht="26.45" customHeight="1" x14ac:dyDescent="0.25">
      <c r="C20" s="137"/>
      <c r="K20" s="682"/>
      <c r="L20" s="682"/>
      <c r="M20" s="682"/>
      <c r="N20" s="682"/>
      <c r="O20" s="726"/>
      <c r="P20" s="138"/>
      <c r="Q20" s="573"/>
    </row>
    <row r="21" spans="1:18" ht="24.6" customHeight="1" x14ac:dyDescent="0.25">
      <c r="C21" s="137"/>
      <c r="E21" s="330" t="s">
        <v>1063</v>
      </c>
      <c r="P21" s="138"/>
    </row>
    <row r="22" spans="1:18" ht="44.25" customHeight="1" thickBot="1" x14ac:dyDescent="0.3">
      <c r="C22" s="137"/>
      <c r="E22" s="683" t="s">
        <v>1178</v>
      </c>
      <c r="F22" s="332" t="s">
        <v>766</v>
      </c>
      <c r="G22" s="332" t="s">
        <v>767</v>
      </c>
      <c r="H22" s="332" t="s">
        <v>768</v>
      </c>
      <c r="I22" s="332" t="s">
        <v>769</v>
      </c>
      <c r="J22" s="332" t="s">
        <v>204</v>
      </c>
      <c r="K22" s="332" t="s">
        <v>765</v>
      </c>
      <c r="L22" s="332" t="s">
        <v>1179</v>
      </c>
      <c r="M22" s="683" t="s">
        <v>1180</v>
      </c>
      <c r="N22" s="683" t="s">
        <v>1181</v>
      </c>
      <c r="O22" s="683" t="s">
        <v>1297</v>
      </c>
      <c r="P22" s="138"/>
      <c r="Q22" s="1284"/>
    </row>
    <row r="23" spans="1:18" x14ac:dyDescent="0.25">
      <c r="A23" s="697">
        <v>1</v>
      </c>
      <c r="C23" s="137"/>
      <c r="D23" s="526" t="str">
        <f t="shared" ref="D23:D32" si="0">IF($A23&lt;=$W$2,A23,"")</f>
        <v/>
      </c>
      <c r="E23" s="527" t="str">
        <f>IF('Customer Inputs'!G6&lt;&gt;"",'Customer Inputs'!G6,"")</f>
        <v/>
      </c>
      <c r="F23" s="592" t="str">
        <f>IFERROR(IFERROR(VLOOKUP(E23,'Customer Info'!A:B,2,0),VLOOKUP(""&amp;E23,'Customer Info'!A:B,2,0)),"")</f>
        <v/>
      </c>
      <c r="G23" s="593" t="str">
        <f>IFERROR(IFERROR(VLOOKUP(E23,'Customer Info'!A:C,3,0),VLOOKUP(""&amp;E23,'Customer Info'!A:C,3,0)),"")</f>
        <v/>
      </c>
      <c r="H23" s="593" t="str">
        <f>IFERROR(IFERROR(VLOOKUP(E23,'Customer Info'!A:D,4,0),VLOOKUP(""&amp;E23,'Customer Info'!A:D,4,0)),"")</f>
        <v/>
      </c>
      <c r="I23" s="594" t="str">
        <f>IFERROR(IFERROR(VLOOKUP(E23,'Customer Info'!A:E,5,0),VLOOKUP(""&amp;E23,'Customer Info'!A:E,5,0)),"")</f>
        <v/>
      </c>
      <c r="J23" s="594" t="str">
        <f>IFERROR(IFERROR(VLOOKUP(E23,'Customer Info'!A:F,6,0),VLOOKUP(""&amp;E23,'Customer Info'!A:F,6,0)),"")</f>
        <v/>
      </c>
      <c r="K23" s="1407" t="str">
        <f>IF($F$14 = "","",IF(D23="","",IF(Q23="Yes",S23,$F$14)))</f>
        <v/>
      </c>
      <c r="L23" s="1407" t="str">
        <f t="shared" ref="L23:L31" si="1">IF($F$17 = "","",$F$17)</f>
        <v/>
      </c>
      <c r="M23" s="594"/>
      <c r="N23" s="594" t="s">
        <v>646</v>
      </c>
      <c r="O23" s="594" t="s">
        <v>646</v>
      </c>
      <c r="P23" s="138"/>
      <c r="Q23" s="573" t="str">
        <f>IF('Customer Inputs'!BE6="Yes","Yes","")</f>
        <v/>
      </c>
    </row>
    <row r="24" spans="1:18" x14ac:dyDescent="0.25">
      <c r="A24" s="697">
        <v>2</v>
      </c>
      <c r="C24" s="137"/>
      <c r="D24" s="526" t="str">
        <f t="shared" si="0"/>
        <v/>
      </c>
      <c r="E24" s="527" t="str">
        <f>IF('Customer Inputs'!G7&lt;&gt;"",'Customer Inputs'!G7,"")</f>
        <v/>
      </c>
      <c r="F24" s="592" t="str">
        <f>IFERROR(IFERROR(VLOOKUP(E24,'Customer Info'!A:B,2,0),VLOOKUP(""&amp;E24,'Customer Info'!A:B,2,0)),"")</f>
        <v/>
      </c>
      <c r="G24" s="593" t="str">
        <f>IFERROR(IFERROR(VLOOKUP(E24,'Customer Info'!A:C,3,0),VLOOKUP(""&amp;E24,'Customer Info'!A:C,3,0)),"")</f>
        <v/>
      </c>
      <c r="H24" s="593" t="str">
        <f>IFERROR(IFERROR(VLOOKUP(E24,'Customer Info'!A:D,4,0),VLOOKUP(""&amp;E24,'Customer Info'!A:D,4,0)),"")</f>
        <v/>
      </c>
      <c r="I24" s="594" t="str">
        <f>IFERROR(IFERROR(VLOOKUP(E24,'Customer Info'!A:E,5,0),VLOOKUP(""&amp;E24,'Customer Info'!A:E,5,0)),"")</f>
        <v/>
      </c>
      <c r="J24" s="594" t="str">
        <f>IFERROR(IFERROR(VLOOKUP(E24,'Customer Info'!A:F,6,0),VLOOKUP(""&amp;E24,'Customer Info'!A:F,6,0)),"")</f>
        <v/>
      </c>
      <c r="K24" s="1407" t="str">
        <f t="shared" ref="K24:K32" si="2">IF($F$14 = "","",IF(D24="","",IF(Q24="Yes",S24,$F$14)))</f>
        <v/>
      </c>
      <c r="L24" s="1408" t="str">
        <f t="shared" si="1"/>
        <v/>
      </c>
      <c r="M24" s="594"/>
      <c r="N24" s="594" t="s">
        <v>646</v>
      </c>
      <c r="O24" s="761" t="s">
        <v>646</v>
      </c>
      <c r="P24" s="138"/>
      <c r="Q24" s="573" t="str">
        <f>IF('Customer Inputs'!BE7="Yes","Yes","")</f>
        <v/>
      </c>
    </row>
    <row r="25" spans="1:18" x14ac:dyDescent="0.25">
      <c r="A25" s="697">
        <v>3</v>
      </c>
      <c r="C25" s="137"/>
      <c r="D25" s="526" t="str">
        <f t="shared" si="0"/>
        <v/>
      </c>
      <c r="E25" s="527" t="str">
        <f>IF('Customer Inputs'!G8&lt;&gt;"",'Customer Inputs'!G8,"")</f>
        <v/>
      </c>
      <c r="F25" s="592" t="str">
        <f>IFERROR(IFERROR(VLOOKUP(E25,'Customer Info'!A:B,2,0),VLOOKUP(""&amp;E25,'Customer Info'!A:B,2,0)),"")</f>
        <v/>
      </c>
      <c r="G25" s="593" t="str">
        <f>IFERROR(IFERROR(VLOOKUP(E25,'Customer Info'!A:C,3,0),VLOOKUP(""&amp;E25,'Customer Info'!A:C,3,0)),"")</f>
        <v/>
      </c>
      <c r="H25" s="593" t="str">
        <f>IFERROR(IFERROR(VLOOKUP(E25,'Customer Info'!A:D,4,0),VLOOKUP(""&amp;E25,'Customer Info'!A:D,4,0)),"")</f>
        <v/>
      </c>
      <c r="I25" s="594" t="str">
        <f>IFERROR(IFERROR(VLOOKUP(E25,'Customer Info'!A:E,5,0),VLOOKUP(""&amp;E25,'Customer Info'!A:E,5,0)),"")</f>
        <v/>
      </c>
      <c r="J25" s="594" t="str">
        <f>IFERROR(IFERROR(VLOOKUP(E25,'Customer Info'!A:F,6,0),VLOOKUP(""&amp;E25,'Customer Info'!A:F,6,0)),"")</f>
        <v/>
      </c>
      <c r="K25" s="1407" t="str">
        <f t="shared" si="2"/>
        <v/>
      </c>
      <c r="L25" s="1408" t="str">
        <f t="shared" si="1"/>
        <v/>
      </c>
      <c r="M25" s="594"/>
      <c r="N25" s="594" t="s">
        <v>646</v>
      </c>
      <c r="O25" s="761" t="s">
        <v>646</v>
      </c>
      <c r="P25" s="138"/>
      <c r="Q25" s="573" t="str">
        <f>IF('Customer Inputs'!BE8="Yes","Yes","")</f>
        <v/>
      </c>
    </row>
    <row r="26" spans="1:18" x14ac:dyDescent="0.25">
      <c r="A26" s="697">
        <v>4</v>
      </c>
      <c r="C26" s="137"/>
      <c r="D26" s="526" t="str">
        <f t="shared" si="0"/>
        <v/>
      </c>
      <c r="E26" s="527" t="str">
        <f>IF('Customer Inputs'!G9&lt;&gt;"",'Customer Inputs'!G9,"")</f>
        <v/>
      </c>
      <c r="F26" s="592" t="str">
        <f>IFERROR(IFERROR(VLOOKUP(E26,'Customer Info'!A:B,2,0),VLOOKUP(""&amp;E26,'Customer Info'!A:B,2,0)),"")</f>
        <v/>
      </c>
      <c r="G26" s="593" t="str">
        <f>IFERROR(IFERROR(VLOOKUP(E26,'Customer Info'!A:C,3,0),VLOOKUP(""&amp;E26,'Customer Info'!A:C,3,0)),"")</f>
        <v/>
      </c>
      <c r="H26" s="593" t="str">
        <f>IFERROR(IFERROR(VLOOKUP(E26,'Customer Info'!A:D,4,0),VLOOKUP(""&amp;E26,'Customer Info'!A:D,4,0)),"")</f>
        <v/>
      </c>
      <c r="I26" s="594" t="str">
        <f>IFERROR(IFERROR(VLOOKUP(E26,'Customer Info'!A:E,5,0),VLOOKUP(""&amp;E26,'Customer Info'!A:E,5,0)),"")</f>
        <v/>
      </c>
      <c r="J26" s="594" t="str">
        <f>IFERROR(IFERROR(VLOOKUP(E26,'Customer Info'!A:F,6,0),VLOOKUP(""&amp;E26,'Customer Info'!A:F,6,0)),"")</f>
        <v/>
      </c>
      <c r="K26" s="1407" t="str">
        <f t="shared" si="2"/>
        <v/>
      </c>
      <c r="L26" s="1408" t="str">
        <f t="shared" si="1"/>
        <v/>
      </c>
      <c r="M26" s="594"/>
      <c r="N26" s="594" t="s">
        <v>646</v>
      </c>
      <c r="O26" s="761" t="s">
        <v>646</v>
      </c>
      <c r="P26" s="138"/>
      <c r="Q26" s="573" t="str">
        <f>IF('Customer Inputs'!BE9="Yes","Yes","")</f>
        <v/>
      </c>
    </row>
    <row r="27" spans="1:18" x14ac:dyDescent="0.25">
      <c r="A27" s="697">
        <v>5</v>
      </c>
      <c r="C27" s="137"/>
      <c r="D27" s="526" t="str">
        <f t="shared" si="0"/>
        <v/>
      </c>
      <c r="E27" s="527" t="str">
        <f>IF('Customer Inputs'!G10&lt;&gt;"",'Customer Inputs'!G10,"")</f>
        <v/>
      </c>
      <c r="F27" s="592" t="str">
        <f>IFERROR(IFERROR(VLOOKUP(E27,'Customer Info'!A:B,2,0),VLOOKUP(""&amp;E27,'Customer Info'!A:B,2,0)),"")</f>
        <v/>
      </c>
      <c r="G27" s="593" t="str">
        <f>IFERROR(IFERROR(VLOOKUP(E27,'Customer Info'!A:C,3,0),VLOOKUP(""&amp;E27,'Customer Info'!A:C,3,0)),"")</f>
        <v/>
      </c>
      <c r="H27" s="593" t="str">
        <f>IFERROR(IFERROR(VLOOKUP(E27,'Customer Info'!A:D,4,0),VLOOKUP(""&amp;E27,'Customer Info'!A:D,4,0)),"")</f>
        <v/>
      </c>
      <c r="I27" s="594" t="str">
        <f>IFERROR(IFERROR(VLOOKUP(E27,'Customer Info'!A:E,5,0),VLOOKUP(""&amp;E27,'Customer Info'!A:E,5,0)),"")</f>
        <v/>
      </c>
      <c r="J27" s="594" t="str">
        <f>IFERROR(IFERROR(VLOOKUP(E27,'Customer Info'!A:F,6,0),VLOOKUP(""&amp;E27,'Customer Info'!A:F,6,0)),"")</f>
        <v/>
      </c>
      <c r="K27" s="1407" t="str">
        <f t="shared" si="2"/>
        <v/>
      </c>
      <c r="L27" s="1408" t="str">
        <f t="shared" si="1"/>
        <v/>
      </c>
      <c r="M27" s="594"/>
      <c r="N27" s="594" t="s">
        <v>646</v>
      </c>
      <c r="O27" s="761" t="s">
        <v>646</v>
      </c>
      <c r="P27" s="138"/>
      <c r="Q27" s="573" t="str">
        <f>IF('Customer Inputs'!BE10="Yes","Yes","")</f>
        <v/>
      </c>
    </row>
    <row r="28" spans="1:18" x14ac:dyDescent="0.25">
      <c r="A28" s="697">
        <v>6</v>
      </c>
      <c r="C28" s="137"/>
      <c r="D28" s="526" t="str">
        <f t="shared" si="0"/>
        <v/>
      </c>
      <c r="E28" s="527" t="str">
        <f>IF('Customer Inputs'!G11&lt;&gt;"",'Customer Inputs'!G11,"")</f>
        <v/>
      </c>
      <c r="F28" s="592" t="str">
        <f>IFERROR(IFERROR(VLOOKUP(E28,'Customer Info'!A:B,2,0),VLOOKUP(""&amp;E28,'Customer Info'!A:B,2,0)),"")</f>
        <v/>
      </c>
      <c r="G28" s="593" t="str">
        <f>IFERROR(IFERROR(VLOOKUP(E28,'Customer Info'!A:C,3,0),VLOOKUP(""&amp;E28,'Customer Info'!A:C,3,0)),"")</f>
        <v/>
      </c>
      <c r="H28" s="593" t="str">
        <f>IFERROR(IFERROR(VLOOKUP(E28,'Customer Info'!A:D,4,0),VLOOKUP(""&amp;E28,'Customer Info'!A:D,4,0)),"")</f>
        <v/>
      </c>
      <c r="I28" s="594" t="str">
        <f>IFERROR(IFERROR(VLOOKUP(E28,'Customer Info'!A:E,5,0),VLOOKUP(""&amp;E28,'Customer Info'!A:E,5,0)),"")</f>
        <v/>
      </c>
      <c r="J28" s="594" t="str">
        <f>IFERROR(IFERROR(VLOOKUP(E28,'Customer Info'!A:F,6,0),VLOOKUP(""&amp;E28,'Customer Info'!A:F,6,0)),"")</f>
        <v/>
      </c>
      <c r="K28" s="1407" t="str">
        <f t="shared" si="2"/>
        <v/>
      </c>
      <c r="L28" s="1408" t="str">
        <f t="shared" si="1"/>
        <v/>
      </c>
      <c r="M28" s="594"/>
      <c r="N28" s="594" t="s">
        <v>646</v>
      </c>
      <c r="O28" s="761" t="s">
        <v>646</v>
      </c>
      <c r="P28" s="138"/>
      <c r="Q28" s="573" t="str">
        <f>IF('Customer Inputs'!BE11="Yes","Yes","")</f>
        <v/>
      </c>
    </row>
    <row r="29" spans="1:18" x14ac:dyDescent="0.25">
      <c r="A29" s="697">
        <v>7</v>
      </c>
      <c r="C29" s="137"/>
      <c r="D29" s="526" t="str">
        <f t="shared" si="0"/>
        <v/>
      </c>
      <c r="E29" s="527" t="str">
        <f>IF('Customer Inputs'!G12&lt;&gt;"",'Customer Inputs'!G12,"")</f>
        <v/>
      </c>
      <c r="F29" s="592" t="str">
        <f>IFERROR(IFERROR(VLOOKUP(E29,'Customer Info'!A:B,2,0),VLOOKUP(""&amp;E29,'Customer Info'!A:B,2,0)),"")</f>
        <v/>
      </c>
      <c r="G29" s="593" t="str">
        <f>IFERROR(IFERROR(VLOOKUP(E29,'Customer Info'!A:C,3,0),VLOOKUP(""&amp;E29,'Customer Info'!A:C,3,0)),"")</f>
        <v/>
      </c>
      <c r="H29" s="593" t="str">
        <f>IFERROR(IFERROR(VLOOKUP(E29,'Customer Info'!A:D,4,0),VLOOKUP(""&amp;E29,'Customer Info'!A:D,4,0)),"")</f>
        <v/>
      </c>
      <c r="I29" s="594" t="str">
        <f>IFERROR(IFERROR(VLOOKUP(E29,'Customer Info'!A:E,5,0),VLOOKUP(""&amp;E29,'Customer Info'!A:E,5,0)),"")</f>
        <v/>
      </c>
      <c r="J29" s="594" t="str">
        <f>IFERROR(IFERROR(VLOOKUP(E29,'Customer Info'!A:F,6,0),VLOOKUP(""&amp;E29,'Customer Info'!A:F,6,0)),"")</f>
        <v/>
      </c>
      <c r="K29" s="1407" t="str">
        <f t="shared" si="2"/>
        <v/>
      </c>
      <c r="L29" s="1408" t="str">
        <f t="shared" si="1"/>
        <v/>
      </c>
      <c r="M29" s="594"/>
      <c r="N29" s="594" t="s">
        <v>646</v>
      </c>
      <c r="O29" s="761" t="s">
        <v>646</v>
      </c>
      <c r="P29" s="138"/>
      <c r="Q29" s="573" t="str">
        <f>IF('Customer Inputs'!BE12="Yes","Yes","")</f>
        <v/>
      </c>
    </row>
    <row r="30" spans="1:18" x14ac:dyDescent="0.25">
      <c r="A30" s="697">
        <v>8</v>
      </c>
      <c r="C30" s="137"/>
      <c r="D30" s="526" t="str">
        <f t="shared" si="0"/>
        <v/>
      </c>
      <c r="E30" s="527" t="str">
        <f>IF('Customer Inputs'!G13&lt;&gt;"",'Customer Inputs'!G13,"")</f>
        <v/>
      </c>
      <c r="F30" s="592" t="str">
        <f>IFERROR(IFERROR(VLOOKUP(E30,'Customer Info'!A:B,2,0),VLOOKUP(""&amp;E30,'Customer Info'!A:B,2,0)),"")</f>
        <v/>
      </c>
      <c r="G30" s="593" t="str">
        <f>IFERROR(IFERROR(VLOOKUP(E30,'Customer Info'!A:C,3,0),VLOOKUP(""&amp;E30,'Customer Info'!A:C,3,0)),"")</f>
        <v/>
      </c>
      <c r="H30" s="593" t="str">
        <f>IFERROR(IFERROR(VLOOKUP(E30,'Customer Info'!A:D,4,0),VLOOKUP(""&amp;E30,'Customer Info'!A:D,4,0)),"")</f>
        <v/>
      </c>
      <c r="I30" s="594" t="str">
        <f>IFERROR(IFERROR(VLOOKUP(E30,'Customer Info'!A:E,5,0),VLOOKUP(""&amp;E30,'Customer Info'!A:E,5,0)),"")</f>
        <v/>
      </c>
      <c r="J30" s="594" t="str">
        <f>IFERROR(IFERROR(VLOOKUP(E30,'Customer Info'!A:F,6,0),VLOOKUP(""&amp;E30,'Customer Info'!A:F,6,0)),"")</f>
        <v/>
      </c>
      <c r="K30" s="1407" t="str">
        <f t="shared" si="2"/>
        <v/>
      </c>
      <c r="L30" s="1408" t="str">
        <f t="shared" si="1"/>
        <v/>
      </c>
      <c r="M30" s="594"/>
      <c r="N30" s="594" t="s">
        <v>646</v>
      </c>
      <c r="O30" s="761" t="s">
        <v>646</v>
      </c>
      <c r="P30" s="138"/>
      <c r="Q30" s="573" t="str">
        <f>IF('Customer Inputs'!BE13="Yes","Yes","")</f>
        <v/>
      </c>
    </row>
    <row r="31" spans="1:18" x14ac:dyDescent="0.25">
      <c r="A31" s="697">
        <v>9</v>
      </c>
      <c r="C31" s="137"/>
      <c r="D31" s="526" t="str">
        <f t="shared" si="0"/>
        <v/>
      </c>
      <c r="E31" s="527" t="str">
        <f>IF('Customer Inputs'!G14&lt;&gt;"",'Customer Inputs'!G14,"")</f>
        <v/>
      </c>
      <c r="F31" s="592" t="str">
        <f>IFERROR(IFERROR(VLOOKUP(E31,'Customer Info'!A:B,2,0),VLOOKUP(""&amp;E31,'Customer Info'!A:B,2,0)),"")</f>
        <v/>
      </c>
      <c r="G31" s="593" t="str">
        <f>IFERROR(IFERROR(VLOOKUP(E31,'Customer Info'!A:C,3,0),VLOOKUP(""&amp;E31,'Customer Info'!A:C,3,0)),"")</f>
        <v/>
      </c>
      <c r="H31" s="593" t="str">
        <f>IFERROR(IFERROR(VLOOKUP(E31,'Customer Info'!A:D,4,0),VLOOKUP(""&amp;E31,'Customer Info'!A:D,4,0)),"")</f>
        <v/>
      </c>
      <c r="I31" s="594" t="str">
        <f>IFERROR(IFERROR(VLOOKUP(E31,'Customer Info'!A:E,5,0),VLOOKUP(""&amp;E31,'Customer Info'!A:E,5,0)),"")</f>
        <v/>
      </c>
      <c r="J31" s="594" t="str">
        <f>IFERROR(IFERROR(VLOOKUP(E31,'Customer Info'!A:F,6,0),VLOOKUP(""&amp;E31,'Customer Info'!A:F,6,0)),"")</f>
        <v/>
      </c>
      <c r="K31" s="1407" t="str">
        <f t="shared" si="2"/>
        <v/>
      </c>
      <c r="L31" s="1408" t="str">
        <f t="shared" si="1"/>
        <v/>
      </c>
      <c r="M31" s="594"/>
      <c r="N31" s="594" t="s">
        <v>646</v>
      </c>
      <c r="O31" s="761" t="s">
        <v>646</v>
      </c>
      <c r="P31" s="138"/>
      <c r="Q31" s="573" t="str">
        <f>IF('Customer Inputs'!BE14="Yes","Yes","")</f>
        <v/>
      </c>
    </row>
    <row r="32" spans="1:18" x14ac:dyDescent="0.25">
      <c r="A32" s="697">
        <v>10</v>
      </c>
      <c r="C32" s="137"/>
      <c r="D32" s="526" t="str">
        <f t="shared" si="0"/>
        <v/>
      </c>
      <c r="E32" s="527" t="str">
        <f>IF('Customer Inputs'!G15&lt;&gt;"",'Customer Inputs'!G15,"")</f>
        <v/>
      </c>
      <c r="F32" s="592" t="str">
        <f>IFERROR(IFERROR(VLOOKUP(E32,'Customer Info'!A:B,2,0),VLOOKUP(""&amp;E32,'Customer Info'!A:B,2,0)),"")</f>
        <v/>
      </c>
      <c r="G32" s="593" t="str">
        <f>IFERROR(IFERROR(VLOOKUP(E32,'Customer Info'!A:C,3,0),VLOOKUP(""&amp;E32,'Customer Info'!A:C,3,0)),"")</f>
        <v/>
      </c>
      <c r="H32" s="593" t="str">
        <f>IFERROR(IFERROR(VLOOKUP(E32,'Customer Info'!A:D,4,0),VLOOKUP(""&amp;E32,'Customer Info'!A:D,4,0)),"")</f>
        <v/>
      </c>
      <c r="I32" s="594" t="str">
        <f>IFERROR(IFERROR(VLOOKUP(E32,'Customer Info'!A:E,5,0),VLOOKUP(""&amp;E32,'Customer Info'!A:E,5,0)),"")</f>
        <v/>
      </c>
      <c r="J32" s="594" t="str">
        <f>IFERROR(IFERROR(VLOOKUP(E32,'Customer Info'!A:F,6,0),VLOOKUP(""&amp;E32,'Customer Info'!A:F,6,0)),"")</f>
        <v/>
      </c>
      <c r="K32" s="1407" t="str">
        <f t="shared" si="2"/>
        <v/>
      </c>
      <c r="L32" s="1408" t="str">
        <f>IF($F$17 = "","",$F$17)</f>
        <v/>
      </c>
      <c r="M32" s="594"/>
      <c r="N32" s="594" t="s">
        <v>646</v>
      </c>
      <c r="O32" s="761" t="s">
        <v>646</v>
      </c>
      <c r="P32" s="138"/>
      <c r="Q32" s="573" t="str">
        <f>IF('Customer Inputs'!BE15="Yes","Yes","")</f>
        <v/>
      </c>
    </row>
    <row r="33" spans="1:17" s="1677" customFormat="1" x14ac:dyDescent="0.25">
      <c r="A33" s="697">
        <v>11</v>
      </c>
      <c r="C33" s="137"/>
      <c r="D33" s="526" t="str">
        <f t="shared" ref="D33:D42" si="3">IF($A33&lt;=$W$2,A33,"")</f>
        <v/>
      </c>
      <c r="E33" s="527" t="str">
        <f>IF('Customer Inputs'!G16&lt;&gt;"",'Customer Inputs'!G16,"")</f>
        <v/>
      </c>
      <c r="F33" s="592" t="str">
        <f>IFERROR(IFERROR(VLOOKUP(E33,'Customer Info'!A:B,2,0),VLOOKUP(""&amp;E33,'Customer Info'!A:B,2,0)),"")</f>
        <v/>
      </c>
      <c r="G33" s="593" t="str">
        <f>IFERROR(IFERROR(VLOOKUP(E33,'Customer Info'!A:C,3,0),VLOOKUP(""&amp;E33,'Customer Info'!A:C,3,0)),"")</f>
        <v/>
      </c>
      <c r="H33" s="593" t="str">
        <f>IFERROR(IFERROR(VLOOKUP(E33,'Customer Info'!A:D,4,0),VLOOKUP(""&amp;E33,'Customer Info'!A:D,4,0)),"")</f>
        <v/>
      </c>
      <c r="I33" s="594" t="str">
        <f>IFERROR(IFERROR(VLOOKUP(E33,'Customer Info'!A:E,5,0),VLOOKUP(""&amp;E33,'Customer Info'!A:E,5,0)),"")</f>
        <v/>
      </c>
      <c r="J33" s="594" t="str">
        <f>IFERROR(IFERROR(VLOOKUP(E33,'Customer Info'!A:F,6,0),VLOOKUP(""&amp;E33,'Customer Info'!A:F,6,0)),"")</f>
        <v/>
      </c>
      <c r="K33" s="1407" t="str">
        <f t="shared" ref="K33:K42" si="4">IF($F$14 = "","",IF(D33="","",IF(Q33="Yes",S33,$F$14)))</f>
        <v/>
      </c>
      <c r="L33" s="1408" t="str">
        <f t="shared" ref="L33:L42" si="5">IF($F$17 = "","",$F$17)</f>
        <v/>
      </c>
      <c r="M33" s="594"/>
      <c r="N33" s="594" t="s">
        <v>646</v>
      </c>
      <c r="O33" s="761" t="s">
        <v>646</v>
      </c>
      <c r="P33" s="138"/>
      <c r="Q33" s="573" t="str">
        <f>IF('Customer Inputs'!BE16="Yes","Yes","")</f>
        <v/>
      </c>
    </row>
    <row r="34" spans="1:17" s="1677" customFormat="1" x14ac:dyDescent="0.25">
      <c r="A34" s="697">
        <v>12</v>
      </c>
      <c r="C34" s="137"/>
      <c r="D34" s="526" t="str">
        <f t="shared" si="3"/>
        <v/>
      </c>
      <c r="E34" s="527" t="str">
        <f>IF('Customer Inputs'!G17&lt;&gt;"",'Customer Inputs'!G17,"")</f>
        <v/>
      </c>
      <c r="F34" s="592" t="str">
        <f>IFERROR(IFERROR(VLOOKUP(E34,'Customer Info'!A:B,2,0),VLOOKUP(""&amp;E34,'Customer Info'!A:B,2,0)),"")</f>
        <v/>
      </c>
      <c r="G34" s="593" t="str">
        <f>IFERROR(IFERROR(VLOOKUP(E34,'Customer Info'!A:C,3,0),VLOOKUP(""&amp;E34,'Customer Info'!A:C,3,0)),"")</f>
        <v/>
      </c>
      <c r="H34" s="593" t="str">
        <f>IFERROR(IFERROR(VLOOKUP(E34,'Customer Info'!A:D,4,0),VLOOKUP(""&amp;E34,'Customer Info'!A:D,4,0)),"")</f>
        <v/>
      </c>
      <c r="I34" s="594" t="str">
        <f>IFERROR(IFERROR(VLOOKUP(E34,'Customer Info'!A:E,5,0),VLOOKUP(""&amp;E34,'Customer Info'!A:E,5,0)),"")</f>
        <v/>
      </c>
      <c r="J34" s="594" t="str">
        <f>IFERROR(IFERROR(VLOOKUP(E34,'Customer Info'!A:F,6,0),VLOOKUP(""&amp;E34,'Customer Info'!A:F,6,0)),"")</f>
        <v/>
      </c>
      <c r="K34" s="1407" t="str">
        <f t="shared" si="4"/>
        <v/>
      </c>
      <c r="L34" s="1408" t="str">
        <f t="shared" si="5"/>
        <v/>
      </c>
      <c r="M34" s="594"/>
      <c r="N34" s="594" t="s">
        <v>646</v>
      </c>
      <c r="O34" s="761" t="s">
        <v>646</v>
      </c>
      <c r="P34" s="138"/>
      <c r="Q34" s="573" t="str">
        <f>IF('Customer Inputs'!BE17="Yes","Yes","")</f>
        <v/>
      </c>
    </row>
    <row r="35" spans="1:17" s="1677" customFormat="1" x14ac:dyDescent="0.25">
      <c r="A35" s="697">
        <v>13</v>
      </c>
      <c r="C35" s="137"/>
      <c r="D35" s="526" t="str">
        <f t="shared" si="3"/>
        <v/>
      </c>
      <c r="E35" s="527" t="str">
        <f>IF('Customer Inputs'!G18&lt;&gt;"",'Customer Inputs'!G18,"")</f>
        <v/>
      </c>
      <c r="F35" s="592" t="str">
        <f>IFERROR(IFERROR(VLOOKUP(E35,'Customer Info'!A:B,2,0),VLOOKUP(""&amp;E35,'Customer Info'!A:B,2,0)),"")</f>
        <v/>
      </c>
      <c r="G35" s="593" t="str">
        <f>IFERROR(IFERROR(VLOOKUP(E35,'Customer Info'!A:C,3,0),VLOOKUP(""&amp;E35,'Customer Info'!A:C,3,0)),"")</f>
        <v/>
      </c>
      <c r="H35" s="593" t="str">
        <f>IFERROR(IFERROR(VLOOKUP(E35,'Customer Info'!A:D,4,0),VLOOKUP(""&amp;E35,'Customer Info'!A:D,4,0)),"")</f>
        <v/>
      </c>
      <c r="I35" s="594" t="str">
        <f>IFERROR(IFERROR(VLOOKUP(E35,'Customer Info'!A:E,5,0),VLOOKUP(""&amp;E35,'Customer Info'!A:E,5,0)),"")</f>
        <v/>
      </c>
      <c r="J35" s="594" t="str">
        <f>IFERROR(IFERROR(VLOOKUP(E35,'Customer Info'!A:F,6,0),VLOOKUP(""&amp;E35,'Customer Info'!A:F,6,0)),"")</f>
        <v/>
      </c>
      <c r="K35" s="1407" t="str">
        <f t="shared" si="4"/>
        <v/>
      </c>
      <c r="L35" s="1408" t="str">
        <f t="shared" si="5"/>
        <v/>
      </c>
      <c r="M35" s="594"/>
      <c r="N35" s="594" t="s">
        <v>646</v>
      </c>
      <c r="O35" s="761" t="s">
        <v>646</v>
      </c>
      <c r="P35" s="138"/>
      <c r="Q35" s="573" t="str">
        <f>IF('Customer Inputs'!BE18="Yes","Yes","")</f>
        <v/>
      </c>
    </row>
    <row r="36" spans="1:17" s="1677" customFormat="1" x14ac:dyDescent="0.25">
      <c r="A36" s="697">
        <v>14</v>
      </c>
      <c r="C36" s="137"/>
      <c r="D36" s="526" t="str">
        <f t="shared" si="3"/>
        <v/>
      </c>
      <c r="E36" s="527" t="str">
        <f>IF('Customer Inputs'!G19&lt;&gt;"",'Customer Inputs'!G19,"")</f>
        <v/>
      </c>
      <c r="F36" s="592" t="str">
        <f>IFERROR(IFERROR(VLOOKUP(E36,'Customer Info'!A:B,2,0),VLOOKUP(""&amp;E36,'Customer Info'!A:B,2,0)),"")</f>
        <v/>
      </c>
      <c r="G36" s="593" t="str">
        <f>IFERROR(IFERROR(VLOOKUP(E36,'Customer Info'!A:C,3,0),VLOOKUP(""&amp;E36,'Customer Info'!A:C,3,0)),"")</f>
        <v/>
      </c>
      <c r="H36" s="593" t="str">
        <f>IFERROR(IFERROR(VLOOKUP(E36,'Customer Info'!A:D,4,0),VLOOKUP(""&amp;E36,'Customer Info'!A:D,4,0)),"")</f>
        <v/>
      </c>
      <c r="I36" s="594" t="str">
        <f>IFERROR(IFERROR(VLOOKUP(E36,'Customer Info'!A:E,5,0),VLOOKUP(""&amp;E36,'Customer Info'!A:E,5,0)),"")</f>
        <v/>
      </c>
      <c r="J36" s="594" t="str">
        <f>IFERROR(IFERROR(VLOOKUP(E36,'Customer Info'!A:F,6,0),VLOOKUP(""&amp;E36,'Customer Info'!A:F,6,0)),"")</f>
        <v/>
      </c>
      <c r="K36" s="1407" t="str">
        <f t="shared" si="4"/>
        <v/>
      </c>
      <c r="L36" s="1408" t="str">
        <f t="shared" si="5"/>
        <v/>
      </c>
      <c r="M36" s="594"/>
      <c r="N36" s="594" t="s">
        <v>646</v>
      </c>
      <c r="O36" s="761" t="s">
        <v>646</v>
      </c>
      <c r="P36" s="138"/>
      <c r="Q36" s="573" t="str">
        <f>IF('Customer Inputs'!BE19="Yes","Yes","")</f>
        <v/>
      </c>
    </row>
    <row r="37" spans="1:17" s="1677" customFormat="1" x14ac:dyDescent="0.25">
      <c r="A37" s="697">
        <v>15</v>
      </c>
      <c r="C37" s="137"/>
      <c r="D37" s="526" t="str">
        <f t="shared" si="3"/>
        <v/>
      </c>
      <c r="E37" s="527" t="str">
        <f>IF('Customer Inputs'!G20&lt;&gt;"",'Customer Inputs'!G20,"")</f>
        <v/>
      </c>
      <c r="F37" s="592" t="str">
        <f>IFERROR(IFERROR(VLOOKUP(E37,'Customer Info'!A:B,2,0),VLOOKUP(""&amp;E37,'Customer Info'!A:B,2,0)),"")</f>
        <v/>
      </c>
      <c r="G37" s="593" t="str">
        <f>IFERROR(IFERROR(VLOOKUP(E37,'Customer Info'!A:C,3,0),VLOOKUP(""&amp;E37,'Customer Info'!A:C,3,0)),"")</f>
        <v/>
      </c>
      <c r="H37" s="593" t="str">
        <f>IFERROR(IFERROR(VLOOKUP(E37,'Customer Info'!A:D,4,0),VLOOKUP(""&amp;E37,'Customer Info'!A:D,4,0)),"")</f>
        <v/>
      </c>
      <c r="I37" s="594" t="str">
        <f>IFERROR(IFERROR(VLOOKUP(E37,'Customer Info'!A:E,5,0),VLOOKUP(""&amp;E37,'Customer Info'!A:E,5,0)),"")</f>
        <v/>
      </c>
      <c r="J37" s="594" t="str">
        <f>IFERROR(IFERROR(VLOOKUP(E37,'Customer Info'!A:F,6,0),VLOOKUP(""&amp;E37,'Customer Info'!A:F,6,0)),"")</f>
        <v/>
      </c>
      <c r="K37" s="1407" t="str">
        <f t="shared" si="4"/>
        <v/>
      </c>
      <c r="L37" s="1408" t="str">
        <f t="shared" si="5"/>
        <v/>
      </c>
      <c r="M37" s="594"/>
      <c r="N37" s="594" t="s">
        <v>646</v>
      </c>
      <c r="O37" s="761" t="s">
        <v>646</v>
      </c>
      <c r="P37" s="138"/>
      <c r="Q37" s="573" t="str">
        <f>IF('Customer Inputs'!BE20="Yes","Yes","")</f>
        <v/>
      </c>
    </row>
    <row r="38" spans="1:17" s="1677" customFormat="1" x14ac:dyDescent="0.25">
      <c r="A38" s="697">
        <v>16</v>
      </c>
      <c r="C38" s="137"/>
      <c r="D38" s="526" t="str">
        <f t="shared" si="3"/>
        <v/>
      </c>
      <c r="E38" s="527" t="str">
        <f>IF('Customer Inputs'!G21&lt;&gt;"",'Customer Inputs'!G21,"")</f>
        <v/>
      </c>
      <c r="F38" s="592" t="str">
        <f>IFERROR(IFERROR(VLOOKUP(E38,'Customer Info'!A:B,2,0),VLOOKUP(""&amp;E38,'Customer Info'!A:B,2,0)),"")</f>
        <v/>
      </c>
      <c r="G38" s="593" t="str">
        <f>IFERROR(IFERROR(VLOOKUP(E38,'Customer Info'!A:C,3,0),VLOOKUP(""&amp;E38,'Customer Info'!A:C,3,0)),"")</f>
        <v/>
      </c>
      <c r="H38" s="593" t="str">
        <f>IFERROR(IFERROR(VLOOKUP(E38,'Customer Info'!A:D,4,0),VLOOKUP(""&amp;E38,'Customer Info'!A:D,4,0)),"")</f>
        <v/>
      </c>
      <c r="I38" s="594" t="str">
        <f>IFERROR(IFERROR(VLOOKUP(E38,'Customer Info'!A:E,5,0),VLOOKUP(""&amp;E38,'Customer Info'!A:E,5,0)),"")</f>
        <v/>
      </c>
      <c r="J38" s="594" t="str">
        <f>IFERROR(IFERROR(VLOOKUP(E38,'Customer Info'!A:F,6,0),VLOOKUP(""&amp;E38,'Customer Info'!A:F,6,0)),"")</f>
        <v/>
      </c>
      <c r="K38" s="1407" t="str">
        <f t="shared" si="4"/>
        <v/>
      </c>
      <c r="L38" s="1408" t="str">
        <f t="shared" si="5"/>
        <v/>
      </c>
      <c r="M38" s="594"/>
      <c r="N38" s="594" t="s">
        <v>646</v>
      </c>
      <c r="O38" s="761" t="s">
        <v>646</v>
      </c>
      <c r="P38" s="138"/>
      <c r="Q38" s="573" t="str">
        <f>IF('Customer Inputs'!BE21="Yes","Yes","")</f>
        <v/>
      </c>
    </row>
    <row r="39" spans="1:17" s="1677" customFormat="1" x14ac:dyDescent="0.25">
      <c r="A39" s="697">
        <v>17</v>
      </c>
      <c r="C39" s="137"/>
      <c r="D39" s="526" t="str">
        <f t="shared" si="3"/>
        <v/>
      </c>
      <c r="E39" s="527" t="str">
        <f>IF('Customer Inputs'!G22&lt;&gt;"",'Customer Inputs'!G22,"")</f>
        <v/>
      </c>
      <c r="F39" s="592" t="str">
        <f>IFERROR(IFERROR(VLOOKUP(E39,'Customer Info'!A:B,2,0),VLOOKUP(""&amp;E39,'Customer Info'!A:B,2,0)),"")</f>
        <v/>
      </c>
      <c r="G39" s="593" t="str">
        <f>IFERROR(IFERROR(VLOOKUP(E39,'Customer Info'!A:C,3,0),VLOOKUP(""&amp;E39,'Customer Info'!A:C,3,0)),"")</f>
        <v/>
      </c>
      <c r="H39" s="593" t="str">
        <f>IFERROR(IFERROR(VLOOKUP(E39,'Customer Info'!A:D,4,0),VLOOKUP(""&amp;E39,'Customer Info'!A:D,4,0)),"")</f>
        <v/>
      </c>
      <c r="I39" s="594" t="str">
        <f>IFERROR(IFERROR(VLOOKUP(E39,'Customer Info'!A:E,5,0),VLOOKUP(""&amp;E39,'Customer Info'!A:E,5,0)),"")</f>
        <v/>
      </c>
      <c r="J39" s="594" t="str">
        <f>IFERROR(IFERROR(VLOOKUP(E39,'Customer Info'!A:F,6,0),VLOOKUP(""&amp;E39,'Customer Info'!A:F,6,0)),"")</f>
        <v/>
      </c>
      <c r="K39" s="1407" t="str">
        <f t="shared" si="4"/>
        <v/>
      </c>
      <c r="L39" s="1408" t="str">
        <f t="shared" si="5"/>
        <v/>
      </c>
      <c r="M39" s="594"/>
      <c r="N39" s="594" t="s">
        <v>646</v>
      </c>
      <c r="O39" s="761" t="s">
        <v>646</v>
      </c>
      <c r="P39" s="138"/>
      <c r="Q39" s="573" t="str">
        <f>IF('Customer Inputs'!BE22="Yes","Yes","")</f>
        <v/>
      </c>
    </row>
    <row r="40" spans="1:17" s="1677" customFormat="1" x14ac:dyDescent="0.25">
      <c r="A40" s="697">
        <v>18</v>
      </c>
      <c r="C40" s="137"/>
      <c r="D40" s="526" t="str">
        <f t="shared" si="3"/>
        <v/>
      </c>
      <c r="E40" s="527" t="str">
        <f>IF('Customer Inputs'!G23&lt;&gt;"",'Customer Inputs'!G23,"")</f>
        <v/>
      </c>
      <c r="F40" s="592" t="str">
        <f>IFERROR(IFERROR(VLOOKUP(E40,'Customer Info'!A:B,2,0),VLOOKUP(""&amp;E40,'Customer Info'!A:B,2,0)),"")</f>
        <v/>
      </c>
      <c r="G40" s="593" t="str">
        <f>IFERROR(IFERROR(VLOOKUP(E40,'Customer Info'!A:C,3,0),VLOOKUP(""&amp;E40,'Customer Info'!A:C,3,0)),"")</f>
        <v/>
      </c>
      <c r="H40" s="593" t="str">
        <f>IFERROR(IFERROR(VLOOKUP(E40,'Customer Info'!A:D,4,0),VLOOKUP(""&amp;E40,'Customer Info'!A:D,4,0)),"")</f>
        <v/>
      </c>
      <c r="I40" s="594" t="str">
        <f>IFERROR(IFERROR(VLOOKUP(E40,'Customer Info'!A:E,5,0),VLOOKUP(""&amp;E40,'Customer Info'!A:E,5,0)),"")</f>
        <v/>
      </c>
      <c r="J40" s="594" t="str">
        <f>IFERROR(IFERROR(VLOOKUP(E40,'Customer Info'!A:F,6,0),VLOOKUP(""&amp;E40,'Customer Info'!A:F,6,0)),"")</f>
        <v/>
      </c>
      <c r="K40" s="1407" t="str">
        <f t="shared" si="4"/>
        <v/>
      </c>
      <c r="L40" s="1408" t="str">
        <f t="shared" si="5"/>
        <v/>
      </c>
      <c r="M40" s="594"/>
      <c r="N40" s="594" t="s">
        <v>646</v>
      </c>
      <c r="O40" s="761" t="s">
        <v>646</v>
      </c>
      <c r="P40" s="138"/>
      <c r="Q40" s="573" t="str">
        <f>IF('Customer Inputs'!BE23="Yes","Yes","")</f>
        <v/>
      </c>
    </row>
    <row r="41" spans="1:17" s="1677" customFormat="1" x14ac:dyDescent="0.25">
      <c r="A41" s="697">
        <v>19</v>
      </c>
      <c r="C41" s="137"/>
      <c r="D41" s="526" t="str">
        <f t="shared" si="3"/>
        <v/>
      </c>
      <c r="E41" s="527" t="str">
        <f>IF('Customer Inputs'!G24&lt;&gt;"",'Customer Inputs'!G24,"")</f>
        <v/>
      </c>
      <c r="F41" s="592" t="str">
        <f>IFERROR(IFERROR(VLOOKUP(E41,'Customer Info'!A:B,2,0),VLOOKUP(""&amp;E41,'Customer Info'!A:B,2,0)),"")</f>
        <v/>
      </c>
      <c r="G41" s="593" t="str">
        <f>IFERROR(IFERROR(VLOOKUP(E41,'Customer Info'!A:C,3,0),VLOOKUP(""&amp;E41,'Customer Info'!A:C,3,0)),"")</f>
        <v/>
      </c>
      <c r="H41" s="593" t="str">
        <f>IFERROR(IFERROR(VLOOKUP(E41,'Customer Info'!A:D,4,0),VLOOKUP(""&amp;E41,'Customer Info'!A:D,4,0)),"")</f>
        <v/>
      </c>
      <c r="I41" s="594" t="str">
        <f>IFERROR(IFERROR(VLOOKUP(E41,'Customer Info'!A:E,5,0),VLOOKUP(""&amp;E41,'Customer Info'!A:E,5,0)),"")</f>
        <v/>
      </c>
      <c r="J41" s="594" t="str">
        <f>IFERROR(IFERROR(VLOOKUP(E41,'Customer Info'!A:F,6,0),VLOOKUP(""&amp;E41,'Customer Info'!A:F,6,0)),"")</f>
        <v/>
      </c>
      <c r="K41" s="1407" t="str">
        <f t="shared" si="4"/>
        <v/>
      </c>
      <c r="L41" s="1408" t="str">
        <f t="shared" si="5"/>
        <v/>
      </c>
      <c r="M41" s="594"/>
      <c r="N41" s="594" t="s">
        <v>646</v>
      </c>
      <c r="O41" s="761" t="s">
        <v>646</v>
      </c>
      <c r="P41" s="138"/>
      <c r="Q41" s="573" t="str">
        <f>IF('Customer Inputs'!BE24="Yes","Yes","")</f>
        <v/>
      </c>
    </row>
    <row r="42" spans="1:17" s="1677" customFormat="1" x14ac:dyDescent="0.25">
      <c r="A42" s="697">
        <v>20</v>
      </c>
      <c r="C42" s="137"/>
      <c r="D42" s="526" t="str">
        <f t="shared" si="3"/>
        <v/>
      </c>
      <c r="E42" s="527" t="str">
        <f>IF('Customer Inputs'!G25&lt;&gt;"",'Customer Inputs'!G25,"")</f>
        <v/>
      </c>
      <c r="F42" s="592" t="str">
        <f>IFERROR(IFERROR(VLOOKUP(E42,'Customer Info'!A:B,2,0),VLOOKUP(""&amp;E42,'Customer Info'!A:B,2,0)),"")</f>
        <v/>
      </c>
      <c r="G42" s="593" t="str">
        <f>IFERROR(IFERROR(VLOOKUP(E42,'Customer Info'!A:C,3,0),VLOOKUP(""&amp;E42,'Customer Info'!A:C,3,0)),"")</f>
        <v/>
      </c>
      <c r="H42" s="593" t="str">
        <f>IFERROR(IFERROR(VLOOKUP(E42,'Customer Info'!A:D,4,0),VLOOKUP(""&amp;E42,'Customer Info'!A:D,4,0)),"")</f>
        <v/>
      </c>
      <c r="I42" s="594" t="str">
        <f>IFERROR(IFERROR(VLOOKUP(E42,'Customer Info'!A:E,5,0),VLOOKUP(""&amp;E42,'Customer Info'!A:E,5,0)),"")</f>
        <v/>
      </c>
      <c r="J42" s="594" t="str">
        <f>IFERROR(IFERROR(VLOOKUP(E42,'Customer Info'!A:F,6,0),VLOOKUP(""&amp;E42,'Customer Info'!A:F,6,0)),"")</f>
        <v/>
      </c>
      <c r="K42" s="1407" t="str">
        <f t="shared" si="4"/>
        <v/>
      </c>
      <c r="L42" s="1408" t="str">
        <f t="shared" si="5"/>
        <v/>
      </c>
      <c r="M42" s="594"/>
      <c r="N42" s="594" t="s">
        <v>646</v>
      </c>
      <c r="O42" s="761" t="s">
        <v>646</v>
      </c>
      <c r="P42" s="138"/>
      <c r="Q42" s="573" t="str">
        <f>IF('Customer Inputs'!BE25="Yes","Yes","")</f>
        <v/>
      </c>
    </row>
    <row r="43" spans="1:17" ht="15.75" thickBot="1" x14ac:dyDescent="0.3">
      <c r="C43" s="255"/>
      <c r="D43" s="550"/>
      <c r="E43" s="551"/>
      <c r="F43" s="1387"/>
      <c r="G43" s="1388"/>
      <c r="H43" s="1388"/>
      <c r="I43" s="1388"/>
      <c r="J43" s="1388"/>
      <c r="K43" s="1388"/>
      <c r="L43" s="1388"/>
      <c r="M43" s="1388"/>
      <c r="N43" s="552"/>
      <c r="O43" s="552"/>
      <c r="P43" s="512"/>
    </row>
    <row r="45" spans="1:17" s="134" customFormat="1" ht="20.25" customHeight="1" x14ac:dyDescent="0.25">
      <c r="Q45" s="572"/>
    </row>
    <row r="46" spans="1:17" s="134" customFormat="1" ht="15" customHeight="1" x14ac:dyDescent="0.25">
      <c r="Q46" s="572"/>
    </row>
    <row r="50" spans="6:17" s="134" customFormat="1" ht="21" customHeight="1" x14ac:dyDescent="0.25">
      <c r="Q50" s="572"/>
    </row>
    <row r="51" spans="6:17" s="134" customFormat="1" ht="15" customHeight="1" x14ac:dyDescent="0.25">
      <c r="Q51" s="572"/>
    </row>
    <row r="53" spans="6:17" ht="15.75" thickBot="1" x14ac:dyDescent="0.3"/>
    <row r="54" spans="6:17" ht="15.75" thickBot="1" x14ac:dyDescent="0.3">
      <c r="F54" s="1921" t="s">
        <v>1464</v>
      </c>
      <c r="G54" s="1922"/>
      <c r="H54" s="1923"/>
    </row>
    <row r="55" spans="6:17" x14ac:dyDescent="0.25">
      <c r="F55" s="829" t="s">
        <v>1411</v>
      </c>
      <c r="G55" s="830" t="s">
        <v>1465</v>
      </c>
      <c r="H55" s="831" t="s">
        <v>1466</v>
      </c>
    </row>
    <row r="56" spans="6:17" ht="15.75" thickBot="1" x14ac:dyDescent="0.3">
      <c r="F56" s="832"/>
      <c r="G56" s="833"/>
      <c r="H56" s="834"/>
    </row>
  </sheetData>
  <sheetProtection algorithmName="SHA-512" hashValue="C999AwYDaAsqMkj2aMP90WUkPkmKwuiVlInHrL1Oouu3i/1wX/0SvLU23dxxpfSIrx9x+iu5ouEsD5JvYRPaBg==" saltValue="vKwZNjcu5FY0Se/gEUvOGA==" spinCount="100000" sheet="1" objects="1" scenarios="1"/>
  <mergeCells count="13">
    <mergeCell ref="F54:H54"/>
    <mergeCell ref="F19:G19"/>
    <mergeCell ref="C2:P2"/>
    <mergeCell ref="F4:G4"/>
    <mergeCell ref="F6:G6"/>
    <mergeCell ref="F14:G14"/>
    <mergeCell ref="F13:G13"/>
    <mergeCell ref="F12:G12"/>
    <mergeCell ref="F11:G11"/>
    <mergeCell ref="F10:G10"/>
    <mergeCell ref="F9:G9"/>
    <mergeCell ref="F8:G8"/>
    <mergeCell ref="F17:G17"/>
  </mergeCells>
  <conditionalFormatting sqref="D23:O42">
    <cfRule type="expression" dxfId="607" priority="68">
      <formula>$A23&gt;$W$2</formula>
    </cfRule>
  </conditionalFormatting>
  <conditionalFormatting sqref="E23:O42">
    <cfRule type="expression" dxfId="606" priority="64">
      <formula>$D23=$W$2</formula>
    </cfRule>
  </conditionalFormatting>
  <conditionalFormatting sqref="E21:O21 F22:L22">
    <cfRule type="expression" dxfId="605" priority="65">
      <formula>$W$2=0</formula>
    </cfRule>
  </conditionalFormatting>
  <conditionalFormatting sqref="F14:G14">
    <cfRule type="expression" dxfId="604" priority="61">
      <formula>$F$14&lt;NOW()</formula>
    </cfRule>
    <cfRule type="expression" dxfId="603" priority="62">
      <formula>$Q$14&lt;&gt;7</formula>
    </cfRule>
  </conditionalFormatting>
  <conditionalFormatting sqref="E22">
    <cfRule type="expression" dxfId="602" priority="60">
      <formula>$W$2=0</formula>
    </cfRule>
  </conditionalFormatting>
  <conditionalFormatting sqref="M22">
    <cfRule type="expression" dxfId="601" priority="59">
      <formula>$W$2=0</formula>
    </cfRule>
  </conditionalFormatting>
  <conditionalFormatting sqref="N22:O22">
    <cfRule type="expression" dxfId="600" priority="58">
      <formula>$W$2=0</formula>
    </cfRule>
  </conditionalFormatting>
  <conditionalFormatting sqref="M23:M42">
    <cfRule type="expression" dxfId="599" priority="56">
      <formula>$D23=$W$2</formula>
    </cfRule>
    <cfRule type="expression" dxfId="598" priority="57">
      <formula>$A23&gt;$W$2</formula>
    </cfRule>
  </conditionalFormatting>
  <conditionalFormatting sqref="M33:M42">
    <cfRule type="expression" dxfId="597" priority="13">
      <formula>$A33&gt;$W$2</formula>
    </cfRule>
  </conditionalFormatting>
  <conditionalFormatting sqref="M33:M42">
    <cfRule type="expression" dxfId="596" priority="12">
      <formula>$D33=$W$2</formula>
    </cfRule>
  </conditionalFormatting>
  <conditionalFormatting sqref="O23:O42 F23:J42">
    <cfRule type="containsBlanks" dxfId="595" priority="69" stopIfTrue="1">
      <formula>LEN(TRIM(F23))=0</formula>
    </cfRule>
    <cfRule type="notContainsBlanks" dxfId="594" priority="70">
      <formula>LEN(TRIM(F23))&gt;0</formula>
    </cfRule>
  </conditionalFormatting>
  <dataValidations count="5">
    <dataValidation type="date" operator="greaterThan" allowBlank="1" showInputMessage="1" showErrorMessage="1" errorTitle="Date Type Error!" error="Invalid Date Data Entry!_x000a_Please format as ..._x000a_M/D/YYYY" sqref="F14:G14" xr:uid="{00000000-0002-0000-0800-000000000000}">
      <formula1>33922</formula1>
    </dataValidation>
    <dataValidation type="list" allowBlank="1" showInputMessage="1" showErrorMessage="1" sqref="M23:M42" xr:uid="{00000000-0002-0000-0800-000001000000}">
      <formula1>"Secondary, Internal"</formula1>
    </dataValidation>
    <dataValidation type="list" allowBlank="1" showInputMessage="1" showErrorMessage="1" sqref="N23:O42" xr:uid="{00000000-0002-0000-0800-000002000000}">
      <formula1>"Yes, No"</formula1>
    </dataValidation>
    <dataValidation operator="greaterThan" allowBlank="1" showInputMessage="1" showErrorMessage="1" errorTitle="Date Type Error!" error="Invalid Date Data Entry!_x000a_Please format as ..._x000a_M/D/YYYY" sqref="F17:G17" xr:uid="{F18698E8-B596-4F33-8D3E-35614A8551D2}"/>
    <dataValidation type="date" operator="greaterThanOrEqual" allowBlank="1" showInputMessage="1" showErrorMessage="1" error="Date cannot be less than Agreement Effective date" sqref="K23:K42" xr:uid="{E19AB2B6-7643-4160-96FA-607B45A5B8DA}">
      <formula1>$F$14</formula1>
    </dataValidation>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4:J32" unlockedFormula="1"/>
  </ignoredErrors>
  <drawing r:id="rId2"/>
  <extLst>
    <ext xmlns:x14="http://schemas.microsoft.com/office/spreadsheetml/2009/9/main" uri="{78C0D931-6437-407d-A8EE-F0AAD7539E65}">
      <x14:conditionalFormattings>
        <x14:conditionalFormatting xmlns:xm="http://schemas.microsoft.com/office/excel/2006/main">
          <x14:cfRule type="expression" priority="54" id="{BAF4400B-D2C6-4142-8AD5-B5E472A86AF7}">
            <xm:f>Welcome!D6="Amendment"</xm:f>
            <x14:dxf>
              <fill>
                <patternFill>
                  <bgColor theme="0" tint="-0.24994659260841701"/>
                </patternFill>
              </fill>
            </x14:dxf>
          </x14:cfRule>
          <xm:sqref>F14:G14</xm:sqref>
        </x14:conditionalFormatting>
        <x14:conditionalFormatting xmlns:xm="http://schemas.microsoft.com/office/excel/2006/main">
          <x14:cfRule type="expression" priority="32" id="{00254543-5E75-42C3-A725-894BC1B8A245}">
            <xm:f>AND('Customer Inputs'!$BE$1="copied agreement",'Customer Inputs'!$BE$7&lt;&gt;"Yes",$K$24&gt;=Welcome!$D$8)</xm:f>
            <x14:dxf>
              <fill>
                <patternFill>
                  <bgColor theme="0"/>
                </patternFill>
              </fill>
            </x14:dxf>
          </x14:cfRule>
          <x14:cfRule type="expression" priority="52" id="{1B789A79-58BC-4213-B7F1-4C33385E46AA}">
            <xm:f>AND($Q$24&lt;&gt;"Yes",$K$24&lt;Welcome!$D$8)</xm:f>
            <x14:dxf>
              <fill>
                <patternFill>
                  <bgColor rgb="FFFF0000"/>
                </patternFill>
              </fill>
            </x14:dxf>
          </x14:cfRule>
          <xm:sqref>K24</xm:sqref>
        </x14:conditionalFormatting>
        <x14:conditionalFormatting xmlns:xm="http://schemas.microsoft.com/office/excel/2006/main">
          <x14:cfRule type="expression" priority="31" id="{AFB549A0-7027-4124-89DF-A067E8DE058D}">
            <xm:f>AND('Customer Inputs'!$BE$1="copied agreement",'Customer Inputs'!$BE$8&lt;&gt;"Yes",$K$25&gt;=Welcome!$D$8)</xm:f>
            <x14:dxf>
              <fill>
                <patternFill>
                  <bgColor theme="0"/>
                </patternFill>
              </fill>
            </x14:dxf>
          </x14:cfRule>
          <x14:cfRule type="expression" priority="51" id="{692753CC-DBE8-431F-B064-E6FACB56EF6C}">
            <xm:f>AND($Q$25&lt;&gt;"Yes",$K$25&lt;Welcome!$D$8)</xm:f>
            <x14:dxf>
              <fill>
                <patternFill>
                  <bgColor rgb="FFFF0000"/>
                </patternFill>
              </fill>
            </x14:dxf>
          </x14:cfRule>
          <xm:sqref>K25</xm:sqref>
        </x14:conditionalFormatting>
        <x14:conditionalFormatting xmlns:xm="http://schemas.microsoft.com/office/excel/2006/main">
          <x14:cfRule type="expression" priority="30" id="{F5267B65-4871-418C-B72B-C412EB2B9749}">
            <xm:f>AND('Customer Inputs'!$BE$1="copied agreement",'Customer Inputs'!$BE$9&lt;&gt;"Yes",$K$26&gt;=Welcome!$D$8)</xm:f>
            <x14:dxf>
              <fill>
                <patternFill>
                  <bgColor theme="0"/>
                </patternFill>
              </fill>
            </x14:dxf>
          </x14:cfRule>
          <x14:cfRule type="expression" priority="50" id="{3BAC2F55-6133-4F21-87B6-E71630815F55}">
            <xm:f>AND($Q$26&lt;&gt;"Yes",$K$26&lt;Welcome!$D$8)</xm:f>
            <x14:dxf>
              <fill>
                <patternFill>
                  <bgColor rgb="FFFF0000"/>
                </patternFill>
              </fill>
            </x14:dxf>
          </x14:cfRule>
          <xm:sqref>K26</xm:sqref>
        </x14:conditionalFormatting>
        <x14:conditionalFormatting xmlns:xm="http://schemas.microsoft.com/office/excel/2006/main">
          <x14:cfRule type="expression" priority="29" id="{C440C114-FA73-4A0F-A530-97E235FF63B4}">
            <xm:f>AND('Customer Inputs'!$BE$1="copied agreement",'Customer Inputs'!$BE$10&lt;&gt;"Yes",$K$27&gt;=Welcome!$D$8)</xm:f>
            <x14:dxf>
              <fill>
                <patternFill>
                  <bgColor theme="0"/>
                </patternFill>
              </fill>
            </x14:dxf>
          </x14:cfRule>
          <x14:cfRule type="expression" priority="49" id="{7A94B7DC-9686-42EB-9586-3DA322719B09}">
            <xm:f>AND($Q$27&lt;&gt;"Yes",$K$27&lt;Welcome!$D$8)</xm:f>
            <x14:dxf>
              <fill>
                <patternFill>
                  <bgColor rgb="FFFF0000"/>
                </patternFill>
              </fill>
            </x14:dxf>
          </x14:cfRule>
          <xm:sqref>K27</xm:sqref>
        </x14:conditionalFormatting>
        <x14:conditionalFormatting xmlns:xm="http://schemas.microsoft.com/office/excel/2006/main">
          <x14:cfRule type="expression" priority="28" id="{B2B4F807-F4E0-485F-83C6-BCE51AD332B7}">
            <xm:f>AND('Customer Inputs'!$BE$1="copied agreement",'Customer Inputs'!$BE$11&lt;&gt;"Yes",$K$28&gt;=Welcome!$D$8)</xm:f>
            <x14:dxf>
              <fill>
                <patternFill>
                  <bgColor theme="0"/>
                </patternFill>
              </fill>
            </x14:dxf>
          </x14:cfRule>
          <x14:cfRule type="expression" priority="48" id="{A521B1E4-D354-4A9A-9013-2CFCD3C23156}">
            <xm:f>AND($Q$28&lt;&gt;"Yes",$K$28&lt;Welcome!$D$8)</xm:f>
            <x14:dxf>
              <fill>
                <patternFill>
                  <bgColor rgb="FFFF0000"/>
                </patternFill>
              </fill>
            </x14:dxf>
          </x14:cfRule>
          <xm:sqref>K28</xm:sqref>
        </x14:conditionalFormatting>
        <x14:conditionalFormatting xmlns:xm="http://schemas.microsoft.com/office/excel/2006/main">
          <x14:cfRule type="expression" priority="27" id="{FDA92157-7AE4-45B4-8A90-2662C6B03AB8}">
            <xm:f>AND('Customer Inputs'!$BE$1="copied agreement",'Customer Inputs'!$BE$12&lt;&gt;"Yes",$K$29&gt;=Welcome!$D$8)</xm:f>
            <x14:dxf>
              <fill>
                <patternFill>
                  <bgColor theme="0"/>
                </patternFill>
              </fill>
            </x14:dxf>
          </x14:cfRule>
          <x14:cfRule type="expression" priority="47" id="{0CE9DB61-9681-4DB8-A39C-BBB2CDC6AF0E}">
            <xm:f>AND($Q$29&lt;&gt;"Yes",$K$29&lt;Welcome!$D$8)</xm:f>
            <x14:dxf>
              <fill>
                <patternFill>
                  <bgColor rgb="FFFF0000"/>
                </patternFill>
              </fill>
            </x14:dxf>
          </x14:cfRule>
          <xm:sqref>K29</xm:sqref>
        </x14:conditionalFormatting>
        <x14:conditionalFormatting xmlns:xm="http://schemas.microsoft.com/office/excel/2006/main">
          <x14:cfRule type="expression" priority="26" id="{A67150E5-3C97-4780-B23B-F6D6D6CCB721}">
            <xm:f>AND('Customer Inputs'!$BE$1="copied agreement",'Customer Inputs'!$BE$13&lt;&gt;"Yes",$K$30&gt;=Welcome!$D$8)</xm:f>
            <x14:dxf>
              <fill>
                <patternFill>
                  <bgColor theme="0"/>
                </patternFill>
              </fill>
            </x14:dxf>
          </x14:cfRule>
          <x14:cfRule type="expression" priority="46" id="{BAA16287-2207-43E2-8FA8-0292B29B0567}">
            <xm:f>AND($Q$30&lt;&gt;"Yes",$K$30&lt;Welcome!$D$8)</xm:f>
            <x14:dxf>
              <fill>
                <patternFill>
                  <bgColor rgb="FFFF0000"/>
                </patternFill>
              </fill>
            </x14:dxf>
          </x14:cfRule>
          <xm:sqref>K30</xm:sqref>
        </x14:conditionalFormatting>
        <x14:conditionalFormatting xmlns:xm="http://schemas.microsoft.com/office/excel/2006/main">
          <x14:cfRule type="expression" priority="25" id="{6A26F29B-F2C0-4485-BABE-E90ADC07C914}">
            <xm:f>AND('Customer Inputs'!$BE$1="copied agreement",'Customer Inputs'!$BE$14&lt;&gt;"Yes",$K$31&gt;=Welcome!$D$8)</xm:f>
            <x14:dxf>
              <fill>
                <patternFill>
                  <bgColor theme="0"/>
                </patternFill>
              </fill>
            </x14:dxf>
          </x14:cfRule>
          <x14:cfRule type="expression" priority="45" id="{41DD1519-A5EB-4187-9704-E9C8973018A1}">
            <xm:f>AND($Q$31&lt;&gt;"Yes",$K$31&lt;Welcome!$D$8)</xm:f>
            <x14:dxf>
              <fill>
                <patternFill>
                  <bgColor rgb="FFFF0000"/>
                </patternFill>
              </fill>
            </x14:dxf>
          </x14:cfRule>
          <xm:sqref>K31</xm:sqref>
        </x14:conditionalFormatting>
        <x14:conditionalFormatting xmlns:xm="http://schemas.microsoft.com/office/excel/2006/main">
          <x14:cfRule type="expression" priority="24" id="{97B570BB-BCA6-436B-8992-0D5E0716C0E3}">
            <xm:f>AND('Customer Inputs'!$BE$1="copied agreement",'Customer Inputs'!$BE$25&lt;&gt;"Yes",$K$32&gt;=Welcome!$D$8)</xm:f>
            <x14:dxf>
              <fill>
                <patternFill>
                  <bgColor theme="0"/>
                </patternFill>
              </fill>
            </x14:dxf>
          </x14:cfRule>
          <x14:cfRule type="expression" priority="44" id="{C57741BD-4DBB-4535-A8A7-89EA66AAE873}">
            <xm:f>AND($Q$32&lt;&gt;"Yes",$K$32&lt;Welcome!$D$8)</xm:f>
            <x14:dxf>
              <fill>
                <patternFill>
                  <bgColor rgb="FFFF0000"/>
                </patternFill>
              </fill>
            </x14:dxf>
          </x14:cfRule>
          <xm:sqref>K32</xm:sqref>
        </x14:conditionalFormatting>
        <x14:conditionalFormatting xmlns:xm="http://schemas.microsoft.com/office/excel/2006/main">
          <x14:cfRule type="expression" priority="8" id="{8ACAAAD4-8DE9-446A-97DF-7F7C515F805C}">
            <xm:f>AND('Customer Inputs'!$BE$1="copied agreement",'Customer Inputs'!$BE$25&lt;&gt;"Yes",$K$32&gt;=Welcome!$D$8)</xm:f>
            <x14:dxf>
              <fill>
                <patternFill>
                  <bgColor theme="0"/>
                </patternFill>
              </fill>
            </x14:dxf>
          </x14:cfRule>
          <x14:cfRule type="expression" priority="11" id="{72A58436-05FB-47F2-8D43-195AB8A4D846}">
            <xm:f>AND($Q$32&lt;&gt;"Yes",$K$32&lt;Welcome!$D$8)</xm:f>
            <x14:dxf>
              <fill>
                <patternFill>
                  <bgColor rgb="FFFF0000"/>
                </patternFill>
              </fill>
            </x14:dxf>
          </x14:cfRule>
          <xm:sqref>K33:K42</xm:sqref>
        </x14:conditionalFormatting>
        <x14:conditionalFormatting xmlns:xm="http://schemas.microsoft.com/office/excel/2006/main">
          <x14:cfRule type="expression" priority="7" id="{42553ECD-A307-4C23-987B-CBCC0E066EEB}">
            <xm:f>AND($Q$23&lt;&gt;"Yes",$K$23&lt;Welcome!$D$8)</xm:f>
            <x14:dxf>
              <font>
                <color auto="1"/>
              </font>
              <fill>
                <patternFill>
                  <bgColor rgb="FFFF0000"/>
                </patternFill>
              </fill>
            </x14:dxf>
          </x14:cfRule>
          <x14:cfRule type="expression" priority="9" id="{0729401B-408C-4D2F-B9D7-D93D4F00ECFD}">
            <xm:f>AND('Customer Inputs'!$BE$1="copied agreement",'Customer Inputs'!$BE$6&lt;&gt;"Yes",$K$23&gt;=Welcome!$D$8)</xm:f>
            <x14:dxf>
              <fill>
                <patternFill>
                  <bgColor theme="0"/>
                </patternFill>
              </fill>
            </x14:dxf>
          </x14:cfRule>
          <xm:sqref>K33:K42</xm:sqref>
        </x14:conditionalFormatting>
        <x14:conditionalFormatting xmlns:xm="http://schemas.microsoft.com/office/excel/2006/main">
          <x14:cfRule type="expression" priority="23" id="{C638A5F5-DD5D-4A03-BA66-B93C68C4CE3C}">
            <xm:f>AND($Q23&lt;&gt;"Yes",$K23&lt;Welcome!$D$8)</xm:f>
            <x14:dxf>
              <font>
                <color auto="1"/>
              </font>
              <fill>
                <patternFill>
                  <bgColor rgb="FFFF0000"/>
                </patternFill>
              </fill>
            </x14:dxf>
          </x14:cfRule>
          <x14:cfRule type="expression" priority="33" id="{4645B3FD-E82E-489A-A439-02B6F20780E2}">
            <xm:f>AND('Customer Inputs'!$BE$1="copied agreement",'Customer Inputs'!$BE6&lt;&gt;"Yes",$K23&gt;=Welcome!$D$8)</xm:f>
            <x14:dxf>
              <fill>
                <patternFill>
                  <bgColor theme="0"/>
                </patternFill>
              </fill>
            </x14:dxf>
          </x14:cfRule>
          <xm:sqref>K23:K42</xm:sqref>
        </x14:conditionalFormatting>
        <x14:conditionalFormatting xmlns:xm="http://schemas.microsoft.com/office/excel/2006/main">
          <x14:cfRule type="expression" priority="1" id="{A3684E8B-8348-4A28-9EDD-833677A55855}">
            <xm:f>AND('Customer Inputs'!$W6="End",'Customer Inputs'!$BF6="End")</xm:f>
            <x14:dxf>
              <fill>
                <patternFill>
                  <bgColor theme="0" tint="-0.14996795556505021"/>
                </patternFill>
              </fill>
            </x14:dxf>
          </x14:cfRule>
          <x14:cfRule type="expression" priority="18" id="{94D820EC-5A21-417F-A17B-0F2997089677}">
            <xm:f>AND('Customer Inputs'!$W6="End",'Customer Inputs'!$BF6="")</xm:f>
            <x14:dxf>
              <fill>
                <patternFill>
                  <bgColor rgb="FFFFFF00"/>
                </patternFill>
              </fill>
            </x14:dxf>
          </x14:cfRule>
          <x14:cfRule type="expression" priority="19" id="{1CCED835-2CA8-47F2-877A-8BD96399423E}">
            <xm:f>AND('Customer Inputs'!$W6="Add",'Customer Inputs'!$BE6="")</xm:f>
            <x14:dxf>
              <fill>
                <patternFill>
                  <bgColor theme="0" tint="-0.14996795556505021"/>
                </patternFill>
              </fill>
            </x14:dxf>
          </x14:cfRule>
          <x14:cfRule type="expression" priority="20" id="{2B2CAE8D-72F3-4A6B-89A7-6E914D37EB46}">
            <xm:f>AND('Customer Inputs'!$W6="Add",'Customer Inputs'!$BE6="Yes")</xm:f>
            <x14:dxf>
              <fill>
                <patternFill>
                  <bgColor theme="0"/>
                </patternFill>
              </fill>
            </x14:dxf>
          </x14:cfRule>
          <x14:cfRule type="expression" priority="21" id="{627BFA96-338D-4401-BB02-3CB5812B0C38}">
            <xm:f>'Customer Inputs'!$W6="No"</xm:f>
            <x14:dxf>
              <fill>
                <patternFill>
                  <bgColor theme="0" tint="-0.14996795556505021"/>
                </patternFill>
              </fill>
            </x14:dxf>
          </x14:cfRule>
          <x14:cfRule type="expression" priority="22" id="{0E06438A-CD9E-44DF-A6DF-A62531918AD4}">
            <xm:f>OR(AND('Customer Inputs'!$BE6&lt;&gt;"Yes",Welcome!$D$6&lt;&gt;"New"),AND('Customer Inputs'!$BE6="Yes",'Customer Inputs'!$BF6&lt;&gt;"End",$E23&lt;&gt;"",Welcome!$D$6&lt;&gt;"New"))</xm:f>
            <x14:dxf>
              <fill>
                <patternFill>
                  <bgColor theme="0"/>
                </patternFill>
              </fill>
            </x14:dxf>
          </x14:cfRule>
          <xm:sqref>L23:L42</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workbookViewId="0">
      <selection activeCell="C5" sqref="C5"/>
    </sheetView>
  </sheetViews>
  <sheetFormatPr defaultRowHeight="15" x14ac:dyDescent="0.25"/>
  <cols>
    <col min="1" max="1" width="3.5703125" customWidth="1"/>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0" max="10" width="18.140625" customWidth="1"/>
    <col min="11" max="11" width="23.85546875" customWidth="1"/>
    <col min="12" max="12" width="9.140625" customWidth="1"/>
    <col min="13" max="17" width="9.140625" hidden="1" customWidth="1"/>
    <col min="18" max="18" width="9.140625" customWidth="1"/>
  </cols>
  <sheetData>
    <row r="1" spans="1:19" ht="15.75" thickBot="1" x14ac:dyDescent="0.3">
      <c r="A1" s="543"/>
      <c r="B1" s="543"/>
      <c r="C1" s="543"/>
      <c r="D1" s="543"/>
      <c r="E1" s="543"/>
      <c r="F1" s="543"/>
      <c r="G1" s="543"/>
      <c r="H1" s="543"/>
      <c r="I1" s="543"/>
      <c r="J1" s="697"/>
      <c r="K1" s="697"/>
      <c r="L1" s="697"/>
      <c r="M1" s="697"/>
      <c r="N1" s="697"/>
      <c r="O1" s="697"/>
      <c r="P1" s="697"/>
      <c r="Q1" s="697"/>
      <c r="R1" s="697"/>
      <c r="S1" s="690"/>
    </row>
    <row r="2" spans="1:19" ht="15.75" thickBot="1" x14ac:dyDescent="0.3">
      <c r="A2" s="697"/>
      <c r="B2" s="1934" t="s">
        <v>1197</v>
      </c>
      <c r="C2" s="1940"/>
      <c r="D2" s="1940"/>
      <c r="E2" s="1940"/>
      <c r="F2" s="1940"/>
      <c r="G2" s="1940"/>
      <c r="H2" s="1940"/>
      <c r="I2" s="1940"/>
      <c r="J2" s="1940"/>
      <c r="K2" s="1941"/>
      <c r="L2" s="697"/>
      <c r="M2" s="1933" t="s">
        <v>1198</v>
      </c>
      <c r="N2" s="1933"/>
      <c r="O2" s="1933"/>
      <c r="P2" s="697"/>
      <c r="Q2" s="697"/>
      <c r="R2" s="697"/>
      <c r="S2" s="690"/>
    </row>
    <row r="3" spans="1:19" ht="15.75" thickBot="1" x14ac:dyDescent="0.3">
      <c r="A3" s="697"/>
      <c r="B3" s="1023"/>
      <c r="C3" s="1024"/>
      <c r="D3" s="1024"/>
      <c r="E3" s="1024"/>
      <c r="F3" s="1024"/>
      <c r="G3" s="1024"/>
      <c r="H3" s="1024"/>
      <c r="I3" s="1404"/>
      <c r="J3" s="1404"/>
      <c r="K3" s="1403"/>
      <c r="L3" s="697"/>
      <c r="M3" s="698" t="s">
        <v>1199</v>
      </c>
      <c r="N3" s="698">
        <v>500</v>
      </c>
      <c r="O3" s="698">
        <v>25</v>
      </c>
      <c r="P3" s="697"/>
      <c r="Q3" s="697" t="s">
        <v>1199</v>
      </c>
      <c r="R3" s="697"/>
      <c r="S3" s="690"/>
    </row>
    <row r="4" spans="1:19" ht="25.5" x14ac:dyDescent="0.25">
      <c r="A4" s="697"/>
      <c r="B4" s="1051" t="s">
        <v>374</v>
      </c>
      <c r="C4" s="1052" t="s">
        <v>1200</v>
      </c>
      <c r="D4" s="1052" t="s">
        <v>1201</v>
      </c>
      <c r="E4" s="1052" t="s">
        <v>1202</v>
      </c>
      <c r="F4" s="1052" t="s">
        <v>1203</v>
      </c>
      <c r="G4" s="1053" t="s">
        <v>1204</v>
      </c>
      <c r="H4" s="1053" t="s">
        <v>1205</v>
      </c>
      <c r="I4" s="1053" t="s">
        <v>1206</v>
      </c>
      <c r="J4" s="1053" t="s">
        <v>1723</v>
      </c>
      <c r="K4" s="1055" t="s">
        <v>2072</v>
      </c>
      <c r="L4" s="697"/>
      <c r="M4" s="698" t="s">
        <v>1207</v>
      </c>
      <c r="N4" s="698">
        <v>500</v>
      </c>
      <c r="O4" s="698">
        <v>35</v>
      </c>
      <c r="P4" s="697"/>
      <c r="Q4" s="697" t="s">
        <v>1207</v>
      </c>
      <c r="R4" s="697"/>
      <c r="S4" s="690"/>
    </row>
    <row r="5" spans="1:19" ht="15.75" thickBot="1" x14ac:dyDescent="0.3">
      <c r="A5" s="697"/>
      <c r="B5" s="699">
        <f>'Existing Customers'!$AB$2</f>
        <v>0</v>
      </c>
      <c r="C5" s="691" t="s">
        <v>646</v>
      </c>
      <c r="D5" s="691" t="s">
        <v>1208</v>
      </c>
      <c r="E5" s="691" t="s">
        <v>648</v>
      </c>
      <c r="F5" s="691" t="s">
        <v>646</v>
      </c>
      <c r="G5" s="700" t="str">
        <f>IFERROR('PIM Model'!H31/('PIM Model'!E6*52*Welcome!D18),"")</f>
        <v/>
      </c>
      <c r="H5" s="700" t="str">
        <f>IFERROR('PIM Model'!G31/('PIM Model'!E6*52*Welcome!D18),"")</f>
        <v/>
      </c>
      <c r="I5" s="700" t="str">
        <f>IFERROR('PIM Model'!G31/'PIM Model'!H31,"")</f>
        <v/>
      </c>
      <c r="J5" s="691" t="s">
        <v>1724</v>
      </c>
      <c r="K5" s="1439" t="str">
        <f>IF(AND(Welcome!$D$6="New",'Required Info to Submit'!F17&lt;&gt;""),'Required Info to Submit'!F17,"")</f>
        <v/>
      </c>
      <c r="L5" s="697"/>
      <c r="M5" s="698" t="s">
        <v>1209</v>
      </c>
      <c r="N5" s="698">
        <v>500</v>
      </c>
      <c r="O5" s="698">
        <v>50</v>
      </c>
      <c r="P5" s="697"/>
      <c r="Q5" s="697" t="s">
        <v>1209</v>
      </c>
      <c r="R5" s="697"/>
      <c r="S5" s="690"/>
    </row>
    <row r="6" spans="1:19" ht="15.75" thickBot="1" x14ac:dyDescent="0.3">
      <c r="A6" s="697"/>
      <c r="B6" s="543"/>
      <c r="C6" s="543"/>
      <c r="D6" s="543"/>
      <c r="E6" s="543"/>
      <c r="F6" s="543"/>
      <c r="G6" s="543"/>
      <c r="H6" s="543"/>
      <c r="I6" s="543"/>
      <c r="J6" s="697"/>
      <c r="K6" s="697"/>
      <c r="L6" s="697"/>
      <c r="M6" s="698"/>
      <c r="N6" s="698"/>
      <c r="O6" s="698"/>
      <c r="P6" s="697"/>
      <c r="Q6" s="697" t="s">
        <v>1210</v>
      </c>
      <c r="R6" s="697"/>
      <c r="S6" s="690"/>
    </row>
    <row r="7" spans="1:19" ht="15.75" thickBot="1" x14ac:dyDescent="0.3">
      <c r="A7" s="697"/>
      <c r="B7" s="1934" t="s">
        <v>1211</v>
      </c>
      <c r="C7" s="1935"/>
      <c r="D7" s="1935"/>
      <c r="E7" s="1935"/>
      <c r="F7" s="1935"/>
      <c r="G7" s="1935"/>
      <c r="H7" s="1935"/>
      <c r="I7" s="1936"/>
      <c r="J7" s="697"/>
      <c r="K7" s="697"/>
      <c r="L7" s="697"/>
      <c r="M7" s="698" t="s">
        <v>1210</v>
      </c>
      <c r="N7" s="698">
        <v>600</v>
      </c>
      <c r="O7" s="698">
        <v>35</v>
      </c>
      <c r="P7" s="697"/>
      <c r="Q7" s="697" t="s">
        <v>1212</v>
      </c>
      <c r="R7" s="697"/>
      <c r="S7" s="690"/>
    </row>
    <row r="8" spans="1:19" x14ac:dyDescent="0.25">
      <c r="A8" s="697"/>
      <c r="B8" s="763"/>
      <c r="C8" s="764"/>
      <c r="D8" s="764"/>
      <c r="E8" s="764"/>
      <c r="F8" s="764"/>
      <c r="G8" s="764"/>
      <c r="H8" s="764"/>
      <c r="I8" s="765"/>
      <c r="J8" s="697"/>
      <c r="K8" s="697"/>
      <c r="L8" s="697"/>
      <c r="M8" s="698" t="s">
        <v>1212</v>
      </c>
      <c r="N8" s="698">
        <v>600</v>
      </c>
      <c r="O8" s="698">
        <v>50</v>
      </c>
      <c r="P8" s="697"/>
      <c r="Q8" s="697" t="s">
        <v>1213</v>
      </c>
      <c r="R8" s="697"/>
      <c r="S8" s="690"/>
    </row>
    <row r="9" spans="1:19" ht="65.25" customHeight="1" x14ac:dyDescent="0.25">
      <c r="A9" s="697"/>
      <c r="B9" s="1056" t="s">
        <v>1214</v>
      </c>
      <c r="C9" s="1057" t="s">
        <v>1215</v>
      </c>
      <c r="D9" s="1057" t="s">
        <v>1216</v>
      </c>
      <c r="E9" s="1057" t="s">
        <v>1217</v>
      </c>
      <c r="F9" s="1057" t="s">
        <v>1218</v>
      </c>
      <c r="G9" s="1057" t="s">
        <v>1219</v>
      </c>
      <c r="H9" s="1057" t="s">
        <v>1220</v>
      </c>
      <c r="I9" s="1058" t="s">
        <v>1221</v>
      </c>
      <c r="J9" s="697"/>
      <c r="K9" s="697"/>
      <c r="L9" s="697"/>
      <c r="M9" s="698" t="s">
        <v>1213</v>
      </c>
      <c r="N9" s="698">
        <v>750</v>
      </c>
      <c r="O9" s="698">
        <v>35</v>
      </c>
      <c r="P9" s="697"/>
      <c r="Q9" s="697" t="s">
        <v>1213</v>
      </c>
      <c r="R9" s="697"/>
      <c r="S9" s="690"/>
    </row>
    <row r="10" spans="1:19" x14ac:dyDescent="0.25">
      <c r="A10" s="697"/>
      <c r="B10" s="703">
        <v>85</v>
      </c>
      <c r="C10" s="704">
        <v>500</v>
      </c>
      <c r="D10" s="705" t="s">
        <v>1207</v>
      </c>
      <c r="E10" s="701">
        <f>VLOOKUP($D$10,$M$3:$O$17,2,FALSE)</f>
        <v>500</v>
      </c>
      <c r="F10" s="701">
        <f>VLOOKUP($D$10,$M$3:$O$17,3,FALSE)</f>
        <v>35</v>
      </c>
      <c r="G10" s="705" t="s">
        <v>480</v>
      </c>
      <c r="H10" s="705" t="s">
        <v>646</v>
      </c>
      <c r="I10" s="706" t="s">
        <v>1222</v>
      </c>
      <c r="J10" s="697"/>
      <c r="K10" s="697"/>
      <c r="L10" s="697"/>
      <c r="M10" s="698" t="s">
        <v>1223</v>
      </c>
      <c r="N10" s="698">
        <v>750</v>
      </c>
      <c r="O10" s="698">
        <v>50</v>
      </c>
      <c r="P10" s="697"/>
      <c r="Q10" s="697" t="s">
        <v>1224</v>
      </c>
      <c r="R10" s="697"/>
      <c r="S10" s="690"/>
    </row>
    <row r="11" spans="1:19" x14ac:dyDescent="0.25">
      <c r="A11" s="697"/>
      <c r="B11" s="766"/>
      <c r="C11" s="728"/>
      <c r="D11" s="728"/>
      <c r="E11" s="767"/>
      <c r="F11" s="767"/>
      <c r="G11" s="728"/>
      <c r="H11" s="767"/>
      <c r="I11" s="762"/>
      <c r="J11" s="697"/>
      <c r="K11" s="697"/>
      <c r="L11" s="697"/>
      <c r="M11" s="698"/>
      <c r="N11" s="698"/>
      <c r="O11" s="698"/>
      <c r="P11" s="697"/>
      <c r="Q11" s="697" t="s">
        <v>1225</v>
      </c>
      <c r="R11" s="697"/>
      <c r="S11" s="690"/>
    </row>
    <row r="12" spans="1:19" ht="48.75" customHeight="1" x14ac:dyDescent="0.25">
      <c r="A12" s="697"/>
      <c r="B12" s="1056" t="s">
        <v>1226</v>
      </c>
      <c r="C12" s="1057" t="s">
        <v>1227</v>
      </c>
      <c r="D12" s="1057" t="s">
        <v>1228</v>
      </c>
      <c r="E12" s="1057" t="s">
        <v>1229</v>
      </c>
      <c r="F12" s="1057" t="s">
        <v>1230</v>
      </c>
      <c r="G12" s="1057" t="s">
        <v>1231</v>
      </c>
      <c r="H12" s="1057" t="s">
        <v>1232</v>
      </c>
      <c r="I12" s="1058" t="s">
        <v>1233</v>
      </c>
      <c r="J12" s="697"/>
      <c r="K12" s="697"/>
      <c r="L12" s="697"/>
      <c r="M12" s="698" t="s">
        <v>1224</v>
      </c>
      <c r="N12" s="698">
        <v>1000</v>
      </c>
      <c r="O12" s="698">
        <v>35</v>
      </c>
      <c r="P12" s="697"/>
      <c r="Q12" s="697" t="s">
        <v>1234</v>
      </c>
      <c r="R12" s="697"/>
      <c r="S12" s="690"/>
    </row>
    <row r="13" spans="1:19" ht="51" customHeight="1" thickBot="1" x14ac:dyDescent="0.3">
      <c r="A13" s="697"/>
      <c r="B13" s="699" t="s">
        <v>646</v>
      </c>
      <c r="C13" s="692">
        <v>30</v>
      </c>
      <c r="D13" s="691" t="s">
        <v>479</v>
      </c>
      <c r="E13" s="702" t="s">
        <v>646</v>
      </c>
      <c r="F13" s="692">
        <v>2.25</v>
      </c>
      <c r="G13" s="692">
        <v>30</v>
      </c>
      <c r="H13" s="691" t="s">
        <v>479</v>
      </c>
      <c r="I13" s="707" t="s">
        <v>1235</v>
      </c>
      <c r="J13" s="697"/>
      <c r="K13" s="697"/>
      <c r="L13" s="697"/>
      <c r="M13" s="698" t="s">
        <v>1225</v>
      </c>
      <c r="N13" s="698">
        <v>1000</v>
      </c>
      <c r="O13" s="698">
        <v>50</v>
      </c>
      <c r="P13" s="697"/>
      <c r="Q13" s="697" t="s">
        <v>1236</v>
      </c>
      <c r="R13" s="697"/>
      <c r="S13" s="690"/>
    </row>
    <row r="14" spans="1:19" ht="15.75" thickBot="1" x14ac:dyDescent="0.3">
      <c r="A14" s="697"/>
      <c r="B14" s="543"/>
      <c r="C14" s="543"/>
      <c r="D14" s="543"/>
      <c r="E14" s="543"/>
      <c r="F14" s="543"/>
      <c r="G14" s="543"/>
      <c r="H14" s="543"/>
      <c r="I14" s="543"/>
      <c r="J14" s="697"/>
      <c r="K14" s="697"/>
      <c r="L14" s="697"/>
      <c r="M14" s="698"/>
      <c r="N14" s="698"/>
      <c r="O14" s="698"/>
      <c r="P14" s="697"/>
      <c r="Q14" s="697" t="s">
        <v>1237</v>
      </c>
      <c r="R14" s="697"/>
      <c r="S14" s="690"/>
    </row>
    <row r="15" spans="1:19" ht="15.75" thickBot="1" x14ac:dyDescent="0.3">
      <c r="A15" s="697"/>
      <c r="B15" s="1937" t="s">
        <v>1238</v>
      </c>
      <c r="C15" s="1938"/>
      <c r="D15" s="1938"/>
      <c r="E15" s="1938"/>
      <c r="F15" s="1938"/>
      <c r="G15" s="1938"/>
      <c r="H15" s="1938"/>
      <c r="I15" s="1939"/>
      <c r="J15" s="697"/>
      <c r="K15" s="697"/>
      <c r="L15" s="697"/>
      <c r="M15" s="698" t="s">
        <v>1239</v>
      </c>
      <c r="N15" s="698">
        <v>1500</v>
      </c>
      <c r="O15" s="698">
        <v>35</v>
      </c>
      <c r="P15" s="697"/>
      <c r="Q15" s="697"/>
      <c r="R15" s="697"/>
      <c r="S15" s="690"/>
    </row>
    <row r="16" spans="1:19" ht="15.75" thickBot="1" x14ac:dyDescent="0.3">
      <c r="A16" s="697"/>
      <c r="B16" s="1023"/>
      <c r="C16" s="1024"/>
      <c r="D16" s="1024"/>
      <c r="E16" s="1024"/>
      <c r="F16" s="1024"/>
      <c r="G16" s="1024"/>
      <c r="H16" s="1025"/>
      <c r="I16" s="1026"/>
      <c r="J16" s="697"/>
      <c r="K16" s="697"/>
      <c r="L16" s="697"/>
      <c r="M16" s="698" t="s">
        <v>1236</v>
      </c>
      <c r="N16" s="698">
        <v>1500</v>
      </c>
      <c r="O16" s="698">
        <v>50</v>
      </c>
      <c r="P16" s="697"/>
      <c r="Q16" s="697"/>
      <c r="R16" s="697"/>
      <c r="S16" s="690"/>
    </row>
    <row r="17" spans="1:19" ht="51" customHeight="1" x14ac:dyDescent="0.25">
      <c r="A17" s="697"/>
      <c r="B17" s="1059" t="s">
        <v>1243</v>
      </c>
      <c r="C17" s="1060" t="s">
        <v>1240</v>
      </c>
      <c r="D17" s="1060" t="s">
        <v>1241</v>
      </c>
      <c r="E17" s="1060" t="s">
        <v>1244</v>
      </c>
      <c r="F17" s="1061" t="s">
        <v>1242</v>
      </c>
      <c r="G17" s="1054" t="s">
        <v>1245</v>
      </c>
      <c r="H17" s="1062" t="s">
        <v>1262</v>
      </c>
      <c r="I17" s="1063" t="s">
        <v>1725</v>
      </c>
      <c r="J17" s="697"/>
      <c r="K17" s="697"/>
      <c r="L17" s="697"/>
      <c r="M17" s="698" t="s">
        <v>1237</v>
      </c>
      <c r="N17" s="698">
        <v>5000</v>
      </c>
      <c r="O17" s="698">
        <v>100</v>
      </c>
      <c r="P17" s="697"/>
      <c r="Q17" s="697"/>
      <c r="R17" s="697"/>
      <c r="S17" s="690"/>
    </row>
    <row r="18" spans="1:19" ht="19.5" customHeight="1" thickBot="1" x14ac:dyDescent="0.3">
      <c r="A18" s="697"/>
      <c r="B18" s="694">
        <v>13</v>
      </c>
      <c r="C18" s="693" t="s">
        <v>660</v>
      </c>
      <c r="D18" s="695">
        <v>25</v>
      </c>
      <c r="E18" s="693" t="s">
        <v>2003</v>
      </c>
      <c r="F18" s="696">
        <v>2</v>
      </c>
      <c r="G18" s="702" t="str">
        <f>IF('Pricing Schedule'!E5="PB","before","after")</f>
        <v>before</v>
      </c>
      <c r="H18" s="700" t="str">
        <f>IF(AND(Welcome!$D$6="New",'Customer Inputs'!P27&lt;&gt;0),'Customer Inputs'!P27,"")</f>
        <v/>
      </c>
      <c r="I18" s="1526" t="s">
        <v>648</v>
      </c>
      <c r="J18" s="697"/>
      <c r="K18" s="697"/>
      <c r="L18" s="697"/>
      <c r="M18" s="697"/>
      <c r="N18" s="697"/>
      <c r="O18" s="697"/>
      <c r="P18" s="697"/>
      <c r="Q18" s="697"/>
      <c r="R18" s="697"/>
      <c r="S18" s="690"/>
    </row>
    <row r="19" spans="1:19" x14ac:dyDescent="0.25">
      <c r="A19" s="697"/>
      <c r="B19" s="728"/>
      <c r="C19" s="728"/>
      <c r="D19" s="728"/>
      <c r="E19" s="728"/>
      <c r="F19" s="728"/>
      <c r="G19" s="728"/>
      <c r="H19" s="543"/>
      <c r="I19" s="543"/>
      <c r="J19" s="697"/>
      <c r="K19" s="697"/>
      <c r="L19" s="697"/>
      <c r="M19" s="697"/>
      <c r="N19" s="697"/>
      <c r="O19" s="697"/>
      <c r="P19" s="697"/>
      <c r="Q19" s="697"/>
      <c r="R19" s="697"/>
      <c r="S19" s="690"/>
    </row>
    <row r="20" spans="1:19" x14ac:dyDescent="0.25">
      <c r="A20" s="697"/>
      <c r="B20" s="543"/>
      <c r="C20" s="543"/>
      <c r="D20" s="543"/>
      <c r="E20" s="543"/>
      <c r="F20" s="543"/>
      <c r="G20" s="543"/>
      <c r="H20" s="543"/>
      <c r="I20" s="543"/>
      <c r="J20" s="697"/>
      <c r="K20" s="697"/>
      <c r="L20" s="697"/>
      <c r="M20" s="697"/>
      <c r="N20" s="697"/>
      <c r="O20" s="697"/>
      <c r="P20" s="697"/>
      <c r="Q20" s="697"/>
      <c r="R20" s="697"/>
      <c r="S20" s="690"/>
    </row>
    <row r="21" spans="1:19" x14ac:dyDescent="0.25">
      <c r="A21" s="697"/>
      <c r="B21" s="697"/>
      <c r="C21" s="697"/>
      <c r="D21" s="697"/>
      <c r="E21" s="697"/>
      <c r="F21" s="697"/>
      <c r="G21" s="697"/>
      <c r="H21" s="697"/>
      <c r="I21" s="697"/>
      <c r="J21" s="697"/>
      <c r="K21" s="697"/>
      <c r="L21" s="697"/>
      <c r="M21" s="697"/>
      <c r="N21" s="697"/>
      <c r="O21" s="697"/>
      <c r="P21" s="697"/>
      <c r="Q21" s="697"/>
      <c r="R21" s="697"/>
      <c r="S21" s="690"/>
    </row>
    <row r="22" spans="1:19" x14ac:dyDescent="0.25">
      <c r="A22" s="690"/>
      <c r="B22" s="690"/>
      <c r="C22" s="690"/>
      <c r="D22" s="690"/>
      <c r="E22" s="690"/>
      <c r="F22" s="690"/>
      <c r="G22" s="690"/>
      <c r="H22" s="690"/>
      <c r="I22" s="690"/>
      <c r="J22" s="690"/>
      <c r="K22" s="690"/>
      <c r="L22" s="690"/>
      <c r="M22" s="690"/>
      <c r="N22" s="690"/>
      <c r="O22" s="690"/>
      <c r="P22" s="690"/>
      <c r="Q22" s="690"/>
      <c r="R22" s="690"/>
      <c r="S22" s="690"/>
    </row>
    <row r="23" spans="1:19" x14ac:dyDescent="0.25">
      <c r="A23" s="690"/>
      <c r="B23" s="690"/>
      <c r="C23" s="690"/>
      <c r="D23" s="690"/>
      <c r="E23" s="690"/>
      <c r="F23" s="690"/>
      <c r="G23" s="690"/>
      <c r="H23" s="690"/>
      <c r="I23" s="690"/>
      <c r="J23" s="690"/>
      <c r="K23" s="690"/>
      <c r="L23" s="690"/>
      <c r="M23" s="690"/>
      <c r="N23" s="690"/>
      <c r="O23" s="690"/>
      <c r="P23" s="690"/>
      <c r="Q23" s="690"/>
      <c r="R23" s="690"/>
      <c r="S23" s="690"/>
    </row>
    <row r="24" spans="1:19" x14ac:dyDescent="0.25">
      <c r="A24" s="690"/>
      <c r="B24" s="690"/>
      <c r="C24" s="690"/>
      <c r="D24" s="690"/>
      <c r="E24" s="690"/>
      <c r="F24" s="690"/>
      <c r="G24" s="690"/>
      <c r="H24" s="690"/>
      <c r="I24" s="690"/>
      <c r="J24" s="690"/>
      <c r="K24" s="690"/>
      <c r="L24" s="690"/>
      <c r="M24" s="690"/>
      <c r="N24" s="690"/>
      <c r="O24" s="690"/>
      <c r="P24" s="690"/>
      <c r="Q24" s="690"/>
      <c r="R24" s="690"/>
      <c r="S24" s="690"/>
    </row>
    <row r="25" spans="1:19" x14ac:dyDescent="0.25">
      <c r="A25" s="690"/>
      <c r="B25" s="690"/>
      <c r="C25" s="690"/>
      <c r="D25" s="690"/>
      <c r="E25" s="690"/>
      <c r="F25" s="690"/>
      <c r="G25" s="690"/>
      <c r="H25" s="690"/>
      <c r="I25" s="690"/>
      <c r="J25" s="690"/>
      <c r="K25" s="690"/>
      <c r="L25" s="690"/>
      <c r="M25" s="690"/>
      <c r="N25" s="690"/>
      <c r="O25" s="690"/>
      <c r="P25" s="690"/>
      <c r="Q25" s="690"/>
      <c r="R25" s="690"/>
      <c r="S25" s="690"/>
    </row>
    <row r="26" spans="1:19" x14ac:dyDescent="0.25">
      <c r="A26" s="690"/>
      <c r="B26" s="690"/>
      <c r="C26" s="690"/>
      <c r="D26" s="690"/>
      <c r="E26" s="690"/>
      <c r="F26" s="690"/>
      <c r="G26" s="690"/>
      <c r="H26" s="690"/>
      <c r="I26" s="690"/>
      <c r="J26" s="690"/>
      <c r="K26" s="690"/>
      <c r="L26" s="690"/>
      <c r="M26" s="690"/>
      <c r="N26" s="690"/>
      <c r="O26" s="690"/>
      <c r="P26" s="690"/>
      <c r="Q26" s="690"/>
      <c r="R26" s="690"/>
      <c r="S26" s="690"/>
    </row>
    <row r="27" spans="1:19" x14ac:dyDescent="0.25">
      <c r="A27" s="690"/>
      <c r="B27" s="690"/>
      <c r="C27" s="690"/>
      <c r="D27" s="690"/>
      <c r="E27" s="690"/>
      <c r="F27" s="690"/>
      <c r="G27" s="690"/>
      <c r="H27" s="690"/>
      <c r="I27" s="690"/>
      <c r="J27" s="690"/>
      <c r="K27" s="690"/>
      <c r="L27" s="690"/>
      <c r="M27" s="690"/>
      <c r="N27" s="690"/>
      <c r="O27" s="690"/>
      <c r="P27" s="690"/>
      <c r="Q27" s="690"/>
      <c r="R27" s="690"/>
      <c r="S27" s="690"/>
    </row>
    <row r="28" spans="1:19" x14ac:dyDescent="0.25">
      <c r="A28" s="690"/>
      <c r="B28" s="690"/>
      <c r="C28" s="690"/>
      <c r="D28" s="690"/>
      <c r="E28" s="690"/>
      <c r="F28" s="690"/>
      <c r="G28" s="690"/>
      <c r="H28" s="690"/>
      <c r="I28" s="690"/>
      <c r="J28" s="690"/>
      <c r="K28" s="690"/>
      <c r="L28" s="690"/>
      <c r="M28" s="690"/>
      <c r="N28" s="690"/>
      <c r="O28" s="690"/>
      <c r="P28" s="690"/>
      <c r="Q28" s="690"/>
      <c r="R28" s="690"/>
      <c r="S28" s="690"/>
    </row>
    <row r="29" spans="1:19" x14ac:dyDescent="0.25">
      <c r="A29" s="690"/>
      <c r="B29" s="690"/>
      <c r="C29" s="690"/>
      <c r="D29" s="690"/>
      <c r="E29" s="690"/>
      <c r="F29" s="690"/>
      <c r="G29" s="690"/>
      <c r="H29" s="690"/>
      <c r="I29" s="690"/>
      <c r="J29" s="690"/>
      <c r="K29" s="690"/>
      <c r="L29" s="690"/>
      <c r="M29" s="690"/>
      <c r="N29" s="690"/>
      <c r="O29" s="690"/>
      <c r="P29" s="690"/>
      <c r="Q29" s="690"/>
      <c r="R29" s="690"/>
      <c r="S29" s="690"/>
    </row>
    <row r="30" spans="1:19" x14ac:dyDescent="0.25">
      <c r="A30" s="690"/>
      <c r="B30" s="690"/>
      <c r="C30" s="690"/>
      <c r="D30" s="690"/>
      <c r="E30" s="690"/>
      <c r="F30" s="690"/>
      <c r="G30" s="690"/>
      <c r="H30" s="690"/>
      <c r="I30" s="690"/>
      <c r="J30" s="690"/>
      <c r="K30" s="690"/>
      <c r="L30" s="690"/>
      <c r="M30" s="690"/>
      <c r="N30" s="690"/>
      <c r="O30" s="690"/>
      <c r="P30" s="690"/>
      <c r="Q30" s="690"/>
      <c r="R30" s="690"/>
      <c r="S30" s="690"/>
    </row>
    <row r="31" spans="1:19" x14ac:dyDescent="0.25">
      <c r="A31" s="690"/>
      <c r="B31" s="690"/>
      <c r="C31" s="690"/>
      <c r="D31" s="690"/>
      <c r="E31" s="690"/>
      <c r="F31" s="690"/>
      <c r="G31" s="690"/>
      <c r="H31" s="690"/>
      <c r="I31" s="690"/>
      <c r="J31" s="690"/>
      <c r="K31" s="690"/>
      <c r="L31" s="690"/>
      <c r="M31" s="690"/>
      <c r="N31" s="690"/>
      <c r="O31" s="690"/>
      <c r="P31" s="690"/>
      <c r="Q31" s="690"/>
      <c r="R31" s="690"/>
      <c r="S31" s="690"/>
    </row>
    <row r="32" spans="1:19" x14ac:dyDescent="0.25">
      <c r="A32" s="690"/>
      <c r="B32" s="690"/>
      <c r="C32" s="690"/>
      <c r="D32" s="690"/>
      <c r="E32" s="690"/>
      <c r="F32" s="690"/>
      <c r="G32" s="690"/>
      <c r="H32" s="690"/>
      <c r="I32" s="690"/>
      <c r="J32" s="690"/>
      <c r="K32" s="690"/>
      <c r="L32" s="690"/>
      <c r="M32" s="690"/>
      <c r="N32" s="690"/>
      <c r="O32" s="690"/>
      <c r="P32" s="690"/>
      <c r="Q32" s="690"/>
      <c r="R32" s="690"/>
      <c r="S32" s="690"/>
    </row>
    <row r="33" spans="1:19" x14ac:dyDescent="0.25">
      <c r="A33" s="690"/>
      <c r="B33" s="690"/>
      <c r="C33" s="690"/>
      <c r="D33" s="690"/>
      <c r="E33" s="690"/>
      <c r="F33" s="690"/>
      <c r="G33" s="690"/>
      <c r="H33" s="690"/>
      <c r="I33" s="690"/>
      <c r="J33" s="690"/>
      <c r="K33" s="690"/>
      <c r="L33" s="690"/>
      <c r="M33" s="690"/>
      <c r="N33" s="690"/>
      <c r="O33" s="690"/>
      <c r="P33" s="690"/>
      <c r="Q33" s="690"/>
      <c r="R33" s="690"/>
      <c r="S33" s="690"/>
    </row>
    <row r="34" spans="1:19" x14ac:dyDescent="0.25">
      <c r="A34" s="690"/>
      <c r="B34" s="690"/>
      <c r="C34" s="690"/>
      <c r="D34" s="690"/>
      <c r="E34" s="690"/>
      <c r="F34" s="690"/>
      <c r="G34" s="690"/>
      <c r="H34" s="690"/>
      <c r="I34" s="690"/>
      <c r="J34" s="690"/>
      <c r="K34" s="690"/>
      <c r="L34" s="690"/>
      <c r="M34" s="690"/>
      <c r="N34" s="690"/>
      <c r="O34" s="690"/>
      <c r="P34" s="690"/>
      <c r="Q34" s="690"/>
      <c r="R34" s="690"/>
      <c r="S34" s="690"/>
    </row>
    <row r="35" spans="1:19" x14ac:dyDescent="0.25">
      <c r="A35" s="690"/>
      <c r="B35" s="690"/>
      <c r="C35" s="690"/>
      <c r="D35" s="690"/>
      <c r="E35" s="690"/>
      <c r="F35" s="690"/>
      <c r="G35" s="690"/>
      <c r="H35" s="690"/>
      <c r="I35" s="690"/>
      <c r="J35" s="690"/>
      <c r="K35" s="690"/>
      <c r="L35" s="690"/>
      <c r="M35" s="690"/>
      <c r="N35" s="690"/>
      <c r="O35" s="690"/>
      <c r="P35" s="690"/>
      <c r="Q35" s="690"/>
      <c r="R35" s="690"/>
      <c r="S35" s="690"/>
    </row>
    <row r="36" spans="1:19" x14ac:dyDescent="0.25">
      <c r="A36" s="690"/>
      <c r="B36" s="690"/>
      <c r="C36" s="690"/>
      <c r="D36" s="690"/>
      <c r="E36" s="690"/>
      <c r="F36" s="690"/>
      <c r="G36" s="690"/>
      <c r="H36" s="690"/>
      <c r="I36" s="690"/>
      <c r="J36" s="690"/>
      <c r="K36" s="690"/>
      <c r="L36" s="690"/>
      <c r="M36" s="690"/>
      <c r="N36" s="690"/>
      <c r="O36" s="690"/>
      <c r="P36" s="690"/>
      <c r="Q36" s="690"/>
      <c r="R36" s="690"/>
      <c r="S36" s="690"/>
    </row>
  </sheetData>
  <sheetProtection algorithmName="SHA-512" hashValue="SlEFq4Pw/6OAegp1bdf1rBegfzbVz6uA3JmzUcetnF9Z4ElqwhFVfil2OpKXK8dX62xyc7dH+/AfcJDVcWzcKw==" saltValue="xYVYeD2w6/458orIlDIIrw==" spinCount="100000" sheet="1" objects="1" scenarios="1" selectLockedCells="1"/>
  <mergeCells count="4">
    <mergeCell ref="M2:O2"/>
    <mergeCell ref="B7:I7"/>
    <mergeCell ref="B15:I15"/>
    <mergeCell ref="B2:K2"/>
  </mergeCells>
  <conditionalFormatting sqref="B13">
    <cfRule type="cellIs" dxfId="562" priority="2" operator="equal">
      <formula>"No"</formula>
    </cfRule>
  </conditionalFormatting>
  <conditionalFormatting sqref="E13">
    <cfRule type="cellIs" dxfId="561" priority="1" operator="equal">
      <formula>"No"</formula>
    </cfRule>
  </conditionalFormatting>
  <dataValidations count="11">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$Q$3:$Q$14</formula1>
    </dataValidation>
    <dataValidation type="list" allowBlank="1" showInputMessage="1" showErrorMessage="1" sqref="C5 B13 E13 E5:F5 H10 I18"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 type="list" allowBlank="1" showInputMessage="1" showErrorMessage="1" sqref="J5" xr:uid="{4C98F58E-C339-4BEE-9509-BCC5EDFED8DB}">
      <formula1>"Calendar, End of Week"</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U151"/>
  <sheetViews>
    <sheetView showGridLines="0" workbookViewId="0">
      <selection activeCell="C5" sqref="C5"/>
    </sheetView>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5" max="15" width="13.42578125" customWidth="1"/>
    <col min="16" max="16" width="0" hidden="1" customWidth="1"/>
  </cols>
  <sheetData>
    <row r="1" spans="1:21" ht="15.75" thickBot="1" x14ac:dyDescent="0.3">
      <c r="A1" s="543"/>
      <c r="B1" s="543"/>
      <c r="C1" s="543"/>
      <c r="D1" s="543"/>
      <c r="E1" s="543"/>
      <c r="F1" s="543"/>
      <c r="G1" s="543"/>
      <c r="H1" s="543"/>
      <c r="I1" s="543"/>
      <c r="J1" s="543"/>
      <c r="K1" s="543"/>
      <c r="L1" s="543"/>
      <c r="M1" s="543"/>
      <c r="N1" s="543"/>
      <c r="O1" s="543"/>
    </row>
    <row r="2" spans="1:21" ht="15.75" thickBot="1" x14ac:dyDescent="0.3">
      <c r="A2" s="543"/>
      <c r="B2" s="1942" t="s">
        <v>1264</v>
      </c>
      <c r="C2" s="1943"/>
      <c r="D2" s="1943"/>
      <c r="E2" s="1943"/>
      <c r="F2" s="1943"/>
      <c r="G2" s="1943"/>
      <c r="H2" s="1943"/>
      <c r="I2" s="1943"/>
      <c r="J2" s="1943"/>
      <c r="K2" s="1943"/>
      <c r="L2" s="1943"/>
      <c r="M2" s="1943"/>
      <c r="N2" s="1944"/>
      <c r="O2" s="543"/>
      <c r="U2" s="759">
        <f>IF(ISNA(U4),0,1)</f>
        <v>0</v>
      </c>
    </row>
    <row r="3" spans="1:21" ht="15.75" thickBot="1" x14ac:dyDescent="0.3">
      <c r="A3" s="543"/>
      <c r="B3" s="728"/>
      <c r="C3" s="728"/>
      <c r="D3" s="728"/>
      <c r="E3" s="728"/>
      <c r="F3" s="728"/>
      <c r="G3" s="728"/>
      <c r="H3" s="728"/>
      <c r="I3" s="728"/>
      <c r="J3" s="728"/>
      <c r="K3" s="728"/>
      <c r="L3" s="728"/>
      <c r="M3" s="728"/>
      <c r="N3" s="728"/>
      <c r="O3" s="543"/>
      <c r="U3" s="759">
        <f>IF(ISNA(U5),0,1)</f>
        <v>0</v>
      </c>
    </row>
    <row r="4" spans="1:21" ht="54" customHeight="1" x14ac:dyDescent="0.25">
      <c r="A4" s="543"/>
      <c r="B4" s="729" t="s">
        <v>1265</v>
      </c>
      <c r="C4" s="730" t="s">
        <v>1266</v>
      </c>
      <c r="D4" s="730" t="s">
        <v>1377</v>
      </c>
      <c r="E4" s="730" t="s">
        <v>1267</v>
      </c>
      <c r="F4" s="730" t="s">
        <v>1268</v>
      </c>
      <c r="G4" s="730" t="s">
        <v>1269</v>
      </c>
      <c r="H4" s="730" t="s">
        <v>1270</v>
      </c>
      <c r="I4" s="730" t="s">
        <v>1271</v>
      </c>
      <c r="J4" s="730" t="s">
        <v>1272</v>
      </c>
      <c r="K4" s="730" t="s">
        <v>1273</v>
      </c>
      <c r="L4" s="730" t="s">
        <v>1274</v>
      </c>
      <c r="M4" s="731" t="s">
        <v>1275</v>
      </c>
      <c r="N4" s="732" t="s">
        <v>1276</v>
      </c>
      <c r="O4" s="543"/>
      <c r="U4" s="759" t="e">
        <f>MATCH("Yes",K11:K30,0)</f>
        <v>#N/A</v>
      </c>
    </row>
    <row r="5" spans="1:21" ht="15.75" thickBot="1" x14ac:dyDescent="0.3">
      <c r="A5" s="543"/>
      <c r="B5" s="699">
        <v>1</v>
      </c>
      <c r="C5" s="691"/>
      <c r="D5" s="691" t="s">
        <v>660</v>
      </c>
      <c r="E5" s="691" t="s">
        <v>1277</v>
      </c>
      <c r="F5" s="691" t="s">
        <v>1278</v>
      </c>
      <c r="G5" s="691" t="s">
        <v>646</v>
      </c>
      <c r="H5" s="691" t="s">
        <v>648</v>
      </c>
      <c r="I5" s="691" t="s">
        <v>648</v>
      </c>
      <c r="J5" s="691" t="s">
        <v>646</v>
      </c>
      <c r="K5" s="691" t="s">
        <v>648</v>
      </c>
      <c r="L5" s="691" t="s">
        <v>648</v>
      </c>
      <c r="M5" s="1479" t="str">
        <f>IF('Required Info to Submit'!F17&lt;&gt;"",'Required Info to Submit'!F17,"")</f>
        <v/>
      </c>
      <c r="N5" s="733" t="s">
        <v>648</v>
      </c>
      <c r="O5" s="543"/>
      <c r="U5" s="760" t="e">
        <f>MATCH("Yes",I11:I30,0)</f>
        <v>#N/A</v>
      </c>
    </row>
    <row r="6" spans="1:21" x14ac:dyDescent="0.25">
      <c r="A6" s="543"/>
      <c r="B6" s="728"/>
      <c r="C6" s="728"/>
      <c r="D6" s="728"/>
      <c r="E6" s="728"/>
      <c r="F6" s="728"/>
      <c r="G6" s="728"/>
      <c r="H6" s="728"/>
      <c r="I6" s="728"/>
      <c r="J6" s="728"/>
      <c r="K6" s="728"/>
      <c r="L6" s="728"/>
      <c r="M6" s="728"/>
      <c r="N6" s="728"/>
      <c r="O6" s="543"/>
    </row>
    <row r="7" spans="1:21" ht="15.75" thickBot="1" x14ac:dyDescent="0.3">
      <c r="A7" s="543"/>
      <c r="B7" s="543"/>
      <c r="C7" s="543"/>
      <c r="D7" s="543"/>
      <c r="E7" s="543"/>
      <c r="F7" s="543"/>
      <c r="G7" s="543"/>
      <c r="H7" s="543"/>
      <c r="I7" s="543"/>
      <c r="J7" s="543"/>
      <c r="K7" s="543"/>
      <c r="L7" s="543"/>
      <c r="M7" s="543"/>
      <c r="N7" s="543"/>
      <c r="O7" s="543"/>
    </row>
    <row r="8" spans="1:21" ht="15.75" thickBot="1" x14ac:dyDescent="0.3">
      <c r="A8" s="543"/>
      <c r="B8" s="1945" t="s">
        <v>1279</v>
      </c>
      <c r="C8" s="1943"/>
      <c r="D8" s="1943"/>
      <c r="E8" s="1943"/>
      <c r="F8" s="1943"/>
      <c r="G8" s="1943"/>
      <c r="H8" s="1943"/>
      <c r="I8" s="1943"/>
      <c r="J8" s="1943"/>
      <c r="K8" s="1943"/>
      <c r="L8" s="1943"/>
      <c r="M8" s="1943"/>
      <c r="N8" s="1944"/>
      <c r="O8" s="543"/>
    </row>
    <row r="9" spans="1:21" ht="15.75" thickBot="1" x14ac:dyDescent="0.3">
      <c r="A9" s="543"/>
      <c r="B9" s="728"/>
      <c r="C9" s="728"/>
      <c r="D9" s="728"/>
      <c r="E9" s="728"/>
      <c r="F9" s="728"/>
      <c r="G9" s="728"/>
      <c r="H9" s="728"/>
      <c r="I9" s="728"/>
      <c r="J9" s="728"/>
      <c r="K9" s="728"/>
      <c r="L9" s="728"/>
      <c r="M9" s="728"/>
      <c r="N9" s="728"/>
      <c r="O9" s="543"/>
    </row>
    <row r="10" spans="1:21" ht="33" customHeight="1" x14ac:dyDescent="0.25">
      <c r="A10" s="543"/>
      <c r="B10" s="736" t="s">
        <v>1265</v>
      </c>
      <c r="C10" s="731" t="s">
        <v>1280</v>
      </c>
      <c r="D10" s="731" t="s">
        <v>1281</v>
      </c>
      <c r="E10" s="731" t="s">
        <v>1282</v>
      </c>
      <c r="F10" s="737" t="s">
        <v>1283</v>
      </c>
      <c r="G10" s="737" t="s">
        <v>1284</v>
      </c>
      <c r="H10" s="731" t="s">
        <v>1246</v>
      </c>
      <c r="I10" s="731" t="s">
        <v>1285</v>
      </c>
      <c r="J10" s="731" t="s">
        <v>1286</v>
      </c>
      <c r="K10" s="731" t="s">
        <v>1287</v>
      </c>
      <c r="L10" s="731" t="s">
        <v>1288</v>
      </c>
      <c r="M10" s="731" t="s">
        <v>1228</v>
      </c>
      <c r="N10" s="732" t="s">
        <v>1289</v>
      </c>
      <c r="O10" s="543"/>
    </row>
    <row r="11" spans="1:21" x14ac:dyDescent="0.25">
      <c r="A11" s="543"/>
      <c r="B11" s="738">
        <v>1</v>
      </c>
      <c r="C11" s="739">
        <v>15</v>
      </c>
      <c r="D11" s="740"/>
      <c r="E11" s="705"/>
      <c r="F11" s="749"/>
      <c r="G11" s="705"/>
      <c r="H11" s="740" t="s">
        <v>479</v>
      </c>
      <c r="I11" s="768" t="s">
        <v>648</v>
      </c>
      <c r="J11" s="750">
        <v>2.25</v>
      </c>
      <c r="K11" s="705" t="s">
        <v>648</v>
      </c>
      <c r="L11" s="750">
        <v>30</v>
      </c>
      <c r="M11" s="752" t="s">
        <v>479</v>
      </c>
      <c r="N11" s="754" t="s">
        <v>103</v>
      </c>
      <c r="O11" s="543"/>
      <c r="P11">
        <f>'Agreement Worksheet'!$F$13</f>
        <v>2.25</v>
      </c>
    </row>
    <row r="12" spans="1:21" x14ac:dyDescent="0.25">
      <c r="A12" s="543"/>
      <c r="B12" s="741">
        <v>1</v>
      </c>
      <c r="C12" s="739">
        <v>16</v>
      </c>
      <c r="D12" s="742"/>
      <c r="E12" s="705"/>
      <c r="F12" s="746"/>
      <c r="G12" s="705"/>
      <c r="H12" s="740" t="s">
        <v>479</v>
      </c>
      <c r="I12" s="768" t="s">
        <v>648</v>
      </c>
      <c r="J12" s="750">
        <v>2.25</v>
      </c>
      <c r="K12" s="705" t="s">
        <v>648</v>
      </c>
      <c r="L12" s="750">
        <v>30</v>
      </c>
      <c r="M12" s="752" t="s">
        <v>479</v>
      </c>
      <c r="N12" s="755" t="s">
        <v>102</v>
      </c>
      <c r="O12" s="543"/>
      <c r="P12" s="726">
        <f>'Agreement Worksheet'!$C$13</f>
        <v>30</v>
      </c>
    </row>
    <row r="13" spans="1:21" ht="26.25" x14ac:dyDescent="0.25">
      <c r="A13" s="543"/>
      <c r="B13" s="738">
        <v>1</v>
      </c>
      <c r="C13" s="739">
        <v>17</v>
      </c>
      <c r="D13" s="740"/>
      <c r="E13" s="705"/>
      <c r="F13" s="746"/>
      <c r="G13" s="705"/>
      <c r="H13" s="740" t="s">
        <v>479</v>
      </c>
      <c r="I13" s="768" t="s">
        <v>648</v>
      </c>
      <c r="J13" s="750">
        <v>2.25</v>
      </c>
      <c r="K13" s="705" t="s">
        <v>648</v>
      </c>
      <c r="L13" s="750">
        <v>30</v>
      </c>
      <c r="M13" s="752" t="s">
        <v>479</v>
      </c>
      <c r="N13" s="755" t="s">
        <v>101</v>
      </c>
      <c r="O13" s="543"/>
      <c r="P13" s="726" t="str">
        <f>'Agreement Worksheet'!$D$13</f>
        <v>%</v>
      </c>
    </row>
    <row r="14" spans="1:21" x14ac:dyDescent="0.25">
      <c r="A14" s="543"/>
      <c r="B14" s="738">
        <v>1</v>
      </c>
      <c r="C14" s="739">
        <v>18</v>
      </c>
      <c r="D14" s="743"/>
      <c r="E14" s="705"/>
      <c r="F14" s="746"/>
      <c r="G14" s="734"/>
      <c r="H14" s="740" t="s">
        <v>479</v>
      </c>
      <c r="I14" s="768" t="s">
        <v>648</v>
      </c>
      <c r="J14" s="750">
        <v>2.25</v>
      </c>
      <c r="K14" s="705" t="s">
        <v>648</v>
      </c>
      <c r="L14" s="750">
        <v>30</v>
      </c>
      <c r="M14" s="752" t="s">
        <v>479</v>
      </c>
      <c r="N14" s="755" t="s">
        <v>100</v>
      </c>
      <c r="O14" s="543"/>
    </row>
    <row r="15" spans="1:21" ht="26.25" x14ac:dyDescent="0.25">
      <c r="A15" s="543"/>
      <c r="B15" s="738">
        <v>1</v>
      </c>
      <c r="C15" s="739">
        <v>19</v>
      </c>
      <c r="D15" s="743"/>
      <c r="E15" s="705"/>
      <c r="F15" s="746"/>
      <c r="G15" s="734"/>
      <c r="H15" s="740" t="s">
        <v>479</v>
      </c>
      <c r="I15" s="768" t="s">
        <v>648</v>
      </c>
      <c r="J15" s="750">
        <v>2.25</v>
      </c>
      <c r="K15" s="705" t="s">
        <v>648</v>
      </c>
      <c r="L15" s="750">
        <v>30</v>
      </c>
      <c r="M15" s="752" t="s">
        <v>479</v>
      </c>
      <c r="N15" s="755" t="s">
        <v>104</v>
      </c>
      <c r="O15" s="543"/>
    </row>
    <row r="16" spans="1:21" ht="26.25" x14ac:dyDescent="0.25">
      <c r="A16" s="543"/>
      <c r="B16" s="738">
        <v>1</v>
      </c>
      <c r="C16" s="739">
        <v>20</v>
      </c>
      <c r="D16" s="743"/>
      <c r="E16" s="705"/>
      <c r="F16" s="746"/>
      <c r="G16" s="734"/>
      <c r="H16" s="740" t="s">
        <v>479</v>
      </c>
      <c r="I16" s="768" t="s">
        <v>648</v>
      </c>
      <c r="J16" s="750">
        <v>2.25</v>
      </c>
      <c r="K16" s="705" t="s">
        <v>648</v>
      </c>
      <c r="L16" s="750">
        <v>30</v>
      </c>
      <c r="M16" s="752" t="s">
        <v>479</v>
      </c>
      <c r="N16" s="755" t="s">
        <v>99</v>
      </c>
      <c r="O16" s="543"/>
    </row>
    <row r="17" spans="1:15" x14ac:dyDescent="0.25">
      <c r="A17" s="543"/>
      <c r="B17" s="738">
        <v>1</v>
      </c>
      <c r="C17" s="739">
        <v>21</v>
      </c>
      <c r="D17" s="743"/>
      <c r="E17" s="705"/>
      <c r="F17" s="746"/>
      <c r="G17" s="734"/>
      <c r="H17" s="740" t="s">
        <v>479</v>
      </c>
      <c r="I17" s="768" t="s">
        <v>648</v>
      </c>
      <c r="J17" s="750">
        <v>2.25</v>
      </c>
      <c r="K17" s="705" t="s">
        <v>648</v>
      </c>
      <c r="L17" s="750">
        <v>30</v>
      </c>
      <c r="M17" s="752" t="s">
        <v>479</v>
      </c>
      <c r="N17" s="755" t="s">
        <v>98</v>
      </c>
      <c r="O17" s="543"/>
    </row>
    <row r="18" spans="1:15" x14ac:dyDescent="0.25">
      <c r="A18" s="543"/>
      <c r="B18" s="738">
        <v>1</v>
      </c>
      <c r="C18" s="739">
        <v>22</v>
      </c>
      <c r="D18" s="743"/>
      <c r="E18" s="705"/>
      <c r="F18" s="746"/>
      <c r="G18" s="734"/>
      <c r="H18" s="740" t="s">
        <v>479</v>
      </c>
      <c r="I18" s="768" t="s">
        <v>648</v>
      </c>
      <c r="J18" s="750">
        <v>2.25</v>
      </c>
      <c r="K18" s="705" t="s">
        <v>648</v>
      </c>
      <c r="L18" s="750">
        <v>30</v>
      </c>
      <c r="M18" s="752" t="s">
        <v>479</v>
      </c>
      <c r="N18" s="755" t="s">
        <v>97</v>
      </c>
      <c r="O18" s="543"/>
    </row>
    <row r="19" spans="1:15" x14ac:dyDescent="0.25">
      <c r="A19" s="543"/>
      <c r="B19" s="738">
        <v>1</v>
      </c>
      <c r="C19" s="739">
        <v>23</v>
      </c>
      <c r="D19" s="743"/>
      <c r="E19" s="705"/>
      <c r="F19" s="746"/>
      <c r="G19" s="734"/>
      <c r="H19" s="740" t="s">
        <v>479</v>
      </c>
      <c r="I19" s="768" t="s">
        <v>648</v>
      </c>
      <c r="J19" s="750">
        <v>2.25</v>
      </c>
      <c r="K19" s="705" t="s">
        <v>648</v>
      </c>
      <c r="L19" s="750">
        <v>30</v>
      </c>
      <c r="M19" s="752" t="s">
        <v>479</v>
      </c>
      <c r="N19" s="755" t="s">
        <v>96</v>
      </c>
      <c r="O19" s="543"/>
    </row>
    <row r="20" spans="1:15" x14ac:dyDescent="0.25">
      <c r="A20" s="543"/>
      <c r="B20" s="738">
        <v>1</v>
      </c>
      <c r="C20" s="739">
        <v>24</v>
      </c>
      <c r="D20" s="743"/>
      <c r="E20" s="705"/>
      <c r="F20" s="746"/>
      <c r="G20" s="734"/>
      <c r="H20" s="740" t="s">
        <v>479</v>
      </c>
      <c r="I20" s="768" t="s">
        <v>648</v>
      </c>
      <c r="J20" s="750">
        <v>2.25</v>
      </c>
      <c r="K20" s="705" t="s">
        <v>648</v>
      </c>
      <c r="L20" s="750">
        <v>30</v>
      </c>
      <c r="M20" s="752" t="s">
        <v>479</v>
      </c>
      <c r="N20" s="755" t="s">
        <v>95</v>
      </c>
      <c r="O20" s="543"/>
    </row>
    <row r="21" spans="1:15" x14ac:dyDescent="0.25">
      <c r="A21" s="543"/>
      <c r="B21" s="738">
        <v>1</v>
      </c>
      <c r="C21" s="739">
        <v>25</v>
      </c>
      <c r="D21" s="743"/>
      <c r="E21" s="705" t="s">
        <v>1290</v>
      </c>
      <c r="F21" s="746"/>
      <c r="G21" s="734"/>
      <c r="H21" s="740" t="s">
        <v>479</v>
      </c>
      <c r="I21" s="768" t="s">
        <v>648</v>
      </c>
      <c r="J21" s="750">
        <v>2.25</v>
      </c>
      <c r="K21" s="705" t="s">
        <v>648</v>
      </c>
      <c r="L21" s="750">
        <v>30</v>
      </c>
      <c r="M21" s="752" t="s">
        <v>479</v>
      </c>
      <c r="N21" s="755" t="s">
        <v>94</v>
      </c>
      <c r="O21" s="543"/>
    </row>
    <row r="22" spans="1:15" x14ac:dyDescent="0.25">
      <c r="A22" s="543"/>
      <c r="B22" s="738">
        <v>1</v>
      </c>
      <c r="C22" s="739">
        <v>26</v>
      </c>
      <c r="D22" s="743"/>
      <c r="E22" s="705"/>
      <c r="F22" s="746"/>
      <c r="G22" s="734"/>
      <c r="H22" s="740" t="s">
        <v>479</v>
      </c>
      <c r="I22" s="768" t="s">
        <v>648</v>
      </c>
      <c r="J22" s="750">
        <v>2.25</v>
      </c>
      <c r="K22" s="705" t="s">
        <v>648</v>
      </c>
      <c r="L22" s="750">
        <v>30</v>
      </c>
      <c r="M22" s="752" t="s">
        <v>479</v>
      </c>
      <c r="N22" s="755" t="s">
        <v>93</v>
      </c>
      <c r="O22" s="543"/>
    </row>
    <row r="23" spans="1:15" x14ac:dyDescent="0.25">
      <c r="A23" s="543"/>
      <c r="B23" s="738">
        <v>1</v>
      </c>
      <c r="C23" s="739">
        <v>29</v>
      </c>
      <c r="D23" s="743"/>
      <c r="E23" s="705"/>
      <c r="F23" s="746"/>
      <c r="G23" s="734"/>
      <c r="H23" s="740" t="s">
        <v>479</v>
      </c>
      <c r="I23" s="768" t="s">
        <v>648</v>
      </c>
      <c r="J23" s="750">
        <v>2.25</v>
      </c>
      <c r="K23" s="705" t="s">
        <v>648</v>
      </c>
      <c r="L23" s="750">
        <v>30</v>
      </c>
      <c r="M23" s="752" t="s">
        <v>479</v>
      </c>
      <c r="N23" s="755" t="s">
        <v>92</v>
      </c>
      <c r="O23" s="543"/>
    </row>
    <row r="24" spans="1:15" x14ac:dyDescent="0.25">
      <c r="A24" s="543"/>
      <c r="B24" s="738">
        <v>1</v>
      </c>
      <c r="C24" s="739">
        <v>30</v>
      </c>
      <c r="D24" s="743"/>
      <c r="E24" s="705"/>
      <c r="F24" s="746"/>
      <c r="G24" s="734"/>
      <c r="H24" s="740" t="s">
        <v>479</v>
      </c>
      <c r="I24" s="768" t="s">
        <v>648</v>
      </c>
      <c r="J24" s="750">
        <v>2.25</v>
      </c>
      <c r="K24" s="705" t="s">
        <v>648</v>
      </c>
      <c r="L24" s="750">
        <v>30</v>
      </c>
      <c r="M24" s="752" t="s">
        <v>479</v>
      </c>
      <c r="N24" s="755" t="s">
        <v>91</v>
      </c>
      <c r="O24" s="543"/>
    </row>
    <row r="25" spans="1:15" x14ac:dyDescent="0.25">
      <c r="A25" s="543"/>
      <c r="B25" s="738">
        <v>1</v>
      </c>
      <c r="C25" s="739">
        <v>31</v>
      </c>
      <c r="D25" s="743"/>
      <c r="E25" s="705"/>
      <c r="F25" s="746"/>
      <c r="G25" s="734"/>
      <c r="H25" s="740" t="s">
        <v>479</v>
      </c>
      <c r="I25" s="768" t="s">
        <v>648</v>
      </c>
      <c r="J25" s="750">
        <v>2.25</v>
      </c>
      <c r="K25" s="705" t="s">
        <v>648</v>
      </c>
      <c r="L25" s="750">
        <v>30</v>
      </c>
      <c r="M25" s="752" t="s">
        <v>479</v>
      </c>
      <c r="N25" s="755" t="s">
        <v>90</v>
      </c>
      <c r="O25" s="543"/>
    </row>
    <row r="26" spans="1:15" x14ac:dyDescent="0.25">
      <c r="A26" s="543"/>
      <c r="B26" s="738">
        <v>1</v>
      </c>
      <c r="C26" s="739">
        <v>32</v>
      </c>
      <c r="D26" s="743"/>
      <c r="E26" s="705"/>
      <c r="F26" s="746"/>
      <c r="G26" s="734"/>
      <c r="H26" s="740" t="s">
        <v>479</v>
      </c>
      <c r="I26" s="768" t="s">
        <v>648</v>
      </c>
      <c r="J26" s="750">
        <v>2.25</v>
      </c>
      <c r="K26" s="705" t="s">
        <v>648</v>
      </c>
      <c r="L26" s="750">
        <v>30</v>
      </c>
      <c r="M26" s="752" t="s">
        <v>479</v>
      </c>
      <c r="N26" s="755" t="s">
        <v>89</v>
      </c>
      <c r="O26" s="543"/>
    </row>
    <row r="27" spans="1:15" x14ac:dyDescent="0.25">
      <c r="A27" s="543"/>
      <c r="B27" s="738">
        <v>1</v>
      </c>
      <c r="C27" s="739">
        <v>33</v>
      </c>
      <c r="D27" s="743"/>
      <c r="E27" s="705"/>
      <c r="F27" s="746"/>
      <c r="G27" s="734"/>
      <c r="H27" s="740" t="s">
        <v>479</v>
      </c>
      <c r="I27" s="768" t="s">
        <v>648</v>
      </c>
      <c r="J27" s="750">
        <v>2.25</v>
      </c>
      <c r="K27" s="705" t="s">
        <v>648</v>
      </c>
      <c r="L27" s="750">
        <v>30</v>
      </c>
      <c r="M27" s="752" t="s">
        <v>479</v>
      </c>
      <c r="N27" s="755" t="s">
        <v>88</v>
      </c>
      <c r="O27" s="543"/>
    </row>
    <row r="28" spans="1:15" x14ac:dyDescent="0.25">
      <c r="A28" s="543"/>
      <c r="B28" s="738">
        <v>1</v>
      </c>
      <c r="C28" s="739">
        <v>34</v>
      </c>
      <c r="D28" s="743"/>
      <c r="E28" s="705"/>
      <c r="F28" s="746"/>
      <c r="G28" s="734"/>
      <c r="H28" s="740" t="s">
        <v>479</v>
      </c>
      <c r="I28" s="768" t="s">
        <v>648</v>
      </c>
      <c r="J28" s="750">
        <v>2.25</v>
      </c>
      <c r="K28" s="705" t="s">
        <v>648</v>
      </c>
      <c r="L28" s="750">
        <v>30</v>
      </c>
      <c r="M28" s="752" t="s">
        <v>479</v>
      </c>
      <c r="N28" s="755" t="s">
        <v>87</v>
      </c>
      <c r="O28" s="543"/>
    </row>
    <row r="29" spans="1:15" x14ac:dyDescent="0.25">
      <c r="A29" s="543"/>
      <c r="B29" s="738">
        <v>1</v>
      </c>
      <c r="C29" s="739">
        <v>35</v>
      </c>
      <c r="D29" s="743"/>
      <c r="E29" s="705"/>
      <c r="F29" s="746"/>
      <c r="G29" s="734"/>
      <c r="H29" s="740" t="s">
        <v>479</v>
      </c>
      <c r="I29" s="768" t="s">
        <v>648</v>
      </c>
      <c r="J29" s="750">
        <v>2.25</v>
      </c>
      <c r="K29" s="705" t="s">
        <v>648</v>
      </c>
      <c r="L29" s="750">
        <v>30</v>
      </c>
      <c r="M29" s="752" t="s">
        <v>479</v>
      </c>
      <c r="N29" s="755" t="s">
        <v>86</v>
      </c>
      <c r="O29" s="543"/>
    </row>
    <row r="30" spans="1:15" ht="15.75" thickBot="1" x14ac:dyDescent="0.3">
      <c r="A30" s="543"/>
      <c r="B30" s="699">
        <v>1</v>
      </c>
      <c r="C30" s="744">
        <v>37</v>
      </c>
      <c r="D30" s="745"/>
      <c r="E30" s="691"/>
      <c r="F30" s="747"/>
      <c r="G30" s="735"/>
      <c r="H30" s="702" t="s">
        <v>479</v>
      </c>
      <c r="I30" s="769" t="s">
        <v>648</v>
      </c>
      <c r="J30" s="751">
        <v>2.25</v>
      </c>
      <c r="K30" s="691" t="s">
        <v>648</v>
      </c>
      <c r="L30" s="751">
        <v>30</v>
      </c>
      <c r="M30" s="753" t="s">
        <v>479</v>
      </c>
      <c r="N30" s="756" t="s">
        <v>105</v>
      </c>
      <c r="O30" s="543"/>
    </row>
    <row r="31" spans="1:15" ht="15.75" hidden="1" thickBot="1" x14ac:dyDescent="0.3">
      <c r="A31" s="543"/>
      <c r="B31" s="728"/>
      <c r="C31" s="728"/>
      <c r="D31" s="728"/>
      <c r="E31" s="728"/>
      <c r="F31" s="728"/>
      <c r="G31" s="728"/>
      <c r="H31" s="728"/>
      <c r="I31" s="728"/>
      <c r="J31" s="728"/>
      <c r="K31" s="728"/>
      <c r="L31" s="728"/>
      <c r="M31" s="728"/>
      <c r="N31" s="728"/>
      <c r="O31" s="543"/>
    </row>
    <row r="32" spans="1:15" ht="15.75" hidden="1" thickBot="1" x14ac:dyDescent="0.3">
      <c r="A32" s="543"/>
      <c r="B32" s="1945" t="s">
        <v>1291</v>
      </c>
      <c r="C32" s="1946"/>
      <c r="D32" s="1946"/>
      <c r="E32" s="1946"/>
      <c r="F32" s="1946"/>
      <c r="G32" s="1946"/>
      <c r="H32" s="1946"/>
      <c r="I32" s="1946"/>
      <c r="J32" s="1946"/>
      <c r="K32" s="1946"/>
      <c r="L32" s="1946"/>
      <c r="M32" s="1946"/>
      <c r="N32" s="1946"/>
      <c r="O32" s="1947"/>
    </row>
    <row r="33" spans="1:15" ht="15.75" hidden="1" thickBot="1" x14ac:dyDescent="0.3">
      <c r="A33" s="543"/>
      <c r="B33" s="728"/>
      <c r="C33" s="728"/>
      <c r="D33" s="728"/>
      <c r="E33" s="728"/>
      <c r="F33" s="728"/>
      <c r="G33" s="728"/>
      <c r="H33" s="728"/>
      <c r="I33" s="728"/>
      <c r="J33" s="728"/>
      <c r="K33" s="728"/>
      <c r="L33" s="728"/>
      <c r="M33" s="728"/>
      <c r="N33" s="728"/>
      <c r="O33" s="543"/>
    </row>
    <row r="34" spans="1:15" ht="36.75" hidden="1" customHeight="1" x14ac:dyDescent="0.25">
      <c r="A34" s="543"/>
      <c r="B34" s="736" t="s">
        <v>1265</v>
      </c>
      <c r="C34" s="731" t="s">
        <v>1280</v>
      </c>
      <c r="D34" s="731" t="s">
        <v>1281</v>
      </c>
      <c r="E34" s="731" t="s">
        <v>1282</v>
      </c>
      <c r="F34" s="737" t="s">
        <v>1283</v>
      </c>
      <c r="G34" s="737" t="s">
        <v>1284</v>
      </c>
      <c r="H34" s="731" t="s">
        <v>1246</v>
      </c>
      <c r="I34" s="731" t="s">
        <v>1285</v>
      </c>
      <c r="J34" s="731" t="s">
        <v>1286</v>
      </c>
      <c r="K34" s="731" t="s">
        <v>1287</v>
      </c>
      <c r="L34" s="731" t="s">
        <v>1288</v>
      </c>
      <c r="M34" s="731" t="s">
        <v>1228</v>
      </c>
      <c r="N34" s="1267" t="s">
        <v>1289</v>
      </c>
      <c r="O34" s="1272" t="s">
        <v>1918</v>
      </c>
    </row>
    <row r="35" spans="1:15" hidden="1" x14ac:dyDescent="0.25">
      <c r="A35" s="543"/>
      <c r="B35" s="741">
        <v>1</v>
      </c>
      <c r="C35" s="739">
        <v>15</v>
      </c>
      <c r="D35" s="740"/>
      <c r="E35" s="705"/>
      <c r="F35" s="746"/>
      <c r="G35" s="705"/>
      <c r="H35" s="740" t="s">
        <v>479</v>
      </c>
      <c r="I35" s="705" t="s">
        <v>648</v>
      </c>
      <c r="J35" s="750">
        <v>2.25</v>
      </c>
      <c r="K35" s="705" t="s">
        <v>648</v>
      </c>
      <c r="L35" s="750">
        <v>30</v>
      </c>
      <c r="M35" s="750" t="s">
        <v>479</v>
      </c>
      <c r="N35" s="1268" t="s">
        <v>103</v>
      </c>
      <c r="O35" s="1273">
        <v>2</v>
      </c>
    </row>
    <row r="36" spans="1:15" hidden="1" x14ac:dyDescent="0.25">
      <c r="A36" s="543"/>
      <c r="B36" s="741">
        <v>1</v>
      </c>
      <c r="C36" s="739">
        <v>15</v>
      </c>
      <c r="D36" s="757">
        <v>131</v>
      </c>
      <c r="E36" s="705"/>
      <c r="F36" s="746"/>
      <c r="G36" s="705"/>
      <c r="H36" s="740" t="s">
        <v>479</v>
      </c>
      <c r="I36" s="705" t="s">
        <v>648</v>
      </c>
      <c r="J36" s="750">
        <v>2.25</v>
      </c>
      <c r="K36" s="705" t="s">
        <v>648</v>
      </c>
      <c r="L36" s="750">
        <v>30</v>
      </c>
      <c r="M36" s="750" t="s">
        <v>479</v>
      </c>
      <c r="N36" s="1269" t="s">
        <v>1296</v>
      </c>
      <c r="O36" s="1273">
        <v>3</v>
      </c>
    </row>
    <row r="37" spans="1:15" hidden="1" x14ac:dyDescent="0.25">
      <c r="A37" s="543"/>
      <c r="B37" s="741">
        <v>1</v>
      </c>
      <c r="C37" s="739">
        <v>15</v>
      </c>
      <c r="D37" s="757">
        <v>254</v>
      </c>
      <c r="E37" s="705"/>
      <c r="F37" s="746"/>
      <c r="G37" s="705"/>
      <c r="H37" s="740" t="s">
        <v>479</v>
      </c>
      <c r="I37" s="705" t="s">
        <v>648</v>
      </c>
      <c r="J37" s="750">
        <v>2.25</v>
      </c>
      <c r="K37" s="705" t="s">
        <v>648</v>
      </c>
      <c r="L37" s="750">
        <v>30</v>
      </c>
      <c r="M37" s="750" t="s">
        <v>479</v>
      </c>
      <c r="N37" s="1269" t="s">
        <v>1296</v>
      </c>
      <c r="O37" s="1273"/>
    </row>
    <row r="38" spans="1:15" hidden="1" x14ac:dyDescent="0.25">
      <c r="A38" s="543"/>
      <c r="B38" s="741">
        <v>1</v>
      </c>
      <c r="C38" s="739">
        <v>15</v>
      </c>
      <c r="D38" s="757">
        <v>373</v>
      </c>
      <c r="E38" s="705"/>
      <c r="F38" s="746"/>
      <c r="G38" s="705"/>
      <c r="H38" s="740" t="s">
        <v>479</v>
      </c>
      <c r="I38" s="705" t="s">
        <v>648</v>
      </c>
      <c r="J38" s="750">
        <v>2.25</v>
      </c>
      <c r="K38" s="705" t="s">
        <v>648</v>
      </c>
      <c r="L38" s="750">
        <v>30</v>
      </c>
      <c r="M38" s="750" t="s">
        <v>479</v>
      </c>
      <c r="N38" s="1269" t="s">
        <v>1296</v>
      </c>
      <c r="O38" s="1273"/>
    </row>
    <row r="39" spans="1:15" hidden="1" x14ac:dyDescent="0.25">
      <c r="A39" s="543"/>
      <c r="B39" s="741">
        <v>1</v>
      </c>
      <c r="C39" s="739">
        <v>15</v>
      </c>
      <c r="D39" s="757">
        <v>132</v>
      </c>
      <c r="E39" s="705"/>
      <c r="F39" s="746"/>
      <c r="G39" s="705"/>
      <c r="H39" s="740" t="s">
        <v>479</v>
      </c>
      <c r="I39" s="705" t="s">
        <v>648</v>
      </c>
      <c r="J39" s="750">
        <v>2.25</v>
      </c>
      <c r="K39" s="705" t="s">
        <v>648</v>
      </c>
      <c r="L39" s="750">
        <v>30</v>
      </c>
      <c r="M39" s="750" t="s">
        <v>479</v>
      </c>
      <c r="N39" s="1269" t="s">
        <v>1296</v>
      </c>
      <c r="O39" s="1273"/>
    </row>
    <row r="40" spans="1:15" hidden="1" x14ac:dyDescent="0.25">
      <c r="A40" s="543"/>
      <c r="B40" s="741">
        <v>1</v>
      </c>
      <c r="C40" s="739">
        <v>15</v>
      </c>
      <c r="D40" s="757">
        <v>368</v>
      </c>
      <c r="E40" s="705"/>
      <c r="F40" s="746"/>
      <c r="G40" s="705"/>
      <c r="H40" s="740" t="s">
        <v>479</v>
      </c>
      <c r="I40" s="705" t="s">
        <v>648</v>
      </c>
      <c r="J40" s="750">
        <v>2.25</v>
      </c>
      <c r="K40" s="705" t="s">
        <v>648</v>
      </c>
      <c r="L40" s="750">
        <v>30</v>
      </c>
      <c r="M40" s="750" t="s">
        <v>479</v>
      </c>
      <c r="N40" s="1269" t="s">
        <v>1296</v>
      </c>
      <c r="O40" s="1273"/>
    </row>
    <row r="41" spans="1:15" hidden="1" x14ac:dyDescent="0.25">
      <c r="A41" s="543"/>
      <c r="B41" s="741">
        <v>1</v>
      </c>
      <c r="C41" s="739">
        <v>15</v>
      </c>
      <c r="D41" s="757">
        <v>369</v>
      </c>
      <c r="E41" s="705"/>
      <c r="F41" s="746"/>
      <c r="G41" s="705"/>
      <c r="H41" s="740" t="s">
        <v>479</v>
      </c>
      <c r="I41" s="705" t="s">
        <v>648</v>
      </c>
      <c r="J41" s="750">
        <v>2.25</v>
      </c>
      <c r="K41" s="705" t="s">
        <v>648</v>
      </c>
      <c r="L41" s="750">
        <v>30</v>
      </c>
      <c r="M41" s="750" t="s">
        <v>479</v>
      </c>
      <c r="N41" s="1269" t="s">
        <v>1296</v>
      </c>
      <c r="O41" s="1273"/>
    </row>
    <row r="42" spans="1:15" hidden="1" x14ac:dyDescent="0.25">
      <c r="A42" s="543"/>
      <c r="B42" s="741">
        <v>1</v>
      </c>
      <c r="C42" s="739">
        <v>15</v>
      </c>
      <c r="D42" s="757">
        <v>384</v>
      </c>
      <c r="E42" s="705"/>
      <c r="F42" s="746"/>
      <c r="G42" s="705"/>
      <c r="H42" s="740" t="s">
        <v>479</v>
      </c>
      <c r="I42" s="705" t="s">
        <v>648</v>
      </c>
      <c r="J42" s="750">
        <v>2.25</v>
      </c>
      <c r="K42" s="705" t="s">
        <v>648</v>
      </c>
      <c r="L42" s="750">
        <v>30</v>
      </c>
      <c r="M42" s="750" t="s">
        <v>479</v>
      </c>
      <c r="N42" s="1269" t="s">
        <v>1296</v>
      </c>
      <c r="O42" s="1273"/>
    </row>
    <row r="43" spans="1:15" hidden="1" x14ac:dyDescent="0.25">
      <c r="A43" s="543"/>
      <c r="B43" s="741">
        <v>1</v>
      </c>
      <c r="C43" s="739">
        <v>15</v>
      </c>
      <c r="D43" s="757">
        <v>381</v>
      </c>
      <c r="E43" s="705"/>
      <c r="F43" s="746"/>
      <c r="G43" s="705"/>
      <c r="H43" s="740" t="s">
        <v>479</v>
      </c>
      <c r="I43" s="705" t="s">
        <v>648</v>
      </c>
      <c r="J43" s="750">
        <v>2.25</v>
      </c>
      <c r="K43" s="705" t="s">
        <v>648</v>
      </c>
      <c r="L43" s="750">
        <v>30</v>
      </c>
      <c r="M43" s="750" t="s">
        <v>479</v>
      </c>
      <c r="N43" s="1269" t="s">
        <v>1296</v>
      </c>
      <c r="O43" s="1273"/>
    </row>
    <row r="44" spans="1:15" hidden="1" x14ac:dyDescent="0.25">
      <c r="A44" s="543"/>
      <c r="B44" s="741">
        <v>1</v>
      </c>
      <c r="C44" s="739">
        <v>15</v>
      </c>
      <c r="D44" s="757">
        <v>377</v>
      </c>
      <c r="E44" s="705"/>
      <c r="F44" s="746"/>
      <c r="G44" s="705"/>
      <c r="H44" s="740" t="s">
        <v>479</v>
      </c>
      <c r="I44" s="705" t="s">
        <v>648</v>
      </c>
      <c r="J44" s="750">
        <v>2.25</v>
      </c>
      <c r="K44" s="705" t="s">
        <v>648</v>
      </c>
      <c r="L44" s="750">
        <v>30</v>
      </c>
      <c r="M44" s="750" t="s">
        <v>479</v>
      </c>
      <c r="N44" s="1269" t="s">
        <v>1296</v>
      </c>
      <c r="O44" s="1273"/>
    </row>
    <row r="45" spans="1:15" hidden="1" x14ac:dyDescent="0.25">
      <c r="A45" s="543"/>
      <c r="B45" s="741">
        <v>1</v>
      </c>
      <c r="C45" s="739">
        <v>15</v>
      </c>
      <c r="D45" s="757">
        <v>388</v>
      </c>
      <c r="E45" s="705"/>
      <c r="F45" s="746"/>
      <c r="G45" s="705"/>
      <c r="H45" s="740" t="s">
        <v>479</v>
      </c>
      <c r="I45" s="705" t="s">
        <v>648</v>
      </c>
      <c r="J45" s="750">
        <v>2.25</v>
      </c>
      <c r="K45" s="705" t="s">
        <v>648</v>
      </c>
      <c r="L45" s="750">
        <v>30</v>
      </c>
      <c r="M45" s="750" t="s">
        <v>479</v>
      </c>
      <c r="N45" s="1269" t="s">
        <v>1296</v>
      </c>
      <c r="O45" s="1273"/>
    </row>
    <row r="46" spans="1:15" hidden="1" x14ac:dyDescent="0.25">
      <c r="A46" s="543"/>
      <c r="B46" s="741">
        <v>1</v>
      </c>
      <c r="C46" s="739">
        <v>16</v>
      </c>
      <c r="D46" s="742"/>
      <c r="E46" s="705"/>
      <c r="F46" s="746"/>
      <c r="G46" s="705"/>
      <c r="H46" s="740" t="s">
        <v>479</v>
      </c>
      <c r="I46" s="705" t="s">
        <v>648</v>
      </c>
      <c r="J46" s="750">
        <v>2.25</v>
      </c>
      <c r="K46" s="705" t="s">
        <v>648</v>
      </c>
      <c r="L46" s="750">
        <v>30</v>
      </c>
      <c r="M46" s="750" t="s">
        <v>479</v>
      </c>
      <c r="N46" s="1270" t="s">
        <v>102</v>
      </c>
      <c r="O46" s="1273">
        <v>4</v>
      </c>
    </row>
    <row r="47" spans="1:15" ht="26.25" hidden="1" x14ac:dyDescent="0.25">
      <c r="A47" s="543"/>
      <c r="B47" s="738">
        <v>1</v>
      </c>
      <c r="C47" s="739">
        <v>17</v>
      </c>
      <c r="D47" s="740"/>
      <c r="E47" s="705"/>
      <c r="F47" s="746"/>
      <c r="G47" s="705"/>
      <c r="H47" s="740" t="s">
        <v>479</v>
      </c>
      <c r="I47" s="705" t="s">
        <v>648</v>
      </c>
      <c r="J47" s="750">
        <v>2.25</v>
      </c>
      <c r="K47" s="705" t="s">
        <v>648</v>
      </c>
      <c r="L47" s="750">
        <v>30</v>
      </c>
      <c r="M47" s="750" t="s">
        <v>479</v>
      </c>
      <c r="N47" s="1270" t="s">
        <v>101</v>
      </c>
      <c r="O47" s="1273">
        <v>10</v>
      </c>
    </row>
    <row r="48" spans="1:15" hidden="1" x14ac:dyDescent="0.25">
      <c r="A48" s="543"/>
      <c r="B48" s="738">
        <v>1</v>
      </c>
      <c r="C48" s="739">
        <v>18</v>
      </c>
      <c r="D48" s="743"/>
      <c r="E48" s="705"/>
      <c r="F48" s="746"/>
      <c r="G48" s="734"/>
      <c r="H48" s="740" t="s">
        <v>479</v>
      </c>
      <c r="I48" s="705" t="s">
        <v>648</v>
      </c>
      <c r="J48" s="750">
        <v>2.25</v>
      </c>
      <c r="K48" s="705" t="s">
        <v>648</v>
      </c>
      <c r="L48" s="750">
        <v>30</v>
      </c>
      <c r="M48" s="750" t="s">
        <v>479</v>
      </c>
      <c r="N48" s="1270" t="s">
        <v>100</v>
      </c>
      <c r="O48" s="1273">
        <v>5</v>
      </c>
    </row>
    <row r="49" spans="1:15" ht="26.25" hidden="1" x14ac:dyDescent="0.25">
      <c r="A49" s="543"/>
      <c r="B49" s="738">
        <v>1</v>
      </c>
      <c r="C49" s="739">
        <v>19</v>
      </c>
      <c r="D49" s="743"/>
      <c r="E49" s="705"/>
      <c r="F49" s="746"/>
      <c r="G49" s="734"/>
      <c r="H49" s="740" t="s">
        <v>479</v>
      </c>
      <c r="I49" s="705" t="s">
        <v>648</v>
      </c>
      <c r="J49" s="750">
        <v>2.25</v>
      </c>
      <c r="K49" s="705" t="s">
        <v>648</v>
      </c>
      <c r="L49" s="750">
        <v>30</v>
      </c>
      <c r="M49" s="750" t="s">
        <v>479</v>
      </c>
      <c r="N49" s="1270" t="s">
        <v>104</v>
      </c>
      <c r="O49" s="1273">
        <v>6</v>
      </c>
    </row>
    <row r="50" spans="1:15" ht="26.25" hidden="1" x14ac:dyDescent="0.25">
      <c r="A50" s="543"/>
      <c r="B50" s="738">
        <v>1</v>
      </c>
      <c r="C50" s="739">
        <v>20</v>
      </c>
      <c r="D50" s="743"/>
      <c r="E50" s="705"/>
      <c r="F50" s="746"/>
      <c r="G50" s="734"/>
      <c r="H50" s="740" t="s">
        <v>479</v>
      </c>
      <c r="I50" s="705" t="s">
        <v>648</v>
      </c>
      <c r="J50" s="750">
        <v>2.25</v>
      </c>
      <c r="K50" s="705" t="s">
        <v>648</v>
      </c>
      <c r="L50" s="750">
        <v>30</v>
      </c>
      <c r="M50" s="750" t="s">
        <v>479</v>
      </c>
      <c r="N50" s="1270" t="s">
        <v>99</v>
      </c>
      <c r="O50" s="1273">
        <v>1</v>
      </c>
    </row>
    <row r="51" spans="1:15" hidden="1" x14ac:dyDescent="0.25">
      <c r="A51" s="543"/>
      <c r="B51" s="738">
        <v>1</v>
      </c>
      <c r="C51" s="739">
        <v>21</v>
      </c>
      <c r="D51" s="743"/>
      <c r="E51" s="705"/>
      <c r="F51" s="746"/>
      <c r="G51" s="734"/>
      <c r="H51" s="740" t="s">
        <v>479</v>
      </c>
      <c r="I51" s="705" t="s">
        <v>648</v>
      </c>
      <c r="J51" s="750">
        <v>2.25</v>
      </c>
      <c r="K51" s="705" t="s">
        <v>648</v>
      </c>
      <c r="L51" s="750">
        <v>30</v>
      </c>
      <c r="M51" s="750" t="s">
        <v>479</v>
      </c>
      <c r="N51" s="1270" t="s">
        <v>98</v>
      </c>
      <c r="O51" s="1273">
        <v>7</v>
      </c>
    </row>
    <row r="52" spans="1:15" hidden="1" x14ac:dyDescent="0.25">
      <c r="A52" s="543"/>
      <c r="B52" s="738">
        <v>1</v>
      </c>
      <c r="C52" s="739">
        <v>22</v>
      </c>
      <c r="D52" s="743"/>
      <c r="E52" s="705"/>
      <c r="F52" s="746"/>
      <c r="G52" s="734"/>
      <c r="H52" s="740" t="s">
        <v>479</v>
      </c>
      <c r="I52" s="705" t="s">
        <v>648</v>
      </c>
      <c r="J52" s="750">
        <v>2.25</v>
      </c>
      <c r="K52" s="705" t="s">
        <v>648</v>
      </c>
      <c r="L52" s="750">
        <v>30</v>
      </c>
      <c r="M52" s="750" t="s">
        <v>479</v>
      </c>
      <c r="N52" s="1270" t="s">
        <v>97</v>
      </c>
      <c r="O52" s="1273">
        <v>11</v>
      </c>
    </row>
    <row r="53" spans="1:15" hidden="1" x14ac:dyDescent="0.25">
      <c r="A53" s="543"/>
      <c r="B53" s="738">
        <v>1</v>
      </c>
      <c r="C53" s="739">
        <v>23</v>
      </c>
      <c r="D53" s="743"/>
      <c r="E53" s="705"/>
      <c r="F53" s="746"/>
      <c r="G53" s="734"/>
      <c r="H53" s="740" t="s">
        <v>479</v>
      </c>
      <c r="I53" s="705" t="s">
        <v>648</v>
      </c>
      <c r="J53" s="750">
        <v>2.25</v>
      </c>
      <c r="K53" s="705" t="s">
        <v>648</v>
      </c>
      <c r="L53" s="750">
        <v>30</v>
      </c>
      <c r="M53" s="750" t="s">
        <v>479</v>
      </c>
      <c r="N53" s="1270" t="s">
        <v>96</v>
      </c>
      <c r="O53" s="1273">
        <v>9</v>
      </c>
    </row>
    <row r="54" spans="1:15" hidden="1" x14ac:dyDescent="0.25">
      <c r="A54" s="543"/>
      <c r="B54" s="738">
        <v>1</v>
      </c>
      <c r="C54" s="739">
        <v>24</v>
      </c>
      <c r="D54" s="743"/>
      <c r="E54" s="705"/>
      <c r="F54" s="746"/>
      <c r="G54" s="734"/>
      <c r="H54" s="740" t="s">
        <v>479</v>
      </c>
      <c r="I54" s="705" t="s">
        <v>648</v>
      </c>
      <c r="J54" s="750">
        <v>2.25</v>
      </c>
      <c r="K54" s="705" t="s">
        <v>648</v>
      </c>
      <c r="L54" s="750">
        <v>30</v>
      </c>
      <c r="M54" s="750" t="s">
        <v>479</v>
      </c>
      <c r="N54" s="1270" t="s">
        <v>95</v>
      </c>
      <c r="O54" s="1273">
        <v>8</v>
      </c>
    </row>
    <row r="55" spans="1:15" hidden="1" x14ac:dyDescent="0.25">
      <c r="A55" s="543"/>
      <c r="B55" s="738">
        <v>1</v>
      </c>
      <c r="C55" s="739">
        <v>25</v>
      </c>
      <c r="D55" s="743"/>
      <c r="E55" s="705" t="s">
        <v>1290</v>
      </c>
      <c r="F55" s="746"/>
      <c r="G55" s="734"/>
      <c r="H55" s="740" t="s">
        <v>479</v>
      </c>
      <c r="I55" s="705" t="s">
        <v>648</v>
      </c>
      <c r="J55" s="1469">
        <v>2.25</v>
      </c>
      <c r="K55" s="705" t="s">
        <v>648</v>
      </c>
      <c r="L55" s="750">
        <v>30</v>
      </c>
      <c r="M55" s="750" t="s">
        <v>479</v>
      </c>
      <c r="N55" s="1270" t="s">
        <v>94</v>
      </c>
      <c r="O55" s="1273">
        <v>18</v>
      </c>
    </row>
    <row r="56" spans="1:15" hidden="1" x14ac:dyDescent="0.25">
      <c r="A56" s="543"/>
      <c r="B56" s="738">
        <v>1</v>
      </c>
      <c r="C56" s="739">
        <v>26</v>
      </c>
      <c r="D56" s="743"/>
      <c r="E56" s="705"/>
      <c r="F56" s="746"/>
      <c r="G56" s="734"/>
      <c r="H56" s="740" t="s">
        <v>479</v>
      </c>
      <c r="I56" s="705" t="s">
        <v>648</v>
      </c>
      <c r="J56" s="750">
        <v>2.25</v>
      </c>
      <c r="K56" s="705" t="s">
        <v>648</v>
      </c>
      <c r="L56" s="750">
        <v>30</v>
      </c>
      <c r="M56" s="750" t="s">
        <v>479</v>
      </c>
      <c r="N56" s="1270" t="s">
        <v>93</v>
      </c>
      <c r="O56" s="1273">
        <v>12</v>
      </c>
    </row>
    <row r="57" spans="1:15" hidden="1" x14ac:dyDescent="0.25">
      <c r="A57" s="543"/>
      <c r="B57" s="738">
        <v>1</v>
      </c>
      <c r="C57" s="739">
        <v>29</v>
      </c>
      <c r="D57" s="743"/>
      <c r="E57" s="705"/>
      <c r="F57" s="746"/>
      <c r="G57" s="734"/>
      <c r="H57" s="740" t="s">
        <v>479</v>
      </c>
      <c r="I57" s="705" t="s">
        <v>648</v>
      </c>
      <c r="J57" s="750">
        <v>2.25</v>
      </c>
      <c r="K57" s="705" t="s">
        <v>648</v>
      </c>
      <c r="L57" s="750">
        <v>30</v>
      </c>
      <c r="M57" s="750" t="s">
        <v>479</v>
      </c>
      <c r="N57" s="1270" t="s">
        <v>92</v>
      </c>
      <c r="O57" s="1273">
        <v>14</v>
      </c>
    </row>
    <row r="58" spans="1:15" hidden="1" x14ac:dyDescent="0.25">
      <c r="A58" s="543"/>
      <c r="B58" s="738">
        <v>1</v>
      </c>
      <c r="C58" s="739">
        <v>30</v>
      </c>
      <c r="D58" s="743"/>
      <c r="E58" s="705"/>
      <c r="F58" s="746"/>
      <c r="G58" s="734"/>
      <c r="H58" s="740" t="s">
        <v>479</v>
      </c>
      <c r="I58" s="705" t="s">
        <v>648</v>
      </c>
      <c r="J58" s="750">
        <v>2.25</v>
      </c>
      <c r="K58" s="705" t="s">
        <v>648</v>
      </c>
      <c r="L58" s="750">
        <v>30</v>
      </c>
      <c r="M58" s="750" t="s">
        <v>479</v>
      </c>
      <c r="N58" s="1270" t="s">
        <v>91</v>
      </c>
      <c r="O58" s="1273">
        <v>15</v>
      </c>
    </row>
    <row r="59" spans="1:15" hidden="1" x14ac:dyDescent="0.25">
      <c r="A59" s="543"/>
      <c r="B59" s="738">
        <v>1</v>
      </c>
      <c r="C59" s="739">
        <v>31</v>
      </c>
      <c r="D59" s="743"/>
      <c r="E59" s="705"/>
      <c r="F59" s="746"/>
      <c r="G59" s="734"/>
      <c r="H59" s="740" t="s">
        <v>479</v>
      </c>
      <c r="I59" s="705" t="s">
        <v>648</v>
      </c>
      <c r="J59" s="750">
        <v>2.25</v>
      </c>
      <c r="K59" s="705" t="s">
        <v>648</v>
      </c>
      <c r="L59" s="750">
        <v>30</v>
      </c>
      <c r="M59" s="750" t="s">
        <v>479</v>
      </c>
      <c r="N59" s="1270" t="s">
        <v>90</v>
      </c>
      <c r="O59" s="1273">
        <v>16</v>
      </c>
    </row>
    <row r="60" spans="1:15" hidden="1" x14ac:dyDescent="0.25">
      <c r="A60" s="543"/>
      <c r="B60" s="738">
        <v>1</v>
      </c>
      <c r="C60" s="739">
        <v>32</v>
      </c>
      <c r="D60" s="743"/>
      <c r="E60" s="705"/>
      <c r="F60" s="746"/>
      <c r="G60" s="734"/>
      <c r="H60" s="740" t="s">
        <v>479</v>
      </c>
      <c r="I60" s="705" t="s">
        <v>648</v>
      </c>
      <c r="J60" s="750">
        <v>2.25</v>
      </c>
      <c r="K60" s="705" t="s">
        <v>648</v>
      </c>
      <c r="L60" s="750">
        <v>30</v>
      </c>
      <c r="M60" s="750" t="s">
        <v>479</v>
      </c>
      <c r="N60" s="1270" t="s">
        <v>89</v>
      </c>
      <c r="O60" s="1273">
        <v>17</v>
      </c>
    </row>
    <row r="61" spans="1:15" hidden="1" x14ac:dyDescent="0.25">
      <c r="A61" s="543"/>
      <c r="B61" s="738">
        <v>1</v>
      </c>
      <c r="C61" s="739">
        <v>33</v>
      </c>
      <c r="D61" s="743"/>
      <c r="E61" s="705"/>
      <c r="F61" s="746"/>
      <c r="G61" s="734"/>
      <c r="H61" s="740" t="s">
        <v>479</v>
      </c>
      <c r="I61" s="705" t="s">
        <v>648</v>
      </c>
      <c r="J61" s="750">
        <v>2.25</v>
      </c>
      <c r="K61" s="705" t="s">
        <v>648</v>
      </c>
      <c r="L61" s="750">
        <v>30</v>
      </c>
      <c r="M61" s="750" t="s">
        <v>479</v>
      </c>
      <c r="N61" s="1270" t="s">
        <v>88</v>
      </c>
      <c r="O61" s="1273">
        <v>20</v>
      </c>
    </row>
    <row r="62" spans="1:15" hidden="1" x14ac:dyDescent="0.25">
      <c r="A62" s="543"/>
      <c r="B62" s="738">
        <v>1</v>
      </c>
      <c r="C62" s="739">
        <v>34</v>
      </c>
      <c r="D62" s="743"/>
      <c r="E62" s="705"/>
      <c r="F62" s="746"/>
      <c r="G62" s="734"/>
      <c r="H62" s="740" t="s">
        <v>479</v>
      </c>
      <c r="I62" s="705" t="s">
        <v>648</v>
      </c>
      <c r="J62" s="750">
        <v>2.25</v>
      </c>
      <c r="K62" s="705" t="s">
        <v>648</v>
      </c>
      <c r="L62" s="750">
        <v>30</v>
      </c>
      <c r="M62" s="750" t="s">
        <v>479</v>
      </c>
      <c r="N62" s="1270" t="s">
        <v>87</v>
      </c>
      <c r="O62" s="1273">
        <v>21</v>
      </c>
    </row>
    <row r="63" spans="1:15" hidden="1" x14ac:dyDescent="0.25">
      <c r="A63" s="543"/>
      <c r="B63" s="738">
        <v>1</v>
      </c>
      <c r="C63" s="739">
        <v>35</v>
      </c>
      <c r="D63" s="743"/>
      <c r="E63" s="705"/>
      <c r="F63" s="746"/>
      <c r="G63" s="734"/>
      <c r="H63" s="740" t="s">
        <v>479</v>
      </c>
      <c r="I63" s="705" t="s">
        <v>648</v>
      </c>
      <c r="J63" s="750">
        <v>2.25</v>
      </c>
      <c r="K63" s="705" t="s">
        <v>648</v>
      </c>
      <c r="L63" s="750">
        <v>30</v>
      </c>
      <c r="M63" s="750" t="s">
        <v>479</v>
      </c>
      <c r="N63" s="1270" t="s">
        <v>86</v>
      </c>
      <c r="O63" s="1273">
        <v>19</v>
      </c>
    </row>
    <row r="64" spans="1:15" ht="15.75" hidden="1" thickBot="1" x14ac:dyDescent="0.3">
      <c r="A64" s="543"/>
      <c r="B64" s="699">
        <v>1</v>
      </c>
      <c r="C64" s="744">
        <v>37</v>
      </c>
      <c r="D64" s="745"/>
      <c r="E64" s="691"/>
      <c r="F64" s="747"/>
      <c r="G64" s="735"/>
      <c r="H64" s="702" t="s">
        <v>479</v>
      </c>
      <c r="I64" s="691" t="s">
        <v>648</v>
      </c>
      <c r="J64" s="751">
        <v>2.25</v>
      </c>
      <c r="K64" s="691" t="s">
        <v>648</v>
      </c>
      <c r="L64" s="751">
        <v>30</v>
      </c>
      <c r="M64" s="751" t="s">
        <v>479</v>
      </c>
      <c r="N64" s="1271" t="s">
        <v>105</v>
      </c>
      <c r="O64" s="710">
        <v>13</v>
      </c>
    </row>
    <row r="65" spans="1:15" hidden="1" x14ac:dyDescent="0.25">
      <c r="A65" s="543"/>
      <c r="B65" s="728"/>
      <c r="C65" s="728"/>
      <c r="D65" s="728"/>
      <c r="E65" s="728"/>
      <c r="F65" s="728"/>
      <c r="G65" s="728"/>
      <c r="H65" s="728"/>
      <c r="I65" s="728"/>
      <c r="J65" s="728"/>
      <c r="K65" s="728"/>
      <c r="L65" s="728"/>
      <c r="M65" s="728"/>
      <c r="N65" s="728"/>
      <c r="O65" s="543"/>
    </row>
    <row r="66" spans="1:15" x14ac:dyDescent="0.25">
      <c r="A66" s="543"/>
      <c r="B66" s="543"/>
      <c r="C66" s="543"/>
      <c r="D66" s="543"/>
      <c r="E66" s="543"/>
      <c r="F66" s="543"/>
      <c r="G66" s="543"/>
      <c r="H66" s="543"/>
      <c r="I66" s="543"/>
      <c r="J66" s="543"/>
      <c r="K66" s="543"/>
      <c r="L66" s="543"/>
      <c r="M66" s="543"/>
      <c r="N66" s="543"/>
      <c r="O66" s="543"/>
    </row>
    <row r="67" spans="1:15" x14ac:dyDescent="0.25">
      <c r="A67" s="543"/>
      <c r="B67" s="543"/>
      <c r="C67" s="543"/>
      <c r="D67" s="543"/>
      <c r="E67" s="543"/>
      <c r="F67" s="543"/>
      <c r="G67" s="543"/>
      <c r="H67" s="543"/>
      <c r="I67" s="543"/>
      <c r="J67" s="543"/>
      <c r="K67" s="543"/>
      <c r="L67" s="543"/>
      <c r="M67" s="543"/>
      <c r="N67" s="543"/>
      <c r="O67" s="543"/>
    </row>
    <row r="68" spans="1:15" x14ac:dyDescent="0.25">
      <c r="A68" s="543"/>
      <c r="B68" s="543"/>
      <c r="C68" s="543"/>
      <c r="D68" s="543"/>
      <c r="E68" s="543"/>
      <c r="F68" s="543"/>
      <c r="G68" s="543"/>
      <c r="H68" s="543"/>
      <c r="I68" s="543"/>
      <c r="J68" s="543"/>
      <c r="K68" s="543"/>
      <c r="L68" s="543"/>
      <c r="M68" s="543"/>
      <c r="N68" s="543"/>
      <c r="O68" s="543"/>
    </row>
    <row r="69" spans="1:15" x14ac:dyDescent="0.25">
      <c r="A69" s="543"/>
      <c r="B69" s="543"/>
      <c r="C69" s="543"/>
      <c r="D69" s="543"/>
      <c r="E69" s="543"/>
      <c r="F69" s="543"/>
      <c r="G69" s="543"/>
      <c r="H69" s="543"/>
      <c r="I69" s="543"/>
      <c r="J69" s="543"/>
      <c r="K69" s="543"/>
      <c r="L69" s="543"/>
      <c r="M69" s="543"/>
      <c r="N69" s="543"/>
      <c r="O69" s="543"/>
    </row>
    <row r="70" spans="1:15" x14ac:dyDescent="0.25">
      <c r="A70" s="543"/>
      <c r="B70" s="543"/>
      <c r="C70" s="543"/>
      <c r="D70" s="543"/>
      <c r="E70" s="543"/>
      <c r="F70" s="543"/>
      <c r="G70" s="543"/>
      <c r="H70" s="543"/>
      <c r="I70" s="543"/>
      <c r="J70" s="543"/>
      <c r="K70" s="543"/>
      <c r="L70" s="543"/>
      <c r="M70" s="543"/>
      <c r="N70" s="543"/>
      <c r="O70" s="543"/>
    </row>
    <row r="71" spans="1:15" x14ac:dyDescent="0.25">
      <c r="A71" s="543"/>
      <c r="B71" s="543"/>
      <c r="C71" s="543"/>
      <c r="D71" s="543"/>
      <c r="E71" s="543"/>
      <c r="F71" s="543"/>
      <c r="G71" s="543"/>
      <c r="H71" s="543"/>
      <c r="I71" s="543"/>
      <c r="J71" s="543"/>
      <c r="K71" s="543"/>
      <c r="L71" s="543"/>
      <c r="M71" s="543"/>
      <c r="N71" s="543"/>
      <c r="O71" s="543"/>
    </row>
    <row r="72" spans="1:15" x14ac:dyDescent="0.25">
      <c r="A72" s="543"/>
      <c r="B72" s="543"/>
      <c r="C72" s="543"/>
      <c r="D72" s="543"/>
      <c r="E72" s="543"/>
      <c r="F72" s="543"/>
      <c r="G72" s="543"/>
      <c r="H72" s="543"/>
      <c r="I72" s="543"/>
      <c r="J72" s="543"/>
      <c r="K72" s="543"/>
      <c r="L72" s="543"/>
      <c r="M72" s="543"/>
      <c r="N72" s="543"/>
      <c r="O72" s="543"/>
    </row>
    <row r="73" spans="1:15" x14ac:dyDescent="0.25">
      <c r="A73" s="543"/>
      <c r="B73" s="543"/>
      <c r="C73" s="543"/>
      <c r="D73" s="543"/>
      <c r="E73" s="543"/>
      <c r="F73" s="543"/>
      <c r="G73" s="543"/>
      <c r="H73" s="543"/>
      <c r="I73" s="543"/>
      <c r="J73" s="543"/>
      <c r="K73" s="543"/>
      <c r="L73" s="543"/>
      <c r="M73" s="543"/>
      <c r="N73" s="543"/>
      <c r="O73" s="543"/>
    </row>
    <row r="74" spans="1:15" x14ac:dyDescent="0.25">
      <c r="A74" s="543"/>
      <c r="B74" s="543"/>
      <c r="C74" s="543"/>
      <c r="D74" s="543"/>
      <c r="E74" s="543"/>
      <c r="F74" s="543"/>
      <c r="G74" s="543"/>
      <c r="H74" s="543"/>
      <c r="I74" s="543"/>
      <c r="J74" s="543"/>
      <c r="K74" s="543"/>
      <c r="L74" s="543"/>
      <c r="M74" s="543"/>
      <c r="N74" s="543"/>
      <c r="O74" s="543"/>
    </row>
    <row r="75" spans="1:15" x14ac:dyDescent="0.25">
      <c r="A75" s="543"/>
      <c r="B75" s="543"/>
      <c r="C75" s="543"/>
      <c r="D75" s="543"/>
      <c r="E75" s="543"/>
      <c r="F75" s="543"/>
      <c r="G75" s="543"/>
      <c r="H75" s="543"/>
      <c r="I75" s="543"/>
      <c r="J75" s="543"/>
      <c r="K75" s="543"/>
      <c r="L75" s="543"/>
      <c r="M75" s="543"/>
      <c r="N75" s="543"/>
      <c r="O75" s="543"/>
    </row>
    <row r="76" spans="1:15" x14ac:dyDescent="0.25">
      <c r="A76" s="543"/>
      <c r="B76" s="543"/>
      <c r="C76" s="543"/>
      <c r="D76" s="543"/>
      <c r="E76" s="543"/>
      <c r="F76" s="543"/>
      <c r="G76" s="543"/>
      <c r="H76" s="543"/>
      <c r="I76" s="543"/>
      <c r="J76" s="543"/>
      <c r="K76" s="543"/>
      <c r="L76" s="543"/>
      <c r="M76" s="543"/>
      <c r="N76" s="543"/>
      <c r="O76" s="543"/>
    </row>
    <row r="77" spans="1:15" x14ac:dyDescent="0.25">
      <c r="A77" s="543"/>
      <c r="B77" s="543"/>
      <c r="C77" s="543"/>
      <c r="D77" s="543"/>
      <c r="E77" s="543"/>
      <c r="F77" s="543"/>
      <c r="G77" s="543"/>
      <c r="H77" s="543"/>
      <c r="I77" s="543"/>
      <c r="J77" s="543"/>
      <c r="K77" s="543"/>
      <c r="L77" s="543"/>
      <c r="M77" s="543"/>
      <c r="N77" s="543"/>
      <c r="O77" s="543"/>
    </row>
    <row r="78" spans="1:15" x14ac:dyDescent="0.25">
      <c r="A78" s="543"/>
      <c r="B78" s="543"/>
      <c r="C78" s="543"/>
      <c r="D78" s="543"/>
      <c r="E78" s="543"/>
      <c r="F78" s="543"/>
      <c r="G78" s="543"/>
      <c r="H78" s="543"/>
      <c r="I78" s="543"/>
      <c r="J78" s="543"/>
      <c r="K78" s="543"/>
      <c r="L78" s="543"/>
      <c r="M78" s="543"/>
      <c r="N78" s="543"/>
      <c r="O78" s="543"/>
    </row>
    <row r="79" spans="1:15" x14ac:dyDescent="0.25">
      <c r="A79" s="543"/>
      <c r="B79" s="543"/>
      <c r="C79" s="543"/>
      <c r="D79" s="543"/>
      <c r="E79" s="543"/>
      <c r="F79" s="543"/>
      <c r="G79" s="543"/>
      <c r="H79" s="543"/>
      <c r="I79" s="543"/>
      <c r="J79" s="543"/>
      <c r="K79" s="543"/>
      <c r="L79" s="543"/>
      <c r="M79" s="543"/>
      <c r="N79" s="543"/>
      <c r="O79" s="543"/>
    </row>
    <row r="80" spans="1:15" x14ac:dyDescent="0.25">
      <c r="A80" s="543"/>
      <c r="B80" s="543"/>
      <c r="C80" s="543"/>
      <c r="D80" s="543"/>
      <c r="E80" s="543"/>
      <c r="F80" s="543"/>
      <c r="G80" s="543"/>
      <c r="H80" s="543"/>
      <c r="I80" s="543"/>
      <c r="J80" s="543"/>
      <c r="K80" s="543"/>
      <c r="L80" s="543"/>
      <c r="M80" s="543"/>
      <c r="N80" s="543"/>
      <c r="O80" s="543"/>
    </row>
    <row r="81" spans="1:15" x14ac:dyDescent="0.25">
      <c r="A81" s="543"/>
      <c r="B81" s="543"/>
      <c r="C81" s="543"/>
      <c r="D81" s="543"/>
      <c r="E81" s="543"/>
      <c r="F81" s="543"/>
      <c r="G81" s="543"/>
      <c r="H81" s="543"/>
      <c r="I81" s="543"/>
      <c r="J81" s="543"/>
      <c r="K81" s="543"/>
      <c r="L81" s="543"/>
      <c r="M81" s="543"/>
      <c r="N81" s="543"/>
      <c r="O81" s="543"/>
    </row>
    <row r="82" spans="1:15" x14ac:dyDescent="0.25">
      <c r="A82" s="543"/>
      <c r="B82" s="543"/>
      <c r="C82" s="543"/>
      <c r="D82" s="543"/>
      <c r="E82" s="543"/>
      <c r="F82" s="543"/>
      <c r="G82" s="543"/>
      <c r="H82" s="543"/>
      <c r="I82" s="543"/>
      <c r="J82" s="543"/>
      <c r="K82" s="543"/>
      <c r="L82" s="543"/>
      <c r="M82" s="543"/>
      <c r="N82" s="543"/>
      <c r="O82" s="543"/>
    </row>
    <row r="83" spans="1:15" x14ac:dyDescent="0.25">
      <c r="A83" s="543"/>
      <c r="B83" s="543"/>
      <c r="C83" s="543"/>
      <c r="D83" s="543"/>
      <c r="E83" s="543"/>
      <c r="F83" s="543"/>
      <c r="G83" s="543"/>
      <c r="H83" s="543"/>
      <c r="I83" s="543"/>
      <c r="J83" s="543"/>
      <c r="K83" s="543"/>
      <c r="L83" s="543"/>
      <c r="M83" s="543"/>
      <c r="N83" s="543"/>
      <c r="O83" s="543"/>
    </row>
    <row r="84" spans="1:15" x14ac:dyDescent="0.25">
      <c r="A84" s="543"/>
      <c r="B84" s="543"/>
      <c r="C84" s="543"/>
      <c r="D84" s="543"/>
      <c r="E84" s="543"/>
      <c r="F84" s="543"/>
      <c r="G84" s="543"/>
      <c r="H84" s="543"/>
      <c r="I84" s="543"/>
      <c r="J84" s="543"/>
      <c r="K84" s="543"/>
      <c r="L84" s="543"/>
      <c r="M84" s="543"/>
      <c r="N84" s="543"/>
      <c r="O84" s="543"/>
    </row>
    <row r="85" spans="1:15" x14ac:dyDescent="0.25">
      <c r="A85" s="543"/>
      <c r="B85" s="543"/>
      <c r="C85" s="543"/>
      <c r="D85" s="543"/>
      <c r="E85" s="543"/>
      <c r="F85" s="543"/>
      <c r="G85" s="543"/>
      <c r="H85" s="543"/>
      <c r="I85" s="543"/>
      <c r="J85" s="543"/>
      <c r="K85" s="543"/>
      <c r="L85" s="543"/>
      <c r="M85" s="543"/>
      <c r="N85" s="543"/>
      <c r="O85" s="543"/>
    </row>
    <row r="86" spans="1:15" x14ac:dyDescent="0.25">
      <c r="A86" s="543"/>
      <c r="B86" s="543"/>
      <c r="C86" s="543"/>
      <c r="D86" s="543"/>
      <c r="E86" s="543"/>
      <c r="F86" s="543"/>
      <c r="G86" s="543"/>
      <c r="H86" s="543"/>
      <c r="I86" s="543"/>
      <c r="J86" s="543"/>
      <c r="K86" s="543"/>
      <c r="L86" s="543"/>
      <c r="M86" s="543"/>
      <c r="N86" s="543"/>
      <c r="O86" s="543"/>
    </row>
    <row r="87" spans="1:15" x14ac:dyDescent="0.25">
      <c r="A87" s="543"/>
      <c r="B87" s="543"/>
      <c r="C87" s="543"/>
      <c r="D87" s="543"/>
      <c r="E87" s="543"/>
      <c r="F87" s="543"/>
      <c r="G87" s="543"/>
      <c r="H87" s="543"/>
      <c r="I87" s="543"/>
      <c r="J87" s="543"/>
      <c r="K87" s="543"/>
      <c r="L87" s="543"/>
      <c r="M87" s="543"/>
      <c r="N87" s="543"/>
      <c r="O87" s="543"/>
    </row>
    <row r="88" spans="1:15" x14ac:dyDescent="0.25">
      <c r="A88" s="543"/>
      <c r="B88" s="543"/>
      <c r="C88" s="543"/>
      <c r="D88" s="543"/>
      <c r="E88" s="543"/>
      <c r="F88" s="543"/>
      <c r="G88" s="543"/>
      <c r="H88" s="543"/>
      <c r="I88" s="543"/>
      <c r="J88" s="543"/>
      <c r="K88" s="543"/>
      <c r="L88" s="543"/>
      <c r="M88" s="543"/>
      <c r="N88" s="543"/>
      <c r="O88" s="543"/>
    </row>
    <row r="89" spans="1:15" x14ac:dyDescent="0.25">
      <c r="A89" s="543"/>
      <c r="B89" s="543"/>
      <c r="C89" s="543"/>
      <c r="D89" s="543"/>
      <c r="E89" s="543"/>
      <c r="F89" s="543"/>
      <c r="G89" s="543"/>
      <c r="H89" s="543"/>
      <c r="I89" s="543"/>
      <c r="J89" s="543"/>
      <c r="K89" s="543"/>
      <c r="L89" s="543"/>
      <c r="M89" s="543"/>
      <c r="N89" s="543"/>
      <c r="O89" s="543"/>
    </row>
    <row r="90" spans="1:15" x14ac:dyDescent="0.25">
      <c r="A90" s="543"/>
      <c r="B90" s="543"/>
      <c r="C90" s="543"/>
      <c r="D90" s="543"/>
      <c r="E90" s="543"/>
      <c r="F90" s="543"/>
      <c r="G90" s="543"/>
      <c r="H90" s="543"/>
      <c r="I90" s="543"/>
      <c r="J90" s="543"/>
      <c r="K90" s="543"/>
      <c r="L90" s="543"/>
      <c r="M90" s="543"/>
      <c r="N90" s="543"/>
    </row>
    <row r="91" spans="1:15" x14ac:dyDescent="0.25">
      <c r="A91" s="543"/>
      <c r="B91" s="543"/>
      <c r="C91" s="543"/>
      <c r="D91" s="543"/>
      <c r="E91" s="543"/>
      <c r="F91" s="543"/>
      <c r="G91" s="543"/>
      <c r="H91" s="543"/>
      <c r="I91" s="543"/>
      <c r="J91" s="543"/>
      <c r="K91" s="543"/>
      <c r="L91" s="543"/>
      <c r="M91" s="543"/>
      <c r="N91" s="543"/>
    </row>
    <row r="92" spans="1:15" x14ac:dyDescent="0.25">
      <c r="A92" s="543"/>
      <c r="B92" s="543"/>
      <c r="C92" s="543"/>
      <c r="D92" s="543"/>
      <c r="E92" s="543"/>
      <c r="F92" s="543"/>
      <c r="G92" s="543"/>
      <c r="H92" s="543"/>
      <c r="I92" s="543"/>
      <c r="J92" s="543"/>
      <c r="K92" s="543"/>
      <c r="L92" s="543"/>
      <c r="M92" s="543"/>
      <c r="N92" s="543"/>
    </row>
    <row r="93" spans="1:15" x14ac:dyDescent="0.25">
      <c r="A93" s="543"/>
      <c r="B93" s="543"/>
      <c r="C93" s="543"/>
      <c r="D93" s="543"/>
      <c r="E93" s="543"/>
      <c r="F93" s="543"/>
      <c r="G93" s="543"/>
      <c r="H93" s="543"/>
      <c r="I93" s="543"/>
      <c r="J93" s="543"/>
      <c r="K93" s="543"/>
      <c r="L93" s="543"/>
      <c r="M93" s="543"/>
      <c r="N93" s="543"/>
    </row>
    <row r="94" spans="1:15" x14ac:dyDescent="0.25">
      <c r="A94" s="543"/>
      <c r="B94" s="543"/>
      <c r="C94" s="543"/>
      <c r="D94" s="543"/>
      <c r="E94" s="543"/>
      <c r="F94" s="543"/>
      <c r="G94" s="543"/>
      <c r="H94" s="543"/>
      <c r="I94" s="543"/>
      <c r="J94" s="543"/>
      <c r="K94" s="543"/>
      <c r="L94" s="543"/>
      <c r="M94" s="543"/>
      <c r="N94" s="543"/>
    </row>
    <row r="95" spans="1:15" x14ac:dyDescent="0.25">
      <c r="A95" s="543"/>
      <c r="B95" s="543"/>
      <c r="C95" s="543"/>
      <c r="D95" s="543"/>
      <c r="E95" s="543"/>
      <c r="F95" s="543"/>
      <c r="G95" s="543"/>
      <c r="H95" s="543"/>
      <c r="I95" s="543"/>
      <c r="J95" s="543"/>
      <c r="K95" s="543"/>
      <c r="L95" s="543"/>
      <c r="M95" s="543"/>
      <c r="N95" s="543"/>
    </row>
    <row r="96" spans="1:15" x14ac:dyDescent="0.25">
      <c r="A96" s="543"/>
      <c r="B96" s="543"/>
      <c r="C96" s="543"/>
      <c r="D96" s="543"/>
      <c r="E96" s="543"/>
      <c r="F96" s="543"/>
      <c r="G96" s="543"/>
      <c r="H96" s="543"/>
      <c r="I96" s="543"/>
      <c r="J96" s="543"/>
      <c r="K96" s="543"/>
      <c r="L96" s="543"/>
      <c r="M96" s="543"/>
      <c r="N96" s="543"/>
    </row>
    <row r="97" spans="1:14" x14ac:dyDescent="0.25">
      <c r="A97" s="543"/>
      <c r="B97" s="543"/>
      <c r="C97" s="543"/>
      <c r="D97" s="543"/>
      <c r="E97" s="543"/>
      <c r="F97" s="543"/>
      <c r="G97" s="543"/>
      <c r="H97" s="543"/>
      <c r="I97" s="543"/>
      <c r="J97" s="543"/>
      <c r="K97" s="543"/>
      <c r="L97" s="543"/>
      <c r="M97" s="543"/>
      <c r="N97" s="543"/>
    </row>
    <row r="98" spans="1:14" x14ac:dyDescent="0.25">
      <c r="A98" s="543"/>
      <c r="B98" s="543"/>
      <c r="C98" s="543"/>
      <c r="D98" s="543"/>
      <c r="E98" s="543"/>
      <c r="F98" s="543"/>
      <c r="G98" s="543"/>
      <c r="H98" s="543"/>
      <c r="I98" s="543"/>
      <c r="J98" s="543"/>
      <c r="K98" s="543"/>
      <c r="L98" s="543"/>
      <c r="M98" s="543"/>
      <c r="N98" s="543"/>
    </row>
    <row r="99" spans="1:14" x14ac:dyDescent="0.25">
      <c r="A99" s="543"/>
      <c r="B99" s="543"/>
      <c r="C99" s="543"/>
      <c r="D99" s="543"/>
      <c r="E99" s="543"/>
      <c r="F99" s="543"/>
      <c r="G99" s="543"/>
      <c r="H99" s="543"/>
      <c r="I99" s="543"/>
      <c r="J99" s="543"/>
      <c r="K99" s="543"/>
      <c r="L99" s="543"/>
      <c r="M99" s="543"/>
      <c r="N99" s="543"/>
    </row>
    <row r="100" spans="1:14" x14ac:dyDescent="0.25">
      <c r="A100" s="543"/>
      <c r="B100" s="543"/>
      <c r="C100" s="543"/>
      <c r="D100" s="543"/>
      <c r="E100" s="543"/>
      <c r="F100" s="543"/>
      <c r="G100" s="543"/>
      <c r="H100" s="543"/>
      <c r="I100" s="543"/>
      <c r="J100" s="543"/>
      <c r="K100" s="543"/>
      <c r="L100" s="543"/>
      <c r="M100" s="543"/>
      <c r="N100" s="543"/>
    </row>
    <row r="101" spans="1:14" x14ac:dyDescent="0.25">
      <c r="A101" s="543"/>
      <c r="B101" s="543"/>
      <c r="C101" s="543"/>
      <c r="D101" s="543"/>
      <c r="E101" s="543"/>
      <c r="F101" s="543"/>
      <c r="G101" s="543"/>
      <c r="H101" s="543"/>
      <c r="I101" s="543"/>
      <c r="J101" s="543"/>
      <c r="K101" s="543"/>
      <c r="L101" s="543"/>
      <c r="M101" s="543"/>
      <c r="N101" s="543"/>
    </row>
    <row r="102" spans="1:14" x14ac:dyDescent="0.25">
      <c r="A102" s="543"/>
      <c r="B102" s="543"/>
      <c r="C102" s="543"/>
      <c r="D102" s="543"/>
      <c r="E102" s="543"/>
      <c r="F102" s="543"/>
      <c r="G102" s="543"/>
      <c r="H102" s="543"/>
      <c r="I102" s="543"/>
      <c r="J102" s="543"/>
      <c r="K102" s="543"/>
      <c r="L102" s="543"/>
      <c r="M102" s="543"/>
      <c r="N102" s="543"/>
    </row>
    <row r="103" spans="1:14" x14ac:dyDescent="0.25">
      <c r="A103" s="543"/>
      <c r="B103" s="543"/>
      <c r="C103" s="543"/>
      <c r="D103" s="543"/>
      <c r="E103" s="543"/>
      <c r="F103" s="543"/>
      <c r="G103" s="543"/>
      <c r="H103" s="543"/>
      <c r="I103" s="543"/>
      <c r="J103" s="543"/>
      <c r="K103" s="543"/>
      <c r="L103" s="543"/>
      <c r="M103" s="543"/>
      <c r="N103" s="543"/>
    </row>
    <row r="104" spans="1:14" x14ac:dyDescent="0.25">
      <c r="A104" s="543"/>
      <c r="B104" s="543"/>
      <c r="C104" s="543"/>
      <c r="D104" s="543"/>
      <c r="E104" s="543"/>
      <c r="F104" s="543"/>
      <c r="G104" s="543"/>
      <c r="H104" s="543"/>
      <c r="I104" s="543"/>
      <c r="J104" s="543"/>
      <c r="K104" s="543"/>
      <c r="L104" s="543"/>
      <c r="M104" s="543"/>
      <c r="N104" s="543"/>
    </row>
    <row r="105" spans="1:14" x14ac:dyDescent="0.25">
      <c r="A105" s="543"/>
      <c r="B105" s="543"/>
      <c r="C105" s="543"/>
      <c r="D105" s="543"/>
      <c r="E105" s="543"/>
      <c r="F105" s="543"/>
      <c r="G105" s="543"/>
      <c r="H105" s="543"/>
      <c r="I105" s="543"/>
      <c r="J105" s="543"/>
      <c r="K105" s="543"/>
      <c r="L105" s="543"/>
      <c r="M105" s="543"/>
      <c r="N105" s="543"/>
    </row>
    <row r="106" spans="1:14" x14ac:dyDescent="0.25">
      <c r="A106" s="543"/>
      <c r="B106" s="543"/>
      <c r="C106" s="543"/>
      <c r="D106" s="543"/>
      <c r="E106" s="543"/>
      <c r="F106" s="543"/>
      <c r="G106" s="543"/>
      <c r="H106" s="543"/>
      <c r="I106" s="543"/>
      <c r="J106" s="543"/>
      <c r="K106" s="543"/>
      <c r="L106" s="543"/>
      <c r="M106" s="543"/>
      <c r="N106" s="543"/>
    </row>
    <row r="107" spans="1:14" x14ac:dyDescent="0.25">
      <c r="A107" s="543"/>
      <c r="B107" s="543"/>
      <c r="C107" s="543"/>
      <c r="D107" s="543"/>
      <c r="E107" s="543"/>
      <c r="F107" s="543"/>
      <c r="G107" s="543"/>
      <c r="H107" s="543"/>
      <c r="I107" s="543"/>
      <c r="J107" s="543"/>
      <c r="K107" s="543"/>
      <c r="L107" s="543"/>
      <c r="M107" s="543"/>
      <c r="N107" s="543"/>
    </row>
    <row r="108" spans="1:14" x14ac:dyDescent="0.25">
      <c r="A108" s="543"/>
      <c r="B108" s="543"/>
      <c r="C108" s="543"/>
      <c r="D108" s="543"/>
      <c r="E108" s="543"/>
      <c r="F108" s="543"/>
      <c r="G108" s="543"/>
      <c r="H108" s="543"/>
      <c r="I108" s="543"/>
      <c r="J108" s="543"/>
      <c r="K108" s="543"/>
      <c r="L108" s="543"/>
      <c r="M108" s="543"/>
      <c r="N108" s="543"/>
    </row>
    <row r="109" spans="1:14" x14ac:dyDescent="0.25">
      <c r="A109" s="543"/>
      <c r="B109" s="543"/>
      <c r="C109" s="543"/>
      <c r="D109" s="543"/>
      <c r="E109" s="543"/>
      <c r="F109" s="543"/>
      <c r="G109" s="543"/>
      <c r="H109" s="543"/>
      <c r="I109" s="543"/>
      <c r="J109" s="543"/>
      <c r="K109" s="543"/>
      <c r="L109" s="543"/>
      <c r="M109" s="543"/>
      <c r="N109" s="543"/>
    </row>
    <row r="110" spans="1:14" x14ac:dyDescent="0.25">
      <c r="A110" s="543"/>
      <c r="B110" s="543"/>
      <c r="C110" s="543"/>
      <c r="D110" s="543"/>
      <c r="E110" s="543"/>
      <c r="F110" s="543"/>
      <c r="G110" s="543"/>
      <c r="H110" s="543"/>
      <c r="I110" s="543"/>
      <c r="J110" s="543"/>
      <c r="K110" s="543"/>
      <c r="L110" s="543"/>
      <c r="M110" s="543"/>
      <c r="N110" s="543"/>
    </row>
    <row r="111" spans="1:14" x14ac:dyDescent="0.25">
      <c r="A111" s="543"/>
      <c r="B111" s="543"/>
      <c r="C111" s="543"/>
      <c r="D111" s="543"/>
      <c r="E111" s="543"/>
      <c r="F111" s="543"/>
      <c r="G111" s="543"/>
      <c r="H111" s="543"/>
      <c r="I111" s="543"/>
      <c r="J111" s="543"/>
      <c r="K111" s="543"/>
      <c r="L111" s="543"/>
      <c r="M111" s="543"/>
      <c r="N111" s="543"/>
    </row>
    <row r="112" spans="1:14" x14ac:dyDescent="0.25">
      <c r="A112" s="543"/>
      <c r="B112" s="543"/>
      <c r="C112" s="543"/>
      <c r="D112" s="543"/>
      <c r="E112" s="543"/>
      <c r="F112" s="543"/>
      <c r="G112" s="543"/>
      <c r="H112" s="543"/>
      <c r="I112" s="543"/>
      <c r="J112" s="543"/>
      <c r="K112" s="543"/>
      <c r="L112" s="543"/>
      <c r="M112" s="543"/>
      <c r="N112" s="543"/>
    </row>
    <row r="113" spans="1:14" x14ac:dyDescent="0.25">
      <c r="A113" s="543"/>
      <c r="B113" s="543"/>
      <c r="C113" s="543"/>
      <c r="D113" s="543"/>
      <c r="E113" s="543"/>
      <c r="F113" s="543"/>
      <c r="G113" s="543"/>
      <c r="H113" s="543"/>
      <c r="I113" s="543"/>
      <c r="J113" s="543"/>
      <c r="K113" s="543"/>
      <c r="L113" s="543"/>
      <c r="M113" s="543"/>
      <c r="N113" s="543"/>
    </row>
    <row r="114" spans="1:14" x14ac:dyDescent="0.25">
      <c r="A114" s="543"/>
      <c r="B114" s="543"/>
      <c r="C114" s="543"/>
      <c r="D114" s="543"/>
      <c r="E114" s="543"/>
      <c r="F114" s="543"/>
      <c r="G114" s="543"/>
      <c r="H114" s="543"/>
      <c r="I114" s="543"/>
      <c r="J114" s="543"/>
      <c r="K114" s="543"/>
      <c r="L114" s="543"/>
      <c r="M114" s="543"/>
      <c r="N114" s="543"/>
    </row>
    <row r="115" spans="1:14" x14ac:dyDescent="0.25">
      <c r="A115" s="543"/>
      <c r="B115" s="543"/>
      <c r="C115" s="543"/>
      <c r="D115" s="543"/>
      <c r="E115" s="543"/>
      <c r="F115" s="543"/>
      <c r="G115" s="543"/>
      <c r="H115" s="543"/>
      <c r="I115" s="543"/>
      <c r="J115" s="543"/>
      <c r="K115" s="543"/>
      <c r="L115" s="543"/>
      <c r="M115" s="543"/>
      <c r="N115" s="543"/>
    </row>
    <row r="116" spans="1:14" x14ac:dyDescent="0.25">
      <c r="A116" s="543"/>
      <c r="B116" s="543"/>
      <c r="C116" s="543"/>
      <c r="D116" s="543"/>
      <c r="E116" s="543"/>
      <c r="F116" s="543"/>
      <c r="G116" s="543"/>
      <c r="H116" s="543"/>
      <c r="I116" s="543"/>
      <c r="J116" s="543"/>
      <c r="K116" s="543"/>
      <c r="L116" s="543"/>
      <c r="M116" s="543"/>
      <c r="N116" s="543"/>
    </row>
    <row r="117" spans="1:14" x14ac:dyDescent="0.25">
      <c r="A117" s="543"/>
      <c r="B117" s="543"/>
      <c r="C117" s="543"/>
      <c r="D117" s="543"/>
      <c r="E117" s="543"/>
      <c r="F117" s="543"/>
      <c r="G117" s="543"/>
      <c r="H117" s="543"/>
      <c r="I117" s="543"/>
      <c r="J117" s="543"/>
      <c r="K117" s="543"/>
      <c r="L117" s="543"/>
      <c r="M117" s="543"/>
      <c r="N117" s="543"/>
    </row>
    <row r="118" spans="1:14" x14ac:dyDescent="0.25">
      <c r="A118" s="543"/>
      <c r="B118" s="543"/>
      <c r="C118" s="543"/>
      <c r="D118" s="543"/>
      <c r="E118" s="543"/>
      <c r="F118" s="543"/>
      <c r="G118" s="543"/>
      <c r="H118" s="543"/>
      <c r="I118" s="543"/>
      <c r="J118" s="543"/>
      <c r="K118" s="543"/>
      <c r="L118" s="543"/>
      <c r="M118" s="543"/>
      <c r="N118" s="543"/>
    </row>
    <row r="119" spans="1:14" x14ac:dyDescent="0.25">
      <c r="A119" s="543"/>
      <c r="B119" s="543"/>
      <c r="C119" s="543"/>
      <c r="D119" s="543"/>
      <c r="E119" s="543"/>
      <c r="F119" s="543"/>
      <c r="G119" s="543"/>
      <c r="H119" s="543"/>
      <c r="I119" s="543"/>
      <c r="J119" s="543"/>
      <c r="K119" s="543"/>
      <c r="L119" s="543"/>
      <c r="M119" s="543"/>
      <c r="N119" s="543"/>
    </row>
    <row r="120" spans="1:14" x14ac:dyDescent="0.25">
      <c r="A120" s="543"/>
      <c r="B120" s="543"/>
      <c r="C120" s="543"/>
      <c r="D120" s="543"/>
      <c r="E120" s="543"/>
      <c r="F120" s="543"/>
      <c r="G120" s="543"/>
      <c r="H120" s="543"/>
      <c r="I120" s="543"/>
      <c r="J120" s="543"/>
      <c r="K120" s="543"/>
      <c r="L120" s="543"/>
      <c r="M120" s="543"/>
      <c r="N120" s="543"/>
    </row>
    <row r="121" spans="1:14" x14ac:dyDescent="0.25">
      <c r="A121" s="543"/>
      <c r="B121" s="543"/>
      <c r="C121" s="543"/>
      <c r="D121" s="543"/>
      <c r="E121" s="543"/>
      <c r="F121" s="543"/>
      <c r="G121" s="543"/>
      <c r="H121" s="543"/>
      <c r="I121" s="543"/>
      <c r="J121" s="543"/>
      <c r="K121" s="543"/>
      <c r="L121" s="543"/>
      <c r="M121" s="543"/>
      <c r="N121" s="543"/>
    </row>
    <row r="122" spans="1:14" x14ac:dyDescent="0.25">
      <c r="A122" s="543"/>
      <c r="B122" s="543"/>
      <c r="C122" s="543"/>
      <c r="D122" s="543"/>
      <c r="E122" s="543"/>
      <c r="F122" s="543"/>
      <c r="G122" s="543"/>
      <c r="H122" s="543"/>
      <c r="I122" s="543"/>
      <c r="J122" s="543"/>
      <c r="K122" s="543"/>
      <c r="L122" s="543"/>
      <c r="M122" s="543"/>
      <c r="N122" s="543"/>
    </row>
    <row r="123" spans="1:14" x14ac:dyDescent="0.25">
      <c r="A123" s="543"/>
      <c r="B123" s="543"/>
      <c r="C123" s="543"/>
      <c r="D123" s="543"/>
      <c r="E123" s="543"/>
      <c r="F123" s="543"/>
      <c r="G123" s="543"/>
      <c r="H123" s="543"/>
      <c r="I123" s="543"/>
      <c r="J123" s="543"/>
      <c r="K123" s="543"/>
      <c r="L123" s="543"/>
      <c r="M123" s="543"/>
      <c r="N123" s="543"/>
    </row>
    <row r="124" spans="1:14" x14ac:dyDescent="0.25">
      <c r="A124" s="543"/>
      <c r="B124" s="543"/>
      <c r="C124" s="543"/>
      <c r="D124" s="543"/>
      <c r="E124" s="543"/>
      <c r="F124" s="543"/>
      <c r="G124" s="543"/>
      <c r="H124" s="543"/>
      <c r="I124" s="543"/>
      <c r="J124" s="543"/>
      <c r="K124" s="543"/>
      <c r="L124" s="543"/>
      <c r="M124" s="543"/>
      <c r="N124" s="543"/>
    </row>
    <row r="125" spans="1:14" x14ac:dyDescent="0.25">
      <c r="A125" s="543"/>
      <c r="B125" s="543"/>
      <c r="C125" s="543"/>
      <c r="D125" s="543"/>
      <c r="E125" s="543"/>
      <c r="F125" s="543"/>
      <c r="G125" s="543"/>
      <c r="H125" s="543"/>
      <c r="I125" s="543"/>
      <c r="J125" s="543"/>
      <c r="K125" s="543"/>
      <c r="L125" s="543"/>
      <c r="M125" s="543"/>
      <c r="N125" s="543"/>
    </row>
    <row r="126" spans="1:14" x14ac:dyDescent="0.25">
      <c r="A126" s="543"/>
      <c r="B126" s="543"/>
      <c r="C126" s="543"/>
      <c r="D126" s="543"/>
      <c r="E126" s="543"/>
      <c r="F126" s="543"/>
      <c r="G126" s="543"/>
      <c r="H126" s="543"/>
      <c r="I126" s="543"/>
      <c r="J126" s="543"/>
      <c r="K126" s="543"/>
      <c r="L126" s="543"/>
      <c r="M126" s="543"/>
      <c r="N126" s="543"/>
    </row>
    <row r="127" spans="1:14" x14ac:dyDescent="0.25">
      <c r="A127" s="543"/>
      <c r="B127" s="543"/>
      <c r="C127" s="543"/>
      <c r="D127" s="543"/>
      <c r="E127" s="543"/>
      <c r="F127" s="543"/>
      <c r="G127" s="543"/>
      <c r="H127" s="543"/>
      <c r="I127" s="543"/>
      <c r="J127" s="543"/>
      <c r="K127" s="543"/>
      <c r="L127" s="543"/>
      <c r="M127" s="543"/>
      <c r="N127" s="543"/>
    </row>
    <row r="128" spans="1:14" x14ac:dyDescent="0.25">
      <c r="A128" s="543"/>
      <c r="B128" s="543"/>
      <c r="C128" s="543"/>
      <c r="D128" s="543"/>
      <c r="E128" s="543"/>
      <c r="F128" s="543"/>
      <c r="G128" s="543"/>
      <c r="H128" s="543"/>
      <c r="I128" s="543"/>
      <c r="J128" s="543"/>
      <c r="K128" s="543"/>
      <c r="L128" s="543"/>
      <c r="M128" s="543"/>
      <c r="N128" s="543"/>
    </row>
    <row r="129" spans="1:14" x14ac:dyDescent="0.25">
      <c r="A129" s="543"/>
      <c r="B129" s="543"/>
      <c r="C129" s="543"/>
      <c r="D129" s="543"/>
      <c r="E129" s="543"/>
      <c r="F129" s="543"/>
      <c r="G129" s="543"/>
      <c r="H129" s="543"/>
      <c r="I129" s="543"/>
      <c r="J129" s="543"/>
      <c r="K129" s="543"/>
      <c r="L129" s="543"/>
      <c r="M129" s="543"/>
      <c r="N129" s="543"/>
    </row>
    <row r="130" spans="1:14" x14ac:dyDescent="0.25">
      <c r="A130" s="543"/>
      <c r="B130" s="543"/>
      <c r="C130" s="543"/>
      <c r="D130" s="543"/>
      <c r="E130" s="543"/>
      <c r="F130" s="543"/>
      <c r="G130" s="543"/>
      <c r="H130" s="543"/>
      <c r="I130" s="543"/>
      <c r="J130" s="543"/>
      <c r="K130" s="543"/>
      <c r="L130" s="543"/>
      <c r="M130" s="543"/>
      <c r="N130" s="543"/>
    </row>
    <row r="131" spans="1:14" x14ac:dyDescent="0.25">
      <c r="A131" s="543"/>
      <c r="B131" s="543"/>
      <c r="C131" s="543"/>
      <c r="D131" s="543"/>
      <c r="E131" s="543"/>
      <c r="F131" s="543"/>
      <c r="G131" s="543"/>
      <c r="H131" s="543"/>
      <c r="I131" s="543"/>
      <c r="J131" s="543"/>
      <c r="K131" s="543"/>
      <c r="L131" s="543"/>
      <c r="M131" s="543"/>
      <c r="N131" s="543"/>
    </row>
    <row r="132" spans="1:14" x14ac:dyDescent="0.25">
      <c r="A132" s="543"/>
      <c r="B132" s="543"/>
      <c r="C132" s="543"/>
      <c r="D132" s="543"/>
      <c r="E132" s="543"/>
      <c r="F132" s="543"/>
      <c r="G132" s="543"/>
      <c r="H132" s="543"/>
      <c r="I132" s="543"/>
      <c r="J132" s="543"/>
      <c r="K132" s="543"/>
      <c r="L132" s="543"/>
      <c r="M132" s="543"/>
      <c r="N132" s="543"/>
    </row>
    <row r="133" spans="1:14" x14ac:dyDescent="0.25">
      <c r="A133" s="543"/>
      <c r="B133" s="543"/>
      <c r="C133" s="543"/>
      <c r="D133" s="543"/>
      <c r="E133" s="543"/>
      <c r="F133" s="543"/>
      <c r="G133" s="543"/>
      <c r="H133" s="543"/>
      <c r="I133" s="543"/>
      <c r="J133" s="543"/>
      <c r="K133" s="543"/>
      <c r="L133" s="543"/>
      <c r="M133" s="543"/>
      <c r="N133" s="543"/>
    </row>
    <row r="134" spans="1:14" x14ac:dyDescent="0.25">
      <c r="A134" s="543"/>
      <c r="B134" s="543"/>
      <c r="C134" s="543"/>
      <c r="D134" s="543"/>
      <c r="E134" s="543"/>
      <c r="F134" s="543"/>
      <c r="G134" s="543"/>
      <c r="H134" s="543"/>
      <c r="I134" s="543"/>
      <c r="J134" s="543"/>
      <c r="K134" s="543"/>
      <c r="L134" s="543"/>
      <c r="M134" s="543"/>
      <c r="N134" s="543"/>
    </row>
    <row r="135" spans="1:14" x14ac:dyDescent="0.25">
      <c r="A135" s="543"/>
      <c r="B135" s="543"/>
      <c r="C135" s="543"/>
      <c r="D135" s="543"/>
      <c r="E135" s="543"/>
      <c r="F135" s="543"/>
      <c r="G135" s="543"/>
      <c r="H135" s="543"/>
      <c r="I135" s="543"/>
      <c r="J135" s="543"/>
      <c r="K135" s="543"/>
      <c r="L135" s="543"/>
      <c r="M135" s="543"/>
      <c r="N135" s="543"/>
    </row>
    <row r="136" spans="1:14" x14ac:dyDescent="0.25">
      <c r="A136" s="543"/>
      <c r="B136" s="543"/>
      <c r="C136" s="543"/>
      <c r="D136" s="543"/>
      <c r="E136" s="543"/>
      <c r="F136" s="543"/>
      <c r="G136" s="543"/>
      <c r="H136" s="543"/>
      <c r="I136" s="543"/>
      <c r="J136" s="543"/>
      <c r="K136" s="543"/>
      <c r="L136" s="543"/>
      <c r="M136" s="543"/>
      <c r="N136" s="543"/>
    </row>
    <row r="137" spans="1:14" x14ac:dyDescent="0.25">
      <c r="A137" s="543"/>
      <c r="B137" s="543"/>
      <c r="C137" s="543"/>
      <c r="D137" s="543"/>
      <c r="E137" s="543"/>
      <c r="F137" s="543"/>
      <c r="G137" s="543"/>
      <c r="H137" s="543"/>
      <c r="I137" s="543"/>
      <c r="J137" s="543"/>
      <c r="K137" s="543"/>
      <c r="L137" s="543"/>
      <c r="M137" s="543"/>
      <c r="N137" s="543"/>
    </row>
    <row r="138" spans="1:14" x14ac:dyDescent="0.25">
      <c r="A138" s="543"/>
      <c r="B138" s="543"/>
      <c r="C138" s="543"/>
      <c r="D138" s="543"/>
      <c r="E138" s="543"/>
      <c r="F138" s="543"/>
      <c r="G138" s="543"/>
      <c r="H138" s="543"/>
      <c r="I138" s="543"/>
      <c r="J138" s="543"/>
      <c r="K138" s="543"/>
      <c r="L138" s="543"/>
      <c r="M138" s="543"/>
      <c r="N138" s="543"/>
    </row>
    <row r="139" spans="1:14" x14ac:dyDescent="0.25">
      <c r="A139" s="543"/>
      <c r="B139" s="543"/>
      <c r="C139" s="543"/>
      <c r="D139" s="543"/>
      <c r="E139" s="543"/>
      <c r="F139" s="543"/>
      <c r="G139" s="543"/>
      <c r="H139" s="543"/>
      <c r="I139" s="543"/>
      <c r="J139" s="543"/>
      <c r="K139" s="543"/>
      <c r="L139" s="543"/>
      <c r="M139" s="543"/>
      <c r="N139" s="543"/>
    </row>
    <row r="140" spans="1:14" x14ac:dyDescent="0.25">
      <c r="A140" s="543"/>
      <c r="B140" s="543"/>
      <c r="C140" s="543"/>
      <c r="D140" s="543"/>
      <c r="E140" s="543"/>
      <c r="F140" s="543"/>
      <c r="G140" s="543"/>
      <c r="H140" s="543"/>
      <c r="I140" s="543"/>
      <c r="J140" s="543"/>
      <c r="K140" s="543"/>
      <c r="L140" s="543"/>
      <c r="M140" s="543"/>
      <c r="N140" s="543"/>
    </row>
    <row r="141" spans="1:14" x14ac:dyDescent="0.25">
      <c r="A141" s="543"/>
      <c r="B141" s="543"/>
      <c r="C141" s="543"/>
      <c r="D141" s="543"/>
      <c r="E141" s="543"/>
      <c r="F141" s="543"/>
      <c r="G141" s="543"/>
      <c r="H141" s="543"/>
      <c r="I141" s="543"/>
      <c r="J141" s="543"/>
      <c r="K141" s="543"/>
      <c r="L141" s="543"/>
      <c r="M141" s="543"/>
      <c r="N141" s="543"/>
    </row>
    <row r="142" spans="1:14" x14ac:dyDescent="0.25">
      <c r="A142" s="543"/>
      <c r="B142" s="543"/>
      <c r="C142" s="543"/>
      <c r="D142" s="543"/>
      <c r="E142" s="543"/>
      <c r="F142" s="543"/>
      <c r="G142" s="543"/>
      <c r="H142" s="543"/>
      <c r="I142" s="543"/>
      <c r="J142" s="543"/>
      <c r="K142" s="543"/>
      <c r="L142" s="543"/>
      <c r="M142" s="543"/>
      <c r="N142" s="543"/>
    </row>
    <row r="143" spans="1:14" x14ac:dyDescent="0.25">
      <c r="A143" s="543"/>
      <c r="B143" s="543"/>
      <c r="C143" s="543"/>
      <c r="D143" s="543"/>
      <c r="E143" s="543"/>
      <c r="F143" s="543"/>
      <c r="G143" s="543"/>
      <c r="H143" s="543"/>
      <c r="I143" s="543"/>
      <c r="J143" s="543"/>
      <c r="K143" s="543"/>
      <c r="L143" s="543"/>
      <c r="M143" s="543"/>
      <c r="N143" s="543"/>
    </row>
    <row r="144" spans="1:14" x14ac:dyDescent="0.25">
      <c r="A144" s="543"/>
      <c r="B144" s="543"/>
      <c r="C144" s="543"/>
      <c r="D144" s="543"/>
      <c r="E144" s="543"/>
      <c r="F144" s="543"/>
      <c r="G144" s="543"/>
      <c r="H144" s="543"/>
      <c r="I144" s="543"/>
      <c r="J144" s="543"/>
      <c r="K144" s="543"/>
      <c r="L144" s="543"/>
      <c r="M144" s="543"/>
      <c r="N144" s="543"/>
    </row>
    <row r="145" spans="1:14" x14ac:dyDescent="0.25">
      <c r="A145" s="543"/>
      <c r="B145" s="543"/>
      <c r="C145" s="543"/>
      <c r="D145" s="543"/>
      <c r="E145" s="543"/>
      <c r="F145" s="543"/>
      <c r="G145" s="543"/>
      <c r="H145" s="543"/>
      <c r="I145" s="543"/>
      <c r="J145" s="543"/>
      <c r="K145" s="543"/>
      <c r="L145" s="543"/>
      <c r="M145" s="543"/>
      <c r="N145" s="543"/>
    </row>
    <row r="146" spans="1:14" x14ac:dyDescent="0.25">
      <c r="A146" s="543"/>
      <c r="B146" s="543"/>
      <c r="C146" s="543"/>
      <c r="D146" s="543"/>
      <c r="E146" s="543"/>
      <c r="F146" s="543"/>
      <c r="G146" s="543"/>
      <c r="H146" s="543"/>
      <c r="I146" s="543"/>
      <c r="J146" s="543"/>
      <c r="K146" s="543"/>
      <c r="L146" s="543"/>
      <c r="M146" s="543"/>
      <c r="N146" s="543"/>
    </row>
    <row r="147" spans="1:14" x14ac:dyDescent="0.25">
      <c r="A147" s="543"/>
      <c r="B147" s="543"/>
      <c r="C147" s="543"/>
      <c r="D147" s="543"/>
      <c r="E147" s="543"/>
      <c r="F147" s="543"/>
      <c r="G147" s="543"/>
      <c r="H147" s="543"/>
      <c r="I147" s="543"/>
      <c r="J147" s="543"/>
      <c r="K147" s="543"/>
      <c r="L147" s="543"/>
      <c r="M147" s="543"/>
      <c r="N147" s="543"/>
    </row>
    <row r="148" spans="1:14" x14ac:dyDescent="0.25">
      <c r="A148" s="543"/>
      <c r="B148" s="543"/>
      <c r="C148" s="543"/>
      <c r="D148" s="543"/>
      <c r="E148" s="543"/>
      <c r="F148" s="543"/>
      <c r="G148" s="543"/>
      <c r="H148" s="543"/>
      <c r="I148" s="543"/>
      <c r="J148" s="543"/>
      <c r="K148" s="543"/>
      <c r="L148" s="543"/>
      <c r="M148" s="543"/>
      <c r="N148" s="543"/>
    </row>
    <row r="149" spans="1:14" x14ac:dyDescent="0.25">
      <c r="A149" s="543"/>
      <c r="B149" s="543"/>
      <c r="C149" s="543"/>
      <c r="D149" s="543"/>
      <c r="E149" s="543"/>
      <c r="F149" s="543"/>
      <c r="G149" s="543"/>
      <c r="H149" s="543"/>
      <c r="I149" s="543"/>
      <c r="J149" s="543"/>
      <c r="K149" s="543"/>
      <c r="L149" s="543"/>
      <c r="M149" s="543"/>
      <c r="N149" s="543"/>
    </row>
    <row r="150" spans="1:14" x14ac:dyDescent="0.25">
      <c r="A150" s="543"/>
      <c r="B150" s="543"/>
      <c r="C150" s="543"/>
      <c r="D150" s="543"/>
      <c r="E150" s="543"/>
      <c r="F150" s="543"/>
      <c r="G150" s="543"/>
      <c r="H150" s="543"/>
      <c r="I150" s="543"/>
      <c r="J150" s="543"/>
      <c r="K150" s="543"/>
      <c r="L150" s="543"/>
      <c r="M150" s="543"/>
      <c r="N150" s="543"/>
    </row>
    <row r="151" spans="1:14" x14ac:dyDescent="0.25">
      <c r="A151" s="543"/>
      <c r="B151" s="543"/>
      <c r="C151" s="543"/>
      <c r="D151" s="543"/>
      <c r="E151" s="543"/>
      <c r="F151" s="543"/>
      <c r="G151" s="543"/>
      <c r="H151" s="543"/>
      <c r="I151" s="543"/>
      <c r="J151" s="543"/>
      <c r="K151" s="543"/>
      <c r="L151" s="543"/>
      <c r="M151" s="543"/>
      <c r="N151" s="543"/>
    </row>
  </sheetData>
  <sheetProtection algorithmName="SHA-512" hashValue="brgU9j7lFSLGznTlliS9/8oXpDhfiUYUOT5rohu0YnJj/QLspmsnx2kvnZQ5tjRAYpT4nktpqlksrfY3vJsePg==" saltValue="D39GZ5gLprbbGBQidiLPVQ==" spinCount="100000" sheet="1" objects="1" scenarios="1"/>
  <mergeCells count="3">
    <mergeCell ref="B2:N2"/>
    <mergeCell ref="B8:N8"/>
    <mergeCell ref="B32:O32"/>
  </mergeCells>
  <conditionalFormatting sqref="N16">
    <cfRule type="expression" dxfId="560" priority="14">
      <formula>$E11="EXCLUDE"</formula>
    </cfRule>
  </conditionalFormatting>
  <conditionalFormatting sqref="N24:N26">
    <cfRule type="expression" dxfId="559" priority="15">
      <formula>$E25="EXCLUDE"</formula>
    </cfRule>
  </conditionalFormatting>
  <conditionalFormatting sqref="N11 N14:N15 N23">
    <cfRule type="expression" dxfId="558" priority="16">
      <formula>$E12="EXCLUDE"</formula>
    </cfRule>
  </conditionalFormatting>
  <conditionalFormatting sqref="N12">
    <cfRule type="expression" dxfId="557" priority="17">
      <formula>$E14="EXCLUDE"</formula>
    </cfRule>
  </conditionalFormatting>
  <conditionalFormatting sqref="N13 N21">
    <cfRule type="expression" dxfId="556" priority="18">
      <formula>$E20="EXCLUDE"</formula>
    </cfRule>
  </conditionalFormatting>
  <conditionalFormatting sqref="N27:N28 N18">
    <cfRule type="expression" dxfId="555" priority="19">
      <formula>$E21="EXCLUDE"</formula>
    </cfRule>
  </conditionalFormatting>
  <conditionalFormatting sqref="N30">
    <cfRule type="expression" dxfId="554" priority="20">
      <formula>$E23="EXCLUDE"</formula>
    </cfRule>
  </conditionalFormatting>
  <conditionalFormatting sqref="N17 N29 N19 N22">
    <cfRule type="expression" dxfId="553" priority="21">
      <formula>$E17="EXCLUDE"</formula>
    </cfRule>
  </conditionalFormatting>
  <conditionalFormatting sqref="N20">
    <cfRule type="expression" dxfId="552" priority="22">
      <formula>$E18="EXCLUDE"</formula>
    </cfRule>
  </conditionalFormatting>
  <conditionalFormatting sqref="N50">
    <cfRule type="expression" dxfId="551" priority="5">
      <formula>$E45="EXCLUDE"</formula>
    </cfRule>
  </conditionalFormatting>
  <conditionalFormatting sqref="N58:N60">
    <cfRule type="expression" dxfId="550" priority="6">
      <formula>$E59="EXCLUDE"</formula>
    </cfRule>
  </conditionalFormatting>
  <conditionalFormatting sqref="N48:N49 N57">
    <cfRule type="expression" dxfId="549" priority="7">
      <formula>$E49="EXCLUDE"</formula>
    </cfRule>
  </conditionalFormatting>
  <conditionalFormatting sqref="N46">
    <cfRule type="expression" dxfId="548" priority="8">
      <formula>$E48="EXCLUDE"</formula>
    </cfRule>
  </conditionalFormatting>
  <conditionalFormatting sqref="N47 N55">
    <cfRule type="expression" dxfId="547" priority="9">
      <formula>$E54="EXCLUDE"</formula>
    </cfRule>
  </conditionalFormatting>
  <conditionalFormatting sqref="N61:N62 N52">
    <cfRule type="expression" dxfId="546" priority="10">
      <formula>$E55="EXCLUDE"</formula>
    </cfRule>
  </conditionalFormatting>
  <conditionalFormatting sqref="N64">
    <cfRule type="expression" dxfId="545" priority="11">
      <formula>$E57="EXCLUDE"</formula>
    </cfRule>
  </conditionalFormatting>
  <conditionalFormatting sqref="N51 N63 N53 N56">
    <cfRule type="expression" dxfId="544" priority="12">
      <formula>$E51="EXCLUDE"</formula>
    </cfRule>
  </conditionalFormatting>
  <conditionalFormatting sqref="N54">
    <cfRule type="expression" dxfId="543" priority="13">
      <formula>$E52="EXCLUDE"</formula>
    </cfRule>
  </conditionalFormatting>
  <conditionalFormatting sqref="N36:N45">
    <cfRule type="expression" dxfId="542" priority="4">
      <formula>$E36="EXCLUDE"</formula>
    </cfRule>
  </conditionalFormatting>
  <dataValidations count="8">
    <dataValidation type="list" allowBlank="1" showInputMessage="1" showErrorMessage="1" sqref="C5" xr:uid="{00000000-0002-0000-0B00-000000000000}">
      <formula1>"PWW/P07, PWW"</formula1>
    </dataValidation>
    <dataValidation type="list" allowBlank="1" showInputMessage="1" showErrorMessage="1" sqref="D5" xr:uid="{00000000-0002-0000-0B00-000001000000}">
      <formula1>"C, S"</formula1>
    </dataValidation>
    <dataValidation type="list" allowBlank="1" showInputMessage="1" showErrorMessage="1" sqref="E5" xr:uid="{00000000-0002-0000-0B00-000002000000}">
      <formula1>"PB, DC"</formula1>
    </dataValidation>
    <dataValidation type="list" allowBlank="1" showInputMessage="1" showErrorMessage="1" sqref="N5 G5:L5 I11:I30 K11:K30 I35:I64 K35:K64" xr:uid="{00000000-0002-0000-0B00-000003000000}">
      <formula1>"Yes, No"</formula1>
    </dataValidation>
    <dataValidation type="list" allowBlank="1" showInputMessage="1" showErrorMessage="1" sqref="F5" xr:uid="{00000000-0002-0000-0B00-000004000000}">
      <formula1>"EBP"</formula1>
    </dataValidation>
    <dataValidation type="list" allowBlank="1" showInputMessage="1" showErrorMessage="1" sqref="M11:M30 M35:M64" xr:uid="{00000000-0002-0000-0B00-000005000000}">
      <formula1>"%, $, N, D"</formula1>
    </dataValidation>
    <dataValidation type="list" allowBlank="1" showInputMessage="1" showErrorMessage="1" sqref="H35:H64 H11:H30" xr:uid="{00000000-0002-0000-0B00-000006000000}">
      <formula1>"%, $, #"</formula1>
    </dataValidation>
    <dataValidation type="list" allowBlank="1" showInputMessage="1" showErrorMessage="1" sqref="E35:E64 E11:E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E1184"/>
  <sheetViews>
    <sheetView showGridLines="0" topLeftCell="B1" zoomScale="80" zoomScaleNormal="80" workbookViewId="0">
      <selection activeCell="H6" sqref="H6"/>
    </sheetView>
  </sheetViews>
  <sheetFormatPr defaultRowHeight="15" x14ac:dyDescent="0.25"/>
  <cols>
    <col min="1" max="1" width="1.7109375" customWidth="1"/>
    <col min="2" max="2" width="3.7109375" style="878" customWidth="1"/>
    <col min="3" max="3" width="23.85546875" style="878" customWidth="1"/>
    <col min="4" max="4" width="15.7109375" style="878" customWidth="1"/>
    <col min="5" max="5" width="9.140625" style="878" customWidth="1"/>
    <col min="6" max="6" width="30.28515625" style="878" hidden="1" customWidth="1"/>
    <col min="7" max="7" width="8.140625" style="962" customWidth="1"/>
    <col min="8" max="8" width="20.85546875" style="878" customWidth="1"/>
    <col min="9" max="9" width="3.28515625" style="878" customWidth="1"/>
    <col min="10" max="10" width="24" style="878" customWidth="1"/>
    <col min="11" max="11" width="3.42578125" style="878" customWidth="1"/>
    <col min="12" max="12" width="20" style="878" customWidth="1"/>
    <col min="13" max="13" width="3.28515625" style="878" customWidth="1"/>
    <col min="14" max="14" width="21.85546875" style="878" customWidth="1"/>
    <col min="15" max="15" width="3.28515625" style="878" customWidth="1"/>
    <col min="16" max="16" width="22.5703125" style="878" customWidth="1"/>
    <col min="17" max="17" width="3.28515625" style="878" customWidth="1"/>
    <col min="18" max="18" width="25" style="878" customWidth="1"/>
    <col min="19" max="19" width="3.28515625" style="878" customWidth="1"/>
    <col min="20" max="20" width="20.7109375" style="878" customWidth="1"/>
    <col min="21" max="21" width="3.85546875" style="878" customWidth="1"/>
    <col min="22" max="22" width="9.140625" customWidth="1"/>
    <col min="23" max="23" width="40.7109375" hidden="1" customWidth="1"/>
    <col min="24" max="24" width="46" hidden="1" customWidth="1"/>
    <col min="25" max="25" width="12.140625" hidden="1" customWidth="1"/>
    <col min="26" max="26" width="25" hidden="1" customWidth="1"/>
    <col min="27" max="27" width="14.85546875" hidden="1" customWidth="1"/>
    <col min="28" max="28" width="16.42578125" hidden="1" customWidth="1"/>
    <col min="29" max="29" width="18.85546875" hidden="1" customWidth="1"/>
    <col min="30" max="30" width="9.140625" hidden="1" customWidth="1"/>
    <col min="31" max="31" width="20.28515625" customWidth="1"/>
  </cols>
  <sheetData>
    <row r="1" spans="1:31" s="869" customFormat="1" ht="24" customHeight="1" thickBot="1" x14ac:dyDescent="0.4">
      <c r="A1" s="543"/>
      <c r="B1" s="543"/>
      <c r="C1" s="543"/>
      <c r="D1" s="543"/>
      <c r="E1" s="543"/>
      <c r="F1" s="543"/>
      <c r="G1" s="961"/>
      <c r="H1" s="543"/>
      <c r="I1" s="543"/>
      <c r="J1" s="1970"/>
      <c r="K1" s="1970"/>
      <c r="L1" s="1970"/>
      <c r="M1" s="1970"/>
      <c r="N1" s="1970"/>
      <c r="O1" s="543"/>
      <c r="P1" s="910"/>
      <c r="Q1" s="543"/>
      <c r="R1" s="910"/>
      <c r="S1" s="543"/>
      <c r="T1" s="543"/>
      <c r="U1" s="543"/>
      <c r="W1" s="939" t="s">
        <v>1541</v>
      </c>
      <c r="X1" s="940" t="s">
        <v>1517</v>
      </c>
      <c r="Y1" s="941" t="s">
        <v>1518</v>
      </c>
      <c r="Z1" s="942" t="s">
        <v>1519</v>
      </c>
      <c r="AA1" s="994" t="s">
        <v>765</v>
      </c>
      <c r="AB1" s="995" t="s">
        <v>1179</v>
      </c>
      <c r="AC1" s="941" t="s">
        <v>1349</v>
      </c>
    </row>
    <row r="2" spans="1:31" s="869" customFormat="1" ht="6" customHeight="1" thickBot="1" x14ac:dyDescent="0.3">
      <c r="A2" s="543"/>
      <c r="B2" s="543"/>
      <c r="C2" s="543"/>
      <c r="D2" s="543"/>
      <c r="E2" s="543"/>
      <c r="F2" s="543"/>
      <c r="G2" s="961"/>
      <c r="H2" s="543"/>
      <c r="I2" s="543"/>
      <c r="J2" s="543"/>
      <c r="K2" s="543"/>
      <c r="L2" s="543"/>
      <c r="M2" s="543"/>
      <c r="N2" s="543"/>
      <c r="O2" s="543"/>
      <c r="P2" s="543"/>
      <c r="Q2" s="543"/>
      <c r="R2" s="543"/>
      <c r="S2" s="543"/>
      <c r="T2" s="543"/>
      <c r="U2" s="543"/>
    </row>
    <row r="3" spans="1:31" s="869" customFormat="1" ht="21" customHeight="1" thickBot="1" x14ac:dyDescent="0.3">
      <c r="A3" s="543"/>
      <c r="B3" s="1948" t="s">
        <v>1484</v>
      </c>
      <c r="C3" s="1957"/>
      <c r="D3" s="1957"/>
      <c r="E3" s="1957"/>
      <c r="F3" s="1957"/>
      <c r="G3" s="1957"/>
      <c r="H3" s="1957"/>
      <c r="I3" s="1957"/>
      <c r="J3" s="1957"/>
      <c r="K3" s="1957"/>
      <c r="L3" s="1957"/>
      <c r="M3" s="1957"/>
      <c r="N3" s="1957"/>
      <c r="O3" s="1957"/>
      <c r="P3" s="1957"/>
      <c r="Q3" s="1957"/>
      <c r="R3" s="1957"/>
      <c r="S3" s="1957"/>
      <c r="T3" s="1957"/>
      <c r="U3" s="1958"/>
      <c r="W3" s="937">
        <v>1201</v>
      </c>
      <c r="X3" s="875" t="s">
        <v>1485</v>
      </c>
      <c r="Y3" s="937">
        <v>1</v>
      </c>
      <c r="Z3" s="873" t="str">
        <f>IF(Incentives!$E$13="Yes",IF(Incentives!$E$14=X3,14,IF(Incentives!$E$27="Yes",IF(Incentives!$E$28=X3,28,IF(Incentives!$E$41="Yes",IF(Incentives!$E$42=X3,42,""),"")),"")),"")</f>
        <v/>
      </c>
      <c r="AA3" s="996" t="str">
        <f>IF(Z3&lt;&gt;"",IF(AND(Incentives!E$16&lt;&gt;"",Z3=14),Incentives!E$16,IF(AND(Incentives!E$28&lt;&gt;"",Z3=28),Incentives!E$30,IF(AND(Incentives!E$44&lt;&gt;"",Z3=42),Incentives!E$44,""))),"")</f>
        <v/>
      </c>
      <c r="AB3" s="996" t="str">
        <f>IF(Z3&lt;&gt;"",IF(AND(Incentives!E$17&lt;&gt;"",Z3=14),Incentives!E$17,IF(AND(Incentives!E$31&lt;&gt;"",Z3=28),Incentives!E$31,IF(AND(Incentives!E$45&lt;&gt;"",Z3=42),Incentives!E$45,""))),"")</f>
        <v/>
      </c>
      <c r="AC3" s="1004">
        <v>3</v>
      </c>
      <c r="AD3" s="1264" t="str">
        <f>IF(OR(Z3&lt;&gt;"",OR(Z4&lt;&gt;"",OR(Z5&lt;&gt;"",OR(Z6&lt;&gt;"",OR(Z7&lt;&gt;"",OR(Z8&lt;&gt;"",OR(Z9&lt;&gt;"",OR(Z10&lt;&gt;"",OR(Z11&lt;&gt;"",OR(Z12&lt;&gt;"",OR(Z13&lt;&gt;"",OR(Z14&lt;&gt;"",OR(Z15&lt;&gt;"",OR(Z16&lt;&gt;"",OR(Z17&lt;&gt;"",OR(Z18&lt;&gt;"",OR(Z19&lt;&gt;"",OR(Z20&lt;&gt;"",OR(Z21&lt;&gt;"",OR(Z22&lt;&gt;"",OR(Z23&lt;&gt;"",OR(Z24&lt;&gt;"",OR(Z25&lt;&gt;"",OR(Z26&lt;&gt;"",OR(Z27&lt;&gt;"",OR(Z28&lt;&gt;"",OR(Z29&lt;&gt;"",OR(Z30&lt;&gt;"",OR(Z31&lt;&gt;"",OR(Z32&lt;&gt;"",OR(Z33&lt;&gt;"",OR(Z34&lt;&gt;"",OR(Z35&lt;&gt;"",OR(Z36&lt;&gt;"",Z37&lt;&gt;"")))))))))))))))))))))))))))))))))),"Yes","No")</f>
        <v>No</v>
      </c>
    </row>
    <row r="4" spans="1:31" s="869" customFormat="1" ht="20.25" customHeight="1" thickBot="1" x14ac:dyDescent="0.3">
      <c r="A4" s="543"/>
      <c r="B4" s="911"/>
      <c r="C4" s="911"/>
      <c r="D4" s="911"/>
      <c r="E4" s="911"/>
      <c r="F4" s="911"/>
      <c r="G4" s="957"/>
      <c r="H4" s="911"/>
      <c r="I4" s="911"/>
      <c r="J4" s="911"/>
      <c r="K4" s="911"/>
      <c r="L4" s="911"/>
      <c r="M4" s="911"/>
      <c r="N4" s="911"/>
      <c r="O4" s="911"/>
      <c r="P4" s="911"/>
      <c r="Q4" s="911"/>
      <c r="R4" s="911"/>
      <c r="S4" s="911"/>
      <c r="T4" s="911"/>
      <c r="U4" s="911"/>
      <c r="W4" s="932">
        <v>1202</v>
      </c>
      <c r="X4" s="934"/>
      <c r="Y4" s="933">
        <v>2</v>
      </c>
      <c r="Z4" s="874" t="str">
        <f>IF(AND(Incentives!$E$13="Yes",Incentives!$E$14=X3),IF(Incentives!$E$27="Yes",IF(Incentives!$E$28=X3,28,IF(Incentives!$E$41="Yes",IF(Incentives!$E$42=X3,42,""),"")),""),IF(Incentives!$E$27="Yes",IF(Incentives!$E$28=X3,IF(Incentives!$E$41="Yes",IF(Incentives!$E$42=X3,42,""),""),""),""))</f>
        <v/>
      </c>
      <c r="AA4" s="996" t="str">
        <f>IF(Z4&lt;&gt;"",IF(AND(Incentives!E$16&lt;&gt;"",Z4=14),Incentives!E$16,IF(AND(Incentives!E$28&lt;&gt;"",Z4=28),Incentives!E$30,IF(AND(Incentives!E$44&lt;&gt;"",Z4=42),Incentives!E$44,""))),"")</f>
        <v/>
      </c>
      <c r="AB4" s="996" t="str">
        <f>IF(Z4&lt;&gt;"",IF(AND(Incentives!E$17&lt;&gt;"",Z4=14),Incentives!E$17,IF(AND(Incentives!E$31&lt;&gt;"",Z4=28),Incentives!E$31,IF(AND(Incentives!E$45&lt;&gt;"",Z4=42),Incentives!E$45,""))),"")</f>
        <v/>
      </c>
      <c r="AC4" s="1004">
        <v>17</v>
      </c>
    </row>
    <row r="5" spans="1:31" s="869" customFormat="1" ht="30" customHeight="1" thickBot="1" x14ac:dyDescent="0.3">
      <c r="A5" s="396"/>
      <c r="B5" s="911"/>
      <c r="C5" s="923" t="s">
        <v>1383</v>
      </c>
      <c r="D5" s="1949" t="s">
        <v>1485</v>
      </c>
      <c r="E5" s="1950"/>
      <c r="F5" s="911"/>
      <c r="G5" s="957"/>
      <c r="H5" s="926" t="s">
        <v>1380</v>
      </c>
      <c r="I5" s="911"/>
      <c r="J5" s="926" t="s">
        <v>1381</v>
      </c>
      <c r="K5" s="911"/>
      <c r="L5" s="926" t="s">
        <v>1397</v>
      </c>
      <c r="M5" s="911"/>
      <c r="N5" s="927" t="s">
        <v>1382</v>
      </c>
      <c r="O5" s="911"/>
      <c r="P5" s="926" t="s">
        <v>1486</v>
      </c>
      <c r="Q5" s="911"/>
      <c r="R5" s="926" t="s">
        <v>1487</v>
      </c>
      <c r="S5" s="911"/>
      <c r="T5" s="928" t="s">
        <v>1488</v>
      </c>
      <c r="U5" s="911"/>
      <c r="W5" s="932">
        <v>1401</v>
      </c>
      <c r="X5" s="934" t="s">
        <v>1500</v>
      </c>
      <c r="Y5" s="933">
        <v>1</v>
      </c>
      <c r="Z5" s="873" t="str">
        <f>IF(Incentives!$E$13="Yes",IF(Incentives!$E$14=X5,14,IF(Incentives!$E$27="Yes",IF(Incentives!$E$28=X5,28,IF(Incentives!$E$41="Yes",IF(Incentives!$E$42=X5,42,""),"")),"")),"")</f>
        <v/>
      </c>
      <c r="AA5" s="996" t="str">
        <f>IF(Z5&lt;&gt;"",IF(AND(Incentives!E$16&lt;&gt;"",Z5=14),Incentives!E$16,IF(AND(Incentives!E$28&lt;&gt;"",Z5=28),Incentives!E$30,IF(AND(Incentives!E$44&lt;&gt;"",Z5=42),Incentives!E$44,""))),"")</f>
        <v/>
      </c>
      <c r="AB5" s="996" t="str">
        <f>IF(Z5&lt;&gt;"",IF(AND(Incentives!E$17&lt;&gt;"",Z5=14),Incentives!E$17,IF(AND(Incentives!E$31&lt;&gt;"",Z5=28),Incentives!E$31,IF(AND(Incentives!E$45&lt;&gt;"",Z5=42),Incentives!E$45,""))),"")</f>
        <v/>
      </c>
      <c r="AC5" s="1004">
        <v>31</v>
      </c>
      <c r="AE5" s="1956" t="str">
        <f>IF(AND(H6="",T15="Yes"),"Please Update Incentive Period","")</f>
        <v/>
      </c>
    </row>
    <row r="6" spans="1:31" s="869" customFormat="1" ht="18" customHeight="1" thickBot="1" x14ac:dyDescent="0.3">
      <c r="A6" s="543"/>
      <c r="B6" s="911"/>
      <c r="C6" s="911"/>
      <c r="D6" s="911"/>
      <c r="E6" s="911"/>
      <c r="F6" s="911"/>
      <c r="G6" s="957"/>
      <c r="H6" s="871"/>
      <c r="I6" s="911"/>
      <c r="J6" s="916"/>
      <c r="K6" s="918"/>
      <c r="L6" s="916"/>
      <c r="M6" s="918"/>
      <c r="N6" s="956"/>
      <c r="O6" s="911"/>
      <c r="P6" s="872" t="s">
        <v>1489</v>
      </c>
      <c r="Q6" s="911"/>
      <c r="R6" s="872" t="s">
        <v>1490</v>
      </c>
      <c r="S6" s="911"/>
      <c r="T6" s="912" t="s">
        <v>648</v>
      </c>
      <c r="U6" s="911"/>
      <c r="W6" s="932">
        <v>1402</v>
      </c>
      <c r="X6" s="934"/>
      <c r="Y6" s="933">
        <v>2</v>
      </c>
      <c r="Z6" s="874" t="str">
        <f>IF(AND(Incentives!$E$13="Yes",Incentives!$E$14=X5),IF(Incentives!$E$27="Yes",IF(Incentives!$E$28=X5,28,IF(Incentives!$E$41="Yes",IF(Incentives!$E$42=X5,42,""),"")),""),IF(Incentives!$E$27="Yes",IF(Incentives!$E$28=X5,IF(Incentives!$E$41="Yes",IF(Incentives!$E$42=X5,42,""),""),""),""))</f>
        <v/>
      </c>
      <c r="AA6" s="996" t="str">
        <f>IF(Z6&lt;&gt;"",IF(AND(Incentives!E$16&lt;&gt;"",Z6=14),Incentives!E$16,IF(AND(Incentives!E$28&lt;&gt;"",Z6=28),Incentives!E$30,IF(AND(Incentives!E$44&lt;&gt;"",Z6=42),Incentives!E$44,""))),"")</f>
        <v/>
      </c>
      <c r="AB6" s="996" t="str">
        <f>IF(Z6&lt;&gt;"",IF(AND(Incentives!E$17&lt;&gt;"",Z6=14),Incentives!E$17,IF(AND(Incentives!E$31&lt;&gt;"",Z6=28),Incentives!E$31,IF(AND(Incentives!E$45&lt;&gt;"",Z6=42),Incentives!E$45,""))),"")</f>
        <v/>
      </c>
      <c r="AC6" s="1004">
        <v>45</v>
      </c>
      <c r="AE6" s="1956"/>
    </row>
    <row r="7" spans="1:31" s="869" customFormat="1" ht="30" customHeight="1" thickBot="1" x14ac:dyDescent="0.3">
      <c r="A7" s="543"/>
      <c r="B7" s="911"/>
      <c r="C7" s="923" t="s">
        <v>1491</v>
      </c>
      <c r="D7" s="1951">
        <v>1201</v>
      </c>
      <c r="E7" s="1952"/>
      <c r="F7" s="911"/>
      <c r="G7" s="957"/>
      <c r="H7" s="911"/>
      <c r="I7" s="911"/>
      <c r="J7" s="911"/>
      <c r="K7" s="911"/>
      <c r="L7" s="911"/>
      <c r="M7" s="911"/>
      <c r="N7" s="911"/>
      <c r="O7" s="911"/>
      <c r="P7" s="911"/>
      <c r="Q7" s="911"/>
      <c r="R7" s="911"/>
      <c r="S7" s="911"/>
      <c r="T7" s="911"/>
      <c r="U7" s="911"/>
      <c r="W7" s="932">
        <v>1501</v>
      </c>
      <c r="X7" s="934" t="s">
        <v>1513</v>
      </c>
      <c r="Y7" s="933">
        <v>1</v>
      </c>
      <c r="Z7" s="873" t="str">
        <f>IF(Incentives!$E$13="Yes",IF(Incentives!$E$14=X7,14,IF(Incentives!$E$27="Yes",IF(Incentives!$E$28=X7,28,IF(Incentives!$E$41="Yes",IF(Incentives!$E$42=X7,42,""),"")),"")),"")</f>
        <v/>
      </c>
      <c r="AA7" s="996" t="str">
        <f>IF(Z7&lt;&gt;"",IF(AND(Incentives!E$16&lt;&gt;"",Z7=14),Incentives!E$16,IF(AND(Incentives!E$28&lt;&gt;"",Z7=28),Incentives!E$30,IF(AND(Incentives!E$44&lt;&gt;"",Z7=42),Incentives!E$44,""))),"")</f>
        <v/>
      </c>
      <c r="AB7" s="996" t="str">
        <f>IF(Z7&lt;&gt;"",IF(AND(Incentives!E$17&lt;&gt;"",Z7=14),Incentives!E$17,IF(AND(Incentives!E$31&lt;&gt;"",Z7=28),Incentives!E$31,IF(AND(Incentives!E$45&lt;&gt;"",Z7=42),Incentives!E$45,""))),"")</f>
        <v/>
      </c>
      <c r="AC7" s="1004">
        <v>59</v>
      </c>
      <c r="AE7" s="1530"/>
    </row>
    <row r="8" spans="1:31" s="869" customFormat="1" ht="17.25" customHeight="1" thickBot="1" x14ac:dyDescent="0.3">
      <c r="A8" s="543"/>
      <c r="B8" s="911"/>
      <c r="C8" s="911"/>
      <c r="D8" s="911"/>
      <c r="E8" s="911"/>
      <c r="F8" s="911"/>
      <c r="G8" s="957"/>
      <c r="H8" s="911"/>
      <c r="I8" s="911"/>
      <c r="J8" s="911"/>
      <c r="K8" s="911"/>
      <c r="L8" s="926" t="s">
        <v>1389</v>
      </c>
      <c r="M8" s="911"/>
      <c r="N8" s="911"/>
      <c r="O8" s="911"/>
      <c r="P8" s="911"/>
      <c r="Q8" s="911"/>
      <c r="R8" s="911"/>
      <c r="S8" s="911"/>
      <c r="T8" s="911"/>
      <c r="U8" s="911"/>
      <c r="W8" s="932">
        <v>1502</v>
      </c>
      <c r="X8" s="934"/>
      <c r="Y8" s="933">
        <v>2</v>
      </c>
      <c r="Z8" s="874" t="str">
        <f>IF(AND(Incentives!$E$13="Yes",Incentives!$E$14=X7),IF(Incentives!$E$27="Yes",IF(Incentives!$E$28=X7,28,IF(Incentives!$E$41="Yes",IF(Incentives!$E$42=X7,42,""),"")),""),IF(Incentives!$E$27="Yes",IF(Incentives!$E$28=X7,IF(Incentives!$E$41="Yes",IF(Incentives!$E$42=X7,42,""),""),""),""))</f>
        <v/>
      </c>
      <c r="AA8" s="996" t="str">
        <f>IF(Z8&lt;&gt;"",IF(AND(Incentives!E$16&lt;&gt;"",Z8=14),Incentives!E$16,IF(AND(Incentives!E$28&lt;&gt;"",Z8=28),Incentives!E$30,IF(AND(Incentives!E$44&lt;&gt;"",Z8=42),Incentives!E$44,""))),"")</f>
        <v/>
      </c>
      <c r="AB8" s="996" t="str">
        <f>IF(Z8&lt;&gt;"",IF(AND(Incentives!E$17&lt;&gt;"",Z8=14),Incentives!E$17,IF(AND(Incentives!E$31&lt;&gt;"",Z8=28),Incentives!E$31,IF(AND(Incentives!E$45&lt;&gt;"",Z8=42),Incentives!E$45,""))),"")</f>
        <v/>
      </c>
      <c r="AC8" s="1004">
        <v>75</v>
      </c>
    </row>
    <row r="9" spans="1:31" s="869" customFormat="1" ht="18" customHeight="1" thickBot="1" x14ac:dyDescent="0.3">
      <c r="A9" s="543"/>
      <c r="B9" s="911"/>
      <c r="C9" s="923" t="s">
        <v>1385</v>
      </c>
      <c r="D9" s="1953" t="str">
        <f>AA3</f>
        <v/>
      </c>
      <c r="E9" s="1954"/>
      <c r="F9" s="911"/>
      <c r="G9" s="957"/>
      <c r="H9" s="911"/>
      <c r="I9" s="911"/>
      <c r="J9" s="911"/>
      <c r="K9" s="911"/>
      <c r="L9" s="917"/>
      <c r="M9" s="911"/>
      <c r="N9" s="911"/>
      <c r="O9" s="911"/>
      <c r="P9" s="911"/>
      <c r="Q9" s="911"/>
      <c r="R9" s="911"/>
      <c r="S9" s="911"/>
      <c r="T9" s="911"/>
      <c r="U9" s="911"/>
      <c r="W9" s="932">
        <v>5501</v>
      </c>
      <c r="X9" s="938" t="s">
        <v>1522</v>
      </c>
      <c r="Y9" s="935">
        <v>1</v>
      </c>
      <c r="Z9" s="873" t="str">
        <f>IF(Incentives!$E$55="Yes",IF(Incentives!$E$56=X9,56,IF(Incentives!$E$69="Yes",IF(Incentives!$E$70=X9,70,""),"")),"")</f>
        <v/>
      </c>
      <c r="AA9" s="996" t="str">
        <f>IF(Z9&lt;&gt;"",IF(AND(Incentives!E$58&lt;&gt;"",Z9=56),Incentives!E$58,IF(AND(Incentives!E$72&lt;&gt;"",Z9=70),Incentives!E$72,"")),"")</f>
        <v/>
      </c>
      <c r="AB9" s="996" t="str">
        <f>IF(Z9&lt;&gt;"",IF(AND(Incentives!E$59&lt;&gt;"",Z9=56),Incentives!E$59,IF(AND(Incentives!E$73&lt;&gt;"",Z9=70),Incentives!E$73,"")),"")</f>
        <v/>
      </c>
      <c r="AC9" s="1004">
        <v>91</v>
      </c>
    </row>
    <row r="10" spans="1:31" s="869" customFormat="1" ht="18" customHeight="1" thickBot="1" x14ac:dyDescent="0.3">
      <c r="A10" s="543"/>
      <c r="B10" s="911"/>
      <c r="C10" s="911"/>
      <c r="D10" s="911"/>
      <c r="E10" s="911"/>
      <c r="F10" s="911"/>
      <c r="G10" s="957"/>
      <c r="H10" s="911"/>
      <c r="I10" s="911"/>
      <c r="J10" s="911"/>
      <c r="K10" s="911"/>
      <c r="L10" s="911"/>
      <c r="M10" s="911"/>
      <c r="N10" s="911"/>
      <c r="O10" s="911"/>
      <c r="P10" s="911"/>
      <c r="Q10" s="911"/>
      <c r="R10" s="911"/>
      <c r="S10" s="911"/>
      <c r="T10" s="911"/>
      <c r="U10" s="911"/>
      <c r="W10" s="932">
        <v>5502</v>
      </c>
      <c r="X10" s="938"/>
      <c r="Y10" s="933">
        <v>2</v>
      </c>
      <c r="Z10" s="874" t="str">
        <f>IF(AND(Incentives!$E$55="Yes",Incentives!$E$56=X9),IF(Incentives!$E$69="Yes",IF(Incentives!$E$70=X9,70,""),""),"")</f>
        <v/>
      </c>
      <c r="AA10" s="996" t="str">
        <f>IF(Z10&lt;&gt;"",IF(AND(Incentives!E$58&lt;&gt;"",Z10=56),Incentives!E$58,IF(AND(Incentives!E$72&lt;&gt;"",Z10=70),Incentives!E$72,"")),"")</f>
        <v/>
      </c>
      <c r="AB10" s="996" t="str">
        <f>IF(Z10&lt;&gt;"",IF(AND(Incentives!E$59&lt;&gt;"",Z10=56),Incentives!E$59,IF(AND(Incentives!E$73&lt;&gt;"",Z10=70),Incentives!E$73,"")),"")</f>
        <v/>
      </c>
      <c r="AC10" s="1004">
        <v>105</v>
      </c>
    </row>
    <row r="11" spans="1:31" s="869" customFormat="1" ht="30" customHeight="1" thickBot="1" x14ac:dyDescent="0.3">
      <c r="A11" s="543"/>
      <c r="B11" s="911"/>
      <c r="C11" s="923" t="s">
        <v>1386</v>
      </c>
      <c r="D11" s="1953" t="str">
        <f>AB3</f>
        <v/>
      </c>
      <c r="E11" s="1954"/>
      <c r="F11" s="911"/>
      <c r="G11" s="957"/>
      <c r="H11" s="925" t="s">
        <v>1492</v>
      </c>
      <c r="I11" s="911"/>
      <c r="J11" s="911"/>
      <c r="K11" s="911"/>
      <c r="L11" s="926" t="s">
        <v>1493</v>
      </c>
      <c r="M11" s="911"/>
      <c r="N11" s="911"/>
      <c r="O11" s="911"/>
      <c r="P11" s="911"/>
      <c r="Q11" s="911"/>
      <c r="R11" s="911"/>
      <c r="S11" s="911"/>
      <c r="T11" s="997" t="s">
        <v>1599</v>
      </c>
      <c r="U11" s="911"/>
      <c r="W11" s="932">
        <v>2801</v>
      </c>
      <c r="X11" s="938" t="s">
        <v>1523</v>
      </c>
      <c r="Y11" s="933">
        <v>1</v>
      </c>
      <c r="Z11" s="873" t="str">
        <f>IF(Incentives!$E$55="Yes",IF(Incentives!$E$56=X11,56,IF(Incentives!$E$69="Yes",IF(Incentives!$E$70=X11,70,""),"")),"")</f>
        <v/>
      </c>
      <c r="AA11" s="996" t="str">
        <f>IF(Z11&lt;&gt;"",IF(AND(Incentives!E$58&lt;&gt;"",Z11=56),Incentives!E$58,IF(AND(Incentives!E$72&lt;&gt;"",Z11=70),Incentives!E$72,"")),"")</f>
        <v/>
      </c>
      <c r="AB11" s="996" t="str">
        <f>IF(Z11&lt;&gt;"",IF(AND(Incentives!E$59&lt;&gt;"",Z11=56),Incentives!E$59,IF(AND(Incentives!E$73&lt;&gt;"",Z11=70),Incentives!E$73,"")),"")</f>
        <v/>
      </c>
      <c r="AC11" s="1004">
        <v>119</v>
      </c>
    </row>
    <row r="12" spans="1:31" s="869" customFormat="1" ht="18" customHeight="1" thickBot="1" x14ac:dyDescent="0.3">
      <c r="A12" s="543"/>
      <c r="B12" s="911"/>
      <c r="C12" s="911"/>
      <c r="D12" s="911"/>
      <c r="E12" s="911"/>
      <c r="F12" s="911"/>
      <c r="G12" s="957"/>
      <c r="H12" s="912" t="s">
        <v>646</v>
      </c>
      <c r="I12" s="911"/>
      <c r="J12" s="911"/>
      <c r="K12" s="911"/>
      <c r="L12" s="886" t="s">
        <v>1494</v>
      </c>
      <c r="M12" s="911"/>
      <c r="N12" s="911"/>
      <c r="O12" s="911"/>
      <c r="P12" s="911"/>
      <c r="Q12" s="911"/>
      <c r="R12" s="911"/>
      <c r="S12" s="911"/>
      <c r="T12" s="998" t="s">
        <v>646</v>
      </c>
      <c r="U12" s="911"/>
      <c r="W12" s="932">
        <v>2802</v>
      </c>
      <c r="X12" s="938"/>
      <c r="Y12" s="936"/>
      <c r="Z12" s="874" t="str">
        <f>IF(AND(Incentives!$E$55="Yes",Incentives!$E$56=X11),IF(Incentives!$E$69="Yes",IF(Incentives!$E$70=X11,70,""),""),"")</f>
        <v/>
      </c>
      <c r="AA12" s="996" t="str">
        <f>IF(Z12&lt;&gt;"",IF(AND(Incentives!E$58&lt;&gt;"",Z12=56),Incentives!E$58,IF(AND(Incentives!E$72&lt;&gt;"",Z12=70),Incentives!E$72,"")),"")</f>
        <v/>
      </c>
      <c r="AB12" s="996" t="str">
        <f>IF(Z12&lt;&gt;"",IF(AND(Incentives!E$59&lt;&gt;"",Z12=56),Incentives!E$59,IF(AND(Incentives!E$73&lt;&gt;"",Z12=70),Incentives!E$73,"")),"")</f>
        <v/>
      </c>
      <c r="AC12" s="1004">
        <v>135</v>
      </c>
    </row>
    <row r="13" spans="1:31" s="869" customFormat="1" ht="30" customHeight="1" thickBot="1" x14ac:dyDescent="0.3">
      <c r="A13" s="543"/>
      <c r="B13" s="911"/>
      <c r="C13" s="924" t="s">
        <v>1495</v>
      </c>
      <c r="D13" s="1969" t="s">
        <v>646</v>
      </c>
      <c r="E13" s="1944"/>
      <c r="F13" s="911"/>
      <c r="G13" s="957"/>
      <c r="H13" s="911"/>
      <c r="I13" s="911"/>
      <c r="J13" s="911"/>
      <c r="K13" s="911"/>
      <c r="L13" s="911"/>
      <c r="M13" s="911"/>
      <c r="N13" s="911"/>
      <c r="O13" s="911"/>
      <c r="P13" s="911"/>
      <c r="Q13" s="911"/>
      <c r="R13" s="911"/>
      <c r="S13" s="911"/>
      <c r="T13" s="911"/>
      <c r="U13" s="911"/>
      <c r="W13" s="932">
        <v>3401</v>
      </c>
      <c r="X13" s="938" t="s">
        <v>1530</v>
      </c>
      <c r="Y13" s="937">
        <v>1</v>
      </c>
      <c r="Z13" s="873" t="str">
        <f>IF(Incentives!$E$83="Yes",IF(Incentives!$E$84=X13,84,IF(Incentives!$E$97="Yes",IF(Incentives!$E$98=X13,98,""),"")),"")</f>
        <v/>
      </c>
      <c r="AA13" s="996" t="str">
        <f>IF(Z13&lt;&gt;"",IF(AND(Incentives!E$86&lt;&gt;"",Z13=84),Incentives!E$86,IF(AND(Incentives!E$100&lt;&gt;"",Z13=98),Incentives!E$100,"")),"")</f>
        <v/>
      </c>
      <c r="AB13" s="996" t="str">
        <f>IF(Z13&lt;&gt;"",IF(AND(Incentives!E$87&lt;&gt;"",Z13=84),Incentives!E$87,IF(AND(Incentives!E$101&lt;&gt;"",Z13=98),Incentives!E$101,"")),"")</f>
        <v/>
      </c>
      <c r="AC13" s="1004">
        <v>151</v>
      </c>
    </row>
    <row r="14" spans="1:31" s="869" customFormat="1" ht="18" customHeight="1" thickBot="1" x14ac:dyDescent="0.3">
      <c r="A14" s="543"/>
      <c r="B14" s="911"/>
      <c r="C14" s="911"/>
      <c r="D14" s="911"/>
      <c r="E14" s="911"/>
      <c r="F14" s="911"/>
      <c r="G14" s="957"/>
      <c r="H14" s="911"/>
      <c r="I14" s="911"/>
      <c r="J14" s="911"/>
      <c r="K14" s="911"/>
      <c r="L14" s="911"/>
      <c r="M14" s="911"/>
      <c r="N14" s="911"/>
      <c r="O14" s="911"/>
      <c r="P14" s="911"/>
      <c r="Q14" s="911"/>
      <c r="R14" s="716" t="s">
        <v>2102</v>
      </c>
      <c r="S14" s="911"/>
      <c r="T14" s="926" t="s">
        <v>523</v>
      </c>
      <c r="U14" s="911"/>
      <c r="W14" s="932">
        <v>3402</v>
      </c>
      <c r="X14" s="938"/>
      <c r="Y14" s="937">
        <v>2</v>
      </c>
      <c r="Z14" s="874" t="str">
        <f>IF(AND(Incentives!$E$83="Yes",Incentives!$E$84=X13),IF(Incentives!$E$97="Yes",IF(Incentives!$E$98=X13,98,""),""),"")</f>
        <v/>
      </c>
      <c r="AA14" s="996" t="str">
        <f>IF(Z14&lt;&gt;"",IF(AND(Incentives!E$86&lt;&gt;"",Z14=84),Incentives!E$86,IF(AND(Incentives!E$100&lt;&gt;"",Z14=98),Incentives!E$100,"")),"")</f>
        <v/>
      </c>
      <c r="AB14" s="996" t="str">
        <f>IF(Z14&lt;&gt;"",IF(AND(Incentives!E$87&lt;&gt;"",Z14=84),Incentives!E$87,IF(AND(Incentives!E$101&lt;&gt;"",Z14=98),Incentives!E$101,"")),"")</f>
        <v/>
      </c>
      <c r="AC14" s="1004">
        <v>165</v>
      </c>
    </row>
    <row r="15" spans="1:31" s="869" customFormat="1" ht="18" customHeight="1" thickBot="1" x14ac:dyDescent="0.3">
      <c r="A15" s="543"/>
      <c r="B15" s="911"/>
      <c r="C15" s="923" t="s">
        <v>1496</v>
      </c>
      <c r="D15" s="1951" t="s">
        <v>1497</v>
      </c>
      <c r="E15" s="1952"/>
      <c r="F15" s="911"/>
      <c r="G15" s="957"/>
      <c r="H15" s="911"/>
      <c r="I15" s="911"/>
      <c r="J15" s="1531"/>
      <c r="K15" s="1531"/>
      <c r="L15" s="1531"/>
      <c r="M15" s="1531"/>
      <c r="N15" s="1531"/>
      <c r="O15" s="911"/>
      <c r="P15" s="911"/>
      <c r="Q15" s="911"/>
      <c r="R15" s="1550" t="s">
        <v>648</v>
      </c>
      <c r="S15" s="911"/>
      <c r="T15" s="954" t="str">
        <f>IF(Z3&lt;&gt;"","Yes","No")</f>
        <v>No</v>
      </c>
      <c r="U15" s="911"/>
      <c r="W15" s="932">
        <v>3501</v>
      </c>
      <c r="X15" s="938" t="s">
        <v>1534</v>
      </c>
      <c r="Y15" s="937">
        <v>1</v>
      </c>
      <c r="Z15" s="873" t="str">
        <f>IF(Incentives!$E$83="Yes",IF(Incentives!$E$84=X15,84,IF(Incentives!$E$97="Yes",IF(Incentives!$E$98=X15,98,""),"")),"")</f>
        <v/>
      </c>
      <c r="AA15" s="996" t="str">
        <f>IF(Z15&lt;&gt;"",IF(AND(Incentives!E$86&lt;&gt;"",Z15=84),Incentives!E$86,IF(AND(Incentives!E$100&lt;&gt;"",Z15=98),Incentives!E$100,"")),"")</f>
        <v/>
      </c>
      <c r="AB15" s="996" t="str">
        <f>IF(Z15&lt;&gt;"",IF(AND(Incentives!E$87&lt;&gt;"",Z15=84),Incentives!E$87,IF(AND(Incentives!E$101&lt;&gt;"",Z15=98),Incentives!E$101,"")),"")</f>
        <v/>
      </c>
      <c r="AC15" s="1004">
        <v>179</v>
      </c>
    </row>
    <row r="16" spans="1:31" s="869" customFormat="1" ht="21" customHeight="1" thickBot="1" x14ac:dyDescent="0.3">
      <c r="A16" s="543"/>
      <c r="B16" s="911"/>
      <c r="C16" s="911"/>
      <c r="D16" s="911"/>
      <c r="E16" s="911"/>
      <c r="F16" s="911"/>
      <c r="G16" s="957"/>
      <c r="H16" s="911"/>
      <c r="I16" s="911"/>
      <c r="J16" s="1532"/>
      <c r="K16" s="1532"/>
      <c r="L16" s="1532"/>
      <c r="M16" s="1532"/>
      <c r="N16" s="1532"/>
      <c r="O16" s="911"/>
      <c r="P16" s="911"/>
      <c r="Q16" s="911"/>
      <c r="R16" s="911"/>
      <c r="S16" s="911"/>
      <c r="T16" s="911"/>
      <c r="U16" s="911"/>
      <c r="W16" s="932">
        <v>3502</v>
      </c>
      <c r="X16" s="938"/>
      <c r="Y16" s="937">
        <v>2</v>
      </c>
      <c r="Z16" s="874" t="str">
        <f>IF(AND(Incentives!$E$83="Yes",Incentives!$E$84=X15),IF(Incentives!$E$97="Yes",IF(Incentives!$E$98=X15,98,""),""),"")</f>
        <v/>
      </c>
      <c r="AA16" s="996" t="str">
        <f>IF(Z16&lt;&gt;"",IF(AND(Incentives!E$86&lt;&gt;"",Z16=84),Incentives!E$86,IF(AND(Incentives!E$100&lt;&gt;"",Z16=98),Incentives!E$100,"")),"")</f>
        <v/>
      </c>
      <c r="AB16" s="996" t="str">
        <f>IF(Z16&lt;&gt;"",IF(AND(Incentives!E$87&lt;&gt;"",Z16=84),Incentives!E$87,IF(AND(Incentives!E$101&lt;&gt;"",Z16=98),Incentives!E$101,"")),"")</f>
        <v/>
      </c>
      <c r="AC16" s="1004">
        <v>193</v>
      </c>
    </row>
    <row r="17" spans="1:31" s="869" customFormat="1" ht="21" customHeight="1" thickBot="1" x14ac:dyDescent="0.3">
      <c r="A17" s="543"/>
      <c r="B17" s="1948" t="s">
        <v>1498</v>
      </c>
      <c r="C17" s="1957"/>
      <c r="D17" s="1957"/>
      <c r="E17" s="1957"/>
      <c r="F17" s="1957"/>
      <c r="G17" s="1957"/>
      <c r="H17" s="1957"/>
      <c r="I17" s="1957"/>
      <c r="J17" s="1957"/>
      <c r="K17" s="1957"/>
      <c r="L17" s="1957"/>
      <c r="M17" s="1957"/>
      <c r="N17" s="1957"/>
      <c r="O17" s="1957"/>
      <c r="P17" s="1957"/>
      <c r="Q17" s="1957"/>
      <c r="R17" s="1957"/>
      <c r="S17" s="1957"/>
      <c r="T17" s="1957"/>
      <c r="U17" s="1958"/>
      <c r="W17" s="932">
        <v>3601</v>
      </c>
      <c r="X17" s="938" t="s">
        <v>1537</v>
      </c>
      <c r="Y17" s="937">
        <v>1</v>
      </c>
      <c r="Z17" s="873" t="str">
        <f>IF(Incentives!$E$83="Yes",IF(Incentives!$E$84=X17,84,IF(Incentives!$E$97="Yes",IF(Incentives!$E$98=X17,98,""),"")),"")</f>
        <v/>
      </c>
      <c r="AA17" s="996" t="str">
        <f>IF(Z17&lt;&gt;"",IF(AND(Incentives!E$86&lt;&gt;"",Z17=84),Incentives!E$86,IF(AND(Incentives!E$100&lt;&gt;"",Z17=98),Incentives!E$100,"")),"")</f>
        <v/>
      </c>
      <c r="AB17" s="996" t="str">
        <f>IF(Z17&lt;&gt;"",IF(AND(Incentives!E$87&lt;&gt;"",Z17=84),Incentives!E$87,IF(AND(Incentives!E$101&lt;&gt;"",Z17=98),Incentives!E$101,"")),"")</f>
        <v/>
      </c>
      <c r="AC17" s="1004">
        <v>207</v>
      </c>
    </row>
    <row r="18" spans="1:31" s="869" customFormat="1" ht="21" customHeight="1" thickBot="1" x14ac:dyDescent="0.3">
      <c r="A18" s="543"/>
      <c r="B18" s="911"/>
      <c r="C18" s="911"/>
      <c r="D18" s="911"/>
      <c r="E18" s="911"/>
      <c r="F18" s="911"/>
      <c r="G18" s="957"/>
      <c r="H18" s="911"/>
      <c r="I18" s="911"/>
      <c r="J18" s="911"/>
      <c r="K18" s="911"/>
      <c r="L18" s="911"/>
      <c r="M18" s="911"/>
      <c r="N18" s="911"/>
      <c r="O18" s="911"/>
      <c r="P18" s="911"/>
      <c r="Q18" s="911"/>
      <c r="R18" s="911"/>
      <c r="S18" s="911"/>
      <c r="T18" s="911"/>
      <c r="U18" s="911"/>
      <c r="W18" s="932">
        <v>3602</v>
      </c>
      <c r="X18" s="938"/>
      <c r="Y18" s="937">
        <v>2</v>
      </c>
      <c r="Z18" s="874" t="str">
        <f>IF(AND(Incentives!$E$83="Yes",Incentives!$E$84=X17),IF(Incentives!$E$97="Yes",IF(Incentives!$E$98=X17,98,""),""),"")</f>
        <v/>
      </c>
      <c r="AA18" s="996" t="str">
        <f>IF(Z17&lt;&gt;"",IF(AND(Incentives!E$86&lt;&gt;"",Z17=84),Incentives!E$86,IF(AND(Incentives!E$100&lt;&gt;"",Z17=98),Incentives!E$100,"")),"")</f>
        <v/>
      </c>
      <c r="AB18" s="996" t="str">
        <f>IF(Z17&lt;&gt;"",IF(AND(Incentives!E$87&lt;&gt;"",Z17=84),Incentives!E$87,IF(AND(Incentives!E$101&lt;&gt;"",Z17=98),Incentives!E$101,"")),"")</f>
        <v/>
      </c>
      <c r="AC18" s="1004">
        <v>223</v>
      </c>
    </row>
    <row r="19" spans="1:31" s="869" customFormat="1" ht="30" customHeight="1" thickBot="1" x14ac:dyDescent="0.3">
      <c r="A19" s="396"/>
      <c r="B19" s="911"/>
      <c r="C19" s="923" t="s">
        <v>1383</v>
      </c>
      <c r="D19" s="1949" t="s">
        <v>1485</v>
      </c>
      <c r="E19" s="1950"/>
      <c r="F19" s="911"/>
      <c r="G19" s="957"/>
      <c r="H19" s="926" t="s">
        <v>1380</v>
      </c>
      <c r="I19" s="911"/>
      <c r="J19" s="926" t="s">
        <v>1381</v>
      </c>
      <c r="K19" s="911"/>
      <c r="L19" s="926" t="s">
        <v>1397</v>
      </c>
      <c r="M19" s="911"/>
      <c r="N19" s="926" t="s">
        <v>1382</v>
      </c>
      <c r="O19" s="911"/>
      <c r="P19" s="926" t="s">
        <v>1486</v>
      </c>
      <c r="Q19" s="911"/>
      <c r="R19" s="926" t="s">
        <v>1487</v>
      </c>
      <c r="S19" s="911"/>
      <c r="T19" s="926" t="s">
        <v>1488</v>
      </c>
      <c r="U19" s="911"/>
      <c r="W19" s="932">
        <v>1301</v>
      </c>
      <c r="X19" s="938" t="s">
        <v>1539</v>
      </c>
      <c r="Y19" s="937">
        <v>1</v>
      </c>
      <c r="Z19" s="873" t="str">
        <f>IF(Incentives!$E$111="Yes",112,"")</f>
        <v/>
      </c>
      <c r="AA19" s="996" t="str">
        <f>IF(Z19&lt;&gt;"",IF(AND(Z19=112,Incentives!E$114&lt;&gt;""),Incentives!E$114,""),"")</f>
        <v/>
      </c>
      <c r="AB19" s="996" t="str">
        <f>IF(Z19&lt;&gt;"",IF(AND(Z19=112,Incentives!E$115&lt;&gt;""),Incentives!E$115,""),"")</f>
        <v/>
      </c>
      <c r="AC19" s="1006">
        <v>239</v>
      </c>
      <c r="AE19" s="1956" t="str">
        <f>IF(AND(H20="",T29="Yes"),"Please Update Incentive Period","")</f>
        <v/>
      </c>
    </row>
    <row r="20" spans="1:31" s="869" customFormat="1" ht="18" customHeight="1" thickBot="1" x14ac:dyDescent="0.3">
      <c r="A20" s="543"/>
      <c r="B20" s="911"/>
      <c r="C20" s="911"/>
      <c r="D20" s="911"/>
      <c r="E20" s="911"/>
      <c r="F20" s="911"/>
      <c r="G20" s="957"/>
      <c r="H20" s="871"/>
      <c r="I20" s="911"/>
      <c r="J20" s="916"/>
      <c r="K20" s="911"/>
      <c r="L20" s="916"/>
      <c r="M20" s="911"/>
      <c r="N20" s="956"/>
      <c r="O20" s="911"/>
      <c r="P20" s="872" t="s">
        <v>1489</v>
      </c>
      <c r="Q20" s="911"/>
      <c r="R20" s="872" t="s">
        <v>1490</v>
      </c>
      <c r="S20" s="911"/>
      <c r="T20" s="912" t="s">
        <v>648</v>
      </c>
      <c r="U20" s="911"/>
      <c r="W20" s="932">
        <v>1302</v>
      </c>
      <c r="X20" s="938" t="s">
        <v>1539</v>
      </c>
      <c r="Y20" s="936">
        <v>2</v>
      </c>
      <c r="Z20" s="873" t="str">
        <f>IF(Incentives!$E$119="Yes",120,"")</f>
        <v/>
      </c>
      <c r="AA20" s="996" t="str">
        <f>IF(Z20&lt;&gt;"",IF(AND(Incentives!E$122&lt;&gt;"",Z20=120),Incentives!E$122,""),"")</f>
        <v/>
      </c>
      <c r="AB20" s="996" t="str">
        <f>IF(Z20&lt;&gt;"",IF(AND(Incentives!E$123&lt;&gt;"",Z20=120),Incentives!E$123,""),"")</f>
        <v/>
      </c>
      <c r="AC20" s="1006">
        <v>253</v>
      </c>
      <c r="AE20" s="1956"/>
    </row>
    <row r="21" spans="1:31" s="869" customFormat="1" ht="30.75" customHeight="1" thickBot="1" x14ac:dyDescent="0.3">
      <c r="A21" s="543"/>
      <c r="B21" s="911"/>
      <c r="C21" s="923" t="s">
        <v>1491</v>
      </c>
      <c r="D21" s="1951">
        <v>1202</v>
      </c>
      <c r="E21" s="1952"/>
      <c r="F21" s="911"/>
      <c r="G21" s="957"/>
      <c r="H21" s="911"/>
      <c r="I21" s="911"/>
      <c r="J21" s="911"/>
      <c r="K21" s="911"/>
      <c r="L21" s="911"/>
      <c r="M21" s="911"/>
      <c r="N21" s="911"/>
      <c r="O21" s="911"/>
      <c r="P21" s="911"/>
      <c r="Q21" s="911"/>
      <c r="R21" s="911"/>
      <c r="S21" s="911"/>
      <c r="T21" s="911"/>
      <c r="U21" s="911"/>
      <c r="W21" s="932">
        <v>1303</v>
      </c>
      <c r="X21" s="938" t="s">
        <v>1539</v>
      </c>
      <c r="Y21" s="975">
        <v>3</v>
      </c>
      <c r="Z21" s="873" t="str">
        <f>IF(Incentives!$E$127="Yes",128,"")</f>
        <v/>
      </c>
      <c r="AA21" s="996" t="str">
        <f>IF(Z21&lt;&gt;"",IF(AND(Incentives!E$130&lt;&gt;"",Z21=128),Incentives!E$130,""),"")</f>
        <v/>
      </c>
      <c r="AB21" s="996" t="str">
        <f>IF(Z21&lt;&gt;"",IF(AND(Incentives!E$131&lt;&gt;"",Z21=128),Incentives!E$131,""),"")</f>
        <v/>
      </c>
      <c r="AC21" s="1006">
        <v>267</v>
      </c>
    </row>
    <row r="22" spans="1:31" s="869" customFormat="1" ht="18" customHeight="1" thickBot="1" x14ac:dyDescent="0.3">
      <c r="A22" s="543"/>
      <c r="B22" s="911"/>
      <c r="C22" s="911"/>
      <c r="D22" s="911"/>
      <c r="E22" s="911"/>
      <c r="F22" s="911"/>
      <c r="G22" s="957"/>
      <c r="H22" s="911"/>
      <c r="I22" s="911"/>
      <c r="J22" s="911"/>
      <c r="K22" s="911"/>
      <c r="L22" s="926" t="s">
        <v>1389</v>
      </c>
      <c r="M22" s="911"/>
      <c r="N22" s="911"/>
      <c r="O22" s="911"/>
      <c r="P22" s="911"/>
      <c r="Q22" s="911"/>
      <c r="R22" s="911"/>
      <c r="S22" s="911"/>
      <c r="T22" s="911"/>
      <c r="U22" s="911"/>
      <c r="W22" s="932">
        <v>1304</v>
      </c>
      <c r="X22" s="938" t="s">
        <v>1539</v>
      </c>
      <c r="Y22" s="975">
        <v>4</v>
      </c>
      <c r="Z22" s="873" t="str">
        <f>IF(Incentives!$E$135="Yes",136,"")</f>
        <v/>
      </c>
      <c r="AA22" s="996" t="str">
        <f>IF(Z22&lt;&gt;"",IF(AND(Incentives!E$138&lt;&gt;"",Z22=136),Incentives!E$138,""),"")</f>
        <v/>
      </c>
      <c r="AB22" s="996" t="str">
        <f>IF(Z22&lt;&gt;"",IF(AND(Incentives!E$139&lt;&gt;"",Z22=136),Incentives!E$139,""),"")</f>
        <v/>
      </c>
      <c r="AC22" s="1006">
        <v>281</v>
      </c>
    </row>
    <row r="23" spans="1:31" s="869" customFormat="1" ht="18" customHeight="1" thickBot="1" x14ac:dyDescent="0.3">
      <c r="A23" s="543"/>
      <c r="B23" s="911"/>
      <c r="C23" s="923" t="s">
        <v>1385</v>
      </c>
      <c r="D23" s="1953" t="str">
        <f>AA4</f>
        <v/>
      </c>
      <c r="E23" s="1954"/>
      <c r="F23" s="911"/>
      <c r="G23" s="957"/>
      <c r="H23" s="911"/>
      <c r="I23" s="911"/>
      <c r="J23" s="911"/>
      <c r="K23" s="911"/>
      <c r="L23" s="917"/>
      <c r="M23" s="911"/>
      <c r="N23" s="911"/>
      <c r="O23" s="911"/>
      <c r="P23" s="911"/>
      <c r="Q23" s="911"/>
      <c r="R23" s="911"/>
      <c r="S23" s="911"/>
      <c r="T23" s="911"/>
      <c r="U23" s="911"/>
      <c r="W23" s="932">
        <v>1305</v>
      </c>
      <c r="X23" s="938" t="s">
        <v>1539</v>
      </c>
      <c r="Y23" s="975">
        <v>5</v>
      </c>
      <c r="Z23" s="873" t="str">
        <f>IF(Incentives!$E$143="Yes",144,"")</f>
        <v/>
      </c>
      <c r="AA23" s="996" t="str">
        <f>IF(Z23&lt;&gt;"",IF(AND(Incentives!E$146&lt;&gt;"",Z23=144),Incentives!E$146,""),"")</f>
        <v/>
      </c>
      <c r="AB23" s="996" t="str">
        <f>IF(Z23&lt;&gt;"",IF(AND(Incentives!E$147&lt;&gt;"",Z23=144),Incentives!E$147,""),"")</f>
        <v/>
      </c>
      <c r="AC23" s="1006">
        <v>295</v>
      </c>
    </row>
    <row r="24" spans="1:31" s="869" customFormat="1" ht="15.75" thickBot="1" x14ac:dyDescent="0.3">
      <c r="A24" s="543"/>
      <c r="B24" s="911"/>
      <c r="C24" s="911"/>
      <c r="D24" s="911"/>
      <c r="E24" s="911"/>
      <c r="F24" s="911"/>
      <c r="G24" s="957"/>
      <c r="H24" s="911"/>
      <c r="I24" s="911"/>
      <c r="J24" s="911"/>
      <c r="K24" s="911"/>
      <c r="L24" s="911"/>
      <c r="M24" s="911"/>
      <c r="N24" s="911"/>
      <c r="O24" s="911"/>
      <c r="P24" s="911"/>
      <c r="Q24" s="911"/>
      <c r="R24" s="911"/>
      <c r="S24" s="911"/>
      <c r="T24" s="911"/>
      <c r="U24" s="911"/>
      <c r="W24" s="932">
        <v>4001</v>
      </c>
      <c r="X24" s="938" t="s">
        <v>1540</v>
      </c>
      <c r="Y24" s="936">
        <v>1</v>
      </c>
      <c r="Z24" s="873" t="str">
        <f>IF(Incentives!$E$151="Yes",152,"")</f>
        <v/>
      </c>
      <c r="AA24" s="996" t="str">
        <f>IF(Z24&lt;&gt;"",IF(AND(Incentives!E$154&lt;&gt;"",Z24=152),Incentives!E$154,""),"")</f>
        <v/>
      </c>
      <c r="AB24" s="996" t="str">
        <f>IF(Z24&lt;&gt;"",IF(AND(Incentives!E$155&lt;&gt;"",Z24=152),Incentives!E$155,""),"")</f>
        <v/>
      </c>
      <c r="AC24" s="1006">
        <v>309</v>
      </c>
    </row>
    <row r="25" spans="1:31" s="869" customFormat="1" ht="30" customHeight="1" thickBot="1" x14ac:dyDescent="0.3">
      <c r="A25" s="543"/>
      <c r="B25" s="911"/>
      <c r="C25" s="923" t="s">
        <v>1386</v>
      </c>
      <c r="D25" s="1953" t="str">
        <f>AB4</f>
        <v/>
      </c>
      <c r="E25" s="1954"/>
      <c r="F25" s="911"/>
      <c r="G25" s="957"/>
      <c r="H25" s="925" t="s">
        <v>1492</v>
      </c>
      <c r="I25" s="911"/>
      <c r="J25" s="911"/>
      <c r="K25" s="911"/>
      <c r="L25" s="926" t="s">
        <v>1493</v>
      </c>
      <c r="M25" s="911"/>
      <c r="N25" s="911"/>
      <c r="O25" s="911"/>
      <c r="P25" s="911"/>
      <c r="Q25" s="911"/>
      <c r="R25" s="911"/>
      <c r="S25" s="911"/>
      <c r="T25" s="997" t="s">
        <v>1599</v>
      </c>
      <c r="U25" s="911"/>
      <c r="W25" s="974">
        <v>4601</v>
      </c>
      <c r="X25" s="976" t="s">
        <v>1600</v>
      </c>
      <c r="Y25" s="975">
        <v>1</v>
      </c>
      <c r="Z25" s="1003" t="str">
        <f>IF(Incentives!$E$159="Yes",IF(Incentives!$E$160=X25,160,IF(Incentives!$E$167="Yes",IF(Incentives!$E$168=X25,168,""),"")),"")</f>
        <v/>
      </c>
      <c r="AA25" s="996" t="str">
        <f>IF(Z25&lt;&gt;"",IF(AND(Incentives!E$162&lt;&gt;"",Z25=160),Incentives!E$162,IF(AND(Incentives!E$170&lt;&gt;"",Z25=168),Incentives!E$170,"")),"")</f>
        <v/>
      </c>
      <c r="AB25" s="996" t="str">
        <f>IF(Z25&lt;&gt;"",IF(AND(Incentives!E$163&lt;&gt;"",Z25=160),Incentives!E$163,IF(AND(Z25=168,Incentives!E$171&lt;&gt;""),Incentives!E$171,"")),"")</f>
        <v/>
      </c>
      <c r="AC25" s="1006">
        <v>323</v>
      </c>
    </row>
    <row r="26" spans="1:31" s="869" customFormat="1" ht="18" customHeight="1" thickBot="1" x14ac:dyDescent="0.3">
      <c r="A26" s="543"/>
      <c r="B26" s="911"/>
      <c r="C26" s="911"/>
      <c r="D26" s="911"/>
      <c r="E26" s="911"/>
      <c r="F26" s="911"/>
      <c r="G26" s="957"/>
      <c r="H26" s="912" t="s">
        <v>646</v>
      </c>
      <c r="I26" s="911"/>
      <c r="J26" s="911"/>
      <c r="K26" s="911"/>
      <c r="L26" s="886" t="s">
        <v>1494</v>
      </c>
      <c r="M26" s="911"/>
      <c r="N26" s="911"/>
      <c r="O26" s="911"/>
      <c r="P26" s="911"/>
      <c r="Q26" s="911"/>
      <c r="R26" s="911"/>
      <c r="S26" s="911"/>
      <c r="T26" s="998" t="s">
        <v>646</v>
      </c>
      <c r="U26" s="911"/>
      <c r="W26" s="974">
        <v>4602</v>
      </c>
      <c r="X26" s="976"/>
      <c r="Y26" s="975">
        <v>2</v>
      </c>
      <c r="Z26" s="1003" t="str">
        <f>IF(AND(Incentives!$E$159="Yes",Incentives!$E$160=X25),IF(Incentives!$E$167="Yes",IF(Incentives!$E$168=X25,168,""),""),"")</f>
        <v/>
      </c>
      <c r="AA26" s="996" t="str">
        <f>IF(Z26&lt;&gt;"",IF(AND(Incentives!E$162&lt;&gt;"",Z26=160),Incentives!E$162,IF(AND(Incentives!E$170&lt;&gt;"",Z26=168),Incentives!E$170,"")),"")</f>
        <v/>
      </c>
      <c r="AB26" s="996" t="str">
        <f>IF(Z26&lt;&gt;"",IF(AND(Incentives!E$163&lt;&gt;"",Z26=160),Incentives!E$163,IF(AND(Z26=168,Incentives!E$171&lt;&gt;""),Incentives!E$171,"")),"")</f>
        <v/>
      </c>
      <c r="AC26" s="1006">
        <v>337</v>
      </c>
    </row>
    <row r="27" spans="1:31" s="869" customFormat="1" ht="30" customHeight="1" thickBot="1" x14ac:dyDescent="0.3">
      <c r="A27" s="543"/>
      <c r="B27" s="911"/>
      <c r="C27" s="929" t="s">
        <v>1495</v>
      </c>
      <c r="D27" s="1943" t="s">
        <v>646</v>
      </c>
      <c r="E27" s="1944"/>
      <c r="F27" s="911"/>
      <c r="G27" s="957"/>
      <c r="H27" s="911"/>
      <c r="I27" s="911"/>
      <c r="J27" s="911"/>
      <c r="K27" s="911"/>
      <c r="L27" s="911"/>
      <c r="M27" s="911"/>
      <c r="N27" s="911"/>
      <c r="O27" s="911"/>
      <c r="P27" s="911"/>
      <c r="Q27" s="911"/>
      <c r="R27" s="911"/>
      <c r="S27" s="911"/>
      <c r="T27" s="911"/>
      <c r="U27" s="911"/>
      <c r="W27" s="974">
        <v>4901</v>
      </c>
      <c r="X27" s="976" t="s">
        <v>1630</v>
      </c>
      <c r="Y27" s="975">
        <v>1</v>
      </c>
      <c r="Z27" s="1003" t="str">
        <f>IF(Incentives!$E$159="Yes",IF(Incentives!$E$160=X27,160,IF(Incentives!$E$167="Yes",IF(Incentives!$E$168=X27,168,""),"")),"")</f>
        <v/>
      </c>
      <c r="AA27" s="996" t="str">
        <f>IF(Z27&lt;&gt;"",IF(AND(Incentives!E$162&lt;&gt;"",Z27=160),Incentives!E$162,IF(AND(Incentives!E$170&lt;&gt;"",Z27=168),Incentives!E$170,"")),"")</f>
        <v/>
      </c>
      <c r="AB27" s="996" t="str">
        <f>IF(Z27&lt;&gt;"",IF(AND(Incentives!E$163&lt;&gt;"",Z27=160),Incentives!E$163,IF(AND(Z27=168,Incentives!E$171&lt;&gt;""),Incentives!E$171,"")),"")</f>
        <v/>
      </c>
      <c r="AC27" s="1006">
        <v>351</v>
      </c>
    </row>
    <row r="28" spans="1:31" s="869" customFormat="1" ht="18" customHeight="1" thickBot="1" x14ac:dyDescent="0.3">
      <c r="A28" s="543"/>
      <c r="B28" s="911"/>
      <c r="C28" s="911"/>
      <c r="D28" s="911"/>
      <c r="E28" s="911"/>
      <c r="F28" s="911"/>
      <c r="G28" s="957"/>
      <c r="H28" s="911"/>
      <c r="I28" s="911"/>
      <c r="J28" s="911"/>
      <c r="K28" s="911"/>
      <c r="L28" s="911"/>
      <c r="M28" s="911"/>
      <c r="N28" s="911"/>
      <c r="O28" s="911"/>
      <c r="P28" s="911"/>
      <c r="Q28" s="911"/>
      <c r="R28" s="716" t="s">
        <v>2102</v>
      </c>
      <c r="S28" s="911"/>
      <c r="T28" s="194" t="s">
        <v>523</v>
      </c>
      <c r="U28" s="911"/>
      <c r="W28" s="974">
        <v>5001</v>
      </c>
      <c r="X28" s="976" t="s">
        <v>1608</v>
      </c>
      <c r="Y28" s="975">
        <v>1</v>
      </c>
      <c r="Z28" s="1003" t="str">
        <f>IF(Incentives!$E$175="Yes",176,"")</f>
        <v/>
      </c>
      <c r="AA28" s="996" t="str">
        <f>IF(Z28&lt;&gt;"",IF(AND(Incentives!E$178&lt;&gt;"",Z28=176),Incentives!E$178,""),"")</f>
        <v/>
      </c>
      <c r="AB28" s="996" t="str">
        <f>IF(Z28&lt;&gt;"",IF(AND(Incentives!E$179&lt;&gt;"",Z28=176),Incentives!E$179,""),"")</f>
        <v/>
      </c>
      <c r="AC28" s="1006">
        <v>365</v>
      </c>
    </row>
    <row r="29" spans="1:31" s="869" customFormat="1" ht="18" customHeight="1" thickBot="1" x14ac:dyDescent="0.3">
      <c r="A29" s="543"/>
      <c r="B29" s="911"/>
      <c r="C29" s="923" t="s">
        <v>1496</v>
      </c>
      <c r="D29" s="1951" t="s">
        <v>1497</v>
      </c>
      <c r="E29" s="1952"/>
      <c r="F29" s="911"/>
      <c r="G29" s="957"/>
      <c r="H29" s="911"/>
      <c r="I29" s="911"/>
      <c r="J29" s="911"/>
      <c r="K29" s="911"/>
      <c r="L29" s="911"/>
      <c r="M29" s="911"/>
      <c r="N29" s="911"/>
      <c r="O29" s="911"/>
      <c r="P29" s="911"/>
      <c r="Q29" s="911"/>
      <c r="R29" s="1550" t="s">
        <v>648</v>
      </c>
      <c r="S29" s="911"/>
      <c r="T29" s="954" t="str">
        <f>IF(Z4&lt;&gt;"","Yes","No")</f>
        <v>No</v>
      </c>
      <c r="U29" s="911"/>
      <c r="W29" s="974">
        <v>801</v>
      </c>
      <c r="X29" s="976" t="s">
        <v>1133</v>
      </c>
      <c r="Y29" s="975">
        <v>1</v>
      </c>
      <c r="Z29" s="873" t="str">
        <f>IF(Incentives!$E$183="Yes",IF(Incentives!$E$184=X29,184,""),"")</f>
        <v/>
      </c>
      <c r="AA29" s="996" t="str">
        <f>IF(Z29&lt;&gt;"",IF(AND(Incentives!E$186&lt;&gt;"",Z29=184),Incentives!E$186,""),"")</f>
        <v/>
      </c>
      <c r="AB29" s="996" t="str">
        <f>IF(Z29&lt;&gt;"",IF(AND(Incentives!E$187&lt;&gt;"",Z29=184),Incentives!E$187,""),"")</f>
        <v/>
      </c>
      <c r="AC29" s="1004">
        <v>379</v>
      </c>
    </row>
    <row r="30" spans="1:31" s="869" customFormat="1" ht="20.25" customHeight="1" thickBot="1" x14ac:dyDescent="0.3">
      <c r="A30" s="543"/>
      <c r="B30" s="911"/>
      <c r="C30" s="911"/>
      <c r="D30" s="911"/>
      <c r="E30" s="911"/>
      <c r="F30" s="911"/>
      <c r="G30" s="957"/>
      <c r="H30" s="911"/>
      <c r="I30" s="911"/>
      <c r="J30" s="911"/>
      <c r="K30" s="911"/>
      <c r="L30" s="911"/>
      <c r="M30" s="911"/>
      <c r="N30" s="911"/>
      <c r="O30" s="911"/>
      <c r="P30" s="911"/>
      <c r="Q30" s="911"/>
      <c r="R30" s="911"/>
      <c r="S30" s="911"/>
      <c r="T30" s="911"/>
      <c r="U30" s="911"/>
      <c r="W30" s="974">
        <v>901</v>
      </c>
      <c r="X30" s="976" t="s">
        <v>1612</v>
      </c>
      <c r="Y30" s="975">
        <v>1</v>
      </c>
      <c r="Z30" s="873" t="str">
        <f>IF(Incentives!$E$183="Yes",IF(Incentives!$E$184=X30,184,""),"")</f>
        <v/>
      </c>
      <c r="AA30" s="996" t="str">
        <f>IF(Z30&lt;&gt;"",IF(AND(Incentives!E$186&lt;&gt;"",Z30=184),Incentives!E$186,""),"")</f>
        <v/>
      </c>
      <c r="AB30" s="996" t="str">
        <f>IF(Z30&lt;&gt;"",IF(AND(Incentives!E$187&lt;&gt;"",Z30=184),Incentives!E$187,""),"")</f>
        <v/>
      </c>
      <c r="AC30" s="1004">
        <v>393</v>
      </c>
    </row>
    <row r="31" spans="1:31" s="869" customFormat="1" ht="20.25" customHeight="1" thickBot="1" x14ac:dyDescent="0.3">
      <c r="A31" s="543"/>
      <c r="B31" s="1948" t="s">
        <v>1499</v>
      </c>
      <c r="C31" s="1957"/>
      <c r="D31" s="1957"/>
      <c r="E31" s="1957"/>
      <c r="F31" s="1957"/>
      <c r="G31" s="1957"/>
      <c r="H31" s="1957"/>
      <c r="I31" s="1957"/>
      <c r="J31" s="1957"/>
      <c r="K31" s="1957"/>
      <c r="L31" s="1957"/>
      <c r="M31" s="1957"/>
      <c r="N31" s="1957"/>
      <c r="O31" s="1957"/>
      <c r="P31" s="1957"/>
      <c r="Q31" s="1957"/>
      <c r="R31" s="1957"/>
      <c r="S31" s="1957"/>
      <c r="T31" s="1957"/>
      <c r="U31" s="1958"/>
      <c r="W31" s="974">
        <v>501</v>
      </c>
      <c r="X31" s="976" t="s">
        <v>1614</v>
      </c>
      <c r="Y31" s="975">
        <v>1</v>
      </c>
      <c r="Z31" s="873" t="str">
        <f>IF(Incentives!$E$194="Yes",IF(Incentives!$E$195=X31,195,IF(Incentives!$E$206="Yes",IF(Incentives!$E$207=X31,207,""),"")),"")</f>
        <v/>
      </c>
      <c r="AA31" s="996" t="str">
        <f>IF(Z31&lt;&gt;"",IF(AND(Incentives!E$197&lt;&gt;"",Z31=195),Incentives!E$197,IF(AND(Incentives!E$209&lt;&gt;"",Z31=207),Incentives!E$209,"")),"")</f>
        <v/>
      </c>
      <c r="AB31" s="996" t="str">
        <f>IF(Z31&lt;&gt;"",IF(AND(Incentives!E$198&lt;&gt;"",Z31=195),Incentives!E$198,IF(AND(Incentives!E$210&lt;&gt;"",Z31=207),Incentives!E$210,"")),"")</f>
        <v/>
      </c>
      <c r="AC31" s="1004">
        <v>407</v>
      </c>
    </row>
    <row r="32" spans="1:31" s="869" customFormat="1" ht="20.25" customHeight="1" thickBot="1" x14ac:dyDescent="0.3">
      <c r="A32" s="543"/>
      <c r="B32" s="911"/>
      <c r="C32" s="911"/>
      <c r="D32" s="911"/>
      <c r="E32" s="911"/>
      <c r="F32" s="911"/>
      <c r="G32" s="957"/>
      <c r="H32" s="911"/>
      <c r="I32" s="911"/>
      <c r="J32" s="911"/>
      <c r="K32" s="911"/>
      <c r="L32" s="911"/>
      <c r="M32" s="911"/>
      <c r="N32" s="911"/>
      <c r="O32" s="911"/>
      <c r="P32" s="911"/>
      <c r="Q32" s="911"/>
      <c r="R32" s="911"/>
      <c r="S32" s="911"/>
      <c r="T32" s="911"/>
      <c r="U32" s="911"/>
      <c r="W32" s="974">
        <v>502</v>
      </c>
      <c r="X32" s="976"/>
      <c r="Y32" s="975">
        <v>2</v>
      </c>
      <c r="Z32" s="874" t="str">
        <f>IF(AND(Incentives!$E$194="Yes",Incentives!$E$195=X31),IF(Incentives!$E$206="Yes",IF(Incentives!$E$207=X31,207,""),""),"")</f>
        <v/>
      </c>
      <c r="AA32" s="996" t="str">
        <f>IF(Z32&lt;&gt;"",IF(AND(Incentives!E$197&lt;&gt;"",Z32=195),Incentives!E$197,IF(AND(Incentives!E$209&lt;&gt;"",Z32=207),Incentives!E$209,"")),"")</f>
        <v/>
      </c>
      <c r="AB32" s="996" t="str">
        <f>IF(Z32&lt;&gt;"",IF(AND(Incentives!E$198&lt;&gt;"",Z32=195),Incentives!E$198,IF(AND(Incentives!E$210&lt;&gt;"",Z32=207),Incentives!E$210,"")),"")</f>
        <v/>
      </c>
      <c r="AC32" s="1004">
        <v>421</v>
      </c>
    </row>
    <row r="33" spans="1:31" s="869" customFormat="1" ht="30" customHeight="1" thickBot="1" x14ac:dyDescent="0.3">
      <c r="A33" s="396"/>
      <c r="B33" s="911"/>
      <c r="C33" s="923" t="s">
        <v>1383</v>
      </c>
      <c r="D33" s="1949" t="s">
        <v>1500</v>
      </c>
      <c r="E33" s="1950"/>
      <c r="F33" s="911"/>
      <c r="G33" s="957"/>
      <c r="H33" s="926" t="s">
        <v>1380</v>
      </c>
      <c r="I33" s="911"/>
      <c r="J33" s="926" t="s">
        <v>1381</v>
      </c>
      <c r="K33" s="911"/>
      <c r="L33" s="926" t="s">
        <v>1397</v>
      </c>
      <c r="M33" s="911"/>
      <c r="N33" s="926" t="s">
        <v>1382</v>
      </c>
      <c r="O33" s="911"/>
      <c r="P33" s="926" t="s">
        <v>1486</v>
      </c>
      <c r="Q33" s="911"/>
      <c r="R33" s="926" t="s">
        <v>1487</v>
      </c>
      <c r="S33" s="911"/>
      <c r="T33" s="926" t="s">
        <v>1488</v>
      </c>
      <c r="U33" s="911"/>
      <c r="W33" s="974">
        <v>5401</v>
      </c>
      <c r="X33" s="976" t="s">
        <v>1617</v>
      </c>
      <c r="Y33" s="975">
        <v>1</v>
      </c>
      <c r="Z33" s="873" t="str">
        <f>IF(Incentives!$E$194="Yes",IF(Incentives!$E$195=X33,195,IF(Incentives!$E$206="Yes",IF(Incentives!$E$207=X33,207,""),"")),"")</f>
        <v/>
      </c>
      <c r="AA33" s="996" t="str">
        <f>IF(Z33&lt;&gt;"",IF(AND(Incentives!E$197&lt;&gt;"",Z33=195),Incentives!E$197,IF(AND(Incentives!E$209&lt;&gt;"",Z33=207),Incentives!E$209,"")),"")</f>
        <v/>
      </c>
      <c r="AB33" s="996" t="str">
        <f>IF(Z33&lt;&gt;"",IF(AND(Incentives!E$198&lt;&gt;"",Z33=195),Incentives!E$198,IF(AND(Incentives!E$210&lt;&gt;"",Z33=207),Incentives!E$210,"")),"")</f>
        <v/>
      </c>
      <c r="AC33" s="1004">
        <v>435</v>
      </c>
      <c r="AE33" s="1956" t="str">
        <f>IF(AND(H34="",T43="Yes"),"Please Update Incentive Period","")</f>
        <v/>
      </c>
    </row>
    <row r="34" spans="1:31" s="869" customFormat="1" ht="18" customHeight="1" thickBot="1" x14ac:dyDescent="0.3">
      <c r="A34" s="543"/>
      <c r="B34" s="911"/>
      <c r="C34" s="913"/>
      <c r="D34" s="911"/>
      <c r="E34" s="911"/>
      <c r="F34" s="911"/>
      <c r="G34" s="957"/>
      <c r="H34" s="871"/>
      <c r="I34" s="911"/>
      <c r="J34" s="916"/>
      <c r="K34" s="911"/>
      <c r="L34" s="916"/>
      <c r="M34" s="911"/>
      <c r="N34" s="956"/>
      <c r="O34" s="911"/>
      <c r="P34" s="872" t="s">
        <v>1489</v>
      </c>
      <c r="Q34" s="911"/>
      <c r="R34" s="872" t="s">
        <v>1490</v>
      </c>
      <c r="S34" s="911"/>
      <c r="T34" s="912" t="s">
        <v>648</v>
      </c>
      <c r="U34" s="911"/>
      <c r="W34" s="974">
        <v>5402</v>
      </c>
      <c r="X34" s="976"/>
      <c r="Y34" s="975">
        <v>2</v>
      </c>
      <c r="Z34" s="874" t="str">
        <f>IF(AND(Incentives!$E$194="Yes",Incentives!$E$195=X33),IF(Incentives!$E$206="Yes",IF(Incentives!$E$207=X33,207,""),""),"")</f>
        <v/>
      </c>
      <c r="AA34" s="996" t="str">
        <f>IF(Z34&lt;&gt;"",IF(AND(Incentives!E$197&lt;&gt;"",Z34=195),Incentives!E$197,IF(AND(Incentives!E$209&lt;&gt;"",Z34=207),Incentives!E$209,"")),"")</f>
        <v/>
      </c>
      <c r="AB34" s="996" t="str">
        <f>IF(Z34&lt;&gt;"",IF(AND(Incentives!E$198&lt;&gt;"",Z34=195),Incentives!E$198,IF(AND(Incentives!E$210&lt;&gt;"",Z34=207),Incentives!E$210,"")),"")</f>
        <v/>
      </c>
      <c r="AC34" s="1004">
        <v>449</v>
      </c>
      <c r="AE34" s="1956"/>
    </row>
    <row r="35" spans="1:31" s="869" customFormat="1" ht="30.75" customHeight="1" thickBot="1" x14ac:dyDescent="0.3">
      <c r="A35" s="543"/>
      <c r="B35" s="911"/>
      <c r="C35" s="923" t="s">
        <v>1491</v>
      </c>
      <c r="D35" s="1951">
        <v>1401</v>
      </c>
      <c r="E35" s="1952"/>
      <c r="F35" s="911"/>
      <c r="G35" s="957"/>
      <c r="H35" s="911"/>
      <c r="I35" s="911"/>
      <c r="J35" s="911"/>
      <c r="K35" s="911"/>
      <c r="L35" s="911"/>
      <c r="M35" s="911"/>
      <c r="N35" s="911"/>
      <c r="O35" s="911"/>
      <c r="P35" s="911"/>
      <c r="Q35" s="911"/>
      <c r="R35" s="911"/>
      <c r="S35" s="911"/>
      <c r="T35" s="911"/>
      <c r="U35" s="911"/>
      <c r="W35" s="974">
        <v>601</v>
      </c>
      <c r="X35" s="976" t="s">
        <v>1620</v>
      </c>
      <c r="Y35" s="975">
        <v>1</v>
      </c>
      <c r="Z35" s="873" t="str">
        <f>IF(Incentives!$E$194="Yes",IF(Incentives!$E$195=X35,195,IF(Incentives!$E$206="Yes",IF(Incentives!$E$207=X35,207,""),"")),"")</f>
        <v/>
      </c>
      <c r="AA35" s="996" t="str">
        <f>IF(Z35&lt;&gt;"",IF(AND(Incentives!E$197&lt;&gt;"",Z35=195),Incentives!E$197,IF(AND(Incentives!E$209&lt;&gt;"",Z35=207),Incentives!E$209,"")),"")</f>
        <v/>
      </c>
      <c r="AB35" s="996" t="str">
        <f>IF(Z35&lt;&gt;"",IF(AND(Incentives!E$198&lt;&gt;"",Z35=195),Incentives!E$198,IF(AND(Incentives!E$210&lt;&gt;"",Z35=207),Incentives!E$210,"")),"")</f>
        <v/>
      </c>
      <c r="AC35" s="1004">
        <v>463</v>
      </c>
    </row>
    <row r="36" spans="1:31" s="869" customFormat="1" ht="30" customHeight="1" thickBot="1" x14ac:dyDescent="0.3">
      <c r="A36" s="543"/>
      <c r="B36" s="911"/>
      <c r="C36" s="913"/>
      <c r="D36" s="911"/>
      <c r="E36" s="911"/>
      <c r="F36" s="911"/>
      <c r="G36" s="957"/>
      <c r="H36" s="927" t="s">
        <v>1387</v>
      </c>
      <c r="I36" s="911"/>
      <c r="J36" s="926" t="s">
        <v>1388</v>
      </c>
      <c r="K36" s="911"/>
      <c r="L36" s="926" t="s">
        <v>1389</v>
      </c>
      <c r="M36" s="911"/>
      <c r="N36" s="926" t="s">
        <v>1501</v>
      </c>
      <c r="O36" s="911"/>
      <c r="P36" s="926" t="s">
        <v>1502</v>
      </c>
      <c r="Q36" s="911"/>
      <c r="R36" s="926" t="s">
        <v>1503</v>
      </c>
      <c r="S36" s="911"/>
      <c r="T36" s="911"/>
      <c r="U36" s="911"/>
      <c r="W36" s="974">
        <v>602</v>
      </c>
      <c r="X36" s="976"/>
      <c r="Y36" s="975">
        <v>2</v>
      </c>
      <c r="Z36" s="874" t="str">
        <f>IF(AND(Incentives!$E$194="Yes",Incentives!$E$195=X35),IF(Incentives!$E$206="Yes",IF(Incentives!$E$207=X35,207,""),""),"")</f>
        <v/>
      </c>
      <c r="AA36" s="996" t="str">
        <f>IF(Z36&lt;&gt;"",IF(AND(Incentives!E$197&lt;&gt;"",Z36=195),Incentives!E$197,IF(AND(Incentives!E$209&lt;&gt;"",Z36=207),Incentives!E$209,"")),"")</f>
        <v/>
      </c>
      <c r="AB36" s="996" t="str">
        <f>IF(Z36&lt;&gt;"",IF(AND(Incentives!E$198&lt;&gt;"",Z36=195),Incentives!E$198,IF(AND(Incentives!E$210&lt;&gt;"",Z36=207),Incentives!E$210,"")),"")</f>
        <v/>
      </c>
      <c r="AC36" s="1004">
        <v>477</v>
      </c>
    </row>
    <row r="37" spans="1:31" s="869" customFormat="1" ht="18" customHeight="1" thickBot="1" x14ac:dyDescent="0.3">
      <c r="A37" s="543"/>
      <c r="B37" s="911"/>
      <c r="C37" s="923" t="s">
        <v>1385</v>
      </c>
      <c r="D37" s="1953" t="str">
        <f>AA5</f>
        <v/>
      </c>
      <c r="E37" s="1954"/>
      <c r="F37" s="911"/>
      <c r="G37" s="957" t="s">
        <v>997</v>
      </c>
      <c r="H37" s="917"/>
      <c r="I37" s="911"/>
      <c r="J37" s="917"/>
      <c r="K37" s="911"/>
      <c r="L37" s="917"/>
      <c r="M37" s="911"/>
      <c r="N37" s="886" t="s">
        <v>479</v>
      </c>
      <c r="O37" s="911"/>
      <c r="P37" s="886" t="s">
        <v>1504</v>
      </c>
      <c r="Q37" s="911"/>
      <c r="R37" s="886" t="s">
        <v>1505</v>
      </c>
      <c r="S37" s="911"/>
      <c r="T37" s="911"/>
      <c r="U37" s="911"/>
      <c r="W37" s="974">
        <v>1001</v>
      </c>
      <c r="X37" s="976" t="s">
        <v>1629</v>
      </c>
      <c r="Y37" s="975">
        <v>1</v>
      </c>
      <c r="Z37" s="873" t="str">
        <f>IF(Incentives!$E$218="Yes",IF(Incentives!$E$219=X37,219,""),"")</f>
        <v/>
      </c>
      <c r="AA37" s="996" t="str">
        <f>IF(Z37&lt;&gt;"",IF(AND(Incentives!E$221&lt;&gt;"",Z37=219),Incentives!E$221,""),"")</f>
        <v/>
      </c>
      <c r="AB37" s="996" t="str">
        <f>IF(Z37&lt;&gt;"",IF(AND(Incentives!E$222&lt;&gt;"",Z37=219),Incentives!E$222,""),"")</f>
        <v/>
      </c>
      <c r="AC37" s="1004">
        <v>491</v>
      </c>
    </row>
    <row r="38" spans="1:31" s="869" customFormat="1" ht="15.75" thickBot="1" x14ac:dyDescent="0.3">
      <c r="A38" s="543"/>
      <c r="B38" s="911"/>
      <c r="C38" s="913"/>
      <c r="D38" s="911"/>
      <c r="E38" s="911"/>
      <c r="F38" s="911"/>
      <c r="G38" s="957"/>
      <c r="H38" s="911"/>
      <c r="I38" s="911"/>
      <c r="J38" s="911"/>
      <c r="K38" s="911"/>
      <c r="L38" s="911"/>
      <c r="M38" s="911"/>
      <c r="N38" s="911"/>
      <c r="O38" s="911"/>
      <c r="P38" s="911"/>
      <c r="Q38" s="911"/>
      <c r="R38" s="911"/>
      <c r="S38" s="911"/>
      <c r="T38" s="911"/>
      <c r="U38" s="911"/>
      <c r="W38" s="1616">
        <v>5201</v>
      </c>
      <c r="X38" s="1580" t="s">
        <v>2141</v>
      </c>
      <c r="Y38" s="1616">
        <v>1</v>
      </c>
      <c r="Z38" s="873" t="str">
        <f>IF(Incentives!$E$435="Yes",IF(Incentives!$E$436=X38,326,""),"")</f>
        <v/>
      </c>
      <c r="AA38" s="996" t="str">
        <f>IF(Z38&lt;&gt;"",IF(AND(Incentives!E$438&lt;&gt;"",Z38=326),Incentives!E$438,""),"")</f>
        <v/>
      </c>
      <c r="AB38" s="996" t="str">
        <f>IF(Z38&lt;&gt;"",IF(AND(Incentives!E$439&lt;&gt;"",Z38=326),Incentives!E$439,""),"")</f>
        <v/>
      </c>
      <c r="AC38" s="1617">
        <v>629</v>
      </c>
    </row>
    <row r="39" spans="1:31" s="869" customFormat="1" ht="30" customHeight="1" thickBot="1" x14ac:dyDescent="0.3">
      <c r="A39" s="543"/>
      <c r="B39" s="911"/>
      <c r="C39" s="923" t="s">
        <v>1386</v>
      </c>
      <c r="D39" s="1953" t="str">
        <f>AB5</f>
        <v/>
      </c>
      <c r="E39" s="1954"/>
      <c r="F39" s="911"/>
      <c r="G39" s="957"/>
      <c r="H39" s="925" t="s">
        <v>1492</v>
      </c>
      <c r="I39" s="911"/>
      <c r="J39" s="926" t="s">
        <v>1506</v>
      </c>
      <c r="K39" s="911"/>
      <c r="L39" s="926" t="s">
        <v>1493</v>
      </c>
      <c r="M39" s="911"/>
      <c r="N39" s="926" t="s">
        <v>1507</v>
      </c>
      <c r="O39" s="911"/>
      <c r="P39" s="926" t="s">
        <v>1508</v>
      </c>
      <c r="Q39" s="911"/>
      <c r="R39" s="926" t="s">
        <v>1509</v>
      </c>
      <c r="S39" s="911"/>
      <c r="T39" s="997" t="s">
        <v>1599</v>
      </c>
      <c r="U39" s="911"/>
      <c r="W39" s="1616">
        <v>5202</v>
      </c>
      <c r="X39" s="1649" t="s">
        <v>2141</v>
      </c>
      <c r="Y39" s="1616">
        <v>2</v>
      </c>
      <c r="Z39" s="873" t="str">
        <f>IF(Incentives!$E$443="Yes",IF(Incentives!$E$444=X39,334,""),"")</f>
        <v/>
      </c>
      <c r="AA39" s="996" t="str">
        <f>IF(Z39&lt;&gt;"",IF(AND(Incentives!E$446&lt;&gt;"",Z39=334),Incentives!E$446,""),"")</f>
        <v/>
      </c>
      <c r="AB39" s="996" t="str">
        <f>IF(AA39&lt;&gt;"",IF(AND(Incentives!E$447&lt;&gt;"",Z39=334),Incentives!E$447,""),"")</f>
        <v/>
      </c>
      <c r="AC39" s="1573">
        <v>643</v>
      </c>
    </row>
    <row r="40" spans="1:31" s="869" customFormat="1" ht="18" customHeight="1" thickBot="1" x14ac:dyDescent="0.3">
      <c r="A40" s="543"/>
      <c r="B40" s="911"/>
      <c r="C40" s="913"/>
      <c r="D40" s="911"/>
      <c r="E40" s="911"/>
      <c r="F40" s="911"/>
      <c r="G40" s="957"/>
      <c r="H40" s="912" t="s">
        <v>646</v>
      </c>
      <c r="I40" s="911"/>
      <c r="J40" s="872" t="s">
        <v>1494</v>
      </c>
      <c r="K40" s="911"/>
      <c r="L40" s="886" t="s">
        <v>1494</v>
      </c>
      <c r="M40" s="911"/>
      <c r="N40" s="886" t="s">
        <v>646</v>
      </c>
      <c r="O40" s="911"/>
      <c r="P40" s="912" t="s">
        <v>646</v>
      </c>
      <c r="Q40" s="911"/>
      <c r="R40" s="886" t="s">
        <v>1510</v>
      </c>
      <c r="S40" s="911"/>
      <c r="T40" s="998" t="s">
        <v>646</v>
      </c>
      <c r="U40" s="911"/>
      <c r="W40" s="1616">
        <v>5203</v>
      </c>
      <c r="X40" s="1649" t="s">
        <v>2141</v>
      </c>
      <c r="Y40" s="1616">
        <v>3</v>
      </c>
      <c r="Z40" s="873" t="str">
        <f>IF(Incentives!$E$451="Yes",IF(Incentives!$E$452=X40,342,""),"")</f>
        <v/>
      </c>
      <c r="AA40" s="996" t="str">
        <f>IF(Z40&lt;&gt;"",IF(AND(Incentives!E$454&lt;&gt;"",Z40=342),Incentives!E$454,""),"")</f>
        <v/>
      </c>
      <c r="AB40" s="996" t="str">
        <f>IF(AA40&lt;&gt;"",IF(AND(Incentives!E$455&lt;&gt;"",Z40=342),Incentives!E$455,""),"")</f>
        <v/>
      </c>
      <c r="AC40" s="1617">
        <v>657</v>
      </c>
    </row>
    <row r="41" spans="1:31" s="869" customFormat="1" ht="30" customHeight="1" thickBot="1" x14ac:dyDescent="0.3">
      <c r="A41" s="543"/>
      <c r="B41" s="911"/>
      <c r="C41" s="929" t="s">
        <v>1495</v>
      </c>
      <c r="D41" s="1969" t="s">
        <v>646</v>
      </c>
      <c r="E41" s="1944"/>
      <c r="F41" s="911"/>
      <c r="G41" s="957"/>
      <c r="H41" s="911"/>
      <c r="I41" s="911"/>
      <c r="J41" s="911"/>
      <c r="K41" s="911"/>
      <c r="L41" s="911"/>
      <c r="M41" s="911"/>
      <c r="N41" s="911"/>
      <c r="O41" s="911"/>
      <c r="P41" s="911"/>
      <c r="Q41" s="911"/>
      <c r="R41" s="911"/>
      <c r="S41" s="911"/>
      <c r="T41" s="911"/>
      <c r="U41" s="911"/>
      <c r="W41" s="1616">
        <v>5204</v>
      </c>
      <c r="X41" s="1649" t="s">
        <v>2141</v>
      </c>
      <c r="Y41" s="1616">
        <v>4</v>
      </c>
      <c r="Z41" s="873" t="str">
        <f>IF(Incentives!$E$459="Yes",IF(Incentives!$E$460=X41,350,""),"")</f>
        <v/>
      </c>
      <c r="AA41" s="996" t="str">
        <f>IF(Z41&lt;&gt;"",IF(AND(Incentives!E$462&lt;&gt;"",Z41=350),Incentives!E$462,""),"")</f>
        <v/>
      </c>
      <c r="AB41" s="996" t="str">
        <f>IF(AA41&lt;&gt;"",IF(AND(Incentives!E$463&lt;&gt;"",Z41=350),Incentives!E$463,""),"")</f>
        <v/>
      </c>
      <c r="AC41" s="1617">
        <v>671</v>
      </c>
    </row>
    <row r="42" spans="1:31" s="869" customFormat="1" ht="18" customHeight="1" thickBot="1" x14ac:dyDescent="0.3">
      <c r="A42" s="543"/>
      <c r="B42" s="911"/>
      <c r="C42" s="913"/>
      <c r="D42" s="911"/>
      <c r="E42" s="911"/>
      <c r="F42" s="911"/>
      <c r="G42" s="957"/>
      <c r="H42" s="911"/>
      <c r="I42" s="911"/>
      <c r="J42" s="911"/>
      <c r="K42" s="911"/>
      <c r="L42" s="911"/>
      <c r="M42" s="911"/>
      <c r="N42" s="911"/>
      <c r="O42" s="911"/>
      <c r="P42" s="911"/>
      <c r="Q42" s="911"/>
      <c r="R42" s="716" t="s">
        <v>2102</v>
      </c>
      <c r="S42" s="911"/>
      <c r="T42" s="926" t="s">
        <v>523</v>
      </c>
      <c r="U42" s="911"/>
      <c r="W42" s="1616">
        <v>5205</v>
      </c>
      <c r="X42" s="1649" t="s">
        <v>2141</v>
      </c>
      <c r="Y42" s="1616">
        <v>5</v>
      </c>
      <c r="Z42" s="873" t="str">
        <f>IF(Incentives!$E$467="Yes",IF(Incentives!$E$468=X42,358,""),"")</f>
        <v/>
      </c>
      <c r="AA42" s="996" t="str">
        <f>IF(Z42&lt;&gt;"",IF(AND(Incentives!E$470&lt;&gt;"",Z42=358),Incentives!E$470,""),"")</f>
        <v/>
      </c>
      <c r="AB42" s="996" t="str">
        <f>IF(AA42&lt;&gt;"",IF(AND(Incentives!E$471&lt;&gt;"",Z42=358),Incentives!E$471,""),"")</f>
        <v/>
      </c>
      <c r="AC42" s="1617">
        <v>685</v>
      </c>
    </row>
    <row r="43" spans="1:31" s="869" customFormat="1" ht="18" customHeight="1" thickBot="1" x14ac:dyDescent="0.3">
      <c r="A43" s="543"/>
      <c r="B43" s="911"/>
      <c r="C43" s="923" t="s">
        <v>1496</v>
      </c>
      <c r="D43" s="1951" t="s">
        <v>1497</v>
      </c>
      <c r="E43" s="1952"/>
      <c r="F43" s="911"/>
      <c r="G43" s="957"/>
      <c r="H43" s="911"/>
      <c r="I43" s="911"/>
      <c r="J43" s="911"/>
      <c r="K43" s="911"/>
      <c r="L43" s="911"/>
      <c r="M43" s="911"/>
      <c r="N43" s="911"/>
      <c r="O43" s="911"/>
      <c r="P43" s="911"/>
      <c r="Q43" s="911"/>
      <c r="R43" s="1550" t="s">
        <v>648</v>
      </c>
      <c r="S43" s="911"/>
      <c r="T43" s="954" t="str">
        <f>IF(Z5&lt;&gt;"","Yes","No")</f>
        <v>No</v>
      </c>
      <c r="U43" s="911"/>
      <c r="AC43" s="1645"/>
    </row>
    <row r="44" spans="1:31" s="869" customFormat="1" ht="19.5" customHeight="1" thickBot="1" x14ac:dyDescent="0.3">
      <c r="A44" s="543"/>
      <c r="B44" s="911"/>
      <c r="C44" s="911"/>
      <c r="D44" s="911"/>
      <c r="E44" s="911"/>
      <c r="F44" s="911"/>
      <c r="G44" s="957"/>
      <c r="H44" s="911"/>
      <c r="I44" s="911"/>
      <c r="J44" s="911"/>
      <c r="K44" s="911"/>
      <c r="L44" s="911"/>
      <c r="M44" s="911"/>
      <c r="N44" s="911"/>
      <c r="O44" s="911"/>
      <c r="P44" s="911"/>
      <c r="Q44" s="911"/>
      <c r="R44" s="911"/>
      <c r="S44" s="911"/>
      <c r="T44" s="911"/>
      <c r="U44" s="911"/>
    </row>
    <row r="45" spans="1:31" s="869" customFormat="1" ht="15.75" customHeight="1" thickBot="1" x14ac:dyDescent="0.3">
      <c r="A45" s="543"/>
      <c r="B45" s="1948" t="s">
        <v>1511</v>
      </c>
      <c r="C45" s="1957"/>
      <c r="D45" s="1957"/>
      <c r="E45" s="1957"/>
      <c r="F45" s="1957"/>
      <c r="G45" s="1957"/>
      <c r="H45" s="1957"/>
      <c r="I45" s="1957"/>
      <c r="J45" s="1957"/>
      <c r="K45" s="1957"/>
      <c r="L45" s="1957"/>
      <c r="M45" s="1957"/>
      <c r="N45" s="1957"/>
      <c r="O45" s="1957"/>
      <c r="P45" s="1957"/>
      <c r="Q45" s="1957"/>
      <c r="R45" s="1957"/>
      <c r="S45" s="1957"/>
      <c r="T45" s="1957"/>
      <c r="U45" s="1958"/>
    </row>
    <row r="46" spans="1:31" s="869" customFormat="1" ht="20.25" customHeight="1" thickBot="1" x14ac:dyDescent="0.3">
      <c r="A46" s="543"/>
      <c r="B46" s="911"/>
      <c r="C46" s="911"/>
      <c r="D46" s="911"/>
      <c r="E46" s="911"/>
      <c r="F46" s="911"/>
      <c r="G46" s="957"/>
      <c r="H46" s="911"/>
      <c r="I46" s="911"/>
      <c r="J46" s="911"/>
      <c r="K46" s="911"/>
      <c r="L46" s="911"/>
      <c r="M46" s="911"/>
      <c r="N46" s="911"/>
      <c r="O46" s="911"/>
      <c r="P46" s="911"/>
      <c r="Q46" s="911"/>
      <c r="R46" s="911"/>
      <c r="S46" s="911"/>
      <c r="T46" s="911"/>
      <c r="U46" s="911"/>
    </row>
    <row r="47" spans="1:31" s="869" customFormat="1" ht="30.75" customHeight="1" thickBot="1" x14ac:dyDescent="0.3">
      <c r="A47" s="396"/>
      <c r="B47" s="911"/>
      <c r="C47" s="923" t="s">
        <v>1383</v>
      </c>
      <c r="D47" s="1949" t="s">
        <v>1500</v>
      </c>
      <c r="E47" s="1950"/>
      <c r="F47" s="911"/>
      <c r="G47" s="957"/>
      <c r="H47" s="926" t="s">
        <v>1380</v>
      </c>
      <c r="I47" s="911"/>
      <c r="J47" s="926" t="s">
        <v>1381</v>
      </c>
      <c r="K47" s="911"/>
      <c r="L47" s="926" t="s">
        <v>1397</v>
      </c>
      <c r="M47" s="911"/>
      <c r="N47" s="926" t="s">
        <v>1382</v>
      </c>
      <c r="O47" s="911"/>
      <c r="P47" s="926" t="s">
        <v>1486</v>
      </c>
      <c r="Q47" s="911"/>
      <c r="R47" s="926" t="s">
        <v>1487</v>
      </c>
      <c r="S47" s="911"/>
      <c r="T47" s="926" t="s">
        <v>1488</v>
      </c>
      <c r="U47" s="911"/>
      <c r="AE47" s="1956" t="str">
        <f>IF(AND(H48="",T57="Yes"),"Please Update Incentive Period","")</f>
        <v/>
      </c>
    </row>
    <row r="48" spans="1:31" s="869" customFormat="1" ht="18" customHeight="1" thickBot="1" x14ac:dyDescent="0.3">
      <c r="A48" s="543"/>
      <c r="B48" s="911"/>
      <c r="C48" s="911"/>
      <c r="D48" s="911"/>
      <c r="E48" s="911"/>
      <c r="F48" s="911"/>
      <c r="G48" s="957"/>
      <c r="H48" s="871"/>
      <c r="I48" s="911"/>
      <c r="J48" s="916"/>
      <c r="K48" s="911"/>
      <c r="L48" s="916"/>
      <c r="M48" s="911"/>
      <c r="N48" s="956"/>
      <c r="O48" s="911"/>
      <c r="P48" s="872" t="s">
        <v>1489</v>
      </c>
      <c r="Q48" s="911"/>
      <c r="R48" s="872" t="s">
        <v>1490</v>
      </c>
      <c r="S48" s="911"/>
      <c r="T48" s="912" t="s">
        <v>648</v>
      </c>
      <c r="U48" s="911"/>
      <c r="AE48" s="1956"/>
    </row>
    <row r="49" spans="1:31" s="869" customFormat="1" ht="30.75" customHeight="1" thickBot="1" x14ac:dyDescent="0.3">
      <c r="A49" s="543"/>
      <c r="B49" s="911"/>
      <c r="C49" s="923" t="s">
        <v>1491</v>
      </c>
      <c r="D49" s="1951">
        <v>1402</v>
      </c>
      <c r="E49" s="1952"/>
      <c r="F49" s="911"/>
      <c r="G49" s="957"/>
      <c r="H49" s="911"/>
      <c r="I49" s="911"/>
      <c r="J49" s="918"/>
      <c r="K49" s="911"/>
      <c r="L49" s="911"/>
      <c r="M49" s="911"/>
      <c r="N49" s="911"/>
      <c r="O49" s="911"/>
      <c r="P49" s="911"/>
      <c r="Q49" s="911"/>
      <c r="R49" s="911"/>
      <c r="S49" s="911"/>
      <c r="T49" s="911"/>
      <c r="U49" s="911"/>
    </row>
    <row r="50" spans="1:31" s="869" customFormat="1" ht="30" customHeight="1" thickBot="1" x14ac:dyDescent="0.3">
      <c r="A50" s="543"/>
      <c r="B50" s="911"/>
      <c r="C50" s="911"/>
      <c r="D50" s="911"/>
      <c r="E50" s="911"/>
      <c r="F50" s="911"/>
      <c r="G50" s="957"/>
      <c r="H50" s="927" t="s">
        <v>1387</v>
      </c>
      <c r="I50" s="911"/>
      <c r="J50" s="926" t="s">
        <v>1388</v>
      </c>
      <c r="K50" s="911"/>
      <c r="L50" s="926" t="s">
        <v>1389</v>
      </c>
      <c r="M50" s="911"/>
      <c r="N50" s="926" t="s">
        <v>1501</v>
      </c>
      <c r="O50" s="911"/>
      <c r="P50" s="926" t="s">
        <v>1502</v>
      </c>
      <c r="Q50" s="911"/>
      <c r="R50" s="926" t="s">
        <v>1503</v>
      </c>
      <c r="S50" s="911"/>
      <c r="T50" s="911"/>
      <c r="U50" s="911"/>
    </row>
    <row r="51" spans="1:31" s="869" customFormat="1" ht="18" customHeight="1" thickBot="1" x14ac:dyDescent="0.3">
      <c r="A51" s="543"/>
      <c r="B51" s="911"/>
      <c r="C51" s="923" t="s">
        <v>1385</v>
      </c>
      <c r="D51" s="1953" t="str">
        <f>AA6</f>
        <v/>
      </c>
      <c r="E51" s="1954"/>
      <c r="F51" s="911"/>
      <c r="G51" s="957" t="s">
        <v>997</v>
      </c>
      <c r="H51" s="917"/>
      <c r="I51" s="911"/>
      <c r="J51" s="917"/>
      <c r="K51" s="911"/>
      <c r="L51" s="917"/>
      <c r="M51" s="911"/>
      <c r="N51" s="886" t="s">
        <v>479</v>
      </c>
      <c r="O51" s="911"/>
      <c r="P51" s="886" t="s">
        <v>1504</v>
      </c>
      <c r="Q51" s="911"/>
      <c r="R51" s="886" t="s">
        <v>1505</v>
      </c>
      <c r="S51" s="911"/>
      <c r="T51" s="911"/>
      <c r="U51" s="911"/>
    </row>
    <row r="52" spans="1:31" s="869" customFormat="1" ht="18" customHeight="1" thickBot="1" x14ac:dyDescent="0.3">
      <c r="A52" s="543"/>
      <c r="B52" s="911"/>
      <c r="C52" s="911"/>
      <c r="D52" s="911"/>
      <c r="E52" s="911"/>
      <c r="F52" s="911"/>
      <c r="G52" s="957"/>
      <c r="H52" s="911"/>
      <c r="I52" s="911"/>
      <c r="J52" s="911"/>
      <c r="K52" s="911"/>
      <c r="L52" s="911"/>
      <c r="M52" s="911"/>
      <c r="N52" s="911"/>
      <c r="O52" s="911"/>
      <c r="P52" s="911"/>
      <c r="Q52" s="911"/>
      <c r="R52" s="911"/>
      <c r="S52" s="911"/>
      <c r="T52" s="911"/>
      <c r="U52" s="911"/>
    </row>
    <row r="53" spans="1:31" s="869" customFormat="1" ht="30" customHeight="1" thickBot="1" x14ac:dyDescent="0.3">
      <c r="A53" s="543"/>
      <c r="B53" s="911"/>
      <c r="C53" s="923" t="s">
        <v>1386</v>
      </c>
      <c r="D53" s="1953" t="str">
        <f>AB6</f>
        <v/>
      </c>
      <c r="E53" s="1954"/>
      <c r="F53" s="911"/>
      <c r="G53" s="957"/>
      <c r="H53" s="925" t="s">
        <v>1492</v>
      </c>
      <c r="I53" s="911"/>
      <c r="J53" s="926" t="s">
        <v>1506</v>
      </c>
      <c r="K53" s="911"/>
      <c r="L53" s="926" t="s">
        <v>1493</v>
      </c>
      <c r="M53" s="911"/>
      <c r="N53" s="926" t="s">
        <v>1507</v>
      </c>
      <c r="O53" s="911"/>
      <c r="P53" s="926" t="s">
        <v>1508</v>
      </c>
      <c r="Q53" s="911"/>
      <c r="R53" s="926" t="s">
        <v>1509</v>
      </c>
      <c r="S53" s="911"/>
      <c r="T53" s="997" t="s">
        <v>1599</v>
      </c>
      <c r="U53" s="911"/>
    </row>
    <row r="54" spans="1:31" s="869" customFormat="1" ht="18" customHeight="1" thickBot="1" x14ac:dyDescent="0.3">
      <c r="A54" s="543"/>
      <c r="B54" s="911"/>
      <c r="C54" s="911"/>
      <c r="D54" s="911"/>
      <c r="E54" s="911"/>
      <c r="F54" s="911"/>
      <c r="G54" s="957"/>
      <c r="H54" s="912" t="s">
        <v>646</v>
      </c>
      <c r="I54" s="911"/>
      <c r="J54" s="872" t="s">
        <v>1494</v>
      </c>
      <c r="K54" s="911"/>
      <c r="L54" s="886" t="s">
        <v>1494</v>
      </c>
      <c r="M54" s="911"/>
      <c r="N54" s="886" t="s">
        <v>646</v>
      </c>
      <c r="O54" s="911"/>
      <c r="P54" s="912" t="s">
        <v>646</v>
      </c>
      <c r="Q54" s="911"/>
      <c r="R54" s="886" t="s">
        <v>1510</v>
      </c>
      <c r="S54" s="911"/>
      <c r="T54" s="998" t="s">
        <v>646</v>
      </c>
      <c r="U54" s="911"/>
    </row>
    <row r="55" spans="1:31" s="869" customFormat="1" ht="30" customHeight="1" thickBot="1" x14ac:dyDescent="0.3">
      <c r="A55" s="543"/>
      <c r="B55" s="911"/>
      <c r="C55" s="929" t="s">
        <v>1495</v>
      </c>
      <c r="D55" s="1943" t="s">
        <v>646</v>
      </c>
      <c r="E55" s="1944"/>
      <c r="F55" s="911"/>
      <c r="G55" s="957"/>
      <c r="H55" s="911"/>
      <c r="I55" s="911"/>
      <c r="J55" s="911"/>
      <c r="K55" s="911"/>
      <c r="L55" s="911"/>
      <c r="M55" s="911"/>
      <c r="N55" s="911"/>
      <c r="O55" s="911"/>
      <c r="P55" s="911"/>
      <c r="Q55" s="911"/>
      <c r="R55" s="911"/>
      <c r="S55" s="911"/>
      <c r="T55" s="911"/>
      <c r="U55" s="911"/>
    </row>
    <row r="56" spans="1:31" s="869" customFormat="1" ht="18" customHeight="1" thickBot="1" x14ac:dyDescent="0.3">
      <c r="A56" s="543"/>
      <c r="B56" s="911"/>
      <c r="C56" s="911"/>
      <c r="D56" s="911"/>
      <c r="E56" s="911"/>
      <c r="F56" s="911"/>
      <c r="G56" s="957"/>
      <c r="H56" s="911"/>
      <c r="I56" s="911"/>
      <c r="J56" s="911"/>
      <c r="K56" s="911"/>
      <c r="L56" s="911"/>
      <c r="M56" s="911"/>
      <c r="N56" s="911"/>
      <c r="O56" s="911"/>
      <c r="P56" s="911"/>
      <c r="Q56" s="911"/>
      <c r="R56" s="716" t="s">
        <v>2102</v>
      </c>
      <c r="S56" s="911"/>
      <c r="T56" s="926" t="s">
        <v>523</v>
      </c>
      <c r="U56" s="911"/>
    </row>
    <row r="57" spans="1:31" s="869" customFormat="1" ht="18" customHeight="1" thickBot="1" x14ac:dyDescent="0.3">
      <c r="A57" s="543"/>
      <c r="B57" s="911"/>
      <c r="C57" s="923" t="s">
        <v>1496</v>
      </c>
      <c r="D57" s="1951" t="s">
        <v>1497</v>
      </c>
      <c r="E57" s="1952"/>
      <c r="F57" s="911"/>
      <c r="G57" s="957"/>
      <c r="H57" s="911"/>
      <c r="I57" s="911"/>
      <c r="J57" s="911"/>
      <c r="K57" s="911"/>
      <c r="L57" s="911"/>
      <c r="M57" s="911"/>
      <c r="N57" s="911"/>
      <c r="O57" s="911"/>
      <c r="P57" s="911"/>
      <c r="Q57" s="911"/>
      <c r="R57" s="1550" t="s">
        <v>648</v>
      </c>
      <c r="S57" s="911"/>
      <c r="T57" s="954" t="str">
        <f>IF(Z6&lt;&gt;"","Yes","No")</f>
        <v>No</v>
      </c>
      <c r="U57" s="911"/>
    </row>
    <row r="58" spans="1:31" s="869" customFormat="1" ht="20.25" customHeight="1" thickBot="1" x14ac:dyDescent="0.3">
      <c r="A58" s="543"/>
      <c r="B58" s="911"/>
      <c r="C58" s="911"/>
      <c r="D58" s="911"/>
      <c r="E58" s="911"/>
      <c r="F58" s="911"/>
      <c r="G58" s="957"/>
      <c r="H58" s="911"/>
      <c r="I58" s="911"/>
      <c r="J58" s="911"/>
      <c r="K58" s="911"/>
      <c r="L58" s="911"/>
      <c r="M58" s="911"/>
      <c r="N58" s="911"/>
      <c r="O58" s="911"/>
      <c r="P58" s="911"/>
      <c r="Q58" s="911"/>
      <c r="R58" s="911"/>
      <c r="S58" s="911"/>
      <c r="T58" s="911"/>
      <c r="U58" s="911"/>
    </row>
    <row r="59" spans="1:31" s="869" customFormat="1" ht="20.25" customHeight="1" thickBot="1" x14ac:dyDescent="0.3">
      <c r="A59" s="543"/>
      <c r="B59" s="1948" t="s">
        <v>1512</v>
      </c>
      <c r="C59" s="1957"/>
      <c r="D59" s="1957"/>
      <c r="E59" s="1957"/>
      <c r="F59" s="1957"/>
      <c r="G59" s="1957"/>
      <c r="H59" s="1957"/>
      <c r="I59" s="1957"/>
      <c r="J59" s="1957"/>
      <c r="K59" s="1957"/>
      <c r="L59" s="1957"/>
      <c r="M59" s="1957"/>
      <c r="N59" s="1957"/>
      <c r="O59" s="1957"/>
      <c r="P59" s="1957"/>
      <c r="Q59" s="1957"/>
      <c r="R59" s="1957"/>
      <c r="S59" s="1957"/>
      <c r="T59" s="1957"/>
      <c r="U59" s="1958"/>
    </row>
    <row r="60" spans="1:31" s="869" customFormat="1" ht="20.25" customHeight="1" thickBot="1" x14ac:dyDescent="0.3">
      <c r="A60" s="543"/>
      <c r="B60" s="911"/>
      <c r="C60" s="911"/>
      <c r="D60" s="911"/>
      <c r="E60" s="911"/>
      <c r="F60" s="911"/>
      <c r="G60" s="957"/>
      <c r="H60" s="911"/>
      <c r="I60" s="911"/>
      <c r="J60" s="911"/>
      <c r="K60" s="911"/>
      <c r="L60" s="911"/>
      <c r="M60" s="911"/>
      <c r="N60" s="911"/>
      <c r="O60" s="911"/>
      <c r="P60" s="911"/>
      <c r="Q60" s="911"/>
      <c r="R60" s="911"/>
      <c r="S60" s="911"/>
      <c r="T60" s="911"/>
      <c r="U60" s="911"/>
    </row>
    <row r="61" spans="1:31" s="869" customFormat="1" ht="30" customHeight="1" thickBot="1" x14ac:dyDescent="0.3">
      <c r="A61" s="396"/>
      <c r="B61" s="911"/>
      <c r="C61" s="923" t="s">
        <v>1383</v>
      </c>
      <c r="D61" s="1949" t="s">
        <v>1513</v>
      </c>
      <c r="E61" s="1950"/>
      <c r="F61" s="911"/>
      <c r="G61" s="957"/>
      <c r="H61" s="926" t="s">
        <v>1380</v>
      </c>
      <c r="I61" s="918"/>
      <c r="J61" s="926" t="s">
        <v>1381</v>
      </c>
      <c r="K61" s="918"/>
      <c r="L61" s="926" t="s">
        <v>1397</v>
      </c>
      <c r="M61" s="918"/>
      <c r="N61" s="926" t="s">
        <v>1382</v>
      </c>
      <c r="O61" s="918"/>
      <c r="P61" s="926" t="s">
        <v>1486</v>
      </c>
      <c r="Q61" s="918"/>
      <c r="R61" s="926" t="s">
        <v>1487</v>
      </c>
      <c r="S61" s="918"/>
      <c r="T61" s="926" t="s">
        <v>1488</v>
      </c>
      <c r="U61" s="911"/>
      <c r="AE61" s="1956" t="str">
        <f>IF(AND(H62="",T72="Yes"),"Please Update Incentive Period","")</f>
        <v/>
      </c>
    </row>
    <row r="62" spans="1:31" s="869" customFormat="1" ht="18" customHeight="1" thickBot="1" x14ac:dyDescent="0.3">
      <c r="A62" s="543"/>
      <c r="B62" s="911"/>
      <c r="C62" s="918"/>
      <c r="D62" s="911"/>
      <c r="E62" s="911"/>
      <c r="F62" s="911"/>
      <c r="G62" s="957"/>
      <c r="H62" s="871"/>
      <c r="I62" s="911"/>
      <c r="J62" s="916"/>
      <c r="K62" s="911"/>
      <c r="L62" s="916"/>
      <c r="M62" s="911"/>
      <c r="N62" s="956"/>
      <c r="O62" s="911"/>
      <c r="P62" s="872" t="s">
        <v>1489</v>
      </c>
      <c r="Q62" s="911"/>
      <c r="R62" s="872" t="s">
        <v>1490</v>
      </c>
      <c r="S62" s="911"/>
      <c r="T62" s="912" t="s">
        <v>648</v>
      </c>
      <c r="U62" s="911"/>
      <c r="AE62" s="1956"/>
    </row>
    <row r="63" spans="1:31" s="869" customFormat="1" ht="30" customHeight="1" thickBot="1" x14ac:dyDescent="0.3">
      <c r="A63" s="543"/>
      <c r="B63" s="911"/>
      <c r="C63" s="923" t="s">
        <v>1491</v>
      </c>
      <c r="D63" s="1951">
        <v>1501</v>
      </c>
      <c r="E63" s="1952"/>
      <c r="F63" s="911"/>
      <c r="G63" s="957"/>
      <c r="H63" s="911"/>
      <c r="I63" s="911"/>
      <c r="J63" s="911"/>
      <c r="K63" s="911"/>
      <c r="L63" s="911"/>
      <c r="M63" s="911"/>
      <c r="N63" s="911"/>
      <c r="O63" s="911"/>
      <c r="P63" s="911"/>
      <c r="Q63" s="911"/>
      <c r="R63" s="911"/>
      <c r="S63" s="911"/>
      <c r="T63" s="911"/>
      <c r="U63" s="911"/>
    </row>
    <row r="64" spans="1:31" s="869" customFormat="1" ht="30" customHeight="1" thickBot="1" x14ac:dyDescent="0.3">
      <c r="A64" s="543"/>
      <c r="B64" s="911"/>
      <c r="C64" s="918"/>
      <c r="D64" s="911"/>
      <c r="E64" s="911"/>
      <c r="F64" s="911"/>
      <c r="G64" s="957"/>
      <c r="H64" s="927" t="s">
        <v>1387</v>
      </c>
      <c r="I64" s="918"/>
      <c r="J64" s="926" t="s">
        <v>1388</v>
      </c>
      <c r="K64" s="918"/>
      <c r="L64" s="926" t="s">
        <v>1389</v>
      </c>
      <c r="M64" s="918"/>
      <c r="N64" s="926" t="s">
        <v>1501</v>
      </c>
      <c r="O64" s="918"/>
      <c r="P64" s="926" t="s">
        <v>1502</v>
      </c>
      <c r="Q64" s="918"/>
      <c r="R64" s="926" t="s">
        <v>1503</v>
      </c>
      <c r="S64" s="911"/>
      <c r="T64" s="911"/>
      <c r="U64" s="911"/>
    </row>
    <row r="65" spans="1:31" s="869" customFormat="1" ht="18" customHeight="1" thickBot="1" x14ac:dyDescent="0.3">
      <c r="A65" s="543"/>
      <c r="B65" s="911"/>
      <c r="C65" s="923" t="s">
        <v>1385</v>
      </c>
      <c r="D65" s="1953" t="str">
        <f>AA7</f>
        <v/>
      </c>
      <c r="E65" s="1954"/>
      <c r="F65" s="911"/>
      <c r="G65" s="957" t="s">
        <v>997</v>
      </c>
      <c r="H65" s="891"/>
      <c r="I65" s="914"/>
      <c r="J65" s="919"/>
      <c r="K65" s="911"/>
      <c r="L65" s="919"/>
      <c r="M65" s="911"/>
      <c r="N65" s="886" t="s">
        <v>479</v>
      </c>
      <c r="O65" s="911"/>
      <c r="P65" s="886" t="s">
        <v>1504</v>
      </c>
      <c r="Q65" s="911"/>
      <c r="R65" s="886" t="s">
        <v>1505</v>
      </c>
      <c r="S65" s="911"/>
      <c r="T65" s="911"/>
      <c r="U65" s="911"/>
    </row>
    <row r="66" spans="1:31" s="869" customFormat="1" ht="18" customHeight="1" thickBot="1" x14ac:dyDescent="0.3">
      <c r="A66" s="543"/>
      <c r="B66" s="911"/>
      <c r="C66" s="918"/>
      <c r="D66" s="911"/>
      <c r="E66" s="911"/>
      <c r="F66" s="911"/>
      <c r="G66" s="957" t="s">
        <v>1390</v>
      </c>
      <c r="H66" s="891"/>
      <c r="I66" s="914"/>
      <c r="J66" s="919"/>
      <c r="K66" s="911"/>
      <c r="L66" s="919"/>
      <c r="M66" s="911"/>
      <c r="N66" s="886" t="s">
        <v>479</v>
      </c>
      <c r="O66" s="911"/>
      <c r="P66" s="886" t="s">
        <v>1504</v>
      </c>
      <c r="Q66" s="911"/>
      <c r="R66" s="911"/>
      <c r="S66" s="911"/>
      <c r="T66" s="911"/>
      <c r="U66" s="911"/>
    </row>
    <row r="67" spans="1:31" s="869" customFormat="1" ht="18" customHeight="1" thickBot="1" x14ac:dyDescent="0.3">
      <c r="A67" s="543"/>
      <c r="B67" s="911"/>
      <c r="C67" s="923" t="s">
        <v>1386</v>
      </c>
      <c r="D67" s="1953" t="str">
        <f>AB7</f>
        <v/>
      </c>
      <c r="E67" s="1954"/>
      <c r="F67" s="911"/>
      <c r="G67" s="957" t="s">
        <v>1391</v>
      </c>
      <c r="H67" s="891"/>
      <c r="I67" s="914"/>
      <c r="J67" s="920"/>
      <c r="K67" s="911"/>
      <c r="L67" s="919"/>
      <c r="M67" s="911"/>
      <c r="N67" s="886" t="s">
        <v>479</v>
      </c>
      <c r="O67" s="911"/>
      <c r="P67" s="886" t="s">
        <v>1504</v>
      </c>
      <c r="Q67" s="911"/>
      <c r="R67" s="716" t="s">
        <v>2102</v>
      </c>
      <c r="S67" s="911"/>
      <c r="T67" s="997" t="s">
        <v>1599</v>
      </c>
      <c r="U67" s="911"/>
    </row>
    <row r="68" spans="1:31" s="869" customFormat="1" ht="18" customHeight="1" x14ac:dyDescent="0.25">
      <c r="A68" s="543"/>
      <c r="B68" s="911"/>
      <c r="C68" s="918"/>
      <c r="D68" s="911"/>
      <c r="E68" s="911"/>
      <c r="F68" s="911"/>
      <c r="G68" s="957" t="s">
        <v>1393</v>
      </c>
      <c r="H68" s="891"/>
      <c r="I68" s="914"/>
      <c r="J68" s="920"/>
      <c r="K68" s="911"/>
      <c r="L68" s="917"/>
      <c r="M68" s="911"/>
      <c r="N68" s="886" t="s">
        <v>479</v>
      </c>
      <c r="O68" s="911"/>
      <c r="P68" s="886" t="s">
        <v>1504</v>
      </c>
      <c r="Q68" s="911"/>
      <c r="R68" s="1550" t="s">
        <v>648</v>
      </c>
      <c r="S68" s="911"/>
      <c r="T68" s="998" t="s">
        <v>646</v>
      </c>
      <c r="U68" s="911"/>
    </row>
    <row r="69" spans="1:31" s="869" customFormat="1" ht="18" customHeight="1" x14ac:dyDescent="0.25">
      <c r="A69" s="543"/>
      <c r="B69" s="911"/>
      <c r="C69" s="918"/>
      <c r="D69" s="911"/>
      <c r="E69" s="911"/>
      <c r="F69" s="911"/>
      <c r="G69" s="957" t="s">
        <v>1395</v>
      </c>
      <c r="H69" s="891"/>
      <c r="I69" s="914"/>
      <c r="J69" s="920"/>
      <c r="K69" s="911"/>
      <c r="L69" s="917"/>
      <c r="M69" s="911"/>
      <c r="N69" s="886" t="s">
        <v>479</v>
      </c>
      <c r="O69" s="911"/>
      <c r="P69" s="886" t="s">
        <v>1504</v>
      </c>
      <c r="Q69" s="911"/>
      <c r="R69" s="911"/>
      <c r="S69" s="911"/>
      <c r="T69" s="911"/>
      <c r="U69" s="911"/>
    </row>
    <row r="70" spans="1:31" s="869" customFormat="1" ht="18" customHeight="1" thickBot="1" x14ac:dyDescent="0.3">
      <c r="A70" s="543"/>
      <c r="B70" s="911"/>
      <c r="C70" s="918"/>
      <c r="D70" s="911"/>
      <c r="E70" s="911"/>
      <c r="F70" s="911"/>
      <c r="G70" s="957"/>
      <c r="H70" s="911"/>
      <c r="I70" s="911"/>
      <c r="J70" s="911"/>
      <c r="K70" s="911"/>
      <c r="L70" s="911"/>
      <c r="M70" s="911"/>
      <c r="N70" s="911"/>
      <c r="O70" s="911"/>
      <c r="P70" s="911"/>
      <c r="Q70" s="911"/>
      <c r="R70" s="911"/>
      <c r="S70" s="911"/>
      <c r="T70" s="911"/>
      <c r="U70" s="911"/>
    </row>
    <row r="71" spans="1:31" s="869" customFormat="1" ht="30" customHeight="1" thickBot="1" x14ac:dyDescent="0.3">
      <c r="A71" s="543"/>
      <c r="B71" s="911"/>
      <c r="C71" s="924" t="s">
        <v>1495</v>
      </c>
      <c r="D71" s="1943" t="s">
        <v>646</v>
      </c>
      <c r="E71" s="1944"/>
      <c r="F71" s="911"/>
      <c r="G71" s="957"/>
      <c r="H71" s="925" t="s">
        <v>1492</v>
      </c>
      <c r="I71" s="918"/>
      <c r="J71" s="926" t="s">
        <v>1506</v>
      </c>
      <c r="K71" s="918"/>
      <c r="L71" s="926" t="s">
        <v>1493</v>
      </c>
      <c r="M71" s="918"/>
      <c r="N71" s="926" t="s">
        <v>1507</v>
      </c>
      <c r="O71" s="918"/>
      <c r="P71" s="926" t="s">
        <v>1508</v>
      </c>
      <c r="Q71" s="918"/>
      <c r="R71" s="926" t="s">
        <v>1509</v>
      </c>
      <c r="S71" s="911"/>
      <c r="T71" s="926" t="s">
        <v>523</v>
      </c>
      <c r="U71" s="911"/>
    </row>
    <row r="72" spans="1:31" s="869" customFormat="1" ht="18" customHeight="1" thickBot="1" x14ac:dyDescent="0.3">
      <c r="A72" s="543"/>
      <c r="B72" s="911"/>
      <c r="C72" s="918"/>
      <c r="D72" s="911"/>
      <c r="E72" s="911"/>
      <c r="F72" s="911"/>
      <c r="G72" s="957"/>
      <c r="H72" s="912" t="s">
        <v>646</v>
      </c>
      <c r="I72" s="911"/>
      <c r="J72" s="872" t="s">
        <v>1494</v>
      </c>
      <c r="K72" s="911"/>
      <c r="L72" s="886" t="s">
        <v>1494</v>
      </c>
      <c r="M72" s="911"/>
      <c r="N72" s="886" t="s">
        <v>646</v>
      </c>
      <c r="O72" s="911"/>
      <c r="P72" s="912" t="s">
        <v>646</v>
      </c>
      <c r="Q72" s="911"/>
      <c r="R72" s="886" t="s">
        <v>1510</v>
      </c>
      <c r="S72" s="911"/>
      <c r="T72" s="954" t="str">
        <f>IF(Z7&lt;&gt;"","Yes","No")</f>
        <v>No</v>
      </c>
      <c r="U72" s="911"/>
    </row>
    <row r="73" spans="1:31" s="869" customFormat="1" ht="18" customHeight="1" thickBot="1" x14ac:dyDescent="0.3">
      <c r="A73" s="543"/>
      <c r="B73" s="911"/>
      <c r="C73" s="923" t="s">
        <v>1496</v>
      </c>
      <c r="D73" s="1951" t="s">
        <v>1497</v>
      </c>
      <c r="E73" s="1952"/>
      <c r="F73" s="911"/>
      <c r="G73" s="957"/>
      <c r="H73" s="911"/>
      <c r="I73" s="911"/>
      <c r="J73" s="911"/>
      <c r="K73" s="911"/>
      <c r="L73" s="911"/>
      <c r="M73" s="911"/>
      <c r="N73" s="911"/>
      <c r="O73" s="911"/>
      <c r="P73" s="911"/>
      <c r="Q73" s="911"/>
      <c r="R73" s="911"/>
      <c r="S73" s="911"/>
      <c r="T73" s="911"/>
      <c r="U73" s="911"/>
    </row>
    <row r="74" spans="1:31" s="869" customFormat="1" ht="20.25" customHeight="1" thickBot="1" x14ac:dyDescent="0.3">
      <c r="A74" s="543"/>
      <c r="B74" s="911"/>
      <c r="C74" s="911"/>
      <c r="D74" s="911"/>
      <c r="E74" s="911"/>
      <c r="F74" s="911"/>
      <c r="G74" s="957"/>
      <c r="H74" s="911"/>
      <c r="I74" s="911"/>
      <c r="J74" s="911"/>
      <c r="K74" s="911"/>
      <c r="L74" s="911"/>
      <c r="M74" s="911"/>
      <c r="N74" s="911"/>
      <c r="O74" s="911"/>
      <c r="P74" s="911"/>
      <c r="Q74" s="911"/>
      <c r="R74" s="911"/>
      <c r="S74" s="911"/>
      <c r="T74" s="911"/>
      <c r="U74" s="911"/>
    </row>
    <row r="75" spans="1:31" s="869" customFormat="1" ht="21" customHeight="1" thickBot="1" x14ac:dyDescent="0.3">
      <c r="A75" s="543"/>
      <c r="B75" s="1948" t="s">
        <v>1514</v>
      </c>
      <c r="C75" s="1957"/>
      <c r="D75" s="1957"/>
      <c r="E75" s="1957"/>
      <c r="F75" s="1957"/>
      <c r="G75" s="1957"/>
      <c r="H75" s="1957"/>
      <c r="I75" s="1957"/>
      <c r="J75" s="1957"/>
      <c r="K75" s="1957"/>
      <c r="L75" s="1957"/>
      <c r="M75" s="1957"/>
      <c r="N75" s="1957"/>
      <c r="O75" s="1957"/>
      <c r="P75" s="1957"/>
      <c r="Q75" s="1957"/>
      <c r="R75" s="1957"/>
      <c r="S75" s="1957"/>
      <c r="T75" s="1957"/>
      <c r="U75" s="1958"/>
    </row>
    <row r="76" spans="1:31" s="869" customFormat="1" ht="20.25" customHeight="1" thickBot="1" x14ac:dyDescent="0.3">
      <c r="A76" s="543"/>
      <c r="B76" s="911"/>
      <c r="C76" s="911"/>
      <c r="D76" s="911"/>
      <c r="E76" s="911"/>
      <c r="F76" s="911"/>
      <c r="G76" s="957"/>
      <c r="H76" s="911"/>
      <c r="I76" s="911"/>
      <c r="J76" s="911"/>
      <c r="K76" s="911"/>
      <c r="L76" s="911"/>
      <c r="M76" s="911"/>
      <c r="N76" s="911"/>
      <c r="O76" s="911"/>
      <c r="P76" s="911"/>
      <c r="Q76" s="911"/>
      <c r="R76" s="911"/>
      <c r="S76" s="911"/>
      <c r="T76" s="911"/>
      <c r="U76" s="911"/>
    </row>
    <row r="77" spans="1:31" s="869" customFormat="1" ht="30" customHeight="1" thickBot="1" x14ac:dyDescent="0.3">
      <c r="A77" s="396"/>
      <c r="B77" s="911"/>
      <c r="C77" s="923" t="s">
        <v>1383</v>
      </c>
      <c r="D77" s="1949" t="s">
        <v>1513</v>
      </c>
      <c r="E77" s="1950"/>
      <c r="F77" s="911"/>
      <c r="G77" s="957"/>
      <c r="H77" s="926" t="s">
        <v>1380</v>
      </c>
      <c r="I77" s="918"/>
      <c r="J77" s="926" t="s">
        <v>1381</v>
      </c>
      <c r="K77" s="918"/>
      <c r="L77" s="926" t="s">
        <v>1397</v>
      </c>
      <c r="M77" s="918"/>
      <c r="N77" s="926" t="s">
        <v>1382</v>
      </c>
      <c r="O77" s="918"/>
      <c r="P77" s="926" t="s">
        <v>1486</v>
      </c>
      <c r="Q77" s="918"/>
      <c r="R77" s="926" t="s">
        <v>1487</v>
      </c>
      <c r="S77" s="918"/>
      <c r="T77" s="926" t="s">
        <v>1488</v>
      </c>
      <c r="U77" s="911"/>
      <c r="AE77" s="1956" t="str">
        <f>IF(AND(H78="",T88="Yes"),"Please Update Incentive Period","")</f>
        <v/>
      </c>
    </row>
    <row r="78" spans="1:31" s="869" customFormat="1" ht="18" customHeight="1" thickBot="1" x14ac:dyDescent="0.3">
      <c r="A78" s="543"/>
      <c r="B78" s="911"/>
      <c r="C78" s="918"/>
      <c r="D78" s="911"/>
      <c r="E78" s="911"/>
      <c r="F78" s="911"/>
      <c r="G78" s="957"/>
      <c r="H78" s="871"/>
      <c r="I78" s="911"/>
      <c r="J78" s="916"/>
      <c r="K78" s="911"/>
      <c r="L78" s="916"/>
      <c r="M78" s="911"/>
      <c r="N78" s="956"/>
      <c r="O78" s="911"/>
      <c r="P78" s="872" t="s">
        <v>1489</v>
      </c>
      <c r="Q78" s="911"/>
      <c r="R78" s="872" t="s">
        <v>1490</v>
      </c>
      <c r="S78" s="911"/>
      <c r="T78" s="912" t="s">
        <v>648</v>
      </c>
      <c r="U78" s="911"/>
      <c r="AE78" s="1956"/>
    </row>
    <row r="79" spans="1:31" s="869" customFormat="1" ht="30" customHeight="1" thickBot="1" x14ac:dyDescent="0.3">
      <c r="A79" s="543"/>
      <c r="B79" s="911"/>
      <c r="C79" s="923" t="s">
        <v>1491</v>
      </c>
      <c r="D79" s="1951">
        <v>1502</v>
      </c>
      <c r="E79" s="1952"/>
      <c r="F79" s="911"/>
      <c r="G79" s="957"/>
      <c r="H79" s="911"/>
      <c r="I79" s="911"/>
      <c r="J79" s="911"/>
      <c r="K79" s="911"/>
      <c r="L79" s="911"/>
      <c r="M79" s="911"/>
      <c r="N79" s="911"/>
      <c r="O79" s="911"/>
      <c r="P79" s="911"/>
      <c r="Q79" s="911"/>
      <c r="R79" s="911"/>
      <c r="S79" s="911"/>
      <c r="T79" s="911"/>
      <c r="U79" s="911"/>
    </row>
    <row r="80" spans="1:31" s="869" customFormat="1" ht="30" customHeight="1" thickBot="1" x14ac:dyDescent="0.3">
      <c r="A80" s="543"/>
      <c r="B80" s="911"/>
      <c r="C80" s="918"/>
      <c r="D80" s="911"/>
      <c r="E80" s="911"/>
      <c r="F80" s="911"/>
      <c r="G80" s="957"/>
      <c r="H80" s="927" t="s">
        <v>1387</v>
      </c>
      <c r="I80" s="918"/>
      <c r="J80" s="926" t="s">
        <v>1388</v>
      </c>
      <c r="K80" s="918"/>
      <c r="L80" s="926" t="s">
        <v>1389</v>
      </c>
      <c r="M80" s="918"/>
      <c r="N80" s="926" t="s">
        <v>1501</v>
      </c>
      <c r="O80" s="918"/>
      <c r="P80" s="926" t="s">
        <v>1502</v>
      </c>
      <c r="Q80" s="918"/>
      <c r="R80" s="926" t="s">
        <v>1503</v>
      </c>
      <c r="S80" s="911"/>
      <c r="T80" s="911"/>
      <c r="U80" s="911"/>
    </row>
    <row r="81" spans="1:31" s="869" customFormat="1" ht="18" customHeight="1" thickBot="1" x14ac:dyDescent="0.3">
      <c r="A81" s="543"/>
      <c r="B81" s="911"/>
      <c r="C81" s="923" t="s">
        <v>1385</v>
      </c>
      <c r="D81" s="1953" t="str">
        <f>AA8</f>
        <v/>
      </c>
      <c r="E81" s="1954"/>
      <c r="F81" s="911"/>
      <c r="G81" s="957" t="s">
        <v>997</v>
      </c>
      <c r="H81" s="891"/>
      <c r="I81" s="914"/>
      <c r="J81" s="919"/>
      <c r="K81" s="911"/>
      <c r="L81" s="919"/>
      <c r="M81" s="911"/>
      <c r="N81" s="886" t="s">
        <v>479</v>
      </c>
      <c r="O81" s="911"/>
      <c r="P81" s="886" t="s">
        <v>1504</v>
      </c>
      <c r="Q81" s="911"/>
      <c r="R81" s="886" t="s">
        <v>1505</v>
      </c>
      <c r="S81" s="911"/>
      <c r="T81" s="911"/>
      <c r="U81" s="911"/>
    </row>
    <row r="82" spans="1:31" s="869" customFormat="1" ht="18" customHeight="1" thickBot="1" x14ac:dyDescent="0.3">
      <c r="A82" s="543"/>
      <c r="B82" s="911"/>
      <c r="C82" s="918"/>
      <c r="D82" s="911"/>
      <c r="E82" s="911"/>
      <c r="F82" s="911"/>
      <c r="G82" s="957" t="s">
        <v>1390</v>
      </c>
      <c r="H82" s="891"/>
      <c r="I82" s="914"/>
      <c r="J82" s="919"/>
      <c r="K82" s="911"/>
      <c r="L82" s="919"/>
      <c r="M82" s="911"/>
      <c r="N82" s="886" t="s">
        <v>479</v>
      </c>
      <c r="O82" s="911"/>
      <c r="P82" s="886" t="s">
        <v>1504</v>
      </c>
      <c r="Q82" s="911"/>
      <c r="R82" s="911"/>
      <c r="S82" s="911"/>
      <c r="T82" s="911"/>
      <c r="U82" s="911"/>
    </row>
    <row r="83" spans="1:31" s="869" customFormat="1" ht="18" customHeight="1" thickBot="1" x14ac:dyDescent="0.3">
      <c r="A83" s="543"/>
      <c r="B83" s="911"/>
      <c r="C83" s="923" t="s">
        <v>1386</v>
      </c>
      <c r="D83" s="1953" t="str">
        <f>AB8</f>
        <v/>
      </c>
      <c r="E83" s="1954"/>
      <c r="F83" s="911"/>
      <c r="G83" s="957" t="s">
        <v>1391</v>
      </c>
      <c r="H83" s="891"/>
      <c r="I83" s="914"/>
      <c r="J83" s="920"/>
      <c r="K83" s="911"/>
      <c r="L83" s="917"/>
      <c r="M83" s="911"/>
      <c r="N83" s="886" t="s">
        <v>479</v>
      </c>
      <c r="O83" s="911"/>
      <c r="P83" s="886" t="s">
        <v>1504</v>
      </c>
      <c r="Q83" s="911"/>
      <c r="R83" s="716" t="s">
        <v>2102</v>
      </c>
      <c r="S83" s="911"/>
      <c r="T83" s="997" t="s">
        <v>1599</v>
      </c>
      <c r="U83" s="911"/>
    </row>
    <row r="84" spans="1:31" s="869" customFormat="1" ht="18" customHeight="1" x14ac:dyDescent="0.25">
      <c r="A84" s="543"/>
      <c r="B84" s="911"/>
      <c r="C84" s="918"/>
      <c r="D84" s="911"/>
      <c r="E84" s="911"/>
      <c r="F84" s="911"/>
      <c r="G84" s="957" t="s">
        <v>1393</v>
      </c>
      <c r="H84" s="891"/>
      <c r="I84" s="914"/>
      <c r="J84" s="920"/>
      <c r="K84" s="911"/>
      <c r="L84" s="917"/>
      <c r="M84" s="911"/>
      <c r="N84" s="886" t="s">
        <v>479</v>
      </c>
      <c r="O84" s="911"/>
      <c r="P84" s="886" t="s">
        <v>1504</v>
      </c>
      <c r="Q84" s="911"/>
      <c r="R84" s="1550" t="s">
        <v>648</v>
      </c>
      <c r="S84" s="911"/>
      <c r="T84" s="998" t="s">
        <v>646</v>
      </c>
      <c r="U84" s="911"/>
    </row>
    <row r="85" spans="1:31" s="869" customFormat="1" ht="18" customHeight="1" x14ac:dyDescent="0.25">
      <c r="A85" s="543"/>
      <c r="B85" s="911"/>
      <c r="C85" s="918"/>
      <c r="D85" s="911"/>
      <c r="E85" s="911"/>
      <c r="F85" s="911"/>
      <c r="G85" s="957" t="s">
        <v>1395</v>
      </c>
      <c r="H85" s="891"/>
      <c r="I85" s="914"/>
      <c r="J85" s="920"/>
      <c r="K85" s="911"/>
      <c r="L85" s="917"/>
      <c r="M85" s="911"/>
      <c r="N85" s="886" t="s">
        <v>479</v>
      </c>
      <c r="O85" s="911"/>
      <c r="P85" s="886" t="s">
        <v>1504</v>
      </c>
      <c r="Q85" s="911"/>
      <c r="R85" s="911"/>
      <c r="S85" s="911"/>
      <c r="T85" s="911"/>
      <c r="U85" s="911"/>
    </row>
    <row r="86" spans="1:31" s="869" customFormat="1" ht="18" customHeight="1" thickBot="1" x14ac:dyDescent="0.3">
      <c r="A86" s="543"/>
      <c r="B86" s="911"/>
      <c r="C86" s="918"/>
      <c r="D86" s="911"/>
      <c r="E86" s="911"/>
      <c r="F86" s="911"/>
      <c r="G86" s="957"/>
      <c r="H86" s="911"/>
      <c r="I86" s="911"/>
      <c r="J86" s="911"/>
      <c r="K86" s="911"/>
      <c r="L86" s="911"/>
      <c r="M86" s="911"/>
      <c r="N86" s="911"/>
      <c r="O86" s="911"/>
      <c r="P86" s="911"/>
      <c r="Q86" s="911"/>
      <c r="R86" s="911"/>
      <c r="S86" s="911"/>
      <c r="T86" s="911"/>
      <c r="U86" s="911"/>
    </row>
    <row r="87" spans="1:31" s="869" customFormat="1" ht="30" customHeight="1" thickBot="1" x14ac:dyDescent="0.3">
      <c r="A87" s="543"/>
      <c r="B87" s="911"/>
      <c r="C87" s="924" t="s">
        <v>1495</v>
      </c>
      <c r="D87" s="1943" t="s">
        <v>646</v>
      </c>
      <c r="E87" s="1944"/>
      <c r="F87" s="911"/>
      <c r="G87" s="957"/>
      <c r="H87" s="925" t="s">
        <v>1492</v>
      </c>
      <c r="I87" s="918"/>
      <c r="J87" s="926" t="s">
        <v>1506</v>
      </c>
      <c r="K87" s="918"/>
      <c r="L87" s="926" t="s">
        <v>1493</v>
      </c>
      <c r="M87" s="918"/>
      <c r="N87" s="926" t="s">
        <v>1507</v>
      </c>
      <c r="O87" s="918"/>
      <c r="P87" s="926" t="s">
        <v>1508</v>
      </c>
      <c r="Q87" s="918"/>
      <c r="R87" s="926" t="s">
        <v>1509</v>
      </c>
      <c r="S87" s="911"/>
      <c r="T87" s="926" t="s">
        <v>523</v>
      </c>
      <c r="U87" s="911"/>
    </row>
    <row r="88" spans="1:31" s="869" customFormat="1" ht="18" customHeight="1" thickBot="1" x14ac:dyDescent="0.3">
      <c r="A88" s="543"/>
      <c r="B88" s="911"/>
      <c r="C88" s="918"/>
      <c r="D88" s="911"/>
      <c r="E88" s="911"/>
      <c r="F88" s="911"/>
      <c r="G88" s="957"/>
      <c r="H88" s="912" t="s">
        <v>646</v>
      </c>
      <c r="I88" s="911"/>
      <c r="J88" s="872" t="s">
        <v>1494</v>
      </c>
      <c r="K88" s="911"/>
      <c r="L88" s="886" t="s">
        <v>1494</v>
      </c>
      <c r="M88" s="911"/>
      <c r="N88" s="886" t="s">
        <v>646</v>
      </c>
      <c r="O88" s="911"/>
      <c r="P88" s="912" t="s">
        <v>646</v>
      </c>
      <c r="Q88" s="911"/>
      <c r="R88" s="886" t="s">
        <v>1510</v>
      </c>
      <c r="S88" s="911"/>
      <c r="T88" s="954" t="str">
        <f>IF(Z8&lt;&gt;"","Yes","No")</f>
        <v>No</v>
      </c>
      <c r="U88" s="911"/>
    </row>
    <row r="89" spans="1:31" s="869" customFormat="1" ht="18" customHeight="1" thickBot="1" x14ac:dyDescent="0.3">
      <c r="A89" s="543"/>
      <c r="B89" s="911"/>
      <c r="C89" s="923" t="s">
        <v>1496</v>
      </c>
      <c r="D89" s="1951" t="s">
        <v>1497</v>
      </c>
      <c r="E89" s="1952"/>
      <c r="F89" s="911"/>
      <c r="G89" s="957"/>
      <c r="H89" s="911"/>
      <c r="I89" s="911"/>
      <c r="J89" s="911"/>
      <c r="K89" s="911"/>
      <c r="L89" s="911"/>
      <c r="M89" s="911"/>
      <c r="N89" s="911"/>
      <c r="O89" s="911"/>
      <c r="P89" s="911"/>
      <c r="Q89" s="911"/>
      <c r="R89" s="911"/>
      <c r="S89" s="911"/>
      <c r="T89" s="911"/>
      <c r="U89" s="911"/>
    </row>
    <row r="90" spans="1:31" s="869" customFormat="1" ht="20.25" customHeight="1" thickBot="1" x14ac:dyDescent="0.3">
      <c r="A90" s="543"/>
      <c r="B90" s="911"/>
      <c r="C90" s="911"/>
      <c r="D90" s="911"/>
      <c r="E90" s="911"/>
      <c r="F90" s="911"/>
      <c r="G90" s="957"/>
      <c r="H90" s="911"/>
      <c r="I90" s="911"/>
      <c r="J90" s="911"/>
      <c r="K90" s="911"/>
      <c r="L90" s="911"/>
      <c r="M90" s="911"/>
      <c r="N90" s="911"/>
      <c r="O90" s="911"/>
      <c r="P90" s="911"/>
      <c r="Q90" s="911"/>
      <c r="R90" s="911"/>
      <c r="S90" s="911"/>
      <c r="T90" s="911"/>
      <c r="U90" s="911"/>
    </row>
    <row r="91" spans="1:31" s="869" customFormat="1" ht="20.25" customHeight="1" thickBot="1" x14ac:dyDescent="0.3">
      <c r="A91" s="543"/>
      <c r="B91" s="1948" t="s">
        <v>1515</v>
      </c>
      <c r="C91" s="1957"/>
      <c r="D91" s="1957"/>
      <c r="E91" s="1957"/>
      <c r="F91" s="1957"/>
      <c r="G91" s="1957"/>
      <c r="H91" s="1957"/>
      <c r="I91" s="1957"/>
      <c r="J91" s="1957"/>
      <c r="K91" s="1957"/>
      <c r="L91" s="1957"/>
      <c r="M91" s="1957"/>
      <c r="N91" s="1957"/>
      <c r="O91" s="1957"/>
      <c r="P91" s="1957"/>
      <c r="Q91" s="1957"/>
      <c r="R91" s="1957"/>
      <c r="S91" s="1957"/>
      <c r="T91" s="1957"/>
      <c r="U91" s="1958"/>
    </row>
    <row r="92" spans="1:31" ht="20.25" customHeight="1" thickBot="1" x14ac:dyDescent="0.3">
      <c r="A92" s="543"/>
      <c r="B92" s="915"/>
      <c r="C92" s="915"/>
      <c r="D92" s="915"/>
      <c r="E92" s="915"/>
      <c r="F92" s="915"/>
      <c r="G92" s="957"/>
      <c r="H92" s="915"/>
      <c r="I92" s="915"/>
      <c r="J92" s="915"/>
      <c r="K92" s="915"/>
      <c r="L92" s="915"/>
      <c r="M92" s="915"/>
      <c r="N92" s="915"/>
      <c r="O92" s="915"/>
      <c r="P92" s="915"/>
      <c r="Q92" s="915"/>
      <c r="R92" s="915"/>
      <c r="S92" s="915"/>
      <c r="T92" s="915"/>
      <c r="U92" s="915"/>
    </row>
    <row r="93" spans="1:31" ht="30" customHeight="1" thickBot="1" x14ac:dyDescent="0.3">
      <c r="A93" s="396"/>
      <c r="B93" s="915"/>
      <c r="C93" s="923" t="s">
        <v>1383</v>
      </c>
      <c r="D93" s="1949" t="s">
        <v>1522</v>
      </c>
      <c r="E93" s="1950"/>
      <c r="F93" s="915"/>
      <c r="G93" s="957"/>
      <c r="H93" s="926" t="s">
        <v>1380</v>
      </c>
      <c r="I93" s="930"/>
      <c r="J93" s="926" t="s">
        <v>1381</v>
      </c>
      <c r="K93" s="930"/>
      <c r="L93" s="926" t="s">
        <v>1397</v>
      </c>
      <c r="M93" s="930"/>
      <c r="N93" s="926" t="s">
        <v>1382</v>
      </c>
      <c r="O93" s="930"/>
      <c r="P93" s="926" t="s">
        <v>1486</v>
      </c>
      <c r="Q93" s="930"/>
      <c r="R93" s="926" t="s">
        <v>1487</v>
      </c>
      <c r="S93" s="930"/>
      <c r="T93" s="926" t="s">
        <v>1488</v>
      </c>
      <c r="U93" s="915"/>
      <c r="AE93" s="1956" t="str">
        <f>IF(AND(H94="",T103="Yes"),"Please Update Incentive Period","")</f>
        <v/>
      </c>
    </row>
    <row r="94" spans="1:31" ht="18" customHeight="1" thickBot="1" x14ac:dyDescent="0.3">
      <c r="A94" s="543"/>
      <c r="B94" s="915"/>
      <c r="C94" s="911"/>
      <c r="D94" s="911"/>
      <c r="E94" s="911"/>
      <c r="F94" s="915"/>
      <c r="G94" s="957"/>
      <c r="H94" s="871"/>
      <c r="I94" s="915"/>
      <c r="J94" s="916"/>
      <c r="K94" s="915"/>
      <c r="L94" s="916"/>
      <c r="M94" s="915"/>
      <c r="N94" s="956"/>
      <c r="O94" s="915"/>
      <c r="P94" s="872" t="s">
        <v>1489</v>
      </c>
      <c r="Q94" s="915"/>
      <c r="R94" s="872" t="s">
        <v>1490</v>
      </c>
      <c r="S94" s="915"/>
      <c r="T94" s="912" t="s">
        <v>648</v>
      </c>
      <c r="U94" s="915"/>
      <c r="AE94" s="1956"/>
    </row>
    <row r="95" spans="1:31" ht="30" customHeight="1" thickBot="1" x14ac:dyDescent="0.3">
      <c r="A95" s="543"/>
      <c r="B95" s="915"/>
      <c r="C95" s="926" t="s">
        <v>1491</v>
      </c>
      <c r="D95" s="1951">
        <v>5501</v>
      </c>
      <c r="E95" s="1952"/>
      <c r="F95" s="915"/>
      <c r="G95" s="957"/>
      <c r="H95" s="915"/>
      <c r="I95" s="915"/>
      <c r="J95" s="915"/>
      <c r="K95" s="915"/>
      <c r="L95" s="915"/>
      <c r="M95" s="915"/>
      <c r="N95" s="915"/>
      <c r="O95" s="915"/>
      <c r="P95" s="915"/>
      <c r="Q95" s="915"/>
      <c r="R95" s="915"/>
      <c r="S95" s="915"/>
      <c r="T95" s="915"/>
      <c r="U95" s="915"/>
    </row>
    <row r="96" spans="1:31" ht="18" customHeight="1" thickBot="1" x14ac:dyDescent="0.3">
      <c r="A96" s="543"/>
      <c r="B96" s="915"/>
      <c r="C96" s="918"/>
      <c r="D96" s="911"/>
      <c r="E96" s="911"/>
      <c r="F96" s="915"/>
      <c r="G96" s="957"/>
      <c r="H96" s="927" t="s">
        <v>1387</v>
      </c>
      <c r="I96" s="930"/>
      <c r="J96" s="926" t="s">
        <v>1388</v>
      </c>
      <c r="K96" s="930"/>
      <c r="L96" s="926" t="s">
        <v>1389</v>
      </c>
      <c r="M96" s="930"/>
      <c r="N96" s="926" t="s">
        <v>1501</v>
      </c>
      <c r="O96" s="930"/>
      <c r="P96" s="926" t="s">
        <v>1502</v>
      </c>
      <c r="Q96" s="930"/>
      <c r="R96" s="930"/>
      <c r="S96" s="930"/>
      <c r="T96" s="926" t="s">
        <v>1524</v>
      </c>
      <c r="U96" s="915"/>
    </row>
    <row r="97" spans="1:31" ht="18" customHeight="1" thickBot="1" x14ac:dyDescent="0.3">
      <c r="A97" s="543"/>
      <c r="B97" s="915"/>
      <c r="C97" s="923" t="s">
        <v>1385</v>
      </c>
      <c r="D97" s="1953" t="str">
        <f>AA9</f>
        <v/>
      </c>
      <c r="E97" s="1954"/>
      <c r="F97" s="915"/>
      <c r="G97" s="957" t="s">
        <v>997</v>
      </c>
      <c r="H97" s="891"/>
      <c r="I97" s="915"/>
      <c r="J97" s="920"/>
      <c r="K97" s="915"/>
      <c r="L97" s="919"/>
      <c r="M97" s="915"/>
      <c r="N97" s="886" t="s">
        <v>479</v>
      </c>
      <c r="O97" s="915"/>
      <c r="P97" s="886" t="s">
        <v>1504</v>
      </c>
      <c r="Q97" s="915"/>
      <c r="R97" s="915"/>
      <c r="S97" s="915"/>
      <c r="T97" s="886" t="s">
        <v>459</v>
      </c>
      <c r="U97" s="915"/>
    </row>
    <row r="98" spans="1:31" ht="18" customHeight="1" thickBot="1" x14ac:dyDescent="0.3">
      <c r="A98" s="543"/>
      <c r="B98" s="915"/>
      <c r="C98" s="918"/>
      <c r="D98" s="911"/>
      <c r="E98" s="911"/>
      <c r="F98" s="915"/>
      <c r="G98" s="957"/>
      <c r="H98" s="915"/>
      <c r="I98" s="915"/>
      <c r="J98" s="915"/>
      <c r="K98" s="915"/>
      <c r="L98" s="915"/>
      <c r="M98" s="915"/>
      <c r="N98" s="915"/>
      <c r="O98" s="915"/>
      <c r="P98" s="915"/>
      <c r="Q98" s="915"/>
      <c r="R98" s="915"/>
      <c r="S98" s="915"/>
      <c r="T98" s="915"/>
      <c r="U98" s="915"/>
    </row>
    <row r="99" spans="1:31" ht="30" customHeight="1" thickBot="1" x14ac:dyDescent="0.3">
      <c r="A99" s="543"/>
      <c r="B99" s="915"/>
      <c r="C99" s="923" t="s">
        <v>1386</v>
      </c>
      <c r="D99" s="1953" t="str">
        <f>AB9</f>
        <v/>
      </c>
      <c r="E99" s="1954"/>
      <c r="F99" s="915"/>
      <c r="G99" s="957"/>
      <c r="H99" s="925" t="s">
        <v>1492</v>
      </c>
      <c r="I99" s="930"/>
      <c r="J99" s="926" t="s">
        <v>1506</v>
      </c>
      <c r="K99" s="930"/>
      <c r="L99" s="926" t="s">
        <v>1493</v>
      </c>
      <c r="M99" s="915"/>
      <c r="N99" s="915"/>
      <c r="O99" s="915"/>
      <c r="P99" s="915"/>
      <c r="Q99" s="915"/>
      <c r="R99" s="915"/>
      <c r="S99" s="915"/>
      <c r="T99" s="997" t="s">
        <v>1599</v>
      </c>
      <c r="U99" s="915"/>
    </row>
    <row r="100" spans="1:31" ht="18" customHeight="1" thickBot="1" x14ac:dyDescent="0.3">
      <c r="A100" s="543"/>
      <c r="B100" s="915"/>
      <c r="C100" s="918"/>
      <c r="D100" s="911"/>
      <c r="E100" s="911"/>
      <c r="F100" s="915"/>
      <c r="G100" s="957"/>
      <c r="H100" s="912" t="s">
        <v>646</v>
      </c>
      <c r="I100" s="915"/>
      <c r="J100" s="872" t="s">
        <v>1494</v>
      </c>
      <c r="K100" s="915"/>
      <c r="L100" s="886" t="s">
        <v>1494</v>
      </c>
      <c r="M100" s="915"/>
      <c r="N100" s="915"/>
      <c r="O100" s="915"/>
      <c r="P100" s="915"/>
      <c r="Q100" s="915"/>
      <c r="R100" s="915"/>
      <c r="S100" s="915"/>
      <c r="T100" s="998" t="s">
        <v>646</v>
      </c>
      <c r="U100" s="915"/>
    </row>
    <row r="101" spans="1:31" ht="30" customHeight="1" thickBot="1" x14ac:dyDescent="0.3">
      <c r="A101" s="543"/>
      <c r="B101" s="915"/>
      <c r="C101" s="924" t="s">
        <v>1495</v>
      </c>
      <c r="D101" s="1969" t="s">
        <v>646</v>
      </c>
      <c r="E101" s="1944"/>
      <c r="F101" s="915"/>
      <c r="G101" s="957"/>
      <c r="H101" s="915"/>
      <c r="I101" s="915"/>
      <c r="J101" s="915"/>
      <c r="K101" s="915"/>
      <c r="L101" s="915"/>
      <c r="M101" s="915"/>
      <c r="N101" s="915"/>
      <c r="O101" s="915"/>
      <c r="P101" s="915"/>
      <c r="Q101" s="915"/>
      <c r="R101" s="915"/>
      <c r="S101" s="915"/>
      <c r="T101" s="915"/>
      <c r="U101" s="915"/>
    </row>
    <row r="102" spans="1:31" ht="18" customHeight="1" thickBot="1" x14ac:dyDescent="0.3">
      <c r="A102" s="543"/>
      <c r="B102" s="915"/>
      <c r="C102" s="918"/>
      <c r="D102" s="911"/>
      <c r="E102" s="911"/>
      <c r="F102" s="915"/>
      <c r="G102" s="957"/>
      <c r="H102" s="915"/>
      <c r="I102" s="915"/>
      <c r="J102" s="915"/>
      <c r="K102" s="915"/>
      <c r="L102" s="915"/>
      <c r="M102" s="915"/>
      <c r="N102" s="915"/>
      <c r="O102" s="915"/>
      <c r="P102" s="915"/>
      <c r="Q102" s="915"/>
      <c r="R102" s="716" t="s">
        <v>2102</v>
      </c>
      <c r="S102" s="915"/>
      <c r="T102" s="926" t="s">
        <v>523</v>
      </c>
      <c r="U102" s="915"/>
    </row>
    <row r="103" spans="1:31" ht="18" customHeight="1" thickBot="1" x14ac:dyDescent="0.3">
      <c r="A103" s="543"/>
      <c r="B103" s="915"/>
      <c r="C103" s="923" t="s">
        <v>1496</v>
      </c>
      <c r="D103" s="1951" t="s">
        <v>1525</v>
      </c>
      <c r="E103" s="1936"/>
      <c r="F103" s="915"/>
      <c r="G103" s="957"/>
      <c r="H103" s="915"/>
      <c r="I103" s="915"/>
      <c r="J103" s="915"/>
      <c r="K103" s="915"/>
      <c r="L103" s="915"/>
      <c r="M103" s="915"/>
      <c r="N103" s="915"/>
      <c r="O103" s="915"/>
      <c r="P103" s="915"/>
      <c r="Q103" s="915"/>
      <c r="R103" s="1550" t="s">
        <v>648</v>
      </c>
      <c r="S103" s="915"/>
      <c r="T103" s="954" t="str">
        <f>IF(Z9&lt;&gt;"","Yes","No")</f>
        <v>No</v>
      </c>
      <c r="U103" s="915"/>
    </row>
    <row r="104" spans="1:31" ht="20.25" customHeight="1" thickBot="1" x14ac:dyDescent="0.3">
      <c r="A104" s="543"/>
      <c r="B104" s="915"/>
      <c r="C104" s="915"/>
      <c r="D104" s="915"/>
      <c r="E104" s="915"/>
      <c r="F104" s="915"/>
      <c r="G104" s="957"/>
      <c r="H104" s="915"/>
      <c r="I104" s="915"/>
      <c r="J104" s="915"/>
      <c r="K104" s="915"/>
      <c r="L104" s="915"/>
      <c r="M104" s="915"/>
      <c r="N104" s="915"/>
      <c r="O104" s="915"/>
      <c r="P104" s="915"/>
      <c r="Q104" s="915"/>
      <c r="R104" s="915"/>
      <c r="S104" s="915"/>
      <c r="T104" s="915"/>
      <c r="U104" s="915"/>
    </row>
    <row r="105" spans="1:31" ht="20.25" customHeight="1" thickBot="1" x14ac:dyDescent="0.3">
      <c r="A105" s="543"/>
      <c r="B105" s="1948" t="s">
        <v>1526</v>
      </c>
      <c r="C105" s="1935"/>
      <c r="D105" s="1935"/>
      <c r="E105" s="1935"/>
      <c r="F105" s="1935"/>
      <c r="G105" s="1935"/>
      <c r="H105" s="1935"/>
      <c r="I105" s="1935"/>
      <c r="J105" s="1935"/>
      <c r="K105" s="1935"/>
      <c r="L105" s="1935"/>
      <c r="M105" s="1935"/>
      <c r="N105" s="1935"/>
      <c r="O105" s="1935"/>
      <c r="P105" s="1935"/>
      <c r="Q105" s="1935"/>
      <c r="R105" s="1935"/>
      <c r="S105" s="1935"/>
      <c r="T105" s="1935"/>
      <c r="U105" s="1936"/>
    </row>
    <row r="106" spans="1:31" ht="18" customHeight="1" thickBot="1" x14ac:dyDescent="0.3">
      <c r="A106" s="543"/>
      <c r="B106" s="915"/>
      <c r="C106" s="915"/>
      <c r="D106" s="915"/>
      <c r="E106" s="915"/>
      <c r="F106" s="915"/>
      <c r="G106" s="957"/>
      <c r="H106" s="915"/>
      <c r="I106" s="915"/>
      <c r="J106" s="915"/>
      <c r="K106" s="915"/>
      <c r="L106" s="915"/>
      <c r="M106" s="915"/>
      <c r="N106" s="915"/>
      <c r="O106" s="915"/>
      <c r="P106" s="915"/>
      <c r="Q106" s="915"/>
      <c r="R106" s="915"/>
      <c r="S106" s="915"/>
      <c r="T106" s="915"/>
      <c r="U106" s="915"/>
    </row>
    <row r="107" spans="1:31" ht="30" customHeight="1" thickBot="1" x14ac:dyDescent="0.3">
      <c r="A107" s="396"/>
      <c r="B107" s="915"/>
      <c r="C107" s="923" t="s">
        <v>1383</v>
      </c>
      <c r="D107" s="1949" t="s">
        <v>1522</v>
      </c>
      <c r="E107" s="1950"/>
      <c r="F107" s="915"/>
      <c r="G107" s="957"/>
      <c r="H107" s="926" t="s">
        <v>1380</v>
      </c>
      <c r="I107" s="930"/>
      <c r="J107" s="926" t="s">
        <v>1381</v>
      </c>
      <c r="K107" s="930"/>
      <c r="L107" s="926" t="s">
        <v>1397</v>
      </c>
      <c r="M107" s="930"/>
      <c r="N107" s="926" t="s">
        <v>1382</v>
      </c>
      <c r="O107" s="930"/>
      <c r="P107" s="926" t="s">
        <v>1486</v>
      </c>
      <c r="Q107" s="930"/>
      <c r="R107" s="926" t="s">
        <v>1487</v>
      </c>
      <c r="S107" s="930"/>
      <c r="T107" s="926" t="s">
        <v>1488</v>
      </c>
      <c r="U107" s="915"/>
      <c r="AE107" s="1956" t="str">
        <f>IF(AND(H108="",T117="Yes"),"Please Update Incentive Period","")</f>
        <v/>
      </c>
    </row>
    <row r="108" spans="1:31" ht="15.75" thickBot="1" x14ac:dyDescent="0.3">
      <c r="A108" s="543"/>
      <c r="B108" s="915"/>
      <c r="C108" s="918"/>
      <c r="D108" s="911"/>
      <c r="E108" s="911"/>
      <c r="F108" s="915"/>
      <c r="G108" s="957"/>
      <c r="H108" s="871"/>
      <c r="I108" s="915"/>
      <c r="J108" s="916"/>
      <c r="K108" s="915"/>
      <c r="L108" s="916"/>
      <c r="M108" s="915"/>
      <c r="N108" s="956"/>
      <c r="O108" s="915"/>
      <c r="P108" s="872" t="s">
        <v>1489</v>
      </c>
      <c r="Q108" s="915"/>
      <c r="R108" s="872" t="s">
        <v>1490</v>
      </c>
      <c r="S108" s="915"/>
      <c r="T108" s="912" t="s">
        <v>648</v>
      </c>
      <c r="U108" s="915"/>
      <c r="AE108" s="1956"/>
    </row>
    <row r="109" spans="1:31" ht="30.75" thickBot="1" x14ac:dyDescent="0.3">
      <c r="A109" s="543"/>
      <c r="B109" s="915"/>
      <c r="C109" s="926" t="s">
        <v>1491</v>
      </c>
      <c r="D109" s="1951">
        <v>5502</v>
      </c>
      <c r="E109" s="1952"/>
      <c r="F109" s="915"/>
      <c r="G109" s="957"/>
      <c r="H109" s="915"/>
      <c r="I109" s="915"/>
      <c r="J109" s="915"/>
      <c r="K109" s="915"/>
      <c r="L109" s="915"/>
      <c r="M109" s="915"/>
      <c r="N109" s="915"/>
      <c r="O109" s="915"/>
      <c r="P109" s="915"/>
      <c r="Q109" s="915"/>
      <c r="R109" s="915"/>
      <c r="S109" s="915"/>
      <c r="T109" s="915"/>
      <c r="U109" s="915"/>
    </row>
    <row r="110" spans="1:31" ht="15.75" thickBot="1" x14ac:dyDescent="0.3">
      <c r="A110" s="543"/>
      <c r="B110" s="915"/>
      <c r="C110" s="918"/>
      <c r="D110" s="911"/>
      <c r="E110" s="911"/>
      <c r="F110" s="915"/>
      <c r="G110" s="957"/>
      <c r="H110" s="927" t="s">
        <v>1387</v>
      </c>
      <c r="I110" s="930"/>
      <c r="J110" s="926" t="s">
        <v>1388</v>
      </c>
      <c r="K110" s="930"/>
      <c r="L110" s="926" t="s">
        <v>1389</v>
      </c>
      <c r="M110" s="930"/>
      <c r="N110" s="926" t="s">
        <v>1501</v>
      </c>
      <c r="O110" s="930"/>
      <c r="P110" s="926" t="s">
        <v>1502</v>
      </c>
      <c r="Q110" s="930"/>
      <c r="R110" s="930"/>
      <c r="S110" s="930"/>
      <c r="T110" s="926" t="s">
        <v>1524</v>
      </c>
      <c r="U110" s="915"/>
    </row>
    <row r="111" spans="1:31" ht="18" customHeight="1" thickBot="1" x14ac:dyDescent="0.3">
      <c r="A111" s="543"/>
      <c r="B111" s="915"/>
      <c r="C111" s="923" t="s">
        <v>1385</v>
      </c>
      <c r="D111" s="1953" t="str">
        <f>AA10</f>
        <v/>
      </c>
      <c r="E111" s="1954"/>
      <c r="F111" s="915"/>
      <c r="G111" s="957" t="s">
        <v>997</v>
      </c>
      <c r="H111" s="891"/>
      <c r="I111" s="930"/>
      <c r="J111" s="920"/>
      <c r="K111" s="930"/>
      <c r="L111" s="919"/>
      <c r="M111" s="930"/>
      <c r="N111" s="886" t="s">
        <v>479</v>
      </c>
      <c r="O111" s="930"/>
      <c r="P111" s="886" t="s">
        <v>1504</v>
      </c>
      <c r="Q111" s="930"/>
      <c r="R111" s="930"/>
      <c r="S111" s="930"/>
      <c r="T111" s="886" t="s">
        <v>459</v>
      </c>
      <c r="U111" s="915"/>
    </row>
    <row r="112" spans="1:31" ht="15.75" thickBot="1" x14ac:dyDescent="0.3">
      <c r="A112" s="543"/>
      <c r="B112" s="915"/>
      <c r="C112" s="918"/>
      <c r="D112" s="911"/>
      <c r="E112" s="911"/>
      <c r="F112" s="915"/>
      <c r="G112" s="957"/>
      <c r="H112" s="915"/>
      <c r="I112" s="915"/>
      <c r="J112" s="915"/>
      <c r="K112" s="915"/>
      <c r="L112" s="915"/>
      <c r="M112" s="915"/>
      <c r="N112" s="915"/>
      <c r="O112" s="915"/>
      <c r="P112" s="915"/>
      <c r="Q112" s="915"/>
      <c r="R112" s="915"/>
      <c r="S112" s="915"/>
      <c r="T112" s="915"/>
      <c r="U112" s="915"/>
    </row>
    <row r="113" spans="1:31" ht="30.75" thickBot="1" x14ac:dyDescent="0.3">
      <c r="A113" s="543"/>
      <c r="B113" s="915"/>
      <c r="C113" s="923" t="s">
        <v>1386</v>
      </c>
      <c r="D113" s="1953" t="str">
        <f>AB10</f>
        <v/>
      </c>
      <c r="E113" s="1954"/>
      <c r="F113" s="915"/>
      <c r="G113" s="957"/>
      <c r="H113" s="925" t="s">
        <v>1492</v>
      </c>
      <c r="I113" s="930"/>
      <c r="J113" s="926" t="s">
        <v>1506</v>
      </c>
      <c r="K113" s="930"/>
      <c r="L113" s="926" t="s">
        <v>1493</v>
      </c>
      <c r="M113" s="915"/>
      <c r="N113" s="915"/>
      <c r="O113" s="915"/>
      <c r="P113" s="915"/>
      <c r="Q113" s="915"/>
      <c r="R113" s="915"/>
      <c r="S113" s="915"/>
      <c r="T113" s="997" t="s">
        <v>1599</v>
      </c>
      <c r="U113" s="915"/>
    </row>
    <row r="114" spans="1:31" ht="15.75" thickBot="1" x14ac:dyDescent="0.3">
      <c r="A114" s="543"/>
      <c r="B114" s="915"/>
      <c r="C114" s="918"/>
      <c r="D114" s="911"/>
      <c r="E114" s="911"/>
      <c r="F114" s="915"/>
      <c r="G114" s="957"/>
      <c r="H114" s="912" t="s">
        <v>646</v>
      </c>
      <c r="I114" s="915"/>
      <c r="J114" s="872" t="s">
        <v>1494</v>
      </c>
      <c r="K114" s="915"/>
      <c r="L114" s="886" t="s">
        <v>1494</v>
      </c>
      <c r="M114" s="915"/>
      <c r="N114" s="915"/>
      <c r="O114" s="915"/>
      <c r="P114" s="915"/>
      <c r="Q114" s="915"/>
      <c r="R114" s="915"/>
      <c r="S114" s="915"/>
      <c r="T114" s="998" t="s">
        <v>646</v>
      </c>
      <c r="U114" s="915"/>
    </row>
    <row r="115" spans="1:31" ht="30" customHeight="1" thickBot="1" x14ac:dyDescent="0.3">
      <c r="A115" s="543"/>
      <c r="B115" s="915"/>
      <c r="C115" s="924" t="s">
        <v>1495</v>
      </c>
      <c r="D115" s="1943" t="s">
        <v>646</v>
      </c>
      <c r="E115" s="1944"/>
      <c r="F115" s="915"/>
      <c r="G115" s="957"/>
      <c r="H115" s="915"/>
      <c r="I115" s="915"/>
      <c r="J115" s="915"/>
      <c r="K115" s="915"/>
      <c r="L115" s="915"/>
      <c r="M115" s="915"/>
      <c r="N115" s="915"/>
      <c r="O115" s="915"/>
      <c r="P115" s="915"/>
      <c r="Q115" s="915"/>
      <c r="R115" s="915"/>
      <c r="S115" s="915"/>
      <c r="T115" s="915"/>
      <c r="U115" s="915"/>
    </row>
    <row r="116" spans="1:31" ht="15.75" thickBot="1" x14ac:dyDescent="0.3">
      <c r="A116" s="543"/>
      <c r="B116" s="915"/>
      <c r="C116" s="918"/>
      <c r="D116" s="911"/>
      <c r="E116" s="911"/>
      <c r="F116" s="915"/>
      <c r="G116" s="957"/>
      <c r="H116" s="915"/>
      <c r="I116" s="915"/>
      <c r="J116" s="915"/>
      <c r="K116" s="915"/>
      <c r="L116" s="915"/>
      <c r="M116" s="915"/>
      <c r="N116" s="915"/>
      <c r="O116" s="915"/>
      <c r="P116" s="915"/>
      <c r="Q116" s="915"/>
      <c r="R116" s="716" t="s">
        <v>2102</v>
      </c>
      <c r="S116" s="915"/>
      <c r="T116" s="926" t="s">
        <v>523</v>
      </c>
      <c r="U116" s="915"/>
    </row>
    <row r="117" spans="1:31" ht="15.75" thickBot="1" x14ac:dyDescent="0.3">
      <c r="A117" s="543"/>
      <c r="B117" s="915"/>
      <c r="C117" s="923" t="s">
        <v>1496</v>
      </c>
      <c r="D117" s="1951" t="s">
        <v>1525</v>
      </c>
      <c r="E117" s="1936"/>
      <c r="F117" s="915"/>
      <c r="G117" s="957"/>
      <c r="H117" s="915"/>
      <c r="I117" s="915"/>
      <c r="J117" s="915"/>
      <c r="K117" s="915"/>
      <c r="L117" s="915"/>
      <c r="M117" s="915"/>
      <c r="N117" s="915"/>
      <c r="O117" s="915"/>
      <c r="P117" s="915"/>
      <c r="Q117" s="915"/>
      <c r="R117" s="1550" t="s">
        <v>648</v>
      </c>
      <c r="S117" s="915"/>
      <c r="T117" s="954" t="str">
        <f>IF(Z10&lt;&gt;"","Yes","No")</f>
        <v>No</v>
      </c>
      <c r="U117" s="915"/>
    </row>
    <row r="118" spans="1:31" ht="15.75" thickBot="1" x14ac:dyDescent="0.3">
      <c r="A118" s="543"/>
      <c r="B118" s="915"/>
      <c r="C118" s="915"/>
      <c r="D118" s="915"/>
      <c r="E118" s="915"/>
      <c r="F118" s="915"/>
      <c r="G118" s="957"/>
      <c r="H118" s="915"/>
      <c r="I118" s="915"/>
      <c r="J118" s="915"/>
      <c r="K118" s="915"/>
      <c r="L118" s="915"/>
      <c r="M118" s="915"/>
      <c r="N118" s="915"/>
      <c r="O118" s="915"/>
      <c r="P118" s="915"/>
      <c r="Q118" s="915"/>
      <c r="R118" s="915"/>
      <c r="S118" s="915"/>
      <c r="T118" s="915"/>
      <c r="U118" s="915"/>
    </row>
    <row r="119" spans="1:31" ht="20.25" customHeight="1" thickBot="1" x14ac:dyDescent="0.3">
      <c r="A119" s="543"/>
      <c r="B119" s="1948" t="s">
        <v>1527</v>
      </c>
      <c r="C119" s="1935"/>
      <c r="D119" s="1935"/>
      <c r="E119" s="1935"/>
      <c r="F119" s="1935"/>
      <c r="G119" s="1935"/>
      <c r="H119" s="1935"/>
      <c r="I119" s="1935"/>
      <c r="J119" s="1935"/>
      <c r="K119" s="1935"/>
      <c r="L119" s="1935"/>
      <c r="M119" s="1935"/>
      <c r="N119" s="1935"/>
      <c r="O119" s="1935"/>
      <c r="P119" s="1935"/>
      <c r="Q119" s="1935"/>
      <c r="R119" s="1935"/>
      <c r="S119" s="1935"/>
      <c r="T119" s="1935"/>
      <c r="U119" s="1936"/>
    </row>
    <row r="120" spans="1:31" ht="15.75" thickBot="1" x14ac:dyDescent="0.3">
      <c r="A120" s="543"/>
      <c r="B120" s="915"/>
      <c r="C120" s="915"/>
      <c r="D120" s="915"/>
      <c r="E120" s="915"/>
      <c r="F120" s="915"/>
      <c r="G120" s="957"/>
      <c r="H120" s="915"/>
      <c r="I120" s="915"/>
      <c r="J120" s="915"/>
      <c r="K120" s="915"/>
      <c r="L120" s="915"/>
      <c r="M120" s="915"/>
      <c r="N120" s="915"/>
      <c r="O120" s="915"/>
      <c r="P120" s="915"/>
      <c r="Q120" s="915"/>
      <c r="R120" s="915"/>
      <c r="S120" s="915"/>
      <c r="T120" s="915"/>
      <c r="U120" s="915"/>
    </row>
    <row r="121" spans="1:31" ht="30.75" thickBot="1" x14ac:dyDescent="0.3">
      <c r="A121" s="396"/>
      <c r="B121" s="915"/>
      <c r="C121" s="923" t="s">
        <v>1383</v>
      </c>
      <c r="D121" s="1949" t="s">
        <v>1523</v>
      </c>
      <c r="E121" s="1950"/>
      <c r="F121" s="915"/>
      <c r="G121" s="957"/>
      <c r="H121" s="926" t="s">
        <v>1380</v>
      </c>
      <c r="I121" s="930"/>
      <c r="J121" s="926" t="s">
        <v>1381</v>
      </c>
      <c r="K121" s="930"/>
      <c r="L121" s="926" t="s">
        <v>1397</v>
      </c>
      <c r="M121" s="930"/>
      <c r="N121" s="926" t="s">
        <v>1382</v>
      </c>
      <c r="O121" s="930"/>
      <c r="P121" s="926" t="s">
        <v>1486</v>
      </c>
      <c r="Q121" s="930"/>
      <c r="R121" s="926" t="s">
        <v>1487</v>
      </c>
      <c r="S121" s="930"/>
      <c r="T121" s="926" t="s">
        <v>1488</v>
      </c>
      <c r="U121" s="915"/>
      <c r="AE121" s="1956" t="str">
        <f>IF(AND(H122="",T132="Yes"),"Please Update Incentive Period","")</f>
        <v/>
      </c>
    </row>
    <row r="122" spans="1:31" ht="15.75" thickBot="1" x14ac:dyDescent="0.3">
      <c r="A122" s="543"/>
      <c r="B122" s="915"/>
      <c r="C122" s="918"/>
      <c r="D122" s="911"/>
      <c r="E122" s="911"/>
      <c r="F122" s="915"/>
      <c r="G122" s="957"/>
      <c r="H122" s="871"/>
      <c r="I122" s="915"/>
      <c r="J122" s="916"/>
      <c r="K122" s="915"/>
      <c r="L122" s="916"/>
      <c r="M122" s="915"/>
      <c r="N122" s="956"/>
      <c r="O122" s="915"/>
      <c r="P122" s="872" t="s">
        <v>1489</v>
      </c>
      <c r="Q122" s="915"/>
      <c r="R122" s="872" t="s">
        <v>1490</v>
      </c>
      <c r="S122" s="915"/>
      <c r="T122" s="912" t="s">
        <v>648</v>
      </c>
      <c r="U122" s="915"/>
      <c r="AE122" s="1956"/>
    </row>
    <row r="123" spans="1:31" ht="30.75" thickBot="1" x14ac:dyDescent="0.3">
      <c r="A123" s="543"/>
      <c r="B123" s="915"/>
      <c r="C123" s="926" t="s">
        <v>1491</v>
      </c>
      <c r="D123" s="1951">
        <v>2801</v>
      </c>
      <c r="E123" s="1952"/>
      <c r="F123" s="915"/>
      <c r="G123" s="957"/>
      <c r="H123" s="915"/>
      <c r="I123" s="915"/>
      <c r="J123" s="915"/>
      <c r="K123" s="915"/>
      <c r="L123" s="915"/>
      <c r="M123" s="915"/>
      <c r="N123" s="915"/>
      <c r="O123" s="915"/>
      <c r="P123" s="915"/>
      <c r="Q123" s="915"/>
      <c r="R123" s="915"/>
      <c r="S123" s="915"/>
      <c r="T123" s="915"/>
      <c r="U123" s="915"/>
    </row>
    <row r="124" spans="1:31" ht="18" customHeight="1" thickBot="1" x14ac:dyDescent="0.3">
      <c r="A124" s="543"/>
      <c r="B124" s="915"/>
      <c r="C124" s="911"/>
      <c r="D124" s="911"/>
      <c r="E124" s="911"/>
      <c r="F124" s="915"/>
      <c r="G124" s="957"/>
      <c r="H124" s="927" t="s">
        <v>1387</v>
      </c>
      <c r="I124" s="930"/>
      <c r="J124" s="926" t="s">
        <v>1388</v>
      </c>
      <c r="K124" s="930"/>
      <c r="L124" s="926" t="s">
        <v>1389</v>
      </c>
      <c r="M124" s="930"/>
      <c r="N124" s="926" t="s">
        <v>1501</v>
      </c>
      <c r="O124" s="930"/>
      <c r="P124" s="926" t="s">
        <v>1502</v>
      </c>
      <c r="Q124" s="930"/>
      <c r="R124" s="930"/>
      <c r="S124" s="930"/>
      <c r="T124" s="926" t="s">
        <v>1524</v>
      </c>
      <c r="U124" s="915"/>
    </row>
    <row r="125" spans="1:31" ht="18" customHeight="1" thickBot="1" x14ac:dyDescent="0.3">
      <c r="A125" s="543"/>
      <c r="B125" s="915"/>
      <c r="C125" s="923" t="s">
        <v>1385</v>
      </c>
      <c r="D125" s="1953" t="str">
        <f>AA11</f>
        <v/>
      </c>
      <c r="E125" s="1954"/>
      <c r="F125" s="915"/>
      <c r="G125" s="957" t="s">
        <v>997</v>
      </c>
      <c r="H125" s="891"/>
      <c r="I125" s="915"/>
      <c r="J125" s="891"/>
      <c r="K125" s="915"/>
      <c r="L125" s="891"/>
      <c r="M125" s="915"/>
      <c r="N125" s="886" t="s">
        <v>479</v>
      </c>
      <c r="O125" s="915"/>
      <c r="P125" s="886" t="s">
        <v>1504</v>
      </c>
      <c r="Q125" s="915"/>
      <c r="R125" s="915"/>
      <c r="S125" s="915"/>
      <c r="T125" s="886" t="s">
        <v>459</v>
      </c>
      <c r="U125" s="915"/>
    </row>
    <row r="126" spans="1:31" ht="15.75" thickBot="1" x14ac:dyDescent="0.3">
      <c r="A126" s="543"/>
      <c r="B126" s="915"/>
      <c r="C126" s="918"/>
      <c r="D126" s="911"/>
      <c r="E126" s="911"/>
      <c r="F126" s="915"/>
      <c r="G126" s="957" t="s">
        <v>1390</v>
      </c>
      <c r="H126" s="891"/>
      <c r="I126" s="915"/>
      <c r="J126" s="920"/>
      <c r="K126" s="915"/>
      <c r="L126" s="891"/>
      <c r="M126" s="915"/>
      <c r="N126" s="886" t="s">
        <v>479</v>
      </c>
      <c r="O126" s="915"/>
      <c r="P126" s="886" t="s">
        <v>1504</v>
      </c>
      <c r="Q126" s="915"/>
      <c r="R126" s="915"/>
      <c r="S126" s="915"/>
      <c r="T126" s="915"/>
      <c r="U126" s="915"/>
    </row>
    <row r="127" spans="1:31" ht="15.75" thickBot="1" x14ac:dyDescent="0.3">
      <c r="A127" s="543"/>
      <c r="B127" s="915"/>
      <c r="C127" s="923" t="s">
        <v>1386</v>
      </c>
      <c r="D127" s="1953" t="str">
        <f>AB11</f>
        <v/>
      </c>
      <c r="E127" s="1954"/>
      <c r="F127" s="915"/>
      <c r="G127" s="957" t="s">
        <v>1391</v>
      </c>
      <c r="H127" s="891"/>
      <c r="I127" s="915"/>
      <c r="J127" s="921"/>
      <c r="K127" s="915"/>
      <c r="L127" s="891"/>
      <c r="M127" s="915"/>
      <c r="N127" s="886" t="s">
        <v>479</v>
      </c>
      <c r="O127" s="915"/>
      <c r="P127" s="886" t="s">
        <v>1504</v>
      </c>
      <c r="Q127" s="915"/>
      <c r="R127" s="915"/>
      <c r="S127" s="915"/>
      <c r="T127" s="997" t="s">
        <v>1599</v>
      </c>
      <c r="U127" s="915"/>
    </row>
    <row r="128" spans="1:31" x14ac:dyDescent="0.25">
      <c r="A128" s="543"/>
      <c r="B128" s="915"/>
      <c r="C128" s="918"/>
      <c r="D128" s="911"/>
      <c r="E128" s="911"/>
      <c r="F128" s="915"/>
      <c r="G128" s="957" t="s">
        <v>1393</v>
      </c>
      <c r="H128" s="891"/>
      <c r="I128" s="915"/>
      <c r="J128" s="921"/>
      <c r="K128" s="915"/>
      <c r="L128" s="891"/>
      <c r="M128" s="915"/>
      <c r="N128" s="886" t="s">
        <v>479</v>
      </c>
      <c r="O128" s="915"/>
      <c r="P128" s="886" t="s">
        <v>1504</v>
      </c>
      <c r="Q128" s="915"/>
      <c r="R128" s="915"/>
      <c r="S128" s="915"/>
      <c r="T128" s="998" t="s">
        <v>646</v>
      </c>
      <c r="U128" s="915"/>
    </row>
    <row r="129" spans="1:31" x14ac:dyDescent="0.25">
      <c r="A129" s="543"/>
      <c r="B129" s="915"/>
      <c r="C129" s="918"/>
      <c r="D129" s="911"/>
      <c r="E129" s="911"/>
      <c r="F129" s="915"/>
      <c r="G129" s="957" t="s">
        <v>1395</v>
      </c>
      <c r="H129" s="891"/>
      <c r="I129" s="915"/>
      <c r="J129" s="921"/>
      <c r="K129" s="915"/>
      <c r="L129" s="891"/>
      <c r="M129" s="915"/>
      <c r="N129" s="886" t="s">
        <v>479</v>
      </c>
      <c r="O129" s="915"/>
      <c r="P129" s="886" t="s">
        <v>1504</v>
      </c>
      <c r="Q129" s="915"/>
      <c r="R129" s="915"/>
      <c r="S129" s="915"/>
      <c r="T129" s="915"/>
      <c r="U129" s="915"/>
    </row>
    <row r="130" spans="1:31" ht="15.75" thickBot="1" x14ac:dyDescent="0.3">
      <c r="A130" s="543"/>
      <c r="B130" s="915"/>
      <c r="C130" s="918"/>
      <c r="D130" s="911"/>
      <c r="E130" s="911"/>
      <c r="F130" s="915"/>
      <c r="G130" s="957"/>
      <c r="H130" s="915"/>
      <c r="I130" s="915"/>
      <c r="J130" s="915"/>
      <c r="K130" s="915"/>
      <c r="L130" s="915"/>
      <c r="M130" s="915"/>
      <c r="N130" s="915"/>
      <c r="O130" s="915"/>
      <c r="P130" s="915"/>
      <c r="Q130" s="915"/>
      <c r="R130" s="915"/>
      <c r="S130" s="915"/>
      <c r="T130" s="915"/>
      <c r="U130" s="915"/>
    </row>
    <row r="131" spans="1:31" ht="30.75" thickBot="1" x14ac:dyDescent="0.3">
      <c r="A131" s="543"/>
      <c r="B131" s="915"/>
      <c r="C131" s="924" t="s">
        <v>1495</v>
      </c>
      <c r="D131" s="1943" t="s">
        <v>646</v>
      </c>
      <c r="E131" s="1944"/>
      <c r="F131" s="915"/>
      <c r="G131" s="957"/>
      <c r="H131" s="925" t="s">
        <v>1492</v>
      </c>
      <c r="I131" s="930"/>
      <c r="J131" s="926" t="s">
        <v>1506</v>
      </c>
      <c r="K131" s="930"/>
      <c r="L131" s="926" t="s">
        <v>1493</v>
      </c>
      <c r="M131" s="915"/>
      <c r="N131" s="915"/>
      <c r="O131" s="915"/>
      <c r="P131" s="915"/>
      <c r="Q131" s="915"/>
      <c r="R131" s="716" t="s">
        <v>2102</v>
      </c>
      <c r="S131" s="915"/>
      <c r="T131" s="926" t="s">
        <v>523</v>
      </c>
      <c r="U131" s="915"/>
    </row>
    <row r="132" spans="1:31" ht="15.75" thickBot="1" x14ac:dyDescent="0.3">
      <c r="A132" s="543"/>
      <c r="B132" s="915"/>
      <c r="C132" s="918"/>
      <c r="D132" s="911"/>
      <c r="E132" s="911"/>
      <c r="F132" s="915"/>
      <c r="G132" s="957"/>
      <c r="H132" s="912" t="s">
        <v>646</v>
      </c>
      <c r="I132" s="915"/>
      <c r="J132" s="872" t="s">
        <v>1494</v>
      </c>
      <c r="K132" s="915"/>
      <c r="L132" s="886" t="s">
        <v>1494</v>
      </c>
      <c r="M132" s="915"/>
      <c r="N132" s="915"/>
      <c r="O132" s="915"/>
      <c r="P132" s="915"/>
      <c r="Q132" s="915"/>
      <c r="R132" s="1550" t="s">
        <v>648</v>
      </c>
      <c r="S132" s="915"/>
      <c r="T132" s="954" t="str">
        <f>IF(Z11&lt;&gt;"","Yes","No")</f>
        <v>No</v>
      </c>
      <c r="U132" s="915"/>
    </row>
    <row r="133" spans="1:31" ht="15.75" thickBot="1" x14ac:dyDescent="0.3">
      <c r="A133" s="543"/>
      <c r="B133" s="915"/>
      <c r="C133" s="923" t="s">
        <v>1496</v>
      </c>
      <c r="D133" s="1951" t="s">
        <v>1525</v>
      </c>
      <c r="E133" s="1936"/>
      <c r="F133" s="915"/>
      <c r="G133" s="957"/>
      <c r="H133" s="915"/>
      <c r="I133" s="915"/>
      <c r="J133" s="915"/>
      <c r="K133" s="915"/>
      <c r="L133" s="915"/>
      <c r="M133" s="915"/>
      <c r="N133" s="915"/>
      <c r="O133" s="915"/>
      <c r="P133" s="915"/>
      <c r="Q133" s="915"/>
      <c r="R133" s="915"/>
      <c r="S133" s="915"/>
      <c r="T133" s="915"/>
      <c r="U133" s="915"/>
    </row>
    <row r="134" spans="1:31" ht="15.75" thickBot="1" x14ac:dyDescent="0.3">
      <c r="A134" s="543"/>
      <c r="B134" s="915"/>
      <c r="C134" s="915"/>
      <c r="D134" s="915"/>
      <c r="E134" s="915"/>
      <c r="F134" s="915"/>
      <c r="G134" s="957"/>
      <c r="H134" s="915"/>
      <c r="I134" s="915"/>
      <c r="J134" s="915"/>
      <c r="K134" s="915"/>
      <c r="L134" s="915"/>
      <c r="M134" s="915"/>
      <c r="N134" s="915"/>
      <c r="O134" s="915"/>
      <c r="P134" s="915"/>
      <c r="Q134" s="915"/>
      <c r="R134" s="915"/>
      <c r="S134" s="915"/>
      <c r="T134" s="915"/>
      <c r="U134" s="915"/>
    </row>
    <row r="135" spans="1:31" ht="20.25" customHeight="1" thickBot="1" x14ac:dyDescent="0.3">
      <c r="A135" s="543"/>
      <c r="B135" s="1948" t="s">
        <v>1528</v>
      </c>
      <c r="C135" s="1935"/>
      <c r="D135" s="1935"/>
      <c r="E135" s="1935"/>
      <c r="F135" s="1935"/>
      <c r="G135" s="1935"/>
      <c r="H135" s="1935"/>
      <c r="I135" s="1935"/>
      <c r="J135" s="1935"/>
      <c r="K135" s="1935"/>
      <c r="L135" s="1935"/>
      <c r="M135" s="1935"/>
      <c r="N135" s="1935"/>
      <c r="O135" s="1935"/>
      <c r="P135" s="1935"/>
      <c r="Q135" s="1935"/>
      <c r="R135" s="1935"/>
      <c r="S135" s="1935"/>
      <c r="T135" s="1935"/>
      <c r="U135" s="1936"/>
    </row>
    <row r="136" spans="1:31" ht="15.75" thickBot="1" x14ac:dyDescent="0.3">
      <c r="A136" s="543"/>
      <c r="B136" s="915"/>
      <c r="C136" s="915"/>
      <c r="D136" s="915"/>
      <c r="E136" s="915"/>
      <c r="F136" s="915"/>
      <c r="G136" s="957"/>
      <c r="H136" s="915"/>
      <c r="I136" s="915"/>
      <c r="J136" s="915"/>
      <c r="K136" s="915"/>
      <c r="L136" s="915"/>
      <c r="M136" s="915"/>
      <c r="N136" s="915"/>
      <c r="O136" s="915"/>
      <c r="P136" s="915"/>
      <c r="Q136" s="915"/>
      <c r="R136" s="915"/>
      <c r="S136" s="915"/>
      <c r="T136" s="915"/>
      <c r="U136" s="915"/>
    </row>
    <row r="137" spans="1:31" ht="30.75" thickBot="1" x14ac:dyDescent="0.3">
      <c r="A137" s="396"/>
      <c r="B137" s="915"/>
      <c r="C137" s="923" t="s">
        <v>1383</v>
      </c>
      <c r="D137" s="1949" t="s">
        <v>1523</v>
      </c>
      <c r="E137" s="1950"/>
      <c r="F137" s="915"/>
      <c r="G137" s="957"/>
      <c r="H137" s="926" t="s">
        <v>1380</v>
      </c>
      <c r="I137" s="930"/>
      <c r="J137" s="926" t="s">
        <v>1381</v>
      </c>
      <c r="K137" s="930"/>
      <c r="L137" s="926" t="s">
        <v>1397</v>
      </c>
      <c r="M137" s="930"/>
      <c r="N137" s="926" t="s">
        <v>1382</v>
      </c>
      <c r="O137" s="930"/>
      <c r="P137" s="926" t="s">
        <v>1486</v>
      </c>
      <c r="Q137" s="930"/>
      <c r="R137" s="926" t="s">
        <v>1487</v>
      </c>
      <c r="S137" s="930"/>
      <c r="T137" s="926" t="s">
        <v>1488</v>
      </c>
      <c r="U137" s="915"/>
      <c r="AE137" s="1956" t="str">
        <f>IF(AND(H138="",T148="Yes"),"Please Update Incentive Period","")</f>
        <v/>
      </c>
    </row>
    <row r="138" spans="1:31" ht="15.75" thickBot="1" x14ac:dyDescent="0.3">
      <c r="A138" s="543"/>
      <c r="B138" s="915"/>
      <c r="C138" s="918"/>
      <c r="D138" s="911"/>
      <c r="E138" s="911"/>
      <c r="F138" s="915"/>
      <c r="G138" s="957"/>
      <c r="H138" s="871"/>
      <c r="I138" s="915"/>
      <c r="J138" s="916"/>
      <c r="K138" s="915"/>
      <c r="L138" s="916"/>
      <c r="M138" s="915"/>
      <c r="N138" s="956"/>
      <c r="O138" s="915"/>
      <c r="P138" s="872" t="s">
        <v>1489</v>
      </c>
      <c r="Q138" s="915"/>
      <c r="R138" s="872" t="s">
        <v>1490</v>
      </c>
      <c r="S138" s="915"/>
      <c r="T138" s="912" t="s">
        <v>648</v>
      </c>
      <c r="U138" s="915"/>
      <c r="AE138" s="1956"/>
    </row>
    <row r="139" spans="1:31" ht="30.75" thickBot="1" x14ac:dyDescent="0.3">
      <c r="A139" s="543"/>
      <c r="B139" s="915"/>
      <c r="C139" s="926" t="s">
        <v>1491</v>
      </c>
      <c r="D139" s="1951">
        <v>2802</v>
      </c>
      <c r="E139" s="1952"/>
      <c r="F139" s="915"/>
      <c r="G139" s="957"/>
      <c r="H139" s="915"/>
      <c r="I139" s="915"/>
      <c r="J139" s="915"/>
      <c r="K139" s="915"/>
      <c r="L139" s="915"/>
      <c r="M139" s="915"/>
      <c r="N139" s="915"/>
      <c r="O139" s="915"/>
      <c r="P139" s="915"/>
      <c r="Q139" s="915"/>
      <c r="R139" s="915"/>
      <c r="S139" s="915"/>
      <c r="T139" s="915"/>
      <c r="U139" s="915"/>
    </row>
    <row r="140" spans="1:31" ht="15.75" thickBot="1" x14ac:dyDescent="0.3">
      <c r="A140" s="543"/>
      <c r="B140" s="915"/>
      <c r="C140" s="918"/>
      <c r="D140" s="911"/>
      <c r="E140" s="911"/>
      <c r="F140" s="915"/>
      <c r="G140" s="957"/>
      <c r="H140" s="927" t="s">
        <v>1387</v>
      </c>
      <c r="I140" s="930"/>
      <c r="J140" s="926" t="s">
        <v>1388</v>
      </c>
      <c r="K140" s="930"/>
      <c r="L140" s="926" t="s">
        <v>1389</v>
      </c>
      <c r="M140" s="930"/>
      <c r="N140" s="926" t="s">
        <v>1501</v>
      </c>
      <c r="O140" s="930"/>
      <c r="P140" s="926" t="s">
        <v>1502</v>
      </c>
      <c r="Q140" s="930"/>
      <c r="R140" s="930"/>
      <c r="S140" s="930"/>
      <c r="T140" s="926" t="s">
        <v>1524</v>
      </c>
      <c r="U140" s="915"/>
    </row>
    <row r="141" spans="1:31" ht="18" customHeight="1" thickBot="1" x14ac:dyDescent="0.3">
      <c r="A141" s="543"/>
      <c r="B141" s="915"/>
      <c r="C141" s="923" t="s">
        <v>1385</v>
      </c>
      <c r="D141" s="1953" t="str">
        <f>AA12</f>
        <v/>
      </c>
      <c r="E141" s="1954"/>
      <c r="F141" s="915"/>
      <c r="G141" s="957" t="s">
        <v>997</v>
      </c>
      <c r="H141" s="891"/>
      <c r="I141" s="930"/>
      <c r="J141" s="891"/>
      <c r="K141" s="930"/>
      <c r="L141" s="891"/>
      <c r="M141" s="930"/>
      <c r="N141" s="886" t="s">
        <v>479</v>
      </c>
      <c r="O141" s="930"/>
      <c r="P141" s="886" t="s">
        <v>1504</v>
      </c>
      <c r="Q141" s="930"/>
      <c r="R141" s="930"/>
      <c r="S141" s="930"/>
      <c r="T141" s="886" t="s">
        <v>459</v>
      </c>
      <c r="U141" s="915"/>
    </row>
    <row r="142" spans="1:31" ht="18" customHeight="1" thickBot="1" x14ac:dyDescent="0.3">
      <c r="A142" s="543"/>
      <c r="B142" s="915"/>
      <c r="C142" s="918"/>
      <c r="D142" s="911"/>
      <c r="E142" s="911"/>
      <c r="F142" s="915"/>
      <c r="G142" s="957" t="s">
        <v>1390</v>
      </c>
      <c r="H142" s="891"/>
      <c r="I142" s="930"/>
      <c r="J142" s="917"/>
      <c r="K142" s="930"/>
      <c r="L142" s="891"/>
      <c r="M142" s="930"/>
      <c r="N142" s="886" t="s">
        <v>479</v>
      </c>
      <c r="O142" s="930"/>
      <c r="P142" s="886" t="s">
        <v>1504</v>
      </c>
      <c r="Q142" s="930"/>
      <c r="R142" s="930"/>
      <c r="S142" s="930"/>
      <c r="T142" s="930"/>
      <c r="U142" s="915"/>
    </row>
    <row r="143" spans="1:31" ht="18" customHeight="1" thickBot="1" x14ac:dyDescent="0.3">
      <c r="A143" s="543"/>
      <c r="B143" s="915"/>
      <c r="C143" s="923" t="s">
        <v>1386</v>
      </c>
      <c r="D143" s="1953" t="str">
        <f>AB12</f>
        <v/>
      </c>
      <c r="E143" s="1954"/>
      <c r="F143" s="915"/>
      <c r="G143" s="957" t="s">
        <v>1391</v>
      </c>
      <c r="H143" s="891"/>
      <c r="I143" s="930"/>
      <c r="J143" s="920"/>
      <c r="K143" s="930"/>
      <c r="L143" s="891"/>
      <c r="M143" s="930"/>
      <c r="N143" s="886" t="s">
        <v>479</v>
      </c>
      <c r="O143" s="930"/>
      <c r="P143" s="886" t="s">
        <v>1504</v>
      </c>
      <c r="Q143" s="930"/>
      <c r="R143" s="930"/>
      <c r="S143" s="930"/>
      <c r="T143" s="997" t="s">
        <v>1599</v>
      </c>
      <c r="U143" s="915"/>
    </row>
    <row r="144" spans="1:31" ht="18" customHeight="1" x14ac:dyDescent="0.25">
      <c r="A144" s="543"/>
      <c r="B144" s="915"/>
      <c r="C144" s="918"/>
      <c r="D144" s="911"/>
      <c r="E144" s="911"/>
      <c r="F144" s="915"/>
      <c r="G144" s="957" t="s">
        <v>1393</v>
      </c>
      <c r="H144" s="891"/>
      <c r="I144" s="930"/>
      <c r="J144" s="921"/>
      <c r="K144" s="930"/>
      <c r="L144" s="891"/>
      <c r="M144" s="930"/>
      <c r="N144" s="886" t="s">
        <v>479</v>
      </c>
      <c r="O144" s="930"/>
      <c r="P144" s="886" t="s">
        <v>1504</v>
      </c>
      <c r="Q144" s="930"/>
      <c r="R144" s="930"/>
      <c r="S144" s="930"/>
      <c r="T144" s="998" t="s">
        <v>646</v>
      </c>
      <c r="U144" s="915"/>
    </row>
    <row r="145" spans="1:31" ht="18" customHeight="1" x14ac:dyDescent="0.25">
      <c r="A145" s="543"/>
      <c r="B145" s="915"/>
      <c r="C145" s="918"/>
      <c r="D145" s="911"/>
      <c r="E145" s="911"/>
      <c r="F145" s="915"/>
      <c r="G145" s="957" t="s">
        <v>1395</v>
      </c>
      <c r="H145" s="891"/>
      <c r="I145" s="930"/>
      <c r="J145" s="921"/>
      <c r="K145" s="930"/>
      <c r="L145" s="891"/>
      <c r="M145" s="930"/>
      <c r="N145" s="886" t="s">
        <v>479</v>
      </c>
      <c r="O145" s="930"/>
      <c r="P145" s="886" t="s">
        <v>1504</v>
      </c>
      <c r="Q145" s="930"/>
      <c r="R145" s="930"/>
      <c r="S145" s="930"/>
      <c r="T145" s="930"/>
      <c r="U145" s="915"/>
    </row>
    <row r="146" spans="1:31" ht="15.75" thickBot="1" x14ac:dyDescent="0.3">
      <c r="A146" s="543"/>
      <c r="B146" s="915"/>
      <c r="C146" s="918"/>
      <c r="D146" s="911"/>
      <c r="E146" s="911"/>
      <c r="F146" s="915"/>
      <c r="G146" s="957"/>
      <c r="H146" s="915"/>
      <c r="I146" s="915"/>
      <c r="J146" s="915"/>
      <c r="K146" s="915"/>
      <c r="L146" s="915"/>
      <c r="M146" s="915"/>
      <c r="N146" s="915"/>
      <c r="O146" s="915"/>
      <c r="P146" s="915"/>
      <c r="Q146" s="915"/>
      <c r="R146" s="915"/>
      <c r="S146" s="915"/>
      <c r="T146" s="915"/>
      <c r="U146" s="915"/>
    </row>
    <row r="147" spans="1:31" ht="30.75" thickBot="1" x14ac:dyDescent="0.3">
      <c r="A147" s="543"/>
      <c r="B147" s="915"/>
      <c r="C147" s="924" t="s">
        <v>1495</v>
      </c>
      <c r="D147" s="1943" t="s">
        <v>646</v>
      </c>
      <c r="E147" s="1944"/>
      <c r="F147" s="915"/>
      <c r="G147" s="957"/>
      <c r="H147" s="925" t="s">
        <v>1492</v>
      </c>
      <c r="I147" s="930"/>
      <c r="J147" s="926" t="s">
        <v>1506</v>
      </c>
      <c r="K147" s="930"/>
      <c r="L147" s="926" t="s">
        <v>1493</v>
      </c>
      <c r="M147" s="915"/>
      <c r="N147" s="915"/>
      <c r="O147" s="915"/>
      <c r="P147" s="915"/>
      <c r="Q147" s="915"/>
      <c r="R147" s="716" t="s">
        <v>2102</v>
      </c>
      <c r="S147" s="915"/>
      <c r="T147" s="926" t="s">
        <v>523</v>
      </c>
      <c r="U147" s="915"/>
    </row>
    <row r="148" spans="1:31" ht="15.75" thickBot="1" x14ac:dyDescent="0.3">
      <c r="A148" s="543"/>
      <c r="B148" s="915"/>
      <c r="C148" s="918"/>
      <c r="D148" s="911"/>
      <c r="E148" s="911"/>
      <c r="F148" s="915"/>
      <c r="G148" s="957"/>
      <c r="H148" s="912" t="s">
        <v>646</v>
      </c>
      <c r="I148" s="915"/>
      <c r="J148" s="872" t="s">
        <v>1494</v>
      </c>
      <c r="K148" s="915"/>
      <c r="L148" s="886" t="s">
        <v>1494</v>
      </c>
      <c r="M148" s="915"/>
      <c r="N148" s="915"/>
      <c r="O148" s="915"/>
      <c r="P148" s="915"/>
      <c r="Q148" s="915"/>
      <c r="R148" s="1550" t="s">
        <v>648</v>
      </c>
      <c r="S148" s="915"/>
      <c r="T148" s="954" t="str">
        <f>IF(Z12&lt;&gt;"","Yes","No")</f>
        <v>No</v>
      </c>
      <c r="U148" s="915"/>
    </row>
    <row r="149" spans="1:31" ht="16.5" customHeight="1" thickBot="1" x14ac:dyDescent="0.3">
      <c r="A149" s="543"/>
      <c r="B149" s="915"/>
      <c r="C149" s="923" t="s">
        <v>1496</v>
      </c>
      <c r="D149" s="1951" t="s">
        <v>1525</v>
      </c>
      <c r="E149" s="1936"/>
      <c r="F149" s="915"/>
      <c r="G149" s="957"/>
      <c r="H149" s="915"/>
      <c r="I149" s="915"/>
      <c r="J149" s="915"/>
      <c r="K149" s="915"/>
      <c r="L149" s="915"/>
      <c r="M149" s="915"/>
      <c r="N149" s="915"/>
      <c r="O149" s="915"/>
      <c r="P149" s="915"/>
      <c r="Q149" s="915"/>
      <c r="R149" s="915"/>
      <c r="S149" s="915"/>
      <c r="T149" s="915"/>
      <c r="U149" s="915"/>
    </row>
    <row r="150" spans="1:31" ht="20.25" customHeight="1" thickBot="1" x14ac:dyDescent="0.3">
      <c r="A150" s="543"/>
      <c r="B150" s="915"/>
      <c r="C150" s="915"/>
      <c r="D150" s="915"/>
      <c r="E150" s="915"/>
      <c r="F150" s="915"/>
      <c r="G150" s="957"/>
      <c r="H150" s="915"/>
      <c r="I150" s="915"/>
      <c r="J150" s="915"/>
      <c r="K150" s="915"/>
      <c r="L150" s="915"/>
      <c r="M150" s="915"/>
      <c r="N150" s="915"/>
      <c r="O150" s="915"/>
      <c r="P150" s="915"/>
      <c r="Q150" s="915"/>
      <c r="R150" s="915"/>
      <c r="S150" s="915"/>
      <c r="T150" s="915"/>
      <c r="U150" s="915"/>
    </row>
    <row r="151" spans="1:31" ht="20.25" customHeight="1" thickBot="1" x14ac:dyDescent="0.3">
      <c r="A151" s="543"/>
      <c r="B151" s="1948" t="s">
        <v>1529</v>
      </c>
      <c r="C151" s="1935"/>
      <c r="D151" s="1935"/>
      <c r="E151" s="1935"/>
      <c r="F151" s="1935"/>
      <c r="G151" s="1935"/>
      <c r="H151" s="1935"/>
      <c r="I151" s="1935"/>
      <c r="J151" s="1935"/>
      <c r="K151" s="1935"/>
      <c r="L151" s="1935"/>
      <c r="M151" s="1935"/>
      <c r="N151" s="1935"/>
      <c r="O151" s="1935"/>
      <c r="P151" s="1935"/>
      <c r="Q151" s="1935"/>
      <c r="R151" s="1935"/>
      <c r="S151" s="1935"/>
      <c r="T151" s="1935"/>
      <c r="U151" s="1936"/>
    </row>
    <row r="152" spans="1:31" ht="15.75" thickBot="1" x14ac:dyDescent="0.3">
      <c r="A152" s="543"/>
      <c r="B152" s="915"/>
      <c r="C152" s="915"/>
      <c r="D152" s="915"/>
      <c r="E152" s="915"/>
      <c r="F152" s="915"/>
      <c r="G152" s="957"/>
      <c r="H152" s="915"/>
      <c r="I152" s="915"/>
      <c r="J152" s="915"/>
      <c r="K152" s="915"/>
      <c r="L152" s="915"/>
      <c r="M152" s="915"/>
      <c r="N152" s="915"/>
      <c r="O152" s="915"/>
      <c r="P152" s="915"/>
      <c r="Q152" s="915"/>
      <c r="R152" s="915"/>
      <c r="S152" s="915"/>
      <c r="T152" s="915"/>
      <c r="U152" s="915"/>
    </row>
    <row r="153" spans="1:31" ht="30.75" thickBot="1" x14ac:dyDescent="0.3">
      <c r="A153" s="396"/>
      <c r="B153" s="915"/>
      <c r="C153" s="923" t="s">
        <v>1383</v>
      </c>
      <c r="D153" s="1949" t="s">
        <v>1530</v>
      </c>
      <c r="E153" s="1950"/>
      <c r="F153" s="930"/>
      <c r="G153" s="958"/>
      <c r="H153" s="926" t="s">
        <v>1380</v>
      </c>
      <c r="I153" s="930"/>
      <c r="J153" s="926" t="s">
        <v>1381</v>
      </c>
      <c r="K153" s="930"/>
      <c r="L153" s="926" t="s">
        <v>1397</v>
      </c>
      <c r="M153" s="930"/>
      <c r="N153" s="926" t="s">
        <v>1382</v>
      </c>
      <c r="O153" s="930"/>
      <c r="P153" s="926" t="s">
        <v>1486</v>
      </c>
      <c r="Q153" s="930"/>
      <c r="R153" s="926" t="s">
        <v>1487</v>
      </c>
      <c r="S153" s="930"/>
      <c r="T153" s="926" t="s">
        <v>1488</v>
      </c>
      <c r="U153" s="915"/>
      <c r="AE153" s="1956" t="str">
        <f>IF(AND(H154="",T163="Yes"),"Please Update Incentive Period","")</f>
        <v/>
      </c>
    </row>
    <row r="154" spans="1:31" ht="18" customHeight="1" thickBot="1" x14ac:dyDescent="0.3">
      <c r="A154" s="543"/>
      <c r="B154" s="915"/>
      <c r="C154" s="918"/>
      <c r="D154" s="918"/>
      <c r="E154" s="918"/>
      <c r="F154" s="930"/>
      <c r="G154" s="958"/>
      <c r="H154" s="871"/>
      <c r="I154" s="930"/>
      <c r="J154" s="916"/>
      <c r="K154" s="930"/>
      <c r="L154" s="916"/>
      <c r="M154" s="930"/>
      <c r="N154" s="956"/>
      <c r="O154" s="930"/>
      <c r="P154" s="872" t="s">
        <v>1489</v>
      </c>
      <c r="Q154" s="930"/>
      <c r="R154" s="872" t="s">
        <v>1490</v>
      </c>
      <c r="S154" s="930"/>
      <c r="T154" s="912" t="s">
        <v>648</v>
      </c>
      <c r="U154" s="915"/>
      <c r="AE154" s="1956"/>
    </row>
    <row r="155" spans="1:31" ht="28.5" customHeight="1" thickBot="1" x14ac:dyDescent="0.3">
      <c r="A155" s="543"/>
      <c r="B155" s="915"/>
      <c r="C155" s="926" t="s">
        <v>1491</v>
      </c>
      <c r="D155" s="1951">
        <v>3401</v>
      </c>
      <c r="E155" s="1952"/>
      <c r="F155" s="930"/>
      <c r="G155" s="958"/>
      <c r="H155" s="930"/>
      <c r="I155" s="930"/>
      <c r="J155" s="930"/>
      <c r="K155" s="930"/>
      <c r="L155" s="930"/>
      <c r="M155" s="930"/>
      <c r="N155" s="930"/>
      <c r="O155" s="930"/>
      <c r="P155" s="930"/>
      <c r="Q155" s="930"/>
      <c r="R155" s="930"/>
      <c r="S155" s="930"/>
      <c r="T155" s="930"/>
      <c r="U155" s="915"/>
    </row>
    <row r="156" spans="1:31" ht="15.75" thickBot="1" x14ac:dyDescent="0.3">
      <c r="A156" s="543"/>
      <c r="B156" s="915"/>
      <c r="C156" s="918"/>
      <c r="D156" s="918"/>
      <c r="E156" s="918"/>
      <c r="F156" s="930"/>
      <c r="G156" s="958"/>
      <c r="H156" s="930"/>
      <c r="I156" s="930"/>
      <c r="J156" s="930"/>
      <c r="K156" s="930"/>
      <c r="L156" s="926" t="s">
        <v>1389</v>
      </c>
      <c r="M156" s="930"/>
      <c r="N156" s="930"/>
      <c r="O156" s="930"/>
      <c r="P156" s="930"/>
      <c r="Q156" s="930"/>
      <c r="R156" s="930"/>
      <c r="S156" s="930"/>
      <c r="T156" s="930"/>
      <c r="U156" s="915"/>
    </row>
    <row r="157" spans="1:31" ht="18" customHeight="1" thickBot="1" x14ac:dyDescent="0.3">
      <c r="A157" s="543"/>
      <c r="B157" s="915"/>
      <c r="C157" s="923" t="s">
        <v>1385</v>
      </c>
      <c r="D157" s="1953" t="str">
        <f>AA13</f>
        <v/>
      </c>
      <c r="E157" s="1954"/>
      <c r="F157" s="930"/>
      <c r="G157" s="958"/>
      <c r="H157" s="930"/>
      <c r="I157" s="930"/>
      <c r="J157" s="930"/>
      <c r="K157" s="930"/>
      <c r="L157" s="891"/>
      <c r="M157" s="930"/>
      <c r="N157" s="930"/>
      <c r="O157" s="930"/>
      <c r="P157" s="930"/>
      <c r="Q157" s="930"/>
      <c r="R157" s="930"/>
      <c r="S157" s="930"/>
      <c r="T157" s="930"/>
      <c r="U157" s="915"/>
    </row>
    <row r="158" spans="1:31" ht="15.75" thickBot="1" x14ac:dyDescent="0.3">
      <c r="A158" s="543"/>
      <c r="B158" s="915"/>
      <c r="C158" s="918"/>
      <c r="D158" s="911"/>
      <c r="E158" s="911"/>
      <c r="F158" s="930"/>
      <c r="G158" s="958"/>
      <c r="H158" s="930"/>
      <c r="I158" s="930"/>
      <c r="J158" s="930"/>
      <c r="K158" s="930"/>
      <c r="L158" s="930"/>
      <c r="M158" s="930"/>
      <c r="N158" s="930"/>
      <c r="O158" s="930"/>
      <c r="P158" s="930"/>
      <c r="Q158" s="930"/>
      <c r="R158" s="930"/>
      <c r="S158" s="930"/>
      <c r="T158" s="930"/>
      <c r="U158" s="915"/>
    </row>
    <row r="159" spans="1:31" ht="30.75" thickBot="1" x14ac:dyDescent="0.3">
      <c r="A159" s="543"/>
      <c r="B159" s="915"/>
      <c r="C159" s="923" t="s">
        <v>1386</v>
      </c>
      <c r="D159" s="1953" t="str">
        <f>AB13</f>
        <v/>
      </c>
      <c r="E159" s="1954"/>
      <c r="F159" s="930"/>
      <c r="G159" s="958"/>
      <c r="H159" s="925" t="s">
        <v>1492</v>
      </c>
      <c r="I159" s="930"/>
      <c r="J159" s="930"/>
      <c r="K159" s="930"/>
      <c r="L159" s="926" t="s">
        <v>1493</v>
      </c>
      <c r="M159" s="930"/>
      <c r="N159" s="930"/>
      <c r="O159" s="930"/>
      <c r="P159" s="930"/>
      <c r="Q159" s="930"/>
      <c r="R159" s="930"/>
      <c r="S159" s="930"/>
      <c r="T159" s="997" t="s">
        <v>1599</v>
      </c>
      <c r="U159" s="915"/>
    </row>
    <row r="160" spans="1:31" ht="15.75" thickBot="1" x14ac:dyDescent="0.3">
      <c r="A160" s="543"/>
      <c r="B160" s="915"/>
      <c r="C160" s="918"/>
      <c r="D160" s="918"/>
      <c r="E160" s="918"/>
      <c r="F160" s="930"/>
      <c r="G160" s="958"/>
      <c r="H160" s="912" t="s">
        <v>646</v>
      </c>
      <c r="I160" s="930"/>
      <c r="J160" s="930"/>
      <c r="K160" s="930"/>
      <c r="L160" s="886" t="s">
        <v>1872</v>
      </c>
      <c r="M160" s="930"/>
      <c r="N160" s="930"/>
      <c r="O160" s="930"/>
      <c r="P160" s="930"/>
      <c r="Q160" s="930"/>
      <c r="R160" s="930"/>
      <c r="S160" s="930"/>
      <c r="T160" s="998" t="s">
        <v>646</v>
      </c>
      <c r="U160" s="915"/>
    </row>
    <row r="161" spans="1:31" ht="30" customHeight="1" thickBot="1" x14ac:dyDescent="0.3">
      <c r="A161" s="543"/>
      <c r="B161" s="915"/>
      <c r="C161" s="924" t="s">
        <v>1495</v>
      </c>
      <c r="D161" s="1943" t="s">
        <v>646</v>
      </c>
      <c r="E161" s="1944"/>
      <c r="F161" s="930"/>
      <c r="G161" s="958"/>
      <c r="H161" s="930"/>
      <c r="I161" s="930"/>
      <c r="J161" s="930"/>
      <c r="K161" s="930"/>
      <c r="L161" s="930"/>
      <c r="M161" s="930"/>
      <c r="N161" s="930"/>
      <c r="O161" s="930"/>
      <c r="P161" s="930"/>
      <c r="Q161" s="930"/>
      <c r="R161" s="930"/>
      <c r="S161" s="930"/>
      <c r="T161" s="930"/>
      <c r="U161" s="915"/>
    </row>
    <row r="162" spans="1:31" ht="15.75" thickBot="1" x14ac:dyDescent="0.3">
      <c r="A162" s="543"/>
      <c r="B162" s="915"/>
      <c r="C162" s="918"/>
      <c r="D162" s="918"/>
      <c r="E162" s="918"/>
      <c r="F162" s="930"/>
      <c r="G162" s="958"/>
      <c r="H162" s="930"/>
      <c r="I162" s="930"/>
      <c r="J162" s="930"/>
      <c r="K162" s="930"/>
      <c r="L162" s="930"/>
      <c r="M162" s="930"/>
      <c r="N162" s="930"/>
      <c r="O162" s="930"/>
      <c r="P162" s="930"/>
      <c r="Q162" s="930"/>
      <c r="R162" s="716" t="s">
        <v>2102</v>
      </c>
      <c r="S162" s="930"/>
      <c r="T162" s="926" t="s">
        <v>523</v>
      </c>
      <c r="U162" s="915"/>
    </row>
    <row r="163" spans="1:31" ht="18" customHeight="1" thickBot="1" x14ac:dyDescent="0.3">
      <c r="A163" s="543"/>
      <c r="B163" s="915"/>
      <c r="C163" s="923" t="s">
        <v>1496</v>
      </c>
      <c r="D163" s="1951" t="s">
        <v>1531</v>
      </c>
      <c r="E163" s="1936"/>
      <c r="F163" s="930"/>
      <c r="G163" s="958"/>
      <c r="H163" s="930"/>
      <c r="I163" s="930"/>
      <c r="J163" s="930"/>
      <c r="K163" s="930"/>
      <c r="L163" s="930"/>
      <c r="M163" s="930"/>
      <c r="N163" s="930"/>
      <c r="O163" s="930"/>
      <c r="P163" s="930"/>
      <c r="Q163" s="930"/>
      <c r="R163" s="1550" t="s">
        <v>648</v>
      </c>
      <c r="S163" s="930"/>
      <c r="T163" s="954" t="str">
        <f>IF(Z13&lt;&gt;"","Yes","No")</f>
        <v>No</v>
      </c>
      <c r="U163" s="915"/>
    </row>
    <row r="164" spans="1:31" ht="15.75" thickBot="1" x14ac:dyDescent="0.3">
      <c r="A164" s="543"/>
      <c r="B164" s="915"/>
      <c r="C164" s="911"/>
      <c r="D164" s="911"/>
      <c r="E164" s="911"/>
      <c r="F164" s="915"/>
      <c r="G164" s="957"/>
      <c r="H164" s="915"/>
      <c r="I164" s="915"/>
      <c r="J164" s="915"/>
      <c r="K164" s="915"/>
      <c r="L164" s="915"/>
      <c r="M164" s="915"/>
      <c r="N164" s="915"/>
      <c r="O164" s="915"/>
      <c r="P164" s="915"/>
      <c r="Q164" s="915"/>
      <c r="R164" s="915"/>
      <c r="S164" s="915"/>
      <c r="T164" s="915"/>
      <c r="U164" s="915"/>
    </row>
    <row r="165" spans="1:31" ht="15.75" thickBot="1" x14ac:dyDescent="0.3">
      <c r="A165" s="543"/>
      <c r="B165" s="1948" t="s">
        <v>1532</v>
      </c>
      <c r="C165" s="1935"/>
      <c r="D165" s="1935"/>
      <c r="E165" s="1935"/>
      <c r="F165" s="1935"/>
      <c r="G165" s="1935"/>
      <c r="H165" s="1935"/>
      <c r="I165" s="1935"/>
      <c r="J165" s="1935"/>
      <c r="K165" s="1935"/>
      <c r="L165" s="1935"/>
      <c r="M165" s="1935"/>
      <c r="N165" s="1935"/>
      <c r="O165" s="1935"/>
      <c r="P165" s="1935"/>
      <c r="Q165" s="1935"/>
      <c r="R165" s="1935"/>
      <c r="S165" s="1935"/>
      <c r="T165" s="1935"/>
      <c r="U165" s="1936"/>
    </row>
    <row r="166" spans="1:31" ht="15.75" thickBot="1" x14ac:dyDescent="0.3">
      <c r="A166" s="543"/>
      <c r="B166" s="930"/>
      <c r="C166" s="930"/>
      <c r="D166" s="930"/>
      <c r="E166" s="930"/>
      <c r="F166" s="930"/>
      <c r="G166" s="958"/>
      <c r="H166" s="930"/>
      <c r="I166" s="930"/>
      <c r="J166" s="930"/>
      <c r="K166" s="930"/>
      <c r="L166" s="930"/>
      <c r="M166" s="930"/>
      <c r="N166" s="930"/>
      <c r="O166" s="930"/>
      <c r="P166" s="930"/>
      <c r="Q166" s="930"/>
      <c r="R166" s="930"/>
      <c r="S166" s="930"/>
      <c r="T166" s="930"/>
      <c r="U166" s="930"/>
    </row>
    <row r="167" spans="1:31" ht="30.75" thickBot="1" x14ac:dyDescent="0.3">
      <c r="A167" s="396"/>
      <c r="B167" s="930"/>
      <c r="C167" s="923" t="s">
        <v>1383</v>
      </c>
      <c r="D167" s="1949" t="s">
        <v>1530</v>
      </c>
      <c r="E167" s="1950"/>
      <c r="F167" s="930"/>
      <c r="G167" s="958"/>
      <c r="H167" s="926" t="s">
        <v>1380</v>
      </c>
      <c r="I167" s="930"/>
      <c r="J167" s="926" t="s">
        <v>1381</v>
      </c>
      <c r="K167" s="930"/>
      <c r="L167" s="926" t="s">
        <v>1397</v>
      </c>
      <c r="M167" s="930"/>
      <c r="N167" s="926" t="s">
        <v>1382</v>
      </c>
      <c r="O167" s="930"/>
      <c r="P167" s="926" t="s">
        <v>1486</v>
      </c>
      <c r="Q167" s="930"/>
      <c r="R167" s="926" t="s">
        <v>1487</v>
      </c>
      <c r="S167" s="930"/>
      <c r="T167" s="926" t="s">
        <v>1488</v>
      </c>
      <c r="U167" s="930"/>
      <c r="AE167" s="1956" t="str">
        <f>IF(AND(H168="",T177="Yes"),"Please Update Incentive Period","")</f>
        <v/>
      </c>
    </row>
    <row r="168" spans="1:31" ht="15.75" thickBot="1" x14ac:dyDescent="0.3">
      <c r="A168" s="543"/>
      <c r="B168" s="930"/>
      <c r="C168" s="918"/>
      <c r="D168" s="918"/>
      <c r="E168" s="918"/>
      <c r="F168" s="930"/>
      <c r="G168" s="958"/>
      <c r="H168" s="871"/>
      <c r="I168" s="930"/>
      <c r="J168" s="916"/>
      <c r="K168" s="930"/>
      <c r="L168" s="916"/>
      <c r="M168" s="930"/>
      <c r="N168" s="956"/>
      <c r="O168" s="930"/>
      <c r="P168" s="872" t="s">
        <v>1489</v>
      </c>
      <c r="Q168" s="930"/>
      <c r="R168" s="872" t="s">
        <v>1490</v>
      </c>
      <c r="S168" s="930"/>
      <c r="T168" s="912" t="s">
        <v>648</v>
      </c>
      <c r="U168" s="930"/>
      <c r="AE168" s="1956"/>
    </row>
    <row r="169" spans="1:31" ht="30.75" thickBot="1" x14ac:dyDescent="0.3">
      <c r="A169" s="543"/>
      <c r="B169" s="930"/>
      <c r="C169" s="923" t="s">
        <v>1491</v>
      </c>
      <c r="D169" s="1951">
        <v>3402</v>
      </c>
      <c r="E169" s="1952"/>
      <c r="F169" s="930"/>
      <c r="G169" s="958"/>
      <c r="H169" s="930"/>
      <c r="I169" s="930"/>
      <c r="J169" s="930"/>
      <c r="K169" s="930"/>
      <c r="L169" s="930"/>
      <c r="M169" s="930"/>
      <c r="N169" s="930"/>
      <c r="O169" s="930"/>
      <c r="P169" s="930"/>
      <c r="Q169" s="930"/>
      <c r="R169" s="930"/>
      <c r="S169" s="930"/>
      <c r="T169" s="930"/>
      <c r="U169" s="930"/>
    </row>
    <row r="170" spans="1:31" ht="15.75" thickBot="1" x14ac:dyDescent="0.3">
      <c r="A170" s="543"/>
      <c r="B170" s="930"/>
      <c r="C170" s="918"/>
      <c r="D170" s="918"/>
      <c r="E170" s="918"/>
      <c r="F170" s="930"/>
      <c r="G170" s="958"/>
      <c r="H170" s="930"/>
      <c r="I170" s="930"/>
      <c r="J170" s="930"/>
      <c r="K170" s="930"/>
      <c r="L170" s="926" t="s">
        <v>1389</v>
      </c>
      <c r="M170" s="930"/>
      <c r="N170" s="930"/>
      <c r="O170" s="930"/>
      <c r="P170" s="930"/>
      <c r="Q170" s="930"/>
      <c r="R170" s="930"/>
      <c r="S170" s="930"/>
      <c r="T170" s="930"/>
      <c r="U170" s="930"/>
    </row>
    <row r="171" spans="1:31" ht="18" customHeight="1" thickBot="1" x14ac:dyDescent="0.3">
      <c r="A171" s="543"/>
      <c r="B171" s="930"/>
      <c r="C171" s="923" t="s">
        <v>1385</v>
      </c>
      <c r="D171" s="1953" t="str">
        <f>AA14</f>
        <v/>
      </c>
      <c r="E171" s="1954"/>
      <c r="F171" s="930"/>
      <c r="G171" s="958"/>
      <c r="H171" s="930"/>
      <c r="I171" s="930"/>
      <c r="J171" s="930"/>
      <c r="K171" s="930"/>
      <c r="L171" s="891"/>
      <c r="M171" s="930"/>
      <c r="N171" s="930"/>
      <c r="O171" s="930"/>
      <c r="P171" s="930"/>
      <c r="Q171" s="930"/>
      <c r="R171" s="930"/>
      <c r="S171" s="930"/>
      <c r="T171" s="930"/>
      <c r="U171" s="930"/>
    </row>
    <row r="172" spans="1:31" ht="15.75" thickBot="1" x14ac:dyDescent="0.3">
      <c r="A172" s="543"/>
      <c r="B172" s="930"/>
      <c r="C172" s="918"/>
      <c r="D172" s="911"/>
      <c r="E172" s="911"/>
      <c r="F172" s="930"/>
      <c r="G172" s="958"/>
      <c r="H172" s="930"/>
      <c r="I172" s="930"/>
      <c r="J172" s="930"/>
      <c r="K172" s="930"/>
      <c r="L172" s="930"/>
      <c r="M172" s="930"/>
      <c r="N172" s="930"/>
      <c r="O172" s="930"/>
      <c r="P172" s="930"/>
      <c r="Q172" s="930"/>
      <c r="R172" s="930"/>
      <c r="S172" s="930"/>
      <c r="T172" s="930"/>
      <c r="U172" s="930"/>
    </row>
    <row r="173" spans="1:31" ht="30.75" thickBot="1" x14ac:dyDescent="0.3">
      <c r="A173" s="543"/>
      <c r="B173" s="930"/>
      <c r="C173" s="923" t="s">
        <v>1386</v>
      </c>
      <c r="D173" s="1953" t="str">
        <f>AB14</f>
        <v/>
      </c>
      <c r="E173" s="1954"/>
      <c r="F173" s="930"/>
      <c r="G173" s="958"/>
      <c r="H173" s="925" t="s">
        <v>1492</v>
      </c>
      <c r="I173" s="930"/>
      <c r="J173" s="930"/>
      <c r="K173" s="930"/>
      <c r="L173" s="926" t="s">
        <v>1493</v>
      </c>
      <c r="M173" s="930"/>
      <c r="N173" s="930"/>
      <c r="O173" s="930"/>
      <c r="P173" s="930"/>
      <c r="Q173" s="930"/>
      <c r="R173" s="930"/>
      <c r="S173" s="930"/>
      <c r="T173" s="997" t="s">
        <v>1599</v>
      </c>
      <c r="U173" s="930"/>
    </row>
    <row r="174" spans="1:31" ht="15.75" thickBot="1" x14ac:dyDescent="0.3">
      <c r="A174" s="543"/>
      <c r="B174" s="930"/>
      <c r="C174" s="918"/>
      <c r="D174" s="918"/>
      <c r="E174" s="918"/>
      <c r="F174" s="930"/>
      <c r="G174" s="958"/>
      <c r="H174" s="912" t="s">
        <v>646</v>
      </c>
      <c r="I174" s="930"/>
      <c r="J174" s="930"/>
      <c r="K174" s="930"/>
      <c r="L174" s="954" t="s">
        <v>1872</v>
      </c>
      <c r="M174" s="930"/>
      <c r="N174" s="930"/>
      <c r="O174" s="930"/>
      <c r="P174" s="930"/>
      <c r="Q174" s="930"/>
      <c r="R174" s="930"/>
      <c r="S174" s="930"/>
      <c r="T174" s="998" t="s">
        <v>646</v>
      </c>
      <c r="U174" s="930"/>
    </row>
    <row r="175" spans="1:31" ht="30" customHeight="1" thickBot="1" x14ac:dyDescent="0.3">
      <c r="A175" s="543"/>
      <c r="B175" s="930"/>
      <c r="C175" s="924" t="s">
        <v>1495</v>
      </c>
      <c r="D175" s="1943" t="s">
        <v>646</v>
      </c>
      <c r="E175" s="1944"/>
      <c r="F175" s="930"/>
      <c r="G175" s="958"/>
      <c r="H175" s="930"/>
      <c r="I175" s="930"/>
      <c r="J175" s="930"/>
      <c r="K175" s="930"/>
      <c r="L175" s="930"/>
      <c r="M175" s="930"/>
      <c r="N175" s="930"/>
      <c r="O175" s="930"/>
      <c r="P175" s="930"/>
      <c r="Q175" s="930"/>
      <c r="R175" s="930"/>
      <c r="S175" s="930"/>
      <c r="T175" s="930"/>
      <c r="U175" s="930"/>
    </row>
    <row r="176" spans="1:31" ht="15.75" thickBot="1" x14ac:dyDescent="0.3">
      <c r="A176" s="543"/>
      <c r="B176" s="930"/>
      <c r="C176" s="918"/>
      <c r="D176" s="918"/>
      <c r="E176" s="918"/>
      <c r="F176" s="930"/>
      <c r="G176" s="958"/>
      <c r="H176" s="930"/>
      <c r="I176" s="930"/>
      <c r="J176" s="930"/>
      <c r="K176" s="930"/>
      <c r="L176" s="930"/>
      <c r="M176" s="930"/>
      <c r="N176" s="930"/>
      <c r="O176" s="930"/>
      <c r="P176" s="930"/>
      <c r="Q176" s="930"/>
      <c r="R176" s="716" t="s">
        <v>2102</v>
      </c>
      <c r="S176" s="930"/>
      <c r="T176" s="926" t="s">
        <v>523</v>
      </c>
      <c r="U176" s="930"/>
    </row>
    <row r="177" spans="1:31" ht="15.75" thickBot="1" x14ac:dyDescent="0.3">
      <c r="A177" s="543"/>
      <c r="B177" s="930"/>
      <c r="C177" s="923" t="s">
        <v>1496</v>
      </c>
      <c r="D177" s="1951" t="s">
        <v>1531</v>
      </c>
      <c r="E177" s="1936"/>
      <c r="F177" s="930"/>
      <c r="G177" s="958"/>
      <c r="H177" s="930"/>
      <c r="I177" s="930"/>
      <c r="J177" s="930"/>
      <c r="K177" s="930"/>
      <c r="L177" s="930"/>
      <c r="M177" s="930"/>
      <c r="N177" s="930"/>
      <c r="O177" s="930"/>
      <c r="P177" s="930"/>
      <c r="Q177" s="930"/>
      <c r="R177" s="1550" t="s">
        <v>648</v>
      </c>
      <c r="S177" s="930"/>
      <c r="T177" s="954" t="str">
        <f>IF(Z14&lt;&gt;"","Yes","No")</f>
        <v>No</v>
      </c>
      <c r="U177" s="930"/>
    </row>
    <row r="178" spans="1:31" ht="15.75" thickBot="1" x14ac:dyDescent="0.3">
      <c r="A178" s="543"/>
      <c r="B178" s="930"/>
      <c r="C178" s="930"/>
      <c r="D178" s="930"/>
      <c r="E178" s="930"/>
      <c r="F178" s="930"/>
      <c r="G178" s="958"/>
      <c r="H178" s="930"/>
      <c r="I178" s="930"/>
      <c r="J178" s="930"/>
      <c r="K178" s="930"/>
      <c r="L178" s="930"/>
      <c r="M178" s="930"/>
      <c r="N178" s="930"/>
      <c r="O178" s="930"/>
      <c r="P178" s="930"/>
      <c r="Q178" s="930"/>
      <c r="R178" s="930"/>
      <c r="S178" s="930"/>
      <c r="T178" s="930"/>
      <c r="U178" s="930"/>
    </row>
    <row r="179" spans="1:31" ht="20.25" customHeight="1" thickBot="1" x14ac:dyDescent="0.3">
      <c r="A179" s="543"/>
      <c r="B179" s="1948" t="s">
        <v>1533</v>
      </c>
      <c r="C179" s="1935"/>
      <c r="D179" s="1935"/>
      <c r="E179" s="1935"/>
      <c r="F179" s="1935"/>
      <c r="G179" s="1935"/>
      <c r="H179" s="1935"/>
      <c r="I179" s="1935"/>
      <c r="J179" s="1935"/>
      <c r="K179" s="1935"/>
      <c r="L179" s="1935"/>
      <c r="M179" s="1935"/>
      <c r="N179" s="1935"/>
      <c r="O179" s="1935"/>
      <c r="P179" s="1935"/>
      <c r="Q179" s="1935"/>
      <c r="R179" s="1935"/>
      <c r="S179" s="1935"/>
      <c r="T179" s="1935"/>
      <c r="U179" s="1936"/>
    </row>
    <row r="180" spans="1:31" ht="15.75" thickBot="1" x14ac:dyDescent="0.3">
      <c r="A180" s="543"/>
      <c r="B180" s="930"/>
      <c r="C180" s="930"/>
      <c r="D180" s="930"/>
      <c r="E180" s="930"/>
      <c r="F180" s="930"/>
      <c r="G180" s="958"/>
      <c r="H180" s="930"/>
      <c r="I180" s="930"/>
      <c r="J180" s="930"/>
      <c r="K180" s="930"/>
      <c r="L180" s="930"/>
      <c r="M180" s="930"/>
      <c r="N180" s="930"/>
      <c r="O180" s="930"/>
      <c r="P180" s="930"/>
      <c r="Q180" s="930"/>
      <c r="R180" s="930"/>
      <c r="S180" s="930"/>
      <c r="T180" s="930"/>
      <c r="U180" s="930"/>
    </row>
    <row r="181" spans="1:31" ht="30.75" thickBot="1" x14ac:dyDescent="0.3">
      <c r="A181" s="396"/>
      <c r="B181" s="930"/>
      <c r="C181" s="923" t="s">
        <v>1383</v>
      </c>
      <c r="D181" s="1949" t="s">
        <v>1534</v>
      </c>
      <c r="E181" s="1950"/>
      <c r="F181" s="930"/>
      <c r="G181" s="958"/>
      <c r="H181" s="926" t="s">
        <v>1380</v>
      </c>
      <c r="I181" s="930"/>
      <c r="J181" s="926" t="s">
        <v>1381</v>
      </c>
      <c r="K181" s="930"/>
      <c r="L181" s="926" t="s">
        <v>1397</v>
      </c>
      <c r="M181" s="930"/>
      <c r="N181" s="926" t="s">
        <v>1382</v>
      </c>
      <c r="O181" s="930"/>
      <c r="P181" s="926" t="s">
        <v>1486</v>
      </c>
      <c r="Q181" s="930"/>
      <c r="R181" s="926" t="s">
        <v>1487</v>
      </c>
      <c r="S181" s="930"/>
      <c r="T181" s="926" t="s">
        <v>1488</v>
      </c>
      <c r="U181" s="930"/>
      <c r="AE181" s="1956" t="str">
        <f>IF(AND(H182="",T191="Yes"),"Please Update Incentive Period","")</f>
        <v/>
      </c>
    </row>
    <row r="182" spans="1:31" ht="15.75" thickBot="1" x14ac:dyDescent="0.3">
      <c r="A182" s="543"/>
      <c r="B182" s="930"/>
      <c r="C182" s="918"/>
      <c r="D182" s="918"/>
      <c r="E182" s="918"/>
      <c r="F182" s="930"/>
      <c r="G182" s="958"/>
      <c r="H182" s="871"/>
      <c r="I182" s="930"/>
      <c r="J182" s="916"/>
      <c r="K182" s="930"/>
      <c r="L182" s="916"/>
      <c r="M182" s="930"/>
      <c r="N182" s="956"/>
      <c r="O182" s="930"/>
      <c r="P182" s="872" t="s">
        <v>1489</v>
      </c>
      <c r="Q182" s="930"/>
      <c r="R182" s="872" t="s">
        <v>1490</v>
      </c>
      <c r="S182" s="930"/>
      <c r="T182" s="912" t="s">
        <v>648</v>
      </c>
      <c r="U182" s="930"/>
      <c r="AE182" s="1956"/>
    </row>
    <row r="183" spans="1:31" ht="30.75" thickBot="1" x14ac:dyDescent="0.3">
      <c r="A183" s="543"/>
      <c r="B183" s="930"/>
      <c r="C183" s="923" t="s">
        <v>1491</v>
      </c>
      <c r="D183" s="1951">
        <v>3501</v>
      </c>
      <c r="E183" s="1952"/>
      <c r="F183" s="930"/>
      <c r="G183" s="958"/>
      <c r="H183" s="930"/>
      <c r="I183" s="930"/>
      <c r="J183" s="930"/>
      <c r="K183" s="930"/>
      <c r="L183" s="930"/>
      <c r="M183" s="930"/>
      <c r="N183" s="930"/>
      <c r="O183" s="930"/>
      <c r="P183" s="930"/>
      <c r="Q183" s="930"/>
      <c r="R183" s="930"/>
      <c r="S183" s="930"/>
      <c r="T183" s="930"/>
      <c r="U183" s="930"/>
    </row>
    <row r="184" spans="1:31" ht="15.75" thickBot="1" x14ac:dyDescent="0.3">
      <c r="A184" s="543"/>
      <c r="B184" s="930"/>
      <c r="C184" s="918"/>
      <c r="D184" s="918"/>
      <c r="E184" s="918"/>
      <c r="F184" s="930"/>
      <c r="G184" s="958"/>
      <c r="H184" s="927" t="s">
        <v>1387</v>
      </c>
      <c r="I184" s="930"/>
      <c r="J184" s="926" t="s">
        <v>1388</v>
      </c>
      <c r="K184" s="930"/>
      <c r="L184" s="926" t="s">
        <v>1389</v>
      </c>
      <c r="M184" s="930"/>
      <c r="N184" s="926" t="s">
        <v>1501</v>
      </c>
      <c r="O184" s="930"/>
      <c r="P184" s="926" t="s">
        <v>1502</v>
      </c>
      <c r="Q184" s="930"/>
      <c r="R184" s="926" t="s">
        <v>1503</v>
      </c>
      <c r="S184" s="930"/>
      <c r="T184" s="930"/>
      <c r="U184" s="930"/>
    </row>
    <row r="185" spans="1:31" ht="18" customHeight="1" thickBot="1" x14ac:dyDescent="0.3">
      <c r="A185" s="543"/>
      <c r="B185" s="930"/>
      <c r="C185" s="923" t="s">
        <v>1385</v>
      </c>
      <c r="D185" s="1953" t="str">
        <f>AA15</f>
        <v/>
      </c>
      <c r="E185" s="1954"/>
      <c r="F185" s="930"/>
      <c r="G185" s="958" t="s">
        <v>997</v>
      </c>
      <c r="H185" s="891"/>
      <c r="I185" s="930"/>
      <c r="J185" s="931"/>
      <c r="K185" s="930"/>
      <c r="L185" s="891"/>
      <c r="M185" s="930"/>
      <c r="N185" s="886" t="s">
        <v>479</v>
      </c>
      <c r="O185" s="930"/>
      <c r="P185" s="886" t="s">
        <v>1151</v>
      </c>
      <c r="Q185" s="930"/>
      <c r="R185" s="886" t="s">
        <v>1505</v>
      </c>
      <c r="S185" s="930"/>
      <c r="T185" s="930"/>
      <c r="U185" s="930"/>
    </row>
    <row r="186" spans="1:31" ht="15.75" thickBot="1" x14ac:dyDescent="0.3">
      <c r="A186" s="543"/>
      <c r="B186" s="930"/>
      <c r="C186" s="918"/>
      <c r="D186" s="911"/>
      <c r="E186" s="911"/>
      <c r="F186" s="930"/>
      <c r="G186" s="958"/>
      <c r="H186" s="930"/>
      <c r="I186" s="930"/>
      <c r="J186" s="930"/>
      <c r="K186" s="930"/>
      <c r="L186" s="930"/>
      <c r="M186" s="930"/>
      <c r="N186" s="930"/>
      <c r="O186" s="930"/>
      <c r="P186" s="930"/>
      <c r="Q186" s="930"/>
      <c r="R186" s="930"/>
      <c r="S186" s="930"/>
      <c r="T186" s="930"/>
      <c r="U186" s="930"/>
    </row>
    <row r="187" spans="1:31" ht="30.75" thickBot="1" x14ac:dyDescent="0.3">
      <c r="A187" s="543"/>
      <c r="B187" s="930"/>
      <c r="C187" s="923" t="s">
        <v>1386</v>
      </c>
      <c r="D187" s="1953" t="str">
        <f>AB15</f>
        <v/>
      </c>
      <c r="E187" s="1954"/>
      <c r="F187" s="930"/>
      <c r="G187" s="958"/>
      <c r="H187" s="925" t="s">
        <v>1492</v>
      </c>
      <c r="I187" s="930"/>
      <c r="J187" s="926" t="s">
        <v>1506</v>
      </c>
      <c r="K187" s="930"/>
      <c r="L187" s="926" t="s">
        <v>1493</v>
      </c>
      <c r="M187" s="930"/>
      <c r="N187" s="926" t="s">
        <v>1507</v>
      </c>
      <c r="O187" s="930"/>
      <c r="P187" s="926" t="s">
        <v>1508</v>
      </c>
      <c r="Q187" s="930"/>
      <c r="R187" s="930"/>
      <c r="S187" s="930"/>
      <c r="T187" s="997" t="s">
        <v>1599</v>
      </c>
      <c r="U187" s="930"/>
    </row>
    <row r="188" spans="1:31" ht="15.75" thickBot="1" x14ac:dyDescent="0.3">
      <c r="A188" s="543"/>
      <c r="B188" s="930"/>
      <c r="C188" s="918"/>
      <c r="D188" s="918"/>
      <c r="E188" s="918"/>
      <c r="F188" s="930"/>
      <c r="G188" s="958"/>
      <c r="H188" s="912" t="s">
        <v>646</v>
      </c>
      <c r="I188" s="930"/>
      <c r="J188" s="872" t="s">
        <v>1494</v>
      </c>
      <c r="K188" s="930"/>
      <c r="L188" s="954" t="s">
        <v>1872</v>
      </c>
      <c r="M188" s="930"/>
      <c r="N188" s="886" t="s">
        <v>646</v>
      </c>
      <c r="O188" s="930"/>
      <c r="P188" s="886" t="s">
        <v>648</v>
      </c>
      <c r="Q188" s="930"/>
      <c r="R188" s="930"/>
      <c r="S188" s="930"/>
      <c r="T188" s="998" t="s">
        <v>646</v>
      </c>
      <c r="U188" s="930"/>
    </row>
    <row r="189" spans="1:31" ht="30" customHeight="1" thickBot="1" x14ac:dyDescent="0.3">
      <c r="A189" s="543"/>
      <c r="B189" s="930"/>
      <c r="C189" s="924" t="s">
        <v>1495</v>
      </c>
      <c r="D189" s="1943" t="s">
        <v>646</v>
      </c>
      <c r="E189" s="1944"/>
      <c r="F189" s="930"/>
      <c r="G189" s="958"/>
      <c r="H189" s="930"/>
      <c r="I189" s="930"/>
      <c r="J189" s="930"/>
      <c r="K189" s="930"/>
      <c r="L189" s="930"/>
      <c r="M189" s="930"/>
      <c r="N189" s="930"/>
      <c r="O189" s="930"/>
      <c r="P189" s="930"/>
      <c r="Q189" s="930"/>
      <c r="R189" s="930"/>
      <c r="S189" s="930"/>
      <c r="T189" s="930"/>
      <c r="U189" s="930"/>
    </row>
    <row r="190" spans="1:31" ht="15.75" thickBot="1" x14ac:dyDescent="0.3">
      <c r="A190" s="543"/>
      <c r="B190" s="930"/>
      <c r="C190" s="918"/>
      <c r="D190" s="918"/>
      <c r="E190" s="918"/>
      <c r="F190" s="930"/>
      <c r="G190" s="958"/>
      <c r="H190" s="930"/>
      <c r="I190" s="930"/>
      <c r="J190" s="930"/>
      <c r="K190" s="930"/>
      <c r="L190" s="930"/>
      <c r="M190" s="930"/>
      <c r="N190" s="930"/>
      <c r="O190" s="930"/>
      <c r="P190" s="930"/>
      <c r="Q190" s="930"/>
      <c r="R190" s="716" t="s">
        <v>2102</v>
      </c>
      <c r="S190" s="930"/>
      <c r="T190" s="926" t="s">
        <v>523</v>
      </c>
      <c r="U190" s="930"/>
    </row>
    <row r="191" spans="1:31" ht="15.75" thickBot="1" x14ac:dyDescent="0.3">
      <c r="A191" s="543"/>
      <c r="B191" s="930"/>
      <c r="C191" s="923" t="s">
        <v>1496</v>
      </c>
      <c r="D191" s="1951" t="s">
        <v>1531</v>
      </c>
      <c r="E191" s="1936"/>
      <c r="F191" s="930"/>
      <c r="G191" s="958"/>
      <c r="H191" s="930"/>
      <c r="I191" s="930"/>
      <c r="J191" s="930"/>
      <c r="K191" s="930"/>
      <c r="L191" s="930"/>
      <c r="M191" s="930"/>
      <c r="N191" s="930"/>
      <c r="O191" s="930"/>
      <c r="P191" s="930"/>
      <c r="Q191" s="930"/>
      <c r="R191" s="1550" t="s">
        <v>648</v>
      </c>
      <c r="S191" s="930"/>
      <c r="T191" s="954" t="str">
        <f>IF(Z15&lt;&gt;"","Yes","No")</f>
        <v>No</v>
      </c>
      <c r="U191" s="930"/>
    </row>
    <row r="192" spans="1:31" ht="15.75" thickBot="1" x14ac:dyDescent="0.3">
      <c r="A192" s="543"/>
      <c r="B192" s="930"/>
      <c r="C192" s="930"/>
      <c r="D192" s="930"/>
      <c r="E192" s="930"/>
      <c r="F192" s="930"/>
      <c r="G192" s="958"/>
      <c r="H192" s="930"/>
      <c r="I192" s="930"/>
      <c r="J192" s="930"/>
      <c r="K192" s="930"/>
      <c r="L192" s="930"/>
      <c r="M192" s="930"/>
      <c r="N192" s="930"/>
      <c r="O192" s="930"/>
      <c r="P192" s="930"/>
      <c r="Q192" s="930"/>
      <c r="R192" s="930"/>
      <c r="S192" s="930"/>
      <c r="T192" s="930"/>
      <c r="U192" s="930"/>
    </row>
    <row r="193" spans="1:31" ht="19.5" customHeight="1" thickBot="1" x14ac:dyDescent="0.3">
      <c r="A193" s="543"/>
      <c r="B193" s="1948" t="s">
        <v>1535</v>
      </c>
      <c r="C193" s="1935"/>
      <c r="D193" s="1935"/>
      <c r="E193" s="1935"/>
      <c r="F193" s="1935"/>
      <c r="G193" s="1935"/>
      <c r="H193" s="1935"/>
      <c r="I193" s="1935"/>
      <c r="J193" s="1935"/>
      <c r="K193" s="1935"/>
      <c r="L193" s="1935"/>
      <c r="M193" s="1935"/>
      <c r="N193" s="1935"/>
      <c r="O193" s="1935"/>
      <c r="P193" s="1935"/>
      <c r="Q193" s="1935"/>
      <c r="R193" s="1935"/>
      <c r="S193" s="1935"/>
      <c r="T193" s="1935"/>
      <c r="U193" s="1936"/>
    </row>
    <row r="194" spans="1:31" ht="15.75" thickBot="1" x14ac:dyDescent="0.3">
      <c r="A194" s="543"/>
      <c r="B194" s="930"/>
      <c r="C194" s="930"/>
      <c r="D194" s="930"/>
      <c r="E194" s="930"/>
      <c r="F194" s="930"/>
      <c r="G194" s="958"/>
      <c r="H194" s="930"/>
      <c r="I194" s="930"/>
      <c r="J194" s="930"/>
      <c r="K194" s="930"/>
      <c r="L194" s="930"/>
      <c r="M194" s="930"/>
      <c r="N194" s="930"/>
      <c r="O194" s="930"/>
      <c r="P194" s="930"/>
      <c r="Q194" s="930"/>
      <c r="R194" s="930"/>
      <c r="S194" s="930"/>
      <c r="T194" s="930"/>
      <c r="U194" s="930"/>
    </row>
    <row r="195" spans="1:31" ht="30.75" thickBot="1" x14ac:dyDescent="0.3">
      <c r="A195" s="396"/>
      <c r="B195" s="930"/>
      <c r="C195" s="923" t="s">
        <v>1383</v>
      </c>
      <c r="D195" s="1949" t="s">
        <v>1534</v>
      </c>
      <c r="E195" s="1950"/>
      <c r="F195" s="930"/>
      <c r="G195" s="958"/>
      <c r="H195" s="926" t="s">
        <v>1380</v>
      </c>
      <c r="I195" s="930"/>
      <c r="J195" s="926" t="s">
        <v>1381</v>
      </c>
      <c r="K195" s="930"/>
      <c r="L195" s="926" t="s">
        <v>1397</v>
      </c>
      <c r="M195" s="930"/>
      <c r="N195" s="926" t="s">
        <v>1382</v>
      </c>
      <c r="O195" s="930"/>
      <c r="P195" s="926" t="s">
        <v>1486</v>
      </c>
      <c r="Q195" s="930"/>
      <c r="R195" s="926" t="s">
        <v>1487</v>
      </c>
      <c r="S195" s="930"/>
      <c r="T195" s="926" t="s">
        <v>1488</v>
      </c>
      <c r="U195" s="930"/>
      <c r="AE195" s="1956" t="str">
        <f>IF(AND(H196="",T205="Yes"),"Please Update Incentive Period","")</f>
        <v/>
      </c>
    </row>
    <row r="196" spans="1:31" ht="15.75" thickBot="1" x14ac:dyDescent="0.3">
      <c r="A196" s="543"/>
      <c r="B196" s="930"/>
      <c r="C196" s="918"/>
      <c r="D196" s="918"/>
      <c r="E196" s="918"/>
      <c r="F196" s="930"/>
      <c r="G196" s="958"/>
      <c r="H196" s="871"/>
      <c r="I196" s="930"/>
      <c r="J196" s="916"/>
      <c r="K196" s="930"/>
      <c r="L196" s="916"/>
      <c r="M196" s="930"/>
      <c r="N196" s="956"/>
      <c r="O196" s="930"/>
      <c r="P196" s="872" t="s">
        <v>1489</v>
      </c>
      <c r="Q196" s="930"/>
      <c r="R196" s="872" t="s">
        <v>1490</v>
      </c>
      <c r="S196" s="930"/>
      <c r="T196" s="912" t="s">
        <v>648</v>
      </c>
      <c r="U196" s="930"/>
      <c r="AE196" s="1956"/>
    </row>
    <row r="197" spans="1:31" ht="30.75" thickBot="1" x14ac:dyDescent="0.3">
      <c r="A197" s="543"/>
      <c r="B197" s="930"/>
      <c r="C197" s="923" t="s">
        <v>1491</v>
      </c>
      <c r="D197" s="1951">
        <v>3502</v>
      </c>
      <c r="E197" s="1952"/>
      <c r="F197" s="930"/>
      <c r="G197" s="958"/>
      <c r="H197" s="930"/>
      <c r="I197" s="930"/>
      <c r="J197" s="930"/>
      <c r="K197" s="930"/>
      <c r="L197" s="930"/>
      <c r="M197" s="930"/>
      <c r="N197" s="930"/>
      <c r="O197" s="930"/>
      <c r="P197" s="930"/>
      <c r="Q197" s="930"/>
      <c r="R197" s="930"/>
      <c r="S197" s="930"/>
      <c r="T197" s="930"/>
      <c r="U197" s="930"/>
    </row>
    <row r="198" spans="1:31" ht="15.75" thickBot="1" x14ac:dyDescent="0.3">
      <c r="A198" s="543"/>
      <c r="B198" s="930"/>
      <c r="C198" s="918"/>
      <c r="D198" s="918"/>
      <c r="E198" s="918"/>
      <c r="F198" s="930"/>
      <c r="G198" s="958"/>
      <c r="H198" s="927" t="s">
        <v>1387</v>
      </c>
      <c r="I198" s="930"/>
      <c r="J198" s="926" t="s">
        <v>1388</v>
      </c>
      <c r="K198" s="930"/>
      <c r="L198" s="926" t="s">
        <v>1389</v>
      </c>
      <c r="M198" s="930"/>
      <c r="N198" s="926" t="s">
        <v>1501</v>
      </c>
      <c r="O198" s="930"/>
      <c r="P198" s="926" t="s">
        <v>1502</v>
      </c>
      <c r="Q198" s="930"/>
      <c r="R198" s="926" t="s">
        <v>1503</v>
      </c>
      <c r="S198" s="930"/>
      <c r="T198" s="930"/>
      <c r="U198" s="930"/>
    </row>
    <row r="199" spans="1:31" ht="18" customHeight="1" thickBot="1" x14ac:dyDescent="0.3">
      <c r="A199" s="543"/>
      <c r="B199" s="930"/>
      <c r="C199" s="923" t="s">
        <v>1385</v>
      </c>
      <c r="D199" s="1953" t="str">
        <f>AA16</f>
        <v/>
      </c>
      <c r="E199" s="1954"/>
      <c r="F199" s="930"/>
      <c r="G199" s="958" t="s">
        <v>997</v>
      </c>
      <c r="H199" s="891"/>
      <c r="I199" s="930"/>
      <c r="J199" s="931"/>
      <c r="K199" s="930"/>
      <c r="L199" s="891"/>
      <c r="M199" s="930"/>
      <c r="N199" s="886" t="s">
        <v>479</v>
      </c>
      <c r="O199" s="930"/>
      <c r="P199" s="886" t="s">
        <v>1151</v>
      </c>
      <c r="Q199" s="930"/>
      <c r="R199" s="886" t="s">
        <v>1505</v>
      </c>
      <c r="S199" s="930"/>
      <c r="T199" s="930"/>
      <c r="U199" s="930"/>
    </row>
    <row r="200" spans="1:31" ht="15.75" thickBot="1" x14ac:dyDescent="0.3">
      <c r="A200" s="543"/>
      <c r="B200" s="930"/>
      <c r="C200" s="918"/>
      <c r="D200" s="911"/>
      <c r="E200" s="911"/>
      <c r="F200" s="930"/>
      <c r="G200" s="958"/>
      <c r="H200" s="930"/>
      <c r="I200" s="930"/>
      <c r="J200" s="930"/>
      <c r="K200" s="930"/>
      <c r="L200" s="930"/>
      <c r="M200" s="930"/>
      <c r="N200" s="930"/>
      <c r="O200" s="930"/>
      <c r="P200" s="930"/>
      <c r="Q200" s="930"/>
      <c r="R200" s="930"/>
      <c r="S200" s="930"/>
      <c r="T200" s="930"/>
      <c r="U200" s="930"/>
    </row>
    <row r="201" spans="1:31" ht="30.75" thickBot="1" x14ac:dyDescent="0.3">
      <c r="A201" s="543"/>
      <c r="B201" s="930"/>
      <c r="C201" s="923" t="s">
        <v>1386</v>
      </c>
      <c r="D201" s="1953" t="str">
        <f>AB16</f>
        <v/>
      </c>
      <c r="E201" s="1954"/>
      <c r="F201" s="930"/>
      <c r="G201" s="958"/>
      <c r="H201" s="925" t="s">
        <v>1492</v>
      </c>
      <c r="I201" s="930"/>
      <c r="J201" s="926" t="s">
        <v>1506</v>
      </c>
      <c r="K201" s="930"/>
      <c r="L201" s="926" t="s">
        <v>1493</v>
      </c>
      <c r="M201" s="930"/>
      <c r="N201" s="926" t="s">
        <v>1507</v>
      </c>
      <c r="O201" s="930"/>
      <c r="P201" s="926" t="s">
        <v>1508</v>
      </c>
      <c r="Q201" s="930"/>
      <c r="R201" s="930"/>
      <c r="S201" s="930"/>
      <c r="T201" s="997" t="s">
        <v>1599</v>
      </c>
      <c r="U201" s="930"/>
    </row>
    <row r="202" spans="1:31" ht="15.75" thickBot="1" x14ac:dyDescent="0.3">
      <c r="A202" s="543"/>
      <c r="B202" s="930"/>
      <c r="C202" s="918"/>
      <c r="D202" s="918"/>
      <c r="E202" s="918"/>
      <c r="F202" s="930"/>
      <c r="G202" s="958"/>
      <c r="H202" s="912" t="s">
        <v>646</v>
      </c>
      <c r="I202" s="930"/>
      <c r="J202" s="872" t="s">
        <v>1494</v>
      </c>
      <c r="K202" s="930"/>
      <c r="L202" s="954" t="s">
        <v>1872</v>
      </c>
      <c r="M202" s="930"/>
      <c r="N202" s="886" t="s">
        <v>646</v>
      </c>
      <c r="O202" s="930"/>
      <c r="P202" s="886" t="s">
        <v>648</v>
      </c>
      <c r="Q202" s="930"/>
      <c r="R202" s="930"/>
      <c r="S202" s="930"/>
      <c r="T202" s="998" t="s">
        <v>646</v>
      </c>
      <c r="U202" s="930"/>
    </row>
    <row r="203" spans="1:31" ht="30" customHeight="1" thickBot="1" x14ac:dyDescent="0.3">
      <c r="A203" s="543"/>
      <c r="B203" s="930"/>
      <c r="C203" s="924" t="s">
        <v>1495</v>
      </c>
      <c r="D203" s="1943" t="s">
        <v>646</v>
      </c>
      <c r="E203" s="1944"/>
      <c r="F203" s="930"/>
      <c r="G203" s="958"/>
      <c r="H203" s="930"/>
      <c r="I203" s="930"/>
      <c r="J203" s="930"/>
      <c r="K203" s="930"/>
      <c r="L203" s="930"/>
      <c r="M203" s="930"/>
      <c r="N203" s="930"/>
      <c r="O203" s="930"/>
      <c r="P203" s="930"/>
      <c r="Q203" s="930"/>
      <c r="R203" s="930"/>
      <c r="S203" s="930"/>
      <c r="T203" s="930"/>
      <c r="U203" s="930"/>
    </row>
    <row r="204" spans="1:31" ht="15.75" thickBot="1" x14ac:dyDescent="0.3">
      <c r="A204" s="543"/>
      <c r="B204" s="930"/>
      <c r="C204" s="918"/>
      <c r="D204" s="918"/>
      <c r="E204" s="918"/>
      <c r="F204" s="930"/>
      <c r="G204" s="958"/>
      <c r="H204" s="930"/>
      <c r="I204" s="930"/>
      <c r="J204" s="930"/>
      <c r="K204" s="930"/>
      <c r="L204" s="930"/>
      <c r="M204" s="930"/>
      <c r="N204" s="930"/>
      <c r="O204" s="930"/>
      <c r="P204" s="930"/>
      <c r="Q204" s="930"/>
      <c r="R204" s="716" t="s">
        <v>2102</v>
      </c>
      <c r="S204" s="930"/>
      <c r="T204" s="926" t="s">
        <v>523</v>
      </c>
      <c r="U204" s="930"/>
    </row>
    <row r="205" spans="1:31" ht="15.75" thickBot="1" x14ac:dyDescent="0.3">
      <c r="A205" s="543"/>
      <c r="B205" s="930"/>
      <c r="C205" s="923" t="s">
        <v>1496</v>
      </c>
      <c r="D205" s="1951" t="s">
        <v>1531</v>
      </c>
      <c r="E205" s="1936"/>
      <c r="F205" s="930"/>
      <c r="G205" s="958"/>
      <c r="H205" s="930"/>
      <c r="I205" s="930"/>
      <c r="J205" s="930"/>
      <c r="K205" s="930"/>
      <c r="L205" s="930"/>
      <c r="M205" s="930"/>
      <c r="N205" s="930"/>
      <c r="O205" s="930"/>
      <c r="P205" s="930"/>
      <c r="Q205" s="930"/>
      <c r="R205" s="1550" t="s">
        <v>648</v>
      </c>
      <c r="S205" s="930"/>
      <c r="T205" s="954" t="str">
        <f>IF(Z16&lt;&gt;"","Yes","No")</f>
        <v>No</v>
      </c>
      <c r="U205" s="930"/>
    </row>
    <row r="206" spans="1:31" ht="15.75" thickBot="1" x14ac:dyDescent="0.3">
      <c r="A206" s="543"/>
      <c r="B206" s="930"/>
      <c r="C206" s="930"/>
      <c r="D206" s="930"/>
      <c r="E206" s="930"/>
      <c r="F206" s="930"/>
      <c r="G206" s="958"/>
      <c r="H206" s="930"/>
      <c r="I206" s="930"/>
      <c r="J206" s="930"/>
      <c r="K206" s="930"/>
      <c r="L206" s="930"/>
      <c r="M206" s="930"/>
      <c r="N206" s="930"/>
      <c r="O206" s="930"/>
      <c r="P206" s="930"/>
      <c r="Q206" s="930"/>
      <c r="R206" s="930"/>
      <c r="S206" s="930"/>
      <c r="T206" s="930"/>
      <c r="U206" s="930"/>
    </row>
    <row r="207" spans="1:31" ht="20.25" customHeight="1" thickBot="1" x14ac:dyDescent="0.3">
      <c r="A207" s="543"/>
      <c r="B207" s="1948" t="s">
        <v>1536</v>
      </c>
      <c r="C207" s="1935"/>
      <c r="D207" s="1935"/>
      <c r="E207" s="1935"/>
      <c r="F207" s="1935"/>
      <c r="G207" s="1935"/>
      <c r="H207" s="1935"/>
      <c r="I207" s="1935"/>
      <c r="J207" s="1935"/>
      <c r="K207" s="1935"/>
      <c r="L207" s="1935"/>
      <c r="M207" s="1935"/>
      <c r="N207" s="1935"/>
      <c r="O207" s="1935"/>
      <c r="P207" s="1935"/>
      <c r="Q207" s="1935"/>
      <c r="R207" s="1935"/>
      <c r="S207" s="1935"/>
      <c r="T207" s="1935"/>
      <c r="U207" s="1936"/>
    </row>
    <row r="208" spans="1:31" ht="15.75" thickBot="1" x14ac:dyDescent="0.3">
      <c r="A208" s="543"/>
      <c r="B208" s="930"/>
      <c r="C208" s="930"/>
      <c r="D208" s="930"/>
      <c r="E208" s="930"/>
      <c r="F208" s="930"/>
      <c r="G208" s="958"/>
      <c r="H208" s="930"/>
      <c r="I208" s="930"/>
      <c r="J208" s="930"/>
      <c r="K208" s="930"/>
      <c r="L208" s="930"/>
      <c r="M208" s="930"/>
      <c r="N208" s="930"/>
      <c r="O208" s="930"/>
      <c r="P208" s="930"/>
      <c r="Q208" s="930"/>
      <c r="R208" s="930"/>
      <c r="S208" s="930"/>
      <c r="T208" s="930"/>
      <c r="U208" s="930"/>
    </row>
    <row r="209" spans="1:31" ht="30.75" thickBot="1" x14ac:dyDescent="0.3">
      <c r="A209" s="396"/>
      <c r="B209" s="930"/>
      <c r="C209" s="923" t="s">
        <v>1383</v>
      </c>
      <c r="D209" s="1949" t="s">
        <v>1537</v>
      </c>
      <c r="E209" s="1950"/>
      <c r="F209" s="930"/>
      <c r="G209" s="958"/>
      <c r="H209" s="926" t="s">
        <v>1380</v>
      </c>
      <c r="I209" s="930"/>
      <c r="J209" s="926" t="s">
        <v>1381</v>
      </c>
      <c r="K209" s="930"/>
      <c r="L209" s="926" t="s">
        <v>1397</v>
      </c>
      <c r="M209" s="930"/>
      <c r="N209" s="926" t="s">
        <v>1382</v>
      </c>
      <c r="O209" s="930"/>
      <c r="P209" s="926" t="s">
        <v>1486</v>
      </c>
      <c r="Q209" s="930"/>
      <c r="R209" s="926" t="s">
        <v>1487</v>
      </c>
      <c r="S209" s="930"/>
      <c r="T209" s="926" t="s">
        <v>1488</v>
      </c>
      <c r="U209" s="930"/>
      <c r="AE209" s="1956" t="str">
        <f>IF(AND(H210="",T220="Yes"),"Please Update Incentive Period","")</f>
        <v/>
      </c>
    </row>
    <row r="210" spans="1:31" ht="15.75" thickBot="1" x14ac:dyDescent="0.3">
      <c r="A210" s="543"/>
      <c r="B210" s="930"/>
      <c r="C210" s="918"/>
      <c r="D210" s="918"/>
      <c r="E210" s="918"/>
      <c r="F210" s="930"/>
      <c r="G210" s="958"/>
      <c r="H210" s="871"/>
      <c r="I210" s="930"/>
      <c r="J210" s="916"/>
      <c r="K210" s="930"/>
      <c r="L210" s="916"/>
      <c r="M210" s="930"/>
      <c r="N210" s="956"/>
      <c r="O210" s="930"/>
      <c r="P210" s="872" t="s">
        <v>1489</v>
      </c>
      <c r="Q210" s="930"/>
      <c r="R210" s="872" t="s">
        <v>1490</v>
      </c>
      <c r="S210" s="930"/>
      <c r="T210" s="912" t="s">
        <v>648</v>
      </c>
      <c r="U210" s="930"/>
      <c r="AE210" s="1956"/>
    </row>
    <row r="211" spans="1:31" ht="30.75" thickBot="1" x14ac:dyDescent="0.3">
      <c r="A211" s="543"/>
      <c r="B211" s="930"/>
      <c r="C211" s="923" t="s">
        <v>1491</v>
      </c>
      <c r="D211" s="1951">
        <v>3601</v>
      </c>
      <c r="E211" s="1952"/>
      <c r="F211" s="930"/>
      <c r="G211" s="958"/>
      <c r="H211" s="930"/>
      <c r="I211" s="930"/>
      <c r="J211" s="930"/>
      <c r="K211" s="930"/>
      <c r="L211" s="930"/>
      <c r="M211" s="930"/>
      <c r="N211" s="930"/>
      <c r="O211" s="930"/>
      <c r="P211" s="930"/>
      <c r="Q211" s="930"/>
      <c r="R211" s="930"/>
      <c r="S211" s="930"/>
      <c r="T211" s="930"/>
      <c r="U211" s="930"/>
    </row>
    <row r="212" spans="1:31" ht="15.75" thickBot="1" x14ac:dyDescent="0.3">
      <c r="A212" s="543"/>
      <c r="B212" s="930"/>
      <c r="C212" s="918"/>
      <c r="D212" s="918"/>
      <c r="E212" s="918"/>
      <c r="F212" s="930"/>
      <c r="G212" s="958"/>
      <c r="H212" s="927" t="s">
        <v>1387</v>
      </c>
      <c r="I212" s="930"/>
      <c r="J212" s="926" t="s">
        <v>1388</v>
      </c>
      <c r="K212" s="930"/>
      <c r="L212" s="926" t="s">
        <v>1389</v>
      </c>
      <c r="M212" s="930"/>
      <c r="N212" s="926" t="s">
        <v>1501</v>
      </c>
      <c r="O212" s="930"/>
      <c r="P212" s="926" t="s">
        <v>1502</v>
      </c>
      <c r="Q212" s="930"/>
      <c r="R212" s="926" t="s">
        <v>1503</v>
      </c>
      <c r="S212" s="930"/>
      <c r="T212" s="930"/>
      <c r="U212" s="930"/>
    </row>
    <row r="213" spans="1:31" ht="15.75" thickBot="1" x14ac:dyDescent="0.3">
      <c r="A213" s="543"/>
      <c r="B213" s="930"/>
      <c r="C213" s="923" t="s">
        <v>1385</v>
      </c>
      <c r="D213" s="1953" t="str">
        <f>AA17</f>
        <v/>
      </c>
      <c r="E213" s="1954"/>
      <c r="F213" s="930"/>
      <c r="G213" s="958" t="s">
        <v>997</v>
      </c>
      <c r="H213" s="891"/>
      <c r="I213" s="930"/>
      <c r="J213" s="931"/>
      <c r="K213" s="930"/>
      <c r="L213" s="891"/>
      <c r="M213" s="930"/>
      <c r="N213" s="886" t="s">
        <v>479</v>
      </c>
      <c r="O213" s="930"/>
      <c r="P213" s="886" t="s">
        <v>1151</v>
      </c>
      <c r="Q213" s="930"/>
      <c r="R213" s="886" t="s">
        <v>1505</v>
      </c>
      <c r="S213" s="930"/>
      <c r="T213" s="930"/>
      <c r="U213" s="930"/>
    </row>
    <row r="214" spans="1:31" ht="15.75" thickBot="1" x14ac:dyDescent="0.3">
      <c r="A214" s="543"/>
      <c r="B214" s="930"/>
      <c r="C214" s="918"/>
      <c r="D214" s="911"/>
      <c r="E214" s="911"/>
      <c r="F214" s="930"/>
      <c r="G214" s="958" t="s">
        <v>1390</v>
      </c>
      <c r="H214" s="891"/>
      <c r="I214" s="930"/>
      <c r="J214" s="931"/>
      <c r="K214" s="930"/>
      <c r="L214" s="891"/>
      <c r="M214" s="930"/>
      <c r="N214" s="886" t="s">
        <v>479</v>
      </c>
      <c r="O214" s="930"/>
      <c r="P214" s="886" t="s">
        <v>1151</v>
      </c>
      <c r="Q214" s="930"/>
      <c r="R214" s="930"/>
      <c r="S214" s="930"/>
      <c r="T214" s="930"/>
      <c r="U214" s="930"/>
    </row>
    <row r="215" spans="1:31" ht="15.75" thickBot="1" x14ac:dyDescent="0.3">
      <c r="A215" s="543"/>
      <c r="B215" s="930"/>
      <c r="C215" s="923" t="s">
        <v>1386</v>
      </c>
      <c r="D215" s="1953" t="str">
        <f>AB17</f>
        <v/>
      </c>
      <c r="E215" s="1954"/>
      <c r="F215" s="930"/>
      <c r="G215" s="958" t="s">
        <v>1391</v>
      </c>
      <c r="H215" s="891"/>
      <c r="I215" s="930"/>
      <c r="J215" s="931"/>
      <c r="K215" s="930"/>
      <c r="L215" s="891"/>
      <c r="M215" s="930"/>
      <c r="N215" s="886" t="s">
        <v>479</v>
      </c>
      <c r="O215" s="930"/>
      <c r="P215" s="886" t="s">
        <v>1151</v>
      </c>
      <c r="Q215" s="930"/>
      <c r="R215" s="930"/>
      <c r="S215" s="930"/>
      <c r="T215" s="997" t="s">
        <v>1599</v>
      </c>
      <c r="U215" s="930"/>
    </row>
    <row r="216" spans="1:31" x14ac:dyDescent="0.25">
      <c r="A216" s="543"/>
      <c r="B216" s="930"/>
      <c r="C216" s="918"/>
      <c r="D216" s="918"/>
      <c r="E216" s="918"/>
      <c r="F216" s="930"/>
      <c r="G216" s="958" t="s">
        <v>1393</v>
      </c>
      <c r="H216" s="891"/>
      <c r="I216" s="930"/>
      <c r="J216" s="921"/>
      <c r="K216" s="930"/>
      <c r="L216" s="891"/>
      <c r="M216" s="930"/>
      <c r="N216" s="886" t="s">
        <v>479</v>
      </c>
      <c r="O216" s="930"/>
      <c r="P216" s="886" t="s">
        <v>1151</v>
      </c>
      <c r="Q216" s="930"/>
      <c r="R216" s="930"/>
      <c r="S216" s="930"/>
      <c r="T216" s="998" t="s">
        <v>646</v>
      </c>
      <c r="U216" s="930"/>
    </row>
    <row r="217" spans="1:31" x14ac:dyDescent="0.25">
      <c r="A217" s="543"/>
      <c r="B217" s="930"/>
      <c r="C217" s="918"/>
      <c r="D217" s="918"/>
      <c r="E217" s="918"/>
      <c r="F217" s="930"/>
      <c r="G217" s="958" t="s">
        <v>1395</v>
      </c>
      <c r="H217" s="891"/>
      <c r="I217" s="930"/>
      <c r="J217" s="921"/>
      <c r="K217" s="930"/>
      <c r="L217" s="891"/>
      <c r="M217" s="930"/>
      <c r="N217" s="886" t="s">
        <v>479</v>
      </c>
      <c r="O217" s="930"/>
      <c r="P217" s="886" t="s">
        <v>1151</v>
      </c>
      <c r="Q217" s="930"/>
      <c r="R217" s="930"/>
      <c r="S217" s="930"/>
      <c r="T217" s="930"/>
      <c r="U217" s="930"/>
    </row>
    <row r="218" spans="1:31" ht="15.75" thickBot="1" x14ac:dyDescent="0.3">
      <c r="A218" s="543"/>
      <c r="B218" s="930"/>
      <c r="C218" s="918"/>
      <c r="D218" s="918"/>
      <c r="E218" s="918"/>
      <c r="F218" s="930"/>
      <c r="G218" s="958"/>
      <c r="H218" s="930"/>
      <c r="I218" s="930"/>
      <c r="J218" s="930"/>
      <c r="K218" s="930"/>
      <c r="L218" s="930"/>
      <c r="M218" s="930"/>
      <c r="N218" s="930"/>
      <c r="O218" s="930"/>
      <c r="P218" s="930"/>
      <c r="Q218" s="930"/>
      <c r="R218" s="930"/>
      <c r="S218" s="930"/>
      <c r="T218" s="930"/>
      <c r="U218" s="930"/>
    </row>
    <row r="219" spans="1:31" ht="30.75" thickBot="1" x14ac:dyDescent="0.3">
      <c r="A219" s="543"/>
      <c r="B219" s="930"/>
      <c r="C219" s="924" t="s">
        <v>1495</v>
      </c>
      <c r="D219" s="1969" t="s">
        <v>646</v>
      </c>
      <c r="E219" s="1944"/>
      <c r="F219" s="930"/>
      <c r="G219" s="958"/>
      <c r="H219" s="925" t="s">
        <v>1492</v>
      </c>
      <c r="I219" s="930"/>
      <c r="J219" s="926" t="s">
        <v>1506</v>
      </c>
      <c r="K219" s="930"/>
      <c r="L219" s="926" t="s">
        <v>1493</v>
      </c>
      <c r="M219" s="930"/>
      <c r="N219" s="926" t="s">
        <v>1507</v>
      </c>
      <c r="O219" s="930"/>
      <c r="P219" s="926" t="s">
        <v>1508</v>
      </c>
      <c r="Q219" s="930"/>
      <c r="R219" s="716" t="s">
        <v>2102</v>
      </c>
      <c r="S219" s="930"/>
      <c r="T219" s="926" t="s">
        <v>523</v>
      </c>
      <c r="U219" s="930"/>
    </row>
    <row r="220" spans="1:31" ht="15.75" thickBot="1" x14ac:dyDescent="0.3">
      <c r="A220" s="543"/>
      <c r="B220" s="930"/>
      <c r="C220" s="918"/>
      <c r="D220" s="918"/>
      <c r="E220" s="918"/>
      <c r="F220" s="930"/>
      <c r="G220" s="958"/>
      <c r="H220" s="912" t="s">
        <v>646</v>
      </c>
      <c r="I220" s="930"/>
      <c r="J220" s="872" t="s">
        <v>1494</v>
      </c>
      <c r="K220" s="930"/>
      <c r="L220" s="954" t="s">
        <v>1872</v>
      </c>
      <c r="M220" s="930"/>
      <c r="N220" s="886" t="s">
        <v>646</v>
      </c>
      <c r="O220" s="930"/>
      <c r="P220" s="886" t="s">
        <v>648</v>
      </c>
      <c r="Q220" s="930"/>
      <c r="R220" s="1550" t="s">
        <v>648</v>
      </c>
      <c r="S220" s="930"/>
      <c r="T220" s="954" t="str">
        <f>IF(Z17&lt;&gt;"","Yes","No")</f>
        <v>No</v>
      </c>
      <c r="U220" s="930"/>
    </row>
    <row r="221" spans="1:31" ht="15.75" thickBot="1" x14ac:dyDescent="0.3">
      <c r="A221" s="543"/>
      <c r="B221" s="930"/>
      <c r="C221" s="923" t="s">
        <v>1496</v>
      </c>
      <c r="D221" s="1951" t="s">
        <v>1531</v>
      </c>
      <c r="E221" s="1936"/>
      <c r="F221" s="930"/>
      <c r="G221" s="958"/>
      <c r="H221" s="930"/>
      <c r="I221" s="930"/>
      <c r="J221" s="930"/>
      <c r="K221" s="930"/>
      <c r="L221" s="930"/>
      <c r="M221" s="930"/>
      <c r="N221" s="930"/>
      <c r="O221" s="930"/>
      <c r="P221" s="930"/>
      <c r="Q221" s="930"/>
      <c r="R221" s="930"/>
      <c r="S221" s="930"/>
      <c r="T221" s="930"/>
      <c r="U221" s="930"/>
    </row>
    <row r="222" spans="1:31" ht="15.75" thickBot="1" x14ac:dyDescent="0.3">
      <c r="A222" s="543"/>
      <c r="B222" s="930"/>
      <c r="C222" s="930"/>
      <c r="D222" s="930"/>
      <c r="E222" s="930"/>
      <c r="F222" s="930"/>
      <c r="G222" s="958"/>
      <c r="H222" s="930"/>
      <c r="I222" s="930"/>
      <c r="J222" s="930"/>
      <c r="K222" s="930"/>
      <c r="L222" s="930"/>
      <c r="M222" s="930"/>
      <c r="N222" s="930"/>
      <c r="O222" s="930"/>
      <c r="P222" s="930"/>
      <c r="Q222" s="930"/>
      <c r="R222" s="930"/>
      <c r="S222" s="930"/>
      <c r="T222" s="930"/>
      <c r="U222" s="930"/>
    </row>
    <row r="223" spans="1:31" ht="20.25" customHeight="1" thickBot="1" x14ac:dyDescent="0.3">
      <c r="A223" s="543"/>
      <c r="B223" s="1948" t="s">
        <v>1538</v>
      </c>
      <c r="C223" s="1935"/>
      <c r="D223" s="1935"/>
      <c r="E223" s="1935"/>
      <c r="F223" s="1935"/>
      <c r="G223" s="1935"/>
      <c r="H223" s="1935"/>
      <c r="I223" s="1935"/>
      <c r="J223" s="1935"/>
      <c r="K223" s="1935"/>
      <c r="L223" s="1935"/>
      <c r="M223" s="1935"/>
      <c r="N223" s="1935"/>
      <c r="O223" s="1935"/>
      <c r="P223" s="1935"/>
      <c r="Q223" s="1935"/>
      <c r="R223" s="1935"/>
      <c r="S223" s="1935"/>
      <c r="T223" s="1935"/>
      <c r="U223" s="1936"/>
    </row>
    <row r="224" spans="1:31" ht="20.25" customHeight="1" thickBot="1" x14ac:dyDescent="0.3">
      <c r="A224" s="543"/>
      <c r="B224" s="930"/>
      <c r="C224" s="930"/>
      <c r="D224" s="930"/>
      <c r="E224" s="930"/>
      <c r="F224" s="930"/>
      <c r="G224" s="958"/>
      <c r="H224" s="930"/>
      <c r="I224" s="930"/>
      <c r="J224" s="930"/>
      <c r="K224" s="930"/>
      <c r="L224" s="930"/>
      <c r="M224" s="930"/>
      <c r="N224" s="930"/>
      <c r="O224" s="930"/>
      <c r="P224" s="930"/>
      <c r="Q224" s="930"/>
      <c r="R224" s="930"/>
      <c r="S224" s="930"/>
      <c r="T224" s="930"/>
      <c r="U224" s="930"/>
    </row>
    <row r="225" spans="1:31" ht="30" customHeight="1" thickBot="1" x14ac:dyDescent="0.3">
      <c r="A225" s="396"/>
      <c r="B225" s="930"/>
      <c r="C225" s="923" t="s">
        <v>1383</v>
      </c>
      <c r="D225" s="1949" t="s">
        <v>1537</v>
      </c>
      <c r="E225" s="1950"/>
      <c r="F225" s="930"/>
      <c r="G225" s="958"/>
      <c r="H225" s="926" t="s">
        <v>1380</v>
      </c>
      <c r="I225" s="930"/>
      <c r="J225" s="926" t="s">
        <v>1381</v>
      </c>
      <c r="K225" s="930"/>
      <c r="L225" s="926" t="s">
        <v>1397</v>
      </c>
      <c r="M225" s="930"/>
      <c r="N225" s="926" t="s">
        <v>1382</v>
      </c>
      <c r="O225" s="930"/>
      <c r="P225" s="926" t="s">
        <v>1486</v>
      </c>
      <c r="Q225" s="930"/>
      <c r="R225" s="926" t="s">
        <v>1487</v>
      </c>
      <c r="S225" s="930"/>
      <c r="T225" s="926" t="s">
        <v>1488</v>
      </c>
      <c r="U225" s="930"/>
      <c r="AE225" s="1956" t="str">
        <f>IF(AND(H226="",T236="Yes"),"Please Update Incentive Period","")</f>
        <v/>
      </c>
    </row>
    <row r="226" spans="1:31" ht="18" customHeight="1" thickBot="1" x14ac:dyDescent="0.3">
      <c r="A226" s="543"/>
      <c r="B226" s="930"/>
      <c r="C226" s="918"/>
      <c r="D226" s="918"/>
      <c r="E226" s="918"/>
      <c r="F226" s="930"/>
      <c r="G226" s="958"/>
      <c r="H226" s="871"/>
      <c r="I226" s="930"/>
      <c r="J226" s="916"/>
      <c r="K226" s="930"/>
      <c r="L226" s="916"/>
      <c r="M226" s="930"/>
      <c r="N226" s="956"/>
      <c r="O226" s="930"/>
      <c r="P226" s="872" t="s">
        <v>1489</v>
      </c>
      <c r="Q226" s="930"/>
      <c r="R226" s="872" t="s">
        <v>1490</v>
      </c>
      <c r="S226" s="930"/>
      <c r="T226" s="912" t="s">
        <v>648</v>
      </c>
      <c r="U226" s="930"/>
      <c r="AE226" s="1956"/>
    </row>
    <row r="227" spans="1:31" ht="30" customHeight="1" thickBot="1" x14ac:dyDescent="0.3">
      <c r="A227" s="543"/>
      <c r="B227" s="930"/>
      <c r="C227" s="923" t="s">
        <v>1491</v>
      </c>
      <c r="D227" s="1951">
        <v>3602</v>
      </c>
      <c r="E227" s="1952"/>
      <c r="F227" s="930"/>
      <c r="G227" s="958"/>
      <c r="H227" s="930"/>
      <c r="I227" s="930"/>
      <c r="J227" s="930"/>
      <c r="K227" s="930"/>
      <c r="L227" s="930"/>
      <c r="M227" s="930"/>
      <c r="N227" s="930"/>
      <c r="O227" s="930"/>
      <c r="P227" s="930"/>
      <c r="Q227" s="930"/>
      <c r="R227" s="930"/>
      <c r="S227" s="930"/>
      <c r="T227" s="930"/>
      <c r="U227" s="930"/>
    </row>
    <row r="228" spans="1:31" ht="30" customHeight="1" thickBot="1" x14ac:dyDescent="0.3">
      <c r="A228" s="543"/>
      <c r="B228" s="930"/>
      <c r="C228" s="918"/>
      <c r="D228" s="918"/>
      <c r="E228" s="918"/>
      <c r="F228" s="930"/>
      <c r="G228" s="958"/>
      <c r="H228" s="927" t="s">
        <v>1387</v>
      </c>
      <c r="I228" s="930"/>
      <c r="J228" s="926" t="s">
        <v>1388</v>
      </c>
      <c r="K228" s="930"/>
      <c r="L228" s="926" t="s">
        <v>1389</v>
      </c>
      <c r="M228" s="930"/>
      <c r="N228" s="926" t="s">
        <v>1501</v>
      </c>
      <c r="O228" s="930"/>
      <c r="P228" s="926" t="s">
        <v>1502</v>
      </c>
      <c r="Q228" s="930"/>
      <c r="R228" s="926" t="s">
        <v>1503</v>
      </c>
      <c r="S228" s="930"/>
      <c r="T228" s="930"/>
      <c r="U228" s="930"/>
    </row>
    <row r="229" spans="1:31" ht="17.25" customHeight="1" thickBot="1" x14ac:dyDescent="0.3">
      <c r="A229" s="543"/>
      <c r="B229" s="930"/>
      <c r="C229" s="923" t="s">
        <v>1385</v>
      </c>
      <c r="D229" s="1953" t="str">
        <f>AA18</f>
        <v/>
      </c>
      <c r="E229" s="1954"/>
      <c r="F229" s="930"/>
      <c r="G229" s="958" t="s">
        <v>997</v>
      </c>
      <c r="H229" s="891"/>
      <c r="I229" s="930"/>
      <c r="J229" s="931"/>
      <c r="K229" s="930"/>
      <c r="L229" s="891"/>
      <c r="M229" s="930"/>
      <c r="N229" s="886" t="s">
        <v>479</v>
      </c>
      <c r="O229" s="930"/>
      <c r="P229" s="886" t="s">
        <v>1151</v>
      </c>
      <c r="Q229" s="930"/>
      <c r="R229" s="886" t="s">
        <v>1505</v>
      </c>
      <c r="S229" s="930"/>
      <c r="T229" s="930"/>
      <c r="U229" s="930"/>
    </row>
    <row r="230" spans="1:31" ht="18" customHeight="1" thickBot="1" x14ac:dyDescent="0.3">
      <c r="A230" s="543"/>
      <c r="B230" s="930"/>
      <c r="C230" s="918"/>
      <c r="D230" s="911"/>
      <c r="E230" s="911"/>
      <c r="F230" s="930"/>
      <c r="G230" s="958" t="s">
        <v>1390</v>
      </c>
      <c r="H230" s="891"/>
      <c r="I230" s="930"/>
      <c r="J230" s="931"/>
      <c r="K230" s="930"/>
      <c r="L230" s="891"/>
      <c r="M230" s="930"/>
      <c r="N230" s="886" t="s">
        <v>479</v>
      </c>
      <c r="O230" s="930"/>
      <c r="P230" s="886" t="s">
        <v>1151</v>
      </c>
      <c r="Q230" s="930"/>
      <c r="R230" s="930"/>
      <c r="S230" s="930"/>
      <c r="T230" s="930"/>
      <c r="U230" s="930"/>
    </row>
    <row r="231" spans="1:31" ht="18" customHeight="1" thickBot="1" x14ac:dyDescent="0.3">
      <c r="A231" s="543"/>
      <c r="B231" s="930"/>
      <c r="C231" s="923" t="s">
        <v>1386</v>
      </c>
      <c r="D231" s="1953" t="str">
        <f>AB18</f>
        <v/>
      </c>
      <c r="E231" s="1954"/>
      <c r="F231" s="930"/>
      <c r="G231" s="958" t="s">
        <v>1391</v>
      </c>
      <c r="H231" s="891"/>
      <c r="I231" s="930"/>
      <c r="J231" s="931"/>
      <c r="K231" s="930"/>
      <c r="L231" s="891"/>
      <c r="M231" s="930"/>
      <c r="N231" s="886" t="s">
        <v>479</v>
      </c>
      <c r="O231" s="930"/>
      <c r="P231" s="886" t="s">
        <v>1151</v>
      </c>
      <c r="Q231" s="930"/>
      <c r="R231" s="930"/>
      <c r="S231" s="930"/>
      <c r="T231" s="997" t="s">
        <v>1599</v>
      </c>
      <c r="U231" s="930"/>
    </row>
    <row r="232" spans="1:31" ht="18" customHeight="1" x14ac:dyDescent="0.25">
      <c r="A232" s="543"/>
      <c r="B232" s="930"/>
      <c r="C232" s="918"/>
      <c r="D232" s="918"/>
      <c r="E232" s="918"/>
      <c r="F232" s="930"/>
      <c r="G232" s="958" t="s">
        <v>1393</v>
      </c>
      <c r="H232" s="891"/>
      <c r="I232" s="930"/>
      <c r="J232" s="921"/>
      <c r="K232" s="930"/>
      <c r="L232" s="891"/>
      <c r="M232" s="930"/>
      <c r="N232" s="886" t="s">
        <v>479</v>
      </c>
      <c r="O232" s="930"/>
      <c r="P232" s="886" t="s">
        <v>1151</v>
      </c>
      <c r="Q232" s="930"/>
      <c r="R232" s="930"/>
      <c r="S232" s="930"/>
      <c r="T232" s="998" t="s">
        <v>646</v>
      </c>
      <c r="U232" s="930"/>
    </row>
    <row r="233" spans="1:31" ht="18" customHeight="1" x14ac:dyDescent="0.25">
      <c r="A233" s="543"/>
      <c r="B233" s="930"/>
      <c r="C233" s="918"/>
      <c r="D233" s="918"/>
      <c r="E233" s="918"/>
      <c r="F233" s="930"/>
      <c r="G233" s="958" t="s">
        <v>1395</v>
      </c>
      <c r="H233" s="891"/>
      <c r="I233" s="930"/>
      <c r="J233" s="921"/>
      <c r="K233" s="930"/>
      <c r="L233" s="891"/>
      <c r="M233" s="930"/>
      <c r="N233" s="886" t="s">
        <v>479</v>
      </c>
      <c r="O233" s="930"/>
      <c r="P233" s="886" t="s">
        <v>1151</v>
      </c>
      <c r="Q233" s="930"/>
      <c r="R233" s="930"/>
      <c r="S233" s="930"/>
      <c r="T233" s="930"/>
      <c r="U233" s="930"/>
    </row>
    <row r="234" spans="1:31" ht="18" customHeight="1" thickBot="1" x14ac:dyDescent="0.3">
      <c r="A234" s="543"/>
      <c r="B234" s="930"/>
      <c r="C234" s="918"/>
      <c r="D234" s="918"/>
      <c r="E234" s="918"/>
      <c r="F234" s="930"/>
      <c r="G234" s="958"/>
      <c r="H234" s="930"/>
      <c r="I234" s="930"/>
      <c r="J234" s="930"/>
      <c r="K234" s="930"/>
      <c r="L234" s="930"/>
      <c r="M234" s="930"/>
      <c r="N234" s="930"/>
      <c r="O234" s="930"/>
      <c r="P234" s="930"/>
      <c r="Q234" s="930"/>
      <c r="R234" s="930"/>
      <c r="S234" s="930"/>
      <c r="T234" s="930"/>
      <c r="U234" s="930"/>
    </row>
    <row r="235" spans="1:31" ht="30" customHeight="1" thickBot="1" x14ac:dyDescent="0.3">
      <c r="A235" s="543"/>
      <c r="B235" s="930"/>
      <c r="C235" s="924" t="s">
        <v>1495</v>
      </c>
      <c r="D235" s="1943" t="s">
        <v>646</v>
      </c>
      <c r="E235" s="1944"/>
      <c r="F235" s="930"/>
      <c r="G235" s="958"/>
      <c r="H235" s="925" t="s">
        <v>1492</v>
      </c>
      <c r="I235" s="930"/>
      <c r="J235" s="926" t="s">
        <v>1506</v>
      </c>
      <c r="K235" s="930"/>
      <c r="L235" s="926" t="s">
        <v>1493</v>
      </c>
      <c r="M235" s="930"/>
      <c r="N235" s="926" t="s">
        <v>1507</v>
      </c>
      <c r="O235" s="930"/>
      <c r="P235" s="926" t="s">
        <v>1508</v>
      </c>
      <c r="Q235" s="930"/>
      <c r="R235" s="716" t="s">
        <v>2102</v>
      </c>
      <c r="S235" s="930"/>
      <c r="T235" s="926" t="s">
        <v>523</v>
      </c>
      <c r="U235" s="930"/>
    </row>
    <row r="236" spans="1:31" ht="18" customHeight="1" thickBot="1" x14ac:dyDescent="0.3">
      <c r="A236" s="543"/>
      <c r="B236" s="930"/>
      <c r="C236" s="918"/>
      <c r="D236" s="918"/>
      <c r="E236" s="918"/>
      <c r="F236" s="930"/>
      <c r="G236" s="958"/>
      <c r="H236" s="912" t="s">
        <v>646</v>
      </c>
      <c r="I236" s="930"/>
      <c r="J236" s="872" t="s">
        <v>1494</v>
      </c>
      <c r="K236" s="930"/>
      <c r="L236" s="954" t="s">
        <v>1872</v>
      </c>
      <c r="M236" s="930"/>
      <c r="N236" s="886" t="s">
        <v>646</v>
      </c>
      <c r="O236" s="930"/>
      <c r="P236" s="886" t="s">
        <v>648</v>
      </c>
      <c r="Q236" s="930"/>
      <c r="R236" s="1550" t="s">
        <v>648</v>
      </c>
      <c r="S236" s="930"/>
      <c r="T236" s="954" t="str">
        <f>IF(Z18&lt;&gt;"","Yes","No")</f>
        <v>No</v>
      </c>
      <c r="U236" s="930"/>
    </row>
    <row r="237" spans="1:31" ht="18" customHeight="1" thickBot="1" x14ac:dyDescent="0.3">
      <c r="A237" s="543"/>
      <c r="B237" s="930"/>
      <c r="C237" s="923" t="s">
        <v>1496</v>
      </c>
      <c r="D237" s="1951" t="s">
        <v>1531</v>
      </c>
      <c r="E237" s="1936"/>
      <c r="F237" s="930"/>
      <c r="G237" s="958"/>
      <c r="H237" s="930"/>
      <c r="I237" s="930"/>
      <c r="J237" s="930"/>
      <c r="K237" s="930"/>
      <c r="L237" s="930"/>
      <c r="M237" s="930"/>
      <c r="N237" s="930"/>
      <c r="O237" s="930"/>
      <c r="P237" s="930"/>
      <c r="Q237" s="930"/>
      <c r="R237" s="930"/>
      <c r="S237" s="930"/>
      <c r="T237" s="930"/>
      <c r="U237" s="930"/>
    </row>
    <row r="238" spans="1:31" ht="18" customHeight="1" thickBot="1" x14ac:dyDescent="0.3">
      <c r="A238" s="543"/>
      <c r="B238" s="930"/>
      <c r="C238" s="930"/>
      <c r="D238" s="930"/>
      <c r="E238" s="930"/>
      <c r="F238" s="930"/>
      <c r="G238" s="958"/>
      <c r="H238" s="930"/>
      <c r="I238" s="930"/>
      <c r="J238" s="930"/>
      <c r="K238" s="930"/>
      <c r="L238" s="930"/>
      <c r="M238" s="930"/>
      <c r="N238" s="930"/>
      <c r="O238" s="930"/>
      <c r="P238" s="930"/>
      <c r="Q238" s="930"/>
      <c r="R238" s="930"/>
      <c r="S238" s="930"/>
      <c r="T238" s="930"/>
      <c r="U238" s="930"/>
    </row>
    <row r="239" spans="1:31" ht="20.25" customHeight="1" thickBot="1" x14ac:dyDescent="0.3">
      <c r="A239" s="922"/>
      <c r="B239" s="1959" t="s">
        <v>1680</v>
      </c>
      <c r="C239" s="1960"/>
      <c r="D239" s="1960"/>
      <c r="E239" s="1960"/>
      <c r="F239" s="1960"/>
      <c r="G239" s="1960"/>
      <c r="H239" s="1960"/>
      <c r="I239" s="1960"/>
      <c r="J239" s="1960"/>
      <c r="K239" s="1960"/>
      <c r="L239" s="1960"/>
      <c r="M239" s="1960"/>
      <c r="N239" s="1960"/>
      <c r="O239" s="1960"/>
      <c r="P239" s="1960"/>
      <c r="Q239" s="1960"/>
      <c r="R239" s="1960"/>
      <c r="S239" s="1960"/>
      <c r="T239" s="1960"/>
      <c r="U239" s="1961"/>
    </row>
    <row r="240" spans="1:31" ht="20.25" customHeight="1" thickBot="1" x14ac:dyDescent="0.3">
      <c r="A240" s="922"/>
      <c r="B240" s="930"/>
      <c r="C240" s="930"/>
      <c r="D240" s="930"/>
      <c r="E240" s="930"/>
      <c r="F240" s="930"/>
      <c r="G240" s="958"/>
      <c r="H240" s="930"/>
      <c r="I240" s="930"/>
      <c r="J240" s="930"/>
      <c r="K240" s="930"/>
      <c r="L240" s="930"/>
      <c r="M240" s="930"/>
      <c r="N240" s="930"/>
      <c r="O240" s="930"/>
      <c r="P240" s="930"/>
      <c r="Q240" s="930"/>
      <c r="R240" s="930"/>
      <c r="S240" s="930"/>
      <c r="T240" s="930"/>
      <c r="U240" s="930"/>
    </row>
    <row r="241" spans="1:31" ht="30" customHeight="1" thickBot="1" x14ac:dyDescent="0.3">
      <c r="A241" s="134"/>
      <c r="B241" s="930"/>
      <c r="C241" s="923" t="s">
        <v>1383</v>
      </c>
      <c r="D241" s="1949" t="s">
        <v>1539</v>
      </c>
      <c r="E241" s="1950"/>
      <c r="F241" s="930"/>
      <c r="G241" s="958"/>
      <c r="H241" s="926" t="s">
        <v>1380</v>
      </c>
      <c r="I241" s="930"/>
      <c r="J241" s="926" t="s">
        <v>1381</v>
      </c>
      <c r="K241" s="930"/>
      <c r="L241" s="926" t="s">
        <v>1397</v>
      </c>
      <c r="M241" s="930"/>
      <c r="N241" s="926" t="s">
        <v>1382</v>
      </c>
      <c r="O241" s="930"/>
      <c r="P241" s="926" t="s">
        <v>1486</v>
      </c>
      <c r="Q241" s="930"/>
      <c r="R241" s="926" t="s">
        <v>1487</v>
      </c>
      <c r="S241" s="930"/>
      <c r="T241" s="926" t="s">
        <v>1488</v>
      </c>
      <c r="U241" s="930"/>
      <c r="AE241" s="1956" t="str">
        <f>IF(AND(H242="",T251="Yes"),"Please Update Incentive Period","")</f>
        <v/>
      </c>
    </row>
    <row r="242" spans="1:31" ht="18" customHeight="1" thickBot="1" x14ac:dyDescent="0.3">
      <c r="A242" s="922"/>
      <c r="B242" s="930"/>
      <c r="C242" s="918"/>
      <c r="D242" s="918"/>
      <c r="E242" s="918"/>
      <c r="F242" s="930"/>
      <c r="G242" s="958"/>
      <c r="H242" s="871"/>
      <c r="I242" s="930"/>
      <c r="J242" s="916"/>
      <c r="K242" s="930"/>
      <c r="L242" s="916"/>
      <c r="M242" s="930"/>
      <c r="N242" s="956"/>
      <c r="O242" s="930"/>
      <c r="P242" s="872" t="s">
        <v>1489</v>
      </c>
      <c r="Q242" s="930"/>
      <c r="R242" s="872" t="s">
        <v>1490</v>
      </c>
      <c r="S242" s="930"/>
      <c r="T242" s="912" t="s">
        <v>648</v>
      </c>
      <c r="U242" s="930"/>
      <c r="AE242" s="1956"/>
    </row>
    <row r="243" spans="1:31" ht="30" customHeight="1" thickBot="1" x14ac:dyDescent="0.3">
      <c r="A243" s="922"/>
      <c r="B243" s="930"/>
      <c r="C243" s="923" t="s">
        <v>1491</v>
      </c>
      <c r="D243" s="1951">
        <v>1301</v>
      </c>
      <c r="E243" s="1952"/>
      <c r="F243" s="930"/>
      <c r="G243" s="958"/>
      <c r="H243" s="930"/>
      <c r="I243" s="930"/>
      <c r="J243" s="930"/>
      <c r="K243" s="930"/>
      <c r="L243" s="930"/>
      <c r="M243" s="930"/>
      <c r="N243" s="930"/>
      <c r="O243" s="930"/>
      <c r="P243" s="930"/>
      <c r="Q243" s="930"/>
      <c r="R243" s="930"/>
      <c r="S243" s="930"/>
      <c r="T243" s="930"/>
      <c r="U243" s="930"/>
    </row>
    <row r="244" spans="1:31" ht="30" customHeight="1" thickBot="1" x14ac:dyDescent="0.3">
      <c r="A244" s="922"/>
      <c r="B244" s="930"/>
      <c r="C244" s="918"/>
      <c r="D244" s="918"/>
      <c r="E244" s="918"/>
      <c r="F244" s="930"/>
      <c r="G244" s="958"/>
      <c r="H244" s="927" t="s">
        <v>1387</v>
      </c>
      <c r="I244" s="930"/>
      <c r="J244" s="926" t="s">
        <v>1388</v>
      </c>
      <c r="K244" s="930"/>
      <c r="L244" s="926" t="s">
        <v>1389</v>
      </c>
      <c r="M244" s="930"/>
      <c r="N244" s="926" t="s">
        <v>1501</v>
      </c>
      <c r="O244" s="930"/>
      <c r="P244" s="926" t="s">
        <v>1502</v>
      </c>
      <c r="Q244" s="930"/>
      <c r="R244" s="926" t="s">
        <v>1503</v>
      </c>
      <c r="S244" s="930"/>
      <c r="T244" s="930"/>
      <c r="U244" s="930"/>
    </row>
    <row r="245" spans="1:31" ht="28.5" customHeight="1" thickBot="1" x14ac:dyDescent="0.3">
      <c r="A245" s="922"/>
      <c r="B245" s="930"/>
      <c r="C245" s="923" t="s">
        <v>1385</v>
      </c>
      <c r="D245" s="1953" t="str">
        <f>AA19</f>
        <v/>
      </c>
      <c r="E245" s="1954"/>
      <c r="F245" s="930"/>
      <c r="G245" s="1007" t="str">
        <f>IF(P248="Yes","Weekly Baseline","Baseline")</f>
        <v>Weekly Baseline</v>
      </c>
      <c r="H245" s="891"/>
      <c r="I245" s="930"/>
      <c r="J245" s="920"/>
      <c r="K245" s="930"/>
      <c r="L245" s="891"/>
      <c r="M245" s="930"/>
      <c r="N245" s="886" t="s">
        <v>479</v>
      </c>
      <c r="O245" s="930"/>
      <c r="P245" s="886" t="s">
        <v>1504</v>
      </c>
      <c r="Q245" s="930"/>
      <c r="R245" s="886" t="s">
        <v>1505</v>
      </c>
      <c r="S245" s="930"/>
      <c r="T245" s="930"/>
      <c r="U245" s="930"/>
    </row>
    <row r="246" spans="1:31" ht="18" customHeight="1" thickBot="1" x14ac:dyDescent="0.3">
      <c r="A246" s="922"/>
      <c r="B246" s="930"/>
      <c r="C246" s="918"/>
      <c r="D246" s="911"/>
      <c r="E246" s="911"/>
      <c r="F246" s="930"/>
      <c r="G246" s="958"/>
      <c r="H246" s="930"/>
      <c r="I246" s="930"/>
      <c r="J246" s="930"/>
      <c r="K246" s="930"/>
      <c r="L246" s="930"/>
      <c r="M246" s="930"/>
      <c r="N246" s="930"/>
      <c r="O246" s="930"/>
      <c r="P246" s="930"/>
      <c r="Q246" s="930"/>
      <c r="R246" s="930"/>
      <c r="S246" s="930"/>
      <c r="T246" s="930"/>
      <c r="U246" s="930"/>
    </row>
    <row r="247" spans="1:31" ht="30" customHeight="1" thickBot="1" x14ac:dyDescent="0.3">
      <c r="A247" s="922"/>
      <c r="B247" s="930"/>
      <c r="C247" s="923" t="s">
        <v>1386</v>
      </c>
      <c r="D247" s="1953" t="str">
        <f>AB19</f>
        <v/>
      </c>
      <c r="E247" s="1954"/>
      <c r="F247" s="930"/>
      <c r="G247" s="958"/>
      <c r="H247" s="925" t="s">
        <v>1492</v>
      </c>
      <c r="I247" s="930"/>
      <c r="J247" s="926" t="s">
        <v>1506</v>
      </c>
      <c r="K247" s="930"/>
      <c r="L247" s="926" t="s">
        <v>1493</v>
      </c>
      <c r="M247" s="930"/>
      <c r="N247" s="926" t="s">
        <v>1507</v>
      </c>
      <c r="O247" s="930"/>
      <c r="P247" s="926" t="s">
        <v>1508</v>
      </c>
      <c r="Q247" s="930"/>
      <c r="R247" s="926" t="s">
        <v>1509</v>
      </c>
      <c r="S247" s="930"/>
      <c r="T247" s="997" t="s">
        <v>1599</v>
      </c>
      <c r="U247" s="930"/>
    </row>
    <row r="248" spans="1:31" ht="18" customHeight="1" thickBot="1" x14ac:dyDescent="0.3">
      <c r="A248" s="922"/>
      <c r="B248" s="930"/>
      <c r="C248" s="918"/>
      <c r="D248" s="918"/>
      <c r="E248" s="918"/>
      <c r="F248" s="930"/>
      <c r="G248" s="958"/>
      <c r="H248" s="912" t="s">
        <v>646</v>
      </c>
      <c r="I248" s="930"/>
      <c r="J248" s="872" t="s">
        <v>1494</v>
      </c>
      <c r="K248" s="930"/>
      <c r="L248" s="886" t="s">
        <v>1494</v>
      </c>
      <c r="M248" s="930"/>
      <c r="N248" s="886" t="s">
        <v>648</v>
      </c>
      <c r="O248" s="930"/>
      <c r="P248" s="912" t="s">
        <v>646</v>
      </c>
      <c r="Q248" s="930"/>
      <c r="R248" s="886" t="s">
        <v>1510</v>
      </c>
      <c r="S248" s="930"/>
      <c r="T248" s="998" t="s">
        <v>648</v>
      </c>
      <c r="U248" s="930"/>
    </row>
    <row r="249" spans="1:31" ht="30" customHeight="1" thickBot="1" x14ac:dyDescent="0.3">
      <c r="A249" s="922"/>
      <c r="B249" s="930"/>
      <c r="C249" s="924" t="s">
        <v>1495</v>
      </c>
      <c r="D249" s="1943" t="s">
        <v>648</v>
      </c>
      <c r="E249" s="1944"/>
      <c r="F249" s="930"/>
      <c r="G249" s="958"/>
      <c r="H249" s="930"/>
      <c r="I249" s="930"/>
      <c r="J249" s="930"/>
      <c r="K249" s="930"/>
      <c r="L249" s="930"/>
      <c r="M249" s="930"/>
      <c r="N249" s="930"/>
      <c r="O249" s="930"/>
      <c r="P249" s="930"/>
      <c r="Q249" s="930"/>
      <c r="R249" s="930"/>
      <c r="S249" s="930"/>
      <c r="T249" s="930"/>
      <c r="U249" s="930"/>
    </row>
    <row r="250" spans="1:31" ht="18" customHeight="1" thickBot="1" x14ac:dyDescent="0.3">
      <c r="A250" s="922"/>
      <c r="B250" s="930"/>
      <c r="C250" s="918"/>
      <c r="D250" s="918"/>
      <c r="E250" s="918"/>
      <c r="F250" s="930"/>
      <c r="G250" s="958"/>
      <c r="H250" s="930"/>
      <c r="I250" s="930"/>
      <c r="J250" s="930"/>
      <c r="K250" s="930"/>
      <c r="L250" s="930"/>
      <c r="M250" s="930"/>
      <c r="N250" s="930"/>
      <c r="O250" s="930"/>
      <c r="P250" s="930"/>
      <c r="Q250" s="930"/>
      <c r="R250" s="716" t="s">
        <v>2102</v>
      </c>
      <c r="S250" s="930"/>
      <c r="T250" s="926" t="s">
        <v>523</v>
      </c>
      <c r="U250" s="930"/>
    </row>
    <row r="251" spans="1:31" ht="18" customHeight="1" thickBot="1" x14ac:dyDescent="0.3">
      <c r="A251" s="922"/>
      <c r="B251" s="930"/>
      <c r="C251" s="923" t="s">
        <v>1496</v>
      </c>
      <c r="D251" s="1951" t="s">
        <v>1497</v>
      </c>
      <c r="E251" s="1936"/>
      <c r="F251" s="930"/>
      <c r="G251" s="958"/>
      <c r="H251" s="930"/>
      <c r="I251" s="930"/>
      <c r="J251" s="930"/>
      <c r="K251" s="930"/>
      <c r="L251" s="930"/>
      <c r="M251" s="930"/>
      <c r="N251" s="930"/>
      <c r="O251" s="930"/>
      <c r="P251" s="930"/>
      <c r="Q251" s="930"/>
      <c r="R251" s="1550" t="s">
        <v>648</v>
      </c>
      <c r="S251" s="930"/>
      <c r="T251" s="954" t="str">
        <f>IF(Z19&lt;&gt;"","Yes","No")</f>
        <v>No</v>
      </c>
      <c r="U251" s="930"/>
    </row>
    <row r="252" spans="1:31" ht="20.25" customHeight="1" thickBot="1" x14ac:dyDescent="0.3">
      <c r="A252" s="922"/>
      <c r="B252" s="930"/>
      <c r="C252" s="930"/>
      <c r="D252" s="930"/>
      <c r="E252" s="930"/>
      <c r="F252" s="930"/>
      <c r="G252" s="958"/>
      <c r="H252" s="930"/>
      <c r="I252" s="930"/>
      <c r="J252" s="930"/>
      <c r="K252" s="930"/>
      <c r="L252" s="930"/>
      <c r="M252" s="930"/>
      <c r="N252" s="930"/>
      <c r="O252" s="930"/>
      <c r="P252" s="930"/>
      <c r="Q252" s="930"/>
      <c r="R252" s="930"/>
      <c r="S252" s="930"/>
      <c r="T252" s="930"/>
      <c r="U252" s="930"/>
    </row>
    <row r="253" spans="1:31" s="1001" customFormat="1" ht="20.25" customHeight="1" thickBot="1" x14ac:dyDescent="0.3">
      <c r="B253" s="1959" t="s">
        <v>1679</v>
      </c>
      <c r="C253" s="1960"/>
      <c r="D253" s="1960"/>
      <c r="E253" s="1960"/>
      <c r="F253" s="1960"/>
      <c r="G253" s="1960"/>
      <c r="H253" s="1960"/>
      <c r="I253" s="1960"/>
      <c r="J253" s="1960"/>
      <c r="K253" s="1960"/>
      <c r="L253" s="1960"/>
      <c r="M253" s="1960"/>
      <c r="N253" s="1960"/>
      <c r="O253" s="1960"/>
      <c r="P253" s="1960"/>
      <c r="Q253" s="1960"/>
      <c r="R253" s="1960"/>
      <c r="S253" s="1960"/>
      <c r="T253" s="1960"/>
      <c r="U253" s="1961"/>
    </row>
    <row r="254" spans="1:31" s="1001" customFormat="1" ht="20.25" customHeight="1" thickBot="1" x14ac:dyDescent="0.3">
      <c r="B254" s="930"/>
      <c r="C254" s="930"/>
      <c r="D254" s="930"/>
      <c r="E254" s="930"/>
      <c r="F254" s="930"/>
      <c r="G254" s="958"/>
      <c r="H254" s="930"/>
      <c r="I254" s="930"/>
      <c r="J254" s="930"/>
      <c r="K254" s="930"/>
      <c r="L254" s="930"/>
      <c r="M254" s="930"/>
      <c r="N254" s="930"/>
      <c r="O254" s="930"/>
      <c r="P254" s="930"/>
      <c r="Q254" s="930"/>
      <c r="R254" s="930"/>
      <c r="S254" s="930"/>
      <c r="T254" s="930"/>
      <c r="U254" s="930"/>
    </row>
    <row r="255" spans="1:31" s="1001" customFormat="1" ht="30" customHeight="1" thickBot="1" x14ac:dyDescent="0.3">
      <c r="A255" s="134"/>
      <c r="B255" s="930"/>
      <c r="C255" s="923" t="s">
        <v>1383</v>
      </c>
      <c r="D255" s="1949" t="s">
        <v>1539</v>
      </c>
      <c r="E255" s="1950"/>
      <c r="F255" s="930"/>
      <c r="G255" s="958"/>
      <c r="H255" s="926" t="s">
        <v>1380</v>
      </c>
      <c r="I255" s="930"/>
      <c r="J255" s="926" t="s">
        <v>1381</v>
      </c>
      <c r="K255" s="930"/>
      <c r="L255" s="926" t="s">
        <v>1397</v>
      </c>
      <c r="M255" s="930"/>
      <c r="N255" s="926" t="s">
        <v>1382</v>
      </c>
      <c r="O255" s="930"/>
      <c r="P255" s="926" t="s">
        <v>1486</v>
      </c>
      <c r="Q255" s="930"/>
      <c r="R255" s="926" t="s">
        <v>1487</v>
      </c>
      <c r="S255" s="930"/>
      <c r="T255" s="926" t="s">
        <v>1488</v>
      </c>
      <c r="U255" s="930"/>
      <c r="AE255" s="1956" t="str">
        <f>IF(AND(H256="",T265="Yes"),"Please Update Incentive Period","")</f>
        <v/>
      </c>
    </row>
    <row r="256" spans="1:31" s="1001" customFormat="1" ht="18" customHeight="1" thickBot="1" x14ac:dyDescent="0.3">
      <c r="B256" s="930"/>
      <c r="C256" s="918"/>
      <c r="D256" s="918"/>
      <c r="E256" s="918"/>
      <c r="F256" s="930"/>
      <c r="G256" s="958"/>
      <c r="H256" s="871"/>
      <c r="I256" s="930"/>
      <c r="J256" s="916"/>
      <c r="K256" s="930"/>
      <c r="L256" s="916"/>
      <c r="M256" s="930"/>
      <c r="N256" s="956"/>
      <c r="O256" s="930"/>
      <c r="P256" s="872" t="s">
        <v>1489</v>
      </c>
      <c r="Q256" s="930"/>
      <c r="R256" s="872" t="s">
        <v>1490</v>
      </c>
      <c r="S256" s="930"/>
      <c r="T256" s="912" t="s">
        <v>648</v>
      </c>
      <c r="U256" s="930"/>
      <c r="AE256" s="1956"/>
    </row>
    <row r="257" spans="1:31" s="1001" customFormat="1" ht="30" customHeight="1" thickBot="1" x14ac:dyDescent="0.3">
      <c r="B257" s="930"/>
      <c r="C257" s="923" t="s">
        <v>1491</v>
      </c>
      <c r="D257" s="1951">
        <v>1302</v>
      </c>
      <c r="E257" s="1952"/>
      <c r="F257" s="930"/>
      <c r="G257" s="958"/>
      <c r="H257" s="930"/>
      <c r="I257" s="930"/>
      <c r="J257" s="930"/>
      <c r="K257" s="930"/>
      <c r="L257" s="930"/>
      <c r="M257" s="930"/>
      <c r="N257" s="930"/>
      <c r="O257" s="930"/>
      <c r="P257" s="930"/>
      <c r="Q257" s="930"/>
      <c r="R257" s="930"/>
      <c r="S257" s="930"/>
      <c r="T257" s="930"/>
      <c r="U257" s="930"/>
    </row>
    <row r="258" spans="1:31" s="1001" customFormat="1" ht="30" customHeight="1" thickBot="1" x14ac:dyDescent="0.3">
      <c r="B258" s="930"/>
      <c r="C258" s="918"/>
      <c r="D258" s="918"/>
      <c r="E258" s="918"/>
      <c r="F258" s="930"/>
      <c r="G258" s="958"/>
      <c r="H258" s="927" t="s">
        <v>1387</v>
      </c>
      <c r="I258" s="930"/>
      <c r="J258" s="926" t="s">
        <v>1388</v>
      </c>
      <c r="K258" s="930"/>
      <c r="L258" s="926" t="s">
        <v>1389</v>
      </c>
      <c r="M258" s="930"/>
      <c r="N258" s="926" t="s">
        <v>1501</v>
      </c>
      <c r="O258" s="930"/>
      <c r="P258" s="926" t="s">
        <v>1502</v>
      </c>
      <c r="Q258" s="930"/>
      <c r="R258" s="926" t="s">
        <v>1503</v>
      </c>
      <c r="S258" s="930"/>
      <c r="T258" s="930"/>
      <c r="U258" s="930"/>
    </row>
    <row r="259" spans="1:31" s="1001" customFormat="1" ht="26.25" customHeight="1" thickBot="1" x14ac:dyDescent="0.3">
      <c r="B259" s="930"/>
      <c r="C259" s="923" t="s">
        <v>1385</v>
      </c>
      <c r="D259" s="1953" t="str">
        <f>AA20</f>
        <v/>
      </c>
      <c r="E259" s="1954"/>
      <c r="F259" s="930"/>
      <c r="G259" s="1007" t="str">
        <f>IF(P262="Yes","Weekly Baseline","Baseline")</f>
        <v>Weekly Baseline</v>
      </c>
      <c r="H259" s="891"/>
      <c r="I259" s="930"/>
      <c r="J259" s="920"/>
      <c r="K259" s="930"/>
      <c r="L259" s="891"/>
      <c r="M259" s="930"/>
      <c r="N259" s="954" t="s">
        <v>479</v>
      </c>
      <c r="O259" s="930"/>
      <c r="P259" s="954" t="s">
        <v>1504</v>
      </c>
      <c r="Q259" s="930"/>
      <c r="R259" s="954" t="s">
        <v>1505</v>
      </c>
      <c r="S259" s="930"/>
      <c r="T259" s="930"/>
      <c r="U259" s="930"/>
    </row>
    <row r="260" spans="1:31" s="1001" customFormat="1" ht="18" customHeight="1" thickBot="1" x14ac:dyDescent="0.3">
      <c r="B260" s="930"/>
      <c r="C260" s="918"/>
      <c r="D260" s="911"/>
      <c r="E260" s="911"/>
      <c r="F260" s="930"/>
      <c r="G260" s="958"/>
      <c r="H260" s="930"/>
      <c r="I260" s="930"/>
      <c r="J260" s="930"/>
      <c r="K260" s="930"/>
      <c r="L260" s="930"/>
      <c r="M260" s="930"/>
      <c r="N260" s="930"/>
      <c r="O260" s="930"/>
      <c r="P260" s="930"/>
      <c r="Q260" s="930"/>
      <c r="R260" s="930"/>
      <c r="S260" s="930"/>
      <c r="T260" s="930"/>
      <c r="U260" s="930"/>
    </row>
    <row r="261" spans="1:31" s="1001" customFormat="1" ht="30" customHeight="1" thickBot="1" x14ac:dyDescent="0.3">
      <c r="B261" s="930"/>
      <c r="C261" s="923" t="s">
        <v>1386</v>
      </c>
      <c r="D261" s="1953" t="str">
        <f>AB20</f>
        <v/>
      </c>
      <c r="E261" s="1954"/>
      <c r="F261" s="930"/>
      <c r="G261" s="958"/>
      <c r="H261" s="1002" t="s">
        <v>1492</v>
      </c>
      <c r="I261" s="930"/>
      <c r="J261" s="926" t="s">
        <v>1506</v>
      </c>
      <c r="K261" s="930"/>
      <c r="L261" s="926" t="s">
        <v>1493</v>
      </c>
      <c r="M261" s="930"/>
      <c r="N261" s="926" t="s">
        <v>1507</v>
      </c>
      <c r="O261" s="930"/>
      <c r="P261" s="926" t="s">
        <v>1508</v>
      </c>
      <c r="Q261" s="930"/>
      <c r="R261" s="926" t="s">
        <v>1509</v>
      </c>
      <c r="S261" s="930"/>
      <c r="T261" s="997" t="s">
        <v>1599</v>
      </c>
      <c r="U261" s="930"/>
    </row>
    <row r="262" spans="1:31" s="1001" customFormat="1" ht="18" customHeight="1" thickBot="1" x14ac:dyDescent="0.3">
      <c r="B262" s="930"/>
      <c r="C262" s="918"/>
      <c r="D262" s="918"/>
      <c r="E262" s="918"/>
      <c r="F262" s="930"/>
      <c r="G262" s="958"/>
      <c r="H262" s="912" t="s">
        <v>646</v>
      </c>
      <c r="I262" s="930"/>
      <c r="J262" s="872" t="s">
        <v>1494</v>
      </c>
      <c r="K262" s="930"/>
      <c r="L262" s="954" t="s">
        <v>1494</v>
      </c>
      <c r="M262" s="930"/>
      <c r="N262" s="954" t="s">
        <v>648</v>
      </c>
      <c r="O262" s="930"/>
      <c r="P262" s="912" t="s">
        <v>646</v>
      </c>
      <c r="Q262" s="930"/>
      <c r="R262" s="954" t="s">
        <v>1510</v>
      </c>
      <c r="S262" s="930"/>
      <c r="T262" s="998" t="s">
        <v>648</v>
      </c>
      <c r="U262" s="930"/>
    </row>
    <row r="263" spans="1:31" s="1001" customFormat="1" ht="30" customHeight="1" thickBot="1" x14ac:dyDescent="0.3">
      <c r="B263" s="930"/>
      <c r="C263" s="924" t="s">
        <v>1495</v>
      </c>
      <c r="D263" s="1943" t="s">
        <v>648</v>
      </c>
      <c r="E263" s="1944"/>
      <c r="F263" s="930"/>
      <c r="G263" s="958"/>
      <c r="H263" s="930"/>
      <c r="I263" s="930"/>
      <c r="J263" s="930"/>
      <c r="K263" s="930"/>
      <c r="L263" s="930"/>
      <c r="M263" s="930"/>
      <c r="N263" s="930"/>
      <c r="O263" s="930"/>
      <c r="P263" s="930"/>
      <c r="Q263" s="930"/>
      <c r="R263" s="930"/>
      <c r="S263" s="930"/>
      <c r="T263" s="930"/>
      <c r="U263" s="930"/>
    </row>
    <row r="264" spans="1:31" s="1001" customFormat="1" ht="18" customHeight="1" thickBot="1" x14ac:dyDescent="0.3">
      <c r="B264" s="930"/>
      <c r="C264" s="918"/>
      <c r="D264" s="918"/>
      <c r="E264" s="918"/>
      <c r="F264" s="930"/>
      <c r="G264" s="958"/>
      <c r="H264" s="930"/>
      <c r="I264" s="930"/>
      <c r="J264" s="930"/>
      <c r="K264" s="930"/>
      <c r="L264" s="930"/>
      <c r="M264" s="930"/>
      <c r="N264" s="930"/>
      <c r="O264" s="930"/>
      <c r="P264" s="930"/>
      <c r="Q264" s="930"/>
      <c r="R264" s="716" t="s">
        <v>2102</v>
      </c>
      <c r="S264" s="930"/>
      <c r="T264" s="926" t="s">
        <v>523</v>
      </c>
      <c r="U264" s="930"/>
    </row>
    <row r="265" spans="1:31" s="1001" customFormat="1" ht="18" customHeight="1" thickBot="1" x14ac:dyDescent="0.3">
      <c r="B265" s="930"/>
      <c r="C265" s="923" t="s">
        <v>1496</v>
      </c>
      <c r="D265" s="1951" t="s">
        <v>1497</v>
      </c>
      <c r="E265" s="1936"/>
      <c r="F265" s="930"/>
      <c r="G265" s="958"/>
      <c r="H265" s="930"/>
      <c r="I265" s="930"/>
      <c r="J265" s="930"/>
      <c r="K265" s="930"/>
      <c r="L265" s="930"/>
      <c r="M265" s="930"/>
      <c r="N265" s="930"/>
      <c r="O265" s="930"/>
      <c r="P265" s="930"/>
      <c r="Q265" s="930"/>
      <c r="R265" s="1550" t="s">
        <v>648</v>
      </c>
      <c r="S265" s="930"/>
      <c r="T265" s="954" t="str">
        <f>IF(Z20&lt;&gt;"","Yes","No")</f>
        <v>No</v>
      </c>
      <c r="U265" s="930"/>
    </row>
    <row r="266" spans="1:31" s="1001" customFormat="1" ht="20.25" customHeight="1" thickBot="1" x14ac:dyDescent="0.3">
      <c r="B266" s="930"/>
      <c r="C266" s="930"/>
      <c r="D266" s="930"/>
      <c r="E266" s="930"/>
      <c r="F266" s="930"/>
      <c r="G266" s="958"/>
      <c r="H266" s="930"/>
      <c r="I266" s="930"/>
      <c r="J266" s="930"/>
      <c r="K266" s="930"/>
      <c r="L266" s="930"/>
      <c r="M266" s="930"/>
      <c r="N266" s="930"/>
      <c r="O266" s="930"/>
      <c r="P266" s="930"/>
      <c r="Q266" s="930"/>
      <c r="R266" s="930"/>
      <c r="S266" s="930"/>
      <c r="T266" s="930"/>
      <c r="U266" s="930"/>
    </row>
    <row r="267" spans="1:31" s="1001" customFormat="1" ht="20.25" customHeight="1" thickBot="1" x14ac:dyDescent="0.3">
      <c r="B267" s="1959" t="s">
        <v>1681</v>
      </c>
      <c r="C267" s="1960"/>
      <c r="D267" s="1960"/>
      <c r="E267" s="1960"/>
      <c r="F267" s="1960"/>
      <c r="G267" s="1960"/>
      <c r="H267" s="1960"/>
      <c r="I267" s="1960"/>
      <c r="J267" s="1960"/>
      <c r="K267" s="1960"/>
      <c r="L267" s="1960"/>
      <c r="M267" s="1960"/>
      <c r="N267" s="1960"/>
      <c r="O267" s="1960"/>
      <c r="P267" s="1960"/>
      <c r="Q267" s="1960"/>
      <c r="R267" s="1960"/>
      <c r="S267" s="1960"/>
      <c r="T267" s="1960"/>
      <c r="U267" s="1961"/>
    </row>
    <row r="268" spans="1:31" s="1001" customFormat="1" ht="20.25" customHeight="1" thickBot="1" x14ac:dyDescent="0.3">
      <c r="B268" s="930"/>
      <c r="C268" s="930"/>
      <c r="D268" s="930"/>
      <c r="E268" s="930"/>
      <c r="F268" s="930"/>
      <c r="G268" s="958"/>
      <c r="H268" s="930"/>
      <c r="I268" s="930"/>
      <c r="J268" s="930"/>
      <c r="K268" s="930"/>
      <c r="L268" s="930"/>
      <c r="M268" s="930"/>
      <c r="N268" s="930"/>
      <c r="O268" s="930"/>
      <c r="P268" s="930"/>
      <c r="Q268" s="930"/>
      <c r="R268" s="930"/>
      <c r="S268" s="930"/>
      <c r="T268" s="930"/>
      <c r="U268" s="930"/>
    </row>
    <row r="269" spans="1:31" s="1001" customFormat="1" ht="30" customHeight="1" thickBot="1" x14ac:dyDescent="0.3">
      <c r="A269" s="134"/>
      <c r="B269" s="930"/>
      <c r="C269" s="923" t="s">
        <v>1383</v>
      </c>
      <c r="D269" s="1949" t="s">
        <v>1539</v>
      </c>
      <c r="E269" s="1950"/>
      <c r="F269" s="930"/>
      <c r="G269" s="958"/>
      <c r="H269" s="926" t="s">
        <v>1380</v>
      </c>
      <c r="I269" s="930"/>
      <c r="J269" s="926" t="s">
        <v>1381</v>
      </c>
      <c r="K269" s="930"/>
      <c r="L269" s="926" t="s">
        <v>1397</v>
      </c>
      <c r="M269" s="930"/>
      <c r="N269" s="926" t="s">
        <v>1382</v>
      </c>
      <c r="O269" s="930"/>
      <c r="P269" s="926" t="s">
        <v>1486</v>
      </c>
      <c r="Q269" s="930"/>
      <c r="R269" s="926" t="s">
        <v>1487</v>
      </c>
      <c r="S269" s="930"/>
      <c r="T269" s="926" t="s">
        <v>1488</v>
      </c>
      <c r="U269" s="930"/>
      <c r="AE269" s="1956" t="str">
        <f>IF(AND(H270="",T279="Yes"),"Please Update Incentive Period","")</f>
        <v/>
      </c>
    </row>
    <row r="270" spans="1:31" s="1001" customFormat="1" ht="18" customHeight="1" thickBot="1" x14ac:dyDescent="0.3">
      <c r="B270" s="930"/>
      <c r="C270" s="918"/>
      <c r="D270" s="918"/>
      <c r="E270" s="918"/>
      <c r="F270" s="930"/>
      <c r="G270" s="958"/>
      <c r="H270" s="871"/>
      <c r="I270" s="930"/>
      <c r="J270" s="916"/>
      <c r="K270" s="930"/>
      <c r="L270" s="916"/>
      <c r="M270" s="930"/>
      <c r="N270" s="956"/>
      <c r="O270" s="930"/>
      <c r="P270" s="872" t="s">
        <v>1489</v>
      </c>
      <c r="Q270" s="930"/>
      <c r="R270" s="872" t="s">
        <v>1490</v>
      </c>
      <c r="S270" s="930"/>
      <c r="T270" s="912" t="s">
        <v>648</v>
      </c>
      <c r="U270" s="930"/>
      <c r="AE270" s="1956"/>
    </row>
    <row r="271" spans="1:31" s="1001" customFormat="1" ht="30" customHeight="1" thickBot="1" x14ac:dyDescent="0.3">
      <c r="B271" s="930"/>
      <c r="C271" s="923" t="s">
        <v>1491</v>
      </c>
      <c r="D271" s="1951">
        <v>1303</v>
      </c>
      <c r="E271" s="1952"/>
      <c r="F271" s="930"/>
      <c r="G271" s="958"/>
      <c r="H271" s="930"/>
      <c r="I271" s="930"/>
      <c r="J271" s="930"/>
      <c r="K271" s="930"/>
      <c r="L271" s="930"/>
      <c r="M271" s="930"/>
      <c r="N271" s="930"/>
      <c r="O271" s="930"/>
      <c r="P271" s="930"/>
      <c r="Q271" s="930"/>
      <c r="R271" s="930"/>
      <c r="S271" s="930"/>
      <c r="T271" s="930"/>
      <c r="U271" s="930"/>
    </row>
    <row r="272" spans="1:31" s="1001" customFormat="1" ht="30" customHeight="1" thickBot="1" x14ac:dyDescent="0.3">
      <c r="B272" s="930"/>
      <c r="C272" s="918"/>
      <c r="D272" s="918"/>
      <c r="E272" s="918"/>
      <c r="F272" s="930"/>
      <c r="G272" s="958"/>
      <c r="H272" s="927" t="s">
        <v>1387</v>
      </c>
      <c r="I272" s="930"/>
      <c r="J272" s="926" t="s">
        <v>1388</v>
      </c>
      <c r="K272" s="930"/>
      <c r="L272" s="926" t="s">
        <v>1389</v>
      </c>
      <c r="M272" s="930"/>
      <c r="N272" s="926" t="s">
        <v>1501</v>
      </c>
      <c r="O272" s="930"/>
      <c r="P272" s="926" t="s">
        <v>1502</v>
      </c>
      <c r="Q272" s="930"/>
      <c r="R272" s="926" t="s">
        <v>1503</v>
      </c>
      <c r="S272" s="930"/>
      <c r="T272" s="930"/>
      <c r="U272" s="930"/>
    </row>
    <row r="273" spans="1:31" s="1001" customFormat="1" ht="26.25" customHeight="1" thickBot="1" x14ac:dyDescent="0.3">
      <c r="B273" s="930"/>
      <c r="C273" s="923" t="s">
        <v>1385</v>
      </c>
      <c r="D273" s="1953" t="str">
        <f>AA21</f>
        <v/>
      </c>
      <c r="E273" s="1954"/>
      <c r="F273" s="930"/>
      <c r="G273" s="1007" t="str">
        <f>IF(P276="Yes","Weekly Baseline","Baseline")</f>
        <v>Weekly Baseline</v>
      </c>
      <c r="H273" s="891"/>
      <c r="I273" s="930"/>
      <c r="J273" s="920"/>
      <c r="K273" s="930"/>
      <c r="L273" s="891"/>
      <c r="M273" s="930"/>
      <c r="N273" s="954" t="s">
        <v>479</v>
      </c>
      <c r="O273" s="930"/>
      <c r="P273" s="954" t="s">
        <v>1504</v>
      </c>
      <c r="Q273" s="930"/>
      <c r="R273" s="954" t="s">
        <v>1505</v>
      </c>
      <c r="S273" s="930"/>
      <c r="T273" s="930"/>
      <c r="U273" s="930"/>
    </row>
    <row r="274" spans="1:31" s="1001" customFormat="1" ht="18" customHeight="1" thickBot="1" x14ac:dyDescent="0.3">
      <c r="B274" s="930"/>
      <c r="C274" s="918"/>
      <c r="D274" s="911"/>
      <c r="E274" s="911"/>
      <c r="F274" s="930"/>
      <c r="G274" s="958"/>
      <c r="H274" s="930"/>
      <c r="I274" s="930"/>
      <c r="J274" s="930"/>
      <c r="K274" s="930"/>
      <c r="L274" s="930"/>
      <c r="M274" s="930"/>
      <c r="N274" s="930"/>
      <c r="O274" s="930"/>
      <c r="P274" s="930"/>
      <c r="Q274" s="930"/>
      <c r="R274" s="930"/>
      <c r="S274" s="930"/>
      <c r="T274" s="930"/>
      <c r="U274" s="930"/>
    </row>
    <row r="275" spans="1:31" s="1001" customFormat="1" ht="30" customHeight="1" thickBot="1" x14ac:dyDescent="0.3">
      <c r="B275" s="930"/>
      <c r="C275" s="923" t="s">
        <v>1386</v>
      </c>
      <c r="D275" s="1953" t="str">
        <f>AB21</f>
        <v/>
      </c>
      <c r="E275" s="1954"/>
      <c r="F275" s="930"/>
      <c r="G275" s="958"/>
      <c r="H275" s="1002" t="s">
        <v>1492</v>
      </c>
      <c r="I275" s="930"/>
      <c r="J275" s="926" t="s">
        <v>1506</v>
      </c>
      <c r="K275" s="930"/>
      <c r="L275" s="926" t="s">
        <v>1493</v>
      </c>
      <c r="M275" s="930"/>
      <c r="N275" s="926" t="s">
        <v>1507</v>
      </c>
      <c r="O275" s="930"/>
      <c r="P275" s="926" t="s">
        <v>1508</v>
      </c>
      <c r="Q275" s="930"/>
      <c r="R275" s="926" t="s">
        <v>1509</v>
      </c>
      <c r="S275" s="930"/>
      <c r="T275" s="997" t="s">
        <v>1599</v>
      </c>
      <c r="U275" s="930"/>
    </row>
    <row r="276" spans="1:31" s="1001" customFormat="1" ht="18" customHeight="1" thickBot="1" x14ac:dyDescent="0.3">
      <c r="B276" s="930"/>
      <c r="C276" s="918"/>
      <c r="D276" s="918"/>
      <c r="E276" s="918"/>
      <c r="F276" s="930"/>
      <c r="G276" s="958"/>
      <c r="H276" s="912" t="s">
        <v>646</v>
      </c>
      <c r="I276" s="930"/>
      <c r="J276" s="872" t="s">
        <v>1494</v>
      </c>
      <c r="K276" s="930"/>
      <c r="L276" s="954" t="s">
        <v>1494</v>
      </c>
      <c r="M276" s="930"/>
      <c r="N276" s="954" t="s">
        <v>648</v>
      </c>
      <c r="O276" s="930"/>
      <c r="P276" s="912" t="s">
        <v>646</v>
      </c>
      <c r="Q276" s="930"/>
      <c r="R276" s="954" t="s">
        <v>1510</v>
      </c>
      <c r="S276" s="930"/>
      <c r="T276" s="998" t="s">
        <v>648</v>
      </c>
      <c r="U276" s="930"/>
    </row>
    <row r="277" spans="1:31" s="1001" customFormat="1" ht="30" customHeight="1" thickBot="1" x14ac:dyDescent="0.3">
      <c r="B277" s="930"/>
      <c r="C277" s="924" t="s">
        <v>1495</v>
      </c>
      <c r="D277" s="1943" t="s">
        <v>648</v>
      </c>
      <c r="E277" s="1944"/>
      <c r="F277" s="930"/>
      <c r="G277" s="958"/>
      <c r="H277" s="930"/>
      <c r="I277" s="930"/>
      <c r="J277" s="930"/>
      <c r="K277" s="930"/>
      <c r="L277" s="930"/>
      <c r="M277" s="930"/>
      <c r="N277" s="930"/>
      <c r="O277" s="930"/>
      <c r="P277" s="930"/>
      <c r="Q277" s="930"/>
      <c r="R277" s="930"/>
      <c r="S277" s="930"/>
      <c r="T277" s="930"/>
      <c r="U277" s="930"/>
    </row>
    <row r="278" spans="1:31" s="1001" customFormat="1" ht="18" customHeight="1" thickBot="1" x14ac:dyDescent="0.3">
      <c r="B278" s="930"/>
      <c r="C278" s="918"/>
      <c r="D278" s="918"/>
      <c r="E278" s="918"/>
      <c r="F278" s="930"/>
      <c r="G278" s="958"/>
      <c r="H278" s="930"/>
      <c r="I278" s="930"/>
      <c r="J278" s="930"/>
      <c r="K278" s="930"/>
      <c r="L278" s="930"/>
      <c r="M278" s="930"/>
      <c r="N278" s="930"/>
      <c r="O278" s="930"/>
      <c r="P278" s="930"/>
      <c r="Q278" s="930"/>
      <c r="R278" s="716" t="s">
        <v>2102</v>
      </c>
      <c r="S278" s="930"/>
      <c r="T278" s="926" t="s">
        <v>523</v>
      </c>
      <c r="U278" s="930"/>
    </row>
    <row r="279" spans="1:31" s="1001" customFormat="1" ht="18" customHeight="1" thickBot="1" x14ac:dyDescent="0.3">
      <c r="B279" s="930"/>
      <c r="C279" s="923" t="s">
        <v>1496</v>
      </c>
      <c r="D279" s="1951" t="s">
        <v>1497</v>
      </c>
      <c r="E279" s="1936"/>
      <c r="F279" s="930"/>
      <c r="G279" s="958"/>
      <c r="H279" s="930"/>
      <c r="I279" s="930"/>
      <c r="J279" s="930"/>
      <c r="K279" s="930"/>
      <c r="L279" s="930"/>
      <c r="M279" s="930"/>
      <c r="N279" s="930"/>
      <c r="O279" s="930"/>
      <c r="P279" s="930"/>
      <c r="Q279" s="930"/>
      <c r="R279" s="1550" t="s">
        <v>648</v>
      </c>
      <c r="S279" s="930"/>
      <c r="T279" s="954" t="str">
        <f>IF(Z21&lt;&gt;"","Yes","No")</f>
        <v>No</v>
      </c>
      <c r="U279" s="930"/>
    </row>
    <row r="280" spans="1:31" s="1001" customFormat="1" ht="20.25" customHeight="1" thickBot="1" x14ac:dyDescent="0.3">
      <c r="B280" s="930"/>
      <c r="C280" s="930"/>
      <c r="D280" s="930"/>
      <c r="E280" s="930"/>
      <c r="F280" s="930"/>
      <c r="G280" s="958"/>
      <c r="H280" s="930"/>
      <c r="I280" s="930"/>
      <c r="J280" s="930"/>
      <c r="K280" s="930"/>
      <c r="L280" s="930"/>
      <c r="M280" s="930"/>
      <c r="N280" s="930"/>
      <c r="O280" s="930"/>
      <c r="P280" s="930"/>
      <c r="Q280" s="930"/>
      <c r="R280" s="930"/>
      <c r="S280" s="930"/>
      <c r="T280" s="930"/>
      <c r="U280" s="930"/>
    </row>
    <row r="281" spans="1:31" s="1001" customFormat="1" ht="20.25" customHeight="1" thickBot="1" x14ac:dyDescent="0.3">
      <c r="B281" s="1959" t="s">
        <v>1682</v>
      </c>
      <c r="C281" s="1960"/>
      <c r="D281" s="1960"/>
      <c r="E281" s="1960"/>
      <c r="F281" s="1960"/>
      <c r="G281" s="1960"/>
      <c r="H281" s="1960"/>
      <c r="I281" s="1960"/>
      <c r="J281" s="1960"/>
      <c r="K281" s="1960"/>
      <c r="L281" s="1960"/>
      <c r="M281" s="1960"/>
      <c r="N281" s="1960"/>
      <c r="O281" s="1960"/>
      <c r="P281" s="1960"/>
      <c r="Q281" s="1960"/>
      <c r="R281" s="1960"/>
      <c r="S281" s="1960"/>
      <c r="T281" s="1960"/>
      <c r="U281" s="1961"/>
    </row>
    <row r="282" spans="1:31" s="1001" customFormat="1" ht="20.25" customHeight="1" thickBot="1" x14ac:dyDescent="0.3">
      <c r="B282" s="930"/>
      <c r="C282" s="930"/>
      <c r="D282" s="930"/>
      <c r="E282" s="930"/>
      <c r="F282" s="930"/>
      <c r="G282" s="958"/>
      <c r="H282" s="930"/>
      <c r="I282" s="930"/>
      <c r="J282" s="930"/>
      <c r="K282" s="930"/>
      <c r="L282" s="930"/>
      <c r="M282" s="930"/>
      <c r="N282" s="930"/>
      <c r="O282" s="930"/>
      <c r="P282" s="930"/>
      <c r="Q282" s="930"/>
      <c r="R282" s="930"/>
      <c r="S282" s="930"/>
      <c r="T282" s="930"/>
      <c r="U282" s="930"/>
    </row>
    <row r="283" spans="1:31" s="1001" customFormat="1" ht="30" customHeight="1" thickBot="1" x14ac:dyDescent="0.3">
      <c r="A283" s="134"/>
      <c r="B283" s="930"/>
      <c r="C283" s="923" t="s">
        <v>1383</v>
      </c>
      <c r="D283" s="1949" t="s">
        <v>1539</v>
      </c>
      <c r="E283" s="1950"/>
      <c r="F283" s="930"/>
      <c r="G283" s="958"/>
      <c r="H283" s="926" t="s">
        <v>1380</v>
      </c>
      <c r="I283" s="930"/>
      <c r="J283" s="926" t="s">
        <v>1381</v>
      </c>
      <c r="K283" s="930"/>
      <c r="L283" s="926" t="s">
        <v>1397</v>
      </c>
      <c r="M283" s="930"/>
      <c r="N283" s="926" t="s">
        <v>1382</v>
      </c>
      <c r="O283" s="930"/>
      <c r="P283" s="926" t="s">
        <v>1486</v>
      </c>
      <c r="Q283" s="930"/>
      <c r="R283" s="926" t="s">
        <v>1487</v>
      </c>
      <c r="S283" s="930"/>
      <c r="T283" s="926" t="s">
        <v>1488</v>
      </c>
      <c r="U283" s="930"/>
      <c r="AE283" s="1956" t="str">
        <f>IF(AND(H284="",T293="Yes"),"Please Update Incentive Period","")</f>
        <v/>
      </c>
    </row>
    <row r="284" spans="1:31" s="1001" customFormat="1" ht="18" customHeight="1" thickBot="1" x14ac:dyDescent="0.3">
      <c r="B284" s="930"/>
      <c r="C284" s="918"/>
      <c r="D284" s="918"/>
      <c r="E284" s="918"/>
      <c r="F284" s="930"/>
      <c r="G284" s="958"/>
      <c r="H284" s="871"/>
      <c r="I284" s="930"/>
      <c r="J284" s="916"/>
      <c r="K284" s="930"/>
      <c r="L284" s="916"/>
      <c r="M284" s="930"/>
      <c r="N284" s="956"/>
      <c r="O284" s="930"/>
      <c r="P284" s="872" t="s">
        <v>1489</v>
      </c>
      <c r="Q284" s="930"/>
      <c r="R284" s="872" t="s">
        <v>1490</v>
      </c>
      <c r="S284" s="930"/>
      <c r="T284" s="912" t="s">
        <v>648</v>
      </c>
      <c r="U284" s="930"/>
      <c r="AE284" s="1956"/>
    </row>
    <row r="285" spans="1:31" s="1001" customFormat="1" ht="30" customHeight="1" thickBot="1" x14ac:dyDescent="0.3">
      <c r="B285" s="930"/>
      <c r="C285" s="923" t="s">
        <v>1491</v>
      </c>
      <c r="D285" s="1951">
        <v>1304</v>
      </c>
      <c r="E285" s="1952"/>
      <c r="F285" s="930"/>
      <c r="G285" s="958"/>
      <c r="H285" s="930"/>
      <c r="I285" s="930"/>
      <c r="J285" s="930"/>
      <c r="K285" s="930"/>
      <c r="L285" s="930"/>
      <c r="M285" s="930"/>
      <c r="N285" s="930"/>
      <c r="O285" s="930"/>
      <c r="P285" s="930"/>
      <c r="Q285" s="930"/>
      <c r="R285" s="930"/>
      <c r="S285" s="930"/>
      <c r="T285" s="930"/>
      <c r="U285" s="930"/>
    </row>
    <row r="286" spans="1:31" s="1001" customFormat="1" ht="30" customHeight="1" thickBot="1" x14ac:dyDescent="0.3">
      <c r="B286" s="930"/>
      <c r="C286" s="918"/>
      <c r="D286" s="918"/>
      <c r="E286" s="918"/>
      <c r="F286" s="930"/>
      <c r="G286" s="958"/>
      <c r="H286" s="927" t="s">
        <v>1387</v>
      </c>
      <c r="I286" s="930"/>
      <c r="J286" s="926" t="s">
        <v>1388</v>
      </c>
      <c r="K286" s="930"/>
      <c r="L286" s="926" t="s">
        <v>1389</v>
      </c>
      <c r="M286" s="930"/>
      <c r="N286" s="926" t="s">
        <v>1501</v>
      </c>
      <c r="O286" s="930"/>
      <c r="P286" s="926" t="s">
        <v>1502</v>
      </c>
      <c r="Q286" s="930"/>
      <c r="R286" s="926" t="s">
        <v>1503</v>
      </c>
      <c r="S286" s="930"/>
      <c r="T286" s="930"/>
      <c r="U286" s="930"/>
    </row>
    <row r="287" spans="1:31" s="1001" customFormat="1" ht="26.25" customHeight="1" thickBot="1" x14ac:dyDescent="0.3">
      <c r="B287" s="930"/>
      <c r="C287" s="923" t="s">
        <v>1385</v>
      </c>
      <c r="D287" s="1953" t="str">
        <f>AA22</f>
        <v/>
      </c>
      <c r="E287" s="1954"/>
      <c r="F287" s="930"/>
      <c r="G287" s="1007" t="str">
        <f>IF(P290="Yes","Weekly Baseline","Baseline")</f>
        <v>Weekly Baseline</v>
      </c>
      <c r="H287" s="891"/>
      <c r="I287" s="930"/>
      <c r="J287" s="920"/>
      <c r="K287" s="930"/>
      <c r="L287" s="891"/>
      <c r="M287" s="930"/>
      <c r="N287" s="954" t="s">
        <v>479</v>
      </c>
      <c r="O287" s="930"/>
      <c r="P287" s="954" t="s">
        <v>1504</v>
      </c>
      <c r="Q287" s="930"/>
      <c r="R287" s="954" t="s">
        <v>1505</v>
      </c>
      <c r="S287" s="930"/>
      <c r="T287" s="930"/>
      <c r="U287" s="930"/>
    </row>
    <row r="288" spans="1:31" s="1001" customFormat="1" ht="18" customHeight="1" thickBot="1" x14ac:dyDescent="0.3">
      <c r="B288" s="930"/>
      <c r="C288" s="918"/>
      <c r="D288" s="911"/>
      <c r="E288" s="911"/>
      <c r="F288" s="930"/>
      <c r="G288" s="958"/>
      <c r="H288" s="930"/>
      <c r="I288" s="930"/>
      <c r="J288" s="930"/>
      <c r="K288" s="930"/>
      <c r="L288" s="930"/>
      <c r="M288" s="930"/>
      <c r="N288" s="930"/>
      <c r="O288" s="930"/>
      <c r="P288" s="930"/>
      <c r="Q288" s="930"/>
      <c r="R288" s="930"/>
      <c r="S288" s="930"/>
      <c r="T288" s="930"/>
      <c r="U288" s="930"/>
    </row>
    <row r="289" spans="1:31" s="1001" customFormat="1" ht="30" customHeight="1" thickBot="1" x14ac:dyDescent="0.3">
      <c r="B289" s="930"/>
      <c r="C289" s="923" t="s">
        <v>1386</v>
      </c>
      <c r="D289" s="1953" t="str">
        <f>AB22</f>
        <v/>
      </c>
      <c r="E289" s="1954"/>
      <c r="F289" s="930"/>
      <c r="G289" s="958"/>
      <c r="H289" s="1002" t="s">
        <v>1492</v>
      </c>
      <c r="I289" s="930"/>
      <c r="J289" s="926" t="s">
        <v>1506</v>
      </c>
      <c r="K289" s="930"/>
      <c r="L289" s="926" t="s">
        <v>1493</v>
      </c>
      <c r="M289" s="930"/>
      <c r="N289" s="926" t="s">
        <v>1507</v>
      </c>
      <c r="O289" s="930"/>
      <c r="P289" s="926" t="s">
        <v>1508</v>
      </c>
      <c r="Q289" s="930"/>
      <c r="R289" s="926" t="s">
        <v>1509</v>
      </c>
      <c r="S289" s="930"/>
      <c r="T289" s="997" t="s">
        <v>1599</v>
      </c>
      <c r="U289" s="930"/>
    </row>
    <row r="290" spans="1:31" s="1001" customFormat="1" ht="18" customHeight="1" thickBot="1" x14ac:dyDescent="0.3">
      <c r="B290" s="930"/>
      <c r="C290" s="918"/>
      <c r="D290" s="918"/>
      <c r="E290" s="918"/>
      <c r="F290" s="930"/>
      <c r="G290" s="958"/>
      <c r="H290" s="912" t="s">
        <v>646</v>
      </c>
      <c r="I290" s="930"/>
      <c r="J290" s="872" t="s">
        <v>1494</v>
      </c>
      <c r="K290" s="930"/>
      <c r="L290" s="954" t="s">
        <v>1494</v>
      </c>
      <c r="M290" s="930"/>
      <c r="N290" s="954" t="s">
        <v>648</v>
      </c>
      <c r="O290" s="930"/>
      <c r="P290" s="912" t="s">
        <v>646</v>
      </c>
      <c r="Q290" s="930"/>
      <c r="R290" s="954" t="s">
        <v>1510</v>
      </c>
      <c r="S290" s="930"/>
      <c r="T290" s="998" t="s">
        <v>648</v>
      </c>
      <c r="U290" s="930"/>
    </row>
    <row r="291" spans="1:31" s="1001" customFormat="1" ht="30" customHeight="1" thickBot="1" x14ac:dyDescent="0.3">
      <c r="B291" s="930"/>
      <c r="C291" s="924" t="s">
        <v>1495</v>
      </c>
      <c r="D291" s="1943" t="s">
        <v>648</v>
      </c>
      <c r="E291" s="1944"/>
      <c r="F291" s="930"/>
      <c r="G291" s="958"/>
      <c r="H291" s="930"/>
      <c r="I291" s="930"/>
      <c r="J291" s="930"/>
      <c r="K291" s="930"/>
      <c r="L291" s="930"/>
      <c r="M291" s="930"/>
      <c r="N291" s="930"/>
      <c r="O291" s="930"/>
      <c r="P291" s="930"/>
      <c r="Q291" s="930"/>
      <c r="R291" s="930"/>
      <c r="S291" s="930"/>
      <c r="T291" s="930"/>
      <c r="U291" s="930"/>
    </row>
    <row r="292" spans="1:31" s="1001" customFormat="1" ht="18" customHeight="1" thickBot="1" x14ac:dyDescent="0.3">
      <c r="B292" s="930"/>
      <c r="C292" s="918"/>
      <c r="D292" s="918"/>
      <c r="E292" s="918"/>
      <c r="F292" s="930"/>
      <c r="G292" s="958"/>
      <c r="H292" s="930"/>
      <c r="I292" s="930"/>
      <c r="J292" s="930"/>
      <c r="K292" s="930"/>
      <c r="L292" s="930"/>
      <c r="M292" s="930"/>
      <c r="N292" s="930"/>
      <c r="O292" s="930"/>
      <c r="P292" s="930"/>
      <c r="Q292" s="930"/>
      <c r="R292" s="716" t="s">
        <v>2102</v>
      </c>
      <c r="S292" s="930"/>
      <c r="T292" s="926" t="s">
        <v>523</v>
      </c>
      <c r="U292" s="930"/>
    </row>
    <row r="293" spans="1:31" s="1001" customFormat="1" ht="18" customHeight="1" thickBot="1" x14ac:dyDescent="0.3">
      <c r="B293" s="930"/>
      <c r="C293" s="923" t="s">
        <v>1496</v>
      </c>
      <c r="D293" s="1951" t="s">
        <v>1497</v>
      </c>
      <c r="E293" s="1936"/>
      <c r="F293" s="930"/>
      <c r="G293" s="958"/>
      <c r="H293" s="930"/>
      <c r="I293" s="930"/>
      <c r="J293" s="930"/>
      <c r="K293" s="930"/>
      <c r="L293" s="930"/>
      <c r="M293" s="930"/>
      <c r="N293" s="930"/>
      <c r="O293" s="930"/>
      <c r="P293" s="930"/>
      <c r="Q293" s="930"/>
      <c r="R293" s="1550" t="s">
        <v>648</v>
      </c>
      <c r="S293" s="930"/>
      <c r="T293" s="954" t="str">
        <f>IF(Z22&lt;&gt;"","Yes","No")</f>
        <v>No</v>
      </c>
      <c r="U293" s="930"/>
    </row>
    <row r="294" spans="1:31" s="1001" customFormat="1" ht="20.25" customHeight="1" thickBot="1" x14ac:dyDescent="0.3">
      <c r="B294" s="930"/>
      <c r="C294" s="930"/>
      <c r="D294" s="930"/>
      <c r="E294" s="930"/>
      <c r="F294" s="930"/>
      <c r="G294" s="958"/>
      <c r="H294" s="930"/>
      <c r="I294" s="930"/>
      <c r="J294" s="930"/>
      <c r="K294" s="930"/>
      <c r="L294" s="930"/>
      <c r="M294" s="930"/>
      <c r="N294" s="930"/>
      <c r="O294" s="930"/>
      <c r="P294" s="930"/>
      <c r="Q294" s="930"/>
      <c r="R294" s="930"/>
      <c r="S294" s="930"/>
      <c r="T294" s="930"/>
      <c r="U294" s="930"/>
    </row>
    <row r="295" spans="1:31" s="1001" customFormat="1" ht="20.25" customHeight="1" thickBot="1" x14ac:dyDescent="0.3">
      <c r="B295" s="1959" t="s">
        <v>1683</v>
      </c>
      <c r="C295" s="1960"/>
      <c r="D295" s="1960"/>
      <c r="E295" s="1960"/>
      <c r="F295" s="1960"/>
      <c r="G295" s="1960"/>
      <c r="H295" s="1960"/>
      <c r="I295" s="1960"/>
      <c r="J295" s="1960"/>
      <c r="K295" s="1960"/>
      <c r="L295" s="1960"/>
      <c r="M295" s="1960"/>
      <c r="N295" s="1960"/>
      <c r="O295" s="1960"/>
      <c r="P295" s="1960"/>
      <c r="Q295" s="1960"/>
      <c r="R295" s="1960"/>
      <c r="S295" s="1960"/>
      <c r="T295" s="1960"/>
      <c r="U295" s="1961"/>
    </row>
    <row r="296" spans="1:31" s="1001" customFormat="1" ht="20.25" customHeight="1" thickBot="1" x14ac:dyDescent="0.3">
      <c r="B296" s="930"/>
      <c r="C296" s="930"/>
      <c r="D296" s="930"/>
      <c r="E296" s="930"/>
      <c r="F296" s="930"/>
      <c r="G296" s="958"/>
      <c r="H296" s="930"/>
      <c r="I296" s="930"/>
      <c r="J296" s="930"/>
      <c r="K296" s="930"/>
      <c r="L296" s="930"/>
      <c r="M296" s="930"/>
      <c r="N296" s="930"/>
      <c r="O296" s="930"/>
      <c r="P296" s="930"/>
      <c r="Q296" s="930"/>
      <c r="R296" s="930"/>
      <c r="S296" s="930"/>
      <c r="T296" s="930"/>
      <c r="U296" s="930"/>
    </row>
    <row r="297" spans="1:31" s="1001" customFormat="1" ht="30" customHeight="1" thickBot="1" x14ac:dyDescent="0.3">
      <c r="A297" s="134"/>
      <c r="B297" s="930"/>
      <c r="C297" s="923" t="s">
        <v>1383</v>
      </c>
      <c r="D297" s="1949" t="s">
        <v>1539</v>
      </c>
      <c r="E297" s="1950"/>
      <c r="F297" s="930"/>
      <c r="G297" s="958"/>
      <c r="H297" s="926" t="s">
        <v>1380</v>
      </c>
      <c r="I297" s="930"/>
      <c r="J297" s="926" t="s">
        <v>1381</v>
      </c>
      <c r="K297" s="930"/>
      <c r="L297" s="926" t="s">
        <v>1397</v>
      </c>
      <c r="M297" s="930"/>
      <c r="N297" s="926" t="s">
        <v>1382</v>
      </c>
      <c r="O297" s="930"/>
      <c r="P297" s="926" t="s">
        <v>1486</v>
      </c>
      <c r="Q297" s="930"/>
      <c r="R297" s="926" t="s">
        <v>1487</v>
      </c>
      <c r="S297" s="930"/>
      <c r="T297" s="926" t="s">
        <v>1488</v>
      </c>
      <c r="U297" s="930"/>
      <c r="AE297" s="1956" t="str">
        <f>IF(AND(H298="",T307="Yes"),"Please Update Incentive Period","")</f>
        <v/>
      </c>
    </row>
    <row r="298" spans="1:31" s="1001" customFormat="1" ht="18" customHeight="1" thickBot="1" x14ac:dyDescent="0.3">
      <c r="B298" s="930"/>
      <c r="C298" s="918"/>
      <c r="D298" s="918"/>
      <c r="E298" s="918"/>
      <c r="F298" s="930"/>
      <c r="G298" s="958"/>
      <c r="H298" s="871"/>
      <c r="I298" s="930"/>
      <c r="J298" s="916"/>
      <c r="K298" s="930"/>
      <c r="L298" s="916"/>
      <c r="M298" s="930"/>
      <c r="N298" s="956"/>
      <c r="O298" s="930"/>
      <c r="P298" s="872" t="s">
        <v>1489</v>
      </c>
      <c r="Q298" s="930"/>
      <c r="R298" s="872" t="s">
        <v>1490</v>
      </c>
      <c r="S298" s="930"/>
      <c r="T298" s="912" t="s">
        <v>648</v>
      </c>
      <c r="U298" s="930"/>
      <c r="AE298" s="1956"/>
    </row>
    <row r="299" spans="1:31" s="1001" customFormat="1" ht="30" customHeight="1" thickBot="1" x14ac:dyDescent="0.3">
      <c r="B299" s="930"/>
      <c r="C299" s="923" t="s">
        <v>1491</v>
      </c>
      <c r="D299" s="1951">
        <v>1305</v>
      </c>
      <c r="E299" s="1952"/>
      <c r="F299" s="930"/>
      <c r="G299" s="958"/>
      <c r="H299" s="930"/>
      <c r="I299" s="930"/>
      <c r="J299" s="930"/>
      <c r="K299" s="930"/>
      <c r="L299" s="930"/>
      <c r="M299" s="930"/>
      <c r="N299" s="930"/>
      <c r="O299" s="930"/>
      <c r="P299" s="930"/>
      <c r="Q299" s="930"/>
      <c r="R299" s="930"/>
      <c r="S299" s="930"/>
      <c r="T299" s="930"/>
      <c r="U299" s="930"/>
    </row>
    <row r="300" spans="1:31" s="1001" customFormat="1" ht="30" customHeight="1" thickBot="1" x14ac:dyDescent="0.3">
      <c r="B300" s="930"/>
      <c r="C300" s="918"/>
      <c r="D300" s="918"/>
      <c r="E300" s="918"/>
      <c r="F300" s="930"/>
      <c r="G300" s="958"/>
      <c r="H300" s="927" t="s">
        <v>1387</v>
      </c>
      <c r="I300" s="930"/>
      <c r="J300" s="926" t="s">
        <v>1388</v>
      </c>
      <c r="K300" s="930"/>
      <c r="L300" s="926" t="s">
        <v>1389</v>
      </c>
      <c r="M300" s="930"/>
      <c r="N300" s="926" t="s">
        <v>1501</v>
      </c>
      <c r="O300" s="930"/>
      <c r="P300" s="926" t="s">
        <v>1502</v>
      </c>
      <c r="Q300" s="930"/>
      <c r="R300" s="926" t="s">
        <v>1503</v>
      </c>
      <c r="S300" s="930"/>
      <c r="T300" s="930"/>
      <c r="U300" s="930"/>
    </row>
    <row r="301" spans="1:31" s="1001" customFormat="1" ht="29.25" customHeight="1" thickBot="1" x14ac:dyDescent="0.3">
      <c r="B301" s="930"/>
      <c r="C301" s="923" t="s">
        <v>1385</v>
      </c>
      <c r="D301" s="1953" t="str">
        <f>AA23</f>
        <v/>
      </c>
      <c r="E301" s="1954"/>
      <c r="F301" s="930"/>
      <c r="G301" s="1007" t="str">
        <f>IF(P304="Yes","Weekly Baseline","Baseline")</f>
        <v>Weekly Baseline</v>
      </c>
      <c r="H301" s="891"/>
      <c r="I301" s="930"/>
      <c r="J301" s="920"/>
      <c r="K301" s="930"/>
      <c r="L301" s="891"/>
      <c r="M301" s="930"/>
      <c r="N301" s="954" t="s">
        <v>479</v>
      </c>
      <c r="O301" s="930"/>
      <c r="P301" s="954" t="s">
        <v>1504</v>
      </c>
      <c r="Q301" s="930"/>
      <c r="R301" s="954" t="s">
        <v>1505</v>
      </c>
      <c r="S301" s="930"/>
      <c r="T301" s="930"/>
      <c r="U301" s="930"/>
    </row>
    <row r="302" spans="1:31" s="1001" customFormat="1" ht="18" customHeight="1" thickBot="1" x14ac:dyDescent="0.3">
      <c r="B302" s="930"/>
      <c r="C302" s="918"/>
      <c r="D302" s="911"/>
      <c r="E302" s="911"/>
      <c r="F302" s="930"/>
      <c r="G302" s="958"/>
      <c r="H302" s="930"/>
      <c r="I302" s="930"/>
      <c r="J302" s="930"/>
      <c r="K302" s="930"/>
      <c r="L302" s="930"/>
      <c r="M302" s="930"/>
      <c r="N302" s="930"/>
      <c r="O302" s="930"/>
      <c r="P302" s="930"/>
      <c r="Q302" s="930"/>
      <c r="R302" s="930"/>
      <c r="S302" s="930"/>
      <c r="T302" s="930"/>
      <c r="U302" s="930"/>
    </row>
    <row r="303" spans="1:31" s="1001" customFormat="1" ht="30" customHeight="1" thickBot="1" x14ac:dyDescent="0.3">
      <c r="B303" s="930"/>
      <c r="C303" s="923" t="s">
        <v>1386</v>
      </c>
      <c r="D303" s="1953" t="str">
        <f>AB23</f>
        <v/>
      </c>
      <c r="E303" s="1954"/>
      <c r="F303" s="930"/>
      <c r="G303" s="958"/>
      <c r="H303" s="1002" t="s">
        <v>1492</v>
      </c>
      <c r="I303" s="930"/>
      <c r="J303" s="926" t="s">
        <v>1506</v>
      </c>
      <c r="K303" s="930"/>
      <c r="L303" s="926" t="s">
        <v>1493</v>
      </c>
      <c r="M303" s="930"/>
      <c r="N303" s="926" t="s">
        <v>1507</v>
      </c>
      <c r="O303" s="930"/>
      <c r="P303" s="926" t="s">
        <v>1508</v>
      </c>
      <c r="Q303" s="930"/>
      <c r="R303" s="926" t="s">
        <v>1509</v>
      </c>
      <c r="S303" s="930"/>
      <c r="T303" s="997" t="s">
        <v>1599</v>
      </c>
      <c r="U303" s="930"/>
    </row>
    <row r="304" spans="1:31" s="1001" customFormat="1" ht="18" customHeight="1" thickBot="1" x14ac:dyDescent="0.3">
      <c r="B304" s="930"/>
      <c r="C304" s="918"/>
      <c r="D304" s="918"/>
      <c r="E304" s="918"/>
      <c r="F304" s="930"/>
      <c r="G304" s="958"/>
      <c r="H304" s="912" t="s">
        <v>646</v>
      </c>
      <c r="I304" s="930"/>
      <c r="J304" s="872" t="s">
        <v>1494</v>
      </c>
      <c r="K304" s="930"/>
      <c r="L304" s="954" t="s">
        <v>1494</v>
      </c>
      <c r="M304" s="930"/>
      <c r="N304" s="954" t="s">
        <v>648</v>
      </c>
      <c r="O304" s="930"/>
      <c r="P304" s="912" t="s">
        <v>646</v>
      </c>
      <c r="Q304" s="930"/>
      <c r="R304" s="954" t="s">
        <v>1510</v>
      </c>
      <c r="S304" s="930"/>
      <c r="T304" s="998" t="s">
        <v>648</v>
      </c>
      <c r="U304" s="930"/>
    </row>
    <row r="305" spans="1:31" s="1001" customFormat="1" ht="30" customHeight="1" thickBot="1" x14ac:dyDescent="0.3">
      <c r="B305" s="930"/>
      <c r="C305" s="924" t="s">
        <v>1495</v>
      </c>
      <c r="D305" s="1943" t="s">
        <v>648</v>
      </c>
      <c r="E305" s="1944"/>
      <c r="F305" s="930"/>
      <c r="G305" s="958"/>
      <c r="H305" s="930"/>
      <c r="I305" s="930"/>
      <c r="J305" s="930"/>
      <c r="K305" s="930"/>
      <c r="L305" s="930"/>
      <c r="M305" s="930"/>
      <c r="N305" s="930"/>
      <c r="O305" s="930"/>
      <c r="P305" s="930"/>
      <c r="Q305" s="930"/>
      <c r="R305" s="930"/>
      <c r="S305" s="930"/>
      <c r="T305" s="930"/>
      <c r="U305" s="930"/>
    </row>
    <row r="306" spans="1:31" s="1001" customFormat="1" ht="18" customHeight="1" thickBot="1" x14ac:dyDescent="0.3">
      <c r="B306" s="930"/>
      <c r="C306" s="918"/>
      <c r="D306" s="918"/>
      <c r="E306" s="918"/>
      <c r="F306" s="930"/>
      <c r="G306" s="958"/>
      <c r="H306" s="930"/>
      <c r="I306" s="930"/>
      <c r="J306" s="930"/>
      <c r="K306" s="930"/>
      <c r="L306" s="930"/>
      <c r="M306" s="930"/>
      <c r="N306" s="930"/>
      <c r="O306" s="930"/>
      <c r="P306" s="930"/>
      <c r="Q306" s="930"/>
      <c r="R306" s="716" t="s">
        <v>2102</v>
      </c>
      <c r="S306" s="930"/>
      <c r="T306" s="926" t="s">
        <v>523</v>
      </c>
      <c r="U306" s="930"/>
    </row>
    <row r="307" spans="1:31" s="1001" customFormat="1" ht="18" customHeight="1" thickBot="1" x14ac:dyDescent="0.3">
      <c r="B307" s="930"/>
      <c r="C307" s="923" t="s">
        <v>1496</v>
      </c>
      <c r="D307" s="1951" t="s">
        <v>1497</v>
      </c>
      <c r="E307" s="1936"/>
      <c r="F307" s="930"/>
      <c r="G307" s="958"/>
      <c r="H307" s="930"/>
      <c r="I307" s="930"/>
      <c r="J307" s="930"/>
      <c r="K307" s="930"/>
      <c r="L307" s="930"/>
      <c r="M307" s="930"/>
      <c r="N307" s="930"/>
      <c r="O307" s="930"/>
      <c r="P307" s="930"/>
      <c r="Q307" s="930"/>
      <c r="R307" s="1550" t="s">
        <v>648</v>
      </c>
      <c r="S307" s="930"/>
      <c r="T307" s="954" t="str">
        <f>IF(Z23&lt;&gt;"","Yes","No")</f>
        <v>No</v>
      </c>
      <c r="U307" s="930"/>
    </row>
    <row r="308" spans="1:31" s="1001" customFormat="1" ht="20.25" customHeight="1" thickBot="1" x14ac:dyDescent="0.3">
      <c r="B308" s="930"/>
      <c r="C308" s="930"/>
      <c r="D308" s="930"/>
      <c r="E308" s="930"/>
      <c r="F308" s="930"/>
      <c r="G308" s="958"/>
      <c r="H308" s="930"/>
      <c r="I308" s="930"/>
      <c r="J308" s="930"/>
      <c r="K308" s="930"/>
      <c r="L308" s="930"/>
      <c r="M308" s="930"/>
      <c r="N308" s="930"/>
      <c r="O308" s="930"/>
      <c r="P308" s="930"/>
      <c r="Q308" s="930"/>
      <c r="R308" s="930"/>
      <c r="S308" s="930"/>
      <c r="T308" s="930"/>
      <c r="U308" s="930"/>
    </row>
    <row r="309" spans="1:31" ht="20.25" customHeight="1" thickBot="1" x14ac:dyDescent="0.3">
      <c r="A309" s="963"/>
      <c r="B309" s="1948" t="s">
        <v>1542</v>
      </c>
      <c r="C309" s="1935"/>
      <c r="D309" s="1935"/>
      <c r="E309" s="1935"/>
      <c r="F309" s="1935"/>
      <c r="G309" s="1935"/>
      <c r="H309" s="1935"/>
      <c r="I309" s="1935"/>
      <c r="J309" s="1935"/>
      <c r="K309" s="1935"/>
      <c r="L309" s="1935"/>
      <c r="M309" s="1935"/>
      <c r="N309" s="1935"/>
      <c r="O309" s="1935"/>
      <c r="P309" s="1935"/>
      <c r="Q309" s="1935"/>
      <c r="R309" s="1935"/>
      <c r="S309" s="1935"/>
      <c r="T309" s="1935"/>
      <c r="U309" s="1936"/>
    </row>
    <row r="310" spans="1:31" ht="20.25" customHeight="1" thickBot="1" x14ac:dyDescent="0.3">
      <c r="A310" s="963"/>
      <c r="B310" s="930"/>
      <c r="C310" s="930"/>
      <c r="D310" s="930"/>
      <c r="E310" s="930"/>
      <c r="F310" s="930"/>
      <c r="G310" s="930"/>
      <c r="H310" s="930"/>
      <c r="I310" s="930"/>
      <c r="J310" s="930"/>
      <c r="K310" s="930"/>
      <c r="L310" s="930"/>
      <c r="M310" s="930"/>
      <c r="N310" s="930"/>
      <c r="O310" s="930"/>
      <c r="P310" s="930"/>
      <c r="Q310" s="930"/>
      <c r="R310" s="930"/>
      <c r="S310" s="930"/>
      <c r="T310" s="930"/>
      <c r="U310" s="930"/>
    </row>
    <row r="311" spans="1:31" ht="30" customHeight="1" thickBot="1" x14ac:dyDescent="0.3">
      <c r="A311" s="134"/>
      <c r="B311" s="930"/>
      <c r="C311" s="923" t="s">
        <v>1383</v>
      </c>
      <c r="D311" s="1949" t="s">
        <v>1540</v>
      </c>
      <c r="E311" s="1950"/>
      <c r="F311" s="930"/>
      <c r="G311" s="930"/>
      <c r="H311" s="926" t="s">
        <v>1380</v>
      </c>
      <c r="I311" s="930"/>
      <c r="J311" s="926" t="s">
        <v>1381</v>
      </c>
      <c r="K311" s="930"/>
      <c r="L311" s="926" t="s">
        <v>1397</v>
      </c>
      <c r="M311" s="930"/>
      <c r="N311" s="926" t="s">
        <v>1382</v>
      </c>
      <c r="O311" s="930"/>
      <c r="P311" s="926" t="s">
        <v>1486</v>
      </c>
      <c r="Q311" s="930"/>
      <c r="R311" s="926" t="s">
        <v>1487</v>
      </c>
      <c r="S311" s="930"/>
      <c r="T311" s="926" t="s">
        <v>1488</v>
      </c>
      <c r="U311" s="930"/>
      <c r="AE311" s="1956" t="str">
        <f>IF(AND(H312="",T321="Yes"),"Please Update Incentive Period","")</f>
        <v/>
      </c>
    </row>
    <row r="312" spans="1:31" ht="18" customHeight="1" thickBot="1" x14ac:dyDescent="0.3">
      <c r="A312" s="963"/>
      <c r="B312" s="930"/>
      <c r="C312" s="918"/>
      <c r="D312" s="918"/>
      <c r="E312" s="918"/>
      <c r="F312" s="930"/>
      <c r="G312" s="930"/>
      <c r="H312" s="871"/>
      <c r="I312" s="930"/>
      <c r="J312" s="916"/>
      <c r="K312" s="930"/>
      <c r="L312" s="916"/>
      <c r="M312" s="930"/>
      <c r="N312" s="956"/>
      <c r="O312" s="930"/>
      <c r="P312" s="872" t="s">
        <v>1489</v>
      </c>
      <c r="Q312" s="930"/>
      <c r="R312" s="872" t="s">
        <v>1490</v>
      </c>
      <c r="S312" s="930"/>
      <c r="T312" s="912" t="s">
        <v>648</v>
      </c>
      <c r="U312" s="930"/>
      <c r="AE312" s="1956"/>
    </row>
    <row r="313" spans="1:31" ht="30" customHeight="1" thickBot="1" x14ac:dyDescent="0.3">
      <c r="A313" s="963"/>
      <c r="B313" s="930"/>
      <c r="C313" s="923" t="s">
        <v>1491</v>
      </c>
      <c r="D313" s="1951">
        <v>4001</v>
      </c>
      <c r="E313" s="1952"/>
      <c r="F313" s="930"/>
      <c r="G313" s="930"/>
      <c r="H313" s="930"/>
      <c r="I313" s="930"/>
      <c r="J313" s="930"/>
      <c r="K313" s="930"/>
      <c r="L313" s="930"/>
      <c r="M313" s="930"/>
      <c r="N313" s="930"/>
      <c r="O313" s="930"/>
      <c r="P313" s="930"/>
      <c r="Q313" s="930"/>
      <c r="R313" s="930"/>
      <c r="S313" s="930"/>
      <c r="T313" s="930"/>
      <c r="U313" s="930"/>
    </row>
    <row r="314" spans="1:31" ht="30" customHeight="1" thickBot="1" x14ac:dyDescent="0.3">
      <c r="A314" s="963"/>
      <c r="B314" s="930"/>
      <c r="C314" s="918"/>
      <c r="D314" s="918"/>
      <c r="E314" s="918"/>
      <c r="F314" s="930"/>
      <c r="G314" s="930"/>
      <c r="H314" s="927" t="s">
        <v>1387</v>
      </c>
      <c r="I314" s="930"/>
      <c r="J314" s="926" t="s">
        <v>1388</v>
      </c>
      <c r="K314" s="930"/>
      <c r="L314" s="926" t="s">
        <v>1389</v>
      </c>
      <c r="M314" s="930"/>
      <c r="N314" s="926" t="s">
        <v>1501</v>
      </c>
      <c r="O314" s="930"/>
      <c r="P314" s="926" t="s">
        <v>1502</v>
      </c>
      <c r="Q314" s="930"/>
      <c r="R314" s="926" t="s">
        <v>1503</v>
      </c>
      <c r="S314" s="930"/>
      <c r="T314" s="930"/>
      <c r="U314" s="930"/>
    </row>
    <row r="315" spans="1:31" ht="18" customHeight="1" thickBot="1" x14ac:dyDescent="0.3">
      <c r="A315" s="963"/>
      <c r="B315" s="930"/>
      <c r="C315" s="923" t="s">
        <v>1385</v>
      </c>
      <c r="D315" s="1953" t="str">
        <f>AA24</f>
        <v/>
      </c>
      <c r="E315" s="1954"/>
      <c r="F315" s="930"/>
      <c r="G315" s="958" t="s">
        <v>997</v>
      </c>
      <c r="H315" s="891"/>
      <c r="I315" s="930"/>
      <c r="J315" s="931"/>
      <c r="K315" s="930"/>
      <c r="L315" s="891"/>
      <c r="M315" s="930"/>
      <c r="N315" s="954" t="s">
        <v>479</v>
      </c>
      <c r="O315" s="930"/>
      <c r="P315" s="954" t="s">
        <v>1151</v>
      </c>
      <c r="Q315" s="930"/>
      <c r="R315" s="954" t="s">
        <v>1505</v>
      </c>
      <c r="S315" s="930"/>
      <c r="T315" s="930"/>
      <c r="U315" s="930"/>
    </row>
    <row r="316" spans="1:31" ht="18" customHeight="1" thickBot="1" x14ac:dyDescent="0.3">
      <c r="A316" s="963"/>
      <c r="B316" s="930"/>
      <c r="C316" s="918"/>
      <c r="D316" s="911"/>
      <c r="E316" s="911"/>
      <c r="F316" s="930"/>
      <c r="G316" s="930"/>
      <c r="H316" s="930"/>
      <c r="I316" s="930"/>
      <c r="J316" s="930"/>
      <c r="K316" s="930"/>
      <c r="L316" s="930"/>
      <c r="M316" s="930"/>
      <c r="N316" s="930"/>
      <c r="O316" s="930"/>
      <c r="P316" s="930"/>
      <c r="Q316" s="930"/>
      <c r="R316" s="930"/>
      <c r="S316" s="930"/>
      <c r="T316" s="930"/>
      <c r="U316" s="930"/>
    </row>
    <row r="317" spans="1:31" ht="30.75" thickBot="1" x14ac:dyDescent="0.3">
      <c r="A317" s="963"/>
      <c r="B317" s="930"/>
      <c r="C317" s="923" t="s">
        <v>1386</v>
      </c>
      <c r="D317" s="1953" t="str">
        <f>AB24</f>
        <v/>
      </c>
      <c r="E317" s="1954"/>
      <c r="F317" s="930"/>
      <c r="G317" s="930"/>
      <c r="H317" s="925" t="s">
        <v>1492</v>
      </c>
      <c r="I317" s="930"/>
      <c r="J317" s="926" t="s">
        <v>1506</v>
      </c>
      <c r="K317" s="930"/>
      <c r="L317" s="926" t="s">
        <v>1493</v>
      </c>
      <c r="M317" s="930"/>
      <c r="N317" s="926" t="s">
        <v>1507</v>
      </c>
      <c r="O317" s="930"/>
      <c r="P317" s="926" t="s">
        <v>1508</v>
      </c>
      <c r="Q317" s="930"/>
      <c r="R317" s="930"/>
      <c r="S317" s="930"/>
      <c r="T317" s="926" t="s">
        <v>1599</v>
      </c>
      <c r="U317" s="930"/>
    </row>
    <row r="318" spans="1:31" ht="18" customHeight="1" thickBot="1" x14ac:dyDescent="0.3">
      <c r="A318" s="963"/>
      <c r="B318" s="930"/>
      <c r="C318" s="918"/>
      <c r="D318" s="918"/>
      <c r="E318" s="918"/>
      <c r="F318" s="930"/>
      <c r="G318" s="930"/>
      <c r="H318" s="912" t="s">
        <v>646</v>
      </c>
      <c r="I318" s="930"/>
      <c r="J318" s="872" t="s">
        <v>1494</v>
      </c>
      <c r="K318" s="930"/>
      <c r="L318" s="954" t="s">
        <v>1872</v>
      </c>
      <c r="M318" s="930"/>
      <c r="N318" s="954" t="s">
        <v>648</v>
      </c>
      <c r="O318" s="930"/>
      <c r="P318" s="954" t="s">
        <v>648</v>
      </c>
      <c r="Q318" s="930"/>
      <c r="R318" s="930"/>
      <c r="S318" s="930"/>
      <c r="T318" s="954" t="s">
        <v>646</v>
      </c>
      <c r="U318" s="930"/>
    </row>
    <row r="319" spans="1:31" ht="30" customHeight="1" thickBot="1" x14ac:dyDescent="0.3">
      <c r="A319" s="963"/>
      <c r="B319" s="930"/>
      <c r="C319" s="924" t="s">
        <v>1495</v>
      </c>
      <c r="D319" s="1943" t="s">
        <v>646</v>
      </c>
      <c r="E319" s="1944"/>
      <c r="F319" s="930"/>
      <c r="G319" s="930"/>
      <c r="H319" s="930"/>
      <c r="I319" s="930"/>
      <c r="J319" s="930"/>
      <c r="K319" s="930"/>
      <c r="L319" s="930"/>
      <c r="M319" s="930"/>
      <c r="N319" s="930"/>
      <c r="O319" s="930"/>
      <c r="P319" s="930"/>
      <c r="Q319" s="930"/>
      <c r="R319" s="930"/>
      <c r="S319" s="930"/>
      <c r="T319" s="930"/>
      <c r="U319" s="930"/>
    </row>
    <row r="320" spans="1:31" ht="18" customHeight="1" thickBot="1" x14ac:dyDescent="0.3">
      <c r="A320" s="963"/>
      <c r="B320" s="930"/>
      <c r="C320" s="918"/>
      <c r="D320" s="918"/>
      <c r="E320" s="918"/>
      <c r="F320" s="930"/>
      <c r="G320" s="930"/>
      <c r="H320" s="930"/>
      <c r="I320" s="930"/>
      <c r="J320" s="930"/>
      <c r="K320" s="930"/>
      <c r="L320" s="930"/>
      <c r="M320" s="930"/>
      <c r="N320" s="930"/>
      <c r="O320" s="930"/>
      <c r="P320" s="930"/>
      <c r="Q320" s="930"/>
      <c r="R320" s="716" t="s">
        <v>2102</v>
      </c>
      <c r="S320" s="930"/>
      <c r="T320" s="926" t="s">
        <v>523</v>
      </c>
      <c r="U320" s="930"/>
    </row>
    <row r="321" spans="1:31" ht="18" customHeight="1" thickBot="1" x14ac:dyDescent="0.3">
      <c r="A321" s="963"/>
      <c r="B321" s="930"/>
      <c r="C321" s="923" t="s">
        <v>1496</v>
      </c>
      <c r="D321" s="1951" t="s">
        <v>1497</v>
      </c>
      <c r="E321" s="1936"/>
      <c r="F321" s="930"/>
      <c r="G321" s="930"/>
      <c r="H321" s="930"/>
      <c r="I321" s="930"/>
      <c r="J321" s="930"/>
      <c r="K321" s="930"/>
      <c r="L321" s="930"/>
      <c r="M321" s="930"/>
      <c r="N321" s="930"/>
      <c r="O321" s="930"/>
      <c r="P321" s="930"/>
      <c r="Q321" s="930"/>
      <c r="R321" s="1550" t="s">
        <v>648</v>
      </c>
      <c r="S321" s="930"/>
      <c r="T321" s="954" t="str">
        <f>IF(Z24&lt;&gt;"","Yes","No")</f>
        <v>No</v>
      </c>
      <c r="U321" s="930"/>
    </row>
    <row r="322" spans="1:31" ht="21" customHeight="1" thickBot="1" x14ac:dyDescent="0.3">
      <c r="A322" s="963"/>
      <c r="B322" s="930"/>
      <c r="C322" s="930"/>
      <c r="D322" s="930"/>
      <c r="E322" s="930"/>
      <c r="F322" s="930"/>
      <c r="G322" s="930"/>
      <c r="H322" s="930"/>
      <c r="I322" s="930"/>
      <c r="J322" s="930"/>
      <c r="K322" s="930"/>
      <c r="L322" s="930"/>
      <c r="M322" s="930"/>
      <c r="N322" s="930"/>
      <c r="O322" s="930"/>
      <c r="P322" s="930"/>
      <c r="Q322" s="930"/>
      <c r="R322" s="930"/>
      <c r="S322" s="930"/>
      <c r="T322" s="930"/>
      <c r="U322" s="930"/>
    </row>
    <row r="323" spans="1:31" ht="20.25" customHeight="1" thickBot="1" x14ac:dyDescent="0.3">
      <c r="A323" s="965"/>
      <c r="B323" s="1959" t="s">
        <v>1703</v>
      </c>
      <c r="C323" s="1960"/>
      <c r="D323" s="1960"/>
      <c r="E323" s="1960"/>
      <c r="F323" s="1960"/>
      <c r="G323" s="1960"/>
      <c r="H323" s="1960"/>
      <c r="I323" s="1960"/>
      <c r="J323" s="1960"/>
      <c r="K323" s="1960"/>
      <c r="L323" s="1960"/>
      <c r="M323" s="1960"/>
      <c r="N323" s="1960"/>
      <c r="O323" s="1960"/>
      <c r="P323" s="1960"/>
      <c r="Q323" s="1960"/>
      <c r="R323" s="1960"/>
      <c r="S323" s="1960"/>
      <c r="T323" s="1960"/>
      <c r="U323" s="1961"/>
    </row>
    <row r="324" spans="1:31" ht="15.75" thickBot="1" x14ac:dyDescent="0.3">
      <c r="A324" s="965"/>
      <c r="B324" s="966"/>
      <c r="C324" s="966"/>
      <c r="D324" s="966"/>
      <c r="E324" s="966"/>
      <c r="F324" s="966"/>
      <c r="G324" s="966"/>
      <c r="H324" s="966"/>
      <c r="I324" s="966"/>
      <c r="J324" s="966"/>
      <c r="K324" s="966"/>
      <c r="L324" s="966"/>
      <c r="M324" s="966"/>
      <c r="N324" s="966"/>
      <c r="O324" s="966"/>
      <c r="P324" s="966"/>
      <c r="Q324" s="966"/>
      <c r="R324" s="966"/>
      <c r="S324" s="966"/>
      <c r="T324" s="966"/>
      <c r="U324" s="966"/>
    </row>
    <row r="325" spans="1:31" ht="30.75" thickBot="1" x14ac:dyDescent="0.3">
      <c r="A325" s="134"/>
      <c r="B325" s="966"/>
      <c r="C325" s="967" t="s">
        <v>1383</v>
      </c>
      <c r="D325" s="1963" t="s">
        <v>1600</v>
      </c>
      <c r="E325" s="1964"/>
      <c r="F325" s="966"/>
      <c r="G325" s="966"/>
      <c r="H325" s="194" t="s">
        <v>1380</v>
      </c>
      <c r="I325" s="966"/>
      <c r="J325" s="194" t="s">
        <v>1381</v>
      </c>
      <c r="K325" s="966"/>
      <c r="L325" s="194" t="s">
        <v>1397</v>
      </c>
      <c r="M325" s="966"/>
      <c r="N325" s="194" t="s">
        <v>1382</v>
      </c>
      <c r="O325" s="966"/>
      <c r="P325" s="966"/>
      <c r="Q325" s="966"/>
      <c r="R325" s="194" t="s">
        <v>1487</v>
      </c>
      <c r="S325" s="966"/>
      <c r="T325" s="194" t="s">
        <v>1488</v>
      </c>
      <c r="U325" s="966"/>
      <c r="AE325" s="1956"/>
    </row>
    <row r="326" spans="1:31" ht="15.75" thickBot="1" x14ac:dyDescent="0.3">
      <c r="A326" s="965"/>
      <c r="B326" s="966"/>
      <c r="C326" s="977"/>
      <c r="D326" s="977"/>
      <c r="E326" s="977"/>
      <c r="F326" s="966"/>
      <c r="G326" s="966"/>
      <c r="H326" s="956" t="s">
        <v>1601</v>
      </c>
      <c r="I326" s="966"/>
      <c r="J326" s="916"/>
      <c r="K326" s="966"/>
      <c r="L326" s="916"/>
      <c r="M326" s="966"/>
      <c r="N326" s="956"/>
      <c r="O326" s="966"/>
      <c r="P326" s="966"/>
      <c r="Q326" s="966"/>
      <c r="R326" s="954" t="s">
        <v>1602</v>
      </c>
      <c r="S326" s="966"/>
      <c r="T326" s="954" t="s">
        <v>646</v>
      </c>
      <c r="U326" s="966"/>
      <c r="AE326" s="1956"/>
    </row>
    <row r="327" spans="1:31" ht="30.75" thickBot="1" x14ac:dyDescent="0.3">
      <c r="A327" s="965"/>
      <c r="B327" s="966"/>
      <c r="C327" s="967" t="s">
        <v>1491</v>
      </c>
      <c r="D327" s="1962">
        <v>4601</v>
      </c>
      <c r="E327" s="1965"/>
      <c r="F327" s="966"/>
      <c r="G327" s="966"/>
      <c r="H327" s="966"/>
      <c r="I327" s="966"/>
      <c r="J327" s="966"/>
      <c r="K327" s="966"/>
      <c r="L327" s="966"/>
      <c r="M327" s="966"/>
      <c r="N327" s="966"/>
      <c r="O327" s="966"/>
      <c r="P327" s="966"/>
      <c r="Q327" s="966"/>
      <c r="R327" s="966"/>
      <c r="S327" s="966"/>
      <c r="T327" s="966"/>
      <c r="U327" s="966"/>
    </row>
    <row r="328" spans="1:31" ht="15.75" thickBot="1" x14ac:dyDescent="0.3">
      <c r="A328" s="965"/>
      <c r="B328" s="966"/>
      <c r="C328" s="977"/>
      <c r="D328" s="977"/>
      <c r="E328" s="977"/>
      <c r="F328" s="966"/>
      <c r="G328" s="966"/>
      <c r="H328" s="228" t="s">
        <v>1396</v>
      </c>
      <c r="I328" s="966"/>
      <c r="J328" s="966"/>
      <c r="K328" s="966"/>
      <c r="L328" s="966"/>
      <c r="M328" s="966"/>
      <c r="N328" s="966"/>
      <c r="O328" s="966"/>
      <c r="P328" s="966"/>
      <c r="Q328" s="966"/>
      <c r="R328" s="194" t="s">
        <v>1603</v>
      </c>
      <c r="S328" s="966"/>
      <c r="T328" s="194" t="s">
        <v>1604</v>
      </c>
      <c r="U328" s="966"/>
    </row>
    <row r="329" spans="1:31" ht="15.75" thickBot="1" x14ac:dyDescent="0.3">
      <c r="A329" s="965"/>
      <c r="B329" s="966"/>
      <c r="C329" s="967" t="s">
        <v>1385</v>
      </c>
      <c r="D329" s="1953" t="str">
        <f>AA25</f>
        <v/>
      </c>
      <c r="E329" s="1954"/>
      <c r="F329" s="966"/>
      <c r="G329" s="966"/>
      <c r="H329" s="891"/>
      <c r="I329" s="966"/>
      <c r="J329" s="966"/>
      <c r="K329" s="966"/>
      <c r="L329" s="966"/>
      <c r="M329" s="966"/>
      <c r="N329" s="966"/>
      <c r="O329" s="966"/>
      <c r="P329" s="966"/>
      <c r="Q329" s="966"/>
      <c r="R329" s="954" t="s">
        <v>1605</v>
      </c>
      <c r="S329" s="966"/>
      <c r="T329" s="954">
        <v>1</v>
      </c>
      <c r="U329" s="966"/>
    </row>
    <row r="330" spans="1:31" ht="15.75" thickBot="1" x14ac:dyDescent="0.3">
      <c r="A330" s="965"/>
      <c r="B330" s="966"/>
      <c r="C330" s="977"/>
      <c r="D330" s="911"/>
      <c r="E330" s="911"/>
      <c r="F330" s="966"/>
      <c r="G330" s="966"/>
      <c r="H330" s="966"/>
      <c r="I330" s="966"/>
      <c r="J330" s="966"/>
      <c r="K330" s="966"/>
      <c r="L330" s="966"/>
      <c r="M330" s="966"/>
      <c r="N330" s="966"/>
      <c r="O330" s="966"/>
      <c r="P330" s="966"/>
      <c r="Q330" s="966"/>
      <c r="R330" s="966"/>
      <c r="S330" s="966"/>
      <c r="T330" s="966"/>
      <c r="U330" s="966"/>
    </row>
    <row r="331" spans="1:31" ht="30.75" thickBot="1" x14ac:dyDescent="0.3">
      <c r="A331" s="965"/>
      <c r="B331" s="966"/>
      <c r="C331" s="967" t="s">
        <v>1386</v>
      </c>
      <c r="D331" s="1953" t="str">
        <f>AB25</f>
        <v/>
      </c>
      <c r="E331" s="1954"/>
      <c r="F331" s="966"/>
      <c r="G331" s="966"/>
      <c r="H331" s="228" t="s">
        <v>1492</v>
      </c>
      <c r="I331" s="966"/>
      <c r="J331" s="966"/>
      <c r="K331" s="966"/>
      <c r="L331" s="966"/>
      <c r="M331" s="966"/>
      <c r="N331" s="966"/>
      <c r="O331" s="966"/>
      <c r="P331" s="966"/>
      <c r="Q331" s="966"/>
      <c r="R331" s="966"/>
      <c r="S331" s="966"/>
      <c r="T331" s="194" t="s">
        <v>1599</v>
      </c>
      <c r="U331" s="966"/>
    </row>
    <row r="332" spans="1:31" ht="15.75" thickBot="1" x14ac:dyDescent="0.3">
      <c r="A332" s="965"/>
      <c r="B332" s="966"/>
      <c r="C332" s="977"/>
      <c r="D332" s="977"/>
      <c r="E332" s="977"/>
      <c r="F332" s="966"/>
      <c r="G332" s="966"/>
      <c r="H332" s="912" t="s">
        <v>646</v>
      </c>
      <c r="I332" s="966"/>
      <c r="J332" s="966"/>
      <c r="K332" s="966"/>
      <c r="L332" s="966"/>
      <c r="M332" s="966"/>
      <c r="N332" s="966"/>
      <c r="O332" s="966"/>
      <c r="P332" s="966"/>
      <c r="Q332" s="966"/>
      <c r="R332" s="966"/>
      <c r="S332" s="966"/>
      <c r="T332" s="954" t="s">
        <v>648</v>
      </c>
      <c r="U332" s="966"/>
    </row>
    <row r="333" spans="1:31" ht="30" customHeight="1" thickBot="1" x14ac:dyDescent="0.3">
      <c r="A333" s="965"/>
      <c r="B333" s="966"/>
      <c r="C333" s="978" t="s">
        <v>1495</v>
      </c>
      <c r="D333" s="1943" t="s">
        <v>646</v>
      </c>
      <c r="E333" s="1944"/>
      <c r="F333" s="966"/>
      <c r="G333" s="966"/>
      <c r="H333" s="966"/>
      <c r="I333" s="966"/>
      <c r="J333" s="966"/>
      <c r="K333" s="966"/>
      <c r="L333" s="966"/>
      <c r="M333" s="966"/>
      <c r="N333" s="966"/>
      <c r="O333" s="966"/>
      <c r="P333" s="966"/>
      <c r="Q333" s="966"/>
      <c r="R333" s="966"/>
      <c r="S333" s="966"/>
      <c r="T333" s="966"/>
      <c r="U333" s="966"/>
    </row>
    <row r="334" spans="1:31" ht="15.75" thickBot="1" x14ac:dyDescent="0.3">
      <c r="A334" s="965"/>
      <c r="B334" s="966"/>
      <c r="C334" s="977"/>
      <c r="D334" s="977"/>
      <c r="E334" s="977"/>
      <c r="F334" s="966"/>
      <c r="G334" s="966"/>
      <c r="H334" s="966"/>
      <c r="I334" s="966"/>
      <c r="J334" s="966"/>
      <c r="K334" s="966"/>
      <c r="L334" s="966"/>
      <c r="M334" s="966"/>
      <c r="N334" s="966"/>
      <c r="O334" s="966"/>
      <c r="P334" s="966"/>
      <c r="Q334" s="966"/>
      <c r="R334" s="966"/>
      <c r="S334" s="966"/>
      <c r="T334" s="926" t="s">
        <v>523</v>
      </c>
      <c r="U334" s="966"/>
    </row>
    <row r="335" spans="1:31" ht="15.75" thickBot="1" x14ac:dyDescent="0.3">
      <c r="A335" s="965"/>
      <c r="B335" s="966"/>
      <c r="C335" s="967" t="s">
        <v>1496</v>
      </c>
      <c r="D335" s="1962" t="s">
        <v>1606</v>
      </c>
      <c r="E335" s="1961"/>
      <c r="F335" s="966"/>
      <c r="G335" s="966"/>
      <c r="H335" s="966"/>
      <c r="I335" s="966"/>
      <c r="J335" s="966"/>
      <c r="K335" s="966"/>
      <c r="L335" s="966"/>
      <c r="M335" s="966"/>
      <c r="N335" s="966"/>
      <c r="O335" s="966"/>
      <c r="P335" s="966"/>
      <c r="Q335" s="966"/>
      <c r="R335" s="966"/>
      <c r="S335" s="966"/>
      <c r="T335" s="954" t="str">
        <f>IF(Z25&lt;&gt;"","Yes","No")</f>
        <v>No</v>
      </c>
      <c r="U335" s="966"/>
    </row>
    <row r="336" spans="1:31" ht="20.25" customHeight="1" thickBot="1" x14ac:dyDescent="0.3">
      <c r="A336" s="965"/>
      <c r="B336" s="966"/>
      <c r="C336" s="966"/>
      <c r="D336" s="966"/>
      <c r="E336" s="966"/>
      <c r="F336" s="966"/>
      <c r="G336" s="966"/>
      <c r="H336" s="966"/>
      <c r="I336" s="966"/>
      <c r="J336" s="966"/>
      <c r="K336" s="966"/>
      <c r="L336" s="966"/>
      <c r="M336" s="966"/>
      <c r="N336" s="966"/>
      <c r="O336" s="966"/>
      <c r="P336" s="966"/>
      <c r="Q336" s="966"/>
      <c r="R336" s="966"/>
      <c r="S336" s="966"/>
      <c r="T336" s="966"/>
      <c r="U336" s="966"/>
    </row>
    <row r="337" spans="1:31" ht="20.25" customHeight="1" thickBot="1" x14ac:dyDescent="0.3">
      <c r="A337" s="965"/>
      <c r="B337" s="1959" t="s">
        <v>1704</v>
      </c>
      <c r="C337" s="1960"/>
      <c r="D337" s="1960"/>
      <c r="E337" s="1960"/>
      <c r="F337" s="1960"/>
      <c r="G337" s="1960"/>
      <c r="H337" s="1960"/>
      <c r="I337" s="1960"/>
      <c r="J337" s="1960"/>
      <c r="K337" s="1960"/>
      <c r="L337" s="1960"/>
      <c r="M337" s="1960"/>
      <c r="N337" s="1960"/>
      <c r="O337" s="1960"/>
      <c r="P337" s="1960"/>
      <c r="Q337" s="1960"/>
      <c r="R337" s="1960"/>
      <c r="S337" s="1960"/>
      <c r="T337" s="1960"/>
      <c r="U337" s="1961"/>
    </row>
    <row r="338" spans="1:31" ht="20.25" customHeight="1" thickBot="1" x14ac:dyDescent="0.3">
      <c r="A338" s="965"/>
      <c r="B338" s="966"/>
      <c r="C338" s="966"/>
      <c r="D338" s="966"/>
      <c r="E338" s="966"/>
      <c r="F338" s="966"/>
      <c r="G338" s="966"/>
      <c r="H338" s="966"/>
      <c r="I338" s="966"/>
      <c r="J338" s="966"/>
      <c r="K338" s="966"/>
      <c r="L338" s="966"/>
      <c r="M338" s="966"/>
      <c r="N338" s="966"/>
      <c r="O338" s="966"/>
      <c r="P338" s="966"/>
      <c r="Q338" s="966"/>
      <c r="R338" s="966"/>
      <c r="S338" s="966"/>
      <c r="T338" s="966"/>
      <c r="U338" s="966"/>
    </row>
    <row r="339" spans="1:31" ht="30.75" thickBot="1" x14ac:dyDescent="0.3">
      <c r="A339" s="134"/>
      <c r="B339" s="966"/>
      <c r="C339" s="967" t="s">
        <v>1383</v>
      </c>
      <c r="D339" s="1963" t="s">
        <v>1600</v>
      </c>
      <c r="E339" s="1964"/>
      <c r="F339" s="966"/>
      <c r="G339" s="966"/>
      <c r="H339" s="194" t="s">
        <v>1380</v>
      </c>
      <c r="I339" s="966"/>
      <c r="J339" s="194" t="s">
        <v>1381</v>
      </c>
      <c r="K339" s="966"/>
      <c r="L339" s="194" t="s">
        <v>1397</v>
      </c>
      <c r="M339" s="966"/>
      <c r="N339" s="194" t="s">
        <v>1382</v>
      </c>
      <c r="O339" s="966"/>
      <c r="P339" s="966"/>
      <c r="Q339" s="966"/>
      <c r="R339" s="194" t="s">
        <v>1487</v>
      </c>
      <c r="S339" s="966"/>
      <c r="T339" s="194" t="s">
        <v>1488</v>
      </c>
      <c r="U339" s="966"/>
      <c r="AE339" s="1956"/>
    </row>
    <row r="340" spans="1:31" ht="15.75" thickBot="1" x14ac:dyDescent="0.3">
      <c r="A340" s="965"/>
      <c r="B340" s="966"/>
      <c r="C340" s="977"/>
      <c r="D340" s="977"/>
      <c r="E340" s="977"/>
      <c r="F340" s="966"/>
      <c r="G340" s="966"/>
      <c r="H340" s="956" t="s">
        <v>1601</v>
      </c>
      <c r="I340" s="966"/>
      <c r="J340" s="916"/>
      <c r="K340" s="966"/>
      <c r="L340" s="916"/>
      <c r="M340" s="966"/>
      <c r="N340" s="956"/>
      <c r="O340" s="966"/>
      <c r="P340" s="966"/>
      <c r="Q340" s="966"/>
      <c r="R340" s="954" t="s">
        <v>1602</v>
      </c>
      <c r="S340" s="966"/>
      <c r="T340" s="954" t="s">
        <v>646</v>
      </c>
      <c r="U340" s="966"/>
      <c r="AE340" s="1956"/>
    </row>
    <row r="341" spans="1:31" ht="30.75" thickBot="1" x14ac:dyDescent="0.3">
      <c r="A341" s="965"/>
      <c r="B341" s="966"/>
      <c r="C341" s="967" t="s">
        <v>1491</v>
      </c>
      <c r="D341" s="1962">
        <v>4602</v>
      </c>
      <c r="E341" s="1965"/>
      <c r="F341" s="966"/>
      <c r="G341" s="966"/>
      <c r="H341" s="966"/>
      <c r="I341" s="966"/>
      <c r="J341" s="966"/>
      <c r="K341" s="966"/>
      <c r="L341" s="966"/>
      <c r="M341" s="966"/>
      <c r="N341" s="966"/>
      <c r="O341" s="966"/>
      <c r="P341" s="966"/>
      <c r="Q341" s="966"/>
      <c r="R341" s="966"/>
      <c r="S341" s="966"/>
      <c r="T341" s="966"/>
      <c r="U341" s="966"/>
    </row>
    <row r="342" spans="1:31" ht="15.75" thickBot="1" x14ac:dyDescent="0.3">
      <c r="A342" s="965"/>
      <c r="B342" s="966"/>
      <c r="C342" s="977"/>
      <c r="D342" s="977"/>
      <c r="E342" s="977"/>
      <c r="F342" s="966"/>
      <c r="G342" s="966"/>
      <c r="H342" s="228" t="s">
        <v>1396</v>
      </c>
      <c r="I342" s="966"/>
      <c r="J342" s="966"/>
      <c r="K342" s="966"/>
      <c r="L342" s="966"/>
      <c r="M342" s="966"/>
      <c r="N342" s="966"/>
      <c r="O342" s="966"/>
      <c r="P342" s="966"/>
      <c r="Q342" s="966"/>
      <c r="R342" s="194" t="s">
        <v>1603</v>
      </c>
      <c r="S342" s="966"/>
      <c r="T342" s="194" t="s">
        <v>1604</v>
      </c>
      <c r="U342" s="966"/>
    </row>
    <row r="343" spans="1:31" ht="15.75" thickBot="1" x14ac:dyDescent="0.3">
      <c r="A343" s="965"/>
      <c r="B343" s="966"/>
      <c r="C343" s="967" t="s">
        <v>1385</v>
      </c>
      <c r="D343" s="1953" t="str">
        <f>AA26</f>
        <v/>
      </c>
      <c r="E343" s="1954"/>
      <c r="F343" s="966"/>
      <c r="G343" s="966"/>
      <c r="H343" s="891"/>
      <c r="I343" s="966"/>
      <c r="J343" s="966"/>
      <c r="K343" s="966"/>
      <c r="L343" s="966"/>
      <c r="M343" s="966"/>
      <c r="N343" s="966"/>
      <c r="O343" s="966"/>
      <c r="P343" s="966"/>
      <c r="Q343" s="966"/>
      <c r="R343" s="954" t="s">
        <v>1605</v>
      </c>
      <c r="S343" s="966"/>
      <c r="T343" s="954">
        <v>1</v>
      </c>
      <c r="U343" s="966"/>
    </row>
    <row r="344" spans="1:31" ht="15.75" thickBot="1" x14ac:dyDescent="0.3">
      <c r="A344" s="965"/>
      <c r="B344" s="966"/>
      <c r="C344" s="977"/>
      <c r="D344" s="911"/>
      <c r="E344" s="911"/>
      <c r="F344" s="966"/>
      <c r="G344" s="966"/>
      <c r="H344" s="966"/>
      <c r="I344" s="966"/>
      <c r="J344" s="966"/>
      <c r="K344" s="966"/>
      <c r="L344" s="966"/>
      <c r="M344" s="966"/>
      <c r="N344" s="966"/>
      <c r="O344" s="966"/>
      <c r="P344" s="966"/>
      <c r="Q344" s="966"/>
      <c r="R344" s="966"/>
      <c r="S344" s="966"/>
      <c r="T344" s="966"/>
      <c r="U344" s="966"/>
    </row>
    <row r="345" spans="1:31" ht="30.75" thickBot="1" x14ac:dyDescent="0.3">
      <c r="A345" s="965"/>
      <c r="B345" s="966"/>
      <c r="C345" s="967" t="s">
        <v>1386</v>
      </c>
      <c r="D345" s="1953" t="str">
        <f>AB26</f>
        <v/>
      </c>
      <c r="E345" s="1954"/>
      <c r="F345" s="966"/>
      <c r="G345" s="966"/>
      <c r="H345" s="228" t="s">
        <v>1492</v>
      </c>
      <c r="I345" s="966"/>
      <c r="J345" s="966"/>
      <c r="K345" s="966"/>
      <c r="L345" s="966"/>
      <c r="M345" s="966"/>
      <c r="N345" s="966"/>
      <c r="O345" s="966"/>
      <c r="P345" s="966"/>
      <c r="Q345" s="966"/>
      <c r="R345" s="966"/>
      <c r="S345" s="966"/>
      <c r="T345" s="194" t="s">
        <v>1599</v>
      </c>
      <c r="U345" s="966"/>
    </row>
    <row r="346" spans="1:31" ht="15.75" thickBot="1" x14ac:dyDescent="0.3">
      <c r="A346" s="965"/>
      <c r="B346" s="966"/>
      <c r="C346" s="977"/>
      <c r="D346" s="977"/>
      <c r="E346" s="977"/>
      <c r="F346" s="966"/>
      <c r="G346" s="966"/>
      <c r="H346" s="912" t="s">
        <v>646</v>
      </c>
      <c r="I346" s="966"/>
      <c r="J346" s="966"/>
      <c r="K346" s="966"/>
      <c r="L346" s="966"/>
      <c r="M346" s="966"/>
      <c r="N346" s="966"/>
      <c r="O346" s="966"/>
      <c r="P346" s="966"/>
      <c r="Q346" s="966"/>
      <c r="R346" s="966"/>
      <c r="S346" s="966"/>
      <c r="T346" s="954" t="s">
        <v>648</v>
      </c>
      <c r="U346" s="966"/>
    </row>
    <row r="347" spans="1:31" ht="30" customHeight="1" thickBot="1" x14ac:dyDescent="0.3">
      <c r="A347" s="965"/>
      <c r="B347" s="966"/>
      <c r="C347" s="978" t="s">
        <v>1495</v>
      </c>
      <c r="D347" s="1943" t="s">
        <v>646</v>
      </c>
      <c r="E347" s="1944"/>
      <c r="F347" s="966"/>
      <c r="G347" s="966"/>
      <c r="H347" s="966"/>
      <c r="I347" s="966"/>
      <c r="J347" s="966"/>
      <c r="K347" s="966"/>
      <c r="L347" s="966"/>
      <c r="M347" s="966"/>
      <c r="N347" s="966"/>
      <c r="O347" s="966"/>
      <c r="P347" s="966"/>
      <c r="Q347" s="966"/>
      <c r="R347" s="966"/>
      <c r="S347" s="966"/>
      <c r="T347" s="966"/>
      <c r="U347" s="966"/>
    </row>
    <row r="348" spans="1:31" ht="15.75" thickBot="1" x14ac:dyDescent="0.3">
      <c r="A348" s="965"/>
      <c r="B348" s="966"/>
      <c r="C348" s="977"/>
      <c r="D348" s="977"/>
      <c r="E348" s="977"/>
      <c r="F348" s="966"/>
      <c r="G348" s="966"/>
      <c r="H348" s="966"/>
      <c r="I348" s="966"/>
      <c r="J348" s="966"/>
      <c r="K348" s="966"/>
      <c r="L348" s="966"/>
      <c r="M348" s="966"/>
      <c r="N348" s="966"/>
      <c r="O348" s="966"/>
      <c r="P348" s="966"/>
      <c r="Q348" s="966"/>
      <c r="R348" s="966"/>
      <c r="S348" s="966"/>
      <c r="T348" s="926" t="s">
        <v>523</v>
      </c>
      <c r="U348" s="966"/>
    </row>
    <row r="349" spans="1:31" ht="15.75" thickBot="1" x14ac:dyDescent="0.3">
      <c r="A349" s="965"/>
      <c r="B349" s="966"/>
      <c r="C349" s="967" t="s">
        <v>1496</v>
      </c>
      <c r="D349" s="1962" t="s">
        <v>1606</v>
      </c>
      <c r="E349" s="1961"/>
      <c r="F349" s="966"/>
      <c r="G349" s="966"/>
      <c r="H349" s="966"/>
      <c r="I349" s="966"/>
      <c r="J349" s="966"/>
      <c r="K349" s="966"/>
      <c r="L349" s="966"/>
      <c r="M349" s="966"/>
      <c r="N349" s="966"/>
      <c r="O349" s="966"/>
      <c r="P349" s="966"/>
      <c r="Q349" s="966"/>
      <c r="R349" s="966"/>
      <c r="S349" s="966"/>
      <c r="T349" s="954" t="str">
        <f>IF(Z26&lt;&gt;"","Yes","No")</f>
        <v>No</v>
      </c>
      <c r="U349" s="966"/>
    </row>
    <row r="350" spans="1:31" ht="15.75" thickBot="1" x14ac:dyDescent="0.3">
      <c r="A350" s="965"/>
      <c r="B350" s="966"/>
      <c r="C350" s="966"/>
      <c r="D350" s="966"/>
      <c r="E350" s="966"/>
      <c r="F350" s="966"/>
      <c r="G350" s="966"/>
      <c r="H350" s="966"/>
      <c r="I350" s="966"/>
      <c r="J350" s="966"/>
      <c r="K350" s="966"/>
      <c r="L350" s="966"/>
      <c r="M350" s="966"/>
      <c r="N350" s="966"/>
      <c r="O350" s="966"/>
      <c r="P350" s="966"/>
      <c r="Q350" s="966"/>
      <c r="R350" s="966"/>
      <c r="S350" s="966"/>
      <c r="T350" s="966"/>
      <c r="U350" s="966"/>
    </row>
    <row r="351" spans="1:31" ht="20.25" customHeight="1" thickBot="1" x14ac:dyDescent="0.3">
      <c r="A351" s="965"/>
      <c r="B351" s="1966" t="s">
        <v>1895</v>
      </c>
      <c r="C351" s="1967"/>
      <c r="D351" s="1967"/>
      <c r="E351" s="1967"/>
      <c r="F351" s="1967"/>
      <c r="G351" s="1967"/>
      <c r="H351" s="1967"/>
      <c r="I351" s="1967"/>
      <c r="J351" s="1967"/>
      <c r="K351" s="1967"/>
      <c r="L351" s="1967"/>
      <c r="M351" s="1967"/>
      <c r="N351" s="1967"/>
      <c r="O351" s="1967"/>
      <c r="P351" s="1967"/>
      <c r="Q351" s="1967"/>
      <c r="R351" s="1967"/>
      <c r="S351" s="1967"/>
      <c r="T351" s="1967"/>
      <c r="U351" s="1968"/>
    </row>
    <row r="352" spans="1:31" ht="15.75" thickBot="1" x14ac:dyDescent="0.3">
      <c r="A352" s="965"/>
      <c r="B352" s="966"/>
      <c r="C352" s="966"/>
      <c r="D352" s="966"/>
      <c r="E352" s="966"/>
      <c r="F352" s="966"/>
      <c r="G352" s="966"/>
      <c r="H352" s="966"/>
      <c r="I352" s="966"/>
      <c r="J352" s="966"/>
      <c r="K352" s="966"/>
      <c r="L352" s="966"/>
      <c r="M352" s="966"/>
      <c r="N352" s="966"/>
      <c r="O352" s="966"/>
      <c r="P352" s="966"/>
      <c r="Q352" s="966"/>
      <c r="R352" s="966"/>
      <c r="S352" s="966"/>
      <c r="T352" s="966"/>
      <c r="U352" s="966"/>
    </row>
    <row r="353" spans="1:31" ht="30.75" thickBot="1" x14ac:dyDescent="0.3">
      <c r="A353" s="134"/>
      <c r="B353" s="966"/>
      <c r="C353" s="967" t="s">
        <v>1383</v>
      </c>
      <c r="D353" s="1963" t="s">
        <v>1630</v>
      </c>
      <c r="E353" s="1964"/>
      <c r="F353" s="966"/>
      <c r="G353" s="966"/>
      <c r="H353" s="194" t="s">
        <v>1380</v>
      </c>
      <c r="I353" s="966"/>
      <c r="J353" s="194" t="s">
        <v>1381</v>
      </c>
      <c r="K353" s="966"/>
      <c r="L353" s="194" t="s">
        <v>1397</v>
      </c>
      <c r="M353" s="966"/>
      <c r="N353" s="194" t="s">
        <v>1382</v>
      </c>
      <c r="O353" s="966"/>
      <c r="P353" s="966"/>
      <c r="Q353" s="966"/>
      <c r="R353" s="194" t="s">
        <v>1487</v>
      </c>
      <c r="S353" s="966"/>
      <c r="T353" s="194" t="s">
        <v>1488</v>
      </c>
      <c r="U353" s="966"/>
      <c r="AE353" s="1956"/>
    </row>
    <row r="354" spans="1:31" ht="15.75" thickBot="1" x14ac:dyDescent="0.3">
      <c r="A354" s="965"/>
      <c r="B354" s="966"/>
      <c r="C354" s="977"/>
      <c r="D354" s="977"/>
      <c r="E354" s="977"/>
      <c r="F354" s="966"/>
      <c r="G354" s="966"/>
      <c r="H354" s="968" t="s">
        <v>1601</v>
      </c>
      <c r="I354" s="966"/>
      <c r="J354" s="969"/>
      <c r="K354" s="966"/>
      <c r="L354" s="969"/>
      <c r="M354" s="966"/>
      <c r="N354" s="956"/>
      <c r="O354" s="966"/>
      <c r="P354" s="966"/>
      <c r="Q354" s="966"/>
      <c r="R354" s="970" t="s">
        <v>1602</v>
      </c>
      <c r="S354" s="966"/>
      <c r="T354" s="970" t="s">
        <v>646</v>
      </c>
      <c r="U354" s="966"/>
      <c r="AE354" s="1956"/>
    </row>
    <row r="355" spans="1:31" ht="30.75" thickBot="1" x14ac:dyDescent="0.3">
      <c r="A355" s="965"/>
      <c r="B355" s="966"/>
      <c r="C355" s="967" t="s">
        <v>1491</v>
      </c>
      <c r="D355" s="1962">
        <v>4901</v>
      </c>
      <c r="E355" s="1965"/>
      <c r="F355" s="966"/>
      <c r="G355" s="966"/>
      <c r="H355" s="966"/>
      <c r="I355" s="966"/>
      <c r="J355" s="966"/>
      <c r="K355" s="966"/>
      <c r="L355" s="966"/>
      <c r="M355" s="966"/>
      <c r="N355" s="966"/>
      <c r="O355" s="966"/>
      <c r="P355" s="966"/>
      <c r="Q355" s="966"/>
      <c r="R355" s="966"/>
      <c r="S355" s="966"/>
      <c r="T355" s="966"/>
      <c r="U355" s="966"/>
    </row>
    <row r="356" spans="1:31" ht="15.75" thickBot="1" x14ac:dyDescent="0.3">
      <c r="A356" s="965"/>
      <c r="B356" s="966"/>
      <c r="C356" s="977"/>
      <c r="D356" s="977"/>
      <c r="E356" s="977"/>
      <c r="F356" s="966"/>
      <c r="G356" s="966"/>
      <c r="H356" s="228" t="s">
        <v>1396</v>
      </c>
      <c r="I356" s="966"/>
      <c r="J356" s="966"/>
      <c r="K356" s="966"/>
      <c r="L356" s="966"/>
      <c r="M356" s="966"/>
      <c r="N356" s="966"/>
      <c r="O356" s="966"/>
      <c r="P356" s="966"/>
      <c r="Q356" s="966"/>
      <c r="R356" s="194" t="s">
        <v>1603</v>
      </c>
      <c r="S356" s="966"/>
      <c r="T356" s="194" t="s">
        <v>1604</v>
      </c>
      <c r="U356" s="966"/>
    </row>
    <row r="357" spans="1:31" ht="15.75" thickBot="1" x14ac:dyDescent="0.3">
      <c r="A357" s="965"/>
      <c r="B357" s="966"/>
      <c r="C357" s="967" t="s">
        <v>1385</v>
      </c>
      <c r="D357" s="1953" t="str">
        <f>AA27</f>
        <v/>
      </c>
      <c r="E357" s="1954"/>
      <c r="F357" s="966"/>
      <c r="G357" s="966"/>
      <c r="H357" s="971"/>
      <c r="I357" s="966"/>
      <c r="J357" s="966"/>
      <c r="K357" s="966"/>
      <c r="L357" s="966"/>
      <c r="M357" s="966"/>
      <c r="N357" s="966"/>
      <c r="O357" s="966"/>
      <c r="P357" s="966"/>
      <c r="Q357" s="966"/>
      <c r="R357" s="970" t="s">
        <v>1605</v>
      </c>
      <c r="S357" s="966"/>
      <c r="T357" s="970">
        <v>1</v>
      </c>
      <c r="U357" s="966"/>
    </row>
    <row r="358" spans="1:31" ht="15.75" thickBot="1" x14ac:dyDescent="0.3">
      <c r="A358" s="965"/>
      <c r="B358" s="966"/>
      <c r="C358" s="977"/>
      <c r="D358" s="911"/>
      <c r="E358" s="911"/>
      <c r="F358" s="966"/>
      <c r="G358" s="966"/>
      <c r="H358" s="966"/>
      <c r="I358" s="966"/>
      <c r="J358" s="966"/>
      <c r="K358" s="966"/>
      <c r="L358" s="966"/>
      <c r="M358" s="966"/>
      <c r="N358" s="966"/>
      <c r="O358" s="966"/>
      <c r="P358" s="966"/>
      <c r="Q358" s="966"/>
      <c r="R358" s="966"/>
      <c r="S358" s="966"/>
      <c r="T358" s="966"/>
      <c r="U358" s="966"/>
    </row>
    <row r="359" spans="1:31" ht="30.75" thickBot="1" x14ac:dyDescent="0.3">
      <c r="A359" s="965"/>
      <c r="B359" s="966"/>
      <c r="C359" s="967" t="s">
        <v>1386</v>
      </c>
      <c r="D359" s="1953" t="str">
        <f>AB27</f>
        <v/>
      </c>
      <c r="E359" s="1954"/>
      <c r="F359" s="966"/>
      <c r="G359" s="966"/>
      <c r="H359" s="228" t="s">
        <v>1492</v>
      </c>
      <c r="I359" s="966"/>
      <c r="J359" s="966"/>
      <c r="K359" s="966"/>
      <c r="L359" s="966"/>
      <c r="M359" s="966"/>
      <c r="N359" s="966"/>
      <c r="O359" s="966"/>
      <c r="P359" s="966"/>
      <c r="Q359" s="966"/>
      <c r="R359" s="966"/>
      <c r="S359" s="966"/>
      <c r="T359" s="194" t="s">
        <v>1599</v>
      </c>
      <c r="U359" s="966"/>
    </row>
    <row r="360" spans="1:31" ht="15.75" thickBot="1" x14ac:dyDescent="0.3">
      <c r="A360" s="965"/>
      <c r="B360" s="966"/>
      <c r="C360" s="977"/>
      <c r="D360" s="977"/>
      <c r="E360" s="977"/>
      <c r="F360" s="966"/>
      <c r="G360" s="966"/>
      <c r="H360" s="912" t="s">
        <v>646</v>
      </c>
      <c r="I360" s="966"/>
      <c r="J360" s="966"/>
      <c r="K360" s="966"/>
      <c r="L360" s="966"/>
      <c r="M360" s="966"/>
      <c r="N360" s="966"/>
      <c r="O360" s="966"/>
      <c r="P360" s="966"/>
      <c r="Q360" s="966"/>
      <c r="R360" s="966"/>
      <c r="S360" s="966"/>
      <c r="T360" s="970" t="s">
        <v>648</v>
      </c>
      <c r="U360" s="966"/>
    </row>
    <row r="361" spans="1:31" ht="29.25" customHeight="1" thickBot="1" x14ac:dyDescent="0.3">
      <c r="A361" s="965"/>
      <c r="B361" s="966"/>
      <c r="C361" s="978" t="s">
        <v>1495</v>
      </c>
      <c r="D361" s="1943" t="s">
        <v>646</v>
      </c>
      <c r="E361" s="1944"/>
      <c r="F361" s="966"/>
      <c r="G361" s="966"/>
      <c r="H361" s="966"/>
      <c r="I361" s="966"/>
      <c r="J361" s="966"/>
      <c r="K361" s="966"/>
      <c r="L361" s="966"/>
      <c r="M361" s="966"/>
      <c r="N361" s="966"/>
      <c r="O361" s="966"/>
      <c r="P361" s="966"/>
      <c r="Q361" s="966"/>
      <c r="R361" s="966"/>
      <c r="S361" s="966"/>
      <c r="T361" s="966"/>
      <c r="U361" s="966"/>
    </row>
    <row r="362" spans="1:31" ht="15.75" thickBot="1" x14ac:dyDescent="0.3">
      <c r="A362" s="965"/>
      <c r="B362" s="966"/>
      <c r="C362" s="977"/>
      <c r="D362" s="977"/>
      <c r="E362" s="977"/>
      <c r="F362" s="966"/>
      <c r="G362" s="966"/>
      <c r="H362" s="966"/>
      <c r="I362" s="966"/>
      <c r="J362" s="966"/>
      <c r="K362" s="966"/>
      <c r="L362" s="966"/>
      <c r="M362" s="966"/>
      <c r="N362" s="966"/>
      <c r="O362" s="966"/>
      <c r="P362" s="966"/>
      <c r="Q362" s="966"/>
      <c r="R362" s="966"/>
      <c r="S362" s="966"/>
      <c r="T362" s="926" t="s">
        <v>523</v>
      </c>
      <c r="U362" s="966"/>
    </row>
    <row r="363" spans="1:31" ht="15.75" thickBot="1" x14ac:dyDescent="0.3">
      <c r="A363" s="965"/>
      <c r="B363" s="966"/>
      <c r="C363" s="967" t="s">
        <v>1496</v>
      </c>
      <c r="D363" s="1962" t="s">
        <v>1606</v>
      </c>
      <c r="E363" s="1961"/>
      <c r="F363" s="966"/>
      <c r="G363" s="966"/>
      <c r="H363" s="966"/>
      <c r="I363" s="966"/>
      <c r="J363" s="966"/>
      <c r="K363" s="966"/>
      <c r="L363" s="966"/>
      <c r="M363" s="966"/>
      <c r="N363" s="966"/>
      <c r="O363" s="966"/>
      <c r="P363" s="966"/>
      <c r="Q363" s="966"/>
      <c r="R363" s="966"/>
      <c r="S363" s="966"/>
      <c r="T363" s="954" t="str">
        <f>IF(Z27&lt;&gt;"","Yes","No")</f>
        <v>No</v>
      </c>
      <c r="U363" s="966"/>
    </row>
    <row r="364" spans="1:31" ht="15.75" thickBot="1" x14ac:dyDescent="0.3">
      <c r="A364" s="965"/>
      <c r="B364" s="966"/>
      <c r="C364" s="966"/>
      <c r="D364" s="966"/>
      <c r="E364" s="966"/>
      <c r="F364" s="966"/>
      <c r="G364" s="966"/>
      <c r="H364" s="966"/>
      <c r="I364" s="966"/>
      <c r="J364" s="966"/>
      <c r="K364" s="966"/>
      <c r="L364" s="966"/>
      <c r="M364" s="966"/>
      <c r="N364" s="966"/>
      <c r="O364" s="966"/>
      <c r="P364" s="966"/>
      <c r="Q364" s="966"/>
      <c r="R364" s="966"/>
      <c r="S364" s="966"/>
      <c r="T364" s="966"/>
      <c r="U364" s="966"/>
    </row>
    <row r="365" spans="1:31" ht="21" customHeight="1" thickBot="1" x14ac:dyDescent="0.3">
      <c r="A365" s="965"/>
      <c r="B365" s="1959" t="s">
        <v>1607</v>
      </c>
      <c r="C365" s="1960"/>
      <c r="D365" s="1960"/>
      <c r="E365" s="1960"/>
      <c r="F365" s="1960"/>
      <c r="G365" s="1960"/>
      <c r="H365" s="1960"/>
      <c r="I365" s="1960"/>
      <c r="J365" s="1960"/>
      <c r="K365" s="1960"/>
      <c r="L365" s="1960"/>
      <c r="M365" s="1960"/>
      <c r="N365" s="1960"/>
      <c r="O365" s="1960"/>
      <c r="P365" s="1960"/>
      <c r="Q365" s="1960"/>
      <c r="R365" s="1960"/>
      <c r="S365" s="1960"/>
      <c r="T365" s="1960"/>
      <c r="U365" s="1961"/>
    </row>
    <row r="366" spans="1:31" ht="15.75" thickBot="1" x14ac:dyDescent="0.3">
      <c r="A366" s="965"/>
      <c r="B366" s="966"/>
      <c r="C366" s="966"/>
      <c r="D366" s="966"/>
      <c r="E366" s="966"/>
      <c r="F366" s="966"/>
      <c r="G366" s="966"/>
      <c r="H366" s="966"/>
      <c r="I366" s="966"/>
      <c r="J366" s="966"/>
      <c r="K366" s="966"/>
      <c r="L366" s="966"/>
      <c r="M366" s="966"/>
      <c r="N366" s="966"/>
      <c r="O366" s="966"/>
      <c r="P366" s="966"/>
      <c r="Q366" s="966"/>
      <c r="R366" s="966"/>
      <c r="S366" s="966"/>
      <c r="T366" s="966"/>
      <c r="U366" s="966"/>
    </row>
    <row r="367" spans="1:31" ht="30.75" thickBot="1" x14ac:dyDescent="0.3">
      <c r="A367" s="134"/>
      <c r="B367" s="966"/>
      <c r="C367" s="967" t="s">
        <v>1383</v>
      </c>
      <c r="D367" s="1963" t="s">
        <v>1608</v>
      </c>
      <c r="E367" s="1964"/>
      <c r="F367" s="966"/>
      <c r="G367" s="966"/>
      <c r="H367" s="194" t="s">
        <v>1380</v>
      </c>
      <c r="I367" s="966"/>
      <c r="J367" s="194" t="s">
        <v>1381</v>
      </c>
      <c r="K367" s="966"/>
      <c r="L367" s="194" t="s">
        <v>1397</v>
      </c>
      <c r="M367" s="966"/>
      <c r="N367" s="194" t="s">
        <v>1382</v>
      </c>
      <c r="O367" s="966"/>
      <c r="P367" s="194" t="s">
        <v>1486</v>
      </c>
      <c r="Q367" s="966"/>
      <c r="R367" s="194" t="s">
        <v>1487</v>
      </c>
      <c r="S367" s="966"/>
      <c r="T367" s="194" t="s">
        <v>1488</v>
      </c>
      <c r="U367" s="966"/>
      <c r="AE367" s="1956" t="str">
        <f>IF(AND(H368="",T377="Yes"),"Please Update Incentive Period","")</f>
        <v/>
      </c>
    </row>
    <row r="368" spans="1:31" ht="15.75" thickBot="1" x14ac:dyDescent="0.3">
      <c r="A368" s="965"/>
      <c r="B368" s="966"/>
      <c r="C368" s="977"/>
      <c r="D368" s="977"/>
      <c r="E368" s="977"/>
      <c r="F368" s="966"/>
      <c r="G368" s="966"/>
      <c r="H368" s="871"/>
      <c r="I368" s="966"/>
      <c r="J368" s="969"/>
      <c r="K368" s="966"/>
      <c r="L368" s="969"/>
      <c r="M368" s="966"/>
      <c r="N368" s="956"/>
      <c r="O368" s="966"/>
      <c r="P368" s="872" t="s">
        <v>1489</v>
      </c>
      <c r="Q368" s="966"/>
      <c r="R368" s="872" t="s">
        <v>1490</v>
      </c>
      <c r="S368" s="966"/>
      <c r="T368" s="912" t="s">
        <v>648</v>
      </c>
      <c r="U368" s="966"/>
      <c r="AE368" s="1956"/>
    </row>
    <row r="369" spans="1:31" ht="30.75" thickBot="1" x14ac:dyDescent="0.3">
      <c r="A369" s="965"/>
      <c r="B369" s="966"/>
      <c r="C369" s="967" t="s">
        <v>1491</v>
      </c>
      <c r="D369" s="1962">
        <v>5001</v>
      </c>
      <c r="E369" s="1965"/>
      <c r="F369" s="966"/>
      <c r="G369" s="966"/>
      <c r="H369" s="966"/>
      <c r="I369" s="966"/>
      <c r="J369" s="966"/>
      <c r="K369" s="966"/>
      <c r="L369" s="966"/>
      <c r="M369" s="966"/>
      <c r="N369" s="966"/>
      <c r="O369" s="966"/>
      <c r="P369" s="966"/>
      <c r="Q369" s="966"/>
      <c r="R369" s="966"/>
      <c r="S369" s="966"/>
      <c r="T369" s="966"/>
      <c r="U369" s="966"/>
    </row>
    <row r="370" spans="1:31" ht="15.75" thickBot="1" x14ac:dyDescent="0.3">
      <c r="A370" s="965"/>
      <c r="B370" s="966"/>
      <c r="C370" s="977"/>
      <c r="D370" s="977"/>
      <c r="E370" s="977"/>
      <c r="F370" s="966"/>
      <c r="G370" s="966"/>
      <c r="H370" s="966"/>
      <c r="I370" s="966"/>
      <c r="J370" s="966"/>
      <c r="K370" s="966"/>
      <c r="L370" s="194" t="s">
        <v>1389</v>
      </c>
      <c r="M370" s="966"/>
      <c r="N370" s="966"/>
      <c r="O370" s="966"/>
      <c r="P370" s="966"/>
      <c r="Q370" s="966"/>
      <c r="R370" s="966"/>
      <c r="S370" s="966"/>
      <c r="T370" s="966"/>
      <c r="U370" s="966"/>
    </row>
    <row r="371" spans="1:31" ht="18" customHeight="1" thickBot="1" x14ac:dyDescent="0.3">
      <c r="A371" s="965"/>
      <c r="B371" s="966"/>
      <c r="C371" s="967" t="s">
        <v>1385</v>
      </c>
      <c r="D371" s="1953" t="str">
        <f>AA28</f>
        <v/>
      </c>
      <c r="E371" s="1954"/>
      <c r="F371" s="966"/>
      <c r="G371" s="966"/>
      <c r="H371" s="966"/>
      <c r="I371" s="966"/>
      <c r="J371" s="966"/>
      <c r="K371" s="966"/>
      <c r="L371" s="971"/>
      <c r="M371" s="966"/>
      <c r="N371" s="966"/>
      <c r="O371" s="966"/>
      <c r="P371" s="966"/>
      <c r="Q371" s="966"/>
      <c r="R371" s="966"/>
      <c r="S371" s="966"/>
      <c r="T371" s="966"/>
      <c r="U371" s="966"/>
    </row>
    <row r="372" spans="1:31" ht="16.5" customHeight="1" thickBot="1" x14ac:dyDescent="0.3">
      <c r="A372" s="965"/>
      <c r="B372" s="966"/>
      <c r="C372" s="977"/>
      <c r="D372" s="911"/>
      <c r="E372" s="911"/>
      <c r="F372" s="966"/>
      <c r="G372" s="966"/>
      <c r="H372" s="966"/>
      <c r="I372" s="966"/>
      <c r="J372" s="966"/>
      <c r="K372" s="966"/>
      <c r="L372" s="966"/>
      <c r="M372" s="966"/>
      <c r="N372" s="966"/>
      <c r="O372" s="966"/>
      <c r="P372" s="966"/>
      <c r="Q372" s="966"/>
      <c r="R372" s="966"/>
      <c r="S372" s="966"/>
      <c r="T372" s="966"/>
      <c r="U372" s="966"/>
    </row>
    <row r="373" spans="1:31" ht="30.75" thickBot="1" x14ac:dyDescent="0.3">
      <c r="A373" s="965"/>
      <c r="B373" s="966"/>
      <c r="C373" s="967" t="s">
        <v>1386</v>
      </c>
      <c r="D373" s="1953" t="str">
        <f>AB28</f>
        <v/>
      </c>
      <c r="E373" s="1954"/>
      <c r="F373" s="966"/>
      <c r="G373" s="966"/>
      <c r="H373" s="228" t="s">
        <v>1492</v>
      </c>
      <c r="I373" s="966"/>
      <c r="J373" s="966"/>
      <c r="K373" s="966"/>
      <c r="L373" s="194" t="s">
        <v>1493</v>
      </c>
      <c r="M373" s="966"/>
      <c r="N373" s="966"/>
      <c r="O373" s="966"/>
      <c r="P373" s="966"/>
      <c r="Q373" s="966"/>
      <c r="R373" s="966"/>
      <c r="S373" s="966"/>
      <c r="T373" s="194" t="s">
        <v>1599</v>
      </c>
      <c r="U373" s="966"/>
    </row>
    <row r="374" spans="1:31" ht="18" customHeight="1" thickBot="1" x14ac:dyDescent="0.3">
      <c r="A374" s="965"/>
      <c r="B374" s="966"/>
      <c r="C374" s="977"/>
      <c r="D374" s="977"/>
      <c r="E374" s="977"/>
      <c r="F374" s="966"/>
      <c r="G374" s="966"/>
      <c r="H374" s="912" t="s">
        <v>646</v>
      </c>
      <c r="I374" s="966"/>
      <c r="J374" s="966"/>
      <c r="K374" s="966"/>
      <c r="L374" s="970" t="s">
        <v>1494</v>
      </c>
      <c r="M374" s="966"/>
      <c r="N374" s="966"/>
      <c r="O374" s="966"/>
      <c r="P374" s="966"/>
      <c r="Q374" s="966"/>
      <c r="R374" s="966"/>
      <c r="S374" s="966"/>
      <c r="T374" s="970" t="s">
        <v>648</v>
      </c>
      <c r="U374" s="966"/>
    </row>
    <row r="375" spans="1:31" ht="30" customHeight="1" thickBot="1" x14ac:dyDescent="0.3">
      <c r="A375" s="965"/>
      <c r="B375" s="966"/>
      <c r="C375" s="978" t="s">
        <v>1495</v>
      </c>
      <c r="D375" s="1943" t="s">
        <v>646</v>
      </c>
      <c r="E375" s="1944"/>
      <c r="F375" s="966"/>
      <c r="G375" s="966"/>
      <c r="H375" s="966"/>
      <c r="I375" s="966"/>
      <c r="J375" s="966"/>
      <c r="K375" s="966"/>
      <c r="L375" s="966"/>
      <c r="M375" s="966"/>
      <c r="N375" s="966"/>
      <c r="O375" s="966"/>
      <c r="P375" s="966"/>
      <c r="Q375" s="966"/>
      <c r="R375" s="966"/>
      <c r="S375" s="966"/>
      <c r="T375" s="966"/>
      <c r="U375" s="966"/>
    </row>
    <row r="376" spans="1:31" ht="18" customHeight="1" thickBot="1" x14ac:dyDescent="0.3">
      <c r="A376" s="965"/>
      <c r="B376" s="966"/>
      <c r="C376" s="977"/>
      <c r="D376" s="977"/>
      <c r="E376" s="977"/>
      <c r="F376" s="966"/>
      <c r="G376" s="966"/>
      <c r="H376" s="966"/>
      <c r="I376" s="966"/>
      <c r="J376" s="966"/>
      <c r="K376" s="966"/>
      <c r="L376" s="966"/>
      <c r="M376" s="966"/>
      <c r="N376" s="966"/>
      <c r="O376" s="966"/>
      <c r="P376" s="966"/>
      <c r="Q376" s="966"/>
      <c r="R376" s="966"/>
      <c r="S376" s="966"/>
      <c r="T376" s="926" t="s">
        <v>523</v>
      </c>
      <c r="U376" s="966"/>
    </row>
    <row r="377" spans="1:31" ht="18" customHeight="1" thickBot="1" x14ac:dyDescent="0.3">
      <c r="A377" s="965"/>
      <c r="B377" s="966"/>
      <c r="C377" s="967" t="s">
        <v>1496</v>
      </c>
      <c r="D377" s="1962" t="s">
        <v>1497</v>
      </c>
      <c r="E377" s="1961"/>
      <c r="F377" s="966"/>
      <c r="G377" s="966"/>
      <c r="H377" s="966"/>
      <c r="I377" s="966"/>
      <c r="J377" s="966"/>
      <c r="K377" s="966"/>
      <c r="L377" s="966"/>
      <c r="M377" s="966"/>
      <c r="N377" s="966"/>
      <c r="O377" s="966"/>
      <c r="P377" s="966"/>
      <c r="Q377" s="966"/>
      <c r="R377" s="966"/>
      <c r="S377" s="966"/>
      <c r="T377" s="954" t="str">
        <f>IF(Z28&lt;&gt;"","Yes","No")</f>
        <v>No</v>
      </c>
      <c r="U377" s="966"/>
    </row>
    <row r="378" spans="1:31" ht="20.25" customHeight="1" thickBot="1" x14ac:dyDescent="0.3">
      <c r="A378" s="965"/>
      <c r="B378" s="966"/>
      <c r="C378" s="966"/>
      <c r="D378" s="966"/>
      <c r="E378" s="966"/>
      <c r="F378" s="966"/>
      <c r="G378" s="966"/>
      <c r="H378" s="966"/>
      <c r="I378" s="966"/>
      <c r="J378" s="966"/>
      <c r="K378" s="966"/>
      <c r="L378" s="966"/>
      <c r="M378" s="966"/>
      <c r="N378" s="966"/>
      <c r="O378" s="966"/>
      <c r="P378" s="966"/>
      <c r="Q378" s="966"/>
      <c r="R378" s="966"/>
      <c r="S378" s="966"/>
      <c r="T378" s="966"/>
      <c r="U378" s="966"/>
    </row>
    <row r="379" spans="1:31" ht="20.25" customHeight="1" thickBot="1" x14ac:dyDescent="0.3">
      <c r="A379" s="965"/>
      <c r="B379" s="1959" t="s">
        <v>1609</v>
      </c>
      <c r="C379" s="1960"/>
      <c r="D379" s="1960"/>
      <c r="E379" s="1960"/>
      <c r="F379" s="1960"/>
      <c r="G379" s="1960"/>
      <c r="H379" s="1960"/>
      <c r="I379" s="1960"/>
      <c r="J379" s="1960"/>
      <c r="K379" s="1960"/>
      <c r="L379" s="1960"/>
      <c r="M379" s="1960"/>
      <c r="N379" s="1960"/>
      <c r="O379" s="1960"/>
      <c r="P379" s="1960"/>
      <c r="Q379" s="1960"/>
      <c r="R379" s="1960"/>
      <c r="S379" s="1960"/>
      <c r="T379" s="1960"/>
      <c r="U379" s="1961"/>
    </row>
    <row r="380" spans="1:31" ht="15.75" thickBot="1" x14ac:dyDescent="0.3">
      <c r="A380" s="965"/>
      <c r="B380" s="930"/>
      <c r="C380" s="930"/>
      <c r="D380" s="930"/>
      <c r="E380" s="930"/>
      <c r="F380" s="930"/>
      <c r="G380" s="930"/>
      <c r="H380" s="930"/>
      <c r="I380" s="930"/>
      <c r="J380" s="930"/>
      <c r="K380" s="930"/>
      <c r="L380" s="930"/>
      <c r="M380" s="930"/>
      <c r="N380" s="930"/>
      <c r="O380" s="930"/>
      <c r="P380" s="930"/>
      <c r="Q380" s="930"/>
      <c r="R380" s="930"/>
      <c r="S380" s="930"/>
      <c r="T380" s="930"/>
      <c r="U380" s="930"/>
    </row>
    <row r="381" spans="1:31" ht="30.75" thickBot="1" x14ac:dyDescent="0.3">
      <c r="A381" s="134"/>
      <c r="B381" s="930"/>
      <c r="C381" s="923" t="s">
        <v>1383</v>
      </c>
      <c r="D381" s="1949" t="s">
        <v>1133</v>
      </c>
      <c r="E381" s="1950"/>
      <c r="F381" s="930"/>
      <c r="G381" s="930"/>
      <c r="H381" s="926" t="s">
        <v>1380</v>
      </c>
      <c r="I381" s="930"/>
      <c r="J381" s="926" t="s">
        <v>1381</v>
      </c>
      <c r="K381" s="930"/>
      <c r="L381" s="926" t="s">
        <v>1397</v>
      </c>
      <c r="M381" s="930"/>
      <c r="N381" s="926" t="s">
        <v>1382</v>
      </c>
      <c r="O381" s="930"/>
      <c r="P381" s="930"/>
      <c r="Q381" s="930"/>
      <c r="R381" s="926" t="s">
        <v>1487</v>
      </c>
      <c r="S381" s="930"/>
      <c r="T381" s="926" t="s">
        <v>1488</v>
      </c>
      <c r="U381" s="930"/>
      <c r="AE381" s="1956"/>
    </row>
    <row r="382" spans="1:31" ht="15.75" thickBot="1" x14ac:dyDescent="0.3">
      <c r="A382" s="965"/>
      <c r="B382" s="930"/>
      <c r="C382" s="918"/>
      <c r="D382" s="918"/>
      <c r="E382" s="918"/>
      <c r="F382" s="930"/>
      <c r="G382" s="930"/>
      <c r="H382" s="956"/>
      <c r="I382" s="930"/>
      <c r="J382" s="916"/>
      <c r="K382" s="930"/>
      <c r="L382" s="916"/>
      <c r="M382" s="930"/>
      <c r="N382" s="956"/>
      <c r="O382" s="930"/>
      <c r="P382" s="930"/>
      <c r="Q382" s="930"/>
      <c r="R382" s="954" t="s">
        <v>1602</v>
      </c>
      <c r="S382" s="930"/>
      <c r="T382" s="954" t="s">
        <v>646</v>
      </c>
      <c r="U382" s="930"/>
      <c r="AE382" s="1956"/>
    </row>
    <row r="383" spans="1:31" ht="30.75" thickBot="1" x14ac:dyDescent="0.3">
      <c r="A383" s="965"/>
      <c r="B383" s="930"/>
      <c r="C383" s="926" t="s">
        <v>1491</v>
      </c>
      <c r="D383" s="1951">
        <v>801</v>
      </c>
      <c r="E383" s="1952"/>
      <c r="F383" s="930"/>
      <c r="G383" s="930"/>
      <c r="H383" s="930"/>
      <c r="I383" s="930"/>
      <c r="J383" s="930"/>
      <c r="K383" s="930"/>
      <c r="L383" s="930"/>
      <c r="M383" s="930"/>
      <c r="N383" s="930"/>
      <c r="O383" s="930"/>
      <c r="P383" s="930"/>
      <c r="Q383" s="930"/>
      <c r="R383" s="930"/>
      <c r="S383" s="930"/>
      <c r="T383" s="930"/>
      <c r="U383" s="930"/>
    </row>
    <row r="384" spans="1:31" ht="30.75" thickBot="1" x14ac:dyDescent="0.3">
      <c r="A384" s="965"/>
      <c r="B384" s="930"/>
      <c r="C384" s="918"/>
      <c r="D384" s="918"/>
      <c r="E384" s="918"/>
      <c r="F384" s="930"/>
      <c r="G384" s="930"/>
      <c r="H384" s="925" t="s">
        <v>1396</v>
      </c>
      <c r="I384" s="930"/>
      <c r="J384" s="925" t="s">
        <v>1474</v>
      </c>
      <c r="K384" s="930"/>
      <c r="L384" s="925" t="s">
        <v>1475</v>
      </c>
      <c r="M384" s="930"/>
      <c r="N384" s="930"/>
      <c r="O384" s="930"/>
      <c r="P384" s="930"/>
      <c r="Q384" s="930"/>
      <c r="R384" s="926" t="s">
        <v>1603</v>
      </c>
      <c r="S384" s="930"/>
      <c r="T384" s="926" t="s">
        <v>1604</v>
      </c>
      <c r="U384" s="930"/>
    </row>
    <row r="385" spans="1:31" ht="18" customHeight="1" thickBot="1" x14ac:dyDescent="0.3">
      <c r="A385" s="965"/>
      <c r="B385" s="930"/>
      <c r="C385" s="923" t="s">
        <v>1385</v>
      </c>
      <c r="D385" s="1953" t="str">
        <f>AA29</f>
        <v/>
      </c>
      <c r="E385" s="1954"/>
      <c r="F385" s="930"/>
      <c r="G385" s="930"/>
      <c r="H385" s="891"/>
      <c r="I385" s="930"/>
      <c r="J385" s="891"/>
      <c r="K385" s="930"/>
      <c r="L385" s="891"/>
      <c r="M385" s="930"/>
      <c r="N385" s="930"/>
      <c r="O385" s="930"/>
      <c r="P385" s="930"/>
      <c r="Q385" s="930"/>
      <c r="R385" s="954" t="s">
        <v>1610</v>
      </c>
      <c r="S385" s="930"/>
      <c r="T385" s="954" t="s">
        <v>395</v>
      </c>
      <c r="U385" s="930"/>
    </row>
    <row r="386" spans="1:31" ht="18" customHeight="1" thickBot="1" x14ac:dyDescent="0.3">
      <c r="A386" s="965"/>
      <c r="B386" s="930"/>
      <c r="C386" s="918"/>
      <c r="D386" s="911"/>
      <c r="E386" s="911"/>
      <c r="F386" s="930"/>
      <c r="G386" s="930"/>
      <c r="H386" s="930"/>
      <c r="I386" s="930"/>
      <c r="J386" s="930"/>
      <c r="K386" s="930"/>
      <c r="L386" s="930"/>
      <c r="M386" s="930"/>
      <c r="N386" s="930"/>
      <c r="O386" s="930"/>
      <c r="P386" s="930"/>
      <c r="Q386" s="930"/>
      <c r="R386" s="930"/>
      <c r="S386" s="930"/>
      <c r="T386" s="930"/>
      <c r="U386" s="930"/>
    </row>
    <row r="387" spans="1:31" ht="45.75" customHeight="1" thickBot="1" x14ac:dyDescent="0.3">
      <c r="A387" s="965"/>
      <c r="B387" s="930"/>
      <c r="C387" s="923" t="s">
        <v>1386</v>
      </c>
      <c r="D387" s="1953" t="str">
        <f>AB29</f>
        <v/>
      </c>
      <c r="E387" s="1954"/>
      <c r="F387" s="930"/>
      <c r="G387" s="930"/>
      <c r="H387" s="228" t="s">
        <v>1478</v>
      </c>
      <c r="I387" s="930"/>
      <c r="J387" s="228" t="s">
        <v>1479</v>
      </c>
      <c r="K387" s="930"/>
      <c r="L387" s="1008" t="s">
        <v>1135</v>
      </c>
      <c r="M387" s="930"/>
      <c r="N387" s="1008" t="s">
        <v>1480</v>
      </c>
      <c r="O387" s="930"/>
      <c r="P387" s="228" t="s">
        <v>1134</v>
      </c>
      <c r="Q387" s="930"/>
      <c r="R387" s="228" t="s">
        <v>1402</v>
      </c>
      <c r="S387" s="930"/>
      <c r="T387" s="926" t="s">
        <v>1599</v>
      </c>
      <c r="U387" s="930"/>
    </row>
    <row r="388" spans="1:31" ht="18" customHeight="1" thickBot="1" x14ac:dyDescent="0.3">
      <c r="A388" s="965"/>
      <c r="B388" s="930"/>
      <c r="C388" s="918"/>
      <c r="D388" s="918"/>
      <c r="E388" s="918"/>
      <c r="F388" s="930"/>
      <c r="G388" s="930"/>
      <c r="H388" s="916"/>
      <c r="I388" s="930"/>
      <c r="J388" s="916"/>
      <c r="K388" s="930"/>
      <c r="L388" s="979"/>
      <c r="M388" s="930"/>
      <c r="N388" s="979"/>
      <c r="O388" s="930"/>
      <c r="P388" s="891"/>
      <c r="Q388" s="930"/>
      <c r="R388" s="916"/>
      <c r="S388" s="930"/>
      <c r="T388" s="954" t="s">
        <v>648</v>
      </c>
      <c r="U388" s="930"/>
      <c r="W388" s="1098">
        <f>IFERROR(SUM(H385,H399,H413,H427,H441,H455,H469,H483),"")</f>
        <v>0</v>
      </c>
    </row>
    <row r="389" spans="1:31" ht="30" customHeight="1" thickBot="1" x14ac:dyDescent="0.3">
      <c r="A389" s="965"/>
      <c r="B389" s="930"/>
      <c r="C389" s="924" t="s">
        <v>1495</v>
      </c>
      <c r="D389" s="1943" t="s">
        <v>646</v>
      </c>
      <c r="E389" s="1944"/>
      <c r="F389" s="930"/>
      <c r="G389" s="930"/>
      <c r="H389" s="930"/>
      <c r="I389" s="930"/>
      <c r="J389" s="930"/>
      <c r="K389" s="930"/>
      <c r="L389" s="930"/>
      <c r="M389" s="930"/>
      <c r="N389" s="930"/>
      <c r="O389" s="930"/>
      <c r="P389" s="930"/>
      <c r="Q389" s="930"/>
      <c r="R389" s="930"/>
      <c r="S389" s="930"/>
      <c r="T389" s="930"/>
      <c r="U389" s="930"/>
      <c r="W389" s="644">
        <f>IFERROR(W388/'Agreement Worksheet'!H18,0)</f>
        <v>0</v>
      </c>
    </row>
    <row r="390" spans="1:31" ht="30.75" thickBot="1" x14ac:dyDescent="0.3">
      <c r="A390" s="965"/>
      <c r="B390" s="930"/>
      <c r="C390" s="918"/>
      <c r="D390" s="918"/>
      <c r="E390" s="918"/>
      <c r="F390" s="930"/>
      <c r="G390" s="930"/>
      <c r="H390" s="925" t="s">
        <v>1492</v>
      </c>
      <c r="I390" s="930"/>
      <c r="J390" s="930"/>
      <c r="K390" s="930"/>
      <c r="L390" s="930"/>
      <c r="M390" s="930"/>
      <c r="N390" s="930"/>
      <c r="O390" s="930"/>
      <c r="P390" s="930"/>
      <c r="Q390" s="930"/>
      <c r="R390" s="930"/>
      <c r="S390" s="930"/>
      <c r="T390" s="926" t="s">
        <v>523</v>
      </c>
      <c r="U390" s="930"/>
      <c r="W390" s="644" t="str">
        <f>IF(W389&gt;10,"Yes","No")</f>
        <v>No</v>
      </c>
    </row>
    <row r="391" spans="1:31" ht="18" customHeight="1" thickBot="1" x14ac:dyDescent="0.3">
      <c r="A391" s="965"/>
      <c r="B391" s="930"/>
      <c r="C391" s="923" t="s">
        <v>1496</v>
      </c>
      <c r="D391" s="1951" t="s">
        <v>1606</v>
      </c>
      <c r="E391" s="1936"/>
      <c r="F391" s="930"/>
      <c r="G391" s="930"/>
      <c r="H391" s="912" t="s">
        <v>646</v>
      </c>
      <c r="I391" s="930"/>
      <c r="J391" s="930"/>
      <c r="K391" s="930"/>
      <c r="L391" s="930"/>
      <c r="M391" s="930"/>
      <c r="N391" s="930"/>
      <c r="O391" s="930"/>
      <c r="P391" s="930"/>
      <c r="Q391" s="930"/>
      <c r="R391" s="930"/>
      <c r="S391" s="930"/>
      <c r="T391" s="954" t="str">
        <f>IF(Z29&lt;&gt;"","Yes","No")</f>
        <v>No</v>
      </c>
      <c r="U391" s="930"/>
    </row>
    <row r="392" spans="1:31" ht="20.25" customHeight="1" thickBot="1" x14ac:dyDescent="0.3">
      <c r="A392" s="965"/>
      <c r="B392" s="930"/>
      <c r="C392" s="930"/>
      <c r="D392" s="930"/>
      <c r="E392" s="930"/>
      <c r="F392" s="930"/>
      <c r="G392" s="930"/>
      <c r="H392" s="930"/>
      <c r="I392" s="930"/>
      <c r="J392" s="930"/>
      <c r="K392" s="930"/>
      <c r="L392" s="930"/>
      <c r="M392" s="930"/>
      <c r="N392" s="930"/>
      <c r="O392" s="930"/>
      <c r="P392" s="930"/>
      <c r="Q392" s="930"/>
      <c r="R392" s="930"/>
      <c r="S392" s="930"/>
      <c r="T392" s="930"/>
      <c r="U392" s="930"/>
    </row>
    <row r="393" spans="1:31" ht="20.25" customHeight="1" thickBot="1" x14ac:dyDescent="0.3">
      <c r="A393" s="965"/>
      <c r="B393" s="1948" t="s">
        <v>1611</v>
      </c>
      <c r="C393" s="1935"/>
      <c r="D393" s="1935"/>
      <c r="E393" s="1935"/>
      <c r="F393" s="1935"/>
      <c r="G393" s="1935"/>
      <c r="H393" s="1935"/>
      <c r="I393" s="1935"/>
      <c r="J393" s="1935"/>
      <c r="K393" s="1935"/>
      <c r="L393" s="1935"/>
      <c r="M393" s="1935"/>
      <c r="N393" s="1935"/>
      <c r="O393" s="1935"/>
      <c r="P393" s="1935"/>
      <c r="Q393" s="1935"/>
      <c r="R393" s="1935"/>
      <c r="S393" s="1935"/>
      <c r="T393" s="1935"/>
      <c r="U393" s="1936"/>
    </row>
    <row r="394" spans="1:31" ht="15.75" thickBot="1" x14ac:dyDescent="0.3">
      <c r="A394" s="965"/>
      <c r="B394" s="930"/>
      <c r="C394" s="930"/>
      <c r="D394" s="930"/>
      <c r="E394" s="930"/>
      <c r="F394" s="930"/>
      <c r="G394" s="930"/>
      <c r="H394" s="930"/>
      <c r="I394" s="930"/>
      <c r="J394" s="930"/>
      <c r="K394" s="930"/>
      <c r="L394" s="930"/>
      <c r="M394" s="930"/>
      <c r="N394" s="930"/>
      <c r="O394" s="930"/>
      <c r="P394" s="930"/>
      <c r="Q394" s="930"/>
      <c r="R394" s="930"/>
      <c r="S394" s="930"/>
      <c r="T394" s="930"/>
      <c r="U394" s="930"/>
    </row>
    <row r="395" spans="1:31" ht="30.75" thickBot="1" x14ac:dyDescent="0.3">
      <c r="A395" s="134"/>
      <c r="B395" s="930"/>
      <c r="C395" s="923" t="s">
        <v>1383</v>
      </c>
      <c r="D395" s="1949" t="s">
        <v>1612</v>
      </c>
      <c r="E395" s="1950"/>
      <c r="F395" s="930"/>
      <c r="G395" s="930"/>
      <c r="H395" s="926" t="s">
        <v>1380</v>
      </c>
      <c r="I395" s="930"/>
      <c r="J395" s="926" t="s">
        <v>1381</v>
      </c>
      <c r="K395" s="930"/>
      <c r="L395" s="926" t="s">
        <v>1397</v>
      </c>
      <c r="M395" s="930"/>
      <c r="N395" s="926" t="s">
        <v>1382</v>
      </c>
      <c r="O395" s="930"/>
      <c r="P395" s="930"/>
      <c r="Q395" s="930"/>
      <c r="R395" s="926" t="s">
        <v>1487</v>
      </c>
      <c r="S395" s="930"/>
      <c r="T395" s="926" t="s">
        <v>1488</v>
      </c>
      <c r="U395" s="930"/>
      <c r="AE395" s="1956"/>
    </row>
    <row r="396" spans="1:31" ht="15.75" thickBot="1" x14ac:dyDescent="0.3">
      <c r="A396" s="965"/>
      <c r="B396" s="930"/>
      <c r="C396" s="918"/>
      <c r="D396" s="918"/>
      <c r="E396" s="918"/>
      <c r="F396" s="930"/>
      <c r="G396" s="930"/>
      <c r="H396" s="956"/>
      <c r="I396" s="930"/>
      <c r="J396" s="916"/>
      <c r="K396" s="930"/>
      <c r="L396" s="916"/>
      <c r="M396" s="930"/>
      <c r="N396" s="956"/>
      <c r="O396" s="930"/>
      <c r="P396" s="930"/>
      <c r="Q396" s="930"/>
      <c r="R396" s="954" t="s">
        <v>1602</v>
      </c>
      <c r="S396" s="930"/>
      <c r="T396" s="954" t="s">
        <v>646</v>
      </c>
      <c r="U396" s="930"/>
      <c r="AE396" s="1956"/>
    </row>
    <row r="397" spans="1:31" ht="30.75" thickBot="1" x14ac:dyDescent="0.3">
      <c r="A397" s="965"/>
      <c r="B397" s="930"/>
      <c r="C397" s="923" t="s">
        <v>1491</v>
      </c>
      <c r="D397" s="1951">
        <v>901</v>
      </c>
      <c r="E397" s="1952"/>
      <c r="F397" s="930"/>
      <c r="G397" s="930"/>
      <c r="H397" s="930"/>
      <c r="I397" s="930"/>
      <c r="J397" s="930"/>
      <c r="K397" s="930"/>
      <c r="L397" s="930"/>
      <c r="M397" s="930"/>
      <c r="N397" s="930"/>
      <c r="O397" s="930"/>
      <c r="P397" s="930"/>
      <c r="Q397" s="930"/>
      <c r="R397" s="930"/>
      <c r="S397" s="930"/>
      <c r="T397" s="930"/>
      <c r="U397" s="930"/>
    </row>
    <row r="398" spans="1:31" ht="30.75" thickBot="1" x14ac:dyDescent="0.3">
      <c r="A398" s="965"/>
      <c r="B398" s="930"/>
      <c r="C398" s="918"/>
      <c r="D398" s="918"/>
      <c r="E398" s="918"/>
      <c r="F398" s="930"/>
      <c r="G398" s="930"/>
      <c r="H398" s="993" t="s">
        <v>1396</v>
      </c>
      <c r="I398" s="930"/>
      <c r="J398" s="993" t="s">
        <v>1474</v>
      </c>
      <c r="K398" s="930"/>
      <c r="L398" s="930"/>
      <c r="M398" s="930"/>
      <c r="N398" s="930"/>
      <c r="O398" s="930"/>
      <c r="P398" s="930"/>
      <c r="Q398" s="930"/>
      <c r="R398" s="926" t="s">
        <v>1603</v>
      </c>
      <c r="S398" s="930"/>
      <c r="T398" s="926" t="s">
        <v>1604</v>
      </c>
      <c r="U398" s="930"/>
    </row>
    <row r="399" spans="1:31" ht="18" customHeight="1" thickBot="1" x14ac:dyDescent="0.3">
      <c r="A399" s="965"/>
      <c r="B399" s="930"/>
      <c r="C399" s="923" t="s">
        <v>1385</v>
      </c>
      <c r="D399" s="1953" t="str">
        <f>AA30</f>
        <v/>
      </c>
      <c r="E399" s="1954"/>
      <c r="F399" s="930"/>
      <c r="G399" s="930"/>
      <c r="H399" s="891"/>
      <c r="I399" s="930"/>
      <c r="J399" s="891"/>
      <c r="K399" s="930"/>
      <c r="L399" s="930"/>
      <c r="M399" s="930"/>
      <c r="N399" s="930"/>
      <c r="O399" s="930"/>
      <c r="P399" s="930"/>
      <c r="Q399" s="930"/>
      <c r="R399" s="954" t="s">
        <v>1610</v>
      </c>
      <c r="S399" s="930"/>
      <c r="T399" s="954" t="s">
        <v>395</v>
      </c>
      <c r="U399" s="930"/>
    </row>
    <row r="400" spans="1:31" ht="18" customHeight="1" thickBot="1" x14ac:dyDescent="0.3">
      <c r="A400" s="965"/>
      <c r="B400" s="930"/>
      <c r="C400" s="918"/>
      <c r="D400" s="911"/>
      <c r="E400" s="911"/>
      <c r="F400" s="930"/>
      <c r="G400" s="930"/>
      <c r="H400" s="930"/>
      <c r="I400" s="930"/>
      <c r="J400" s="930"/>
      <c r="K400" s="930"/>
      <c r="L400" s="930"/>
      <c r="M400" s="930"/>
      <c r="N400" s="930"/>
      <c r="O400" s="930"/>
      <c r="P400" s="930"/>
      <c r="Q400" s="930"/>
      <c r="R400" s="930"/>
      <c r="S400" s="930"/>
      <c r="T400" s="930"/>
      <c r="U400" s="930"/>
    </row>
    <row r="401" spans="1:31" ht="43.5" customHeight="1" thickBot="1" x14ac:dyDescent="0.3">
      <c r="A401" s="965"/>
      <c r="B401" s="930"/>
      <c r="C401" s="923" t="s">
        <v>1386</v>
      </c>
      <c r="D401" s="1953" t="str">
        <f>AB30</f>
        <v/>
      </c>
      <c r="E401" s="1954"/>
      <c r="F401" s="930"/>
      <c r="G401" s="930"/>
      <c r="H401" s="228" t="s">
        <v>1478</v>
      </c>
      <c r="I401" s="930"/>
      <c r="J401" s="228" t="s">
        <v>1479</v>
      </c>
      <c r="K401" s="930"/>
      <c r="L401" s="1008" t="s">
        <v>1135</v>
      </c>
      <c r="M401" s="930"/>
      <c r="N401" s="1008" t="s">
        <v>1480</v>
      </c>
      <c r="O401" s="930"/>
      <c r="P401" s="228" t="s">
        <v>1134</v>
      </c>
      <c r="Q401" s="930"/>
      <c r="R401" s="228" t="s">
        <v>1402</v>
      </c>
      <c r="S401" s="930"/>
      <c r="T401" s="926" t="s">
        <v>1599</v>
      </c>
      <c r="U401" s="930"/>
    </row>
    <row r="402" spans="1:31" ht="18" customHeight="1" thickBot="1" x14ac:dyDescent="0.3">
      <c r="A402" s="965"/>
      <c r="B402" s="930"/>
      <c r="C402" s="918"/>
      <c r="D402" s="918"/>
      <c r="E402" s="918"/>
      <c r="F402" s="930"/>
      <c r="G402" s="930"/>
      <c r="H402" s="916"/>
      <c r="I402" s="930"/>
      <c r="J402" s="916"/>
      <c r="K402" s="930"/>
      <c r="L402" s="979"/>
      <c r="M402" s="930"/>
      <c r="N402" s="979"/>
      <c r="O402" s="930"/>
      <c r="P402" s="891"/>
      <c r="Q402" s="930"/>
      <c r="R402" s="916"/>
      <c r="S402" s="930"/>
      <c r="T402" s="954" t="s">
        <v>648</v>
      </c>
      <c r="U402" s="930"/>
    </row>
    <row r="403" spans="1:31" ht="30" customHeight="1" thickBot="1" x14ac:dyDescent="0.3">
      <c r="A403" s="965"/>
      <c r="B403" s="930"/>
      <c r="C403" s="924" t="s">
        <v>1495</v>
      </c>
      <c r="D403" s="1943" t="s">
        <v>646</v>
      </c>
      <c r="E403" s="1944"/>
      <c r="F403" s="930"/>
      <c r="G403" s="930"/>
      <c r="H403" s="930"/>
      <c r="I403" s="930"/>
      <c r="J403" s="930"/>
      <c r="K403" s="930"/>
      <c r="L403" s="930"/>
      <c r="M403" s="930"/>
      <c r="N403" s="930"/>
      <c r="O403" s="930"/>
      <c r="P403" s="930"/>
      <c r="Q403" s="930"/>
      <c r="R403" s="930"/>
      <c r="S403" s="930"/>
      <c r="T403" s="930"/>
      <c r="U403" s="930"/>
    </row>
    <row r="404" spans="1:31" ht="30.75" thickBot="1" x14ac:dyDescent="0.3">
      <c r="A404" s="965"/>
      <c r="B404" s="930"/>
      <c r="C404" s="918"/>
      <c r="D404" s="918"/>
      <c r="E404" s="918"/>
      <c r="F404" s="930"/>
      <c r="G404" s="930"/>
      <c r="H404" s="925" t="s">
        <v>1492</v>
      </c>
      <c r="I404" s="930"/>
      <c r="J404" s="930"/>
      <c r="K404" s="930"/>
      <c r="L404" s="930"/>
      <c r="M404" s="930"/>
      <c r="N404" s="930"/>
      <c r="O404" s="930"/>
      <c r="P404" s="930"/>
      <c r="Q404" s="930"/>
      <c r="R404" s="930"/>
      <c r="S404" s="930"/>
      <c r="T404" s="926" t="s">
        <v>523</v>
      </c>
      <c r="U404" s="930"/>
    </row>
    <row r="405" spans="1:31" ht="18" customHeight="1" thickBot="1" x14ac:dyDescent="0.3">
      <c r="A405" s="965"/>
      <c r="B405" s="930"/>
      <c r="C405" s="923" t="s">
        <v>1496</v>
      </c>
      <c r="D405" s="1951" t="s">
        <v>1606</v>
      </c>
      <c r="E405" s="1936"/>
      <c r="F405" s="930"/>
      <c r="G405" s="930"/>
      <c r="H405" s="912" t="s">
        <v>646</v>
      </c>
      <c r="I405" s="930"/>
      <c r="J405" s="930"/>
      <c r="K405" s="930"/>
      <c r="L405" s="930"/>
      <c r="M405" s="930"/>
      <c r="N405" s="930"/>
      <c r="O405" s="930"/>
      <c r="P405" s="930"/>
      <c r="Q405" s="930"/>
      <c r="R405" s="930"/>
      <c r="S405" s="930"/>
      <c r="T405" s="954" t="str">
        <f>IF(Z30&lt;&gt;"","Yes","No")</f>
        <v>No</v>
      </c>
      <c r="U405" s="930"/>
    </row>
    <row r="406" spans="1:31" ht="20.25" customHeight="1" thickBot="1" x14ac:dyDescent="0.3">
      <c r="A406" s="965"/>
      <c r="B406" s="930"/>
      <c r="C406" s="930"/>
      <c r="D406" s="930"/>
      <c r="E406" s="930"/>
      <c r="F406" s="930"/>
      <c r="G406" s="930"/>
      <c r="H406" s="930"/>
      <c r="I406" s="930"/>
      <c r="J406" s="930"/>
      <c r="K406" s="930"/>
      <c r="L406" s="930"/>
      <c r="M406" s="930"/>
      <c r="N406" s="930"/>
      <c r="O406" s="930"/>
      <c r="P406" s="930"/>
      <c r="Q406" s="930"/>
      <c r="R406" s="930"/>
      <c r="S406" s="930"/>
      <c r="T406" s="930"/>
      <c r="U406" s="930"/>
    </row>
    <row r="407" spans="1:31" ht="20.25" customHeight="1" thickBot="1" x14ac:dyDescent="0.3">
      <c r="A407" s="965"/>
      <c r="B407" s="1948" t="s">
        <v>1613</v>
      </c>
      <c r="C407" s="1935"/>
      <c r="D407" s="1935"/>
      <c r="E407" s="1935"/>
      <c r="F407" s="1935"/>
      <c r="G407" s="1935"/>
      <c r="H407" s="1935"/>
      <c r="I407" s="1935"/>
      <c r="J407" s="1935"/>
      <c r="K407" s="1935"/>
      <c r="L407" s="1935"/>
      <c r="M407" s="1935"/>
      <c r="N407" s="1935"/>
      <c r="O407" s="1935"/>
      <c r="P407" s="1935"/>
      <c r="Q407" s="1935"/>
      <c r="R407" s="1935"/>
      <c r="S407" s="1935"/>
      <c r="T407" s="1935"/>
      <c r="U407" s="1936"/>
    </row>
    <row r="408" spans="1:31" ht="20.25" customHeight="1" thickBot="1" x14ac:dyDescent="0.3">
      <c r="A408" s="965"/>
      <c r="B408" s="930"/>
      <c r="C408" s="930"/>
      <c r="D408" s="930"/>
      <c r="E408" s="930"/>
      <c r="F408" s="930"/>
      <c r="G408" s="930"/>
      <c r="H408" s="930"/>
      <c r="I408" s="930"/>
      <c r="J408" s="930"/>
      <c r="K408" s="930"/>
      <c r="L408" s="930"/>
      <c r="M408" s="930"/>
      <c r="N408" s="930"/>
      <c r="O408" s="930"/>
      <c r="P408" s="930"/>
      <c r="Q408" s="930"/>
      <c r="R408" s="930"/>
      <c r="S408" s="930"/>
      <c r="T408" s="930"/>
      <c r="U408" s="930"/>
    </row>
    <row r="409" spans="1:31" ht="30.75" thickBot="1" x14ac:dyDescent="0.3">
      <c r="A409" s="134"/>
      <c r="B409" s="930"/>
      <c r="C409" s="923" t="s">
        <v>1383</v>
      </c>
      <c r="D409" s="1949" t="s">
        <v>1614</v>
      </c>
      <c r="E409" s="1950"/>
      <c r="F409" s="930"/>
      <c r="G409" s="930"/>
      <c r="H409" s="926" t="s">
        <v>1380</v>
      </c>
      <c r="I409" s="930"/>
      <c r="J409" s="926" t="s">
        <v>1381</v>
      </c>
      <c r="K409" s="930"/>
      <c r="L409" s="926" t="s">
        <v>1397</v>
      </c>
      <c r="M409" s="930"/>
      <c r="N409" s="926" t="s">
        <v>1382</v>
      </c>
      <c r="O409" s="930"/>
      <c r="P409" s="930"/>
      <c r="Q409" s="930"/>
      <c r="R409" s="926" t="s">
        <v>1487</v>
      </c>
      <c r="S409" s="930"/>
      <c r="T409" s="926" t="s">
        <v>1488</v>
      </c>
      <c r="U409" s="930"/>
      <c r="AE409" s="1956"/>
    </row>
    <row r="410" spans="1:31" ht="20.25" customHeight="1" thickBot="1" x14ac:dyDescent="0.3">
      <c r="A410" s="965"/>
      <c r="B410" s="930"/>
      <c r="C410" s="918"/>
      <c r="D410" s="918"/>
      <c r="E410" s="918"/>
      <c r="F410" s="930"/>
      <c r="G410" s="930"/>
      <c r="H410" s="956"/>
      <c r="I410" s="930"/>
      <c r="J410" s="916"/>
      <c r="K410" s="930"/>
      <c r="L410" s="916"/>
      <c r="M410" s="930"/>
      <c r="N410" s="956"/>
      <c r="O410" s="930"/>
      <c r="P410" s="930"/>
      <c r="Q410" s="930"/>
      <c r="R410" s="954" t="s">
        <v>1602</v>
      </c>
      <c r="S410" s="930"/>
      <c r="T410" s="954"/>
      <c r="U410" s="930"/>
      <c r="AE410" s="1956"/>
    </row>
    <row r="411" spans="1:31" ht="30.75" thickBot="1" x14ac:dyDescent="0.3">
      <c r="A411" s="965"/>
      <c r="B411" s="930"/>
      <c r="C411" s="923" t="s">
        <v>1491</v>
      </c>
      <c r="D411" s="1951">
        <v>501</v>
      </c>
      <c r="E411" s="1952"/>
      <c r="F411" s="930"/>
      <c r="G411" s="930"/>
      <c r="H411" s="930"/>
      <c r="I411" s="930"/>
      <c r="J411" s="930"/>
      <c r="K411" s="930"/>
      <c r="L411" s="930"/>
      <c r="M411" s="930"/>
      <c r="N411" s="930"/>
      <c r="O411" s="930"/>
      <c r="P411" s="930"/>
      <c r="Q411" s="930"/>
      <c r="R411" s="930"/>
      <c r="S411" s="930"/>
      <c r="T411" s="930"/>
      <c r="U411" s="930"/>
    </row>
    <row r="412" spans="1:31" ht="20.25" customHeight="1" thickBot="1" x14ac:dyDescent="0.3">
      <c r="A412" s="965"/>
      <c r="B412" s="930"/>
      <c r="C412" s="918"/>
      <c r="D412" s="918"/>
      <c r="E412" s="918"/>
      <c r="F412" s="930"/>
      <c r="G412" s="930"/>
      <c r="H412" s="925" t="s">
        <v>1396</v>
      </c>
      <c r="I412" s="930"/>
      <c r="J412" s="930"/>
      <c r="K412" s="930"/>
      <c r="L412" s="930"/>
      <c r="M412" s="930"/>
      <c r="N412" s="930"/>
      <c r="O412" s="930"/>
      <c r="P412" s="930"/>
      <c r="Q412" s="930"/>
      <c r="R412" s="926" t="s">
        <v>1603</v>
      </c>
      <c r="S412" s="930"/>
      <c r="T412" s="926" t="s">
        <v>1604</v>
      </c>
      <c r="U412" s="930"/>
    </row>
    <row r="413" spans="1:31" ht="18" customHeight="1" thickBot="1" x14ac:dyDescent="0.3">
      <c r="A413" s="965"/>
      <c r="B413" s="930"/>
      <c r="C413" s="923" t="s">
        <v>1385</v>
      </c>
      <c r="D413" s="1953" t="str">
        <f>AA31</f>
        <v/>
      </c>
      <c r="E413" s="1954"/>
      <c r="F413" s="930"/>
      <c r="G413" s="930"/>
      <c r="H413" s="891"/>
      <c r="I413" s="930"/>
      <c r="J413" s="930"/>
      <c r="K413" s="930"/>
      <c r="L413" s="930"/>
      <c r="M413" s="930"/>
      <c r="N413" s="930"/>
      <c r="O413" s="930"/>
      <c r="P413" s="930"/>
      <c r="Q413" s="930"/>
      <c r="R413" s="954" t="s">
        <v>1610</v>
      </c>
      <c r="S413" s="930"/>
      <c r="T413" s="954" t="s">
        <v>395</v>
      </c>
      <c r="U413" s="930"/>
    </row>
    <row r="414" spans="1:31" ht="18" customHeight="1" thickBot="1" x14ac:dyDescent="0.3">
      <c r="A414" s="965"/>
      <c r="B414" s="930"/>
      <c r="C414" s="918"/>
      <c r="D414" s="911"/>
      <c r="E414" s="911"/>
      <c r="F414" s="930"/>
      <c r="G414" s="930"/>
      <c r="H414" s="930"/>
      <c r="I414" s="930"/>
      <c r="J414" s="930"/>
      <c r="K414" s="930"/>
      <c r="L414" s="930"/>
      <c r="M414" s="930"/>
      <c r="N414" s="930"/>
      <c r="O414" s="930"/>
      <c r="P414" s="930"/>
      <c r="Q414" s="930"/>
      <c r="R414" s="930"/>
      <c r="S414" s="930"/>
      <c r="T414" s="930"/>
      <c r="U414" s="930"/>
    </row>
    <row r="415" spans="1:31" ht="30.75" thickBot="1" x14ac:dyDescent="0.3">
      <c r="A415" s="965"/>
      <c r="B415" s="930"/>
      <c r="C415" s="923" t="s">
        <v>1386</v>
      </c>
      <c r="D415" s="1953" t="str">
        <f>AB31</f>
        <v/>
      </c>
      <c r="E415" s="1954"/>
      <c r="F415" s="930"/>
      <c r="G415" s="930"/>
      <c r="H415" s="925" t="s">
        <v>1492</v>
      </c>
      <c r="I415" s="930"/>
      <c r="J415" s="930"/>
      <c r="K415" s="930"/>
      <c r="L415" s="930"/>
      <c r="M415" s="930"/>
      <c r="N415" s="930"/>
      <c r="O415" s="930"/>
      <c r="P415" s="930"/>
      <c r="Q415" s="930"/>
      <c r="R415" s="930"/>
      <c r="S415" s="930"/>
      <c r="T415" s="926" t="s">
        <v>1599</v>
      </c>
      <c r="U415" s="930"/>
    </row>
    <row r="416" spans="1:31" ht="15.75" thickBot="1" x14ac:dyDescent="0.3">
      <c r="A416" s="965"/>
      <c r="B416" s="930"/>
      <c r="C416" s="918"/>
      <c r="D416" s="918"/>
      <c r="E416" s="918"/>
      <c r="F416" s="930"/>
      <c r="G416" s="930"/>
      <c r="H416" s="912" t="s">
        <v>646</v>
      </c>
      <c r="I416" s="930"/>
      <c r="J416" s="930"/>
      <c r="K416" s="930"/>
      <c r="L416" s="930"/>
      <c r="M416" s="930"/>
      <c r="N416" s="930"/>
      <c r="O416" s="930"/>
      <c r="P416" s="930"/>
      <c r="Q416" s="930"/>
      <c r="R416" s="930"/>
      <c r="S416" s="930"/>
      <c r="T416" s="954" t="s">
        <v>648</v>
      </c>
      <c r="U416" s="930"/>
    </row>
    <row r="417" spans="1:31" ht="30" customHeight="1" thickBot="1" x14ac:dyDescent="0.3">
      <c r="A417" s="965"/>
      <c r="B417" s="930"/>
      <c r="C417" s="924" t="s">
        <v>1495</v>
      </c>
      <c r="D417" s="1943" t="s">
        <v>646</v>
      </c>
      <c r="E417" s="1944"/>
      <c r="F417" s="930"/>
      <c r="G417" s="930"/>
      <c r="H417" s="930"/>
      <c r="I417" s="930"/>
      <c r="J417" s="930"/>
      <c r="K417" s="930"/>
      <c r="L417" s="930"/>
      <c r="M417" s="930"/>
      <c r="N417" s="930"/>
      <c r="O417" s="930"/>
      <c r="P417" s="930"/>
      <c r="Q417" s="930"/>
      <c r="R417" s="930"/>
      <c r="S417" s="930"/>
      <c r="T417" s="930"/>
      <c r="U417" s="930"/>
    </row>
    <row r="418" spans="1:31" ht="15.75" thickBot="1" x14ac:dyDescent="0.3">
      <c r="A418" s="965"/>
      <c r="B418" s="930"/>
      <c r="C418" s="918"/>
      <c r="D418" s="918"/>
      <c r="E418" s="918"/>
      <c r="F418" s="930"/>
      <c r="G418" s="930"/>
      <c r="H418" s="930"/>
      <c r="I418" s="930"/>
      <c r="J418" s="930"/>
      <c r="K418" s="930"/>
      <c r="L418" s="930"/>
      <c r="M418" s="930"/>
      <c r="N418" s="930"/>
      <c r="O418" s="930"/>
      <c r="P418" s="930"/>
      <c r="Q418" s="930"/>
      <c r="R418" s="930"/>
      <c r="S418" s="930"/>
      <c r="T418" s="926" t="s">
        <v>523</v>
      </c>
      <c r="U418" s="930"/>
    </row>
    <row r="419" spans="1:31" ht="18" customHeight="1" thickBot="1" x14ac:dyDescent="0.3">
      <c r="A419" s="965"/>
      <c r="B419" s="930"/>
      <c r="C419" s="923" t="s">
        <v>1496</v>
      </c>
      <c r="D419" s="1951" t="s">
        <v>1606</v>
      </c>
      <c r="E419" s="1936"/>
      <c r="F419" s="930"/>
      <c r="G419" s="930"/>
      <c r="H419" s="930"/>
      <c r="I419" s="930"/>
      <c r="J419" s="930"/>
      <c r="K419" s="930"/>
      <c r="L419" s="930"/>
      <c r="M419" s="930"/>
      <c r="N419" s="930"/>
      <c r="O419" s="930"/>
      <c r="P419" s="930"/>
      <c r="Q419" s="930"/>
      <c r="R419" s="930"/>
      <c r="S419" s="930"/>
      <c r="T419" s="954" t="str">
        <f>IF(Z31&lt;&gt;"","Yes","No")</f>
        <v>No</v>
      </c>
      <c r="U419" s="930"/>
    </row>
    <row r="420" spans="1:31" ht="15.75" thickBot="1" x14ac:dyDescent="0.3">
      <c r="A420" s="965"/>
      <c r="B420" s="930"/>
      <c r="C420" s="930"/>
      <c r="D420" s="930"/>
      <c r="E420" s="930"/>
      <c r="F420" s="930"/>
      <c r="G420" s="930"/>
      <c r="H420" s="930"/>
      <c r="I420" s="930"/>
      <c r="J420" s="930"/>
      <c r="K420" s="930"/>
      <c r="L420" s="930"/>
      <c r="M420" s="930"/>
      <c r="N420" s="930"/>
      <c r="O420" s="930"/>
      <c r="P420" s="930"/>
      <c r="Q420" s="930"/>
      <c r="R420" s="930"/>
      <c r="S420" s="930"/>
      <c r="T420" s="930"/>
      <c r="U420" s="930"/>
    </row>
    <row r="421" spans="1:31" ht="20.25" customHeight="1" thickBot="1" x14ac:dyDescent="0.3">
      <c r="A421" s="965"/>
      <c r="B421" s="1948" t="s">
        <v>1615</v>
      </c>
      <c r="C421" s="1935"/>
      <c r="D421" s="1935"/>
      <c r="E421" s="1935"/>
      <c r="F421" s="1935"/>
      <c r="G421" s="1935"/>
      <c r="H421" s="1935"/>
      <c r="I421" s="1935"/>
      <c r="J421" s="1935"/>
      <c r="K421" s="1935"/>
      <c r="L421" s="1935"/>
      <c r="M421" s="1935"/>
      <c r="N421" s="1935"/>
      <c r="O421" s="1935"/>
      <c r="P421" s="1935"/>
      <c r="Q421" s="1935"/>
      <c r="R421" s="1935"/>
      <c r="S421" s="1935"/>
      <c r="T421" s="1935"/>
      <c r="U421" s="1936"/>
    </row>
    <row r="422" spans="1:31" ht="20.25" customHeight="1" thickBot="1" x14ac:dyDescent="0.3">
      <c r="A422" s="965"/>
      <c r="B422" s="930"/>
      <c r="C422" s="930"/>
      <c r="D422" s="930"/>
      <c r="E422" s="930"/>
      <c r="F422" s="930"/>
      <c r="G422" s="930"/>
      <c r="H422" s="930"/>
      <c r="I422" s="930"/>
      <c r="J422" s="930"/>
      <c r="K422" s="930"/>
      <c r="L422" s="930"/>
      <c r="M422" s="930"/>
      <c r="N422" s="930"/>
      <c r="O422" s="930"/>
      <c r="P422" s="930"/>
      <c r="Q422" s="930"/>
      <c r="R422" s="930"/>
      <c r="S422" s="930"/>
      <c r="T422" s="930"/>
      <c r="U422" s="930"/>
    </row>
    <row r="423" spans="1:31" ht="30.75" thickBot="1" x14ac:dyDescent="0.3">
      <c r="A423" s="134"/>
      <c r="B423" s="930"/>
      <c r="C423" s="923" t="s">
        <v>1383</v>
      </c>
      <c r="D423" s="1949" t="s">
        <v>1614</v>
      </c>
      <c r="E423" s="1950"/>
      <c r="F423" s="930"/>
      <c r="G423" s="930"/>
      <c r="H423" s="926" t="s">
        <v>1380</v>
      </c>
      <c r="I423" s="930"/>
      <c r="J423" s="926" t="s">
        <v>1381</v>
      </c>
      <c r="K423" s="930"/>
      <c r="L423" s="926" t="s">
        <v>1397</v>
      </c>
      <c r="M423" s="930"/>
      <c r="N423" s="926" t="s">
        <v>1382</v>
      </c>
      <c r="O423" s="930"/>
      <c r="P423" s="930"/>
      <c r="Q423" s="930"/>
      <c r="R423" s="926" t="s">
        <v>1487</v>
      </c>
      <c r="S423" s="930"/>
      <c r="T423" s="926" t="s">
        <v>1488</v>
      </c>
      <c r="U423" s="930"/>
      <c r="AE423" s="1956"/>
    </row>
    <row r="424" spans="1:31" ht="15.75" thickBot="1" x14ac:dyDescent="0.3">
      <c r="A424" s="965"/>
      <c r="B424" s="930"/>
      <c r="C424" s="918"/>
      <c r="D424" s="918"/>
      <c r="E424" s="918"/>
      <c r="F424" s="930"/>
      <c r="G424" s="930"/>
      <c r="H424" s="956"/>
      <c r="I424" s="930"/>
      <c r="J424" s="916"/>
      <c r="K424" s="930"/>
      <c r="L424" s="916"/>
      <c r="M424" s="930"/>
      <c r="N424" s="956"/>
      <c r="O424" s="930"/>
      <c r="P424" s="930"/>
      <c r="Q424" s="930"/>
      <c r="R424" s="954" t="s">
        <v>1602</v>
      </c>
      <c r="S424" s="930"/>
      <c r="T424" s="954"/>
      <c r="U424" s="930"/>
      <c r="AE424" s="1956"/>
    </row>
    <row r="425" spans="1:31" ht="30.75" thickBot="1" x14ac:dyDescent="0.3">
      <c r="A425" s="965"/>
      <c r="B425" s="930"/>
      <c r="C425" s="923" t="s">
        <v>1491</v>
      </c>
      <c r="D425" s="1955">
        <v>502</v>
      </c>
      <c r="E425" s="1952"/>
      <c r="F425" s="930"/>
      <c r="G425" s="930"/>
      <c r="H425" s="930"/>
      <c r="I425" s="930"/>
      <c r="J425" s="930"/>
      <c r="K425" s="930"/>
      <c r="L425" s="930"/>
      <c r="M425" s="930"/>
      <c r="N425" s="930"/>
      <c r="O425" s="930"/>
      <c r="P425" s="930"/>
      <c r="Q425" s="930"/>
      <c r="R425" s="930"/>
      <c r="S425" s="930"/>
      <c r="T425" s="930"/>
      <c r="U425" s="930"/>
    </row>
    <row r="426" spans="1:31" ht="18" customHeight="1" thickBot="1" x14ac:dyDescent="0.3">
      <c r="A426" s="965"/>
      <c r="B426" s="930"/>
      <c r="C426" s="918"/>
      <c r="D426" s="918"/>
      <c r="E426" s="918"/>
      <c r="F426" s="930"/>
      <c r="G426" s="930"/>
      <c r="H426" s="925" t="s">
        <v>1396</v>
      </c>
      <c r="I426" s="930"/>
      <c r="J426" s="930"/>
      <c r="K426" s="930"/>
      <c r="L426" s="930"/>
      <c r="M426" s="930"/>
      <c r="N426" s="930"/>
      <c r="O426" s="930"/>
      <c r="P426" s="930"/>
      <c r="Q426" s="930"/>
      <c r="R426" s="926" t="s">
        <v>1603</v>
      </c>
      <c r="S426" s="930"/>
      <c r="T426" s="926" t="s">
        <v>1604</v>
      </c>
      <c r="U426" s="930"/>
    </row>
    <row r="427" spans="1:31" ht="18" customHeight="1" thickBot="1" x14ac:dyDescent="0.3">
      <c r="A427" s="965"/>
      <c r="B427" s="930"/>
      <c r="C427" s="923" t="s">
        <v>1385</v>
      </c>
      <c r="D427" s="1953" t="str">
        <f>AA32</f>
        <v/>
      </c>
      <c r="E427" s="1954"/>
      <c r="F427" s="930"/>
      <c r="G427" s="930"/>
      <c r="H427" s="891"/>
      <c r="I427" s="930"/>
      <c r="J427" s="930"/>
      <c r="K427" s="930"/>
      <c r="L427" s="930"/>
      <c r="M427" s="930"/>
      <c r="N427" s="930"/>
      <c r="O427" s="930"/>
      <c r="P427" s="930"/>
      <c r="Q427" s="930"/>
      <c r="R427" s="954" t="s">
        <v>1610</v>
      </c>
      <c r="S427" s="930"/>
      <c r="T427" s="954" t="s">
        <v>395</v>
      </c>
      <c r="U427" s="930"/>
    </row>
    <row r="428" spans="1:31" ht="15.75" thickBot="1" x14ac:dyDescent="0.3">
      <c r="A428" s="965"/>
      <c r="B428" s="930"/>
      <c r="C428" s="918"/>
      <c r="D428" s="911"/>
      <c r="E428" s="911"/>
      <c r="F428" s="930"/>
      <c r="G428" s="930"/>
      <c r="H428" s="930"/>
      <c r="I428" s="930"/>
      <c r="J428" s="930"/>
      <c r="K428" s="930"/>
      <c r="L428" s="930"/>
      <c r="M428" s="930"/>
      <c r="N428" s="930"/>
      <c r="O428" s="930"/>
      <c r="P428" s="930"/>
      <c r="Q428" s="930"/>
      <c r="R428" s="930"/>
      <c r="S428" s="930"/>
      <c r="T428" s="930"/>
      <c r="U428" s="930"/>
    </row>
    <row r="429" spans="1:31" ht="30.75" thickBot="1" x14ac:dyDescent="0.3">
      <c r="A429" s="965"/>
      <c r="B429" s="930"/>
      <c r="C429" s="923" t="s">
        <v>1386</v>
      </c>
      <c r="D429" s="1953" t="str">
        <f>AB32</f>
        <v/>
      </c>
      <c r="E429" s="1954"/>
      <c r="F429" s="930"/>
      <c r="G429" s="930"/>
      <c r="H429" s="925" t="s">
        <v>1492</v>
      </c>
      <c r="I429" s="930"/>
      <c r="J429" s="930"/>
      <c r="K429" s="930"/>
      <c r="L429" s="930"/>
      <c r="M429" s="930"/>
      <c r="N429" s="930"/>
      <c r="O429" s="930"/>
      <c r="P429" s="930"/>
      <c r="Q429" s="930"/>
      <c r="R429" s="930"/>
      <c r="S429" s="930"/>
      <c r="T429" s="926" t="s">
        <v>1599</v>
      </c>
      <c r="U429" s="930"/>
    </row>
    <row r="430" spans="1:31" ht="18" customHeight="1" thickBot="1" x14ac:dyDescent="0.3">
      <c r="A430" s="965"/>
      <c r="B430" s="930"/>
      <c r="C430" s="918"/>
      <c r="D430" s="918"/>
      <c r="E430" s="918"/>
      <c r="F430" s="930"/>
      <c r="G430" s="930"/>
      <c r="H430" s="912" t="s">
        <v>646</v>
      </c>
      <c r="I430" s="930"/>
      <c r="J430" s="930"/>
      <c r="K430" s="930"/>
      <c r="L430" s="930"/>
      <c r="M430" s="930"/>
      <c r="N430" s="930"/>
      <c r="O430" s="930"/>
      <c r="P430" s="930"/>
      <c r="Q430" s="930"/>
      <c r="R430" s="930"/>
      <c r="S430" s="930"/>
      <c r="T430" s="954" t="s">
        <v>648</v>
      </c>
      <c r="U430" s="930"/>
    </row>
    <row r="431" spans="1:31" ht="30" customHeight="1" thickBot="1" x14ac:dyDescent="0.3">
      <c r="A431" s="965"/>
      <c r="B431" s="930"/>
      <c r="C431" s="924" t="s">
        <v>1495</v>
      </c>
      <c r="D431" s="1943" t="s">
        <v>646</v>
      </c>
      <c r="E431" s="1944"/>
      <c r="F431" s="930"/>
      <c r="G431" s="930"/>
      <c r="H431" s="930"/>
      <c r="I431" s="930"/>
      <c r="J431" s="930"/>
      <c r="K431" s="930"/>
      <c r="L431" s="930"/>
      <c r="M431" s="930"/>
      <c r="N431" s="930"/>
      <c r="O431" s="930"/>
      <c r="P431" s="930"/>
      <c r="Q431" s="930"/>
      <c r="R431" s="930"/>
      <c r="S431" s="930"/>
      <c r="T431" s="930"/>
      <c r="U431" s="930"/>
    </row>
    <row r="432" spans="1:31" ht="15.75" thickBot="1" x14ac:dyDescent="0.3">
      <c r="A432" s="965"/>
      <c r="B432" s="930"/>
      <c r="C432" s="918"/>
      <c r="D432" s="918"/>
      <c r="E432" s="918"/>
      <c r="F432" s="930"/>
      <c r="G432" s="930"/>
      <c r="H432" s="930"/>
      <c r="I432" s="930"/>
      <c r="J432" s="930"/>
      <c r="K432" s="930"/>
      <c r="L432" s="930"/>
      <c r="M432" s="930"/>
      <c r="N432" s="930"/>
      <c r="O432" s="930"/>
      <c r="P432" s="930"/>
      <c r="Q432" s="930"/>
      <c r="R432" s="930"/>
      <c r="S432" s="930"/>
      <c r="T432" s="926" t="s">
        <v>523</v>
      </c>
      <c r="U432" s="930"/>
    </row>
    <row r="433" spans="1:31" ht="16.5" customHeight="1" thickBot="1" x14ac:dyDescent="0.3">
      <c r="A433" s="965"/>
      <c r="B433" s="930"/>
      <c r="C433" s="923" t="s">
        <v>1496</v>
      </c>
      <c r="D433" s="1951" t="s">
        <v>1606</v>
      </c>
      <c r="E433" s="1936"/>
      <c r="F433" s="930"/>
      <c r="G433" s="930"/>
      <c r="H433" s="930"/>
      <c r="I433" s="930"/>
      <c r="J433" s="930"/>
      <c r="K433" s="930"/>
      <c r="L433" s="930"/>
      <c r="M433" s="930"/>
      <c r="N433" s="930"/>
      <c r="O433" s="930"/>
      <c r="P433" s="930"/>
      <c r="Q433" s="930"/>
      <c r="R433" s="930"/>
      <c r="S433" s="930"/>
      <c r="T433" s="954" t="str">
        <f>IF(Z32&lt;&gt;"","Yes","No")</f>
        <v>No</v>
      </c>
      <c r="U433" s="930"/>
    </row>
    <row r="434" spans="1:31" s="980" customFormat="1" ht="21" customHeight="1" thickBot="1" x14ac:dyDescent="0.3">
      <c r="B434" s="930"/>
      <c r="C434" s="981"/>
      <c r="D434" s="982"/>
      <c r="E434" s="983"/>
      <c r="F434" s="930"/>
      <c r="G434" s="930"/>
      <c r="H434" s="930"/>
      <c r="I434" s="930"/>
      <c r="J434" s="930"/>
      <c r="K434" s="930"/>
      <c r="L434" s="930"/>
      <c r="M434" s="930"/>
      <c r="N434" s="930"/>
      <c r="O434" s="930"/>
      <c r="P434" s="930"/>
      <c r="Q434" s="930"/>
      <c r="R434" s="930"/>
      <c r="S434" s="930"/>
      <c r="T434" s="930"/>
      <c r="U434" s="930"/>
    </row>
    <row r="435" spans="1:31" ht="20.25" customHeight="1" thickBot="1" x14ac:dyDescent="0.3">
      <c r="A435" s="965"/>
      <c r="B435" s="1948" t="s">
        <v>1616</v>
      </c>
      <c r="C435" s="1935"/>
      <c r="D435" s="1935"/>
      <c r="E435" s="1935"/>
      <c r="F435" s="1935"/>
      <c r="G435" s="1935"/>
      <c r="H435" s="1935"/>
      <c r="I435" s="1935"/>
      <c r="J435" s="1935"/>
      <c r="K435" s="1935"/>
      <c r="L435" s="1935"/>
      <c r="M435" s="1935"/>
      <c r="N435" s="1935"/>
      <c r="O435" s="1935"/>
      <c r="P435" s="1935"/>
      <c r="Q435" s="1935"/>
      <c r="R435" s="1935"/>
      <c r="S435" s="1935"/>
      <c r="T435" s="1935"/>
      <c r="U435" s="1936"/>
    </row>
    <row r="436" spans="1:31" ht="20.25" customHeight="1" thickBot="1" x14ac:dyDescent="0.3">
      <c r="A436" s="965"/>
      <c r="B436" s="930"/>
      <c r="C436" s="930"/>
      <c r="D436" s="930"/>
      <c r="E436" s="930"/>
      <c r="F436" s="930"/>
      <c r="G436" s="930"/>
      <c r="H436" s="930"/>
      <c r="I436" s="930"/>
      <c r="J436" s="930"/>
      <c r="K436" s="930"/>
      <c r="L436" s="930"/>
      <c r="M436" s="930"/>
      <c r="N436" s="930"/>
      <c r="O436" s="930"/>
      <c r="P436" s="930"/>
      <c r="Q436" s="930"/>
      <c r="R436" s="930"/>
      <c r="S436" s="930"/>
      <c r="T436" s="930"/>
      <c r="U436" s="930"/>
    </row>
    <row r="437" spans="1:31" ht="30.75" thickBot="1" x14ac:dyDescent="0.3">
      <c r="A437" s="134"/>
      <c r="B437" s="930"/>
      <c r="C437" s="923" t="s">
        <v>1383</v>
      </c>
      <c r="D437" s="1949" t="s">
        <v>1617</v>
      </c>
      <c r="E437" s="1950"/>
      <c r="F437" s="930"/>
      <c r="G437" s="930"/>
      <c r="H437" s="926" t="s">
        <v>1380</v>
      </c>
      <c r="I437" s="930"/>
      <c r="J437" s="926" t="s">
        <v>1381</v>
      </c>
      <c r="K437" s="930"/>
      <c r="L437" s="926" t="s">
        <v>1397</v>
      </c>
      <c r="M437" s="930"/>
      <c r="N437" s="926" t="s">
        <v>1382</v>
      </c>
      <c r="O437" s="930"/>
      <c r="P437" s="926" t="s">
        <v>1486</v>
      </c>
      <c r="Q437" s="930"/>
      <c r="R437" s="926" t="s">
        <v>1487</v>
      </c>
      <c r="S437" s="930"/>
      <c r="T437" s="926" t="s">
        <v>1488</v>
      </c>
      <c r="U437" s="930"/>
      <c r="AE437" s="1956" t="str">
        <f>IF(AND(H438="",T447="Yes"),"Please Update Incentive Period","")</f>
        <v/>
      </c>
    </row>
    <row r="438" spans="1:31" ht="15.75" thickBot="1" x14ac:dyDescent="0.3">
      <c r="A438" s="965"/>
      <c r="B438" s="930"/>
      <c r="C438" s="918"/>
      <c r="D438" s="918"/>
      <c r="E438" s="918"/>
      <c r="F438" s="930"/>
      <c r="G438" s="930"/>
      <c r="H438" s="871"/>
      <c r="I438" s="930"/>
      <c r="J438" s="916"/>
      <c r="K438" s="930"/>
      <c r="L438" s="916"/>
      <c r="M438" s="930"/>
      <c r="N438" s="956"/>
      <c r="O438" s="930"/>
      <c r="P438" s="954" t="s">
        <v>1489</v>
      </c>
      <c r="Q438" s="930"/>
      <c r="R438" s="872" t="s">
        <v>1602</v>
      </c>
      <c r="S438" s="930"/>
      <c r="T438" s="872" t="s">
        <v>648</v>
      </c>
      <c r="U438" s="930"/>
      <c r="AE438" s="1956"/>
    </row>
    <row r="439" spans="1:31" ht="30.75" thickBot="1" x14ac:dyDescent="0.3">
      <c r="A439" s="965"/>
      <c r="B439" s="930"/>
      <c r="C439" s="923" t="s">
        <v>1491</v>
      </c>
      <c r="D439" s="1951">
        <v>5601</v>
      </c>
      <c r="E439" s="1952"/>
      <c r="F439" s="930"/>
      <c r="G439" s="930"/>
      <c r="H439" s="930"/>
      <c r="I439" s="930"/>
      <c r="J439" s="930"/>
      <c r="K439" s="930"/>
      <c r="L439" s="930"/>
      <c r="M439" s="930"/>
      <c r="N439" s="930"/>
      <c r="O439" s="930"/>
      <c r="P439" s="930"/>
      <c r="Q439" s="930"/>
      <c r="R439" s="930"/>
      <c r="S439" s="930"/>
      <c r="T439" s="930"/>
      <c r="U439" s="930"/>
    </row>
    <row r="440" spans="1:31" ht="15.75" thickBot="1" x14ac:dyDescent="0.3">
      <c r="A440" s="965"/>
      <c r="B440" s="930"/>
      <c r="C440" s="918"/>
      <c r="D440" s="918"/>
      <c r="E440" s="918"/>
      <c r="F440" s="930"/>
      <c r="G440" s="930"/>
      <c r="H440" s="925" t="s">
        <v>1396</v>
      </c>
      <c r="I440" s="930"/>
      <c r="J440" s="926" t="s">
        <v>1481</v>
      </c>
      <c r="K440" s="930"/>
      <c r="L440" s="926" t="s">
        <v>727</v>
      </c>
      <c r="M440" s="930"/>
      <c r="N440" s="926" t="s">
        <v>1482</v>
      </c>
      <c r="O440" s="930"/>
      <c r="P440" s="930"/>
      <c r="Q440" s="930"/>
      <c r="R440" s="926" t="s">
        <v>1603</v>
      </c>
      <c r="S440" s="930"/>
      <c r="T440" s="926" t="s">
        <v>1604</v>
      </c>
      <c r="U440" s="930"/>
    </row>
    <row r="441" spans="1:31" ht="18" customHeight="1" thickBot="1" x14ac:dyDescent="0.3">
      <c r="A441" s="965"/>
      <c r="B441" s="930"/>
      <c r="C441" s="923" t="s">
        <v>1385</v>
      </c>
      <c r="D441" s="1953" t="str">
        <f>AA33</f>
        <v/>
      </c>
      <c r="E441" s="1954"/>
      <c r="F441" s="930"/>
      <c r="G441" s="930"/>
      <c r="H441" s="891"/>
      <c r="I441" s="930"/>
      <c r="J441" s="892">
        <v>1</v>
      </c>
      <c r="K441" s="930"/>
      <c r="L441" s="891"/>
      <c r="M441" s="930"/>
      <c r="N441" s="917"/>
      <c r="O441" s="930"/>
      <c r="P441" s="930"/>
      <c r="Q441" s="930"/>
      <c r="R441" s="954" t="s">
        <v>1610</v>
      </c>
      <c r="S441" s="930"/>
      <c r="T441" s="954" t="s">
        <v>395</v>
      </c>
      <c r="U441" s="930"/>
    </row>
    <row r="442" spans="1:31" ht="15.75" thickBot="1" x14ac:dyDescent="0.3">
      <c r="A442" s="965"/>
      <c r="B442" s="930"/>
      <c r="C442" s="918"/>
      <c r="D442" s="911"/>
      <c r="E442" s="911"/>
      <c r="F442" s="930"/>
      <c r="G442" s="930"/>
      <c r="H442" s="930"/>
      <c r="I442" s="930"/>
      <c r="J442" s="892">
        <v>2</v>
      </c>
      <c r="K442" s="930"/>
      <c r="L442" s="891"/>
      <c r="M442" s="930"/>
      <c r="N442" s="917"/>
      <c r="O442" s="930"/>
      <c r="P442" s="930"/>
      <c r="Q442" s="930"/>
      <c r="R442" s="930"/>
      <c r="S442" s="930"/>
      <c r="T442" s="930"/>
      <c r="U442" s="930"/>
    </row>
    <row r="443" spans="1:31" ht="30.75" thickBot="1" x14ac:dyDescent="0.3">
      <c r="A443" s="965"/>
      <c r="B443" s="930"/>
      <c r="C443" s="923" t="s">
        <v>1386</v>
      </c>
      <c r="D443" s="1953" t="str">
        <f>AB33</f>
        <v/>
      </c>
      <c r="E443" s="1954"/>
      <c r="F443" s="930"/>
      <c r="G443" s="930"/>
      <c r="H443" s="925" t="s">
        <v>1492</v>
      </c>
      <c r="I443" s="930"/>
      <c r="J443" s="892">
        <v>3</v>
      </c>
      <c r="K443" s="930"/>
      <c r="L443" s="891"/>
      <c r="M443" s="930"/>
      <c r="N443" s="917"/>
      <c r="O443" s="930"/>
      <c r="P443" s="930"/>
      <c r="Q443" s="930"/>
      <c r="R443" s="930"/>
      <c r="S443" s="930"/>
      <c r="T443" s="926" t="s">
        <v>1599</v>
      </c>
      <c r="U443" s="930"/>
    </row>
    <row r="444" spans="1:31" ht="15.75" thickBot="1" x14ac:dyDescent="0.3">
      <c r="A444" s="965"/>
      <c r="B444" s="930"/>
      <c r="C444" s="918"/>
      <c r="D444" s="918"/>
      <c r="E444" s="918"/>
      <c r="F444" s="930"/>
      <c r="G444" s="930"/>
      <c r="H444" s="912" t="s">
        <v>646</v>
      </c>
      <c r="I444" s="930"/>
      <c r="J444" s="892">
        <v>4</v>
      </c>
      <c r="K444" s="930"/>
      <c r="L444" s="891"/>
      <c r="M444" s="930"/>
      <c r="N444" s="917"/>
      <c r="O444" s="930"/>
      <c r="P444" s="930"/>
      <c r="Q444" s="930"/>
      <c r="R444" s="930"/>
      <c r="S444" s="930"/>
      <c r="T444" s="954" t="s">
        <v>648</v>
      </c>
      <c r="U444" s="930"/>
    </row>
    <row r="445" spans="1:31" ht="30" customHeight="1" thickBot="1" x14ac:dyDescent="0.3">
      <c r="A445" s="965"/>
      <c r="B445" s="930"/>
      <c r="C445" s="924" t="s">
        <v>1495</v>
      </c>
      <c r="D445" s="1943" t="s">
        <v>646</v>
      </c>
      <c r="E445" s="1944"/>
      <c r="F445" s="930"/>
      <c r="G445" s="930"/>
      <c r="H445" s="930"/>
      <c r="I445" s="930"/>
      <c r="J445" s="892">
        <v>5</v>
      </c>
      <c r="K445" s="930"/>
      <c r="L445" s="891"/>
      <c r="M445" s="930"/>
      <c r="N445" s="917"/>
      <c r="O445" s="930"/>
      <c r="P445" s="930"/>
      <c r="Q445" s="930"/>
      <c r="R445" s="930"/>
      <c r="S445" s="930"/>
      <c r="T445" s="930"/>
      <c r="U445" s="930"/>
    </row>
    <row r="446" spans="1:31" ht="15.75" thickBot="1" x14ac:dyDescent="0.3">
      <c r="A446" s="965"/>
      <c r="B446" s="930"/>
      <c r="C446" s="918"/>
      <c r="D446" s="918"/>
      <c r="E446" s="918"/>
      <c r="F446" s="930"/>
      <c r="G446" s="930"/>
      <c r="H446" s="926" t="s">
        <v>1389</v>
      </c>
      <c r="I446" s="930"/>
      <c r="J446" s="930"/>
      <c r="K446" s="930"/>
      <c r="L446" s="930"/>
      <c r="M446" s="930"/>
      <c r="N446" s="930"/>
      <c r="O446" s="930"/>
      <c r="P446" s="930"/>
      <c r="Q446" s="930"/>
      <c r="R446" s="716" t="s">
        <v>2102</v>
      </c>
      <c r="S446" s="930"/>
      <c r="T446" s="926" t="s">
        <v>523</v>
      </c>
      <c r="U446" s="930"/>
    </row>
    <row r="447" spans="1:31" ht="18" customHeight="1" thickBot="1" x14ac:dyDescent="0.3">
      <c r="A447" s="965"/>
      <c r="B447" s="930"/>
      <c r="C447" s="923" t="s">
        <v>1496</v>
      </c>
      <c r="D447" s="1951" t="s">
        <v>1606</v>
      </c>
      <c r="E447" s="1936"/>
      <c r="F447" s="930"/>
      <c r="G447" s="930"/>
      <c r="H447" s="891">
        <v>1</v>
      </c>
      <c r="I447" s="930"/>
      <c r="J447" s="930"/>
      <c r="K447" s="930"/>
      <c r="L447" s="930"/>
      <c r="M447" s="930"/>
      <c r="N447" s="930"/>
      <c r="O447" s="930"/>
      <c r="P447" s="930"/>
      <c r="Q447" s="930"/>
      <c r="R447" s="1550" t="s">
        <v>648</v>
      </c>
      <c r="S447" s="930"/>
      <c r="T447" s="954" t="str">
        <f>IF(Z33&lt;&gt;"","Yes","No")</f>
        <v>No</v>
      </c>
      <c r="U447" s="930"/>
      <c r="W447" s="644" t="str">
        <f>IF(OR(T447="Yes",OR(T461="Yes",OR(T475="Yes",T489="Yes"))),"Yes","No")</f>
        <v>No</v>
      </c>
    </row>
    <row r="448" spans="1:31" ht="15.75" thickBot="1" x14ac:dyDescent="0.3">
      <c r="A448" s="965"/>
      <c r="B448" s="930"/>
      <c r="C448" s="918"/>
      <c r="D448" s="918"/>
      <c r="E448" s="918"/>
      <c r="F448" s="930"/>
      <c r="G448" s="930"/>
      <c r="H448" s="930"/>
      <c r="I448" s="930"/>
      <c r="J448" s="930"/>
      <c r="K448" s="930"/>
      <c r="L448" s="930"/>
      <c r="M448" s="930"/>
      <c r="N448" s="930"/>
      <c r="O448" s="930"/>
      <c r="P448" s="930"/>
      <c r="Q448" s="930"/>
      <c r="R448" s="930"/>
      <c r="S448" s="930"/>
      <c r="T448" s="930"/>
      <c r="U448" s="930"/>
    </row>
    <row r="449" spans="1:31" ht="15.75" thickBot="1" x14ac:dyDescent="0.3">
      <c r="A449" s="965"/>
      <c r="B449" s="1948" t="s">
        <v>1618</v>
      </c>
      <c r="C449" s="1935"/>
      <c r="D449" s="1935"/>
      <c r="E449" s="1935"/>
      <c r="F449" s="1935"/>
      <c r="G449" s="1935"/>
      <c r="H449" s="1935"/>
      <c r="I449" s="1935"/>
      <c r="J449" s="1935"/>
      <c r="K449" s="1935"/>
      <c r="L449" s="1935"/>
      <c r="M449" s="1935"/>
      <c r="N449" s="1935"/>
      <c r="O449" s="1935"/>
      <c r="P449" s="1935"/>
      <c r="Q449" s="1935"/>
      <c r="R449" s="1935"/>
      <c r="S449" s="1935"/>
      <c r="T449" s="1935"/>
      <c r="U449" s="1936"/>
    </row>
    <row r="450" spans="1:31" ht="15.75" thickBot="1" x14ac:dyDescent="0.3">
      <c r="A450" s="965"/>
      <c r="B450" s="930"/>
      <c r="C450" s="930"/>
      <c r="D450" s="930"/>
      <c r="E450" s="930"/>
      <c r="F450" s="930"/>
      <c r="G450" s="930"/>
      <c r="H450" s="930"/>
      <c r="I450" s="930"/>
      <c r="J450" s="930"/>
      <c r="K450" s="930"/>
      <c r="L450" s="930"/>
      <c r="M450" s="930"/>
      <c r="N450" s="930"/>
      <c r="O450" s="930"/>
      <c r="P450" s="930"/>
      <c r="Q450" s="930"/>
      <c r="R450" s="930"/>
      <c r="S450" s="930"/>
      <c r="T450" s="930"/>
      <c r="U450" s="930"/>
    </row>
    <row r="451" spans="1:31" ht="30.75" thickBot="1" x14ac:dyDescent="0.3">
      <c r="A451" s="134"/>
      <c r="B451" s="930"/>
      <c r="C451" s="923" t="s">
        <v>1383</v>
      </c>
      <c r="D451" s="1949" t="s">
        <v>1617</v>
      </c>
      <c r="E451" s="1950"/>
      <c r="F451" s="930"/>
      <c r="G451" s="930"/>
      <c r="H451" s="926" t="s">
        <v>1380</v>
      </c>
      <c r="I451" s="930"/>
      <c r="J451" s="926" t="s">
        <v>1381</v>
      </c>
      <c r="K451" s="930"/>
      <c r="L451" s="926" t="s">
        <v>1397</v>
      </c>
      <c r="M451" s="930"/>
      <c r="N451" s="926" t="s">
        <v>1382</v>
      </c>
      <c r="O451" s="930"/>
      <c r="P451" s="926" t="s">
        <v>1486</v>
      </c>
      <c r="Q451" s="930"/>
      <c r="R451" s="926" t="s">
        <v>1487</v>
      </c>
      <c r="S451" s="930"/>
      <c r="T451" s="926" t="s">
        <v>1488</v>
      </c>
      <c r="U451" s="930"/>
      <c r="AE451" s="1956" t="str">
        <f>IF(AND(H452="",T461="Yes"),"Please Update Incentive Period","")</f>
        <v/>
      </c>
    </row>
    <row r="452" spans="1:31" ht="15.75" thickBot="1" x14ac:dyDescent="0.3">
      <c r="A452" s="965"/>
      <c r="B452" s="930"/>
      <c r="C452" s="918"/>
      <c r="D452" s="918"/>
      <c r="E452" s="918"/>
      <c r="F452" s="930"/>
      <c r="G452" s="930"/>
      <c r="H452" s="871"/>
      <c r="I452" s="930"/>
      <c r="J452" s="916"/>
      <c r="K452" s="930"/>
      <c r="L452" s="916"/>
      <c r="M452" s="930"/>
      <c r="N452" s="956"/>
      <c r="O452" s="930"/>
      <c r="P452" s="954" t="s">
        <v>1489</v>
      </c>
      <c r="Q452" s="930"/>
      <c r="R452" s="872" t="s">
        <v>1602</v>
      </c>
      <c r="S452" s="930"/>
      <c r="T452" s="872" t="s">
        <v>648</v>
      </c>
      <c r="U452" s="930"/>
      <c r="AE452" s="1956"/>
    </row>
    <row r="453" spans="1:31" ht="30.75" thickBot="1" x14ac:dyDescent="0.3">
      <c r="A453" s="965"/>
      <c r="B453" s="930"/>
      <c r="C453" s="923" t="s">
        <v>1491</v>
      </c>
      <c r="D453" s="1951">
        <v>5602</v>
      </c>
      <c r="E453" s="1952"/>
      <c r="F453" s="930"/>
      <c r="G453" s="930"/>
      <c r="H453" s="930"/>
      <c r="I453" s="930"/>
      <c r="J453" s="930"/>
      <c r="K453" s="930"/>
      <c r="L453" s="930"/>
      <c r="M453" s="930"/>
      <c r="N453" s="930"/>
      <c r="O453" s="930"/>
      <c r="P453" s="930"/>
      <c r="Q453" s="930"/>
      <c r="R453" s="930"/>
      <c r="S453" s="930"/>
      <c r="T453" s="930"/>
      <c r="U453" s="930"/>
    </row>
    <row r="454" spans="1:31" ht="15.75" thickBot="1" x14ac:dyDescent="0.3">
      <c r="A454" s="965"/>
      <c r="B454" s="930"/>
      <c r="C454" s="918"/>
      <c r="D454" s="918"/>
      <c r="E454" s="918"/>
      <c r="F454" s="930"/>
      <c r="G454" s="930"/>
      <c r="H454" s="925" t="s">
        <v>1396</v>
      </c>
      <c r="I454" s="930"/>
      <c r="J454" s="926" t="s">
        <v>1481</v>
      </c>
      <c r="K454" s="930"/>
      <c r="L454" s="926" t="s">
        <v>727</v>
      </c>
      <c r="M454" s="930"/>
      <c r="N454" s="926" t="s">
        <v>1482</v>
      </c>
      <c r="O454" s="930"/>
      <c r="P454" s="930"/>
      <c r="Q454" s="930"/>
      <c r="R454" s="926" t="s">
        <v>1603</v>
      </c>
      <c r="S454" s="930"/>
      <c r="T454" s="926" t="s">
        <v>1604</v>
      </c>
      <c r="U454" s="930"/>
    </row>
    <row r="455" spans="1:31" ht="18" customHeight="1" thickBot="1" x14ac:dyDescent="0.3">
      <c r="A455" s="965"/>
      <c r="B455" s="930"/>
      <c r="C455" s="923" t="s">
        <v>1385</v>
      </c>
      <c r="D455" s="1953" t="str">
        <f>AA34</f>
        <v/>
      </c>
      <c r="E455" s="1954"/>
      <c r="F455" s="930"/>
      <c r="G455" s="930"/>
      <c r="H455" s="953"/>
      <c r="I455" s="930"/>
      <c r="J455" s="892">
        <v>1</v>
      </c>
      <c r="K455" s="930"/>
      <c r="L455" s="917"/>
      <c r="M455" s="930"/>
      <c r="N455" s="917"/>
      <c r="O455" s="930"/>
      <c r="P455" s="930"/>
      <c r="Q455" s="930"/>
      <c r="R455" s="954" t="s">
        <v>1610</v>
      </c>
      <c r="S455" s="930"/>
      <c r="T455" s="954" t="s">
        <v>395</v>
      </c>
      <c r="U455" s="930"/>
    </row>
    <row r="456" spans="1:31" ht="15.75" thickBot="1" x14ac:dyDescent="0.3">
      <c r="A456" s="965"/>
      <c r="B456" s="930"/>
      <c r="C456" s="918"/>
      <c r="D456" s="911"/>
      <c r="E456" s="911"/>
      <c r="F456" s="930"/>
      <c r="G456" s="930"/>
      <c r="H456" s="930"/>
      <c r="I456" s="930"/>
      <c r="J456" s="892">
        <v>2</v>
      </c>
      <c r="K456" s="930"/>
      <c r="L456" s="917"/>
      <c r="M456" s="930"/>
      <c r="N456" s="917"/>
      <c r="O456" s="930"/>
      <c r="P456" s="930"/>
      <c r="Q456" s="930"/>
      <c r="R456" s="930"/>
      <c r="S456" s="930"/>
      <c r="T456" s="930"/>
      <c r="U456" s="930"/>
    </row>
    <row r="457" spans="1:31" ht="30.75" thickBot="1" x14ac:dyDescent="0.3">
      <c r="A457" s="965"/>
      <c r="B457" s="930"/>
      <c r="C457" s="923" t="s">
        <v>1386</v>
      </c>
      <c r="D457" s="1953" t="str">
        <f>AB34</f>
        <v/>
      </c>
      <c r="E457" s="1954"/>
      <c r="F457" s="930"/>
      <c r="G457" s="930"/>
      <c r="H457" s="1000" t="s">
        <v>1492</v>
      </c>
      <c r="I457" s="930"/>
      <c r="J457" s="892">
        <v>3</v>
      </c>
      <c r="K457" s="930"/>
      <c r="L457" s="917"/>
      <c r="M457" s="930"/>
      <c r="N457" s="917"/>
      <c r="O457" s="930"/>
      <c r="P457" s="930"/>
      <c r="Q457" s="930"/>
      <c r="R457" s="930"/>
      <c r="S457" s="930"/>
      <c r="T457" s="926" t="s">
        <v>1599</v>
      </c>
      <c r="U457" s="930"/>
    </row>
    <row r="458" spans="1:31" ht="15.75" thickBot="1" x14ac:dyDescent="0.3">
      <c r="A458" s="965"/>
      <c r="B458" s="930"/>
      <c r="C458" s="918"/>
      <c r="D458" s="918"/>
      <c r="E458" s="918"/>
      <c r="F458" s="930"/>
      <c r="G458" s="930"/>
      <c r="H458" s="912" t="s">
        <v>646</v>
      </c>
      <c r="I458" s="930"/>
      <c r="J458" s="892">
        <v>4</v>
      </c>
      <c r="K458" s="930"/>
      <c r="L458" s="917"/>
      <c r="M458" s="930"/>
      <c r="N458" s="917"/>
      <c r="O458" s="930"/>
      <c r="P458" s="930"/>
      <c r="Q458" s="930"/>
      <c r="R458" s="930"/>
      <c r="S458" s="930"/>
      <c r="T458" s="954" t="s">
        <v>648</v>
      </c>
      <c r="U458" s="930"/>
    </row>
    <row r="459" spans="1:31" ht="30" customHeight="1" thickBot="1" x14ac:dyDescent="0.3">
      <c r="A459" s="965"/>
      <c r="B459" s="930"/>
      <c r="C459" s="924" t="s">
        <v>1495</v>
      </c>
      <c r="D459" s="1943" t="s">
        <v>646</v>
      </c>
      <c r="E459" s="1944"/>
      <c r="F459" s="930"/>
      <c r="G459" s="930"/>
      <c r="H459" s="930"/>
      <c r="I459" s="930"/>
      <c r="J459" s="892">
        <v>5</v>
      </c>
      <c r="K459" s="930"/>
      <c r="L459" s="917"/>
      <c r="M459" s="930"/>
      <c r="N459" s="917"/>
      <c r="O459" s="930"/>
      <c r="P459" s="930"/>
      <c r="Q459" s="930"/>
      <c r="R459" s="930"/>
      <c r="S459" s="930"/>
      <c r="T459" s="930"/>
      <c r="U459" s="930"/>
    </row>
    <row r="460" spans="1:31" ht="15.75" thickBot="1" x14ac:dyDescent="0.3">
      <c r="A460" s="965"/>
      <c r="B460" s="930"/>
      <c r="C460" s="918"/>
      <c r="D460" s="918"/>
      <c r="E460" s="918"/>
      <c r="F460" s="930"/>
      <c r="G460" s="930"/>
      <c r="H460" s="926" t="s">
        <v>1389</v>
      </c>
      <c r="I460" s="930"/>
      <c r="J460" s="930"/>
      <c r="K460" s="930"/>
      <c r="L460" s="930"/>
      <c r="M460" s="930"/>
      <c r="N460" s="930"/>
      <c r="O460" s="930"/>
      <c r="P460" s="930"/>
      <c r="Q460" s="930"/>
      <c r="R460" s="716" t="s">
        <v>2102</v>
      </c>
      <c r="S460" s="930"/>
      <c r="T460" s="926" t="s">
        <v>523</v>
      </c>
      <c r="U460" s="930"/>
    </row>
    <row r="461" spans="1:31" ht="18" customHeight="1" thickBot="1" x14ac:dyDescent="0.3">
      <c r="A461" s="965"/>
      <c r="B461" s="930"/>
      <c r="C461" s="923" t="s">
        <v>1496</v>
      </c>
      <c r="D461" s="1951" t="s">
        <v>1606</v>
      </c>
      <c r="E461" s="1936"/>
      <c r="F461" s="930"/>
      <c r="G461" s="930"/>
      <c r="H461" s="891"/>
      <c r="I461" s="930"/>
      <c r="J461" s="930"/>
      <c r="K461" s="930"/>
      <c r="L461" s="930"/>
      <c r="M461" s="930"/>
      <c r="N461" s="930"/>
      <c r="O461" s="930"/>
      <c r="P461" s="930"/>
      <c r="Q461" s="930"/>
      <c r="R461" s="1550" t="s">
        <v>648</v>
      </c>
      <c r="S461" s="930"/>
      <c r="T461" s="954" t="str">
        <f>IF(Z34&lt;&gt;"","Yes","No")</f>
        <v>No</v>
      </c>
      <c r="U461" s="930"/>
    </row>
    <row r="462" spans="1:31" ht="15.75" thickBot="1" x14ac:dyDescent="0.3">
      <c r="A462" s="965"/>
      <c r="B462" s="930"/>
      <c r="C462" s="930"/>
      <c r="D462" s="930"/>
      <c r="E462" s="930"/>
      <c r="F462" s="930"/>
      <c r="G462" s="930"/>
      <c r="H462" s="930"/>
      <c r="I462" s="930"/>
      <c r="J462" s="930"/>
      <c r="K462" s="930"/>
      <c r="L462" s="930"/>
      <c r="M462" s="930"/>
      <c r="N462" s="930"/>
      <c r="O462" s="930"/>
      <c r="P462" s="930"/>
      <c r="Q462" s="930"/>
      <c r="R462" s="930"/>
      <c r="S462" s="930"/>
      <c r="T462" s="930"/>
      <c r="U462" s="930"/>
    </row>
    <row r="463" spans="1:31" ht="15.75" thickBot="1" x14ac:dyDescent="0.3">
      <c r="A463" s="965"/>
      <c r="B463" s="1948" t="s">
        <v>1619</v>
      </c>
      <c r="C463" s="1935"/>
      <c r="D463" s="1935"/>
      <c r="E463" s="1935"/>
      <c r="F463" s="1935"/>
      <c r="G463" s="1935"/>
      <c r="H463" s="1935"/>
      <c r="I463" s="1935"/>
      <c r="J463" s="1935"/>
      <c r="K463" s="1935"/>
      <c r="L463" s="1935"/>
      <c r="M463" s="1935"/>
      <c r="N463" s="1935"/>
      <c r="O463" s="1935"/>
      <c r="P463" s="1935"/>
      <c r="Q463" s="1935"/>
      <c r="R463" s="1935"/>
      <c r="S463" s="1935"/>
      <c r="T463" s="1935"/>
      <c r="U463" s="1936"/>
    </row>
    <row r="464" spans="1:31" ht="15.75" thickBot="1" x14ac:dyDescent="0.3">
      <c r="A464" s="965"/>
      <c r="B464" s="930"/>
      <c r="C464" s="930"/>
      <c r="D464" s="930"/>
      <c r="E464" s="930"/>
      <c r="F464" s="930"/>
      <c r="G464" s="930"/>
      <c r="H464" s="930"/>
      <c r="I464" s="930"/>
      <c r="J464" s="930"/>
      <c r="K464" s="930"/>
      <c r="L464" s="930"/>
      <c r="M464" s="930"/>
      <c r="N464" s="930"/>
      <c r="O464" s="930"/>
      <c r="P464" s="930"/>
      <c r="Q464" s="930"/>
      <c r="R464" s="930"/>
      <c r="S464" s="930"/>
      <c r="T464" s="930"/>
      <c r="U464" s="930"/>
    </row>
    <row r="465" spans="1:31" ht="30.75" thickBot="1" x14ac:dyDescent="0.3">
      <c r="A465" s="134"/>
      <c r="B465" s="930"/>
      <c r="C465" s="923" t="s">
        <v>1383</v>
      </c>
      <c r="D465" s="1949" t="s">
        <v>1620</v>
      </c>
      <c r="E465" s="1950"/>
      <c r="F465" s="930"/>
      <c r="G465" s="930"/>
      <c r="H465" s="926" t="s">
        <v>1380</v>
      </c>
      <c r="I465" s="930"/>
      <c r="J465" s="926" t="s">
        <v>1381</v>
      </c>
      <c r="K465" s="930"/>
      <c r="L465" s="926" t="s">
        <v>1397</v>
      </c>
      <c r="M465" s="930"/>
      <c r="N465" s="926" t="s">
        <v>1382</v>
      </c>
      <c r="O465" s="930"/>
      <c r="P465" s="930"/>
      <c r="Q465" s="930"/>
      <c r="R465" s="926" t="s">
        <v>1487</v>
      </c>
      <c r="S465" s="930"/>
      <c r="T465" s="926" t="s">
        <v>1488</v>
      </c>
      <c r="U465" s="930"/>
      <c r="AE465" s="1956"/>
    </row>
    <row r="466" spans="1:31" ht="15.75" thickBot="1" x14ac:dyDescent="0.3">
      <c r="A466" s="965"/>
      <c r="B466" s="930"/>
      <c r="C466" s="918"/>
      <c r="D466" s="918"/>
      <c r="E466" s="918"/>
      <c r="F466" s="930"/>
      <c r="G466" s="930"/>
      <c r="H466" s="956"/>
      <c r="I466" s="930"/>
      <c r="J466" s="916"/>
      <c r="K466" s="930"/>
      <c r="L466" s="916"/>
      <c r="M466" s="930"/>
      <c r="N466" s="956"/>
      <c r="O466" s="930"/>
      <c r="P466" s="930"/>
      <c r="Q466" s="930"/>
      <c r="R466" s="954" t="s">
        <v>1602</v>
      </c>
      <c r="S466" s="930"/>
      <c r="T466" s="954"/>
      <c r="U466" s="930"/>
      <c r="AE466" s="1956"/>
    </row>
    <row r="467" spans="1:31" ht="30.75" thickBot="1" x14ac:dyDescent="0.3">
      <c r="A467" s="965"/>
      <c r="B467" s="930"/>
      <c r="C467" s="923" t="s">
        <v>1491</v>
      </c>
      <c r="D467" s="1951">
        <v>601</v>
      </c>
      <c r="E467" s="1952"/>
      <c r="F467" s="930"/>
      <c r="G467" s="930"/>
      <c r="H467" s="930"/>
      <c r="I467" s="930"/>
      <c r="J467" s="930"/>
      <c r="K467" s="930"/>
      <c r="L467" s="930"/>
      <c r="M467" s="930"/>
      <c r="N467" s="930"/>
      <c r="O467" s="930"/>
      <c r="P467" s="930"/>
      <c r="Q467" s="930"/>
      <c r="R467" s="930"/>
      <c r="S467" s="930"/>
      <c r="T467" s="930"/>
      <c r="U467" s="930"/>
    </row>
    <row r="468" spans="1:31" ht="15.75" thickBot="1" x14ac:dyDescent="0.3">
      <c r="A468" s="965"/>
      <c r="B468" s="930"/>
      <c r="C468" s="918"/>
      <c r="D468" s="918"/>
      <c r="E468" s="918"/>
      <c r="F468" s="930"/>
      <c r="G468" s="930"/>
      <c r="H468" s="925" t="s">
        <v>1396</v>
      </c>
      <c r="I468" s="930"/>
      <c r="J468" s="926" t="s">
        <v>1481</v>
      </c>
      <c r="K468" s="930"/>
      <c r="L468" s="926" t="s">
        <v>727</v>
      </c>
      <c r="M468" s="930"/>
      <c r="N468" s="1971" t="s">
        <v>1621</v>
      </c>
      <c r="O468" s="1971"/>
      <c r="P468" s="1971"/>
      <c r="Q468" s="930"/>
      <c r="R468" s="926" t="s">
        <v>1603</v>
      </c>
      <c r="S468" s="930"/>
      <c r="T468" s="926" t="s">
        <v>1604</v>
      </c>
      <c r="U468" s="930"/>
    </row>
    <row r="469" spans="1:31" ht="30.75" customHeight="1" thickBot="1" x14ac:dyDescent="0.3">
      <c r="A469" s="965"/>
      <c r="B469" s="930"/>
      <c r="C469" s="923" t="s">
        <v>1385</v>
      </c>
      <c r="D469" s="1953" t="str">
        <f>AA35</f>
        <v/>
      </c>
      <c r="E469" s="1954"/>
      <c r="F469" s="930"/>
      <c r="G469" s="930"/>
      <c r="H469" s="891"/>
      <c r="I469" s="930"/>
      <c r="J469" s="892">
        <v>1</v>
      </c>
      <c r="K469" s="930"/>
      <c r="L469" s="891"/>
      <c r="M469" s="930"/>
      <c r="N469" s="1972" t="s">
        <v>1622</v>
      </c>
      <c r="O469" s="1972"/>
      <c r="P469" s="1972"/>
      <c r="Q469" s="930"/>
      <c r="R469" s="954" t="s">
        <v>1610</v>
      </c>
      <c r="S469" s="930"/>
      <c r="T469" s="954" t="s">
        <v>395</v>
      </c>
      <c r="U469" s="930"/>
    </row>
    <row r="470" spans="1:31" ht="29.25" customHeight="1" thickBot="1" x14ac:dyDescent="0.3">
      <c r="A470" s="965"/>
      <c r="B470" s="930"/>
      <c r="C470" s="918"/>
      <c r="D470" s="911"/>
      <c r="E470" s="911"/>
      <c r="F470" s="930"/>
      <c r="G470" s="930"/>
      <c r="H470" s="930"/>
      <c r="I470" s="930"/>
      <c r="J470" s="892">
        <v>2</v>
      </c>
      <c r="K470" s="930"/>
      <c r="L470" s="891"/>
      <c r="M470" s="930"/>
      <c r="N470" s="1973" t="s">
        <v>1623</v>
      </c>
      <c r="O470" s="1973"/>
      <c r="P470" s="1973"/>
      <c r="Q470" s="930"/>
      <c r="R470" s="930"/>
      <c r="S470" s="930"/>
      <c r="T470" s="930"/>
      <c r="U470" s="930"/>
    </row>
    <row r="471" spans="1:31" ht="30.75" thickBot="1" x14ac:dyDescent="0.3">
      <c r="A471" s="965"/>
      <c r="B471" s="930"/>
      <c r="C471" s="923" t="s">
        <v>1386</v>
      </c>
      <c r="D471" s="1953" t="str">
        <f>AB35</f>
        <v/>
      </c>
      <c r="E471" s="1954"/>
      <c r="F471" s="930"/>
      <c r="G471" s="930"/>
      <c r="H471" s="925" t="s">
        <v>1492</v>
      </c>
      <c r="I471" s="930"/>
      <c r="J471" s="892">
        <v>3</v>
      </c>
      <c r="K471" s="930"/>
      <c r="L471" s="917"/>
      <c r="M471" s="930"/>
      <c r="N471" s="1973" t="s">
        <v>1624</v>
      </c>
      <c r="O471" s="1973"/>
      <c r="P471" s="1973"/>
      <c r="Q471" s="930"/>
      <c r="R471" s="930"/>
      <c r="S471" s="930"/>
      <c r="T471" s="926" t="s">
        <v>1599</v>
      </c>
      <c r="U471" s="930"/>
    </row>
    <row r="472" spans="1:31" ht="29.25" customHeight="1" thickBot="1" x14ac:dyDescent="0.3">
      <c r="A472" s="965"/>
      <c r="B472" s="930"/>
      <c r="C472" s="918"/>
      <c r="D472" s="918"/>
      <c r="E472" s="918"/>
      <c r="F472" s="930"/>
      <c r="G472" s="930"/>
      <c r="H472" s="912" t="s">
        <v>646</v>
      </c>
      <c r="I472" s="930"/>
      <c r="J472" s="892">
        <v>4</v>
      </c>
      <c r="K472" s="930"/>
      <c r="L472" s="917"/>
      <c r="M472" s="930"/>
      <c r="N472" s="1972" t="s">
        <v>1625</v>
      </c>
      <c r="O472" s="1972"/>
      <c r="P472" s="1972"/>
      <c r="Q472" s="930"/>
      <c r="R472" s="930"/>
      <c r="S472" s="930"/>
      <c r="T472" s="954" t="s">
        <v>648</v>
      </c>
      <c r="U472" s="930"/>
    </row>
    <row r="473" spans="1:31" ht="30.75" thickBot="1" x14ac:dyDescent="0.3">
      <c r="A473" s="965"/>
      <c r="B473" s="930"/>
      <c r="C473" s="924" t="s">
        <v>1495</v>
      </c>
      <c r="D473" s="1943" t="s">
        <v>646</v>
      </c>
      <c r="E473" s="1944"/>
      <c r="F473" s="930"/>
      <c r="G473" s="930"/>
      <c r="H473" s="930"/>
      <c r="I473" s="930"/>
      <c r="J473" s="892">
        <v>5</v>
      </c>
      <c r="K473" s="930"/>
      <c r="L473" s="917"/>
      <c r="M473" s="930"/>
      <c r="N473" s="1972" t="s">
        <v>1626</v>
      </c>
      <c r="O473" s="1972"/>
      <c r="P473" s="1972"/>
      <c r="Q473" s="930"/>
      <c r="R473" s="930"/>
      <c r="S473" s="930"/>
      <c r="T473" s="930"/>
      <c r="U473" s="930"/>
    </row>
    <row r="474" spans="1:31" ht="15.75" thickBot="1" x14ac:dyDescent="0.3">
      <c r="A474" s="965"/>
      <c r="B474" s="930"/>
      <c r="C474" s="918"/>
      <c r="D474" s="918"/>
      <c r="E474" s="918"/>
      <c r="F474" s="930"/>
      <c r="G474" s="930"/>
      <c r="H474" s="930"/>
      <c r="I474" s="930"/>
      <c r="J474" s="930"/>
      <c r="K474" s="930"/>
      <c r="L474" s="930"/>
      <c r="M474" s="930"/>
      <c r="N474" s="930"/>
      <c r="O474" s="930"/>
      <c r="P474" s="930"/>
      <c r="Q474" s="930"/>
      <c r="R474" s="930"/>
      <c r="S474" s="930"/>
      <c r="T474" s="926" t="s">
        <v>523</v>
      </c>
      <c r="U474" s="930"/>
    </row>
    <row r="475" spans="1:31" ht="15.75" thickBot="1" x14ac:dyDescent="0.3">
      <c r="A475" s="965"/>
      <c r="B475" s="930"/>
      <c r="C475" s="923" t="s">
        <v>1496</v>
      </c>
      <c r="D475" s="1951" t="s">
        <v>1606</v>
      </c>
      <c r="E475" s="1936"/>
      <c r="F475" s="930"/>
      <c r="G475" s="930"/>
      <c r="H475" s="930"/>
      <c r="I475" s="930"/>
      <c r="J475" s="930"/>
      <c r="K475" s="930"/>
      <c r="L475" s="930"/>
      <c r="M475" s="930"/>
      <c r="N475" s="930"/>
      <c r="O475" s="930"/>
      <c r="P475" s="930"/>
      <c r="Q475" s="930"/>
      <c r="R475" s="930"/>
      <c r="S475" s="930"/>
      <c r="T475" s="954" t="str">
        <f>IF(Z35&lt;&gt;"","Yes","No")</f>
        <v>No</v>
      </c>
      <c r="U475" s="930"/>
    </row>
    <row r="476" spans="1:31" ht="15.75" thickBot="1" x14ac:dyDescent="0.3">
      <c r="A476" s="965"/>
      <c r="B476" s="930"/>
      <c r="C476" s="930"/>
      <c r="D476" s="930"/>
      <c r="E476" s="930"/>
      <c r="F476" s="930"/>
      <c r="G476" s="930"/>
      <c r="H476" s="930"/>
      <c r="I476" s="930"/>
      <c r="J476" s="930"/>
      <c r="K476" s="930"/>
      <c r="L476" s="930"/>
      <c r="M476" s="930"/>
      <c r="N476" s="930"/>
      <c r="O476" s="930"/>
      <c r="P476" s="930"/>
      <c r="Q476" s="930"/>
      <c r="R476" s="930"/>
      <c r="S476" s="930"/>
      <c r="T476" s="930"/>
      <c r="U476" s="930"/>
    </row>
    <row r="477" spans="1:31" ht="21" customHeight="1" thickBot="1" x14ac:dyDescent="0.3">
      <c r="A477" s="965"/>
      <c r="B477" s="1948" t="s">
        <v>1627</v>
      </c>
      <c r="C477" s="1935"/>
      <c r="D477" s="1935"/>
      <c r="E477" s="1935"/>
      <c r="F477" s="1935"/>
      <c r="G477" s="1935"/>
      <c r="H477" s="1935"/>
      <c r="I477" s="1935"/>
      <c r="J477" s="1935"/>
      <c r="K477" s="1935"/>
      <c r="L477" s="1935"/>
      <c r="M477" s="1935"/>
      <c r="N477" s="1935"/>
      <c r="O477" s="1935"/>
      <c r="P477" s="1935"/>
      <c r="Q477" s="1935"/>
      <c r="R477" s="1935"/>
      <c r="S477" s="1935"/>
      <c r="T477" s="1935"/>
      <c r="U477" s="1936"/>
    </row>
    <row r="478" spans="1:31" ht="15.75" thickBot="1" x14ac:dyDescent="0.3">
      <c r="A478" s="965"/>
      <c r="B478" s="930"/>
      <c r="C478" s="930"/>
      <c r="D478" s="930"/>
      <c r="E478" s="930"/>
      <c r="F478" s="930"/>
      <c r="G478" s="930"/>
      <c r="H478" s="930"/>
      <c r="I478" s="930"/>
      <c r="J478" s="930"/>
      <c r="K478" s="930"/>
      <c r="L478" s="930"/>
      <c r="M478" s="930"/>
      <c r="N478" s="930"/>
      <c r="O478" s="930"/>
      <c r="P478" s="930"/>
      <c r="Q478" s="930"/>
      <c r="R478" s="930"/>
      <c r="S478" s="930"/>
      <c r="T478" s="930"/>
      <c r="U478" s="930"/>
    </row>
    <row r="479" spans="1:31" ht="30.75" thickBot="1" x14ac:dyDescent="0.3">
      <c r="A479" s="134"/>
      <c r="B479" s="930"/>
      <c r="C479" s="923" t="s">
        <v>1383</v>
      </c>
      <c r="D479" s="1949" t="s">
        <v>1620</v>
      </c>
      <c r="E479" s="1950"/>
      <c r="F479" s="930"/>
      <c r="G479" s="930"/>
      <c r="H479" s="926" t="s">
        <v>1380</v>
      </c>
      <c r="I479" s="930"/>
      <c r="J479" s="926" t="s">
        <v>1381</v>
      </c>
      <c r="K479" s="930"/>
      <c r="L479" s="926" t="s">
        <v>1397</v>
      </c>
      <c r="M479" s="930"/>
      <c r="N479" s="926" t="s">
        <v>1382</v>
      </c>
      <c r="O479" s="930"/>
      <c r="P479" s="930"/>
      <c r="Q479" s="930"/>
      <c r="R479" s="926" t="s">
        <v>1487</v>
      </c>
      <c r="S479" s="930"/>
      <c r="T479" s="926" t="s">
        <v>1488</v>
      </c>
      <c r="U479" s="930"/>
      <c r="AE479" s="1956"/>
    </row>
    <row r="480" spans="1:31" ht="15.75" thickBot="1" x14ac:dyDescent="0.3">
      <c r="A480" s="965"/>
      <c r="B480" s="930"/>
      <c r="C480" s="918"/>
      <c r="D480" s="918"/>
      <c r="E480" s="918"/>
      <c r="F480" s="930"/>
      <c r="G480" s="930"/>
      <c r="H480" s="956"/>
      <c r="I480" s="930"/>
      <c r="J480" s="916"/>
      <c r="K480" s="930"/>
      <c r="L480" s="916"/>
      <c r="M480" s="930"/>
      <c r="N480" s="956"/>
      <c r="O480" s="930"/>
      <c r="P480" s="930"/>
      <c r="Q480" s="930"/>
      <c r="R480" s="954" t="s">
        <v>1602</v>
      </c>
      <c r="S480" s="930"/>
      <c r="T480" s="954"/>
      <c r="U480" s="930"/>
      <c r="AE480" s="1956"/>
    </row>
    <row r="481" spans="1:31" ht="30.75" thickBot="1" x14ac:dyDescent="0.3">
      <c r="A481" s="965"/>
      <c r="B481" s="930"/>
      <c r="C481" s="923" t="s">
        <v>1491</v>
      </c>
      <c r="D481" s="1951">
        <v>602</v>
      </c>
      <c r="E481" s="1952"/>
      <c r="F481" s="930"/>
      <c r="G481" s="930"/>
      <c r="H481" s="930"/>
      <c r="I481" s="930"/>
      <c r="J481" s="930"/>
      <c r="K481" s="930"/>
      <c r="L481" s="930"/>
      <c r="M481" s="930"/>
      <c r="N481" s="930"/>
      <c r="O481" s="930"/>
      <c r="P481" s="930"/>
      <c r="Q481" s="930"/>
      <c r="R481" s="930"/>
      <c r="S481" s="930"/>
      <c r="T481" s="930"/>
      <c r="U481" s="930"/>
    </row>
    <row r="482" spans="1:31" ht="15.75" thickBot="1" x14ac:dyDescent="0.3">
      <c r="A482" s="965"/>
      <c r="B482" s="930"/>
      <c r="C482" s="918"/>
      <c r="D482" s="918"/>
      <c r="E482" s="918"/>
      <c r="F482" s="930"/>
      <c r="G482" s="930"/>
      <c r="H482" s="925" t="s">
        <v>1396</v>
      </c>
      <c r="I482" s="930"/>
      <c r="J482" s="926" t="s">
        <v>1481</v>
      </c>
      <c r="K482" s="930"/>
      <c r="L482" s="926" t="s">
        <v>727</v>
      </c>
      <c r="M482" s="930"/>
      <c r="N482" s="1971" t="s">
        <v>1621</v>
      </c>
      <c r="O482" s="1971"/>
      <c r="P482" s="1971"/>
      <c r="Q482" s="930"/>
      <c r="R482" s="926" t="s">
        <v>1603</v>
      </c>
      <c r="S482" s="930"/>
      <c r="T482" s="926" t="s">
        <v>1604</v>
      </c>
      <c r="U482" s="930"/>
    </row>
    <row r="483" spans="1:31" ht="30.75" customHeight="1" thickBot="1" x14ac:dyDescent="0.3">
      <c r="A483" s="965"/>
      <c r="B483" s="930"/>
      <c r="C483" s="923" t="s">
        <v>1385</v>
      </c>
      <c r="D483" s="1953" t="str">
        <f>AA36</f>
        <v/>
      </c>
      <c r="E483" s="1954"/>
      <c r="F483" s="930"/>
      <c r="G483" s="930"/>
      <c r="H483" s="953"/>
      <c r="I483" s="930"/>
      <c r="J483" s="892">
        <v>1</v>
      </c>
      <c r="K483" s="930"/>
      <c r="L483" s="917"/>
      <c r="M483" s="930"/>
      <c r="N483" s="1972" t="s">
        <v>1622</v>
      </c>
      <c r="O483" s="1972"/>
      <c r="P483" s="1972"/>
      <c r="Q483" s="930"/>
      <c r="R483" s="954" t="s">
        <v>1610</v>
      </c>
      <c r="S483" s="930"/>
      <c r="T483" s="954" t="s">
        <v>395</v>
      </c>
      <c r="U483" s="930"/>
    </row>
    <row r="484" spans="1:31" ht="30.75" customHeight="1" thickBot="1" x14ac:dyDescent="0.3">
      <c r="A484" s="965"/>
      <c r="B484" s="930"/>
      <c r="C484" s="918"/>
      <c r="D484" s="911"/>
      <c r="E484" s="911"/>
      <c r="F484" s="930"/>
      <c r="G484" s="930"/>
      <c r="H484" s="930"/>
      <c r="I484" s="930"/>
      <c r="J484" s="892">
        <v>2</v>
      </c>
      <c r="K484" s="930"/>
      <c r="L484" s="917"/>
      <c r="M484" s="930"/>
      <c r="N484" s="1972" t="s">
        <v>1623</v>
      </c>
      <c r="O484" s="1972"/>
      <c r="P484" s="1972"/>
      <c r="Q484" s="930"/>
      <c r="R484" s="930"/>
      <c r="S484" s="930"/>
      <c r="T484" s="930"/>
      <c r="U484" s="930"/>
    </row>
    <row r="485" spans="1:31" ht="30.75" thickBot="1" x14ac:dyDescent="0.3">
      <c r="A485" s="965"/>
      <c r="B485" s="930"/>
      <c r="C485" s="923" t="s">
        <v>1386</v>
      </c>
      <c r="D485" s="1953" t="str">
        <f>AB36</f>
        <v/>
      </c>
      <c r="E485" s="1954"/>
      <c r="F485" s="930"/>
      <c r="G485" s="930"/>
      <c r="H485" s="925" t="s">
        <v>1492</v>
      </c>
      <c r="I485" s="930"/>
      <c r="J485" s="892">
        <v>3</v>
      </c>
      <c r="K485" s="930"/>
      <c r="L485" s="917"/>
      <c r="M485" s="930"/>
      <c r="N485" s="1972" t="s">
        <v>1624</v>
      </c>
      <c r="O485" s="1972"/>
      <c r="P485" s="1972"/>
      <c r="Q485" s="930"/>
      <c r="R485" s="930"/>
      <c r="S485" s="930"/>
      <c r="T485" s="926" t="s">
        <v>1599</v>
      </c>
      <c r="U485" s="930"/>
    </row>
    <row r="486" spans="1:31" ht="30" customHeight="1" thickBot="1" x14ac:dyDescent="0.3">
      <c r="A486" s="965"/>
      <c r="B486" s="930"/>
      <c r="C486" s="918"/>
      <c r="D486" s="918"/>
      <c r="E486" s="918"/>
      <c r="F486" s="930"/>
      <c r="G486" s="930"/>
      <c r="H486" s="912" t="s">
        <v>646</v>
      </c>
      <c r="I486" s="930"/>
      <c r="J486" s="892">
        <v>4</v>
      </c>
      <c r="K486" s="930"/>
      <c r="L486" s="917"/>
      <c r="M486" s="930"/>
      <c r="N486" s="1972" t="s">
        <v>1625</v>
      </c>
      <c r="O486" s="1972"/>
      <c r="P486" s="1972"/>
      <c r="Q486" s="930"/>
      <c r="R486" s="930"/>
      <c r="S486" s="930"/>
      <c r="T486" s="954" t="s">
        <v>648</v>
      </c>
      <c r="U486" s="930"/>
    </row>
    <row r="487" spans="1:31" ht="30.75" thickBot="1" x14ac:dyDescent="0.3">
      <c r="A487" s="965"/>
      <c r="B487" s="930"/>
      <c r="C487" s="924" t="s">
        <v>1495</v>
      </c>
      <c r="D487" s="1943" t="s">
        <v>646</v>
      </c>
      <c r="E487" s="1944"/>
      <c r="F487" s="930"/>
      <c r="G487" s="930"/>
      <c r="H487" s="930"/>
      <c r="I487" s="930"/>
      <c r="J487" s="892">
        <v>5</v>
      </c>
      <c r="K487" s="930"/>
      <c r="L487" s="917"/>
      <c r="M487" s="930"/>
      <c r="N487" s="1972" t="s">
        <v>1626</v>
      </c>
      <c r="O487" s="1972"/>
      <c r="P487" s="1972"/>
      <c r="Q487" s="930"/>
      <c r="R487" s="930"/>
      <c r="S487" s="930"/>
      <c r="T487" s="930"/>
      <c r="U487" s="930"/>
    </row>
    <row r="488" spans="1:31" ht="15.75" thickBot="1" x14ac:dyDescent="0.3">
      <c r="A488" s="965"/>
      <c r="B488" s="930"/>
      <c r="C488" s="918"/>
      <c r="D488" s="918"/>
      <c r="E488" s="918"/>
      <c r="F488" s="930"/>
      <c r="G488" s="930"/>
      <c r="H488" s="930"/>
      <c r="I488" s="930"/>
      <c r="J488" s="930"/>
      <c r="K488" s="930"/>
      <c r="L488" s="930"/>
      <c r="M488" s="930"/>
      <c r="N488" s="930"/>
      <c r="O488" s="930"/>
      <c r="P488" s="930"/>
      <c r="Q488" s="930"/>
      <c r="R488" s="930"/>
      <c r="S488" s="930"/>
      <c r="T488" s="926" t="s">
        <v>523</v>
      </c>
      <c r="U488" s="930"/>
    </row>
    <row r="489" spans="1:31" ht="18" customHeight="1" thickBot="1" x14ac:dyDescent="0.3">
      <c r="A489" s="965"/>
      <c r="B489" s="930"/>
      <c r="C489" s="923" t="s">
        <v>1496</v>
      </c>
      <c r="D489" s="1951" t="s">
        <v>1606</v>
      </c>
      <c r="E489" s="1936"/>
      <c r="F489" s="930"/>
      <c r="G489" s="930"/>
      <c r="H489" s="930"/>
      <c r="I489" s="930"/>
      <c r="J489" s="930"/>
      <c r="K489" s="930"/>
      <c r="L489" s="930"/>
      <c r="M489" s="930"/>
      <c r="N489" s="930"/>
      <c r="O489" s="930"/>
      <c r="P489" s="930"/>
      <c r="Q489" s="930"/>
      <c r="R489" s="930"/>
      <c r="S489" s="930"/>
      <c r="T489" s="954" t="str">
        <f>IF(Z36&lt;&gt;"","Yes","No")</f>
        <v>No</v>
      </c>
      <c r="U489" s="930"/>
    </row>
    <row r="490" spans="1:31" ht="15.75" thickBot="1" x14ac:dyDescent="0.3">
      <c r="A490" s="965"/>
      <c r="B490" s="930"/>
      <c r="C490" s="930"/>
      <c r="D490" s="930"/>
      <c r="E490" s="930"/>
      <c r="F490" s="930"/>
      <c r="G490" s="930"/>
      <c r="H490" s="930"/>
      <c r="I490" s="930"/>
      <c r="J490" s="930"/>
      <c r="K490" s="930"/>
      <c r="L490" s="930"/>
      <c r="M490" s="930"/>
      <c r="N490" s="930"/>
      <c r="O490" s="930"/>
      <c r="P490" s="930"/>
      <c r="Q490" s="930"/>
      <c r="R490" s="930"/>
      <c r="S490" s="930"/>
      <c r="T490" s="930"/>
      <c r="U490" s="930"/>
    </row>
    <row r="491" spans="1:31" ht="20.25" customHeight="1" thickBot="1" x14ac:dyDescent="0.3">
      <c r="A491" s="965"/>
      <c r="B491" s="1948" t="s">
        <v>1628</v>
      </c>
      <c r="C491" s="1935"/>
      <c r="D491" s="1935"/>
      <c r="E491" s="1935"/>
      <c r="F491" s="1935"/>
      <c r="G491" s="1935"/>
      <c r="H491" s="1935"/>
      <c r="I491" s="1935"/>
      <c r="J491" s="1935"/>
      <c r="K491" s="1935"/>
      <c r="L491" s="1935"/>
      <c r="M491" s="1935"/>
      <c r="N491" s="1935"/>
      <c r="O491" s="1935"/>
      <c r="P491" s="1935"/>
      <c r="Q491" s="1935"/>
      <c r="R491" s="1935"/>
      <c r="S491" s="1935"/>
      <c r="T491" s="1935"/>
      <c r="U491" s="1936"/>
    </row>
    <row r="492" spans="1:31" ht="15.75" thickBot="1" x14ac:dyDescent="0.3">
      <c r="A492" s="134"/>
      <c r="B492" s="930"/>
      <c r="C492" s="930"/>
      <c r="D492" s="930"/>
      <c r="E492" s="930"/>
      <c r="F492" s="930"/>
      <c r="G492" s="930"/>
      <c r="H492" s="930"/>
      <c r="I492" s="930"/>
      <c r="J492" s="930"/>
      <c r="K492" s="930"/>
      <c r="L492" s="930"/>
      <c r="M492" s="930"/>
      <c r="N492" s="930"/>
      <c r="O492" s="930"/>
      <c r="P492" s="930"/>
      <c r="Q492" s="930"/>
      <c r="R492" s="930"/>
      <c r="S492" s="930"/>
      <c r="T492" s="930"/>
      <c r="U492" s="930"/>
    </row>
    <row r="493" spans="1:31" ht="15.75" thickBot="1" x14ac:dyDescent="0.3">
      <c r="A493" s="965"/>
      <c r="B493" s="930"/>
      <c r="C493" s="923" t="s">
        <v>1383</v>
      </c>
      <c r="D493" s="1949" t="s">
        <v>1629</v>
      </c>
      <c r="E493" s="1950"/>
      <c r="F493" s="930"/>
      <c r="G493" s="930"/>
      <c r="H493" s="930"/>
      <c r="I493" s="930"/>
      <c r="J493" s="926" t="s">
        <v>1381</v>
      </c>
      <c r="K493" s="930"/>
      <c r="L493" s="926" t="s">
        <v>1397</v>
      </c>
      <c r="M493" s="930"/>
      <c r="N493" s="930"/>
      <c r="O493" s="930"/>
      <c r="P493" s="930"/>
      <c r="Q493" s="930"/>
      <c r="R493" s="930"/>
      <c r="S493" s="930"/>
      <c r="T493" s="930"/>
      <c r="U493" s="930"/>
      <c r="AE493" s="1956"/>
    </row>
    <row r="494" spans="1:31" ht="15.75" thickBot="1" x14ac:dyDescent="0.3">
      <c r="A494" s="965"/>
      <c r="B494" s="930"/>
      <c r="C494" s="918"/>
      <c r="D494" s="918"/>
      <c r="E494" s="918"/>
      <c r="F494" s="930"/>
      <c r="G494" s="930"/>
      <c r="H494" s="930"/>
      <c r="I494" s="930"/>
      <c r="J494" s="916"/>
      <c r="K494" s="930"/>
      <c r="L494" s="916"/>
      <c r="M494" s="930"/>
      <c r="N494" s="930"/>
      <c r="O494" s="930"/>
      <c r="P494" s="930"/>
      <c r="Q494" s="930"/>
      <c r="R494" s="930"/>
      <c r="S494" s="930"/>
      <c r="T494" s="930"/>
      <c r="U494" s="930"/>
      <c r="AE494" s="1956"/>
    </row>
    <row r="495" spans="1:31" ht="30.75" thickBot="1" x14ac:dyDescent="0.3">
      <c r="A495" s="965"/>
      <c r="B495" s="930"/>
      <c r="C495" s="923" t="s">
        <v>1491</v>
      </c>
      <c r="D495" s="1951">
        <v>1001</v>
      </c>
      <c r="E495" s="1952"/>
      <c r="F495" s="930"/>
      <c r="G495" s="930"/>
      <c r="H495" s="930"/>
      <c r="I495" s="930"/>
      <c r="J495" s="930"/>
      <c r="K495" s="930"/>
      <c r="L495" s="930"/>
      <c r="M495" s="930"/>
      <c r="N495" s="930"/>
      <c r="O495" s="930"/>
      <c r="P495" s="930"/>
      <c r="Q495" s="930"/>
      <c r="R495" s="930"/>
      <c r="S495" s="930"/>
      <c r="T495" s="930"/>
      <c r="U495" s="930"/>
    </row>
    <row r="496" spans="1:31" ht="15.75" thickBot="1" x14ac:dyDescent="0.3">
      <c r="A496" s="965"/>
      <c r="B496" s="930"/>
      <c r="C496" s="918"/>
      <c r="D496" s="918"/>
      <c r="E496" s="918"/>
      <c r="F496" s="930"/>
      <c r="G496" s="930"/>
      <c r="H496" s="930"/>
      <c r="I496" s="930"/>
      <c r="J496" s="930"/>
      <c r="K496" s="930"/>
      <c r="L496" s="926" t="s">
        <v>1389</v>
      </c>
      <c r="M496" s="930"/>
      <c r="N496" s="930"/>
      <c r="O496" s="930"/>
      <c r="P496" s="930"/>
      <c r="Q496" s="930"/>
      <c r="R496" s="930"/>
      <c r="S496" s="930"/>
      <c r="T496" s="926" t="s">
        <v>1599</v>
      </c>
      <c r="U496" s="930"/>
    </row>
    <row r="497" spans="1:21" ht="15.75" thickBot="1" x14ac:dyDescent="0.3">
      <c r="A497" s="965"/>
      <c r="B497" s="930"/>
      <c r="C497" s="923" t="s">
        <v>1385</v>
      </c>
      <c r="D497" s="1953" t="str">
        <f>AA37</f>
        <v/>
      </c>
      <c r="E497" s="1954"/>
      <c r="F497" s="930"/>
      <c r="G497" s="930"/>
      <c r="H497" s="930"/>
      <c r="I497" s="930"/>
      <c r="J497" s="930"/>
      <c r="K497" s="930"/>
      <c r="L497" s="891"/>
      <c r="M497" s="930"/>
      <c r="N497" s="930"/>
      <c r="O497" s="930"/>
      <c r="P497" s="930"/>
      <c r="Q497" s="930"/>
      <c r="R497" s="930"/>
      <c r="S497" s="930"/>
      <c r="T497" s="954" t="s">
        <v>648</v>
      </c>
      <c r="U497" s="930"/>
    </row>
    <row r="498" spans="1:21" ht="15.75" thickBot="1" x14ac:dyDescent="0.3">
      <c r="A498" s="965"/>
      <c r="B498" s="930"/>
      <c r="C498" s="918"/>
      <c r="D498" s="911"/>
      <c r="E498" s="911"/>
      <c r="F498" s="930"/>
      <c r="G498" s="930"/>
      <c r="H498" s="930"/>
      <c r="I498" s="930"/>
      <c r="J498" s="930"/>
      <c r="K498" s="930"/>
      <c r="L498" s="930"/>
      <c r="M498" s="930"/>
      <c r="N498" s="930"/>
      <c r="O498" s="930"/>
      <c r="P498" s="930"/>
      <c r="Q498" s="930"/>
      <c r="R498" s="930"/>
      <c r="S498" s="930"/>
      <c r="T498" s="930"/>
      <c r="U498" s="930"/>
    </row>
    <row r="499" spans="1:21" ht="15.75" thickBot="1" x14ac:dyDescent="0.3">
      <c r="A499" s="965"/>
      <c r="B499" s="930"/>
      <c r="C499" s="923" t="s">
        <v>1386</v>
      </c>
      <c r="D499" s="1953" t="str">
        <f>AB37</f>
        <v/>
      </c>
      <c r="E499" s="1954"/>
      <c r="F499" s="930"/>
      <c r="G499" s="930"/>
      <c r="H499" s="930"/>
      <c r="I499" s="930"/>
      <c r="J499" s="930"/>
      <c r="K499" s="930"/>
      <c r="L499" s="930"/>
      <c r="M499" s="930"/>
      <c r="N499" s="930"/>
      <c r="O499" s="930"/>
      <c r="P499" s="930"/>
      <c r="Q499" s="930"/>
      <c r="R499" s="930"/>
      <c r="S499" s="930"/>
      <c r="T499" s="930"/>
      <c r="U499" s="930"/>
    </row>
    <row r="500" spans="1:21" ht="15.75" thickBot="1" x14ac:dyDescent="0.3">
      <c r="A500" s="965"/>
      <c r="B500" s="930"/>
      <c r="C500" s="918"/>
      <c r="D500" s="918"/>
      <c r="E500" s="918"/>
      <c r="F500" s="930"/>
      <c r="G500" s="930"/>
      <c r="H500" s="930"/>
      <c r="I500" s="930"/>
      <c r="J500" s="930"/>
      <c r="K500" s="930"/>
      <c r="L500" s="930"/>
      <c r="M500" s="930"/>
      <c r="N500" s="930"/>
      <c r="O500" s="930"/>
      <c r="P500" s="930"/>
      <c r="Q500" s="930"/>
      <c r="R500" s="930"/>
      <c r="S500" s="930"/>
      <c r="T500" s="926" t="s">
        <v>523</v>
      </c>
      <c r="U500" s="930"/>
    </row>
    <row r="501" spans="1:21" ht="30" customHeight="1" thickBot="1" x14ac:dyDescent="0.3">
      <c r="A501" s="965"/>
      <c r="B501" s="930"/>
      <c r="C501" s="924" t="s">
        <v>1495</v>
      </c>
      <c r="D501" s="1943" t="s">
        <v>646</v>
      </c>
      <c r="E501" s="1944"/>
      <c r="F501" s="930"/>
      <c r="G501" s="930"/>
      <c r="H501" s="930"/>
      <c r="I501" s="930"/>
      <c r="J501" s="930"/>
      <c r="K501" s="930"/>
      <c r="L501" s="930"/>
      <c r="M501" s="930"/>
      <c r="N501" s="930"/>
      <c r="O501" s="930"/>
      <c r="P501" s="930"/>
      <c r="Q501" s="930"/>
      <c r="R501" s="930"/>
      <c r="S501" s="930"/>
      <c r="T501" s="954" t="str">
        <f>IF(Z37&lt;&gt;"","Yes","No")</f>
        <v>No</v>
      </c>
      <c r="U501" s="930"/>
    </row>
    <row r="502" spans="1:21" ht="15.75" thickBot="1" x14ac:dyDescent="0.3">
      <c r="A502" s="965"/>
      <c r="B502" s="930"/>
      <c r="C502" s="930"/>
      <c r="D502" s="930"/>
      <c r="E502" s="930"/>
      <c r="F502" s="930"/>
      <c r="G502" s="930"/>
      <c r="H502" s="930"/>
      <c r="I502" s="930"/>
      <c r="J502" s="930"/>
      <c r="K502" s="930"/>
      <c r="L502" s="930"/>
      <c r="M502" s="930"/>
      <c r="N502" s="930"/>
      <c r="O502" s="930"/>
      <c r="P502" s="930"/>
      <c r="Q502" s="930"/>
      <c r="R502" s="930"/>
      <c r="S502" s="930"/>
      <c r="T502" s="930"/>
      <c r="U502" s="930"/>
    </row>
    <row r="503" spans="1:21" ht="15.75" thickBot="1" x14ac:dyDescent="0.3">
      <c r="A503" s="543"/>
      <c r="B503" s="1948" t="s">
        <v>2008</v>
      </c>
      <c r="C503" s="1935"/>
      <c r="D503" s="1935"/>
      <c r="E503" s="1935"/>
      <c r="F503" s="1935"/>
      <c r="G503" s="1935"/>
      <c r="H503" s="1935"/>
      <c r="I503" s="1935"/>
      <c r="J503" s="1935"/>
      <c r="K503" s="1935"/>
      <c r="L503" s="1935"/>
      <c r="M503" s="1935"/>
      <c r="N503" s="1935"/>
      <c r="O503" s="1935"/>
      <c r="P503" s="1935"/>
      <c r="Q503" s="1935"/>
      <c r="R503" s="1935"/>
      <c r="S503" s="1935"/>
      <c r="T503" s="1935"/>
      <c r="U503" s="1936"/>
    </row>
    <row r="504" spans="1:21" ht="15.75" thickBot="1" x14ac:dyDescent="0.3">
      <c r="A504" s="543"/>
      <c r="B504" s="930"/>
      <c r="C504" s="930"/>
      <c r="D504" s="930"/>
      <c r="E504" s="930"/>
      <c r="F504" s="930"/>
      <c r="G504" s="930"/>
      <c r="H504" s="930"/>
      <c r="I504" s="930"/>
      <c r="J504" s="930"/>
      <c r="K504" s="930"/>
      <c r="L504" s="930"/>
      <c r="M504" s="930"/>
      <c r="N504" s="930"/>
      <c r="O504" s="930"/>
      <c r="P504" s="930"/>
      <c r="Q504" s="930"/>
      <c r="R504" s="930"/>
      <c r="S504" s="930"/>
      <c r="T504" s="930"/>
      <c r="U504" s="930"/>
    </row>
    <row r="505" spans="1:21" ht="30.75" thickBot="1" x14ac:dyDescent="0.3">
      <c r="A505" s="543"/>
      <c r="B505" s="930"/>
      <c r="C505" s="923" t="s">
        <v>1383</v>
      </c>
      <c r="D505" s="1949" t="s">
        <v>1775</v>
      </c>
      <c r="E505" s="1950"/>
      <c r="F505" s="930"/>
      <c r="G505" s="930"/>
      <c r="H505" s="926" t="s">
        <v>1380</v>
      </c>
      <c r="I505" s="930"/>
      <c r="J505" s="926" t="s">
        <v>1381</v>
      </c>
      <c r="K505" s="930"/>
      <c r="L505" s="926" t="s">
        <v>1397</v>
      </c>
      <c r="M505" s="930"/>
      <c r="N505" s="926" t="s">
        <v>1382</v>
      </c>
      <c r="O505" s="930"/>
      <c r="P505" s="930"/>
      <c r="Q505" s="930"/>
      <c r="R505" s="926" t="s">
        <v>1487</v>
      </c>
      <c r="S505" s="930"/>
      <c r="T505" s="926" t="s">
        <v>1488</v>
      </c>
      <c r="U505" s="930"/>
    </row>
    <row r="506" spans="1:21" ht="15.75" thickBot="1" x14ac:dyDescent="0.3">
      <c r="A506" s="543"/>
      <c r="B506" s="930"/>
      <c r="C506" s="918"/>
      <c r="D506" s="918"/>
      <c r="E506" s="918"/>
      <c r="F506" s="930"/>
      <c r="G506" s="930"/>
      <c r="H506" s="956" t="str">
        <f>IF(T515="Yes",Incentives!G227,"")</f>
        <v/>
      </c>
      <c r="I506" s="930"/>
      <c r="J506" s="916" t="str">
        <f>IF(T515="Yes",Incentives!I227,"")</f>
        <v/>
      </c>
      <c r="K506" s="930"/>
      <c r="L506" s="1330" t="str">
        <f>IF(T515="Yes",Incentives!K227,"")</f>
        <v/>
      </c>
      <c r="M506" s="930"/>
      <c r="N506" s="1352" t="str">
        <f>IF(AND(Incentives!M227&lt;&gt;"",T515="Yes"),Incentives!M227,"")</f>
        <v/>
      </c>
      <c r="O506" s="930"/>
      <c r="P506" s="930"/>
      <c r="Q506" s="930"/>
      <c r="R506" s="1297" t="s">
        <v>1602</v>
      </c>
      <c r="S506" s="930"/>
      <c r="T506" s="1297" t="s">
        <v>646</v>
      </c>
      <c r="U506" s="930"/>
    </row>
    <row r="507" spans="1:21" ht="30.75" thickBot="1" x14ac:dyDescent="0.3">
      <c r="A507" s="543"/>
      <c r="B507" s="930"/>
      <c r="C507" s="923" t="s">
        <v>1491</v>
      </c>
      <c r="D507" s="1951">
        <v>5301</v>
      </c>
      <c r="E507" s="1952"/>
      <c r="F507" s="930"/>
      <c r="G507" s="930"/>
      <c r="H507" s="930"/>
      <c r="I507" s="930"/>
      <c r="J507" s="930"/>
      <c r="K507" s="930"/>
      <c r="L507" s="930"/>
      <c r="M507" s="930"/>
      <c r="N507" s="930"/>
      <c r="O507" s="930"/>
      <c r="P507" s="930"/>
      <c r="Q507" s="930"/>
      <c r="R507" s="930"/>
      <c r="S507" s="930"/>
      <c r="T507" s="930"/>
      <c r="U507" s="930"/>
    </row>
    <row r="508" spans="1:21" ht="15.75" thickBot="1" x14ac:dyDescent="0.3">
      <c r="A508" s="543"/>
      <c r="B508" s="930"/>
      <c r="C508" s="918"/>
      <c r="D508" s="918"/>
      <c r="E508" s="918"/>
      <c r="F508" s="930"/>
      <c r="G508" s="930"/>
      <c r="H508" s="1326" t="s">
        <v>1396</v>
      </c>
      <c r="I508" s="930"/>
      <c r="J508" s="930"/>
      <c r="K508" s="930"/>
      <c r="L508" s="930"/>
      <c r="M508" s="930"/>
      <c r="N508" s="930"/>
      <c r="O508" s="930"/>
      <c r="P508" s="930"/>
      <c r="Q508" s="930"/>
      <c r="R508" s="926" t="s">
        <v>1603</v>
      </c>
      <c r="S508" s="930"/>
      <c r="T508" s="926" t="s">
        <v>1604</v>
      </c>
      <c r="U508" s="930"/>
    </row>
    <row r="509" spans="1:21" ht="15.75" thickBot="1" x14ac:dyDescent="0.3">
      <c r="A509" s="543"/>
      <c r="B509" s="930"/>
      <c r="C509" s="923" t="s">
        <v>1385</v>
      </c>
      <c r="D509" s="1953" t="str">
        <f>IF(T515="Yes",Incentives!E229,"")</f>
        <v/>
      </c>
      <c r="E509" s="1954"/>
      <c r="F509" s="930"/>
      <c r="G509" s="930"/>
      <c r="H509" s="1300" t="str">
        <f>IF(T515="Yes",Incentives!G230,"")</f>
        <v/>
      </c>
      <c r="I509" s="930"/>
      <c r="J509" s="930"/>
      <c r="K509" s="930"/>
      <c r="L509" s="930"/>
      <c r="M509" s="930"/>
      <c r="N509" s="930"/>
      <c r="O509" s="930"/>
      <c r="P509" s="930"/>
      <c r="Q509" s="930"/>
      <c r="R509" s="1297" t="s">
        <v>1610</v>
      </c>
      <c r="S509" s="930"/>
      <c r="T509" s="1297" t="s">
        <v>395</v>
      </c>
      <c r="U509" s="930"/>
    </row>
    <row r="510" spans="1:21" ht="15.75" thickBot="1" x14ac:dyDescent="0.3">
      <c r="A510" s="543"/>
      <c r="B510" s="930"/>
      <c r="C510" s="918"/>
      <c r="D510" s="918"/>
      <c r="E510" s="918"/>
      <c r="F510" s="930"/>
      <c r="G510" s="930"/>
      <c r="H510" s="930"/>
      <c r="I510" s="930"/>
      <c r="J510" s="930"/>
      <c r="K510" s="930"/>
      <c r="L510" s="930"/>
      <c r="M510" s="930"/>
      <c r="N510" s="930"/>
      <c r="O510" s="930"/>
      <c r="P510" s="930"/>
      <c r="Q510" s="930"/>
      <c r="R510" s="930"/>
      <c r="S510" s="930"/>
      <c r="T510" s="930"/>
      <c r="U510" s="930"/>
    </row>
    <row r="511" spans="1:21" ht="32.25" customHeight="1" thickBot="1" x14ac:dyDescent="0.3">
      <c r="A511" s="543"/>
      <c r="B511" s="930"/>
      <c r="C511" s="923" t="s">
        <v>1386</v>
      </c>
      <c r="D511" s="1953" t="str">
        <f>IF(T515="Yes",Incentives!E230,"")</f>
        <v/>
      </c>
      <c r="E511" s="1954"/>
      <c r="F511" s="930"/>
      <c r="G511" s="930"/>
      <c r="H511" s="1326" t="s">
        <v>1492</v>
      </c>
      <c r="I511" s="930"/>
      <c r="J511" s="1327" t="s">
        <v>2005</v>
      </c>
      <c r="K511" s="930"/>
      <c r="L511" s="1565" t="s">
        <v>2135</v>
      </c>
      <c r="M511" s="930"/>
      <c r="N511" s="926" t="s">
        <v>1482</v>
      </c>
      <c r="O511" s="930"/>
      <c r="P511" s="930"/>
      <c r="Q511" s="930"/>
      <c r="R511" s="930"/>
      <c r="S511" s="930"/>
      <c r="T511" s="926" t="s">
        <v>1599</v>
      </c>
      <c r="U511" s="930"/>
    </row>
    <row r="512" spans="1:21" ht="15.75" thickBot="1" x14ac:dyDescent="0.3">
      <c r="A512" s="543"/>
      <c r="B512" s="930"/>
      <c r="C512" s="918"/>
      <c r="D512" s="918"/>
      <c r="E512" s="918"/>
      <c r="F512" s="930"/>
      <c r="G512" s="930"/>
      <c r="H512" s="1297" t="s">
        <v>648</v>
      </c>
      <c r="I512" s="930"/>
      <c r="J512" s="999" t="str">
        <f>IF(T515="Yes",Incentives!G233,"")</f>
        <v/>
      </c>
      <c r="K512" s="930"/>
      <c r="L512" s="1566" t="str">
        <f>IF(T515="Yes",IF(R515="Yes","No","Yes"),"")</f>
        <v/>
      </c>
      <c r="M512" s="930"/>
      <c r="N512" s="1300" t="str">
        <f>IF(T515="Yes",Incentives!K233,"")</f>
        <v/>
      </c>
      <c r="O512" s="930"/>
      <c r="P512" s="930"/>
      <c r="Q512" s="930"/>
      <c r="R512" s="930"/>
      <c r="S512" s="930"/>
      <c r="T512" s="1297" t="s">
        <v>648</v>
      </c>
      <c r="U512" s="930"/>
    </row>
    <row r="513" spans="1:21" ht="30.75" customHeight="1" thickBot="1" x14ac:dyDescent="0.3">
      <c r="A513" s="543"/>
      <c r="B513" s="930"/>
      <c r="C513" s="924" t="s">
        <v>1495</v>
      </c>
      <c r="D513" s="1955" t="s">
        <v>648</v>
      </c>
      <c r="E513" s="1952"/>
      <c r="F513" s="930"/>
      <c r="G513" s="930"/>
      <c r="H513" s="930"/>
      <c r="I513" s="930"/>
      <c r="J513" s="930"/>
      <c r="K513" s="930"/>
      <c r="L513" s="930"/>
      <c r="M513" s="930"/>
      <c r="N513" s="930"/>
      <c r="O513" s="930"/>
      <c r="P513" s="930"/>
      <c r="Q513" s="930"/>
      <c r="R513" s="930"/>
      <c r="S513" s="930"/>
      <c r="T513" s="930"/>
      <c r="U513" s="930"/>
    </row>
    <row r="514" spans="1:21" ht="15.75" thickBot="1" x14ac:dyDescent="0.3">
      <c r="A514" s="543"/>
      <c r="B514" s="930"/>
      <c r="C514" s="918"/>
      <c r="D514" s="918"/>
      <c r="E514" s="918"/>
      <c r="F514" s="930"/>
      <c r="G514" s="930"/>
      <c r="H514" s="930"/>
      <c r="I514" s="930"/>
      <c r="J514" s="930"/>
      <c r="K514" s="930"/>
      <c r="L514" s="930"/>
      <c r="M514" s="930"/>
      <c r="N514" s="930"/>
      <c r="O514" s="930"/>
      <c r="P514" s="930"/>
      <c r="Q514" s="930"/>
      <c r="R514" s="930"/>
      <c r="S514" s="930"/>
      <c r="T514" s="926" t="s">
        <v>523</v>
      </c>
      <c r="U514" s="930"/>
    </row>
    <row r="515" spans="1:21" ht="15.75" thickBot="1" x14ac:dyDescent="0.3">
      <c r="A515" s="543"/>
      <c r="B515" s="930"/>
      <c r="C515" s="923" t="s">
        <v>1496</v>
      </c>
      <c r="D515" s="1951" t="s">
        <v>1606</v>
      </c>
      <c r="E515" s="1936"/>
      <c r="F515" s="930"/>
      <c r="G515" s="930"/>
      <c r="H515" s="930"/>
      <c r="I515" s="930"/>
      <c r="J515" s="930"/>
      <c r="K515" s="930"/>
      <c r="L515" s="930"/>
      <c r="M515" s="930"/>
      <c r="N515" s="930"/>
      <c r="O515" s="930"/>
      <c r="P515" s="930"/>
      <c r="Q515" s="930"/>
      <c r="R515" s="1567" t="str">
        <f ca="1">Incentives!C226</f>
        <v/>
      </c>
      <c r="S515" s="930"/>
      <c r="T515" s="1297" t="str">
        <f>Incentives!E226</f>
        <v>No</v>
      </c>
      <c r="U515" s="930"/>
    </row>
    <row r="516" spans="1:21" ht="15.75" thickBot="1" x14ac:dyDescent="0.3">
      <c r="A516" s="543"/>
      <c r="B516" s="930"/>
      <c r="C516" s="930"/>
      <c r="D516" s="930"/>
      <c r="E516" s="930"/>
      <c r="F516" s="930"/>
      <c r="G516" s="930"/>
      <c r="H516" s="930"/>
      <c r="I516" s="930"/>
      <c r="J516" s="930"/>
      <c r="K516" s="930"/>
      <c r="L516" s="930"/>
      <c r="M516" s="930"/>
      <c r="N516" s="930"/>
      <c r="O516" s="930"/>
      <c r="P516" s="930"/>
      <c r="Q516" s="930"/>
      <c r="R516" s="930"/>
      <c r="S516" s="930"/>
      <c r="T516" s="930"/>
      <c r="U516" s="930"/>
    </row>
    <row r="517" spans="1:21" ht="15.75" customHeight="1" thickBot="1" x14ac:dyDescent="0.3">
      <c r="A517" s="543"/>
      <c r="B517" s="1948" t="s">
        <v>2009</v>
      </c>
      <c r="C517" s="1935"/>
      <c r="D517" s="1935"/>
      <c r="E517" s="1935"/>
      <c r="F517" s="1935"/>
      <c r="G517" s="1935"/>
      <c r="H517" s="1935"/>
      <c r="I517" s="1935"/>
      <c r="J517" s="1935"/>
      <c r="K517" s="1935"/>
      <c r="L517" s="1935"/>
      <c r="M517" s="1935"/>
      <c r="N517" s="1935"/>
      <c r="O517" s="1935"/>
      <c r="P517" s="1935"/>
      <c r="Q517" s="1935"/>
      <c r="R517" s="1935"/>
      <c r="S517" s="1935"/>
      <c r="T517" s="1935"/>
      <c r="U517" s="1936"/>
    </row>
    <row r="518" spans="1:21" ht="15.75" thickBot="1" x14ac:dyDescent="0.3">
      <c r="A518" s="543"/>
      <c r="B518" s="930"/>
      <c r="C518" s="930"/>
      <c r="D518" s="930"/>
      <c r="E518" s="930"/>
      <c r="F518" s="930"/>
      <c r="G518" s="930"/>
      <c r="H518" s="930"/>
      <c r="I518" s="930"/>
      <c r="J518" s="930"/>
      <c r="K518" s="930"/>
      <c r="L518" s="930"/>
      <c r="M518" s="930"/>
      <c r="N518" s="930"/>
      <c r="O518" s="930"/>
      <c r="P518" s="930"/>
      <c r="Q518" s="930"/>
      <c r="R518" s="930"/>
      <c r="S518" s="930"/>
      <c r="T518" s="930"/>
      <c r="U518" s="930"/>
    </row>
    <row r="519" spans="1:21" ht="30.75" customHeight="1" thickBot="1" x14ac:dyDescent="0.3">
      <c r="A519" s="543"/>
      <c r="B519" s="930"/>
      <c r="C519" s="923" t="s">
        <v>1383</v>
      </c>
      <c r="D519" s="1949" t="s">
        <v>1775</v>
      </c>
      <c r="E519" s="1950"/>
      <c r="F519" s="930"/>
      <c r="G519" s="930"/>
      <c r="H519" s="926" t="s">
        <v>1380</v>
      </c>
      <c r="I519" s="930"/>
      <c r="J519" s="926" t="s">
        <v>1381</v>
      </c>
      <c r="K519" s="930"/>
      <c r="L519" s="926" t="s">
        <v>1397</v>
      </c>
      <c r="M519" s="930"/>
      <c r="N519" s="926" t="s">
        <v>1382</v>
      </c>
      <c r="O519" s="930"/>
      <c r="P519" s="930"/>
      <c r="Q519" s="930"/>
      <c r="R519" s="926" t="s">
        <v>1487</v>
      </c>
      <c r="S519" s="930"/>
      <c r="T519" s="926" t="s">
        <v>1488</v>
      </c>
      <c r="U519" s="930"/>
    </row>
    <row r="520" spans="1:21" ht="15.75" thickBot="1" x14ac:dyDescent="0.3">
      <c r="A520" s="543"/>
      <c r="B520" s="930"/>
      <c r="C520" s="918"/>
      <c r="D520" s="918"/>
      <c r="E520" s="918"/>
      <c r="F520" s="930"/>
      <c r="G520" s="930"/>
      <c r="H520" s="956" t="str">
        <f>IF(T529="Yes",Incentives!G238,"")</f>
        <v/>
      </c>
      <c r="I520" s="930"/>
      <c r="J520" s="916" t="str">
        <f>IF(T529="Yes",Incentives!I238,"")</f>
        <v/>
      </c>
      <c r="K520" s="930"/>
      <c r="L520" s="1330" t="str">
        <f>IF(T529="Yes",Incentives!K238,"")</f>
        <v/>
      </c>
      <c r="M520" s="930"/>
      <c r="N520" s="956" t="str">
        <f>IF(AND(Incentives!M238&lt;&gt;"",T529="Yes"),Incentives!M238,"")</f>
        <v/>
      </c>
      <c r="O520" s="930"/>
      <c r="P520" s="930"/>
      <c r="Q520" s="930"/>
      <c r="R520" s="1297" t="s">
        <v>1602</v>
      </c>
      <c r="S520" s="930"/>
      <c r="T520" s="1297" t="s">
        <v>646</v>
      </c>
      <c r="U520" s="930"/>
    </row>
    <row r="521" spans="1:21" ht="30.75" thickBot="1" x14ac:dyDescent="0.3">
      <c r="A521" s="543"/>
      <c r="B521" s="930"/>
      <c r="C521" s="923" t="s">
        <v>1491</v>
      </c>
      <c r="D521" s="1951">
        <v>5302</v>
      </c>
      <c r="E521" s="1952"/>
      <c r="F521" s="930"/>
      <c r="G521" s="930"/>
      <c r="H521" s="930"/>
      <c r="I521" s="930"/>
      <c r="J521" s="930"/>
      <c r="K521" s="930"/>
      <c r="L521" s="930"/>
      <c r="M521" s="930"/>
      <c r="N521" s="930"/>
      <c r="O521" s="930"/>
      <c r="P521" s="930"/>
      <c r="Q521" s="930"/>
      <c r="R521" s="930"/>
      <c r="S521" s="930"/>
      <c r="T521" s="930"/>
      <c r="U521" s="930"/>
    </row>
    <row r="522" spans="1:21" ht="15.75" thickBot="1" x14ac:dyDescent="0.3">
      <c r="A522" s="543"/>
      <c r="B522" s="930"/>
      <c r="C522" s="918"/>
      <c r="D522" s="918"/>
      <c r="E522" s="918"/>
      <c r="F522" s="930"/>
      <c r="G522" s="930"/>
      <c r="H522" s="1326" t="s">
        <v>1396</v>
      </c>
      <c r="I522" s="930"/>
      <c r="J522" s="930"/>
      <c r="K522" s="930"/>
      <c r="L522" s="930"/>
      <c r="M522" s="930"/>
      <c r="N522" s="930"/>
      <c r="O522" s="930"/>
      <c r="P522" s="930"/>
      <c r="Q522" s="930"/>
      <c r="R522" s="926" t="s">
        <v>1603</v>
      </c>
      <c r="S522" s="930"/>
      <c r="T522" s="926" t="s">
        <v>1604</v>
      </c>
      <c r="U522" s="930"/>
    </row>
    <row r="523" spans="1:21" ht="15.75" thickBot="1" x14ac:dyDescent="0.3">
      <c r="A523" s="543"/>
      <c r="B523" s="930"/>
      <c r="C523" s="923" t="s">
        <v>1385</v>
      </c>
      <c r="D523" s="1953" t="str">
        <f>IF(T529="Yes",Incentives!E240,"")</f>
        <v/>
      </c>
      <c r="E523" s="1954"/>
      <c r="F523" s="930"/>
      <c r="G523" s="930"/>
      <c r="H523" s="1300" t="str">
        <f>IF(T529="Yes",Incentives!G241,"")</f>
        <v/>
      </c>
      <c r="I523" s="930"/>
      <c r="J523" s="930"/>
      <c r="K523" s="930"/>
      <c r="L523" s="930"/>
      <c r="M523" s="930"/>
      <c r="N523" s="930"/>
      <c r="O523" s="930"/>
      <c r="P523" s="930"/>
      <c r="Q523" s="930"/>
      <c r="R523" s="1297" t="s">
        <v>1610</v>
      </c>
      <c r="S523" s="930"/>
      <c r="T523" s="1297" t="s">
        <v>395</v>
      </c>
      <c r="U523" s="930"/>
    </row>
    <row r="524" spans="1:21" ht="15.75" thickBot="1" x14ac:dyDescent="0.3">
      <c r="A524" s="543"/>
      <c r="B524" s="930"/>
      <c r="C524" s="918"/>
      <c r="D524" s="918"/>
      <c r="E524" s="918"/>
      <c r="F524" s="930"/>
      <c r="G524" s="930"/>
      <c r="H524" s="930"/>
      <c r="I524" s="930"/>
      <c r="J524" s="930"/>
      <c r="K524" s="930"/>
      <c r="L524" s="930"/>
      <c r="M524" s="930"/>
      <c r="N524" s="930"/>
      <c r="O524" s="930"/>
      <c r="P524" s="930"/>
      <c r="Q524" s="930"/>
      <c r="R524" s="930"/>
      <c r="S524" s="930"/>
      <c r="T524" s="930"/>
      <c r="U524" s="930"/>
    </row>
    <row r="525" spans="1:21" ht="33" customHeight="1" thickBot="1" x14ac:dyDescent="0.3">
      <c r="A525" s="543"/>
      <c r="B525" s="930"/>
      <c r="C525" s="923" t="s">
        <v>1386</v>
      </c>
      <c r="D525" s="1953" t="str">
        <f>IF(T529="Yes",Incentives!E241,"")</f>
        <v/>
      </c>
      <c r="E525" s="1954"/>
      <c r="F525" s="930"/>
      <c r="G525" s="930"/>
      <c r="H525" s="1326" t="s">
        <v>1492</v>
      </c>
      <c r="I525" s="930"/>
      <c r="J525" s="1326" t="s">
        <v>2005</v>
      </c>
      <c r="K525" s="930"/>
      <c r="L525" s="1565" t="s">
        <v>2135</v>
      </c>
      <c r="M525" s="930"/>
      <c r="N525" s="926" t="s">
        <v>1482</v>
      </c>
      <c r="O525" s="930"/>
      <c r="P525" s="930"/>
      <c r="Q525" s="930"/>
      <c r="R525" s="930"/>
      <c r="S525" s="930"/>
      <c r="T525" s="926" t="s">
        <v>1599</v>
      </c>
      <c r="U525" s="930"/>
    </row>
    <row r="526" spans="1:21" ht="15.75" thickBot="1" x14ac:dyDescent="0.3">
      <c r="A526" s="543"/>
      <c r="B526" s="930"/>
      <c r="C526" s="918"/>
      <c r="D526" s="918"/>
      <c r="E526" s="918"/>
      <c r="F526" s="930"/>
      <c r="G526" s="930"/>
      <c r="H526" s="1297" t="s">
        <v>648</v>
      </c>
      <c r="I526" s="930"/>
      <c r="J526" s="999" t="str">
        <f>IF(T529="Yes",Incentives!G244,"")</f>
        <v/>
      </c>
      <c r="K526" s="930"/>
      <c r="L526" s="1566" t="str">
        <f>IF(T529="Yes",IF(R529="Yes","No","Yes"),"")</f>
        <v/>
      </c>
      <c r="M526" s="930"/>
      <c r="N526" s="1300" t="str">
        <f>IF(T529="Yes",Incentives!K244,"")</f>
        <v/>
      </c>
      <c r="O526" s="930"/>
      <c r="P526" s="930"/>
      <c r="Q526" s="930"/>
      <c r="R526" s="930"/>
      <c r="S526" s="930"/>
      <c r="T526" s="1297" t="s">
        <v>648</v>
      </c>
      <c r="U526" s="930"/>
    </row>
    <row r="527" spans="1:21" ht="30.75" thickBot="1" x14ac:dyDescent="0.3">
      <c r="A527" s="543"/>
      <c r="B527" s="930"/>
      <c r="C527" s="924" t="s">
        <v>1495</v>
      </c>
      <c r="D527" s="1955" t="s">
        <v>648</v>
      </c>
      <c r="E527" s="1952"/>
      <c r="F527" s="930"/>
      <c r="G527" s="930"/>
      <c r="H527" s="930"/>
      <c r="I527" s="930"/>
      <c r="J527" s="930"/>
      <c r="K527" s="930"/>
      <c r="L527" s="930"/>
      <c r="M527" s="930"/>
      <c r="N527" s="930"/>
      <c r="O527" s="930"/>
      <c r="P527" s="930"/>
      <c r="Q527" s="930"/>
      <c r="R527" s="930"/>
      <c r="S527" s="930"/>
      <c r="T527" s="930"/>
      <c r="U527" s="930"/>
    </row>
    <row r="528" spans="1:21" ht="15.75" thickBot="1" x14ac:dyDescent="0.3">
      <c r="A528" s="543"/>
      <c r="B528" s="930"/>
      <c r="C528" s="918"/>
      <c r="D528" s="918"/>
      <c r="E528" s="918"/>
      <c r="F528" s="930"/>
      <c r="G528" s="930"/>
      <c r="H528" s="930"/>
      <c r="I528" s="930"/>
      <c r="J528" s="930"/>
      <c r="K528" s="930"/>
      <c r="L528" s="930"/>
      <c r="M528" s="930"/>
      <c r="N528" s="930"/>
      <c r="O528" s="930"/>
      <c r="P528" s="930"/>
      <c r="Q528" s="930"/>
      <c r="R528" s="930"/>
      <c r="S528" s="930"/>
      <c r="T528" s="926" t="s">
        <v>523</v>
      </c>
      <c r="U528" s="930"/>
    </row>
    <row r="529" spans="1:21" ht="15.75" thickBot="1" x14ac:dyDescent="0.3">
      <c r="A529" s="543"/>
      <c r="B529" s="930"/>
      <c r="C529" s="923" t="s">
        <v>1496</v>
      </c>
      <c r="D529" s="1951" t="s">
        <v>1606</v>
      </c>
      <c r="E529" s="1936"/>
      <c r="F529" s="930"/>
      <c r="G529" s="930"/>
      <c r="H529" s="930"/>
      <c r="I529" s="930"/>
      <c r="J529" s="930"/>
      <c r="K529" s="930"/>
      <c r="L529" s="930"/>
      <c r="M529" s="930"/>
      <c r="N529" s="930"/>
      <c r="O529" s="930"/>
      <c r="P529" s="930"/>
      <c r="Q529" s="930"/>
      <c r="R529" s="1568">
        <f>Incentives!C237</f>
        <v>0</v>
      </c>
      <c r="S529" s="930"/>
      <c r="T529" s="1297" t="str">
        <f>Incentives!E237</f>
        <v>No</v>
      </c>
      <c r="U529" s="930"/>
    </row>
    <row r="530" spans="1:21" ht="15.75" thickBot="1" x14ac:dyDescent="0.3">
      <c r="A530" s="543"/>
      <c r="B530" s="930"/>
      <c r="C530" s="930"/>
      <c r="D530" s="930"/>
      <c r="E530" s="930"/>
      <c r="F530" s="930"/>
      <c r="G530" s="930"/>
      <c r="H530" s="930"/>
      <c r="I530" s="930"/>
      <c r="J530" s="930"/>
      <c r="K530" s="930"/>
      <c r="L530" s="930"/>
      <c r="M530" s="930"/>
      <c r="N530" s="930"/>
      <c r="O530" s="930"/>
      <c r="P530" s="930"/>
      <c r="Q530" s="930"/>
      <c r="R530" s="930"/>
      <c r="S530" s="930"/>
      <c r="T530" s="930"/>
      <c r="U530" s="930"/>
    </row>
    <row r="531" spans="1:21" ht="15.75" customHeight="1" thickBot="1" x14ac:dyDescent="0.3">
      <c r="A531" s="543"/>
      <c r="B531" s="1948" t="s">
        <v>2010</v>
      </c>
      <c r="C531" s="1935"/>
      <c r="D531" s="1935"/>
      <c r="E531" s="1935"/>
      <c r="F531" s="1935"/>
      <c r="G531" s="1935"/>
      <c r="H531" s="1935"/>
      <c r="I531" s="1935"/>
      <c r="J531" s="1935"/>
      <c r="K531" s="1935"/>
      <c r="L531" s="1935"/>
      <c r="M531" s="1935"/>
      <c r="N531" s="1935"/>
      <c r="O531" s="1935"/>
      <c r="P531" s="1935"/>
      <c r="Q531" s="1935"/>
      <c r="R531" s="1935"/>
      <c r="S531" s="1935"/>
      <c r="T531" s="1935"/>
      <c r="U531" s="1936"/>
    </row>
    <row r="532" spans="1:21" ht="15.75" thickBot="1" x14ac:dyDescent="0.3">
      <c r="A532" s="543"/>
      <c r="B532" s="930"/>
      <c r="C532" s="930"/>
      <c r="D532" s="930"/>
      <c r="E532" s="930"/>
      <c r="F532" s="930"/>
      <c r="G532" s="930"/>
      <c r="H532" s="930"/>
      <c r="I532" s="930"/>
      <c r="J532" s="930"/>
      <c r="K532" s="930"/>
      <c r="L532" s="930"/>
      <c r="M532" s="930"/>
      <c r="N532" s="930"/>
      <c r="O532" s="930"/>
      <c r="P532" s="930"/>
      <c r="Q532" s="930"/>
      <c r="R532" s="930"/>
      <c r="S532" s="930"/>
      <c r="T532" s="930"/>
      <c r="U532" s="930"/>
    </row>
    <row r="533" spans="1:21" ht="30.75" customHeight="1" thickBot="1" x14ac:dyDescent="0.3">
      <c r="A533" s="543"/>
      <c r="B533" s="930"/>
      <c r="C533" s="923" t="s">
        <v>1383</v>
      </c>
      <c r="D533" s="1949" t="s">
        <v>1775</v>
      </c>
      <c r="E533" s="1950"/>
      <c r="F533" s="930"/>
      <c r="G533" s="930"/>
      <c r="H533" s="926" t="s">
        <v>1380</v>
      </c>
      <c r="I533" s="930"/>
      <c r="J533" s="926" t="s">
        <v>1381</v>
      </c>
      <c r="K533" s="930"/>
      <c r="L533" s="926" t="s">
        <v>1397</v>
      </c>
      <c r="M533" s="930"/>
      <c r="N533" s="926" t="s">
        <v>1382</v>
      </c>
      <c r="O533" s="930"/>
      <c r="P533" s="930"/>
      <c r="Q533" s="930"/>
      <c r="R533" s="926" t="s">
        <v>1487</v>
      </c>
      <c r="S533" s="930"/>
      <c r="T533" s="926" t="s">
        <v>1488</v>
      </c>
      <c r="U533" s="930"/>
    </row>
    <row r="534" spans="1:21" ht="15.75" thickBot="1" x14ac:dyDescent="0.3">
      <c r="A534" s="543"/>
      <c r="B534" s="930"/>
      <c r="C534" s="918"/>
      <c r="D534" s="918"/>
      <c r="E534" s="918"/>
      <c r="F534" s="930"/>
      <c r="G534" s="930"/>
      <c r="H534" s="956" t="str">
        <f>IF(T543="Yes",Incentives!G249,"")</f>
        <v/>
      </c>
      <c r="I534" s="930"/>
      <c r="J534" s="916" t="str">
        <f>IF(T543="Yes",Incentives!I249,"")</f>
        <v/>
      </c>
      <c r="K534" s="930"/>
      <c r="L534" s="1330" t="str">
        <f>IF(T543="Yes",Incentives!K249,"")</f>
        <v/>
      </c>
      <c r="M534" s="930"/>
      <c r="N534" s="956" t="str">
        <f>IF(AND(Incentives!M249&lt;&gt;"",T543="Yes"),Incentives!M249,"")</f>
        <v/>
      </c>
      <c r="O534" s="930"/>
      <c r="P534" s="930"/>
      <c r="Q534" s="930"/>
      <c r="R534" s="1297" t="s">
        <v>1602</v>
      </c>
      <c r="S534" s="930"/>
      <c r="T534" s="1297" t="s">
        <v>646</v>
      </c>
      <c r="U534" s="930"/>
    </row>
    <row r="535" spans="1:21" ht="30.75" thickBot="1" x14ac:dyDescent="0.3">
      <c r="A535" s="543"/>
      <c r="B535" s="930"/>
      <c r="C535" s="923" t="s">
        <v>1491</v>
      </c>
      <c r="D535" s="1951">
        <v>5303</v>
      </c>
      <c r="E535" s="1952"/>
      <c r="F535" s="930"/>
      <c r="G535" s="930"/>
      <c r="H535" s="930"/>
      <c r="I535" s="930"/>
      <c r="J535" s="930"/>
      <c r="K535" s="930"/>
      <c r="L535" s="930"/>
      <c r="M535" s="930"/>
      <c r="N535" s="930"/>
      <c r="O535" s="930"/>
      <c r="P535" s="930"/>
      <c r="Q535" s="930"/>
      <c r="R535" s="930"/>
      <c r="S535" s="930"/>
      <c r="T535" s="930"/>
      <c r="U535" s="930"/>
    </row>
    <row r="536" spans="1:21" ht="15.75" thickBot="1" x14ac:dyDescent="0.3">
      <c r="A536" s="543"/>
      <c r="B536" s="930"/>
      <c r="C536" s="918"/>
      <c r="D536" s="918"/>
      <c r="E536" s="918"/>
      <c r="F536" s="930"/>
      <c r="G536" s="930"/>
      <c r="H536" s="1326" t="s">
        <v>1396</v>
      </c>
      <c r="I536" s="930"/>
      <c r="J536" s="930"/>
      <c r="K536" s="930"/>
      <c r="L536" s="930"/>
      <c r="M536" s="930"/>
      <c r="N536" s="930"/>
      <c r="O536" s="930"/>
      <c r="P536" s="930"/>
      <c r="Q536" s="930"/>
      <c r="R536" s="926" t="s">
        <v>1603</v>
      </c>
      <c r="S536" s="930"/>
      <c r="T536" s="926" t="s">
        <v>1604</v>
      </c>
      <c r="U536" s="930"/>
    </row>
    <row r="537" spans="1:21" ht="15.75" thickBot="1" x14ac:dyDescent="0.3">
      <c r="A537" s="543"/>
      <c r="B537" s="930"/>
      <c r="C537" s="923" t="s">
        <v>1385</v>
      </c>
      <c r="D537" s="1953" t="str">
        <f>IF(T543="Yes",Incentives!E251,"")</f>
        <v/>
      </c>
      <c r="E537" s="1954"/>
      <c r="F537" s="930"/>
      <c r="G537" s="930"/>
      <c r="H537" s="1300" t="str">
        <f>IF(T543="Yes",Incentives!G252,"")</f>
        <v/>
      </c>
      <c r="I537" s="930"/>
      <c r="J537" s="930"/>
      <c r="K537" s="930"/>
      <c r="L537" s="930"/>
      <c r="M537" s="930"/>
      <c r="N537" s="930"/>
      <c r="O537" s="930"/>
      <c r="P537" s="930"/>
      <c r="Q537" s="930"/>
      <c r="R537" s="1297" t="s">
        <v>1610</v>
      </c>
      <c r="S537" s="930"/>
      <c r="T537" s="1297" t="s">
        <v>395</v>
      </c>
      <c r="U537" s="930"/>
    </row>
    <row r="538" spans="1:21" ht="15.75" thickBot="1" x14ac:dyDescent="0.3">
      <c r="A538" s="543"/>
      <c r="B538" s="930"/>
      <c r="C538" s="918"/>
      <c r="D538" s="918"/>
      <c r="E538" s="918"/>
      <c r="F538" s="930"/>
      <c r="G538" s="930"/>
      <c r="H538" s="930"/>
      <c r="I538" s="930"/>
      <c r="J538" s="930"/>
      <c r="K538" s="930"/>
      <c r="L538" s="930"/>
      <c r="M538" s="930"/>
      <c r="N538" s="930"/>
      <c r="O538" s="930"/>
      <c r="P538" s="930"/>
      <c r="Q538" s="930"/>
      <c r="R538" s="930"/>
      <c r="S538" s="930"/>
      <c r="T538" s="930"/>
      <c r="U538" s="930"/>
    </row>
    <row r="539" spans="1:21" ht="30" customHeight="1" thickBot="1" x14ac:dyDescent="0.3">
      <c r="A539" s="543"/>
      <c r="B539" s="930"/>
      <c r="C539" s="923" t="s">
        <v>1386</v>
      </c>
      <c r="D539" s="1953" t="str">
        <f>IF(T543="Yes",Incentives!E252,"")</f>
        <v/>
      </c>
      <c r="E539" s="1954"/>
      <c r="F539" s="930"/>
      <c r="G539" s="930"/>
      <c r="H539" s="1326" t="s">
        <v>1492</v>
      </c>
      <c r="I539" s="930"/>
      <c r="J539" s="1326" t="s">
        <v>2005</v>
      </c>
      <c r="K539" s="930"/>
      <c r="L539" s="1565" t="s">
        <v>2135</v>
      </c>
      <c r="M539" s="930"/>
      <c r="N539" s="926" t="s">
        <v>1482</v>
      </c>
      <c r="O539" s="930"/>
      <c r="P539" s="930"/>
      <c r="Q539" s="930"/>
      <c r="R539" s="930"/>
      <c r="S539" s="930"/>
      <c r="T539" s="926" t="s">
        <v>1599</v>
      </c>
      <c r="U539" s="930"/>
    </row>
    <row r="540" spans="1:21" ht="15.75" thickBot="1" x14ac:dyDescent="0.3">
      <c r="A540" s="543"/>
      <c r="B540" s="930"/>
      <c r="C540" s="918"/>
      <c r="D540" s="918"/>
      <c r="E540" s="918"/>
      <c r="F540" s="930"/>
      <c r="G540" s="930"/>
      <c r="H540" s="1297" t="s">
        <v>648</v>
      </c>
      <c r="I540" s="930"/>
      <c r="J540" s="999" t="str">
        <f>IF(T543="Yes",Incentives!G255,"")</f>
        <v/>
      </c>
      <c r="K540" s="930"/>
      <c r="L540" s="1566" t="str">
        <f>IF(T543="Yes",IF(R543="Yes","No","Yes"),"")</f>
        <v/>
      </c>
      <c r="M540" s="930"/>
      <c r="N540" s="1300" t="str">
        <f>IF(T543="Yes",Incentives!K255,"")</f>
        <v/>
      </c>
      <c r="O540" s="930"/>
      <c r="P540" s="930"/>
      <c r="Q540" s="930"/>
      <c r="R540" s="930"/>
      <c r="S540" s="930"/>
      <c r="T540" s="1297" t="s">
        <v>648</v>
      </c>
      <c r="U540" s="930"/>
    </row>
    <row r="541" spans="1:21" ht="30.75" thickBot="1" x14ac:dyDescent="0.3">
      <c r="A541" s="543"/>
      <c r="B541" s="930"/>
      <c r="C541" s="924" t="s">
        <v>1495</v>
      </c>
      <c r="D541" s="1955" t="s">
        <v>648</v>
      </c>
      <c r="E541" s="1952"/>
      <c r="F541" s="930"/>
      <c r="G541" s="930"/>
      <c r="H541" s="930"/>
      <c r="I541" s="930"/>
      <c r="J541" s="930"/>
      <c r="K541" s="930"/>
      <c r="L541" s="930"/>
      <c r="M541" s="930"/>
      <c r="N541" s="930"/>
      <c r="O541" s="930"/>
      <c r="P541" s="930"/>
      <c r="Q541" s="930"/>
      <c r="R541" s="930"/>
      <c r="S541" s="930"/>
      <c r="T541" s="930"/>
      <c r="U541" s="930"/>
    </row>
    <row r="542" spans="1:21" ht="15.75" thickBot="1" x14ac:dyDescent="0.3">
      <c r="A542" s="543"/>
      <c r="B542" s="930"/>
      <c r="C542" s="918"/>
      <c r="D542" s="918"/>
      <c r="E542" s="918"/>
      <c r="F542" s="930"/>
      <c r="G542" s="930"/>
      <c r="H542" s="930"/>
      <c r="I542" s="930"/>
      <c r="J542" s="930"/>
      <c r="K542" s="930"/>
      <c r="L542" s="930"/>
      <c r="M542" s="930"/>
      <c r="N542" s="930"/>
      <c r="O542" s="930"/>
      <c r="P542" s="930"/>
      <c r="Q542" s="930"/>
      <c r="R542" s="930"/>
      <c r="S542" s="930"/>
      <c r="T542" s="926" t="s">
        <v>523</v>
      </c>
      <c r="U542" s="930"/>
    </row>
    <row r="543" spans="1:21" ht="15.75" thickBot="1" x14ac:dyDescent="0.3">
      <c r="A543" s="543"/>
      <c r="B543" s="930"/>
      <c r="C543" s="923" t="s">
        <v>1496</v>
      </c>
      <c r="D543" s="1951" t="s">
        <v>1606</v>
      </c>
      <c r="E543" s="1936"/>
      <c r="F543" s="930"/>
      <c r="G543" s="930"/>
      <c r="H543" s="930"/>
      <c r="I543" s="930"/>
      <c r="J543" s="930"/>
      <c r="K543" s="930"/>
      <c r="L543" s="930"/>
      <c r="M543" s="930"/>
      <c r="N543" s="930"/>
      <c r="O543" s="930"/>
      <c r="P543" s="930"/>
      <c r="Q543" s="930"/>
      <c r="R543" s="1568">
        <f>Incentives!C248</f>
        <v>0</v>
      </c>
      <c r="S543" s="930"/>
      <c r="T543" s="1297" t="str">
        <f>Incentives!E248</f>
        <v>No</v>
      </c>
      <c r="U543" s="930"/>
    </row>
    <row r="544" spans="1:21" ht="15.75" thickBot="1" x14ac:dyDescent="0.3">
      <c r="A544" s="543"/>
      <c r="B544" s="930"/>
      <c r="C544" s="930"/>
      <c r="D544" s="930"/>
      <c r="E544" s="930"/>
      <c r="F544" s="930"/>
      <c r="G544" s="930"/>
      <c r="H544" s="930"/>
      <c r="I544" s="930"/>
      <c r="J544" s="930"/>
      <c r="K544" s="930"/>
      <c r="L544" s="930"/>
      <c r="M544" s="930"/>
      <c r="N544" s="930"/>
      <c r="O544" s="930"/>
      <c r="P544" s="930"/>
      <c r="Q544" s="930"/>
      <c r="R544" s="930"/>
      <c r="S544" s="930"/>
      <c r="T544" s="930"/>
      <c r="U544" s="930"/>
    </row>
    <row r="545" spans="1:21" ht="15.75" customHeight="1" thickBot="1" x14ac:dyDescent="0.3">
      <c r="A545" s="543"/>
      <c r="B545" s="1948" t="s">
        <v>2011</v>
      </c>
      <c r="C545" s="1935"/>
      <c r="D545" s="1935"/>
      <c r="E545" s="1935"/>
      <c r="F545" s="1935"/>
      <c r="G545" s="1935"/>
      <c r="H545" s="1935"/>
      <c r="I545" s="1935"/>
      <c r="J545" s="1935"/>
      <c r="K545" s="1935"/>
      <c r="L545" s="1935"/>
      <c r="M545" s="1935"/>
      <c r="N545" s="1935"/>
      <c r="O545" s="1935"/>
      <c r="P545" s="1935"/>
      <c r="Q545" s="1935"/>
      <c r="R545" s="1935"/>
      <c r="S545" s="1935"/>
      <c r="T545" s="1935"/>
      <c r="U545" s="1936"/>
    </row>
    <row r="546" spans="1:21" ht="15.75" thickBot="1" x14ac:dyDescent="0.3">
      <c r="A546" s="543"/>
      <c r="B546" s="930"/>
      <c r="C546" s="930"/>
      <c r="D546" s="930"/>
      <c r="E546" s="930"/>
      <c r="F546" s="930"/>
      <c r="G546" s="930"/>
      <c r="H546" s="930"/>
      <c r="I546" s="930"/>
      <c r="J546" s="930"/>
      <c r="K546" s="930"/>
      <c r="L546" s="930"/>
      <c r="M546" s="930"/>
      <c r="N546" s="930"/>
      <c r="O546" s="930"/>
      <c r="P546" s="930"/>
      <c r="Q546" s="930"/>
      <c r="R546" s="930"/>
      <c r="S546" s="930"/>
      <c r="T546" s="930"/>
      <c r="U546" s="930"/>
    </row>
    <row r="547" spans="1:21" ht="30.75" customHeight="1" thickBot="1" x14ac:dyDescent="0.3">
      <c r="A547" s="543"/>
      <c r="B547" s="930"/>
      <c r="C547" s="923" t="s">
        <v>1383</v>
      </c>
      <c r="D547" s="1949" t="s">
        <v>1775</v>
      </c>
      <c r="E547" s="1950"/>
      <c r="F547" s="930"/>
      <c r="G547" s="930"/>
      <c r="H547" s="926" t="s">
        <v>1380</v>
      </c>
      <c r="I547" s="930"/>
      <c r="J547" s="926" t="s">
        <v>1381</v>
      </c>
      <c r="K547" s="930"/>
      <c r="L547" s="926" t="s">
        <v>1397</v>
      </c>
      <c r="M547" s="930"/>
      <c r="N547" s="926" t="s">
        <v>1382</v>
      </c>
      <c r="O547" s="930"/>
      <c r="P547" s="930"/>
      <c r="Q547" s="930"/>
      <c r="R547" s="926" t="s">
        <v>1487</v>
      </c>
      <c r="S547" s="930"/>
      <c r="T547" s="926" t="s">
        <v>1488</v>
      </c>
      <c r="U547" s="930"/>
    </row>
    <row r="548" spans="1:21" ht="15.75" thickBot="1" x14ac:dyDescent="0.3">
      <c r="A548" s="543"/>
      <c r="B548" s="930"/>
      <c r="C548" s="918"/>
      <c r="D548" s="918"/>
      <c r="E548" s="918"/>
      <c r="F548" s="930"/>
      <c r="G548" s="930"/>
      <c r="H548" s="956" t="str">
        <f>IF(T557="Yes",Incentives!G260,"")</f>
        <v/>
      </c>
      <c r="I548" s="930"/>
      <c r="J548" s="916" t="str">
        <f>IF(T557="Yes",Incentives!I260,"")</f>
        <v/>
      </c>
      <c r="K548" s="930"/>
      <c r="L548" s="1330" t="str">
        <f>IF(T557="Yes",Incentives!K260,"")</f>
        <v/>
      </c>
      <c r="M548" s="930"/>
      <c r="N548" s="956" t="str">
        <f>IF(AND(Incentives!M260&lt;&gt;"",T557="Yes"),Incentives!M260,"")</f>
        <v/>
      </c>
      <c r="O548" s="930"/>
      <c r="P548" s="930"/>
      <c r="Q548" s="930"/>
      <c r="R548" s="1297" t="s">
        <v>1602</v>
      </c>
      <c r="S548" s="930"/>
      <c r="T548" s="1297" t="s">
        <v>646</v>
      </c>
      <c r="U548" s="930"/>
    </row>
    <row r="549" spans="1:21" ht="30.75" thickBot="1" x14ac:dyDescent="0.3">
      <c r="A549" s="543"/>
      <c r="B549" s="930"/>
      <c r="C549" s="923" t="s">
        <v>1491</v>
      </c>
      <c r="D549" s="1951">
        <v>5304</v>
      </c>
      <c r="E549" s="1952"/>
      <c r="F549" s="930"/>
      <c r="G549" s="930"/>
      <c r="H549" s="930"/>
      <c r="I549" s="930"/>
      <c r="J549" s="930"/>
      <c r="K549" s="930"/>
      <c r="L549" s="930"/>
      <c r="M549" s="930"/>
      <c r="N549" s="930"/>
      <c r="O549" s="930"/>
      <c r="P549" s="930"/>
      <c r="Q549" s="930"/>
      <c r="R549" s="930"/>
      <c r="S549" s="930"/>
      <c r="T549" s="930"/>
      <c r="U549" s="930"/>
    </row>
    <row r="550" spans="1:21" ht="15.75" thickBot="1" x14ac:dyDescent="0.3">
      <c r="A550" s="543"/>
      <c r="B550" s="930"/>
      <c r="C550" s="918"/>
      <c r="D550" s="918"/>
      <c r="E550" s="918"/>
      <c r="F550" s="930"/>
      <c r="G550" s="930"/>
      <c r="H550" s="1326" t="s">
        <v>1396</v>
      </c>
      <c r="I550" s="930"/>
      <c r="J550" s="930"/>
      <c r="K550" s="930"/>
      <c r="L550" s="930"/>
      <c r="M550" s="930"/>
      <c r="N550" s="930"/>
      <c r="O550" s="930"/>
      <c r="P550" s="930"/>
      <c r="Q550" s="930"/>
      <c r="R550" s="926" t="s">
        <v>1603</v>
      </c>
      <c r="S550" s="930"/>
      <c r="T550" s="926" t="s">
        <v>1604</v>
      </c>
      <c r="U550" s="930"/>
    </row>
    <row r="551" spans="1:21" ht="15.75" thickBot="1" x14ac:dyDescent="0.3">
      <c r="A551" s="543"/>
      <c r="B551" s="930"/>
      <c r="C551" s="923" t="s">
        <v>1385</v>
      </c>
      <c r="D551" s="1953" t="str">
        <f>IF(T557="Yes",Incentives!E262,"")</f>
        <v/>
      </c>
      <c r="E551" s="1954"/>
      <c r="F551" s="930"/>
      <c r="G551" s="930"/>
      <c r="H551" s="1300" t="str">
        <f>IF(T557="Yes",Incentives!G263,"")</f>
        <v/>
      </c>
      <c r="I551" s="930"/>
      <c r="J551" s="930"/>
      <c r="K551" s="930"/>
      <c r="L551" s="930"/>
      <c r="M551" s="930"/>
      <c r="N551" s="930"/>
      <c r="O551" s="930"/>
      <c r="P551" s="930"/>
      <c r="Q551" s="930"/>
      <c r="R551" s="1297" t="s">
        <v>1610</v>
      </c>
      <c r="S551" s="930"/>
      <c r="T551" s="1297" t="s">
        <v>395</v>
      </c>
      <c r="U551" s="930"/>
    </row>
    <row r="552" spans="1:21" ht="15.75" thickBot="1" x14ac:dyDescent="0.3">
      <c r="A552" s="543"/>
      <c r="B552" s="930"/>
      <c r="C552" s="918"/>
      <c r="D552" s="918"/>
      <c r="E552" s="918"/>
      <c r="F552" s="930"/>
      <c r="G552" s="930"/>
      <c r="H552" s="930"/>
      <c r="I552" s="930"/>
      <c r="J552" s="930"/>
      <c r="K552" s="930"/>
      <c r="L552" s="930"/>
      <c r="M552" s="930"/>
      <c r="N552" s="930"/>
      <c r="O552" s="930"/>
      <c r="P552" s="930"/>
      <c r="Q552" s="930"/>
      <c r="R552" s="930"/>
      <c r="S552" s="930"/>
      <c r="T552" s="930"/>
      <c r="U552" s="930"/>
    </row>
    <row r="553" spans="1:21" ht="30.75" customHeight="1" thickBot="1" x14ac:dyDescent="0.3">
      <c r="A553" s="543"/>
      <c r="B553" s="930"/>
      <c r="C553" s="923" t="s">
        <v>1386</v>
      </c>
      <c r="D553" s="1953" t="str">
        <f>IF(T557="Yes",Incentives!E263,"")</f>
        <v/>
      </c>
      <c r="E553" s="1954"/>
      <c r="F553" s="930"/>
      <c r="G553" s="930"/>
      <c r="H553" s="1326" t="s">
        <v>1492</v>
      </c>
      <c r="I553" s="930"/>
      <c r="J553" s="1326" t="s">
        <v>2005</v>
      </c>
      <c r="K553" s="930"/>
      <c r="L553" s="1565" t="s">
        <v>2135</v>
      </c>
      <c r="M553" s="930"/>
      <c r="N553" s="926" t="s">
        <v>1482</v>
      </c>
      <c r="O553" s="930"/>
      <c r="P553" s="930"/>
      <c r="Q553" s="930"/>
      <c r="R553" s="930"/>
      <c r="S553" s="930"/>
      <c r="T553" s="926" t="s">
        <v>1599</v>
      </c>
      <c r="U553" s="930"/>
    </row>
    <row r="554" spans="1:21" ht="15.75" thickBot="1" x14ac:dyDescent="0.3">
      <c r="A554" s="543"/>
      <c r="B554" s="930"/>
      <c r="C554" s="918"/>
      <c r="D554" s="918"/>
      <c r="E554" s="918"/>
      <c r="F554" s="930"/>
      <c r="G554" s="930"/>
      <c r="H554" s="1297" t="s">
        <v>648</v>
      </c>
      <c r="I554" s="930"/>
      <c r="J554" s="999" t="str">
        <f>IF(T557="Yes",Incentives!G266,"")</f>
        <v/>
      </c>
      <c r="K554" s="930"/>
      <c r="L554" s="1566" t="str">
        <f>IF(T557="Yes",IF(R557="Yes","No","Yes"),"")</f>
        <v/>
      </c>
      <c r="M554" s="930"/>
      <c r="N554" s="1300" t="str">
        <f>IF(T557="Yes",Incentives!K266,"")</f>
        <v/>
      </c>
      <c r="O554" s="930"/>
      <c r="P554" s="930"/>
      <c r="Q554" s="930"/>
      <c r="R554" s="930"/>
      <c r="S554" s="930"/>
      <c r="T554" s="1297" t="s">
        <v>648</v>
      </c>
      <c r="U554" s="930"/>
    </row>
    <row r="555" spans="1:21" ht="30.75" thickBot="1" x14ac:dyDescent="0.3">
      <c r="A555" s="543"/>
      <c r="B555" s="930"/>
      <c r="C555" s="924" t="s">
        <v>1495</v>
      </c>
      <c r="D555" s="1955" t="s">
        <v>648</v>
      </c>
      <c r="E555" s="1952"/>
      <c r="F555" s="930"/>
      <c r="G555" s="930"/>
      <c r="H555" s="930"/>
      <c r="I555" s="930"/>
      <c r="J555" s="930"/>
      <c r="K555" s="930"/>
      <c r="L555" s="930"/>
      <c r="M555" s="930"/>
      <c r="N555" s="930"/>
      <c r="O555" s="930"/>
      <c r="P555" s="930"/>
      <c r="Q555" s="930"/>
      <c r="R555" s="930"/>
      <c r="S555" s="930"/>
      <c r="T555" s="930"/>
      <c r="U555" s="930"/>
    </row>
    <row r="556" spans="1:21" ht="15.75" thickBot="1" x14ac:dyDescent="0.3">
      <c r="A556" s="543"/>
      <c r="B556" s="930"/>
      <c r="C556" s="918"/>
      <c r="D556" s="918"/>
      <c r="E556" s="918"/>
      <c r="F556" s="930"/>
      <c r="G556" s="930"/>
      <c r="H556" s="930"/>
      <c r="I556" s="930"/>
      <c r="J556" s="930"/>
      <c r="K556" s="930"/>
      <c r="L556" s="930"/>
      <c r="M556" s="930"/>
      <c r="N556" s="930"/>
      <c r="O556" s="930"/>
      <c r="P556" s="930"/>
      <c r="Q556" s="930"/>
      <c r="R556" s="930"/>
      <c r="S556" s="930"/>
      <c r="T556" s="926" t="s">
        <v>523</v>
      </c>
      <c r="U556" s="930"/>
    </row>
    <row r="557" spans="1:21" ht="15.75" thickBot="1" x14ac:dyDescent="0.3">
      <c r="A557" s="543"/>
      <c r="B557" s="930"/>
      <c r="C557" s="923" t="s">
        <v>1496</v>
      </c>
      <c r="D557" s="1951" t="s">
        <v>1606</v>
      </c>
      <c r="E557" s="1936"/>
      <c r="F557" s="930"/>
      <c r="G557" s="930"/>
      <c r="H557" s="930"/>
      <c r="I557" s="930"/>
      <c r="J557" s="930"/>
      <c r="K557" s="930"/>
      <c r="L557" s="930"/>
      <c r="M557" s="930"/>
      <c r="N557" s="930"/>
      <c r="O557" s="930"/>
      <c r="P557" s="930"/>
      <c r="Q557" s="930"/>
      <c r="R557" s="1568">
        <f>Incentives!C259</f>
        <v>0</v>
      </c>
      <c r="S557" s="930"/>
      <c r="T557" s="1297" t="str">
        <f>Incentives!E259</f>
        <v>No</v>
      </c>
      <c r="U557" s="930"/>
    </row>
    <row r="558" spans="1:21" ht="15.75" thickBot="1" x14ac:dyDescent="0.3">
      <c r="A558" s="543"/>
      <c r="B558" s="930"/>
      <c r="C558" s="930"/>
      <c r="D558" s="930"/>
      <c r="E558" s="930"/>
      <c r="F558" s="930"/>
      <c r="G558" s="930"/>
      <c r="H558" s="930"/>
      <c r="I558" s="930"/>
      <c r="J558" s="930"/>
      <c r="K558" s="930"/>
      <c r="L558" s="930"/>
      <c r="M558" s="930"/>
      <c r="N558" s="930"/>
      <c r="O558" s="930"/>
      <c r="P558" s="930"/>
      <c r="Q558" s="930"/>
      <c r="R558" s="930"/>
      <c r="S558" s="930"/>
      <c r="T558" s="930"/>
      <c r="U558" s="930"/>
    </row>
    <row r="559" spans="1:21" ht="15.75" customHeight="1" thickBot="1" x14ac:dyDescent="0.3">
      <c r="A559" s="543"/>
      <c r="B559" s="1948" t="s">
        <v>2012</v>
      </c>
      <c r="C559" s="1935"/>
      <c r="D559" s="1935"/>
      <c r="E559" s="1935"/>
      <c r="F559" s="1935"/>
      <c r="G559" s="1935"/>
      <c r="H559" s="1935"/>
      <c r="I559" s="1935"/>
      <c r="J559" s="1935"/>
      <c r="K559" s="1935"/>
      <c r="L559" s="1935"/>
      <c r="M559" s="1935"/>
      <c r="N559" s="1935"/>
      <c r="O559" s="1935"/>
      <c r="P559" s="1935"/>
      <c r="Q559" s="1935"/>
      <c r="R559" s="1935"/>
      <c r="S559" s="1935"/>
      <c r="T559" s="1935"/>
      <c r="U559" s="1936"/>
    </row>
    <row r="560" spans="1:21" ht="15.75" thickBot="1" x14ac:dyDescent="0.3">
      <c r="A560" s="543"/>
      <c r="B560" s="930"/>
      <c r="C560" s="930"/>
      <c r="D560" s="930"/>
      <c r="E560" s="930"/>
      <c r="F560" s="930"/>
      <c r="G560" s="930"/>
      <c r="H560" s="930"/>
      <c r="I560" s="930"/>
      <c r="J560" s="930"/>
      <c r="K560" s="930"/>
      <c r="L560" s="930"/>
      <c r="M560" s="930"/>
      <c r="N560" s="930"/>
      <c r="O560" s="930"/>
      <c r="P560" s="930"/>
      <c r="Q560" s="930"/>
      <c r="R560" s="930"/>
      <c r="S560" s="930"/>
      <c r="T560" s="930"/>
      <c r="U560" s="930"/>
    </row>
    <row r="561" spans="1:21" ht="30.75" customHeight="1" thickBot="1" x14ac:dyDescent="0.3">
      <c r="A561" s="543"/>
      <c r="B561" s="930"/>
      <c r="C561" s="923" t="s">
        <v>1383</v>
      </c>
      <c r="D561" s="1949" t="s">
        <v>1775</v>
      </c>
      <c r="E561" s="1950"/>
      <c r="F561" s="930"/>
      <c r="G561" s="930"/>
      <c r="H561" s="926" t="s">
        <v>1380</v>
      </c>
      <c r="I561" s="930"/>
      <c r="J561" s="926" t="s">
        <v>1381</v>
      </c>
      <c r="K561" s="930"/>
      <c r="L561" s="926" t="s">
        <v>1397</v>
      </c>
      <c r="M561" s="930"/>
      <c r="N561" s="926" t="s">
        <v>1382</v>
      </c>
      <c r="O561" s="930"/>
      <c r="P561" s="930"/>
      <c r="Q561" s="930"/>
      <c r="R561" s="926" t="s">
        <v>1487</v>
      </c>
      <c r="S561" s="930"/>
      <c r="T561" s="926" t="s">
        <v>1488</v>
      </c>
      <c r="U561" s="930"/>
    </row>
    <row r="562" spans="1:21" ht="15.75" thickBot="1" x14ac:dyDescent="0.3">
      <c r="A562" s="543"/>
      <c r="B562" s="930"/>
      <c r="C562" s="918"/>
      <c r="D562" s="918"/>
      <c r="E562" s="918"/>
      <c r="F562" s="930"/>
      <c r="G562" s="930"/>
      <c r="H562" s="956" t="str">
        <f>IF(T571="Yes",Incentives!G271,"")</f>
        <v/>
      </c>
      <c r="I562" s="930"/>
      <c r="J562" s="916" t="str">
        <f>IF(T571="Yes",Incentives!I271,"")</f>
        <v/>
      </c>
      <c r="K562" s="930"/>
      <c r="L562" s="1330" t="str">
        <f>IF(T571="Yes",Incentives!K271,"")</f>
        <v/>
      </c>
      <c r="M562" s="930"/>
      <c r="N562" s="956" t="str">
        <f>IF(AND(Incentives!M271&lt;&gt;"",T571="Yes"),Incentives!M271,"")</f>
        <v/>
      </c>
      <c r="O562" s="930"/>
      <c r="P562" s="930"/>
      <c r="Q562" s="930"/>
      <c r="R562" s="1297" t="s">
        <v>1602</v>
      </c>
      <c r="S562" s="930"/>
      <c r="T562" s="1297" t="s">
        <v>646</v>
      </c>
      <c r="U562" s="930"/>
    </row>
    <row r="563" spans="1:21" ht="30.75" thickBot="1" x14ac:dyDescent="0.3">
      <c r="A563" s="543"/>
      <c r="B563" s="930"/>
      <c r="C563" s="923" t="s">
        <v>1491</v>
      </c>
      <c r="D563" s="1951">
        <v>5305</v>
      </c>
      <c r="E563" s="1952"/>
      <c r="F563" s="930"/>
      <c r="G563" s="930"/>
      <c r="H563" s="930"/>
      <c r="I563" s="930"/>
      <c r="J563" s="930"/>
      <c r="K563" s="930"/>
      <c r="L563" s="930"/>
      <c r="M563" s="930"/>
      <c r="N563" s="930"/>
      <c r="O563" s="930"/>
      <c r="P563" s="930"/>
      <c r="Q563" s="930"/>
      <c r="R563" s="930"/>
      <c r="S563" s="930"/>
      <c r="T563" s="930"/>
      <c r="U563" s="930"/>
    </row>
    <row r="564" spans="1:21" ht="15.75" thickBot="1" x14ac:dyDescent="0.3">
      <c r="A564" s="543"/>
      <c r="B564" s="930"/>
      <c r="C564" s="918"/>
      <c r="D564" s="918"/>
      <c r="E564" s="918"/>
      <c r="F564" s="930"/>
      <c r="G564" s="930"/>
      <c r="H564" s="1326" t="s">
        <v>1396</v>
      </c>
      <c r="I564" s="930"/>
      <c r="J564" s="930"/>
      <c r="K564" s="930"/>
      <c r="L564" s="930"/>
      <c r="M564" s="930"/>
      <c r="N564" s="930"/>
      <c r="O564" s="930"/>
      <c r="P564" s="930"/>
      <c r="Q564" s="930"/>
      <c r="R564" s="926" t="s">
        <v>1603</v>
      </c>
      <c r="S564" s="930"/>
      <c r="T564" s="926" t="s">
        <v>1604</v>
      </c>
      <c r="U564" s="930"/>
    </row>
    <row r="565" spans="1:21" ht="15.75" thickBot="1" x14ac:dyDescent="0.3">
      <c r="A565" s="543"/>
      <c r="B565" s="930"/>
      <c r="C565" s="923" t="s">
        <v>1385</v>
      </c>
      <c r="D565" s="1953" t="str">
        <f>IF(T571="Yes",Incentives!E273,"")</f>
        <v/>
      </c>
      <c r="E565" s="1954"/>
      <c r="F565" s="930"/>
      <c r="G565" s="930"/>
      <c r="H565" s="1300" t="str">
        <f>IF(T571="Yes",Incentives!G274,"")</f>
        <v/>
      </c>
      <c r="I565" s="930"/>
      <c r="J565" s="930"/>
      <c r="K565" s="930"/>
      <c r="L565" s="930"/>
      <c r="M565" s="930"/>
      <c r="N565" s="930"/>
      <c r="O565" s="930"/>
      <c r="P565" s="930"/>
      <c r="Q565" s="930"/>
      <c r="R565" s="1297" t="s">
        <v>1610</v>
      </c>
      <c r="S565" s="930"/>
      <c r="T565" s="1297" t="s">
        <v>395</v>
      </c>
      <c r="U565" s="930"/>
    </row>
    <row r="566" spans="1:21" ht="15.75" thickBot="1" x14ac:dyDescent="0.3">
      <c r="A566" s="543"/>
      <c r="B566" s="930"/>
      <c r="C566" s="918"/>
      <c r="D566" s="918"/>
      <c r="E566" s="918"/>
      <c r="F566" s="930"/>
      <c r="G566" s="930"/>
      <c r="H566" s="930"/>
      <c r="I566" s="930"/>
      <c r="J566" s="930"/>
      <c r="K566" s="930"/>
      <c r="L566" s="930"/>
      <c r="M566" s="930"/>
      <c r="N566" s="930"/>
      <c r="O566" s="930"/>
      <c r="P566" s="930"/>
      <c r="Q566" s="930"/>
      <c r="R566" s="930"/>
      <c r="S566" s="930"/>
      <c r="T566" s="930"/>
      <c r="U566" s="930"/>
    </row>
    <row r="567" spans="1:21" ht="30" customHeight="1" thickBot="1" x14ac:dyDescent="0.3">
      <c r="A567" s="543"/>
      <c r="B567" s="930"/>
      <c r="C567" s="923" t="s">
        <v>1386</v>
      </c>
      <c r="D567" s="1953" t="str">
        <f>IF(T571="Yes",Incentives!E274,"")</f>
        <v/>
      </c>
      <c r="E567" s="1954"/>
      <c r="F567" s="930"/>
      <c r="G567" s="930"/>
      <c r="H567" s="1326" t="s">
        <v>1492</v>
      </c>
      <c r="I567" s="930"/>
      <c r="J567" s="1326" t="s">
        <v>2005</v>
      </c>
      <c r="K567" s="930"/>
      <c r="L567" s="1565" t="s">
        <v>2135</v>
      </c>
      <c r="M567" s="930"/>
      <c r="N567" s="926" t="s">
        <v>1482</v>
      </c>
      <c r="O567" s="930"/>
      <c r="P567" s="930"/>
      <c r="Q567" s="930"/>
      <c r="R567" s="930"/>
      <c r="S567" s="930"/>
      <c r="T567" s="926" t="s">
        <v>1599</v>
      </c>
      <c r="U567" s="930"/>
    </row>
    <row r="568" spans="1:21" ht="15.75" thickBot="1" x14ac:dyDescent="0.3">
      <c r="A568" s="543"/>
      <c r="B568" s="930"/>
      <c r="C568" s="918"/>
      <c r="D568" s="918"/>
      <c r="E568" s="918"/>
      <c r="F568" s="930"/>
      <c r="G568" s="930"/>
      <c r="H568" s="1297" t="s">
        <v>648</v>
      </c>
      <c r="I568" s="930"/>
      <c r="J568" s="999" t="str">
        <f>IF(T571="Yes",Incentives!G277,"")</f>
        <v/>
      </c>
      <c r="K568" s="930"/>
      <c r="L568" s="1566" t="str">
        <f>IF(T571="Yes",IF(R571="Yes","No","Yes"),"")</f>
        <v/>
      </c>
      <c r="M568" s="930"/>
      <c r="N568" s="1300" t="str">
        <f>IF(T571="Yes",Incentives!K277,"")</f>
        <v/>
      </c>
      <c r="O568" s="930"/>
      <c r="P568" s="930"/>
      <c r="Q568" s="930"/>
      <c r="R568" s="930"/>
      <c r="S568" s="930"/>
      <c r="T568" s="1297" t="s">
        <v>648</v>
      </c>
      <c r="U568" s="930"/>
    </row>
    <row r="569" spans="1:21" ht="30.75" thickBot="1" x14ac:dyDescent="0.3">
      <c r="A569" s="543"/>
      <c r="B569" s="930"/>
      <c r="C569" s="924" t="s">
        <v>1495</v>
      </c>
      <c r="D569" s="1955" t="s">
        <v>648</v>
      </c>
      <c r="E569" s="1952"/>
      <c r="F569" s="930"/>
      <c r="G569" s="930"/>
      <c r="H569" s="930"/>
      <c r="I569" s="930"/>
      <c r="J569" s="930"/>
      <c r="K569" s="930"/>
      <c r="L569" s="930"/>
      <c r="M569" s="930"/>
      <c r="N569" s="930"/>
      <c r="O569" s="930"/>
      <c r="P569" s="930"/>
      <c r="Q569" s="930"/>
      <c r="R569" s="930"/>
      <c r="S569" s="930"/>
      <c r="T569" s="930"/>
      <c r="U569" s="930"/>
    </row>
    <row r="570" spans="1:21" ht="15.75" thickBot="1" x14ac:dyDescent="0.3">
      <c r="A570" s="543"/>
      <c r="B570" s="930"/>
      <c r="C570" s="918"/>
      <c r="D570" s="918"/>
      <c r="E570" s="918"/>
      <c r="F570" s="930"/>
      <c r="G570" s="930"/>
      <c r="H570" s="930"/>
      <c r="I570" s="930"/>
      <c r="J570" s="930"/>
      <c r="K570" s="930"/>
      <c r="L570" s="930"/>
      <c r="M570" s="930"/>
      <c r="N570" s="930"/>
      <c r="O570" s="930"/>
      <c r="P570" s="930"/>
      <c r="Q570" s="930"/>
      <c r="R570" s="930"/>
      <c r="S570" s="930"/>
      <c r="T570" s="926" t="s">
        <v>523</v>
      </c>
      <c r="U570" s="930"/>
    </row>
    <row r="571" spans="1:21" ht="15.75" thickBot="1" x14ac:dyDescent="0.3">
      <c r="A571" s="543"/>
      <c r="B571" s="930"/>
      <c r="C571" s="923" t="s">
        <v>1496</v>
      </c>
      <c r="D571" s="1951" t="s">
        <v>1606</v>
      </c>
      <c r="E571" s="1936"/>
      <c r="F571" s="930"/>
      <c r="G571" s="930"/>
      <c r="H571" s="930"/>
      <c r="I571" s="930"/>
      <c r="J571" s="930"/>
      <c r="K571" s="930"/>
      <c r="L571" s="930"/>
      <c r="M571" s="930"/>
      <c r="N571" s="930"/>
      <c r="O571" s="930"/>
      <c r="P571" s="930"/>
      <c r="Q571" s="930"/>
      <c r="R571" s="1568">
        <f>Incentives!C270</f>
        <v>0</v>
      </c>
      <c r="S571" s="930"/>
      <c r="T571" s="1297" t="str">
        <f>Incentives!E270</f>
        <v>No</v>
      </c>
      <c r="U571" s="930"/>
    </row>
    <row r="572" spans="1:21" ht="15.75" thickBot="1" x14ac:dyDescent="0.3">
      <c r="A572" s="543"/>
      <c r="B572" s="930"/>
      <c r="C572" s="930"/>
      <c r="D572" s="930"/>
      <c r="E572" s="930"/>
      <c r="F572" s="930"/>
      <c r="G572" s="930"/>
      <c r="H572" s="930"/>
      <c r="I572" s="930"/>
      <c r="J572" s="930"/>
      <c r="K572" s="930"/>
      <c r="L572" s="930"/>
      <c r="M572" s="930"/>
      <c r="N572" s="930"/>
      <c r="O572" s="930"/>
      <c r="P572" s="930"/>
      <c r="Q572" s="930"/>
      <c r="R572" s="930"/>
      <c r="S572" s="930"/>
      <c r="T572" s="930"/>
      <c r="U572" s="930"/>
    </row>
    <row r="573" spans="1:21" ht="15.75" customHeight="1" thickBot="1" x14ac:dyDescent="0.3">
      <c r="A573" s="543"/>
      <c r="B573" s="1948" t="s">
        <v>2013</v>
      </c>
      <c r="C573" s="1935"/>
      <c r="D573" s="1935"/>
      <c r="E573" s="1935"/>
      <c r="F573" s="1935"/>
      <c r="G573" s="1935"/>
      <c r="H573" s="1935"/>
      <c r="I573" s="1935"/>
      <c r="J573" s="1935"/>
      <c r="K573" s="1935"/>
      <c r="L573" s="1935"/>
      <c r="M573" s="1935"/>
      <c r="N573" s="1935"/>
      <c r="O573" s="1935"/>
      <c r="P573" s="1935"/>
      <c r="Q573" s="1935"/>
      <c r="R573" s="1935"/>
      <c r="S573" s="1935"/>
      <c r="T573" s="1935"/>
      <c r="U573" s="1936"/>
    </row>
    <row r="574" spans="1:21" ht="15.75" thickBot="1" x14ac:dyDescent="0.3">
      <c r="A574" s="543"/>
      <c r="B574" s="930"/>
      <c r="C574" s="930"/>
      <c r="D574" s="930"/>
      <c r="E574" s="930"/>
      <c r="F574" s="930"/>
      <c r="G574" s="930"/>
      <c r="H574" s="930"/>
      <c r="I574" s="930"/>
      <c r="J574" s="930"/>
      <c r="K574" s="930"/>
      <c r="L574" s="930"/>
      <c r="M574" s="930"/>
      <c r="N574" s="930"/>
      <c r="O574" s="930"/>
      <c r="P574" s="930"/>
      <c r="Q574" s="930"/>
      <c r="R574" s="930"/>
      <c r="S574" s="930"/>
      <c r="T574" s="930"/>
      <c r="U574" s="930"/>
    </row>
    <row r="575" spans="1:21" ht="30.75" customHeight="1" thickBot="1" x14ac:dyDescent="0.3">
      <c r="A575" s="543"/>
      <c r="B575" s="930"/>
      <c r="C575" s="923" t="s">
        <v>1383</v>
      </c>
      <c r="D575" s="1949" t="s">
        <v>1775</v>
      </c>
      <c r="E575" s="1950"/>
      <c r="F575" s="930"/>
      <c r="G575" s="930"/>
      <c r="H575" s="926" t="s">
        <v>1380</v>
      </c>
      <c r="I575" s="930"/>
      <c r="J575" s="926" t="s">
        <v>1381</v>
      </c>
      <c r="K575" s="930"/>
      <c r="L575" s="926" t="s">
        <v>1397</v>
      </c>
      <c r="M575" s="930"/>
      <c r="N575" s="926" t="s">
        <v>1382</v>
      </c>
      <c r="O575" s="930"/>
      <c r="P575" s="930"/>
      <c r="Q575" s="930"/>
      <c r="R575" s="926" t="s">
        <v>1487</v>
      </c>
      <c r="S575" s="930"/>
      <c r="T575" s="926" t="s">
        <v>1488</v>
      </c>
      <c r="U575" s="930"/>
    </row>
    <row r="576" spans="1:21" ht="15.75" thickBot="1" x14ac:dyDescent="0.3">
      <c r="A576" s="543"/>
      <c r="B576" s="930"/>
      <c r="C576" s="918"/>
      <c r="D576" s="918"/>
      <c r="E576" s="918"/>
      <c r="F576" s="930"/>
      <c r="G576" s="930"/>
      <c r="H576" s="956" t="str">
        <f>IF(T585="Yes",Incentives!G282,"")</f>
        <v/>
      </c>
      <c r="I576" s="930"/>
      <c r="J576" s="916" t="str">
        <f>IF(T585="Yes",Incentives!I282,"")</f>
        <v/>
      </c>
      <c r="K576" s="930"/>
      <c r="L576" s="1330" t="str">
        <f>IF(T585="Yes",Incentives!K282,"")</f>
        <v/>
      </c>
      <c r="M576" s="930"/>
      <c r="N576" s="956" t="str">
        <f>IF(AND(Incentives!M282&lt;&gt;"",T585="Yes"),Incentives!M282,"")</f>
        <v/>
      </c>
      <c r="O576" s="930"/>
      <c r="P576" s="930"/>
      <c r="Q576" s="930"/>
      <c r="R576" s="1297" t="s">
        <v>1602</v>
      </c>
      <c r="S576" s="930"/>
      <c r="T576" s="1297" t="s">
        <v>646</v>
      </c>
      <c r="U576" s="930"/>
    </row>
    <row r="577" spans="1:21" ht="30.75" thickBot="1" x14ac:dyDescent="0.3">
      <c r="A577" s="543"/>
      <c r="B577" s="930"/>
      <c r="C577" s="923" t="s">
        <v>1491</v>
      </c>
      <c r="D577" s="1951">
        <v>5306</v>
      </c>
      <c r="E577" s="1952"/>
      <c r="F577" s="930"/>
      <c r="G577" s="930"/>
      <c r="H577" s="930"/>
      <c r="I577" s="930"/>
      <c r="J577" s="930"/>
      <c r="K577" s="930"/>
      <c r="L577" s="930"/>
      <c r="M577" s="930"/>
      <c r="N577" s="930"/>
      <c r="O577" s="930"/>
      <c r="P577" s="930"/>
      <c r="Q577" s="930"/>
      <c r="R577" s="930"/>
      <c r="S577" s="930"/>
      <c r="T577" s="930"/>
      <c r="U577" s="930"/>
    </row>
    <row r="578" spans="1:21" ht="15.75" thickBot="1" x14ac:dyDescent="0.3">
      <c r="A578" s="543"/>
      <c r="B578" s="930"/>
      <c r="C578" s="918"/>
      <c r="D578" s="918"/>
      <c r="E578" s="918"/>
      <c r="F578" s="930"/>
      <c r="G578" s="930"/>
      <c r="H578" s="1326" t="s">
        <v>1396</v>
      </c>
      <c r="I578" s="930"/>
      <c r="J578" s="930"/>
      <c r="K578" s="930"/>
      <c r="L578" s="930"/>
      <c r="M578" s="930"/>
      <c r="N578" s="930"/>
      <c r="O578" s="930"/>
      <c r="P578" s="930"/>
      <c r="Q578" s="930"/>
      <c r="R578" s="926" t="s">
        <v>1603</v>
      </c>
      <c r="S578" s="930"/>
      <c r="T578" s="926" t="s">
        <v>1604</v>
      </c>
      <c r="U578" s="930"/>
    </row>
    <row r="579" spans="1:21" ht="15.75" thickBot="1" x14ac:dyDescent="0.3">
      <c r="A579" s="543"/>
      <c r="B579" s="930"/>
      <c r="C579" s="923" t="s">
        <v>1385</v>
      </c>
      <c r="D579" s="1953" t="str">
        <f>IF(T585="Yes",Incentives!E284,"")</f>
        <v/>
      </c>
      <c r="E579" s="1954"/>
      <c r="F579" s="930"/>
      <c r="G579" s="930"/>
      <c r="H579" s="1300" t="str">
        <f>IF(T585="Yes",Incentives!G285,"")</f>
        <v/>
      </c>
      <c r="I579" s="930"/>
      <c r="J579" s="930"/>
      <c r="K579" s="930"/>
      <c r="L579" s="930"/>
      <c r="M579" s="930"/>
      <c r="N579" s="930"/>
      <c r="O579" s="930"/>
      <c r="P579" s="930"/>
      <c r="Q579" s="930"/>
      <c r="R579" s="1297" t="s">
        <v>1610</v>
      </c>
      <c r="S579" s="930"/>
      <c r="T579" s="1297" t="s">
        <v>395</v>
      </c>
      <c r="U579" s="930"/>
    </row>
    <row r="580" spans="1:21" ht="15.75" thickBot="1" x14ac:dyDescent="0.3">
      <c r="A580" s="543"/>
      <c r="B580" s="930"/>
      <c r="C580" s="918"/>
      <c r="D580" s="918"/>
      <c r="E580" s="918"/>
      <c r="F580" s="930"/>
      <c r="G580" s="930"/>
      <c r="H580" s="930"/>
      <c r="I580" s="930"/>
      <c r="J580" s="930"/>
      <c r="K580" s="930"/>
      <c r="L580" s="930"/>
      <c r="M580" s="930"/>
      <c r="N580" s="930"/>
      <c r="O580" s="930"/>
      <c r="P580" s="930"/>
      <c r="Q580" s="930"/>
      <c r="R580" s="930"/>
      <c r="S580" s="930"/>
      <c r="T580" s="930"/>
      <c r="U580" s="930"/>
    </row>
    <row r="581" spans="1:21" ht="30" customHeight="1" thickBot="1" x14ac:dyDescent="0.3">
      <c r="A581" s="543"/>
      <c r="B581" s="930"/>
      <c r="C581" s="923" t="s">
        <v>1386</v>
      </c>
      <c r="D581" s="1953" t="str">
        <f>IF(T585="Yes",Incentives!E285,"")</f>
        <v/>
      </c>
      <c r="E581" s="1954"/>
      <c r="F581" s="930"/>
      <c r="G581" s="930"/>
      <c r="H581" s="1326" t="s">
        <v>1492</v>
      </c>
      <c r="I581" s="930"/>
      <c r="J581" s="1326" t="s">
        <v>2005</v>
      </c>
      <c r="K581" s="930"/>
      <c r="L581" s="1565" t="s">
        <v>2135</v>
      </c>
      <c r="M581" s="930"/>
      <c r="N581" s="926" t="s">
        <v>1482</v>
      </c>
      <c r="O581" s="930"/>
      <c r="P581" s="930"/>
      <c r="Q581" s="930"/>
      <c r="R581" s="930"/>
      <c r="S581" s="930"/>
      <c r="T581" s="926" t="s">
        <v>1599</v>
      </c>
      <c r="U581" s="930"/>
    </row>
    <row r="582" spans="1:21" ht="15.75" thickBot="1" x14ac:dyDescent="0.3">
      <c r="A582" s="543"/>
      <c r="B582" s="930"/>
      <c r="C582" s="918"/>
      <c r="D582" s="918"/>
      <c r="E582" s="918"/>
      <c r="F582" s="930"/>
      <c r="G582" s="930"/>
      <c r="H582" s="1297" t="s">
        <v>648</v>
      </c>
      <c r="I582" s="930"/>
      <c r="J582" s="999" t="str">
        <f>IF(T585="Yes",Incentives!G288,"")</f>
        <v/>
      </c>
      <c r="K582" s="930"/>
      <c r="L582" s="1566" t="str">
        <f>IF(T585="Yes",IF(R585="Yes","No","Yes"),"")</f>
        <v/>
      </c>
      <c r="M582" s="930"/>
      <c r="N582" s="1300" t="str">
        <f>IF(T585="Yes",Incentives!K288,"")</f>
        <v/>
      </c>
      <c r="O582" s="930"/>
      <c r="P582" s="930"/>
      <c r="Q582" s="930"/>
      <c r="R582" s="930"/>
      <c r="S582" s="930"/>
      <c r="T582" s="1297" t="s">
        <v>648</v>
      </c>
      <c r="U582" s="930"/>
    </row>
    <row r="583" spans="1:21" ht="30.75" thickBot="1" x14ac:dyDescent="0.3">
      <c r="A583" s="543"/>
      <c r="B583" s="930"/>
      <c r="C583" s="924" t="s">
        <v>1495</v>
      </c>
      <c r="D583" s="1955" t="s">
        <v>648</v>
      </c>
      <c r="E583" s="1952"/>
      <c r="F583" s="930"/>
      <c r="G583" s="930"/>
      <c r="H583" s="930"/>
      <c r="I583" s="930"/>
      <c r="J583" s="930"/>
      <c r="K583" s="930"/>
      <c r="L583" s="930"/>
      <c r="M583" s="930"/>
      <c r="N583" s="930"/>
      <c r="O583" s="930"/>
      <c r="P583" s="930"/>
      <c r="Q583" s="930"/>
      <c r="R583" s="930"/>
      <c r="S583" s="930"/>
      <c r="T583" s="930"/>
      <c r="U583" s="930"/>
    </row>
    <row r="584" spans="1:21" ht="15.75" thickBot="1" x14ac:dyDescent="0.3">
      <c r="A584" s="543"/>
      <c r="B584" s="930"/>
      <c r="C584" s="918"/>
      <c r="D584" s="918"/>
      <c r="E584" s="918"/>
      <c r="F584" s="930"/>
      <c r="G584" s="930"/>
      <c r="H584" s="930"/>
      <c r="I584" s="930"/>
      <c r="J584" s="930"/>
      <c r="K584" s="930"/>
      <c r="L584" s="930"/>
      <c r="M584" s="930"/>
      <c r="N584" s="930"/>
      <c r="O584" s="930"/>
      <c r="P584" s="930"/>
      <c r="Q584" s="930"/>
      <c r="R584" s="930"/>
      <c r="S584" s="930"/>
      <c r="T584" s="926" t="s">
        <v>523</v>
      </c>
      <c r="U584" s="930"/>
    </row>
    <row r="585" spans="1:21" ht="15.75" thickBot="1" x14ac:dyDescent="0.3">
      <c r="A585" s="543"/>
      <c r="B585" s="930"/>
      <c r="C585" s="923" t="s">
        <v>1496</v>
      </c>
      <c r="D585" s="1951" t="s">
        <v>1606</v>
      </c>
      <c r="E585" s="1936"/>
      <c r="F585" s="930"/>
      <c r="G585" s="930"/>
      <c r="H585" s="930"/>
      <c r="I585" s="930"/>
      <c r="J585" s="930"/>
      <c r="K585" s="930"/>
      <c r="L585" s="930"/>
      <c r="M585" s="930"/>
      <c r="N585" s="930"/>
      <c r="O585" s="930"/>
      <c r="P585" s="930"/>
      <c r="Q585" s="930"/>
      <c r="R585" s="1568">
        <f>Incentives!C281</f>
        <v>0</v>
      </c>
      <c r="S585" s="930"/>
      <c r="T585" s="1297" t="str">
        <f>Incentives!E281</f>
        <v>No</v>
      </c>
      <c r="U585" s="930"/>
    </row>
    <row r="586" spans="1:21" ht="15.75" thickBot="1" x14ac:dyDescent="0.3">
      <c r="A586" s="543"/>
      <c r="B586" s="930"/>
      <c r="C586" s="930"/>
      <c r="D586" s="930"/>
      <c r="E586" s="930"/>
      <c r="F586" s="930"/>
      <c r="G586" s="930"/>
      <c r="H586" s="930"/>
      <c r="I586" s="930"/>
      <c r="J586" s="930"/>
      <c r="K586" s="930"/>
      <c r="L586" s="930"/>
      <c r="M586" s="930"/>
      <c r="N586" s="930"/>
      <c r="O586" s="930"/>
      <c r="P586" s="930"/>
      <c r="Q586" s="930"/>
      <c r="R586" s="930"/>
      <c r="S586" s="930"/>
      <c r="T586" s="930"/>
      <c r="U586" s="930"/>
    </row>
    <row r="587" spans="1:21" ht="15.75" customHeight="1" thickBot="1" x14ac:dyDescent="0.3">
      <c r="A587" s="543"/>
      <c r="B587" s="1948" t="s">
        <v>2014</v>
      </c>
      <c r="C587" s="1935"/>
      <c r="D587" s="1935"/>
      <c r="E587" s="1935"/>
      <c r="F587" s="1935"/>
      <c r="G587" s="1935"/>
      <c r="H587" s="1935"/>
      <c r="I587" s="1935"/>
      <c r="J587" s="1935"/>
      <c r="K587" s="1935"/>
      <c r="L587" s="1935"/>
      <c r="M587" s="1935"/>
      <c r="N587" s="1935"/>
      <c r="O587" s="1935"/>
      <c r="P587" s="1935"/>
      <c r="Q587" s="1935"/>
      <c r="R587" s="1935"/>
      <c r="S587" s="1935"/>
      <c r="T587" s="1935"/>
      <c r="U587" s="1936"/>
    </row>
    <row r="588" spans="1:21" ht="15.75" thickBot="1" x14ac:dyDescent="0.3">
      <c r="A588" s="543"/>
      <c r="B588" s="930"/>
      <c r="C588" s="930"/>
      <c r="D588" s="930"/>
      <c r="E588" s="930"/>
      <c r="F588" s="930"/>
      <c r="G588" s="930"/>
      <c r="H588" s="930"/>
      <c r="I588" s="930"/>
      <c r="J588" s="930"/>
      <c r="K588" s="930"/>
      <c r="L588" s="930"/>
      <c r="M588" s="930"/>
      <c r="N588" s="930"/>
      <c r="O588" s="930"/>
      <c r="P588" s="930"/>
      <c r="Q588" s="930"/>
      <c r="R588" s="930"/>
      <c r="S588" s="930"/>
      <c r="T588" s="930"/>
      <c r="U588" s="930"/>
    </row>
    <row r="589" spans="1:21" ht="30.75" customHeight="1" thickBot="1" x14ac:dyDescent="0.3">
      <c r="A589" s="543"/>
      <c r="B589" s="930"/>
      <c r="C589" s="923" t="s">
        <v>1383</v>
      </c>
      <c r="D589" s="1949" t="s">
        <v>1775</v>
      </c>
      <c r="E589" s="1950"/>
      <c r="F589" s="930"/>
      <c r="G589" s="930"/>
      <c r="H589" s="926" t="s">
        <v>1380</v>
      </c>
      <c r="I589" s="930"/>
      <c r="J589" s="926" t="s">
        <v>1381</v>
      </c>
      <c r="K589" s="930"/>
      <c r="L589" s="926" t="s">
        <v>1397</v>
      </c>
      <c r="M589" s="930"/>
      <c r="N589" s="926" t="s">
        <v>1382</v>
      </c>
      <c r="O589" s="930"/>
      <c r="P589" s="930"/>
      <c r="Q589" s="930"/>
      <c r="R589" s="926" t="s">
        <v>1487</v>
      </c>
      <c r="S589" s="930"/>
      <c r="T589" s="926" t="s">
        <v>1488</v>
      </c>
      <c r="U589" s="930"/>
    </row>
    <row r="590" spans="1:21" ht="15.75" thickBot="1" x14ac:dyDescent="0.3">
      <c r="A590" s="543"/>
      <c r="B590" s="930"/>
      <c r="C590" s="918"/>
      <c r="D590" s="918"/>
      <c r="E590" s="918"/>
      <c r="F590" s="930"/>
      <c r="G590" s="930"/>
      <c r="H590" s="956" t="str">
        <f>IF(T599="Yes",Incentives!G293,"")</f>
        <v/>
      </c>
      <c r="I590" s="930"/>
      <c r="J590" s="916" t="str">
        <f>IF(T599="Yes",Incentives!I293,"")</f>
        <v/>
      </c>
      <c r="K590" s="930"/>
      <c r="L590" s="1330" t="str">
        <f>IF(T599="Yes",Incentives!K293,"")</f>
        <v/>
      </c>
      <c r="M590" s="930"/>
      <c r="N590" s="956" t="str">
        <f>IF(T599="Yes",Incentives!M293,"")</f>
        <v/>
      </c>
      <c r="O590" s="930"/>
      <c r="P590" s="930"/>
      <c r="Q590" s="930"/>
      <c r="R590" s="1297" t="s">
        <v>1602</v>
      </c>
      <c r="S590" s="930"/>
      <c r="T590" s="1297" t="s">
        <v>646</v>
      </c>
      <c r="U590" s="930"/>
    </row>
    <row r="591" spans="1:21" ht="30.75" thickBot="1" x14ac:dyDescent="0.3">
      <c r="A591" s="543"/>
      <c r="B591" s="930"/>
      <c r="C591" s="923" t="s">
        <v>1491</v>
      </c>
      <c r="D591" s="1951">
        <v>5307</v>
      </c>
      <c r="E591" s="1952"/>
      <c r="F591" s="930"/>
      <c r="G591" s="930"/>
      <c r="H591" s="930"/>
      <c r="I591" s="930"/>
      <c r="J591" s="930"/>
      <c r="K591" s="930"/>
      <c r="L591" s="930"/>
      <c r="M591" s="930"/>
      <c r="N591" s="930"/>
      <c r="O591" s="930"/>
      <c r="P591" s="930"/>
      <c r="Q591" s="930"/>
      <c r="R591" s="930"/>
      <c r="S591" s="930"/>
      <c r="T591" s="930"/>
      <c r="U591" s="930"/>
    </row>
    <row r="592" spans="1:21" ht="15.75" thickBot="1" x14ac:dyDescent="0.3">
      <c r="A592" s="543"/>
      <c r="B592" s="930"/>
      <c r="C592" s="918"/>
      <c r="D592" s="918"/>
      <c r="E592" s="918"/>
      <c r="F592" s="930"/>
      <c r="G592" s="930"/>
      <c r="H592" s="1326" t="s">
        <v>1396</v>
      </c>
      <c r="I592" s="930"/>
      <c r="J592" s="930"/>
      <c r="K592" s="930"/>
      <c r="L592" s="930"/>
      <c r="M592" s="930"/>
      <c r="N592" s="930"/>
      <c r="O592" s="930"/>
      <c r="P592" s="930"/>
      <c r="Q592" s="930"/>
      <c r="R592" s="926" t="s">
        <v>1603</v>
      </c>
      <c r="S592" s="930"/>
      <c r="T592" s="926" t="s">
        <v>1604</v>
      </c>
      <c r="U592" s="930"/>
    </row>
    <row r="593" spans="1:21" ht="15.75" thickBot="1" x14ac:dyDescent="0.3">
      <c r="A593" s="543"/>
      <c r="B593" s="930"/>
      <c r="C593" s="923" t="s">
        <v>1385</v>
      </c>
      <c r="D593" s="1953" t="str">
        <f>IF(T599="Yes",Incentives!E295,"")</f>
        <v/>
      </c>
      <c r="E593" s="1954"/>
      <c r="F593" s="930"/>
      <c r="G593" s="930"/>
      <c r="H593" s="1300" t="str">
        <f>IF(T599="Yes",Incentives!G296,"")</f>
        <v/>
      </c>
      <c r="I593" s="930"/>
      <c r="J593" s="930"/>
      <c r="K593" s="930"/>
      <c r="L593" s="930"/>
      <c r="M593" s="930"/>
      <c r="N593" s="930"/>
      <c r="O593" s="930"/>
      <c r="P593" s="930"/>
      <c r="Q593" s="930"/>
      <c r="R593" s="1297" t="s">
        <v>1610</v>
      </c>
      <c r="S593" s="930"/>
      <c r="T593" s="1297" t="s">
        <v>395</v>
      </c>
      <c r="U593" s="930"/>
    </row>
    <row r="594" spans="1:21" ht="15.75" thickBot="1" x14ac:dyDescent="0.3">
      <c r="A594" s="543"/>
      <c r="B594" s="930"/>
      <c r="C594" s="918"/>
      <c r="D594" s="918"/>
      <c r="E594" s="918"/>
      <c r="F594" s="930"/>
      <c r="G594" s="930"/>
      <c r="H594" s="930"/>
      <c r="I594" s="930"/>
      <c r="J594" s="930"/>
      <c r="K594" s="930"/>
      <c r="L594" s="930"/>
      <c r="M594" s="930"/>
      <c r="N594" s="930"/>
      <c r="O594" s="930"/>
      <c r="P594" s="930"/>
      <c r="Q594" s="930"/>
      <c r="R594" s="930"/>
      <c r="S594" s="930"/>
      <c r="T594" s="930"/>
      <c r="U594" s="930"/>
    </row>
    <row r="595" spans="1:21" ht="30" customHeight="1" thickBot="1" x14ac:dyDescent="0.3">
      <c r="A595" s="543"/>
      <c r="B595" s="930"/>
      <c r="C595" s="923" t="s">
        <v>1386</v>
      </c>
      <c r="D595" s="1953" t="str">
        <f>IF(T599="Yes",Incentives!E296,"")</f>
        <v/>
      </c>
      <c r="E595" s="1954"/>
      <c r="F595" s="930"/>
      <c r="G595" s="930"/>
      <c r="H595" s="1326" t="s">
        <v>1492</v>
      </c>
      <c r="I595" s="930"/>
      <c r="J595" s="1326" t="s">
        <v>2005</v>
      </c>
      <c r="K595" s="930"/>
      <c r="L595" s="1565" t="s">
        <v>2135</v>
      </c>
      <c r="M595" s="930"/>
      <c r="N595" s="926" t="s">
        <v>1482</v>
      </c>
      <c r="O595" s="930"/>
      <c r="P595" s="930"/>
      <c r="Q595" s="930"/>
      <c r="R595" s="930"/>
      <c r="S595" s="930"/>
      <c r="T595" s="926" t="s">
        <v>1599</v>
      </c>
      <c r="U595" s="930"/>
    </row>
    <row r="596" spans="1:21" ht="15.75" thickBot="1" x14ac:dyDescent="0.3">
      <c r="A596" s="543"/>
      <c r="B596" s="930"/>
      <c r="C596" s="918"/>
      <c r="D596" s="918"/>
      <c r="E596" s="918"/>
      <c r="F596" s="930"/>
      <c r="G596" s="930"/>
      <c r="H596" s="1297" t="s">
        <v>648</v>
      </c>
      <c r="I596" s="930"/>
      <c r="J596" s="999" t="str">
        <f>IF(T599="Yes",Incentives!G299,"")</f>
        <v/>
      </c>
      <c r="K596" s="930"/>
      <c r="L596" s="1566" t="str">
        <f>IF(T599="Yes",IF(R599="Yes","No","Yes"),"")</f>
        <v/>
      </c>
      <c r="M596" s="930"/>
      <c r="N596" s="1300" t="str">
        <f>IF(T599="Yes",Incentives!K299,"")</f>
        <v/>
      </c>
      <c r="O596" s="930"/>
      <c r="P596" s="930"/>
      <c r="Q596" s="930"/>
      <c r="R596" s="930"/>
      <c r="S596" s="930"/>
      <c r="T596" s="1297" t="s">
        <v>648</v>
      </c>
      <c r="U596" s="930"/>
    </row>
    <row r="597" spans="1:21" ht="30.75" thickBot="1" x14ac:dyDescent="0.3">
      <c r="A597" s="543"/>
      <c r="B597" s="930"/>
      <c r="C597" s="924" t="s">
        <v>1495</v>
      </c>
      <c r="D597" s="1955" t="s">
        <v>648</v>
      </c>
      <c r="E597" s="1952"/>
      <c r="F597" s="930"/>
      <c r="G597" s="930"/>
      <c r="H597" s="930"/>
      <c r="I597" s="930"/>
      <c r="J597" s="930"/>
      <c r="K597" s="930"/>
      <c r="L597" s="930"/>
      <c r="M597" s="930"/>
      <c r="N597" s="930"/>
      <c r="O597" s="930"/>
      <c r="P597" s="930"/>
      <c r="Q597" s="930"/>
      <c r="R597" s="930"/>
      <c r="S597" s="930"/>
      <c r="T597" s="930"/>
      <c r="U597" s="930"/>
    </row>
    <row r="598" spans="1:21" ht="15.75" thickBot="1" x14ac:dyDescent="0.3">
      <c r="A598" s="543"/>
      <c r="B598" s="930"/>
      <c r="C598" s="918"/>
      <c r="D598" s="918"/>
      <c r="E598" s="918"/>
      <c r="F598" s="930"/>
      <c r="G598" s="930"/>
      <c r="H598" s="930"/>
      <c r="I598" s="930"/>
      <c r="J598" s="930"/>
      <c r="K598" s="930"/>
      <c r="L598" s="930"/>
      <c r="M598" s="930"/>
      <c r="N598" s="930"/>
      <c r="O598" s="930"/>
      <c r="P598" s="930"/>
      <c r="Q598" s="930"/>
      <c r="R598" s="930"/>
      <c r="S598" s="930"/>
      <c r="T598" s="926" t="s">
        <v>523</v>
      </c>
      <c r="U598" s="930"/>
    </row>
    <row r="599" spans="1:21" ht="15.75" thickBot="1" x14ac:dyDescent="0.3">
      <c r="A599" s="543"/>
      <c r="B599" s="930"/>
      <c r="C599" s="923" t="s">
        <v>1496</v>
      </c>
      <c r="D599" s="1951" t="s">
        <v>1606</v>
      </c>
      <c r="E599" s="1936"/>
      <c r="F599" s="930"/>
      <c r="G599" s="930"/>
      <c r="H599" s="930"/>
      <c r="I599" s="930"/>
      <c r="J599" s="930"/>
      <c r="K599" s="930"/>
      <c r="L599" s="930"/>
      <c r="M599" s="930"/>
      <c r="N599" s="930"/>
      <c r="O599" s="930"/>
      <c r="P599" s="930"/>
      <c r="Q599" s="930"/>
      <c r="R599" s="1568">
        <f>Incentives!C292</f>
        <v>0</v>
      </c>
      <c r="S599" s="930"/>
      <c r="T599" s="1297" t="str">
        <f>Incentives!E292</f>
        <v>No</v>
      </c>
      <c r="U599" s="930"/>
    </row>
    <row r="600" spans="1:21" ht="15.75" thickBot="1" x14ac:dyDescent="0.3">
      <c r="A600" s="543"/>
      <c r="B600" s="930"/>
      <c r="C600" s="930"/>
      <c r="D600" s="930"/>
      <c r="E600" s="930"/>
      <c r="F600" s="930"/>
      <c r="G600" s="930"/>
      <c r="H600" s="930"/>
      <c r="I600" s="930"/>
      <c r="J600" s="930"/>
      <c r="K600" s="930"/>
      <c r="L600" s="930"/>
      <c r="M600" s="930"/>
      <c r="N600" s="930"/>
      <c r="O600" s="930"/>
      <c r="P600" s="930"/>
      <c r="Q600" s="930"/>
      <c r="R600" s="930"/>
      <c r="S600" s="930"/>
      <c r="T600" s="930"/>
      <c r="U600" s="930"/>
    </row>
    <row r="601" spans="1:21" ht="15.75" customHeight="1" thickBot="1" x14ac:dyDescent="0.3">
      <c r="A601" s="543"/>
      <c r="B601" s="1948" t="s">
        <v>2015</v>
      </c>
      <c r="C601" s="1935"/>
      <c r="D601" s="1935"/>
      <c r="E601" s="1935"/>
      <c r="F601" s="1935"/>
      <c r="G601" s="1935"/>
      <c r="H601" s="1935"/>
      <c r="I601" s="1935"/>
      <c r="J601" s="1935"/>
      <c r="K601" s="1935"/>
      <c r="L601" s="1935"/>
      <c r="M601" s="1935"/>
      <c r="N601" s="1935"/>
      <c r="O601" s="1935"/>
      <c r="P601" s="1935"/>
      <c r="Q601" s="1935"/>
      <c r="R601" s="1935"/>
      <c r="S601" s="1935"/>
      <c r="T601" s="1935"/>
      <c r="U601" s="1936"/>
    </row>
    <row r="602" spans="1:21" ht="15.75" thickBot="1" x14ac:dyDescent="0.3">
      <c r="A602" s="543"/>
      <c r="B602" s="930"/>
      <c r="C602" s="930"/>
      <c r="D602" s="930"/>
      <c r="E602" s="930"/>
      <c r="F602" s="930"/>
      <c r="G602" s="930"/>
      <c r="H602" s="930"/>
      <c r="I602" s="930"/>
      <c r="J602" s="930"/>
      <c r="K602" s="930"/>
      <c r="L602" s="930"/>
      <c r="M602" s="930"/>
      <c r="N602" s="930"/>
      <c r="O602" s="930"/>
      <c r="P602" s="930"/>
      <c r="Q602" s="930"/>
      <c r="R602" s="930"/>
      <c r="S602" s="930"/>
      <c r="T602" s="930"/>
      <c r="U602" s="930"/>
    </row>
    <row r="603" spans="1:21" ht="30.75" customHeight="1" thickBot="1" x14ac:dyDescent="0.3">
      <c r="A603" s="543"/>
      <c r="B603" s="930"/>
      <c r="C603" s="923" t="s">
        <v>1383</v>
      </c>
      <c r="D603" s="1949" t="s">
        <v>1775</v>
      </c>
      <c r="E603" s="1950"/>
      <c r="F603" s="930"/>
      <c r="G603" s="930"/>
      <c r="H603" s="926" t="s">
        <v>1380</v>
      </c>
      <c r="I603" s="930"/>
      <c r="J603" s="926" t="s">
        <v>1381</v>
      </c>
      <c r="K603" s="930"/>
      <c r="L603" s="926" t="s">
        <v>1397</v>
      </c>
      <c r="M603" s="930"/>
      <c r="N603" s="926" t="s">
        <v>1382</v>
      </c>
      <c r="O603" s="930"/>
      <c r="P603" s="930"/>
      <c r="Q603" s="930"/>
      <c r="R603" s="926" t="s">
        <v>1487</v>
      </c>
      <c r="S603" s="930"/>
      <c r="T603" s="926" t="s">
        <v>1488</v>
      </c>
      <c r="U603" s="930"/>
    </row>
    <row r="604" spans="1:21" ht="15.75" thickBot="1" x14ac:dyDescent="0.3">
      <c r="A604" s="543"/>
      <c r="B604" s="930"/>
      <c r="C604" s="918"/>
      <c r="D604" s="918"/>
      <c r="E604" s="918"/>
      <c r="F604" s="930"/>
      <c r="G604" s="930"/>
      <c r="H604" s="956" t="str">
        <f>IF(T613="Yes",Incentives!G304,"")</f>
        <v/>
      </c>
      <c r="I604" s="930"/>
      <c r="J604" s="916" t="str">
        <f>IF(T613="Yes",Incentives!I304,"")</f>
        <v/>
      </c>
      <c r="K604" s="930"/>
      <c r="L604" s="1330" t="str">
        <f>IF(T613="Yes",Incentives!K304,"")</f>
        <v/>
      </c>
      <c r="M604" s="930"/>
      <c r="N604" s="956" t="str">
        <f>IF(AND(Incentives!M304&lt;&gt;"",T613="Yes"),Incentives!M304,"")</f>
        <v/>
      </c>
      <c r="O604" s="930"/>
      <c r="P604" s="930"/>
      <c r="Q604" s="930"/>
      <c r="R604" s="1297" t="s">
        <v>1602</v>
      </c>
      <c r="S604" s="930"/>
      <c r="T604" s="1297" t="s">
        <v>646</v>
      </c>
      <c r="U604" s="930"/>
    </row>
    <row r="605" spans="1:21" ht="30.75" thickBot="1" x14ac:dyDescent="0.3">
      <c r="A605" s="543"/>
      <c r="B605" s="930"/>
      <c r="C605" s="923" t="s">
        <v>1491</v>
      </c>
      <c r="D605" s="1951">
        <v>5308</v>
      </c>
      <c r="E605" s="1952"/>
      <c r="F605" s="930"/>
      <c r="G605" s="930"/>
      <c r="H605" s="930"/>
      <c r="I605" s="930"/>
      <c r="J605" s="930"/>
      <c r="K605" s="930"/>
      <c r="L605" s="930"/>
      <c r="M605" s="930"/>
      <c r="N605" s="930"/>
      <c r="O605" s="930"/>
      <c r="P605" s="930"/>
      <c r="Q605" s="930"/>
      <c r="R605" s="930"/>
      <c r="S605" s="930"/>
      <c r="T605" s="930"/>
      <c r="U605" s="930"/>
    </row>
    <row r="606" spans="1:21" ht="15.75" thickBot="1" x14ac:dyDescent="0.3">
      <c r="A606" s="543"/>
      <c r="B606" s="930"/>
      <c r="C606" s="918"/>
      <c r="D606" s="918"/>
      <c r="E606" s="918"/>
      <c r="F606" s="930"/>
      <c r="G606" s="930"/>
      <c r="H606" s="1326" t="s">
        <v>1396</v>
      </c>
      <c r="I606" s="930"/>
      <c r="J606" s="930"/>
      <c r="K606" s="930"/>
      <c r="L606" s="930"/>
      <c r="M606" s="930"/>
      <c r="N606" s="930"/>
      <c r="O606" s="930"/>
      <c r="P606" s="930"/>
      <c r="Q606" s="930"/>
      <c r="R606" s="926" t="s">
        <v>1603</v>
      </c>
      <c r="S606" s="930"/>
      <c r="T606" s="926" t="s">
        <v>1604</v>
      </c>
      <c r="U606" s="930"/>
    </row>
    <row r="607" spans="1:21" ht="15.75" thickBot="1" x14ac:dyDescent="0.3">
      <c r="A607" s="543"/>
      <c r="B607" s="930"/>
      <c r="C607" s="923" t="s">
        <v>1385</v>
      </c>
      <c r="D607" s="1953" t="str">
        <f>IF(T613="Yes",Incentives!E306,"")</f>
        <v/>
      </c>
      <c r="E607" s="1954"/>
      <c r="F607" s="930"/>
      <c r="G607" s="930"/>
      <c r="H607" s="1300" t="str">
        <f>IF(T613="Yes",Incentives!G307,"")</f>
        <v/>
      </c>
      <c r="I607" s="930"/>
      <c r="J607" s="930"/>
      <c r="K607" s="930"/>
      <c r="L607" s="930"/>
      <c r="M607" s="930"/>
      <c r="N607" s="930"/>
      <c r="O607" s="930"/>
      <c r="P607" s="930"/>
      <c r="Q607" s="930"/>
      <c r="R607" s="1297" t="s">
        <v>1610</v>
      </c>
      <c r="S607" s="930"/>
      <c r="T607" s="1297" t="s">
        <v>395</v>
      </c>
      <c r="U607" s="930"/>
    </row>
    <row r="608" spans="1:21" ht="15.75" thickBot="1" x14ac:dyDescent="0.3">
      <c r="A608" s="543"/>
      <c r="B608" s="930"/>
      <c r="C608" s="918"/>
      <c r="D608" s="918"/>
      <c r="E608" s="918"/>
      <c r="F608" s="930"/>
      <c r="G608" s="930"/>
      <c r="H608" s="930"/>
      <c r="I608" s="930"/>
      <c r="J608" s="930"/>
      <c r="K608" s="930"/>
      <c r="L608" s="930"/>
      <c r="M608" s="930"/>
      <c r="N608" s="930"/>
      <c r="O608" s="930"/>
      <c r="P608" s="930"/>
      <c r="Q608" s="930"/>
      <c r="R608" s="930"/>
      <c r="S608" s="930"/>
      <c r="T608" s="930"/>
      <c r="U608" s="930"/>
    </row>
    <row r="609" spans="1:21" ht="30" customHeight="1" thickBot="1" x14ac:dyDescent="0.3">
      <c r="A609" s="543"/>
      <c r="B609" s="930"/>
      <c r="C609" s="923" t="s">
        <v>1386</v>
      </c>
      <c r="D609" s="1953" t="str">
        <f>IF(T613="Yes",Incentives!E307,"")</f>
        <v/>
      </c>
      <c r="E609" s="1954"/>
      <c r="F609" s="930"/>
      <c r="G609" s="930"/>
      <c r="H609" s="1326" t="s">
        <v>1492</v>
      </c>
      <c r="I609" s="930"/>
      <c r="J609" s="1326" t="s">
        <v>2005</v>
      </c>
      <c r="K609" s="930"/>
      <c r="L609" s="1565" t="s">
        <v>2135</v>
      </c>
      <c r="M609" s="930"/>
      <c r="N609" s="926" t="s">
        <v>1482</v>
      </c>
      <c r="O609" s="930"/>
      <c r="P609" s="930"/>
      <c r="Q609" s="930"/>
      <c r="R609" s="930"/>
      <c r="S609" s="930"/>
      <c r="T609" s="926" t="s">
        <v>1599</v>
      </c>
      <c r="U609" s="930"/>
    </row>
    <row r="610" spans="1:21" ht="15.75" thickBot="1" x14ac:dyDescent="0.3">
      <c r="A610" s="543"/>
      <c r="B610" s="930"/>
      <c r="C610" s="918"/>
      <c r="D610" s="918"/>
      <c r="E610" s="918"/>
      <c r="F610" s="930"/>
      <c r="G610" s="930"/>
      <c r="H610" s="1297" t="s">
        <v>648</v>
      </c>
      <c r="I610" s="930"/>
      <c r="J610" s="999" t="str">
        <f>IF(T613="Yes",Incentives!G310,"")</f>
        <v/>
      </c>
      <c r="K610" s="930"/>
      <c r="L610" s="1566" t="str">
        <f>IF(T613="Yes",IF(R613="Yes","No","Yes"),"")</f>
        <v/>
      </c>
      <c r="M610" s="930"/>
      <c r="N610" s="1300" t="str">
        <f>IF(T613="Yes",Incentives!K310,"")</f>
        <v/>
      </c>
      <c r="O610" s="930"/>
      <c r="P610" s="930"/>
      <c r="Q610" s="930"/>
      <c r="R610" s="930"/>
      <c r="S610" s="930"/>
      <c r="T610" s="1297" t="s">
        <v>648</v>
      </c>
      <c r="U610" s="930"/>
    </row>
    <row r="611" spans="1:21" ht="30.75" thickBot="1" x14ac:dyDescent="0.3">
      <c r="A611" s="543"/>
      <c r="B611" s="930"/>
      <c r="C611" s="924" t="s">
        <v>1495</v>
      </c>
      <c r="D611" s="1955" t="s">
        <v>648</v>
      </c>
      <c r="E611" s="1952"/>
      <c r="F611" s="930"/>
      <c r="G611" s="930"/>
      <c r="H611" s="930"/>
      <c r="I611" s="930"/>
      <c r="J611" s="930"/>
      <c r="K611" s="930"/>
      <c r="L611" s="930"/>
      <c r="M611" s="930"/>
      <c r="N611" s="930"/>
      <c r="O611" s="930"/>
      <c r="P611" s="930"/>
      <c r="Q611" s="930"/>
      <c r="R611" s="930"/>
      <c r="S611" s="930"/>
      <c r="T611" s="930"/>
      <c r="U611" s="930"/>
    </row>
    <row r="612" spans="1:21" ht="15.75" thickBot="1" x14ac:dyDescent="0.3">
      <c r="A612" s="543"/>
      <c r="B612" s="930"/>
      <c r="C612" s="918"/>
      <c r="D612" s="918"/>
      <c r="E612" s="918"/>
      <c r="F612" s="930"/>
      <c r="G612" s="930"/>
      <c r="H612" s="930"/>
      <c r="I612" s="930"/>
      <c r="J612" s="930"/>
      <c r="K612" s="930"/>
      <c r="L612" s="930"/>
      <c r="M612" s="930"/>
      <c r="N612" s="930"/>
      <c r="O612" s="930"/>
      <c r="P612" s="930"/>
      <c r="Q612" s="930"/>
      <c r="R612" s="930"/>
      <c r="S612" s="930"/>
      <c r="T612" s="926" t="s">
        <v>523</v>
      </c>
      <c r="U612" s="930"/>
    </row>
    <row r="613" spans="1:21" ht="15.75" thickBot="1" x14ac:dyDescent="0.3">
      <c r="A613" s="543"/>
      <c r="B613" s="930"/>
      <c r="C613" s="923" t="s">
        <v>1496</v>
      </c>
      <c r="D613" s="1951" t="s">
        <v>1606</v>
      </c>
      <c r="E613" s="1936"/>
      <c r="F613" s="930"/>
      <c r="G613" s="930"/>
      <c r="H613" s="930"/>
      <c r="I613" s="930"/>
      <c r="J613" s="930"/>
      <c r="K613" s="930"/>
      <c r="L613" s="930"/>
      <c r="M613" s="930"/>
      <c r="N613" s="930"/>
      <c r="O613" s="930"/>
      <c r="P613" s="930"/>
      <c r="Q613" s="930"/>
      <c r="R613" s="1568">
        <f>Incentives!C303</f>
        <v>0</v>
      </c>
      <c r="S613" s="930"/>
      <c r="T613" s="1297" t="str">
        <f>Incentives!E303</f>
        <v>No</v>
      </c>
      <c r="U613" s="930"/>
    </row>
    <row r="614" spans="1:21" ht="15.75" thickBot="1" x14ac:dyDescent="0.3">
      <c r="A614" s="543"/>
      <c r="B614" s="930"/>
      <c r="C614" s="930"/>
      <c r="D614" s="930"/>
      <c r="E614" s="930"/>
      <c r="F614" s="930"/>
      <c r="G614" s="930"/>
      <c r="H614" s="930"/>
      <c r="I614" s="930"/>
      <c r="J614" s="930"/>
      <c r="K614" s="930"/>
      <c r="L614" s="930"/>
      <c r="M614" s="930"/>
      <c r="N614" s="930"/>
      <c r="O614" s="930"/>
      <c r="P614" s="930"/>
      <c r="Q614" s="930"/>
      <c r="R614" s="930"/>
      <c r="S614" s="930"/>
      <c r="T614" s="930"/>
      <c r="U614" s="930"/>
    </row>
    <row r="615" spans="1:21" ht="15.75" customHeight="1" thickBot="1" x14ac:dyDescent="0.3">
      <c r="A615" s="543"/>
      <c r="B615" s="1948" t="s">
        <v>2016</v>
      </c>
      <c r="C615" s="1935"/>
      <c r="D615" s="1935"/>
      <c r="E615" s="1935"/>
      <c r="F615" s="1935"/>
      <c r="G615" s="1935"/>
      <c r="H615" s="1935"/>
      <c r="I615" s="1935"/>
      <c r="J615" s="1935"/>
      <c r="K615" s="1935"/>
      <c r="L615" s="1935"/>
      <c r="M615" s="1935"/>
      <c r="N615" s="1935"/>
      <c r="O615" s="1935"/>
      <c r="P615" s="1935"/>
      <c r="Q615" s="1935"/>
      <c r="R615" s="1935"/>
      <c r="S615" s="1935"/>
      <c r="T615" s="1935"/>
      <c r="U615" s="1936"/>
    </row>
    <row r="616" spans="1:21" ht="15.75" thickBot="1" x14ac:dyDescent="0.3">
      <c r="A616" s="543"/>
      <c r="B616" s="930"/>
      <c r="C616" s="930"/>
      <c r="D616" s="930"/>
      <c r="E616" s="930"/>
      <c r="F616" s="930"/>
      <c r="G616" s="930"/>
      <c r="H616" s="930"/>
      <c r="I616" s="930"/>
      <c r="J616" s="930"/>
      <c r="K616" s="930"/>
      <c r="L616" s="930"/>
      <c r="M616" s="930"/>
      <c r="N616" s="930"/>
      <c r="O616" s="930"/>
      <c r="P616" s="930"/>
      <c r="Q616" s="930"/>
      <c r="R616" s="930"/>
      <c r="S616" s="930"/>
      <c r="T616" s="930"/>
      <c r="U616" s="930"/>
    </row>
    <row r="617" spans="1:21" ht="30.75" customHeight="1" thickBot="1" x14ac:dyDescent="0.3">
      <c r="A617" s="543"/>
      <c r="B617" s="930"/>
      <c r="C617" s="923" t="s">
        <v>1383</v>
      </c>
      <c r="D617" s="1949" t="s">
        <v>1775</v>
      </c>
      <c r="E617" s="1950"/>
      <c r="F617" s="930"/>
      <c r="G617" s="930"/>
      <c r="H617" s="926" t="s">
        <v>1380</v>
      </c>
      <c r="I617" s="930"/>
      <c r="J617" s="926" t="s">
        <v>1381</v>
      </c>
      <c r="K617" s="930"/>
      <c r="L617" s="926" t="s">
        <v>1397</v>
      </c>
      <c r="M617" s="930"/>
      <c r="N617" s="926" t="s">
        <v>1382</v>
      </c>
      <c r="O617" s="930"/>
      <c r="P617" s="930"/>
      <c r="Q617" s="930"/>
      <c r="R617" s="926" t="s">
        <v>1487</v>
      </c>
      <c r="S617" s="930"/>
      <c r="T617" s="926" t="s">
        <v>1488</v>
      </c>
      <c r="U617" s="930"/>
    </row>
    <row r="618" spans="1:21" ht="15.75" thickBot="1" x14ac:dyDescent="0.3">
      <c r="A618" s="543"/>
      <c r="B618" s="930"/>
      <c r="C618" s="918"/>
      <c r="D618" s="918"/>
      <c r="E618" s="918"/>
      <c r="F618" s="930"/>
      <c r="G618" s="930"/>
      <c r="H618" s="956" t="str">
        <f>IF(T627="Yes",Incentives!G315,"")</f>
        <v/>
      </c>
      <c r="I618" s="930"/>
      <c r="J618" s="916" t="str">
        <f>IF(T627="Yes",Incentives!I315,"")</f>
        <v/>
      </c>
      <c r="K618" s="930"/>
      <c r="L618" s="1330" t="str">
        <f>IF(T627="Yes",Incentives!K315,"")</f>
        <v/>
      </c>
      <c r="M618" s="930"/>
      <c r="N618" s="956" t="str">
        <f>IF(AND(Incentives!M315&lt;&gt;"",T627="Yes"),Incentives!M315,"")</f>
        <v/>
      </c>
      <c r="O618" s="930"/>
      <c r="P618" s="930"/>
      <c r="Q618" s="930"/>
      <c r="R618" s="1297" t="s">
        <v>1602</v>
      </c>
      <c r="S618" s="930"/>
      <c r="T618" s="1297" t="s">
        <v>646</v>
      </c>
      <c r="U618" s="930"/>
    </row>
    <row r="619" spans="1:21" ht="30.75" thickBot="1" x14ac:dyDescent="0.3">
      <c r="A619" s="543"/>
      <c r="B619" s="930"/>
      <c r="C619" s="923" t="s">
        <v>1491</v>
      </c>
      <c r="D619" s="1951">
        <v>5309</v>
      </c>
      <c r="E619" s="1952"/>
      <c r="F619" s="930"/>
      <c r="G619" s="930"/>
      <c r="H619" s="930"/>
      <c r="I619" s="930"/>
      <c r="J619" s="930"/>
      <c r="K619" s="930"/>
      <c r="L619" s="930"/>
      <c r="M619" s="930"/>
      <c r="N619" s="930"/>
      <c r="O619" s="930"/>
      <c r="P619" s="930"/>
      <c r="Q619" s="930"/>
      <c r="R619" s="930"/>
      <c r="S619" s="930"/>
      <c r="T619" s="930"/>
      <c r="U619" s="930"/>
    </row>
    <row r="620" spans="1:21" ht="15.75" thickBot="1" x14ac:dyDescent="0.3">
      <c r="A620" s="543"/>
      <c r="B620" s="930"/>
      <c r="C620" s="918"/>
      <c r="D620" s="918"/>
      <c r="E620" s="918"/>
      <c r="F620" s="930"/>
      <c r="G620" s="930"/>
      <c r="H620" s="1326" t="s">
        <v>1396</v>
      </c>
      <c r="I620" s="930"/>
      <c r="J620" s="930"/>
      <c r="K620" s="930"/>
      <c r="L620" s="930"/>
      <c r="M620" s="930"/>
      <c r="N620" s="930"/>
      <c r="O620" s="930"/>
      <c r="P620" s="930"/>
      <c r="Q620" s="930"/>
      <c r="R620" s="926" t="s">
        <v>1603</v>
      </c>
      <c r="S620" s="930"/>
      <c r="T620" s="926" t="s">
        <v>1604</v>
      </c>
      <c r="U620" s="930"/>
    </row>
    <row r="621" spans="1:21" ht="15.75" thickBot="1" x14ac:dyDescent="0.3">
      <c r="A621" s="543"/>
      <c r="B621" s="930"/>
      <c r="C621" s="923" t="s">
        <v>1385</v>
      </c>
      <c r="D621" s="1953" t="str">
        <f>IF(T627="Yes",Incentives!E317,"")</f>
        <v/>
      </c>
      <c r="E621" s="1954"/>
      <c r="F621" s="930"/>
      <c r="G621" s="930"/>
      <c r="H621" s="1300" t="str">
        <f>IF(T627="Yes",Incentives!G318,"")</f>
        <v/>
      </c>
      <c r="I621" s="930"/>
      <c r="J621" s="930"/>
      <c r="K621" s="930"/>
      <c r="L621" s="930"/>
      <c r="M621" s="930"/>
      <c r="N621" s="930"/>
      <c r="O621" s="930"/>
      <c r="P621" s="930"/>
      <c r="Q621" s="930"/>
      <c r="R621" s="1297" t="s">
        <v>1610</v>
      </c>
      <c r="S621" s="930"/>
      <c r="T621" s="1297" t="s">
        <v>395</v>
      </c>
      <c r="U621" s="930"/>
    </row>
    <row r="622" spans="1:21" ht="15.75" thickBot="1" x14ac:dyDescent="0.3">
      <c r="A622" s="543"/>
      <c r="B622" s="930"/>
      <c r="C622" s="918"/>
      <c r="D622" s="918"/>
      <c r="E622" s="918"/>
      <c r="F622" s="930"/>
      <c r="G622" s="930"/>
      <c r="H622" s="930"/>
      <c r="I622" s="930"/>
      <c r="J622" s="930"/>
      <c r="K622" s="930"/>
      <c r="L622" s="930"/>
      <c r="M622" s="930"/>
      <c r="N622" s="930"/>
      <c r="O622" s="930"/>
      <c r="P622" s="930"/>
      <c r="Q622" s="930"/>
      <c r="R622" s="930"/>
      <c r="S622" s="930"/>
      <c r="T622" s="930"/>
      <c r="U622" s="930"/>
    </row>
    <row r="623" spans="1:21" ht="30.75" thickBot="1" x14ac:dyDescent="0.3">
      <c r="A623" s="543"/>
      <c r="B623" s="930"/>
      <c r="C623" s="923" t="s">
        <v>1386</v>
      </c>
      <c r="D623" s="1953" t="str">
        <f>IF(T627="Yes",Incentives!E318,"")</f>
        <v/>
      </c>
      <c r="E623" s="1954"/>
      <c r="F623" s="930"/>
      <c r="G623" s="930"/>
      <c r="H623" s="1326" t="s">
        <v>1492</v>
      </c>
      <c r="I623" s="930"/>
      <c r="J623" s="1326" t="s">
        <v>2005</v>
      </c>
      <c r="K623" s="930"/>
      <c r="L623" s="1565" t="s">
        <v>2135</v>
      </c>
      <c r="M623" s="930"/>
      <c r="N623" s="926" t="s">
        <v>1482</v>
      </c>
      <c r="O623" s="930"/>
      <c r="P623" s="930"/>
      <c r="Q623" s="930"/>
      <c r="R623" s="930"/>
      <c r="S623" s="930"/>
      <c r="T623" s="926" t="s">
        <v>1599</v>
      </c>
      <c r="U623" s="930"/>
    </row>
    <row r="624" spans="1:21" ht="15.75" thickBot="1" x14ac:dyDescent="0.3">
      <c r="A624" s="543"/>
      <c r="B624" s="930"/>
      <c r="C624" s="918"/>
      <c r="D624" s="918"/>
      <c r="E624" s="918"/>
      <c r="F624" s="930"/>
      <c r="G624" s="930"/>
      <c r="H624" s="1297" t="s">
        <v>648</v>
      </c>
      <c r="I624" s="930"/>
      <c r="J624" s="999" t="str">
        <f>IF(T627="Yes",Incentives!G321,"")</f>
        <v/>
      </c>
      <c r="K624" s="930"/>
      <c r="L624" s="1566" t="str">
        <f>IF(T627="Yes",IF(R627="Yes","No","Yes"),"")</f>
        <v/>
      </c>
      <c r="M624" s="930"/>
      <c r="N624" s="1300" t="str">
        <f>IF(T627="Yes",Incentives!K321,"")</f>
        <v/>
      </c>
      <c r="O624" s="930"/>
      <c r="P624" s="930"/>
      <c r="Q624" s="930"/>
      <c r="R624" s="930"/>
      <c r="S624" s="930"/>
      <c r="T624" s="1297" t="s">
        <v>648</v>
      </c>
      <c r="U624" s="930"/>
    </row>
    <row r="625" spans="1:21" ht="30.75" thickBot="1" x14ac:dyDescent="0.3">
      <c r="A625" s="543"/>
      <c r="B625" s="930"/>
      <c r="C625" s="924" t="s">
        <v>1495</v>
      </c>
      <c r="D625" s="1955" t="s">
        <v>648</v>
      </c>
      <c r="E625" s="1952"/>
      <c r="F625" s="930"/>
      <c r="G625" s="930"/>
      <c r="H625" s="930"/>
      <c r="I625" s="930"/>
      <c r="J625" s="930"/>
      <c r="K625" s="930"/>
      <c r="L625" s="930"/>
      <c r="M625" s="930"/>
      <c r="N625" s="930"/>
      <c r="O625" s="930"/>
      <c r="P625" s="930"/>
      <c r="Q625" s="930"/>
      <c r="R625" s="930"/>
      <c r="S625" s="930"/>
      <c r="T625" s="930"/>
      <c r="U625" s="930"/>
    </row>
    <row r="626" spans="1:21" ht="15.75" thickBot="1" x14ac:dyDescent="0.3">
      <c r="A626" s="543"/>
      <c r="B626" s="930"/>
      <c r="C626" s="918"/>
      <c r="D626" s="918"/>
      <c r="E626" s="918"/>
      <c r="F626" s="930"/>
      <c r="G626" s="930"/>
      <c r="H626" s="930"/>
      <c r="I626" s="930"/>
      <c r="J626" s="930"/>
      <c r="K626" s="930"/>
      <c r="L626" s="930"/>
      <c r="M626" s="930"/>
      <c r="N626" s="930"/>
      <c r="O626" s="930"/>
      <c r="P626" s="930"/>
      <c r="Q626" s="930"/>
      <c r="R626" s="930"/>
      <c r="S626" s="930"/>
      <c r="T626" s="926" t="s">
        <v>523</v>
      </c>
      <c r="U626" s="930"/>
    </row>
    <row r="627" spans="1:21" ht="15.75" thickBot="1" x14ac:dyDescent="0.3">
      <c r="A627" s="543"/>
      <c r="B627" s="930"/>
      <c r="C627" s="923" t="s">
        <v>1496</v>
      </c>
      <c r="D627" s="1951" t="s">
        <v>1606</v>
      </c>
      <c r="E627" s="1936"/>
      <c r="F627" s="930"/>
      <c r="G627" s="930"/>
      <c r="H627" s="930"/>
      <c r="I627" s="930"/>
      <c r="J627" s="930"/>
      <c r="K627" s="930"/>
      <c r="L627" s="930"/>
      <c r="M627" s="930"/>
      <c r="N627" s="930"/>
      <c r="O627" s="930"/>
      <c r="P627" s="930"/>
      <c r="Q627" s="930"/>
      <c r="R627" s="1568">
        <f>Incentives!C314</f>
        <v>0</v>
      </c>
      <c r="S627" s="930"/>
      <c r="T627" s="1297" t="str">
        <f>Incentives!E314</f>
        <v>No</v>
      </c>
      <c r="U627" s="930"/>
    </row>
    <row r="628" spans="1:21" ht="15.75" thickBot="1" x14ac:dyDescent="0.3">
      <c r="A628" s="543"/>
      <c r="B628" s="930"/>
      <c r="C628" s="930"/>
      <c r="D628" s="930"/>
      <c r="E628" s="930"/>
      <c r="F628" s="930"/>
      <c r="G628" s="930"/>
      <c r="H628" s="930"/>
      <c r="I628" s="930"/>
      <c r="J628" s="930"/>
      <c r="K628" s="930"/>
      <c r="L628" s="930"/>
      <c r="M628" s="930"/>
      <c r="N628" s="930"/>
      <c r="O628" s="930"/>
      <c r="P628" s="930"/>
      <c r="Q628" s="930"/>
      <c r="R628" s="930"/>
      <c r="S628" s="930"/>
      <c r="T628" s="930"/>
      <c r="U628" s="930"/>
    </row>
    <row r="629" spans="1:21" s="1661" customFormat="1" ht="15.75" customHeight="1" thickBot="1" x14ac:dyDescent="0.3">
      <c r="A629" s="543"/>
      <c r="B629" s="1948" t="s">
        <v>2171</v>
      </c>
      <c r="C629" s="1935"/>
      <c r="D629" s="1935"/>
      <c r="E629" s="1935"/>
      <c r="F629" s="1935"/>
      <c r="G629" s="1935"/>
      <c r="H629" s="1935"/>
      <c r="I629" s="1935"/>
      <c r="J629" s="1935"/>
      <c r="K629" s="1935"/>
      <c r="L629" s="1935"/>
      <c r="M629" s="1935"/>
      <c r="N629" s="1935"/>
      <c r="O629" s="1935"/>
      <c r="P629" s="1935"/>
      <c r="Q629" s="1935"/>
      <c r="R629" s="1935"/>
      <c r="S629" s="1935"/>
      <c r="T629" s="1935"/>
      <c r="U629" s="1936"/>
    </row>
    <row r="630" spans="1:21" s="1661" customFormat="1" ht="15.75" thickBot="1" x14ac:dyDescent="0.3">
      <c r="A630" s="543"/>
      <c r="B630" s="930"/>
      <c r="C630" s="930"/>
      <c r="D630" s="930"/>
      <c r="E630" s="930"/>
      <c r="F630" s="930"/>
      <c r="G630" s="930"/>
      <c r="H630" s="930"/>
      <c r="I630" s="930"/>
      <c r="J630" s="930"/>
      <c r="K630" s="930"/>
      <c r="L630" s="930"/>
      <c r="M630" s="930"/>
      <c r="N630" s="930"/>
      <c r="O630" s="930"/>
      <c r="P630" s="930"/>
      <c r="Q630" s="930"/>
      <c r="R630" s="930"/>
      <c r="S630" s="930"/>
      <c r="T630" s="930"/>
      <c r="U630" s="930"/>
    </row>
    <row r="631" spans="1:21" s="1661" customFormat="1" ht="30.75" customHeight="1" thickBot="1" x14ac:dyDescent="0.3">
      <c r="A631" s="543"/>
      <c r="B631" s="930"/>
      <c r="C631" s="923" t="s">
        <v>1383</v>
      </c>
      <c r="D631" s="1949" t="s">
        <v>1775</v>
      </c>
      <c r="E631" s="1950"/>
      <c r="F631" s="930"/>
      <c r="G631" s="930"/>
      <c r="H631" s="926" t="s">
        <v>1380</v>
      </c>
      <c r="I631" s="930"/>
      <c r="J631" s="926" t="s">
        <v>1381</v>
      </c>
      <c r="K631" s="930"/>
      <c r="L631" s="926" t="s">
        <v>1397</v>
      </c>
      <c r="M631" s="930"/>
      <c r="N631" s="926" t="s">
        <v>1382</v>
      </c>
      <c r="O631" s="930"/>
      <c r="P631" s="930"/>
      <c r="Q631" s="930"/>
      <c r="R631" s="926" t="s">
        <v>1487</v>
      </c>
      <c r="S631" s="930"/>
      <c r="T631" s="926" t="s">
        <v>1488</v>
      </c>
      <c r="U631" s="930"/>
    </row>
    <row r="632" spans="1:21" s="1661" customFormat="1" ht="15.75" thickBot="1" x14ac:dyDescent="0.3">
      <c r="A632" s="543"/>
      <c r="B632" s="930"/>
      <c r="C632" s="918"/>
      <c r="D632" s="918"/>
      <c r="E632" s="918"/>
      <c r="F632" s="930"/>
      <c r="G632" s="930"/>
      <c r="H632" s="956" t="str">
        <f>IF(T641="Yes",Incentives!G326,"")</f>
        <v/>
      </c>
      <c r="I632" s="930"/>
      <c r="J632" s="916" t="str">
        <f>IF(T641="Yes",Incentives!I326,"")</f>
        <v/>
      </c>
      <c r="K632" s="930"/>
      <c r="L632" s="1330" t="str">
        <f>IF(T641="Yes",Incentives!K326,"")</f>
        <v/>
      </c>
      <c r="M632" s="930"/>
      <c r="N632" s="956" t="str">
        <f>IF(AND(Incentives!M326&lt;&gt;"",T641="Yes"),Incentives!M326,"")</f>
        <v/>
      </c>
      <c r="O632" s="930"/>
      <c r="P632" s="930"/>
      <c r="Q632" s="930"/>
      <c r="R632" s="1472" t="s">
        <v>1602</v>
      </c>
      <c r="S632" s="930"/>
      <c r="T632" s="1472" t="s">
        <v>646</v>
      </c>
      <c r="U632" s="930"/>
    </row>
    <row r="633" spans="1:21" s="1661" customFormat="1" ht="30.75" thickBot="1" x14ac:dyDescent="0.3">
      <c r="A633" s="543"/>
      <c r="B633" s="930"/>
      <c r="C633" s="923" t="s">
        <v>1491</v>
      </c>
      <c r="D633" s="1951">
        <v>5310</v>
      </c>
      <c r="E633" s="1952"/>
      <c r="F633" s="930"/>
      <c r="G633" s="930"/>
      <c r="H633" s="930"/>
      <c r="I633" s="930"/>
      <c r="J633" s="930"/>
      <c r="K633" s="930"/>
      <c r="L633" s="930"/>
      <c r="M633" s="930"/>
      <c r="N633" s="930"/>
      <c r="O633" s="930"/>
      <c r="P633" s="930"/>
      <c r="Q633" s="930"/>
      <c r="R633" s="930"/>
      <c r="S633" s="930"/>
      <c r="T633" s="930"/>
      <c r="U633" s="930"/>
    </row>
    <row r="634" spans="1:21" s="1661" customFormat="1" ht="15.75" thickBot="1" x14ac:dyDescent="0.3">
      <c r="A634" s="543"/>
      <c r="B634" s="930"/>
      <c r="C634" s="918"/>
      <c r="D634" s="918"/>
      <c r="E634" s="918"/>
      <c r="F634" s="930"/>
      <c r="G634" s="930"/>
      <c r="H634" s="1662" t="s">
        <v>1396</v>
      </c>
      <c r="I634" s="930"/>
      <c r="J634" s="930"/>
      <c r="K634" s="930"/>
      <c r="L634" s="930"/>
      <c r="M634" s="930"/>
      <c r="N634" s="930"/>
      <c r="O634" s="930"/>
      <c r="P634" s="930"/>
      <c r="Q634" s="930"/>
      <c r="R634" s="926" t="s">
        <v>1603</v>
      </c>
      <c r="S634" s="930"/>
      <c r="T634" s="926" t="s">
        <v>1604</v>
      </c>
      <c r="U634" s="930"/>
    </row>
    <row r="635" spans="1:21" s="1661" customFormat="1" ht="15.75" thickBot="1" x14ac:dyDescent="0.3">
      <c r="A635" s="543"/>
      <c r="B635" s="930"/>
      <c r="C635" s="923" t="s">
        <v>1385</v>
      </c>
      <c r="D635" s="1953" t="str">
        <f>IF(T641="Yes",Incentives!E328,"")</f>
        <v/>
      </c>
      <c r="E635" s="1954"/>
      <c r="F635" s="930"/>
      <c r="G635" s="930"/>
      <c r="H635" s="1476" t="str">
        <f>IF(T641="Yes",Incentives!G329,"")</f>
        <v/>
      </c>
      <c r="I635" s="930"/>
      <c r="J635" s="930"/>
      <c r="K635" s="930"/>
      <c r="L635" s="930"/>
      <c r="M635" s="930"/>
      <c r="N635" s="930"/>
      <c r="O635" s="930"/>
      <c r="P635" s="930"/>
      <c r="Q635" s="930"/>
      <c r="R635" s="1472" t="s">
        <v>1610</v>
      </c>
      <c r="S635" s="930"/>
      <c r="T635" s="1472" t="s">
        <v>395</v>
      </c>
      <c r="U635" s="930"/>
    </row>
    <row r="636" spans="1:21" s="1661" customFormat="1" ht="15.75" thickBot="1" x14ac:dyDescent="0.3">
      <c r="A636" s="543"/>
      <c r="B636" s="930"/>
      <c r="C636" s="918"/>
      <c r="D636" s="918"/>
      <c r="E636" s="918"/>
      <c r="F636" s="930"/>
      <c r="G636" s="930"/>
      <c r="H636" s="930"/>
      <c r="I636" s="930"/>
      <c r="J636" s="930"/>
      <c r="K636" s="930"/>
      <c r="L636" s="930"/>
      <c r="M636" s="930"/>
      <c r="N636" s="930"/>
      <c r="O636" s="930"/>
      <c r="P636" s="930"/>
      <c r="Q636" s="930"/>
      <c r="R636" s="930"/>
      <c r="S636" s="930"/>
      <c r="T636" s="930"/>
      <c r="U636" s="930"/>
    </row>
    <row r="637" spans="1:21" s="1661" customFormat="1" ht="30.75" thickBot="1" x14ac:dyDescent="0.3">
      <c r="A637" s="543"/>
      <c r="B637" s="930"/>
      <c r="C637" s="923" t="s">
        <v>1386</v>
      </c>
      <c r="D637" s="1953" t="str">
        <f>IF(T641="Yes",Incentives!E329,"")</f>
        <v/>
      </c>
      <c r="E637" s="1954"/>
      <c r="F637" s="930"/>
      <c r="G637" s="930"/>
      <c r="H637" s="1662" t="s">
        <v>1492</v>
      </c>
      <c r="I637" s="930"/>
      <c r="J637" s="1662" t="s">
        <v>2005</v>
      </c>
      <c r="K637" s="930"/>
      <c r="L637" s="1565" t="s">
        <v>2135</v>
      </c>
      <c r="M637" s="930"/>
      <c r="N637" s="926" t="s">
        <v>1482</v>
      </c>
      <c r="O637" s="930"/>
      <c r="P637" s="930"/>
      <c r="Q637" s="930"/>
      <c r="R637" s="930"/>
      <c r="S637" s="930"/>
      <c r="T637" s="926" t="s">
        <v>1599</v>
      </c>
      <c r="U637" s="930"/>
    </row>
    <row r="638" spans="1:21" s="1661" customFormat="1" ht="15.75" thickBot="1" x14ac:dyDescent="0.3">
      <c r="A638" s="543"/>
      <c r="B638" s="930"/>
      <c r="C638" s="918"/>
      <c r="D638" s="918"/>
      <c r="E638" s="918"/>
      <c r="F638" s="930"/>
      <c r="G638" s="930"/>
      <c r="H638" s="1472" t="s">
        <v>648</v>
      </c>
      <c r="I638" s="930"/>
      <c r="J638" s="999" t="str">
        <f>IF(T641="Yes",Incentives!G332,"")</f>
        <v/>
      </c>
      <c r="K638" s="930"/>
      <c r="L638" s="1566" t="str">
        <f>IF(T641="Yes",IF(R641="Yes","No","Yes"),"")</f>
        <v/>
      </c>
      <c r="M638" s="930"/>
      <c r="N638" s="1476" t="str">
        <f>IF(T641="Yes",Incentives!K332,"")</f>
        <v/>
      </c>
      <c r="O638" s="930"/>
      <c r="P638" s="930"/>
      <c r="Q638" s="930"/>
      <c r="R638" s="930"/>
      <c r="S638" s="930"/>
      <c r="T638" s="1472" t="s">
        <v>648</v>
      </c>
      <c r="U638" s="930"/>
    </row>
    <row r="639" spans="1:21" s="1661" customFormat="1" ht="30.75" thickBot="1" x14ac:dyDescent="0.3">
      <c r="A639" s="543"/>
      <c r="B639" s="930"/>
      <c r="C639" s="924" t="s">
        <v>1495</v>
      </c>
      <c r="D639" s="1955" t="s">
        <v>648</v>
      </c>
      <c r="E639" s="1952"/>
      <c r="F639" s="930"/>
      <c r="G639" s="930"/>
      <c r="H639" s="930"/>
      <c r="I639" s="930"/>
      <c r="J639" s="930"/>
      <c r="K639" s="930"/>
      <c r="L639" s="930"/>
      <c r="M639" s="930"/>
      <c r="N639" s="930"/>
      <c r="O639" s="930"/>
      <c r="P639" s="930"/>
      <c r="Q639" s="930"/>
      <c r="R639" s="930"/>
      <c r="S639" s="930"/>
      <c r="T639" s="930"/>
      <c r="U639" s="930"/>
    </row>
    <row r="640" spans="1:21" s="1661" customFormat="1" ht="15.75" thickBot="1" x14ac:dyDescent="0.3">
      <c r="A640" s="543"/>
      <c r="B640" s="930"/>
      <c r="C640" s="918"/>
      <c r="D640" s="918"/>
      <c r="E640" s="918"/>
      <c r="F640" s="930"/>
      <c r="G640" s="930"/>
      <c r="H640" s="930"/>
      <c r="I640" s="930"/>
      <c r="J640" s="930"/>
      <c r="K640" s="930"/>
      <c r="L640" s="930"/>
      <c r="M640" s="930"/>
      <c r="N640" s="930"/>
      <c r="O640" s="930"/>
      <c r="P640" s="930"/>
      <c r="Q640" s="930"/>
      <c r="R640" s="930"/>
      <c r="S640" s="930"/>
      <c r="T640" s="926" t="s">
        <v>523</v>
      </c>
      <c r="U640" s="930"/>
    </row>
    <row r="641" spans="1:21" s="1661" customFormat="1" ht="15.75" thickBot="1" x14ac:dyDescent="0.3">
      <c r="A641" s="543"/>
      <c r="B641" s="930"/>
      <c r="C641" s="923" t="s">
        <v>1496</v>
      </c>
      <c r="D641" s="1951" t="s">
        <v>1606</v>
      </c>
      <c r="E641" s="1936"/>
      <c r="F641" s="930"/>
      <c r="G641" s="930"/>
      <c r="H641" s="930"/>
      <c r="I641" s="930"/>
      <c r="J641" s="930"/>
      <c r="K641" s="930"/>
      <c r="L641" s="930"/>
      <c r="M641" s="930"/>
      <c r="N641" s="930"/>
      <c r="O641" s="930"/>
      <c r="P641" s="930"/>
      <c r="Q641" s="930"/>
      <c r="R641" s="1568">
        <f>Incentives!C328</f>
        <v>0</v>
      </c>
      <c r="S641" s="930"/>
      <c r="T641" s="1472" t="str">
        <f>Incentives!E325</f>
        <v>No</v>
      </c>
      <c r="U641" s="930"/>
    </row>
    <row r="642" spans="1:21" s="1661" customFormat="1" ht="15.75" thickBot="1" x14ac:dyDescent="0.3">
      <c r="A642" s="543"/>
      <c r="B642" s="930"/>
      <c r="C642" s="930"/>
      <c r="D642" s="930"/>
      <c r="E642" s="930"/>
      <c r="F642" s="930"/>
      <c r="G642" s="930"/>
      <c r="H642" s="930"/>
      <c r="I642" s="930"/>
      <c r="J642" s="930"/>
      <c r="K642" s="930"/>
      <c r="L642" s="930"/>
      <c r="M642" s="930"/>
      <c r="N642" s="930"/>
      <c r="O642" s="930"/>
      <c r="P642" s="930"/>
      <c r="Q642" s="930"/>
      <c r="R642" s="930"/>
      <c r="S642" s="930"/>
      <c r="T642" s="930"/>
      <c r="U642" s="930"/>
    </row>
    <row r="643" spans="1:21" s="1661" customFormat="1" ht="15.75" customHeight="1" thickBot="1" x14ac:dyDescent="0.3">
      <c r="A643" s="543"/>
      <c r="B643" s="1948" t="s">
        <v>2172</v>
      </c>
      <c r="C643" s="1935"/>
      <c r="D643" s="1935"/>
      <c r="E643" s="1935"/>
      <c r="F643" s="1935"/>
      <c r="G643" s="1935"/>
      <c r="H643" s="1935"/>
      <c r="I643" s="1935"/>
      <c r="J643" s="1935"/>
      <c r="K643" s="1935"/>
      <c r="L643" s="1935"/>
      <c r="M643" s="1935"/>
      <c r="N643" s="1935"/>
      <c r="O643" s="1935"/>
      <c r="P643" s="1935"/>
      <c r="Q643" s="1935"/>
      <c r="R643" s="1935"/>
      <c r="S643" s="1935"/>
      <c r="T643" s="1935"/>
      <c r="U643" s="1936"/>
    </row>
    <row r="644" spans="1:21" s="1661" customFormat="1" ht="15.75" thickBot="1" x14ac:dyDescent="0.3">
      <c r="A644" s="543"/>
      <c r="B644" s="930"/>
      <c r="C644" s="930"/>
      <c r="D644" s="930"/>
      <c r="E644" s="930"/>
      <c r="F644" s="930"/>
      <c r="G644" s="930"/>
      <c r="H644" s="930"/>
      <c r="I644" s="930"/>
      <c r="J644" s="930"/>
      <c r="K644" s="930"/>
      <c r="L644" s="930"/>
      <c r="M644" s="930"/>
      <c r="N644" s="930"/>
      <c r="O644" s="930"/>
      <c r="P644" s="930"/>
      <c r="Q644" s="930"/>
      <c r="R644" s="930"/>
      <c r="S644" s="930"/>
      <c r="T644" s="930"/>
      <c r="U644" s="930"/>
    </row>
    <row r="645" spans="1:21" s="1661" customFormat="1" ht="30.75" customHeight="1" thickBot="1" x14ac:dyDescent="0.3">
      <c r="A645" s="543"/>
      <c r="B645" s="930"/>
      <c r="C645" s="923" t="s">
        <v>1383</v>
      </c>
      <c r="D645" s="1949" t="s">
        <v>1775</v>
      </c>
      <c r="E645" s="1950"/>
      <c r="F645" s="930"/>
      <c r="G645" s="930"/>
      <c r="H645" s="926" t="s">
        <v>1380</v>
      </c>
      <c r="I645" s="930"/>
      <c r="J645" s="926" t="s">
        <v>1381</v>
      </c>
      <c r="K645" s="930"/>
      <c r="L645" s="926" t="s">
        <v>1397</v>
      </c>
      <c r="M645" s="930"/>
      <c r="N645" s="926" t="s">
        <v>1382</v>
      </c>
      <c r="O645" s="930"/>
      <c r="P645" s="930"/>
      <c r="Q645" s="930"/>
      <c r="R645" s="926" t="s">
        <v>1487</v>
      </c>
      <c r="S645" s="930"/>
      <c r="T645" s="926" t="s">
        <v>1488</v>
      </c>
      <c r="U645" s="930"/>
    </row>
    <row r="646" spans="1:21" s="1661" customFormat="1" ht="15.75" thickBot="1" x14ac:dyDescent="0.3">
      <c r="A646" s="543"/>
      <c r="B646" s="930"/>
      <c r="C646" s="918"/>
      <c r="D646" s="918"/>
      <c r="E646" s="918"/>
      <c r="F646" s="930"/>
      <c r="G646" s="930"/>
      <c r="H646" s="956" t="str">
        <f>IF(T655="Yes",Incentives!G337,"")</f>
        <v/>
      </c>
      <c r="I646" s="930"/>
      <c r="J646" s="916" t="str">
        <f>IF(T655="Yes",Incentives!I337,"")</f>
        <v/>
      </c>
      <c r="K646" s="930"/>
      <c r="L646" s="1330" t="str">
        <f>IF(T655="Yes",Incentives!K337,"")</f>
        <v/>
      </c>
      <c r="M646" s="930"/>
      <c r="N646" s="956" t="str">
        <f>IF(AND(Incentives!M337&lt;&gt;"",T655="Yes"),Incentives!M337,"")</f>
        <v/>
      </c>
      <c r="O646" s="930"/>
      <c r="P646" s="930"/>
      <c r="Q646" s="930"/>
      <c r="R646" s="1472" t="s">
        <v>1602</v>
      </c>
      <c r="S646" s="930"/>
      <c r="T646" s="1472" t="s">
        <v>646</v>
      </c>
      <c r="U646" s="930"/>
    </row>
    <row r="647" spans="1:21" s="1661" customFormat="1" ht="30.75" thickBot="1" x14ac:dyDescent="0.3">
      <c r="A647" s="543"/>
      <c r="B647" s="930"/>
      <c r="C647" s="923" t="s">
        <v>1491</v>
      </c>
      <c r="D647" s="1951">
        <v>5311</v>
      </c>
      <c r="E647" s="1952"/>
      <c r="F647" s="930"/>
      <c r="G647" s="930"/>
      <c r="H647" s="930"/>
      <c r="I647" s="930"/>
      <c r="J647" s="930"/>
      <c r="K647" s="930"/>
      <c r="L647" s="930"/>
      <c r="M647" s="930"/>
      <c r="N647" s="930"/>
      <c r="O647" s="930"/>
      <c r="P647" s="930"/>
      <c r="Q647" s="930"/>
      <c r="R647" s="930"/>
      <c r="S647" s="930"/>
      <c r="T647" s="930"/>
      <c r="U647" s="930"/>
    </row>
    <row r="648" spans="1:21" s="1661" customFormat="1" ht="15.75" thickBot="1" x14ac:dyDescent="0.3">
      <c r="A648" s="543"/>
      <c r="B648" s="930"/>
      <c r="C648" s="918"/>
      <c r="D648" s="918"/>
      <c r="E648" s="918"/>
      <c r="F648" s="930"/>
      <c r="G648" s="930"/>
      <c r="H648" s="1662" t="s">
        <v>1396</v>
      </c>
      <c r="I648" s="930"/>
      <c r="J648" s="930"/>
      <c r="K648" s="930"/>
      <c r="L648" s="930"/>
      <c r="M648" s="930"/>
      <c r="N648" s="930"/>
      <c r="O648" s="930"/>
      <c r="P648" s="930"/>
      <c r="Q648" s="930"/>
      <c r="R648" s="926" t="s">
        <v>1603</v>
      </c>
      <c r="S648" s="930"/>
      <c r="T648" s="926" t="s">
        <v>1604</v>
      </c>
      <c r="U648" s="930"/>
    </row>
    <row r="649" spans="1:21" s="1661" customFormat="1" ht="15.75" thickBot="1" x14ac:dyDescent="0.3">
      <c r="A649" s="543"/>
      <c r="B649" s="930"/>
      <c r="C649" s="923" t="s">
        <v>1385</v>
      </c>
      <c r="D649" s="1953" t="str">
        <f>IF(T655="Yes",Incentives!E339,"")</f>
        <v/>
      </c>
      <c r="E649" s="1954"/>
      <c r="F649" s="930"/>
      <c r="G649" s="930"/>
      <c r="H649" s="1476" t="str">
        <f>IF(T655="Yes",Incentives!G340,"")</f>
        <v/>
      </c>
      <c r="I649" s="930"/>
      <c r="J649" s="930"/>
      <c r="K649" s="930"/>
      <c r="L649" s="930"/>
      <c r="M649" s="930"/>
      <c r="N649" s="930"/>
      <c r="O649" s="930"/>
      <c r="P649" s="930"/>
      <c r="Q649" s="930"/>
      <c r="R649" s="1472" t="s">
        <v>1610</v>
      </c>
      <c r="S649" s="930"/>
      <c r="T649" s="1472" t="s">
        <v>395</v>
      </c>
      <c r="U649" s="930"/>
    </row>
    <row r="650" spans="1:21" s="1661" customFormat="1" ht="15.75" thickBot="1" x14ac:dyDescent="0.3">
      <c r="A650" s="543"/>
      <c r="B650" s="930"/>
      <c r="C650" s="918"/>
      <c r="D650" s="918"/>
      <c r="E650" s="918"/>
      <c r="F650" s="930"/>
      <c r="G650" s="930"/>
      <c r="H650" s="930"/>
      <c r="I650" s="930"/>
      <c r="J650" s="930"/>
      <c r="K650" s="930"/>
      <c r="L650" s="930"/>
      <c r="M650" s="930"/>
      <c r="N650" s="930"/>
      <c r="O650" s="930"/>
      <c r="P650" s="930"/>
      <c r="Q650" s="930"/>
      <c r="R650" s="930"/>
      <c r="S650" s="930"/>
      <c r="T650" s="930"/>
      <c r="U650" s="930"/>
    </row>
    <row r="651" spans="1:21" s="1661" customFormat="1" ht="30.75" thickBot="1" x14ac:dyDescent="0.3">
      <c r="A651" s="543"/>
      <c r="B651" s="930"/>
      <c r="C651" s="923" t="s">
        <v>1386</v>
      </c>
      <c r="D651" s="1953" t="str">
        <f>IF(T655="Yes",Incentives!E340,"")</f>
        <v/>
      </c>
      <c r="E651" s="1954"/>
      <c r="F651" s="930"/>
      <c r="G651" s="930"/>
      <c r="H651" s="1662" t="s">
        <v>1492</v>
      </c>
      <c r="I651" s="930"/>
      <c r="J651" s="1662" t="s">
        <v>2005</v>
      </c>
      <c r="K651" s="930"/>
      <c r="L651" s="1565" t="s">
        <v>2135</v>
      </c>
      <c r="M651" s="930"/>
      <c r="N651" s="926" t="s">
        <v>1482</v>
      </c>
      <c r="O651" s="930"/>
      <c r="P651" s="930"/>
      <c r="Q651" s="930"/>
      <c r="R651" s="930"/>
      <c r="S651" s="930"/>
      <c r="T651" s="926" t="s">
        <v>1599</v>
      </c>
      <c r="U651" s="930"/>
    </row>
    <row r="652" spans="1:21" s="1661" customFormat="1" ht="15.75" thickBot="1" x14ac:dyDescent="0.3">
      <c r="A652" s="543"/>
      <c r="B652" s="930"/>
      <c r="C652" s="918"/>
      <c r="D652" s="918"/>
      <c r="E652" s="918"/>
      <c r="F652" s="930"/>
      <c r="G652" s="930"/>
      <c r="H652" s="1472" t="s">
        <v>648</v>
      </c>
      <c r="I652" s="930"/>
      <c r="J652" s="999" t="str">
        <f>IF(T655="Yes",Incentives!G343,"")</f>
        <v/>
      </c>
      <c r="K652" s="930"/>
      <c r="L652" s="1566" t="str">
        <f>IF(T655="Yes",IF(R655="Yes","No","Yes"),"")</f>
        <v/>
      </c>
      <c r="M652" s="930"/>
      <c r="N652" s="1476" t="str">
        <f>IF(T655="Yes",Incentives!K343,"")</f>
        <v/>
      </c>
      <c r="O652" s="930"/>
      <c r="P652" s="930"/>
      <c r="Q652" s="930"/>
      <c r="R652" s="930"/>
      <c r="S652" s="930"/>
      <c r="T652" s="1472" t="s">
        <v>648</v>
      </c>
      <c r="U652" s="930"/>
    </row>
    <row r="653" spans="1:21" s="1661" customFormat="1" ht="30.75" thickBot="1" x14ac:dyDescent="0.3">
      <c r="A653" s="543"/>
      <c r="B653" s="930"/>
      <c r="C653" s="924" t="s">
        <v>1495</v>
      </c>
      <c r="D653" s="1955" t="s">
        <v>648</v>
      </c>
      <c r="E653" s="1952"/>
      <c r="F653" s="930"/>
      <c r="G653" s="930"/>
      <c r="H653" s="930"/>
      <c r="I653" s="930"/>
      <c r="J653" s="930"/>
      <c r="K653" s="930"/>
      <c r="L653" s="930"/>
      <c r="M653" s="930"/>
      <c r="N653" s="930"/>
      <c r="O653" s="930"/>
      <c r="P653" s="930"/>
      <c r="Q653" s="930"/>
      <c r="R653" s="930"/>
      <c r="S653" s="930"/>
      <c r="T653" s="930"/>
      <c r="U653" s="930"/>
    </row>
    <row r="654" spans="1:21" s="1661" customFormat="1" ht="15.75" thickBot="1" x14ac:dyDescent="0.3">
      <c r="A654" s="543"/>
      <c r="B654" s="930"/>
      <c r="C654" s="918"/>
      <c r="D654" s="918"/>
      <c r="E654" s="918"/>
      <c r="F654" s="930"/>
      <c r="G654" s="930"/>
      <c r="H654" s="930"/>
      <c r="I654" s="930"/>
      <c r="J654" s="930"/>
      <c r="K654" s="930"/>
      <c r="L654" s="930"/>
      <c r="M654" s="930"/>
      <c r="N654" s="930"/>
      <c r="O654" s="930"/>
      <c r="P654" s="930"/>
      <c r="Q654" s="930"/>
      <c r="R654" s="930"/>
      <c r="S654" s="930"/>
      <c r="T654" s="926" t="s">
        <v>523</v>
      </c>
      <c r="U654" s="930"/>
    </row>
    <row r="655" spans="1:21" s="1661" customFormat="1" ht="15.75" thickBot="1" x14ac:dyDescent="0.3">
      <c r="A655" s="543"/>
      <c r="B655" s="930"/>
      <c r="C655" s="923" t="s">
        <v>1496</v>
      </c>
      <c r="D655" s="1951" t="s">
        <v>1606</v>
      </c>
      <c r="E655" s="1936"/>
      <c r="F655" s="930"/>
      <c r="G655" s="930"/>
      <c r="H655" s="930"/>
      <c r="I655" s="930"/>
      <c r="J655" s="930"/>
      <c r="K655" s="930"/>
      <c r="L655" s="930"/>
      <c r="M655" s="930"/>
      <c r="N655" s="930"/>
      <c r="O655" s="930"/>
      <c r="P655" s="930"/>
      <c r="Q655" s="930"/>
      <c r="R655" s="1568">
        <f>Incentives!C342</f>
        <v>0</v>
      </c>
      <c r="S655" s="930"/>
      <c r="T655" s="1472" t="str">
        <f>Incentives!E336</f>
        <v>No</v>
      </c>
      <c r="U655" s="930"/>
    </row>
    <row r="656" spans="1:21" s="1661" customFormat="1" ht="15.75" thickBot="1" x14ac:dyDescent="0.3">
      <c r="A656" s="543"/>
      <c r="B656" s="930"/>
      <c r="C656" s="930"/>
      <c r="D656" s="930"/>
      <c r="E656" s="930"/>
      <c r="F656" s="930"/>
      <c r="G656" s="930"/>
      <c r="H656" s="930"/>
      <c r="I656" s="930"/>
      <c r="J656" s="930"/>
      <c r="K656" s="930"/>
      <c r="L656" s="930"/>
      <c r="M656" s="930"/>
      <c r="N656" s="930"/>
      <c r="O656" s="930"/>
      <c r="P656" s="930"/>
      <c r="Q656" s="930"/>
      <c r="R656" s="930"/>
      <c r="S656" s="930"/>
      <c r="T656" s="930"/>
      <c r="U656" s="930"/>
    </row>
    <row r="657" spans="1:21" s="1661" customFormat="1" ht="15.75" customHeight="1" thickBot="1" x14ac:dyDescent="0.3">
      <c r="A657" s="543"/>
      <c r="B657" s="1948" t="s">
        <v>2173</v>
      </c>
      <c r="C657" s="1935"/>
      <c r="D657" s="1935"/>
      <c r="E657" s="1935"/>
      <c r="F657" s="1935"/>
      <c r="G657" s="1935"/>
      <c r="H657" s="1935"/>
      <c r="I657" s="1935"/>
      <c r="J657" s="1935"/>
      <c r="K657" s="1935"/>
      <c r="L657" s="1935"/>
      <c r="M657" s="1935"/>
      <c r="N657" s="1935"/>
      <c r="O657" s="1935"/>
      <c r="P657" s="1935"/>
      <c r="Q657" s="1935"/>
      <c r="R657" s="1935"/>
      <c r="S657" s="1935"/>
      <c r="T657" s="1935"/>
      <c r="U657" s="1936"/>
    </row>
    <row r="658" spans="1:21" s="1661" customFormat="1" ht="15.75" thickBot="1" x14ac:dyDescent="0.3">
      <c r="A658" s="543"/>
      <c r="B658" s="930"/>
      <c r="C658" s="930"/>
      <c r="D658" s="930"/>
      <c r="E658" s="930"/>
      <c r="F658" s="930"/>
      <c r="G658" s="930"/>
      <c r="H658" s="930"/>
      <c r="I658" s="930"/>
      <c r="J658" s="930"/>
      <c r="K658" s="930"/>
      <c r="L658" s="930"/>
      <c r="M658" s="930"/>
      <c r="N658" s="930"/>
      <c r="O658" s="930"/>
      <c r="P658" s="930"/>
      <c r="Q658" s="930"/>
      <c r="R658" s="930"/>
      <c r="S658" s="930"/>
      <c r="T658" s="930"/>
      <c r="U658" s="930"/>
    </row>
    <row r="659" spans="1:21" s="1661" customFormat="1" ht="30.75" customHeight="1" thickBot="1" x14ac:dyDescent="0.3">
      <c r="A659" s="543"/>
      <c r="B659" s="930"/>
      <c r="C659" s="923" t="s">
        <v>1383</v>
      </c>
      <c r="D659" s="1949" t="s">
        <v>1775</v>
      </c>
      <c r="E659" s="1950"/>
      <c r="F659" s="930"/>
      <c r="G659" s="930"/>
      <c r="H659" s="926" t="s">
        <v>1380</v>
      </c>
      <c r="I659" s="930"/>
      <c r="J659" s="926" t="s">
        <v>1381</v>
      </c>
      <c r="K659" s="930"/>
      <c r="L659" s="926" t="s">
        <v>1397</v>
      </c>
      <c r="M659" s="930"/>
      <c r="N659" s="926" t="s">
        <v>1382</v>
      </c>
      <c r="O659" s="930"/>
      <c r="P659" s="930"/>
      <c r="Q659" s="930"/>
      <c r="R659" s="926" t="s">
        <v>1487</v>
      </c>
      <c r="S659" s="930"/>
      <c r="T659" s="926" t="s">
        <v>1488</v>
      </c>
      <c r="U659" s="930"/>
    </row>
    <row r="660" spans="1:21" s="1661" customFormat="1" ht="15.75" thickBot="1" x14ac:dyDescent="0.3">
      <c r="A660" s="543"/>
      <c r="B660" s="930"/>
      <c r="C660" s="918"/>
      <c r="D660" s="918"/>
      <c r="E660" s="918"/>
      <c r="F660" s="930"/>
      <c r="G660" s="930"/>
      <c r="H660" s="956" t="str">
        <f>IF(T669="Yes",Incentives!G348,"")</f>
        <v/>
      </c>
      <c r="I660" s="930"/>
      <c r="J660" s="916" t="str">
        <f>IF(T669="Yes",Incentives!I348,"")</f>
        <v/>
      </c>
      <c r="K660" s="930"/>
      <c r="L660" s="1330" t="str">
        <f>IF(T669="Yes",Incentives!K348,"")</f>
        <v/>
      </c>
      <c r="M660" s="930"/>
      <c r="N660" s="956" t="str">
        <f>IF(AND(Incentives!M348&lt;&gt;"",T669="Yes"),Incentives!M348,"")</f>
        <v/>
      </c>
      <c r="O660" s="930"/>
      <c r="P660" s="930"/>
      <c r="Q660" s="930"/>
      <c r="R660" s="1472" t="s">
        <v>1602</v>
      </c>
      <c r="S660" s="930"/>
      <c r="T660" s="1472" t="s">
        <v>646</v>
      </c>
      <c r="U660" s="930"/>
    </row>
    <row r="661" spans="1:21" s="1661" customFormat="1" ht="30.75" thickBot="1" x14ac:dyDescent="0.3">
      <c r="A661" s="543"/>
      <c r="B661" s="930"/>
      <c r="C661" s="923" t="s">
        <v>1491</v>
      </c>
      <c r="D661" s="1951">
        <v>5312</v>
      </c>
      <c r="E661" s="1952"/>
      <c r="F661" s="930"/>
      <c r="G661" s="930"/>
      <c r="H661" s="930"/>
      <c r="I661" s="930"/>
      <c r="J661" s="930"/>
      <c r="K661" s="930"/>
      <c r="L661" s="930"/>
      <c r="M661" s="930"/>
      <c r="N661" s="930"/>
      <c r="O661" s="930"/>
      <c r="P661" s="930"/>
      <c r="Q661" s="930"/>
      <c r="R661" s="930"/>
      <c r="S661" s="930"/>
      <c r="T661" s="930"/>
      <c r="U661" s="930"/>
    </row>
    <row r="662" spans="1:21" s="1661" customFormat="1" ht="15.75" thickBot="1" x14ac:dyDescent="0.3">
      <c r="A662" s="543"/>
      <c r="B662" s="930"/>
      <c r="C662" s="918"/>
      <c r="D662" s="918"/>
      <c r="E662" s="918"/>
      <c r="F662" s="930"/>
      <c r="G662" s="930"/>
      <c r="H662" s="1662" t="s">
        <v>1396</v>
      </c>
      <c r="I662" s="930"/>
      <c r="J662" s="930"/>
      <c r="K662" s="930"/>
      <c r="L662" s="930"/>
      <c r="M662" s="930"/>
      <c r="N662" s="930"/>
      <c r="O662" s="930"/>
      <c r="P662" s="930"/>
      <c r="Q662" s="930"/>
      <c r="R662" s="926" t="s">
        <v>1603</v>
      </c>
      <c r="S662" s="930"/>
      <c r="T662" s="926" t="s">
        <v>1604</v>
      </c>
      <c r="U662" s="930"/>
    </row>
    <row r="663" spans="1:21" s="1661" customFormat="1" ht="15.75" thickBot="1" x14ac:dyDescent="0.3">
      <c r="A663" s="543"/>
      <c r="B663" s="930"/>
      <c r="C663" s="923" t="s">
        <v>1385</v>
      </c>
      <c r="D663" s="1953" t="str">
        <f>IF(T669="Yes",Incentives!E350,"")</f>
        <v/>
      </c>
      <c r="E663" s="1954"/>
      <c r="F663" s="930"/>
      <c r="G663" s="930"/>
      <c r="H663" s="1476" t="str">
        <f>IF(T669="Yes",Incentives!G351,"")</f>
        <v/>
      </c>
      <c r="I663" s="930"/>
      <c r="J663" s="930"/>
      <c r="K663" s="930"/>
      <c r="L663" s="930"/>
      <c r="M663" s="930"/>
      <c r="N663" s="930"/>
      <c r="O663" s="930"/>
      <c r="P663" s="930"/>
      <c r="Q663" s="930"/>
      <c r="R663" s="1472" t="s">
        <v>1610</v>
      </c>
      <c r="S663" s="930"/>
      <c r="T663" s="1472" t="s">
        <v>395</v>
      </c>
      <c r="U663" s="930"/>
    </row>
    <row r="664" spans="1:21" s="1661" customFormat="1" ht="15.75" thickBot="1" x14ac:dyDescent="0.3">
      <c r="A664" s="543"/>
      <c r="B664" s="930"/>
      <c r="C664" s="918"/>
      <c r="D664" s="918"/>
      <c r="E664" s="918"/>
      <c r="F664" s="930"/>
      <c r="G664" s="930"/>
      <c r="H664" s="930"/>
      <c r="I664" s="930"/>
      <c r="J664" s="930"/>
      <c r="K664" s="930"/>
      <c r="L664" s="930"/>
      <c r="M664" s="930"/>
      <c r="N664" s="930"/>
      <c r="O664" s="930"/>
      <c r="P664" s="930"/>
      <c r="Q664" s="930"/>
      <c r="R664" s="930"/>
      <c r="S664" s="930"/>
      <c r="T664" s="930"/>
      <c r="U664" s="930"/>
    </row>
    <row r="665" spans="1:21" s="1661" customFormat="1" ht="30.75" thickBot="1" x14ac:dyDescent="0.3">
      <c r="A665" s="543"/>
      <c r="B665" s="930"/>
      <c r="C665" s="923" t="s">
        <v>1386</v>
      </c>
      <c r="D665" s="1953" t="str">
        <f>IF(T669="Yes",Incentives!E351,"")</f>
        <v/>
      </c>
      <c r="E665" s="1954"/>
      <c r="F665" s="930"/>
      <c r="G665" s="930"/>
      <c r="H665" s="1662" t="s">
        <v>1492</v>
      </c>
      <c r="I665" s="930"/>
      <c r="J665" s="1662" t="s">
        <v>2005</v>
      </c>
      <c r="K665" s="930"/>
      <c r="L665" s="1565" t="s">
        <v>2135</v>
      </c>
      <c r="M665" s="930"/>
      <c r="N665" s="926" t="s">
        <v>1482</v>
      </c>
      <c r="O665" s="930"/>
      <c r="P665" s="930"/>
      <c r="Q665" s="930"/>
      <c r="R665" s="930"/>
      <c r="S665" s="930"/>
      <c r="T665" s="926" t="s">
        <v>1599</v>
      </c>
      <c r="U665" s="930"/>
    </row>
    <row r="666" spans="1:21" s="1661" customFormat="1" ht="15.75" thickBot="1" x14ac:dyDescent="0.3">
      <c r="A666" s="543"/>
      <c r="B666" s="930"/>
      <c r="C666" s="918"/>
      <c r="D666" s="918"/>
      <c r="E666" s="918"/>
      <c r="F666" s="930"/>
      <c r="G666" s="930"/>
      <c r="H666" s="1472" t="s">
        <v>648</v>
      </c>
      <c r="I666" s="930"/>
      <c r="J666" s="999" t="str">
        <f>IF(T669="Yes",Incentives!G354,"")</f>
        <v/>
      </c>
      <c r="K666" s="930"/>
      <c r="L666" s="1566" t="str">
        <f>IF(T669="Yes",IF(R669="Yes","No","Yes"),"")</f>
        <v/>
      </c>
      <c r="M666" s="930"/>
      <c r="N666" s="1476" t="str">
        <f>IF(T669="Yes",Incentives!K354,"")</f>
        <v/>
      </c>
      <c r="O666" s="930"/>
      <c r="P666" s="930"/>
      <c r="Q666" s="930"/>
      <c r="R666" s="930"/>
      <c r="S666" s="930"/>
      <c r="T666" s="1472" t="s">
        <v>648</v>
      </c>
      <c r="U666" s="930"/>
    </row>
    <row r="667" spans="1:21" s="1661" customFormat="1" ht="30.75" thickBot="1" x14ac:dyDescent="0.3">
      <c r="A667" s="543"/>
      <c r="B667" s="930"/>
      <c r="C667" s="924" t="s">
        <v>1495</v>
      </c>
      <c r="D667" s="1955" t="s">
        <v>648</v>
      </c>
      <c r="E667" s="1952"/>
      <c r="F667" s="930"/>
      <c r="G667" s="930"/>
      <c r="H667" s="930"/>
      <c r="I667" s="930"/>
      <c r="J667" s="930"/>
      <c r="K667" s="930"/>
      <c r="L667" s="930"/>
      <c r="M667" s="930"/>
      <c r="N667" s="930"/>
      <c r="O667" s="930"/>
      <c r="P667" s="930"/>
      <c r="Q667" s="930"/>
      <c r="R667" s="930"/>
      <c r="S667" s="930"/>
      <c r="T667" s="930"/>
      <c r="U667" s="930"/>
    </row>
    <row r="668" spans="1:21" s="1661" customFormat="1" ht="15.75" thickBot="1" x14ac:dyDescent="0.3">
      <c r="A668" s="543"/>
      <c r="B668" s="930"/>
      <c r="C668" s="918"/>
      <c r="D668" s="918"/>
      <c r="E668" s="918"/>
      <c r="F668" s="930"/>
      <c r="G668" s="930"/>
      <c r="H668" s="930"/>
      <c r="I668" s="930"/>
      <c r="J668" s="930"/>
      <c r="K668" s="930"/>
      <c r="L668" s="930"/>
      <c r="M668" s="930"/>
      <c r="N668" s="930"/>
      <c r="O668" s="930"/>
      <c r="P668" s="930"/>
      <c r="Q668" s="930"/>
      <c r="R668" s="930"/>
      <c r="S668" s="930"/>
      <c r="T668" s="926" t="s">
        <v>523</v>
      </c>
      <c r="U668" s="930"/>
    </row>
    <row r="669" spans="1:21" s="1661" customFormat="1" ht="15.75" thickBot="1" x14ac:dyDescent="0.3">
      <c r="A669" s="543"/>
      <c r="B669" s="930"/>
      <c r="C669" s="923" t="s">
        <v>1496</v>
      </c>
      <c r="D669" s="1951" t="s">
        <v>1606</v>
      </c>
      <c r="E669" s="1936"/>
      <c r="F669" s="930"/>
      <c r="G669" s="930"/>
      <c r="H669" s="930"/>
      <c r="I669" s="930"/>
      <c r="J669" s="930"/>
      <c r="K669" s="930"/>
      <c r="L669" s="930"/>
      <c r="M669" s="930"/>
      <c r="N669" s="930"/>
      <c r="O669" s="930"/>
      <c r="P669" s="930"/>
      <c r="Q669" s="930"/>
      <c r="R669" s="1568">
        <f>Incentives!C356</f>
        <v>0</v>
      </c>
      <c r="S669" s="930"/>
      <c r="T669" s="1472" t="str">
        <f>Incentives!E347</f>
        <v>No</v>
      </c>
      <c r="U669" s="930"/>
    </row>
    <row r="670" spans="1:21" s="1661" customFormat="1" ht="15.75" thickBot="1" x14ac:dyDescent="0.3">
      <c r="A670" s="543"/>
      <c r="B670" s="930"/>
      <c r="C670" s="930"/>
      <c r="D670" s="930"/>
      <c r="E670" s="930"/>
      <c r="F670" s="930"/>
      <c r="G670" s="930"/>
      <c r="H670" s="930"/>
      <c r="I670" s="930"/>
      <c r="J670" s="930"/>
      <c r="K670" s="930"/>
      <c r="L670" s="930"/>
      <c r="M670" s="930"/>
      <c r="N670" s="930"/>
      <c r="O670" s="930"/>
      <c r="P670" s="930"/>
      <c r="Q670" s="930"/>
      <c r="R670" s="930"/>
      <c r="S670" s="930"/>
      <c r="T670" s="930"/>
      <c r="U670" s="930"/>
    </row>
    <row r="671" spans="1:21" s="1661" customFormat="1" ht="15.75" customHeight="1" thickBot="1" x14ac:dyDescent="0.3">
      <c r="A671" s="543"/>
      <c r="B671" s="1948" t="s">
        <v>2174</v>
      </c>
      <c r="C671" s="1935"/>
      <c r="D671" s="1935"/>
      <c r="E671" s="1935"/>
      <c r="F671" s="1935"/>
      <c r="G671" s="1935"/>
      <c r="H671" s="1935"/>
      <c r="I671" s="1935"/>
      <c r="J671" s="1935"/>
      <c r="K671" s="1935"/>
      <c r="L671" s="1935"/>
      <c r="M671" s="1935"/>
      <c r="N671" s="1935"/>
      <c r="O671" s="1935"/>
      <c r="P671" s="1935"/>
      <c r="Q671" s="1935"/>
      <c r="R671" s="1935"/>
      <c r="S671" s="1935"/>
      <c r="T671" s="1935"/>
      <c r="U671" s="1936"/>
    </row>
    <row r="672" spans="1:21" s="1661" customFormat="1" ht="15.75" thickBot="1" x14ac:dyDescent="0.3">
      <c r="A672" s="543"/>
      <c r="B672" s="930"/>
      <c r="C672" s="930"/>
      <c r="D672" s="930"/>
      <c r="E672" s="930"/>
      <c r="F672" s="930"/>
      <c r="G672" s="930"/>
      <c r="H672" s="930"/>
      <c r="I672" s="930"/>
      <c r="J672" s="930"/>
      <c r="K672" s="930"/>
      <c r="L672" s="930"/>
      <c r="M672" s="930"/>
      <c r="N672" s="930"/>
      <c r="O672" s="930"/>
      <c r="P672" s="930"/>
      <c r="Q672" s="930"/>
      <c r="R672" s="930"/>
      <c r="S672" s="930"/>
      <c r="T672" s="930"/>
      <c r="U672" s="930"/>
    </row>
    <row r="673" spans="1:21" s="1661" customFormat="1" ht="30.75" customHeight="1" thickBot="1" x14ac:dyDescent="0.3">
      <c r="A673" s="543"/>
      <c r="B673" s="930"/>
      <c r="C673" s="923" t="s">
        <v>1383</v>
      </c>
      <c r="D673" s="1949" t="s">
        <v>1775</v>
      </c>
      <c r="E673" s="1950"/>
      <c r="F673" s="930"/>
      <c r="G673" s="930"/>
      <c r="H673" s="926" t="s">
        <v>1380</v>
      </c>
      <c r="I673" s="930"/>
      <c r="J673" s="926" t="s">
        <v>1381</v>
      </c>
      <c r="K673" s="930"/>
      <c r="L673" s="926" t="s">
        <v>1397</v>
      </c>
      <c r="M673" s="930"/>
      <c r="N673" s="926" t="s">
        <v>1382</v>
      </c>
      <c r="O673" s="930"/>
      <c r="P673" s="930"/>
      <c r="Q673" s="930"/>
      <c r="R673" s="926" t="s">
        <v>1487</v>
      </c>
      <c r="S673" s="930"/>
      <c r="T673" s="926" t="s">
        <v>1488</v>
      </c>
      <c r="U673" s="930"/>
    </row>
    <row r="674" spans="1:21" s="1661" customFormat="1" ht="15.75" thickBot="1" x14ac:dyDescent="0.3">
      <c r="A674" s="543"/>
      <c r="B674" s="930"/>
      <c r="C674" s="918"/>
      <c r="D674" s="918"/>
      <c r="E674" s="918"/>
      <c r="F674" s="930"/>
      <c r="G674" s="930"/>
      <c r="H674" s="956" t="str">
        <f>IF(T683="Yes",Incentives!G359,"")</f>
        <v/>
      </c>
      <c r="I674" s="930"/>
      <c r="J674" s="916" t="str">
        <f>IF(T683="Yes",Incentives!I359,"")</f>
        <v/>
      </c>
      <c r="K674" s="930"/>
      <c r="L674" s="1330" t="str">
        <f>IF(T683="Yes",Incentives!K359,"")</f>
        <v/>
      </c>
      <c r="M674" s="930"/>
      <c r="N674" s="956" t="str">
        <f>IF(AND(Incentives!M359&lt;&gt;"",T683="Yes"),Incentives!M359,"")</f>
        <v/>
      </c>
      <c r="O674" s="930"/>
      <c r="P674" s="930"/>
      <c r="Q674" s="930"/>
      <c r="R674" s="1472" t="s">
        <v>1602</v>
      </c>
      <c r="S674" s="930"/>
      <c r="T674" s="1472" t="s">
        <v>646</v>
      </c>
      <c r="U674" s="930"/>
    </row>
    <row r="675" spans="1:21" s="1661" customFormat="1" ht="30.75" thickBot="1" x14ac:dyDescent="0.3">
      <c r="A675" s="543"/>
      <c r="B675" s="930"/>
      <c r="C675" s="923" t="s">
        <v>1491</v>
      </c>
      <c r="D675" s="1951">
        <v>5313</v>
      </c>
      <c r="E675" s="1952"/>
      <c r="F675" s="930"/>
      <c r="G675" s="930"/>
      <c r="H675" s="930"/>
      <c r="I675" s="930"/>
      <c r="J675" s="930"/>
      <c r="K675" s="930"/>
      <c r="L675" s="930"/>
      <c r="M675" s="930"/>
      <c r="N675" s="930"/>
      <c r="O675" s="930"/>
      <c r="P675" s="930"/>
      <c r="Q675" s="930"/>
      <c r="R675" s="930"/>
      <c r="S675" s="930"/>
      <c r="T675" s="930"/>
      <c r="U675" s="930"/>
    </row>
    <row r="676" spans="1:21" s="1661" customFormat="1" ht="15.75" thickBot="1" x14ac:dyDescent="0.3">
      <c r="A676" s="543"/>
      <c r="B676" s="930"/>
      <c r="C676" s="918"/>
      <c r="D676" s="918"/>
      <c r="E676" s="918"/>
      <c r="F676" s="930"/>
      <c r="G676" s="930"/>
      <c r="H676" s="1662" t="s">
        <v>1396</v>
      </c>
      <c r="I676" s="930"/>
      <c r="J676" s="930"/>
      <c r="K676" s="930"/>
      <c r="L676" s="930"/>
      <c r="M676" s="930"/>
      <c r="N676" s="930"/>
      <c r="O676" s="930"/>
      <c r="P676" s="930"/>
      <c r="Q676" s="930"/>
      <c r="R676" s="926" t="s">
        <v>1603</v>
      </c>
      <c r="S676" s="930"/>
      <c r="T676" s="926" t="s">
        <v>1604</v>
      </c>
      <c r="U676" s="930"/>
    </row>
    <row r="677" spans="1:21" s="1661" customFormat="1" ht="15.75" thickBot="1" x14ac:dyDescent="0.3">
      <c r="A677" s="543"/>
      <c r="B677" s="930"/>
      <c r="C677" s="923" t="s">
        <v>1385</v>
      </c>
      <c r="D677" s="1953" t="str">
        <f>IF(T683="Yes",Incentives!E361,"")</f>
        <v/>
      </c>
      <c r="E677" s="1954"/>
      <c r="F677" s="930"/>
      <c r="G677" s="930"/>
      <c r="H677" s="1476" t="str">
        <f>IF(T683="Yes",Incentives!G362,"")</f>
        <v/>
      </c>
      <c r="I677" s="930"/>
      <c r="J677" s="930"/>
      <c r="K677" s="930"/>
      <c r="L677" s="930"/>
      <c r="M677" s="930"/>
      <c r="N677" s="930"/>
      <c r="O677" s="930"/>
      <c r="P677" s="930"/>
      <c r="Q677" s="930"/>
      <c r="R677" s="1472" t="s">
        <v>1610</v>
      </c>
      <c r="S677" s="930"/>
      <c r="T677" s="1472" t="s">
        <v>395</v>
      </c>
      <c r="U677" s="930"/>
    </row>
    <row r="678" spans="1:21" s="1661" customFormat="1" ht="15.75" thickBot="1" x14ac:dyDescent="0.3">
      <c r="A678" s="543"/>
      <c r="B678" s="930"/>
      <c r="C678" s="918"/>
      <c r="D678" s="918"/>
      <c r="E678" s="918"/>
      <c r="F678" s="930"/>
      <c r="G678" s="930"/>
      <c r="H678" s="930"/>
      <c r="I678" s="930"/>
      <c r="J678" s="930"/>
      <c r="K678" s="930"/>
      <c r="L678" s="930"/>
      <c r="M678" s="930"/>
      <c r="N678" s="930"/>
      <c r="O678" s="930"/>
      <c r="P678" s="930"/>
      <c r="Q678" s="930"/>
      <c r="R678" s="930"/>
      <c r="S678" s="930"/>
      <c r="T678" s="930"/>
      <c r="U678" s="930"/>
    </row>
    <row r="679" spans="1:21" s="1661" customFormat="1" ht="30.75" thickBot="1" x14ac:dyDescent="0.3">
      <c r="A679" s="543"/>
      <c r="B679" s="930"/>
      <c r="C679" s="923" t="s">
        <v>1386</v>
      </c>
      <c r="D679" s="1953" t="str">
        <f>IF(T683="Yes",Incentives!E362,"")</f>
        <v/>
      </c>
      <c r="E679" s="1954"/>
      <c r="F679" s="930"/>
      <c r="G679" s="930"/>
      <c r="H679" s="1662" t="s">
        <v>1492</v>
      </c>
      <c r="I679" s="930"/>
      <c r="J679" s="1662" t="s">
        <v>2005</v>
      </c>
      <c r="K679" s="930"/>
      <c r="L679" s="1565" t="s">
        <v>2135</v>
      </c>
      <c r="M679" s="930"/>
      <c r="N679" s="926" t="s">
        <v>1482</v>
      </c>
      <c r="O679" s="930"/>
      <c r="P679" s="930"/>
      <c r="Q679" s="930"/>
      <c r="R679" s="930"/>
      <c r="S679" s="930"/>
      <c r="T679" s="926" t="s">
        <v>1599</v>
      </c>
      <c r="U679" s="930"/>
    </row>
    <row r="680" spans="1:21" s="1661" customFormat="1" ht="15.75" thickBot="1" x14ac:dyDescent="0.3">
      <c r="A680" s="543"/>
      <c r="B680" s="930"/>
      <c r="C680" s="918"/>
      <c r="D680" s="918"/>
      <c r="E680" s="918"/>
      <c r="F680" s="930"/>
      <c r="G680" s="930"/>
      <c r="H680" s="1472" t="s">
        <v>648</v>
      </c>
      <c r="I680" s="930"/>
      <c r="J680" s="999" t="str">
        <f>IF(T683="Yes",Incentives!G365,"")</f>
        <v/>
      </c>
      <c r="K680" s="930"/>
      <c r="L680" s="1566" t="str">
        <f>IF(T683="Yes",IF(R683="Yes","No","Yes"),"")</f>
        <v/>
      </c>
      <c r="M680" s="930"/>
      <c r="N680" s="1476" t="str">
        <f>IF(T683="Yes",Incentives!K365,"")</f>
        <v/>
      </c>
      <c r="O680" s="930"/>
      <c r="P680" s="930"/>
      <c r="Q680" s="930"/>
      <c r="R680" s="930"/>
      <c r="S680" s="930"/>
      <c r="T680" s="1472" t="s">
        <v>648</v>
      </c>
      <c r="U680" s="930"/>
    </row>
    <row r="681" spans="1:21" s="1661" customFormat="1" ht="30.75" thickBot="1" x14ac:dyDescent="0.3">
      <c r="A681" s="543"/>
      <c r="B681" s="930"/>
      <c r="C681" s="924" t="s">
        <v>1495</v>
      </c>
      <c r="D681" s="1955" t="s">
        <v>648</v>
      </c>
      <c r="E681" s="1952"/>
      <c r="F681" s="930"/>
      <c r="G681" s="930"/>
      <c r="H681" s="930"/>
      <c r="I681" s="930"/>
      <c r="J681" s="930"/>
      <c r="K681" s="930"/>
      <c r="L681" s="930"/>
      <c r="M681" s="930"/>
      <c r="N681" s="930"/>
      <c r="O681" s="930"/>
      <c r="P681" s="930"/>
      <c r="Q681" s="930"/>
      <c r="R681" s="930"/>
      <c r="S681" s="930"/>
      <c r="T681" s="930"/>
      <c r="U681" s="930"/>
    </row>
    <row r="682" spans="1:21" s="1661" customFormat="1" ht="15.75" thickBot="1" x14ac:dyDescent="0.3">
      <c r="A682" s="543"/>
      <c r="B682" s="930"/>
      <c r="C682" s="918"/>
      <c r="D682" s="918"/>
      <c r="E682" s="918"/>
      <c r="F682" s="930"/>
      <c r="G682" s="930"/>
      <c r="H682" s="930"/>
      <c r="I682" s="930"/>
      <c r="J682" s="930"/>
      <c r="K682" s="930"/>
      <c r="L682" s="930"/>
      <c r="M682" s="930"/>
      <c r="N682" s="930"/>
      <c r="O682" s="930"/>
      <c r="P682" s="930"/>
      <c r="Q682" s="930"/>
      <c r="R682" s="930"/>
      <c r="S682" s="930"/>
      <c r="T682" s="926" t="s">
        <v>523</v>
      </c>
      <c r="U682" s="930"/>
    </row>
    <row r="683" spans="1:21" s="1661" customFormat="1" ht="15.75" thickBot="1" x14ac:dyDescent="0.3">
      <c r="A683" s="543"/>
      <c r="B683" s="930"/>
      <c r="C683" s="923" t="s">
        <v>1496</v>
      </c>
      <c r="D683" s="1951" t="s">
        <v>1606</v>
      </c>
      <c r="E683" s="1936"/>
      <c r="F683" s="930"/>
      <c r="G683" s="930"/>
      <c r="H683" s="930"/>
      <c r="I683" s="930"/>
      <c r="J683" s="930"/>
      <c r="K683" s="930"/>
      <c r="L683" s="930"/>
      <c r="M683" s="930"/>
      <c r="N683" s="930"/>
      <c r="O683" s="930"/>
      <c r="P683" s="930"/>
      <c r="Q683" s="930"/>
      <c r="R683" s="1568">
        <f>Incentives!C370</f>
        <v>0</v>
      </c>
      <c r="S683" s="930"/>
      <c r="T683" s="1472" t="str">
        <f>Incentives!E358</f>
        <v>No</v>
      </c>
      <c r="U683" s="930"/>
    </row>
    <row r="684" spans="1:21" s="1661" customFormat="1" ht="15.75" thickBot="1" x14ac:dyDescent="0.3">
      <c r="A684" s="543"/>
      <c r="B684" s="930"/>
      <c r="C684" s="930"/>
      <c r="D684" s="930"/>
      <c r="E684" s="930"/>
      <c r="F684" s="930"/>
      <c r="G684" s="930"/>
      <c r="H684" s="930"/>
      <c r="I684" s="930"/>
      <c r="J684" s="930"/>
      <c r="K684" s="930"/>
      <c r="L684" s="930"/>
      <c r="M684" s="930"/>
      <c r="N684" s="930"/>
      <c r="O684" s="930"/>
      <c r="P684" s="930"/>
      <c r="Q684" s="930"/>
      <c r="R684" s="930"/>
      <c r="S684" s="930"/>
      <c r="T684" s="930"/>
      <c r="U684" s="930"/>
    </row>
    <row r="685" spans="1:21" s="1661" customFormat="1" ht="15.75" customHeight="1" thickBot="1" x14ac:dyDescent="0.3">
      <c r="A685" s="543"/>
      <c r="B685" s="1948" t="s">
        <v>2175</v>
      </c>
      <c r="C685" s="1935"/>
      <c r="D685" s="1935"/>
      <c r="E685" s="1935"/>
      <c r="F685" s="1935"/>
      <c r="G685" s="1935"/>
      <c r="H685" s="1935"/>
      <c r="I685" s="1935"/>
      <c r="J685" s="1935"/>
      <c r="K685" s="1935"/>
      <c r="L685" s="1935"/>
      <c r="M685" s="1935"/>
      <c r="N685" s="1935"/>
      <c r="O685" s="1935"/>
      <c r="P685" s="1935"/>
      <c r="Q685" s="1935"/>
      <c r="R685" s="1935"/>
      <c r="S685" s="1935"/>
      <c r="T685" s="1935"/>
      <c r="U685" s="1936"/>
    </row>
    <row r="686" spans="1:21" s="1661" customFormat="1" ht="15.75" thickBot="1" x14ac:dyDescent="0.3">
      <c r="A686" s="543"/>
      <c r="B686" s="930"/>
      <c r="C686" s="930"/>
      <c r="D686" s="930"/>
      <c r="E686" s="930"/>
      <c r="F686" s="930"/>
      <c r="G686" s="930"/>
      <c r="H686" s="930"/>
      <c r="I686" s="930"/>
      <c r="J686" s="930"/>
      <c r="K686" s="930"/>
      <c r="L686" s="930"/>
      <c r="M686" s="930"/>
      <c r="N686" s="930"/>
      <c r="O686" s="930"/>
      <c r="P686" s="930"/>
      <c r="Q686" s="930"/>
      <c r="R686" s="930"/>
      <c r="S686" s="930"/>
      <c r="T686" s="930"/>
      <c r="U686" s="930"/>
    </row>
    <row r="687" spans="1:21" s="1661" customFormat="1" ht="30.75" customHeight="1" thickBot="1" x14ac:dyDescent="0.3">
      <c r="A687" s="543"/>
      <c r="B687" s="930"/>
      <c r="C687" s="923" t="s">
        <v>1383</v>
      </c>
      <c r="D687" s="1949" t="s">
        <v>1775</v>
      </c>
      <c r="E687" s="1950"/>
      <c r="F687" s="930"/>
      <c r="G687" s="930"/>
      <c r="H687" s="926" t="s">
        <v>1380</v>
      </c>
      <c r="I687" s="930"/>
      <c r="J687" s="926" t="s">
        <v>1381</v>
      </c>
      <c r="K687" s="930"/>
      <c r="L687" s="926" t="s">
        <v>1397</v>
      </c>
      <c r="M687" s="930"/>
      <c r="N687" s="926" t="s">
        <v>1382</v>
      </c>
      <c r="O687" s="930"/>
      <c r="P687" s="930"/>
      <c r="Q687" s="930"/>
      <c r="R687" s="926" t="s">
        <v>1487</v>
      </c>
      <c r="S687" s="930"/>
      <c r="T687" s="926" t="s">
        <v>1488</v>
      </c>
      <c r="U687" s="930"/>
    </row>
    <row r="688" spans="1:21" s="1661" customFormat="1" ht="15.75" thickBot="1" x14ac:dyDescent="0.3">
      <c r="A688" s="543"/>
      <c r="B688" s="930"/>
      <c r="C688" s="918"/>
      <c r="D688" s="918"/>
      <c r="E688" s="918"/>
      <c r="F688" s="930"/>
      <c r="G688" s="930"/>
      <c r="H688" s="956" t="str">
        <f>IF(T697="Yes",Incentives!G370,"")</f>
        <v/>
      </c>
      <c r="I688" s="930"/>
      <c r="J688" s="916" t="str">
        <f>IF(T697="Yes",Incentives!I370,"")</f>
        <v/>
      </c>
      <c r="K688" s="930"/>
      <c r="L688" s="1330" t="str">
        <f>IF(T697="Yes",Incentives!K370,"")</f>
        <v/>
      </c>
      <c r="M688" s="930"/>
      <c r="N688" s="956" t="str">
        <f>IF(AND(Incentives!M370&lt;&gt;"",T697="Yes"),Incentives!M370,"")</f>
        <v/>
      </c>
      <c r="O688" s="930"/>
      <c r="P688" s="930"/>
      <c r="Q688" s="930"/>
      <c r="R688" s="1472" t="s">
        <v>1602</v>
      </c>
      <c r="S688" s="930"/>
      <c r="T688" s="1472" t="s">
        <v>646</v>
      </c>
      <c r="U688" s="930"/>
    </row>
    <row r="689" spans="1:21" s="1661" customFormat="1" ht="30.75" thickBot="1" x14ac:dyDescent="0.3">
      <c r="A689" s="543"/>
      <c r="B689" s="930"/>
      <c r="C689" s="923" t="s">
        <v>1491</v>
      </c>
      <c r="D689" s="1951">
        <v>5314</v>
      </c>
      <c r="E689" s="1952"/>
      <c r="F689" s="930"/>
      <c r="G689" s="930"/>
      <c r="H689" s="930"/>
      <c r="I689" s="930"/>
      <c r="J689" s="930"/>
      <c r="K689" s="930"/>
      <c r="L689" s="930"/>
      <c r="M689" s="930"/>
      <c r="N689" s="930"/>
      <c r="O689" s="930"/>
      <c r="P689" s="930"/>
      <c r="Q689" s="930"/>
      <c r="R689" s="930"/>
      <c r="S689" s="930"/>
      <c r="T689" s="930"/>
      <c r="U689" s="930"/>
    </row>
    <row r="690" spans="1:21" s="1661" customFormat="1" ht="15.75" thickBot="1" x14ac:dyDescent="0.3">
      <c r="A690" s="543"/>
      <c r="B690" s="930"/>
      <c r="C690" s="918"/>
      <c r="D690" s="918"/>
      <c r="E690" s="918"/>
      <c r="F690" s="930"/>
      <c r="G690" s="930"/>
      <c r="H690" s="1662" t="s">
        <v>1396</v>
      </c>
      <c r="I690" s="930"/>
      <c r="J690" s="930"/>
      <c r="K690" s="930"/>
      <c r="L690" s="930"/>
      <c r="M690" s="930"/>
      <c r="N690" s="930"/>
      <c r="O690" s="930"/>
      <c r="P690" s="930"/>
      <c r="Q690" s="930"/>
      <c r="R690" s="926" t="s">
        <v>1603</v>
      </c>
      <c r="S690" s="930"/>
      <c r="T690" s="926" t="s">
        <v>1604</v>
      </c>
      <c r="U690" s="930"/>
    </row>
    <row r="691" spans="1:21" s="1661" customFormat="1" ht="15.75" thickBot="1" x14ac:dyDescent="0.3">
      <c r="A691" s="543"/>
      <c r="B691" s="930"/>
      <c r="C691" s="923" t="s">
        <v>1385</v>
      </c>
      <c r="D691" s="1953" t="str">
        <f>IF(T697="Yes",Incentives!E372,"")</f>
        <v/>
      </c>
      <c r="E691" s="1954"/>
      <c r="F691" s="930"/>
      <c r="G691" s="930"/>
      <c r="H691" s="1476" t="str">
        <f>IF(T697="Yes",Incentives!G373,"")</f>
        <v/>
      </c>
      <c r="I691" s="930"/>
      <c r="J691" s="930"/>
      <c r="K691" s="930"/>
      <c r="L691" s="930"/>
      <c r="M691" s="930"/>
      <c r="N691" s="930"/>
      <c r="O691" s="930"/>
      <c r="P691" s="930"/>
      <c r="Q691" s="930"/>
      <c r="R691" s="1472" t="s">
        <v>1610</v>
      </c>
      <c r="S691" s="930"/>
      <c r="T691" s="1472" t="s">
        <v>395</v>
      </c>
      <c r="U691" s="930"/>
    </row>
    <row r="692" spans="1:21" s="1661" customFormat="1" ht="15.75" thickBot="1" x14ac:dyDescent="0.3">
      <c r="A692" s="543"/>
      <c r="B692" s="930"/>
      <c r="C692" s="918"/>
      <c r="D692" s="918"/>
      <c r="E692" s="918"/>
      <c r="F692" s="930"/>
      <c r="G692" s="930"/>
      <c r="H692" s="930"/>
      <c r="I692" s="930"/>
      <c r="J692" s="930"/>
      <c r="K692" s="930"/>
      <c r="L692" s="930"/>
      <c r="M692" s="930"/>
      <c r="N692" s="930"/>
      <c r="O692" s="930"/>
      <c r="P692" s="930"/>
      <c r="Q692" s="930"/>
      <c r="R692" s="930"/>
      <c r="S692" s="930"/>
      <c r="T692" s="930"/>
      <c r="U692" s="930"/>
    </row>
    <row r="693" spans="1:21" s="1661" customFormat="1" ht="30.75" thickBot="1" x14ac:dyDescent="0.3">
      <c r="A693" s="543"/>
      <c r="B693" s="930"/>
      <c r="C693" s="923" t="s">
        <v>1386</v>
      </c>
      <c r="D693" s="1953" t="str">
        <f>IF(T697="Yes",Incentives!E373,"")</f>
        <v/>
      </c>
      <c r="E693" s="1954"/>
      <c r="F693" s="930"/>
      <c r="G693" s="930"/>
      <c r="H693" s="1662" t="s">
        <v>1492</v>
      </c>
      <c r="I693" s="930"/>
      <c r="J693" s="1662" t="s">
        <v>2005</v>
      </c>
      <c r="K693" s="930"/>
      <c r="L693" s="1565" t="s">
        <v>2135</v>
      </c>
      <c r="M693" s="930"/>
      <c r="N693" s="926" t="s">
        <v>1482</v>
      </c>
      <c r="O693" s="930"/>
      <c r="P693" s="930"/>
      <c r="Q693" s="930"/>
      <c r="R693" s="930"/>
      <c r="S693" s="930"/>
      <c r="T693" s="926" t="s">
        <v>1599</v>
      </c>
      <c r="U693" s="930"/>
    </row>
    <row r="694" spans="1:21" s="1661" customFormat="1" ht="15.75" thickBot="1" x14ac:dyDescent="0.3">
      <c r="A694" s="543"/>
      <c r="B694" s="930"/>
      <c r="C694" s="918"/>
      <c r="D694" s="918"/>
      <c r="E694" s="918"/>
      <c r="F694" s="930"/>
      <c r="G694" s="930"/>
      <c r="H694" s="1472" t="s">
        <v>648</v>
      </c>
      <c r="I694" s="930"/>
      <c r="J694" s="999" t="str">
        <f>IF(T697="Yes",Incentives!G376,"")</f>
        <v/>
      </c>
      <c r="K694" s="930"/>
      <c r="L694" s="1566" t="str">
        <f>IF(T697="Yes",IF(R697="Yes","No","Yes"),"")</f>
        <v/>
      </c>
      <c r="M694" s="930"/>
      <c r="N694" s="1476" t="str">
        <f>IF(T697="Yes",Incentives!K376,"")</f>
        <v/>
      </c>
      <c r="O694" s="930"/>
      <c r="P694" s="930"/>
      <c r="Q694" s="930"/>
      <c r="R694" s="930"/>
      <c r="S694" s="930"/>
      <c r="T694" s="1472" t="s">
        <v>648</v>
      </c>
      <c r="U694" s="930"/>
    </row>
    <row r="695" spans="1:21" s="1661" customFormat="1" ht="30.75" thickBot="1" x14ac:dyDescent="0.3">
      <c r="A695" s="543"/>
      <c r="B695" s="930"/>
      <c r="C695" s="924" t="s">
        <v>1495</v>
      </c>
      <c r="D695" s="1955" t="s">
        <v>648</v>
      </c>
      <c r="E695" s="1952"/>
      <c r="F695" s="930"/>
      <c r="G695" s="930"/>
      <c r="H695" s="930"/>
      <c r="I695" s="930"/>
      <c r="J695" s="930"/>
      <c r="K695" s="930"/>
      <c r="L695" s="930"/>
      <c r="M695" s="930"/>
      <c r="N695" s="930"/>
      <c r="O695" s="930"/>
      <c r="P695" s="930"/>
      <c r="Q695" s="930"/>
      <c r="R695" s="930"/>
      <c r="S695" s="930"/>
      <c r="T695" s="930"/>
      <c r="U695" s="930"/>
    </row>
    <row r="696" spans="1:21" s="1661" customFormat="1" ht="15.75" thickBot="1" x14ac:dyDescent="0.3">
      <c r="A696" s="543"/>
      <c r="B696" s="930"/>
      <c r="C696" s="918"/>
      <c r="D696" s="918"/>
      <c r="E696" s="918"/>
      <c r="F696" s="930"/>
      <c r="G696" s="930"/>
      <c r="H696" s="930"/>
      <c r="I696" s="930"/>
      <c r="J696" s="930"/>
      <c r="K696" s="930"/>
      <c r="L696" s="930"/>
      <c r="M696" s="930"/>
      <c r="N696" s="930"/>
      <c r="O696" s="930"/>
      <c r="P696" s="930"/>
      <c r="Q696" s="930"/>
      <c r="R696" s="930"/>
      <c r="S696" s="930"/>
      <c r="T696" s="926" t="s">
        <v>523</v>
      </c>
      <c r="U696" s="930"/>
    </row>
    <row r="697" spans="1:21" s="1661" customFormat="1" ht="15.75" thickBot="1" x14ac:dyDescent="0.3">
      <c r="A697" s="543"/>
      <c r="B697" s="930"/>
      <c r="C697" s="923" t="s">
        <v>1496</v>
      </c>
      <c r="D697" s="1951" t="s">
        <v>1606</v>
      </c>
      <c r="E697" s="1936"/>
      <c r="F697" s="930"/>
      <c r="G697" s="930"/>
      <c r="H697" s="930"/>
      <c r="I697" s="930"/>
      <c r="J697" s="930"/>
      <c r="K697" s="930"/>
      <c r="L697" s="930"/>
      <c r="M697" s="930"/>
      <c r="N697" s="930"/>
      <c r="O697" s="930"/>
      <c r="P697" s="930"/>
      <c r="Q697" s="930"/>
      <c r="R697" s="1568" t="str">
        <f ca="1">Incentives!C384</f>
        <v/>
      </c>
      <c r="S697" s="930"/>
      <c r="T697" s="1472" t="str">
        <f>Incentives!E369</f>
        <v>No</v>
      </c>
      <c r="U697" s="930"/>
    </row>
    <row r="698" spans="1:21" s="1661" customFormat="1" ht="15.75" thickBot="1" x14ac:dyDescent="0.3">
      <c r="A698" s="543"/>
      <c r="B698" s="930"/>
      <c r="C698" s="930"/>
      <c r="D698" s="930"/>
      <c r="E698" s="930"/>
      <c r="F698" s="930"/>
      <c r="G698" s="930"/>
      <c r="H698" s="930"/>
      <c r="I698" s="930"/>
      <c r="J698" s="930"/>
      <c r="K698" s="930"/>
      <c r="L698" s="930"/>
      <c r="M698" s="930"/>
      <c r="N698" s="930"/>
      <c r="O698" s="930"/>
      <c r="P698" s="930"/>
      <c r="Q698" s="930"/>
      <c r="R698" s="930"/>
      <c r="S698" s="930"/>
      <c r="T698" s="930"/>
      <c r="U698" s="930"/>
    </row>
    <row r="699" spans="1:21" s="1661" customFormat="1" ht="15.75" customHeight="1" thickBot="1" x14ac:dyDescent="0.3">
      <c r="A699" s="543"/>
      <c r="B699" s="1948" t="s">
        <v>2176</v>
      </c>
      <c r="C699" s="1935"/>
      <c r="D699" s="1935"/>
      <c r="E699" s="1935"/>
      <c r="F699" s="1935"/>
      <c r="G699" s="1935"/>
      <c r="H699" s="1935"/>
      <c r="I699" s="1935"/>
      <c r="J699" s="1935"/>
      <c r="K699" s="1935"/>
      <c r="L699" s="1935"/>
      <c r="M699" s="1935"/>
      <c r="N699" s="1935"/>
      <c r="O699" s="1935"/>
      <c r="P699" s="1935"/>
      <c r="Q699" s="1935"/>
      <c r="R699" s="1935"/>
      <c r="S699" s="1935"/>
      <c r="T699" s="1935"/>
      <c r="U699" s="1936"/>
    </row>
    <row r="700" spans="1:21" s="1661" customFormat="1" ht="15.75" thickBot="1" x14ac:dyDescent="0.3">
      <c r="A700" s="543"/>
      <c r="B700" s="930"/>
      <c r="C700" s="930"/>
      <c r="D700" s="930"/>
      <c r="E700" s="930"/>
      <c r="F700" s="930"/>
      <c r="G700" s="930"/>
      <c r="H700" s="930"/>
      <c r="I700" s="930"/>
      <c r="J700" s="930"/>
      <c r="K700" s="930"/>
      <c r="L700" s="930"/>
      <c r="M700" s="930"/>
      <c r="N700" s="930"/>
      <c r="O700" s="930"/>
      <c r="P700" s="930"/>
      <c r="Q700" s="930"/>
      <c r="R700" s="930"/>
      <c r="S700" s="930"/>
      <c r="T700" s="930"/>
      <c r="U700" s="930"/>
    </row>
    <row r="701" spans="1:21" s="1661" customFormat="1" ht="30.75" customHeight="1" thickBot="1" x14ac:dyDescent="0.3">
      <c r="A701" s="543"/>
      <c r="B701" s="930"/>
      <c r="C701" s="923" t="s">
        <v>1383</v>
      </c>
      <c r="D701" s="1949" t="s">
        <v>1775</v>
      </c>
      <c r="E701" s="1950"/>
      <c r="F701" s="930"/>
      <c r="G701" s="930"/>
      <c r="H701" s="926" t="s">
        <v>1380</v>
      </c>
      <c r="I701" s="930"/>
      <c r="J701" s="926" t="s">
        <v>1381</v>
      </c>
      <c r="K701" s="930"/>
      <c r="L701" s="926" t="s">
        <v>1397</v>
      </c>
      <c r="M701" s="930"/>
      <c r="N701" s="926" t="s">
        <v>1382</v>
      </c>
      <c r="O701" s="930"/>
      <c r="P701" s="930"/>
      <c r="Q701" s="930"/>
      <c r="R701" s="926" t="s">
        <v>1487</v>
      </c>
      <c r="S701" s="930"/>
      <c r="T701" s="926" t="s">
        <v>1488</v>
      </c>
      <c r="U701" s="930"/>
    </row>
    <row r="702" spans="1:21" s="1661" customFormat="1" ht="15.75" thickBot="1" x14ac:dyDescent="0.3">
      <c r="A702" s="543"/>
      <c r="B702" s="930"/>
      <c r="C702" s="918"/>
      <c r="D702" s="918"/>
      <c r="E702" s="918"/>
      <c r="F702" s="930"/>
      <c r="G702" s="930"/>
      <c r="H702" s="956" t="str">
        <f>IF(T711="Yes",Incentives!G381,"")</f>
        <v/>
      </c>
      <c r="I702" s="930"/>
      <c r="J702" s="916" t="str">
        <f>IF(T711="Yes",Incentives!I381,"")</f>
        <v/>
      </c>
      <c r="K702" s="930"/>
      <c r="L702" s="1330" t="str">
        <f>IF(T711="Yes",Incentives!K381,"")</f>
        <v/>
      </c>
      <c r="M702" s="930"/>
      <c r="N702" s="956" t="str">
        <f>IF(AND(Incentives!M381&lt;&gt;"",T711="Yes"),Incentives!M381,"")</f>
        <v/>
      </c>
      <c r="O702" s="930"/>
      <c r="P702" s="930"/>
      <c r="Q702" s="930"/>
      <c r="R702" s="1472" t="s">
        <v>1602</v>
      </c>
      <c r="S702" s="930"/>
      <c r="T702" s="1472" t="s">
        <v>646</v>
      </c>
      <c r="U702" s="930"/>
    </row>
    <row r="703" spans="1:21" s="1661" customFormat="1" ht="30.75" thickBot="1" x14ac:dyDescent="0.3">
      <c r="A703" s="543"/>
      <c r="B703" s="930"/>
      <c r="C703" s="923" t="s">
        <v>1491</v>
      </c>
      <c r="D703" s="1951">
        <v>5315</v>
      </c>
      <c r="E703" s="1952"/>
      <c r="F703" s="930"/>
      <c r="G703" s="930"/>
      <c r="H703" s="930"/>
      <c r="I703" s="930"/>
      <c r="J703" s="930"/>
      <c r="K703" s="930"/>
      <c r="L703" s="930"/>
      <c r="M703" s="930"/>
      <c r="N703" s="930"/>
      <c r="O703" s="930"/>
      <c r="P703" s="930"/>
      <c r="Q703" s="930"/>
      <c r="R703" s="930"/>
      <c r="S703" s="930"/>
      <c r="T703" s="930"/>
      <c r="U703" s="930"/>
    </row>
    <row r="704" spans="1:21" s="1661" customFormat="1" ht="15.75" thickBot="1" x14ac:dyDescent="0.3">
      <c r="A704" s="543"/>
      <c r="B704" s="930"/>
      <c r="C704" s="918"/>
      <c r="D704" s="918"/>
      <c r="E704" s="918"/>
      <c r="F704" s="930"/>
      <c r="G704" s="930"/>
      <c r="H704" s="1662" t="s">
        <v>1396</v>
      </c>
      <c r="I704" s="930"/>
      <c r="J704" s="930"/>
      <c r="K704" s="930"/>
      <c r="L704" s="930"/>
      <c r="M704" s="930"/>
      <c r="N704" s="930"/>
      <c r="O704" s="930"/>
      <c r="P704" s="930"/>
      <c r="Q704" s="930"/>
      <c r="R704" s="926" t="s">
        <v>1603</v>
      </c>
      <c r="S704" s="930"/>
      <c r="T704" s="926" t="s">
        <v>1604</v>
      </c>
      <c r="U704" s="930"/>
    </row>
    <row r="705" spans="1:21" s="1661" customFormat="1" ht="15.75" thickBot="1" x14ac:dyDescent="0.3">
      <c r="A705" s="543"/>
      <c r="B705" s="930"/>
      <c r="C705" s="923" t="s">
        <v>1385</v>
      </c>
      <c r="D705" s="1953" t="str">
        <f>IF(T711="Yes",Incentives!E383,"")</f>
        <v/>
      </c>
      <c r="E705" s="1954"/>
      <c r="F705" s="930"/>
      <c r="G705" s="930"/>
      <c r="H705" s="1476" t="str">
        <f>IF(T711="Yes",Incentives!G384,"")</f>
        <v/>
      </c>
      <c r="I705" s="930"/>
      <c r="J705" s="930"/>
      <c r="K705" s="930"/>
      <c r="L705" s="930"/>
      <c r="M705" s="930"/>
      <c r="N705" s="930"/>
      <c r="O705" s="930"/>
      <c r="P705" s="930"/>
      <c r="Q705" s="930"/>
      <c r="R705" s="1472" t="s">
        <v>1610</v>
      </c>
      <c r="S705" s="930"/>
      <c r="T705" s="1472" t="s">
        <v>395</v>
      </c>
      <c r="U705" s="930"/>
    </row>
    <row r="706" spans="1:21" s="1661" customFormat="1" ht="15.75" thickBot="1" x14ac:dyDescent="0.3">
      <c r="A706" s="543"/>
      <c r="B706" s="930"/>
      <c r="C706" s="918"/>
      <c r="D706" s="918"/>
      <c r="E706" s="918"/>
      <c r="F706" s="930"/>
      <c r="G706" s="930"/>
      <c r="H706" s="930"/>
      <c r="I706" s="930"/>
      <c r="J706" s="930"/>
      <c r="K706" s="930"/>
      <c r="L706" s="930"/>
      <c r="M706" s="930"/>
      <c r="N706" s="930"/>
      <c r="O706" s="930"/>
      <c r="P706" s="930"/>
      <c r="Q706" s="930"/>
      <c r="R706" s="930"/>
      <c r="S706" s="930"/>
      <c r="T706" s="930"/>
      <c r="U706" s="930"/>
    </row>
    <row r="707" spans="1:21" s="1661" customFormat="1" ht="30.75" thickBot="1" x14ac:dyDescent="0.3">
      <c r="A707" s="543"/>
      <c r="B707" s="930"/>
      <c r="C707" s="923" t="s">
        <v>1386</v>
      </c>
      <c r="D707" s="1953" t="str">
        <f>IF(T711="Yes",Incentives!E384,"")</f>
        <v/>
      </c>
      <c r="E707" s="1954"/>
      <c r="F707" s="930"/>
      <c r="G707" s="930"/>
      <c r="H707" s="1662" t="s">
        <v>1492</v>
      </c>
      <c r="I707" s="930"/>
      <c r="J707" s="1662" t="s">
        <v>2005</v>
      </c>
      <c r="K707" s="930"/>
      <c r="L707" s="1565" t="s">
        <v>2135</v>
      </c>
      <c r="M707" s="930"/>
      <c r="N707" s="926" t="s">
        <v>1482</v>
      </c>
      <c r="O707" s="930"/>
      <c r="P707" s="930"/>
      <c r="Q707" s="930"/>
      <c r="R707" s="930"/>
      <c r="S707" s="930"/>
      <c r="T707" s="926" t="s">
        <v>1599</v>
      </c>
      <c r="U707" s="930"/>
    </row>
    <row r="708" spans="1:21" s="1661" customFormat="1" ht="15.75" thickBot="1" x14ac:dyDescent="0.3">
      <c r="A708" s="543"/>
      <c r="B708" s="930"/>
      <c r="C708" s="918"/>
      <c r="D708" s="918"/>
      <c r="E708" s="918"/>
      <c r="F708" s="930"/>
      <c r="G708" s="930"/>
      <c r="H708" s="1472" t="s">
        <v>648</v>
      </c>
      <c r="I708" s="930"/>
      <c r="J708" s="999" t="str">
        <f>IF(T711="Yes",Incentives!G387,"")</f>
        <v/>
      </c>
      <c r="K708" s="930"/>
      <c r="L708" s="1566" t="str">
        <f>IF(T711="Yes",IF(R711="Yes","No","Yes"),"")</f>
        <v/>
      </c>
      <c r="M708" s="930"/>
      <c r="N708" s="1476" t="str">
        <f>IF(T711="Yes",Incentives!K387,"")</f>
        <v/>
      </c>
      <c r="O708" s="930"/>
      <c r="P708" s="930"/>
      <c r="Q708" s="930"/>
      <c r="R708" s="930"/>
      <c r="S708" s="930"/>
      <c r="T708" s="1472" t="s">
        <v>648</v>
      </c>
      <c r="U708" s="930"/>
    </row>
    <row r="709" spans="1:21" s="1661" customFormat="1" ht="30.75" thickBot="1" x14ac:dyDescent="0.3">
      <c r="A709" s="543"/>
      <c r="B709" s="930"/>
      <c r="C709" s="924" t="s">
        <v>1495</v>
      </c>
      <c r="D709" s="1955" t="s">
        <v>648</v>
      </c>
      <c r="E709" s="1952"/>
      <c r="F709" s="930"/>
      <c r="G709" s="930"/>
      <c r="H709" s="930"/>
      <c r="I709" s="930"/>
      <c r="J709" s="930"/>
      <c r="K709" s="930"/>
      <c r="L709" s="930"/>
      <c r="M709" s="930"/>
      <c r="N709" s="930"/>
      <c r="O709" s="930"/>
      <c r="P709" s="930"/>
      <c r="Q709" s="930"/>
      <c r="R709" s="930"/>
      <c r="S709" s="930"/>
      <c r="T709" s="930"/>
      <c r="U709" s="930"/>
    </row>
    <row r="710" spans="1:21" s="1661" customFormat="1" ht="15.75" thickBot="1" x14ac:dyDescent="0.3">
      <c r="A710" s="543"/>
      <c r="B710" s="930"/>
      <c r="C710" s="918"/>
      <c r="D710" s="918"/>
      <c r="E710" s="918"/>
      <c r="F710" s="930"/>
      <c r="G710" s="930"/>
      <c r="H710" s="930"/>
      <c r="I710" s="930"/>
      <c r="J710" s="930"/>
      <c r="K710" s="930"/>
      <c r="L710" s="930"/>
      <c r="M710" s="930"/>
      <c r="N710" s="930"/>
      <c r="O710" s="930"/>
      <c r="P710" s="930"/>
      <c r="Q710" s="930"/>
      <c r="R710" s="930"/>
      <c r="S710" s="930"/>
      <c r="T710" s="926" t="s">
        <v>523</v>
      </c>
      <c r="U710" s="930"/>
    </row>
    <row r="711" spans="1:21" s="1661" customFormat="1" ht="15.75" thickBot="1" x14ac:dyDescent="0.3">
      <c r="A711" s="543"/>
      <c r="B711" s="930"/>
      <c r="C711" s="923" t="s">
        <v>1496</v>
      </c>
      <c r="D711" s="1951" t="s">
        <v>1606</v>
      </c>
      <c r="E711" s="1936"/>
      <c r="F711" s="930"/>
      <c r="G711" s="930"/>
      <c r="H711" s="930"/>
      <c r="I711" s="930"/>
      <c r="J711" s="930"/>
      <c r="K711" s="930"/>
      <c r="L711" s="930"/>
      <c r="M711" s="930"/>
      <c r="N711" s="930"/>
      <c r="O711" s="930"/>
      <c r="P711" s="930"/>
      <c r="Q711" s="930"/>
      <c r="R711" s="1568">
        <f>Incentives!C398</f>
        <v>0</v>
      </c>
      <c r="S711" s="930"/>
      <c r="T711" s="1472" t="str">
        <f>Incentives!E380</f>
        <v>No</v>
      </c>
      <c r="U711" s="930"/>
    </row>
    <row r="712" spans="1:21" s="1661" customFormat="1" ht="15.75" thickBot="1" x14ac:dyDescent="0.3">
      <c r="A712" s="543"/>
      <c r="B712" s="930"/>
      <c r="C712" s="930"/>
      <c r="D712" s="930"/>
      <c r="E712" s="930"/>
      <c r="F712" s="930"/>
      <c r="G712" s="930"/>
      <c r="H712" s="930"/>
      <c r="I712" s="930"/>
      <c r="J712" s="930"/>
      <c r="K712" s="930"/>
      <c r="L712" s="930"/>
      <c r="M712" s="930"/>
      <c r="N712" s="930"/>
      <c r="O712" s="930"/>
      <c r="P712" s="930"/>
      <c r="Q712" s="930"/>
      <c r="R712" s="930"/>
      <c r="S712" s="930"/>
      <c r="T712" s="930"/>
      <c r="U712" s="930"/>
    </row>
    <row r="713" spans="1:21" s="1661" customFormat="1" ht="15.75" customHeight="1" thickBot="1" x14ac:dyDescent="0.3">
      <c r="A713" s="543"/>
      <c r="B713" s="1948" t="s">
        <v>2177</v>
      </c>
      <c r="C713" s="1935"/>
      <c r="D713" s="1935"/>
      <c r="E713" s="1935"/>
      <c r="F713" s="1935"/>
      <c r="G713" s="1935"/>
      <c r="H713" s="1935"/>
      <c r="I713" s="1935"/>
      <c r="J713" s="1935"/>
      <c r="K713" s="1935"/>
      <c r="L713" s="1935"/>
      <c r="M713" s="1935"/>
      <c r="N713" s="1935"/>
      <c r="O713" s="1935"/>
      <c r="P713" s="1935"/>
      <c r="Q713" s="1935"/>
      <c r="R713" s="1935"/>
      <c r="S713" s="1935"/>
      <c r="T713" s="1935"/>
      <c r="U713" s="1936"/>
    </row>
    <row r="714" spans="1:21" s="1661" customFormat="1" ht="15.75" thickBot="1" x14ac:dyDescent="0.3">
      <c r="A714" s="543"/>
      <c r="B714" s="930"/>
      <c r="C714" s="930"/>
      <c r="D714" s="930"/>
      <c r="E714" s="930"/>
      <c r="F714" s="930"/>
      <c r="G714" s="930"/>
      <c r="H714" s="930"/>
      <c r="I714" s="930"/>
      <c r="J714" s="930"/>
      <c r="K714" s="930"/>
      <c r="L714" s="930"/>
      <c r="M714" s="930"/>
      <c r="N714" s="930"/>
      <c r="O714" s="930"/>
      <c r="P714" s="930"/>
      <c r="Q714" s="930"/>
      <c r="R714" s="930"/>
      <c r="S714" s="930"/>
      <c r="T714" s="930"/>
      <c r="U714" s="930"/>
    </row>
    <row r="715" spans="1:21" s="1661" customFormat="1" ht="30.75" customHeight="1" thickBot="1" x14ac:dyDescent="0.3">
      <c r="A715" s="543"/>
      <c r="B715" s="930"/>
      <c r="C715" s="923" t="s">
        <v>1383</v>
      </c>
      <c r="D715" s="1949" t="s">
        <v>1775</v>
      </c>
      <c r="E715" s="1950"/>
      <c r="F715" s="930"/>
      <c r="G715" s="930"/>
      <c r="H715" s="926" t="s">
        <v>1380</v>
      </c>
      <c r="I715" s="930"/>
      <c r="J715" s="926" t="s">
        <v>1381</v>
      </c>
      <c r="K715" s="930"/>
      <c r="L715" s="926" t="s">
        <v>1397</v>
      </c>
      <c r="M715" s="930"/>
      <c r="N715" s="926" t="s">
        <v>1382</v>
      </c>
      <c r="O715" s="930"/>
      <c r="P715" s="930"/>
      <c r="Q715" s="930"/>
      <c r="R715" s="926" t="s">
        <v>1487</v>
      </c>
      <c r="S715" s="930"/>
      <c r="T715" s="926" t="s">
        <v>1488</v>
      </c>
      <c r="U715" s="930"/>
    </row>
    <row r="716" spans="1:21" s="1661" customFormat="1" ht="15.75" thickBot="1" x14ac:dyDescent="0.3">
      <c r="A716" s="543"/>
      <c r="B716" s="930"/>
      <c r="C716" s="918"/>
      <c r="D716" s="918"/>
      <c r="E716" s="918"/>
      <c r="F716" s="930"/>
      <c r="G716" s="930"/>
      <c r="H716" s="956" t="str">
        <f>IF(T725="Yes",Incentives!G392,"")</f>
        <v/>
      </c>
      <c r="I716" s="930"/>
      <c r="J716" s="916" t="str">
        <f>IF(T725="Yes",Incentives!I392,"")</f>
        <v/>
      </c>
      <c r="K716" s="930"/>
      <c r="L716" s="1330" t="str">
        <f>IF(T725="Yes",Incentives!K392,"")</f>
        <v/>
      </c>
      <c r="M716" s="930"/>
      <c r="N716" s="956" t="str">
        <f>IF(AND(Incentives!M392&lt;&gt;"",T725="Yes"),Incentives!M392,"")</f>
        <v/>
      </c>
      <c r="O716" s="930"/>
      <c r="P716" s="930"/>
      <c r="Q716" s="930"/>
      <c r="R716" s="1472" t="s">
        <v>1602</v>
      </c>
      <c r="S716" s="930"/>
      <c r="T716" s="1472" t="s">
        <v>646</v>
      </c>
      <c r="U716" s="930"/>
    </row>
    <row r="717" spans="1:21" s="1661" customFormat="1" ht="30.75" thickBot="1" x14ac:dyDescent="0.3">
      <c r="A717" s="543"/>
      <c r="B717" s="930"/>
      <c r="C717" s="923" t="s">
        <v>1491</v>
      </c>
      <c r="D717" s="1951">
        <v>5316</v>
      </c>
      <c r="E717" s="1952"/>
      <c r="F717" s="930"/>
      <c r="G717" s="930"/>
      <c r="H717" s="930"/>
      <c r="I717" s="930"/>
      <c r="J717" s="930"/>
      <c r="K717" s="930"/>
      <c r="L717" s="930"/>
      <c r="M717" s="930"/>
      <c r="N717" s="930"/>
      <c r="O717" s="930"/>
      <c r="P717" s="930"/>
      <c r="Q717" s="930"/>
      <c r="R717" s="930"/>
      <c r="S717" s="930"/>
      <c r="T717" s="930"/>
      <c r="U717" s="930"/>
    </row>
    <row r="718" spans="1:21" s="1661" customFormat="1" ht="15.75" thickBot="1" x14ac:dyDescent="0.3">
      <c r="A718" s="543"/>
      <c r="B718" s="930"/>
      <c r="C718" s="918"/>
      <c r="D718" s="918"/>
      <c r="E718" s="918"/>
      <c r="F718" s="930"/>
      <c r="G718" s="930"/>
      <c r="H718" s="1662" t="s">
        <v>1396</v>
      </c>
      <c r="I718" s="930"/>
      <c r="J718" s="930"/>
      <c r="K718" s="930"/>
      <c r="L718" s="930"/>
      <c r="M718" s="930"/>
      <c r="N718" s="930"/>
      <c r="O718" s="930"/>
      <c r="P718" s="930"/>
      <c r="Q718" s="930"/>
      <c r="R718" s="926" t="s">
        <v>1603</v>
      </c>
      <c r="S718" s="930"/>
      <c r="T718" s="926" t="s">
        <v>1604</v>
      </c>
      <c r="U718" s="930"/>
    </row>
    <row r="719" spans="1:21" s="1661" customFormat="1" ht="15.75" thickBot="1" x14ac:dyDescent="0.3">
      <c r="A719" s="543"/>
      <c r="B719" s="930"/>
      <c r="C719" s="923" t="s">
        <v>1385</v>
      </c>
      <c r="D719" s="1953" t="str">
        <f>IF(T725="Yes",Incentives!E394,"")</f>
        <v/>
      </c>
      <c r="E719" s="1954"/>
      <c r="F719" s="930"/>
      <c r="G719" s="930"/>
      <c r="H719" s="1476" t="str">
        <f>IF(T725="Yes",Incentives!G395,"")</f>
        <v/>
      </c>
      <c r="I719" s="930"/>
      <c r="J719" s="930"/>
      <c r="K719" s="930"/>
      <c r="L719" s="930"/>
      <c r="M719" s="930"/>
      <c r="N719" s="930"/>
      <c r="O719" s="930"/>
      <c r="P719" s="930"/>
      <c r="Q719" s="930"/>
      <c r="R719" s="1472" t="s">
        <v>1610</v>
      </c>
      <c r="S719" s="930"/>
      <c r="T719" s="1472" t="s">
        <v>395</v>
      </c>
      <c r="U719" s="930"/>
    </row>
    <row r="720" spans="1:21" s="1661" customFormat="1" ht="15.75" thickBot="1" x14ac:dyDescent="0.3">
      <c r="A720" s="543"/>
      <c r="B720" s="930"/>
      <c r="C720" s="918"/>
      <c r="D720" s="918"/>
      <c r="E720" s="918"/>
      <c r="F720" s="930"/>
      <c r="G720" s="930"/>
      <c r="H720" s="930"/>
      <c r="I720" s="930"/>
      <c r="J720" s="930"/>
      <c r="K720" s="930"/>
      <c r="L720" s="930"/>
      <c r="M720" s="930"/>
      <c r="N720" s="930"/>
      <c r="O720" s="930"/>
      <c r="P720" s="930"/>
      <c r="Q720" s="930"/>
      <c r="R720" s="930"/>
      <c r="S720" s="930"/>
      <c r="T720" s="930"/>
      <c r="U720" s="930"/>
    </row>
    <row r="721" spans="1:21" s="1661" customFormat="1" ht="30.75" thickBot="1" x14ac:dyDescent="0.3">
      <c r="A721" s="543"/>
      <c r="B721" s="930"/>
      <c r="C721" s="923" t="s">
        <v>1386</v>
      </c>
      <c r="D721" s="1953" t="str">
        <f>IF(T725="Yes",Incentives!E395,"")</f>
        <v/>
      </c>
      <c r="E721" s="1954"/>
      <c r="F721" s="930"/>
      <c r="G721" s="930"/>
      <c r="H721" s="1662" t="s">
        <v>1492</v>
      </c>
      <c r="I721" s="930"/>
      <c r="J721" s="1662" t="s">
        <v>2005</v>
      </c>
      <c r="K721" s="930"/>
      <c r="L721" s="1565" t="s">
        <v>2135</v>
      </c>
      <c r="M721" s="930"/>
      <c r="N721" s="926" t="s">
        <v>1482</v>
      </c>
      <c r="O721" s="930"/>
      <c r="P721" s="930"/>
      <c r="Q721" s="930"/>
      <c r="R721" s="930"/>
      <c r="S721" s="930"/>
      <c r="T721" s="926" t="s">
        <v>1599</v>
      </c>
      <c r="U721" s="930"/>
    </row>
    <row r="722" spans="1:21" s="1661" customFormat="1" ht="15.75" thickBot="1" x14ac:dyDescent="0.3">
      <c r="A722" s="543"/>
      <c r="B722" s="930"/>
      <c r="C722" s="918"/>
      <c r="D722" s="918"/>
      <c r="E722" s="918"/>
      <c r="F722" s="930"/>
      <c r="G722" s="930"/>
      <c r="H722" s="1472" t="s">
        <v>648</v>
      </c>
      <c r="I722" s="930"/>
      <c r="J722" s="999" t="str">
        <f>IF(T725="Yes",Incentives!G398,"")</f>
        <v/>
      </c>
      <c r="K722" s="930"/>
      <c r="L722" s="1566" t="str">
        <f>IF(T725="Yes",IF(R725="Yes","No","Yes"),"")</f>
        <v/>
      </c>
      <c r="M722" s="930"/>
      <c r="N722" s="1476" t="str">
        <f>IF(T725="Yes",Incentives!K398,"")</f>
        <v/>
      </c>
      <c r="O722" s="930"/>
      <c r="P722" s="930"/>
      <c r="Q722" s="930"/>
      <c r="R722" s="930"/>
      <c r="S722" s="930"/>
      <c r="T722" s="1472" t="s">
        <v>648</v>
      </c>
      <c r="U722" s="930"/>
    </row>
    <row r="723" spans="1:21" s="1661" customFormat="1" ht="30.75" thickBot="1" x14ac:dyDescent="0.3">
      <c r="A723" s="543"/>
      <c r="B723" s="930"/>
      <c r="C723" s="924" t="s">
        <v>1495</v>
      </c>
      <c r="D723" s="1955" t="s">
        <v>648</v>
      </c>
      <c r="E723" s="1952"/>
      <c r="F723" s="930"/>
      <c r="G723" s="930"/>
      <c r="H723" s="930"/>
      <c r="I723" s="930"/>
      <c r="J723" s="930"/>
      <c r="K723" s="930"/>
      <c r="L723" s="930"/>
      <c r="M723" s="930"/>
      <c r="N723" s="930"/>
      <c r="O723" s="930"/>
      <c r="P723" s="930"/>
      <c r="Q723" s="930"/>
      <c r="R723" s="930"/>
      <c r="S723" s="930"/>
      <c r="T723" s="930"/>
      <c r="U723" s="930"/>
    </row>
    <row r="724" spans="1:21" s="1661" customFormat="1" ht="15.75" thickBot="1" x14ac:dyDescent="0.3">
      <c r="A724" s="543"/>
      <c r="B724" s="930"/>
      <c r="C724" s="918"/>
      <c r="D724" s="918"/>
      <c r="E724" s="918"/>
      <c r="F724" s="930"/>
      <c r="G724" s="930"/>
      <c r="H724" s="930"/>
      <c r="I724" s="930"/>
      <c r="J724" s="930"/>
      <c r="K724" s="930"/>
      <c r="L724" s="930"/>
      <c r="M724" s="930"/>
      <c r="N724" s="930"/>
      <c r="O724" s="930"/>
      <c r="P724" s="930"/>
      <c r="Q724" s="930"/>
      <c r="R724" s="930"/>
      <c r="S724" s="930"/>
      <c r="T724" s="926" t="s">
        <v>523</v>
      </c>
      <c r="U724" s="930"/>
    </row>
    <row r="725" spans="1:21" s="1661" customFormat="1" ht="15.75" thickBot="1" x14ac:dyDescent="0.3">
      <c r="A725" s="543"/>
      <c r="B725" s="930"/>
      <c r="C725" s="923" t="s">
        <v>1496</v>
      </c>
      <c r="D725" s="1951" t="s">
        <v>1606</v>
      </c>
      <c r="E725" s="1936"/>
      <c r="F725" s="930"/>
      <c r="G725" s="930"/>
      <c r="H725" s="930"/>
      <c r="I725" s="930"/>
      <c r="J725" s="930"/>
      <c r="K725" s="930"/>
      <c r="L725" s="930"/>
      <c r="M725" s="930"/>
      <c r="N725" s="930"/>
      <c r="O725" s="930"/>
      <c r="P725" s="930"/>
      <c r="Q725" s="930"/>
      <c r="R725" s="1568">
        <f>Incentives!C412</f>
        <v>0</v>
      </c>
      <c r="S725" s="930"/>
      <c r="T725" s="1472" t="str">
        <f>Incentives!E391</f>
        <v>No</v>
      </c>
      <c r="U725" s="930"/>
    </row>
    <row r="726" spans="1:21" s="1661" customFormat="1" ht="15.75" thickBot="1" x14ac:dyDescent="0.3">
      <c r="A726" s="543"/>
      <c r="B726" s="930"/>
      <c r="C726" s="930"/>
      <c r="D726" s="930"/>
      <c r="E726" s="930"/>
      <c r="F726" s="930"/>
      <c r="G726" s="930"/>
      <c r="H726" s="930"/>
      <c r="I726" s="930"/>
      <c r="J726" s="930"/>
      <c r="K726" s="930"/>
      <c r="L726" s="930"/>
      <c r="M726" s="930"/>
      <c r="N726" s="930"/>
      <c r="O726" s="930"/>
      <c r="P726" s="930"/>
      <c r="Q726" s="930"/>
      <c r="R726" s="930"/>
      <c r="S726" s="930"/>
      <c r="T726" s="930"/>
      <c r="U726" s="930"/>
    </row>
    <row r="727" spans="1:21" s="1661" customFormat="1" ht="15.75" customHeight="1" thickBot="1" x14ac:dyDescent="0.3">
      <c r="A727" s="543"/>
      <c r="B727" s="1948" t="s">
        <v>2178</v>
      </c>
      <c r="C727" s="1935"/>
      <c r="D727" s="1935"/>
      <c r="E727" s="1935"/>
      <c r="F727" s="1935"/>
      <c r="G727" s="1935"/>
      <c r="H727" s="1935"/>
      <c r="I727" s="1935"/>
      <c r="J727" s="1935"/>
      <c r="K727" s="1935"/>
      <c r="L727" s="1935"/>
      <c r="M727" s="1935"/>
      <c r="N727" s="1935"/>
      <c r="O727" s="1935"/>
      <c r="P727" s="1935"/>
      <c r="Q727" s="1935"/>
      <c r="R727" s="1935"/>
      <c r="S727" s="1935"/>
      <c r="T727" s="1935"/>
      <c r="U727" s="1936"/>
    </row>
    <row r="728" spans="1:21" s="1661" customFormat="1" ht="15.75" thickBot="1" x14ac:dyDescent="0.3">
      <c r="A728" s="543"/>
      <c r="B728" s="930"/>
      <c r="C728" s="930"/>
      <c r="D728" s="930"/>
      <c r="E728" s="930"/>
      <c r="F728" s="930"/>
      <c r="G728" s="930"/>
      <c r="H728" s="930"/>
      <c r="I728" s="930"/>
      <c r="J728" s="930"/>
      <c r="K728" s="930"/>
      <c r="L728" s="930"/>
      <c r="M728" s="930"/>
      <c r="N728" s="930"/>
      <c r="O728" s="930"/>
      <c r="P728" s="930"/>
      <c r="Q728" s="930"/>
      <c r="R728" s="930"/>
      <c r="S728" s="930"/>
      <c r="T728" s="930"/>
      <c r="U728" s="930"/>
    </row>
    <row r="729" spans="1:21" s="1661" customFormat="1" ht="30.75" customHeight="1" thickBot="1" x14ac:dyDescent="0.3">
      <c r="A729" s="543"/>
      <c r="B729" s="930"/>
      <c r="C729" s="923" t="s">
        <v>1383</v>
      </c>
      <c r="D729" s="1949" t="s">
        <v>1775</v>
      </c>
      <c r="E729" s="1950"/>
      <c r="F729" s="930"/>
      <c r="G729" s="930"/>
      <c r="H729" s="926" t="s">
        <v>1380</v>
      </c>
      <c r="I729" s="930"/>
      <c r="J729" s="926" t="s">
        <v>1381</v>
      </c>
      <c r="K729" s="930"/>
      <c r="L729" s="926" t="s">
        <v>1397</v>
      </c>
      <c r="M729" s="930"/>
      <c r="N729" s="926" t="s">
        <v>1382</v>
      </c>
      <c r="O729" s="930"/>
      <c r="P729" s="930"/>
      <c r="Q729" s="930"/>
      <c r="R729" s="926" t="s">
        <v>1487</v>
      </c>
      <c r="S729" s="930"/>
      <c r="T729" s="926" t="s">
        <v>1488</v>
      </c>
      <c r="U729" s="930"/>
    </row>
    <row r="730" spans="1:21" s="1661" customFormat="1" ht="15.75" thickBot="1" x14ac:dyDescent="0.3">
      <c r="A730" s="543"/>
      <c r="B730" s="930"/>
      <c r="C730" s="918"/>
      <c r="D730" s="918"/>
      <c r="E730" s="918"/>
      <c r="F730" s="930"/>
      <c r="G730" s="930"/>
      <c r="H730" s="956" t="str">
        <f>IF(T739="Yes",Incentives!G403,"")</f>
        <v/>
      </c>
      <c r="I730" s="930"/>
      <c r="J730" s="916" t="str">
        <f>IF(T739="Yes",Incentives!I403,"")</f>
        <v/>
      </c>
      <c r="K730" s="930"/>
      <c r="L730" s="1330" t="str">
        <f>IF(T739="Yes",Incentives!K403,"")</f>
        <v/>
      </c>
      <c r="M730" s="930"/>
      <c r="N730" s="956" t="str">
        <f>IF(AND(Incentives!M403&lt;&gt;"",T739="Yes"),Incentives!M403,"")</f>
        <v/>
      </c>
      <c r="O730" s="930"/>
      <c r="P730" s="930"/>
      <c r="Q730" s="930"/>
      <c r="R730" s="1472" t="s">
        <v>1602</v>
      </c>
      <c r="S730" s="930"/>
      <c r="T730" s="1472" t="s">
        <v>646</v>
      </c>
      <c r="U730" s="930"/>
    </row>
    <row r="731" spans="1:21" s="1661" customFormat="1" ht="30.75" thickBot="1" x14ac:dyDescent="0.3">
      <c r="A731" s="543"/>
      <c r="B731" s="930"/>
      <c r="C731" s="923" t="s">
        <v>1491</v>
      </c>
      <c r="D731" s="1951">
        <v>5317</v>
      </c>
      <c r="E731" s="1952"/>
      <c r="F731" s="930"/>
      <c r="G731" s="930"/>
      <c r="H731" s="930"/>
      <c r="I731" s="930"/>
      <c r="J731" s="930"/>
      <c r="K731" s="930"/>
      <c r="L731" s="930"/>
      <c r="M731" s="930"/>
      <c r="N731" s="930"/>
      <c r="O731" s="930"/>
      <c r="P731" s="930"/>
      <c r="Q731" s="930"/>
      <c r="R731" s="930"/>
      <c r="S731" s="930"/>
      <c r="T731" s="930"/>
      <c r="U731" s="930"/>
    </row>
    <row r="732" spans="1:21" s="1661" customFormat="1" ht="15.75" thickBot="1" x14ac:dyDescent="0.3">
      <c r="A732" s="543"/>
      <c r="B732" s="930"/>
      <c r="C732" s="918"/>
      <c r="D732" s="918"/>
      <c r="E732" s="918"/>
      <c r="F732" s="930"/>
      <c r="G732" s="930"/>
      <c r="H732" s="1662" t="s">
        <v>1396</v>
      </c>
      <c r="I732" s="930"/>
      <c r="J732" s="930"/>
      <c r="K732" s="930"/>
      <c r="L732" s="930"/>
      <c r="M732" s="930"/>
      <c r="N732" s="930"/>
      <c r="O732" s="930"/>
      <c r="P732" s="930"/>
      <c r="Q732" s="930"/>
      <c r="R732" s="926" t="s">
        <v>1603</v>
      </c>
      <c r="S732" s="930"/>
      <c r="T732" s="926" t="s">
        <v>1604</v>
      </c>
      <c r="U732" s="930"/>
    </row>
    <row r="733" spans="1:21" s="1661" customFormat="1" ht="15.75" thickBot="1" x14ac:dyDescent="0.3">
      <c r="A733" s="543"/>
      <c r="B733" s="930"/>
      <c r="C733" s="923" t="s">
        <v>1385</v>
      </c>
      <c r="D733" s="1953" t="str">
        <f>IF(T739="Yes",Incentives!E405,"")</f>
        <v/>
      </c>
      <c r="E733" s="1954"/>
      <c r="F733" s="930"/>
      <c r="G733" s="930"/>
      <c r="H733" s="1476" t="str">
        <f>IF(T739="Yes",Incentives!G406,"")</f>
        <v/>
      </c>
      <c r="I733" s="930"/>
      <c r="J733" s="930"/>
      <c r="K733" s="930"/>
      <c r="L733" s="930"/>
      <c r="M733" s="930"/>
      <c r="N733" s="930"/>
      <c r="O733" s="930"/>
      <c r="P733" s="930"/>
      <c r="Q733" s="930"/>
      <c r="R733" s="1472" t="s">
        <v>1610</v>
      </c>
      <c r="S733" s="930"/>
      <c r="T733" s="1472" t="s">
        <v>395</v>
      </c>
      <c r="U733" s="930"/>
    </row>
    <row r="734" spans="1:21" s="1661" customFormat="1" ht="15.75" thickBot="1" x14ac:dyDescent="0.3">
      <c r="A734" s="543"/>
      <c r="B734" s="930"/>
      <c r="C734" s="918"/>
      <c r="D734" s="918"/>
      <c r="E734" s="918"/>
      <c r="F734" s="930"/>
      <c r="G734" s="930"/>
      <c r="H734" s="930"/>
      <c r="I734" s="930"/>
      <c r="J734" s="930"/>
      <c r="K734" s="930"/>
      <c r="L734" s="930"/>
      <c r="M734" s="930"/>
      <c r="N734" s="930"/>
      <c r="O734" s="930"/>
      <c r="P734" s="930"/>
      <c r="Q734" s="930"/>
      <c r="R734" s="930"/>
      <c r="S734" s="930"/>
      <c r="T734" s="930"/>
      <c r="U734" s="930"/>
    </row>
    <row r="735" spans="1:21" s="1661" customFormat="1" ht="30.75" thickBot="1" x14ac:dyDescent="0.3">
      <c r="A735" s="543"/>
      <c r="B735" s="930"/>
      <c r="C735" s="923" t="s">
        <v>1386</v>
      </c>
      <c r="D735" s="1953" t="str">
        <f>IF(T739="Yes",Incentives!E406,"")</f>
        <v/>
      </c>
      <c r="E735" s="1954"/>
      <c r="F735" s="930"/>
      <c r="G735" s="930"/>
      <c r="H735" s="1662" t="s">
        <v>1492</v>
      </c>
      <c r="I735" s="930"/>
      <c r="J735" s="1662" t="s">
        <v>2005</v>
      </c>
      <c r="K735" s="930"/>
      <c r="L735" s="1565" t="s">
        <v>2135</v>
      </c>
      <c r="M735" s="930"/>
      <c r="N735" s="926" t="s">
        <v>1482</v>
      </c>
      <c r="O735" s="930"/>
      <c r="P735" s="930"/>
      <c r="Q735" s="930"/>
      <c r="R735" s="930"/>
      <c r="S735" s="930"/>
      <c r="T735" s="926" t="s">
        <v>1599</v>
      </c>
      <c r="U735" s="930"/>
    </row>
    <row r="736" spans="1:21" s="1661" customFormat="1" ht="15.75" thickBot="1" x14ac:dyDescent="0.3">
      <c r="A736" s="543"/>
      <c r="B736" s="930"/>
      <c r="C736" s="918"/>
      <c r="D736" s="918"/>
      <c r="E736" s="918"/>
      <c r="F736" s="930"/>
      <c r="G736" s="930"/>
      <c r="H736" s="1472" t="s">
        <v>648</v>
      </c>
      <c r="I736" s="930"/>
      <c r="J736" s="999" t="str">
        <f>IF(T739="Yes",Incentives!G409,"")</f>
        <v/>
      </c>
      <c r="K736" s="930"/>
      <c r="L736" s="1566" t="str">
        <f>IF(T739="Yes",IF(R739="Yes","No","Yes"),"")</f>
        <v/>
      </c>
      <c r="M736" s="930"/>
      <c r="N736" s="1476" t="str">
        <f>IF(T739="Yes",Incentives!K409,"")</f>
        <v/>
      </c>
      <c r="O736" s="930"/>
      <c r="P736" s="930"/>
      <c r="Q736" s="930"/>
      <c r="R736" s="930"/>
      <c r="S736" s="930"/>
      <c r="T736" s="1472" t="s">
        <v>648</v>
      </c>
      <c r="U736" s="930"/>
    </row>
    <row r="737" spans="1:21" s="1661" customFormat="1" ht="30.75" thickBot="1" x14ac:dyDescent="0.3">
      <c r="A737" s="543"/>
      <c r="B737" s="930"/>
      <c r="C737" s="924" t="s">
        <v>1495</v>
      </c>
      <c r="D737" s="1955" t="s">
        <v>648</v>
      </c>
      <c r="E737" s="1952"/>
      <c r="F737" s="930"/>
      <c r="G737" s="930"/>
      <c r="H737" s="930"/>
      <c r="I737" s="930"/>
      <c r="J737" s="930"/>
      <c r="K737" s="930"/>
      <c r="L737" s="930"/>
      <c r="M737" s="930"/>
      <c r="N737" s="930"/>
      <c r="O737" s="930"/>
      <c r="P737" s="930"/>
      <c r="Q737" s="930"/>
      <c r="R737" s="930"/>
      <c r="S737" s="930"/>
      <c r="T737" s="930"/>
      <c r="U737" s="930"/>
    </row>
    <row r="738" spans="1:21" s="1661" customFormat="1" ht="15.75" thickBot="1" x14ac:dyDescent="0.3">
      <c r="A738" s="543"/>
      <c r="B738" s="930"/>
      <c r="C738" s="918"/>
      <c r="D738" s="918"/>
      <c r="E738" s="918"/>
      <c r="F738" s="930"/>
      <c r="G738" s="930"/>
      <c r="H738" s="930"/>
      <c r="I738" s="930"/>
      <c r="J738" s="930"/>
      <c r="K738" s="930"/>
      <c r="L738" s="930"/>
      <c r="M738" s="930"/>
      <c r="N738" s="930"/>
      <c r="O738" s="930"/>
      <c r="P738" s="930"/>
      <c r="Q738" s="930"/>
      <c r="R738" s="930"/>
      <c r="S738" s="930"/>
      <c r="T738" s="926" t="s">
        <v>523</v>
      </c>
      <c r="U738" s="930"/>
    </row>
    <row r="739" spans="1:21" s="1661" customFormat="1" ht="15.75" thickBot="1" x14ac:dyDescent="0.3">
      <c r="A739" s="543"/>
      <c r="B739" s="930"/>
      <c r="C739" s="923" t="s">
        <v>1496</v>
      </c>
      <c r="D739" s="1951" t="s">
        <v>1606</v>
      </c>
      <c r="E739" s="1936"/>
      <c r="F739" s="930"/>
      <c r="G739" s="930"/>
      <c r="H739" s="930"/>
      <c r="I739" s="930"/>
      <c r="J739" s="930"/>
      <c r="K739" s="930"/>
      <c r="L739" s="930"/>
      <c r="M739" s="930"/>
      <c r="N739" s="930"/>
      <c r="O739" s="930"/>
      <c r="P739" s="930"/>
      <c r="Q739" s="930"/>
      <c r="R739" s="1568">
        <f>Incentives!C426</f>
        <v>0</v>
      </c>
      <c r="S739" s="930"/>
      <c r="T739" s="1472" t="str">
        <f>Incentives!E402</f>
        <v>No</v>
      </c>
      <c r="U739" s="930"/>
    </row>
    <row r="740" spans="1:21" s="1661" customFormat="1" ht="15.75" thickBot="1" x14ac:dyDescent="0.3">
      <c r="A740" s="543"/>
      <c r="B740" s="930"/>
      <c r="C740" s="930"/>
      <c r="D740" s="930"/>
      <c r="E740" s="930"/>
      <c r="F740" s="930"/>
      <c r="G740" s="930"/>
      <c r="H740" s="930"/>
      <c r="I740" s="930"/>
      <c r="J740" s="930"/>
      <c r="K740" s="930"/>
      <c r="L740" s="930"/>
      <c r="M740" s="930"/>
      <c r="N740" s="930"/>
      <c r="O740" s="930"/>
      <c r="P740" s="930"/>
      <c r="Q740" s="930"/>
      <c r="R740" s="930"/>
      <c r="S740" s="930"/>
      <c r="T740" s="930"/>
      <c r="U740" s="930"/>
    </row>
    <row r="741" spans="1:21" s="1661" customFormat="1" ht="15.75" customHeight="1" thickBot="1" x14ac:dyDescent="0.3">
      <c r="A741" s="543"/>
      <c r="B741" s="1948" t="s">
        <v>2179</v>
      </c>
      <c r="C741" s="1935"/>
      <c r="D741" s="1935"/>
      <c r="E741" s="1935"/>
      <c r="F741" s="1935"/>
      <c r="G741" s="1935"/>
      <c r="H741" s="1935"/>
      <c r="I741" s="1935"/>
      <c r="J741" s="1935"/>
      <c r="K741" s="1935"/>
      <c r="L741" s="1935"/>
      <c r="M741" s="1935"/>
      <c r="N741" s="1935"/>
      <c r="O741" s="1935"/>
      <c r="P741" s="1935"/>
      <c r="Q741" s="1935"/>
      <c r="R741" s="1935"/>
      <c r="S741" s="1935"/>
      <c r="T741" s="1935"/>
      <c r="U741" s="1936"/>
    </row>
    <row r="742" spans="1:21" s="1661" customFormat="1" ht="15.75" thickBot="1" x14ac:dyDescent="0.3">
      <c r="A742" s="543"/>
      <c r="B742" s="930"/>
      <c r="C742" s="930"/>
      <c r="D742" s="930"/>
      <c r="E742" s="930"/>
      <c r="F742" s="930"/>
      <c r="G742" s="930"/>
      <c r="H742" s="930"/>
      <c r="I742" s="930"/>
      <c r="J742" s="930"/>
      <c r="K742" s="930"/>
      <c r="L742" s="930"/>
      <c r="M742" s="930"/>
      <c r="N742" s="930"/>
      <c r="O742" s="930"/>
      <c r="P742" s="930"/>
      <c r="Q742" s="930"/>
      <c r="R742" s="930"/>
      <c r="S742" s="930"/>
      <c r="T742" s="930"/>
      <c r="U742" s="930"/>
    </row>
    <row r="743" spans="1:21" s="1661" customFormat="1" ht="30.75" customHeight="1" thickBot="1" x14ac:dyDescent="0.3">
      <c r="A743" s="543"/>
      <c r="B743" s="930"/>
      <c r="C743" s="923" t="s">
        <v>1383</v>
      </c>
      <c r="D743" s="1949" t="s">
        <v>1775</v>
      </c>
      <c r="E743" s="1950"/>
      <c r="F743" s="930"/>
      <c r="G743" s="930"/>
      <c r="H743" s="926" t="s">
        <v>1380</v>
      </c>
      <c r="I743" s="930"/>
      <c r="J743" s="926" t="s">
        <v>1381</v>
      </c>
      <c r="K743" s="930"/>
      <c r="L743" s="926" t="s">
        <v>1397</v>
      </c>
      <c r="M743" s="930"/>
      <c r="N743" s="926" t="s">
        <v>1382</v>
      </c>
      <c r="O743" s="930"/>
      <c r="P743" s="930"/>
      <c r="Q743" s="930"/>
      <c r="R743" s="926" t="s">
        <v>1487</v>
      </c>
      <c r="S743" s="930"/>
      <c r="T743" s="926" t="s">
        <v>1488</v>
      </c>
      <c r="U743" s="930"/>
    </row>
    <row r="744" spans="1:21" s="1661" customFormat="1" ht="15.75" thickBot="1" x14ac:dyDescent="0.3">
      <c r="A744" s="543"/>
      <c r="B744" s="930"/>
      <c r="C744" s="918"/>
      <c r="D744" s="918"/>
      <c r="E744" s="918"/>
      <c r="F744" s="930"/>
      <c r="G744" s="930"/>
      <c r="H744" s="956" t="str">
        <f>IF(T753="Yes",Incentives!G414,"")</f>
        <v/>
      </c>
      <c r="I744" s="930"/>
      <c r="J744" s="916" t="str">
        <f>IF(T753="Yes",Incentives!I414,"")</f>
        <v/>
      </c>
      <c r="K744" s="930"/>
      <c r="L744" s="1330" t="str">
        <f>IF(T753="Yes",Incentives!K414,"")</f>
        <v/>
      </c>
      <c r="M744" s="930"/>
      <c r="N744" s="956" t="str">
        <f>IF(AND(Incentives!M414&lt;&gt;"",T753="Yes"),Incentives!M414,"")</f>
        <v/>
      </c>
      <c r="O744" s="930"/>
      <c r="P744" s="930"/>
      <c r="Q744" s="930"/>
      <c r="R744" s="1472" t="s">
        <v>1602</v>
      </c>
      <c r="S744" s="930"/>
      <c r="T744" s="1472" t="s">
        <v>646</v>
      </c>
      <c r="U744" s="930"/>
    </row>
    <row r="745" spans="1:21" s="1661" customFormat="1" ht="30.75" thickBot="1" x14ac:dyDescent="0.3">
      <c r="A745" s="543"/>
      <c r="B745" s="930"/>
      <c r="C745" s="923" t="s">
        <v>1491</v>
      </c>
      <c r="D745" s="1951">
        <v>5318</v>
      </c>
      <c r="E745" s="1952"/>
      <c r="F745" s="930"/>
      <c r="G745" s="930"/>
      <c r="H745" s="930"/>
      <c r="I745" s="930"/>
      <c r="J745" s="930"/>
      <c r="K745" s="930"/>
      <c r="L745" s="930"/>
      <c r="M745" s="930"/>
      <c r="N745" s="930"/>
      <c r="O745" s="930"/>
      <c r="P745" s="930"/>
      <c r="Q745" s="930"/>
      <c r="R745" s="930"/>
      <c r="S745" s="930"/>
      <c r="T745" s="930"/>
      <c r="U745" s="930"/>
    </row>
    <row r="746" spans="1:21" s="1661" customFormat="1" ht="15.75" thickBot="1" x14ac:dyDescent="0.3">
      <c r="A746" s="543"/>
      <c r="B746" s="930"/>
      <c r="C746" s="918"/>
      <c r="D746" s="918"/>
      <c r="E746" s="918"/>
      <c r="F746" s="930"/>
      <c r="G746" s="930"/>
      <c r="H746" s="1662" t="s">
        <v>1396</v>
      </c>
      <c r="I746" s="930"/>
      <c r="J746" s="930"/>
      <c r="K746" s="930"/>
      <c r="L746" s="930"/>
      <c r="M746" s="930"/>
      <c r="N746" s="930"/>
      <c r="O746" s="930"/>
      <c r="P746" s="930"/>
      <c r="Q746" s="930"/>
      <c r="R746" s="926" t="s">
        <v>1603</v>
      </c>
      <c r="S746" s="930"/>
      <c r="T746" s="926" t="s">
        <v>1604</v>
      </c>
      <c r="U746" s="930"/>
    </row>
    <row r="747" spans="1:21" s="1661" customFormat="1" ht="15.75" thickBot="1" x14ac:dyDescent="0.3">
      <c r="A747" s="543"/>
      <c r="B747" s="930"/>
      <c r="C747" s="923" t="s">
        <v>1385</v>
      </c>
      <c r="D747" s="1953" t="str">
        <f>IF(T753="Yes",Incentives!E416,"")</f>
        <v/>
      </c>
      <c r="E747" s="1954"/>
      <c r="F747" s="930"/>
      <c r="G747" s="930"/>
      <c r="H747" s="1476" t="str">
        <f>IF(T753="Yes",Incentives!G417,"")</f>
        <v/>
      </c>
      <c r="I747" s="930"/>
      <c r="J747" s="930"/>
      <c r="K747" s="930"/>
      <c r="L747" s="930"/>
      <c r="M747" s="930"/>
      <c r="N747" s="930"/>
      <c r="O747" s="930"/>
      <c r="P747" s="930"/>
      <c r="Q747" s="930"/>
      <c r="R747" s="1472" t="s">
        <v>1610</v>
      </c>
      <c r="S747" s="930"/>
      <c r="T747" s="1472" t="s">
        <v>395</v>
      </c>
      <c r="U747" s="930"/>
    </row>
    <row r="748" spans="1:21" s="1661" customFormat="1" ht="15.75" thickBot="1" x14ac:dyDescent="0.3">
      <c r="A748" s="543"/>
      <c r="B748" s="930"/>
      <c r="C748" s="918"/>
      <c r="D748" s="918"/>
      <c r="E748" s="918"/>
      <c r="F748" s="930"/>
      <c r="G748" s="930"/>
      <c r="H748" s="930"/>
      <c r="I748" s="930"/>
      <c r="J748" s="930"/>
      <c r="K748" s="930"/>
      <c r="L748" s="930"/>
      <c r="M748" s="930"/>
      <c r="N748" s="930"/>
      <c r="O748" s="930"/>
      <c r="P748" s="930"/>
      <c r="Q748" s="930"/>
      <c r="R748" s="930"/>
      <c r="S748" s="930"/>
      <c r="T748" s="930"/>
      <c r="U748" s="930"/>
    </row>
    <row r="749" spans="1:21" s="1661" customFormat="1" ht="30.75" thickBot="1" x14ac:dyDescent="0.3">
      <c r="A749" s="543"/>
      <c r="B749" s="930"/>
      <c r="C749" s="923" t="s">
        <v>1386</v>
      </c>
      <c r="D749" s="1953" t="str">
        <f>IF(T753="Yes",Incentives!E417,"")</f>
        <v/>
      </c>
      <c r="E749" s="1954"/>
      <c r="F749" s="930"/>
      <c r="G749" s="930"/>
      <c r="H749" s="1662" t="s">
        <v>1492</v>
      </c>
      <c r="I749" s="930"/>
      <c r="J749" s="1662" t="s">
        <v>2005</v>
      </c>
      <c r="K749" s="930"/>
      <c r="L749" s="1565" t="s">
        <v>2135</v>
      </c>
      <c r="M749" s="930"/>
      <c r="N749" s="926" t="s">
        <v>1482</v>
      </c>
      <c r="O749" s="930"/>
      <c r="P749" s="930"/>
      <c r="Q749" s="930"/>
      <c r="R749" s="930"/>
      <c r="S749" s="930"/>
      <c r="T749" s="926" t="s">
        <v>1599</v>
      </c>
      <c r="U749" s="930"/>
    </row>
    <row r="750" spans="1:21" s="1661" customFormat="1" ht="15.75" thickBot="1" x14ac:dyDescent="0.3">
      <c r="A750" s="543"/>
      <c r="B750" s="930"/>
      <c r="C750" s="918"/>
      <c r="D750" s="918"/>
      <c r="E750" s="918"/>
      <c r="F750" s="930"/>
      <c r="G750" s="930"/>
      <c r="H750" s="1472" t="s">
        <v>648</v>
      </c>
      <c r="I750" s="930"/>
      <c r="J750" s="999" t="str">
        <f>IF(T753="Yes",Incentives!G420,"")</f>
        <v/>
      </c>
      <c r="K750" s="930"/>
      <c r="L750" s="1566" t="str">
        <f>IF(T753="Yes",IF(R753="Yes","No","Yes"),"")</f>
        <v/>
      </c>
      <c r="M750" s="930"/>
      <c r="N750" s="1476" t="str">
        <f>IF(T753="Yes",Incentives!K420,"")</f>
        <v/>
      </c>
      <c r="O750" s="930"/>
      <c r="P750" s="930"/>
      <c r="Q750" s="930"/>
      <c r="R750" s="930"/>
      <c r="S750" s="930"/>
      <c r="T750" s="1472" t="s">
        <v>648</v>
      </c>
      <c r="U750" s="930"/>
    </row>
    <row r="751" spans="1:21" s="1661" customFormat="1" ht="30.75" thickBot="1" x14ac:dyDescent="0.3">
      <c r="A751" s="543"/>
      <c r="B751" s="930"/>
      <c r="C751" s="924" t="s">
        <v>1495</v>
      </c>
      <c r="D751" s="1955" t="s">
        <v>648</v>
      </c>
      <c r="E751" s="1952"/>
      <c r="F751" s="930"/>
      <c r="G751" s="930"/>
      <c r="H751" s="930"/>
      <c r="I751" s="930"/>
      <c r="J751" s="930"/>
      <c r="K751" s="930"/>
      <c r="L751" s="930"/>
      <c r="M751" s="930"/>
      <c r="N751" s="930"/>
      <c r="O751" s="930"/>
      <c r="P751" s="930"/>
      <c r="Q751" s="930"/>
      <c r="R751" s="930"/>
      <c r="S751" s="930"/>
      <c r="T751" s="930"/>
      <c r="U751" s="930"/>
    </row>
    <row r="752" spans="1:21" s="1661" customFormat="1" ht="15.75" thickBot="1" x14ac:dyDescent="0.3">
      <c r="A752" s="543"/>
      <c r="B752" s="930"/>
      <c r="C752" s="918"/>
      <c r="D752" s="918"/>
      <c r="E752" s="918"/>
      <c r="F752" s="930"/>
      <c r="G752" s="930"/>
      <c r="H752" s="930"/>
      <c r="I752" s="930"/>
      <c r="J752" s="930"/>
      <c r="K752" s="930"/>
      <c r="L752" s="930"/>
      <c r="M752" s="930"/>
      <c r="N752" s="930"/>
      <c r="O752" s="930"/>
      <c r="P752" s="930"/>
      <c r="Q752" s="930"/>
      <c r="R752" s="930"/>
      <c r="S752" s="930"/>
      <c r="T752" s="926" t="s">
        <v>523</v>
      </c>
      <c r="U752" s="930"/>
    </row>
    <row r="753" spans="1:21" s="1661" customFormat="1" ht="15.75" thickBot="1" x14ac:dyDescent="0.3">
      <c r="A753" s="543"/>
      <c r="B753" s="930"/>
      <c r="C753" s="923" t="s">
        <v>1496</v>
      </c>
      <c r="D753" s="1951" t="s">
        <v>1606</v>
      </c>
      <c r="E753" s="1936"/>
      <c r="F753" s="930"/>
      <c r="G753" s="930"/>
      <c r="H753" s="930"/>
      <c r="I753" s="930"/>
      <c r="J753" s="930"/>
      <c r="K753" s="930"/>
      <c r="L753" s="930"/>
      <c r="M753" s="930"/>
      <c r="N753" s="930"/>
      <c r="O753" s="930"/>
      <c r="P753" s="930"/>
      <c r="Q753" s="930"/>
      <c r="R753" s="1568">
        <f>Incentives!C440</f>
        <v>0</v>
      </c>
      <c r="S753" s="930"/>
      <c r="T753" s="1472" t="str">
        <f>Incentives!E413</f>
        <v>No</v>
      </c>
      <c r="U753" s="930"/>
    </row>
    <row r="754" spans="1:21" s="1661" customFormat="1" ht="15.75" thickBot="1" x14ac:dyDescent="0.3">
      <c r="A754" s="543"/>
      <c r="B754" s="930"/>
      <c r="C754" s="930"/>
      <c r="D754" s="930"/>
      <c r="E754" s="930"/>
      <c r="F754" s="930"/>
      <c r="G754" s="930"/>
      <c r="H754" s="930"/>
      <c r="I754" s="930"/>
      <c r="J754" s="930"/>
      <c r="K754" s="930"/>
      <c r="L754" s="930"/>
      <c r="M754" s="930"/>
      <c r="N754" s="930"/>
      <c r="O754" s="930"/>
      <c r="P754" s="930"/>
      <c r="Q754" s="930"/>
      <c r="R754" s="930"/>
      <c r="S754" s="930"/>
      <c r="T754" s="930"/>
      <c r="U754" s="930"/>
    </row>
    <row r="755" spans="1:21" s="1661" customFormat="1" ht="15.75" customHeight="1" thickBot="1" x14ac:dyDescent="0.3">
      <c r="A755" s="543"/>
      <c r="B755" s="1948" t="s">
        <v>2180</v>
      </c>
      <c r="C755" s="1935"/>
      <c r="D755" s="1935"/>
      <c r="E755" s="1935"/>
      <c r="F755" s="1935"/>
      <c r="G755" s="1935"/>
      <c r="H755" s="1935"/>
      <c r="I755" s="1935"/>
      <c r="J755" s="1935"/>
      <c r="K755" s="1935"/>
      <c r="L755" s="1935"/>
      <c r="M755" s="1935"/>
      <c r="N755" s="1935"/>
      <c r="O755" s="1935"/>
      <c r="P755" s="1935"/>
      <c r="Q755" s="1935"/>
      <c r="R755" s="1935"/>
      <c r="S755" s="1935"/>
      <c r="T755" s="1935"/>
      <c r="U755" s="1936"/>
    </row>
    <row r="756" spans="1:21" s="1661" customFormat="1" ht="15.75" thickBot="1" x14ac:dyDescent="0.3">
      <c r="A756" s="543"/>
      <c r="B756" s="930"/>
      <c r="C756" s="930"/>
      <c r="D756" s="930"/>
      <c r="E756" s="930"/>
      <c r="F756" s="930"/>
      <c r="G756" s="930"/>
      <c r="H756" s="930"/>
      <c r="I756" s="930"/>
      <c r="J756" s="930"/>
      <c r="K756" s="930"/>
      <c r="L756" s="930"/>
      <c r="M756" s="930"/>
      <c r="N756" s="930"/>
      <c r="O756" s="930"/>
      <c r="P756" s="930"/>
      <c r="Q756" s="930"/>
      <c r="R756" s="930"/>
      <c r="S756" s="930"/>
      <c r="T756" s="930"/>
      <c r="U756" s="930"/>
    </row>
    <row r="757" spans="1:21" s="1661" customFormat="1" ht="30.75" customHeight="1" thickBot="1" x14ac:dyDescent="0.3">
      <c r="A757" s="543"/>
      <c r="B757" s="930"/>
      <c r="C757" s="923" t="s">
        <v>1383</v>
      </c>
      <c r="D757" s="1949" t="s">
        <v>1775</v>
      </c>
      <c r="E757" s="1950"/>
      <c r="F757" s="930"/>
      <c r="G757" s="930"/>
      <c r="H757" s="926" t="s">
        <v>1380</v>
      </c>
      <c r="I757" s="930"/>
      <c r="J757" s="926" t="s">
        <v>1381</v>
      </c>
      <c r="K757" s="930"/>
      <c r="L757" s="926" t="s">
        <v>1397</v>
      </c>
      <c r="M757" s="930"/>
      <c r="N757" s="926" t="s">
        <v>1382</v>
      </c>
      <c r="O757" s="930"/>
      <c r="P757" s="930"/>
      <c r="Q757" s="930"/>
      <c r="R757" s="926" t="s">
        <v>1487</v>
      </c>
      <c r="S757" s="930"/>
      <c r="T757" s="926" t="s">
        <v>1488</v>
      </c>
      <c r="U757" s="930"/>
    </row>
    <row r="758" spans="1:21" s="1661" customFormat="1" ht="15.75" thickBot="1" x14ac:dyDescent="0.3">
      <c r="A758" s="543"/>
      <c r="B758" s="930"/>
      <c r="C758" s="918"/>
      <c r="D758" s="918"/>
      <c r="E758" s="918"/>
      <c r="F758" s="930"/>
      <c r="G758" s="930"/>
      <c r="H758" s="956" t="str">
        <f>IF(T767="Yes",Incentives!G425,"")</f>
        <v/>
      </c>
      <c r="I758" s="930"/>
      <c r="J758" s="916" t="str">
        <f>IF(T767="Yes",Incentives!I425,"")</f>
        <v/>
      </c>
      <c r="K758" s="930"/>
      <c r="L758" s="1330" t="str">
        <f>IF(T767="Yes",Incentives!K425,"")</f>
        <v/>
      </c>
      <c r="M758" s="930"/>
      <c r="N758" s="956" t="str">
        <f>IF(AND(Incentives!M425&lt;&gt;"",T767="Yes"),Incentives!M425,"")</f>
        <v/>
      </c>
      <c r="O758" s="930"/>
      <c r="P758" s="930"/>
      <c r="Q758" s="930"/>
      <c r="R758" s="1472" t="s">
        <v>1602</v>
      </c>
      <c r="S758" s="930"/>
      <c r="T758" s="1472" t="s">
        <v>646</v>
      </c>
      <c r="U758" s="930"/>
    </row>
    <row r="759" spans="1:21" s="1661" customFormat="1" ht="30.75" thickBot="1" x14ac:dyDescent="0.3">
      <c r="A759" s="543"/>
      <c r="B759" s="930"/>
      <c r="C759" s="923" t="s">
        <v>1491</v>
      </c>
      <c r="D759" s="1951">
        <v>5319</v>
      </c>
      <c r="E759" s="1952"/>
      <c r="F759" s="930"/>
      <c r="G759" s="930"/>
      <c r="H759" s="930"/>
      <c r="I759" s="930"/>
      <c r="J759" s="930"/>
      <c r="K759" s="930"/>
      <c r="L759" s="930"/>
      <c r="M759" s="930"/>
      <c r="N759" s="930"/>
      <c r="O759" s="930"/>
      <c r="P759" s="930"/>
      <c r="Q759" s="930"/>
      <c r="R759" s="930"/>
      <c r="S759" s="930"/>
      <c r="T759" s="930"/>
      <c r="U759" s="930"/>
    </row>
    <row r="760" spans="1:21" s="1661" customFormat="1" ht="15.75" thickBot="1" x14ac:dyDescent="0.3">
      <c r="A760" s="543"/>
      <c r="B760" s="930"/>
      <c r="C760" s="918"/>
      <c r="D760" s="918"/>
      <c r="E760" s="918"/>
      <c r="F760" s="930"/>
      <c r="G760" s="930"/>
      <c r="H760" s="1662" t="s">
        <v>1396</v>
      </c>
      <c r="I760" s="930"/>
      <c r="J760" s="930"/>
      <c r="K760" s="930"/>
      <c r="L760" s="930"/>
      <c r="M760" s="930"/>
      <c r="N760" s="930"/>
      <c r="O760" s="930"/>
      <c r="P760" s="930"/>
      <c r="Q760" s="930"/>
      <c r="R760" s="926" t="s">
        <v>1603</v>
      </c>
      <c r="S760" s="930"/>
      <c r="T760" s="926" t="s">
        <v>1604</v>
      </c>
      <c r="U760" s="930"/>
    </row>
    <row r="761" spans="1:21" s="1661" customFormat="1" ht="15.75" thickBot="1" x14ac:dyDescent="0.3">
      <c r="A761" s="543"/>
      <c r="B761" s="930"/>
      <c r="C761" s="923" t="s">
        <v>1385</v>
      </c>
      <c r="D761" s="1953" t="str">
        <f>IF(T767="Yes",Incentives!E427,"")</f>
        <v/>
      </c>
      <c r="E761" s="1954"/>
      <c r="F761" s="930"/>
      <c r="G761" s="930"/>
      <c r="H761" s="1476" t="str">
        <f>IF(T767="Yes",Incentives!G428,"")</f>
        <v/>
      </c>
      <c r="I761" s="930"/>
      <c r="J761" s="930"/>
      <c r="K761" s="930"/>
      <c r="L761" s="930"/>
      <c r="M761" s="930"/>
      <c r="N761" s="930"/>
      <c r="O761" s="930"/>
      <c r="P761" s="930"/>
      <c r="Q761" s="930"/>
      <c r="R761" s="1472" t="s">
        <v>1610</v>
      </c>
      <c r="S761" s="930"/>
      <c r="T761" s="1472" t="s">
        <v>395</v>
      </c>
      <c r="U761" s="930"/>
    </row>
    <row r="762" spans="1:21" s="1661" customFormat="1" ht="15.75" thickBot="1" x14ac:dyDescent="0.3">
      <c r="A762" s="543"/>
      <c r="B762" s="930"/>
      <c r="C762" s="918"/>
      <c r="D762" s="918"/>
      <c r="E762" s="918"/>
      <c r="F762" s="930"/>
      <c r="G762" s="930"/>
      <c r="H762" s="930"/>
      <c r="I762" s="930"/>
      <c r="J762" s="930"/>
      <c r="K762" s="930"/>
      <c r="L762" s="930"/>
      <c r="M762" s="930"/>
      <c r="N762" s="930"/>
      <c r="O762" s="930"/>
      <c r="P762" s="930"/>
      <c r="Q762" s="930"/>
      <c r="R762" s="930"/>
      <c r="S762" s="930"/>
      <c r="T762" s="930"/>
      <c r="U762" s="930"/>
    </row>
    <row r="763" spans="1:21" s="1661" customFormat="1" ht="30.75" thickBot="1" x14ac:dyDescent="0.3">
      <c r="A763" s="543"/>
      <c r="B763" s="930"/>
      <c r="C763" s="923" t="s">
        <v>1386</v>
      </c>
      <c r="D763" s="1953" t="str">
        <f>IF(T767="Yes",Incentives!E428,"")</f>
        <v/>
      </c>
      <c r="E763" s="1954"/>
      <c r="F763" s="930"/>
      <c r="G763" s="930"/>
      <c r="H763" s="1662" t="s">
        <v>1492</v>
      </c>
      <c r="I763" s="930"/>
      <c r="J763" s="1662" t="s">
        <v>2005</v>
      </c>
      <c r="K763" s="930"/>
      <c r="L763" s="1565" t="s">
        <v>2135</v>
      </c>
      <c r="M763" s="930"/>
      <c r="N763" s="926" t="s">
        <v>1482</v>
      </c>
      <c r="O763" s="930"/>
      <c r="P763" s="930"/>
      <c r="Q763" s="930"/>
      <c r="R763" s="930"/>
      <c r="S763" s="930"/>
      <c r="T763" s="926" t="s">
        <v>1599</v>
      </c>
      <c r="U763" s="930"/>
    </row>
    <row r="764" spans="1:21" s="1661" customFormat="1" ht="15.75" thickBot="1" x14ac:dyDescent="0.3">
      <c r="A764" s="543"/>
      <c r="B764" s="930"/>
      <c r="C764" s="918"/>
      <c r="D764" s="918"/>
      <c r="E764" s="918"/>
      <c r="F764" s="930"/>
      <c r="G764" s="930"/>
      <c r="H764" s="1472" t="s">
        <v>648</v>
      </c>
      <c r="I764" s="930"/>
      <c r="J764" s="999" t="str">
        <f>IF(T767="Yes",Incentives!G431,"")</f>
        <v/>
      </c>
      <c r="K764" s="930"/>
      <c r="L764" s="1566" t="str">
        <f>IF(T767="Yes",IF(R767="Yes","No","Yes"),"")</f>
        <v/>
      </c>
      <c r="M764" s="930"/>
      <c r="N764" s="1476" t="str">
        <f>IF(T767="Yes",Incentives!K431,"")</f>
        <v/>
      </c>
      <c r="O764" s="930"/>
      <c r="P764" s="930"/>
      <c r="Q764" s="930"/>
      <c r="R764" s="930"/>
      <c r="S764" s="930"/>
      <c r="T764" s="1472" t="s">
        <v>648</v>
      </c>
      <c r="U764" s="930"/>
    </row>
    <row r="765" spans="1:21" s="1661" customFormat="1" ht="30.75" thickBot="1" x14ac:dyDescent="0.3">
      <c r="A765" s="543"/>
      <c r="B765" s="930"/>
      <c r="C765" s="924" t="s">
        <v>1495</v>
      </c>
      <c r="D765" s="1955" t="s">
        <v>648</v>
      </c>
      <c r="E765" s="1952"/>
      <c r="F765" s="930"/>
      <c r="G765" s="930"/>
      <c r="H765" s="930"/>
      <c r="I765" s="930"/>
      <c r="J765" s="930"/>
      <c r="K765" s="930"/>
      <c r="L765" s="930"/>
      <c r="M765" s="930"/>
      <c r="N765" s="930"/>
      <c r="O765" s="930"/>
      <c r="P765" s="930"/>
      <c r="Q765" s="930"/>
      <c r="R765" s="930"/>
      <c r="S765" s="930"/>
      <c r="T765" s="930"/>
      <c r="U765" s="930"/>
    </row>
    <row r="766" spans="1:21" s="1661" customFormat="1" ht="15.75" thickBot="1" x14ac:dyDescent="0.3">
      <c r="A766" s="543"/>
      <c r="B766" s="930"/>
      <c r="C766" s="918"/>
      <c r="D766" s="918"/>
      <c r="E766" s="918"/>
      <c r="F766" s="930"/>
      <c r="G766" s="930"/>
      <c r="H766" s="930"/>
      <c r="I766" s="930"/>
      <c r="J766" s="930"/>
      <c r="K766" s="930"/>
      <c r="L766" s="930"/>
      <c r="M766" s="930"/>
      <c r="N766" s="930"/>
      <c r="O766" s="930"/>
      <c r="P766" s="930"/>
      <c r="Q766" s="930"/>
      <c r="R766" s="930"/>
      <c r="S766" s="930"/>
      <c r="T766" s="926" t="s">
        <v>523</v>
      </c>
      <c r="U766" s="930"/>
    </row>
    <row r="767" spans="1:21" s="1661" customFormat="1" ht="15.75" thickBot="1" x14ac:dyDescent="0.3">
      <c r="A767" s="543"/>
      <c r="B767" s="930"/>
      <c r="C767" s="923" t="s">
        <v>1496</v>
      </c>
      <c r="D767" s="1951" t="s">
        <v>1606</v>
      </c>
      <c r="E767" s="1936"/>
      <c r="F767" s="930"/>
      <c r="G767" s="930"/>
      <c r="H767" s="930"/>
      <c r="I767" s="930"/>
      <c r="J767" s="930"/>
      <c r="K767" s="930"/>
      <c r="L767" s="930"/>
      <c r="M767" s="930"/>
      <c r="N767" s="930"/>
      <c r="O767" s="930"/>
      <c r="P767" s="930"/>
      <c r="Q767" s="930"/>
      <c r="R767" s="1568" t="str">
        <f ca="1">Incentives!C454</f>
        <v/>
      </c>
      <c r="S767" s="930"/>
      <c r="T767" s="1472" t="str">
        <f>Incentives!E424</f>
        <v>No</v>
      </c>
      <c r="U767" s="930"/>
    </row>
    <row r="768" spans="1:21" s="1661" customFormat="1" ht="15.75" thickBot="1" x14ac:dyDescent="0.3">
      <c r="A768" s="543"/>
      <c r="B768" s="930"/>
      <c r="C768" s="930"/>
      <c r="D768" s="930"/>
      <c r="E768" s="930"/>
      <c r="F768" s="930"/>
      <c r="G768" s="930"/>
      <c r="H768" s="930"/>
      <c r="I768" s="930"/>
      <c r="J768" s="930"/>
      <c r="K768" s="930"/>
      <c r="L768" s="930"/>
      <c r="M768" s="930"/>
      <c r="N768" s="930"/>
      <c r="O768" s="930"/>
      <c r="P768" s="930"/>
      <c r="Q768" s="930"/>
      <c r="R768" s="930"/>
      <c r="S768" s="930"/>
      <c r="T768" s="930"/>
      <c r="U768" s="930"/>
    </row>
    <row r="769" spans="1:21" s="1661" customFormat="1" ht="15.75" customHeight="1" thickBot="1" x14ac:dyDescent="0.3">
      <c r="A769" s="543"/>
      <c r="B769" s="1948" t="s">
        <v>2147</v>
      </c>
      <c r="C769" s="1957"/>
      <c r="D769" s="1957"/>
      <c r="E769" s="1957"/>
      <c r="F769" s="1957"/>
      <c r="G769" s="1957"/>
      <c r="H769" s="1957"/>
      <c r="I769" s="1957"/>
      <c r="J769" s="1957"/>
      <c r="K769" s="1957"/>
      <c r="L769" s="1957"/>
      <c r="M769" s="1957"/>
      <c r="N769" s="1957"/>
      <c r="O769" s="1957"/>
      <c r="P769" s="1957"/>
      <c r="Q769" s="1957"/>
      <c r="R769" s="1957"/>
      <c r="S769" s="1957"/>
      <c r="T769" s="1957"/>
      <c r="U769" s="1958"/>
    </row>
    <row r="770" spans="1:21" ht="15.75" thickBot="1" x14ac:dyDescent="0.3">
      <c r="A770" s="543"/>
      <c r="B770" s="1974"/>
      <c r="C770" s="1974"/>
      <c r="D770" s="1586"/>
      <c r="E770" s="1974"/>
      <c r="F770" s="1974"/>
      <c r="G770" s="1974"/>
      <c r="H770" s="1974"/>
      <c r="I770" s="1974"/>
      <c r="J770" s="1974"/>
      <c r="K770" s="1974"/>
      <c r="L770" s="1974"/>
      <c r="M770" s="1974"/>
      <c r="N770" s="1974"/>
      <c r="O770" s="1974"/>
      <c r="P770" s="1974"/>
      <c r="Q770" s="1974"/>
      <c r="R770" s="1974"/>
      <c r="S770" s="1974"/>
      <c r="T770" s="1974"/>
      <c r="U770" s="1585"/>
    </row>
    <row r="771" spans="1:21" ht="30.75" thickBot="1" x14ac:dyDescent="0.3">
      <c r="A771" s="543"/>
      <c r="B771" s="1587"/>
      <c r="C771" s="1588" t="s">
        <v>1383</v>
      </c>
      <c r="D771" s="1975" t="s">
        <v>2141</v>
      </c>
      <c r="E771" s="1976"/>
      <c r="F771" s="1977"/>
      <c r="G771" s="1978"/>
      <c r="H771" s="997" t="s">
        <v>1380</v>
      </c>
      <c r="I771" s="1586"/>
      <c r="J771" s="997" t="s">
        <v>1381</v>
      </c>
      <c r="K771" s="1586"/>
      <c r="L771" s="997" t="s">
        <v>1397</v>
      </c>
      <c r="M771" s="1586"/>
      <c r="N771" s="997" t="s">
        <v>1382</v>
      </c>
      <c r="O771" s="1979"/>
      <c r="P771" s="1980"/>
      <c r="Q771" s="1586"/>
      <c r="R771" s="997" t="s">
        <v>1487</v>
      </c>
      <c r="S771" s="1586"/>
      <c r="T771" s="997" t="s">
        <v>1488</v>
      </c>
      <c r="U771" s="1585"/>
    </row>
    <row r="772" spans="1:21" ht="15.75" thickBot="1" x14ac:dyDescent="0.3">
      <c r="A772" s="543"/>
      <c r="B772" s="1977"/>
      <c r="C772" s="1977"/>
      <c r="D772" s="1587"/>
      <c r="E772" s="1977"/>
      <c r="F772" s="1977"/>
      <c r="G772" s="1587"/>
      <c r="H772" s="871"/>
      <c r="I772" s="1586"/>
      <c r="J772" s="1643"/>
      <c r="K772" s="1586"/>
      <c r="L772" s="1644"/>
      <c r="M772" s="1586"/>
      <c r="N772" s="1589"/>
      <c r="O772" s="1979"/>
      <c r="P772" s="1980"/>
      <c r="Q772" s="1586"/>
      <c r="R772" s="998" t="s">
        <v>1490</v>
      </c>
      <c r="S772" s="1586"/>
      <c r="T772" s="998" t="s">
        <v>648</v>
      </c>
      <c r="U772" s="1585"/>
    </row>
    <row r="773" spans="1:21" ht="30.75" thickBot="1" x14ac:dyDescent="0.3">
      <c r="A773" s="543"/>
      <c r="B773" s="1587"/>
      <c r="C773" s="1588" t="s">
        <v>1491</v>
      </c>
      <c r="D773" s="1981">
        <v>5201</v>
      </c>
      <c r="E773" s="1982"/>
      <c r="F773" s="1977"/>
      <c r="G773" s="1977"/>
      <c r="H773" s="1587"/>
      <c r="I773" s="1980"/>
      <c r="J773" s="1980"/>
      <c r="K773" s="1980"/>
      <c r="L773" s="1980"/>
      <c r="M773" s="1980"/>
      <c r="N773" s="1980"/>
      <c r="O773" s="1980"/>
      <c r="P773" s="1980"/>
      <c r="Q773" s="1980"/>
      <c r="R773" s="1980"/>
      <c r="S773" s="1980"/>
      <c r="T773" s="1980"/>
      <c r="U773" s="1585"/>
    </row>
    <row r="774" spans="1:21" ht="15.75" thickBot="1" x14ac:dyDescent="0.3">
      <c r="A774" s="543"/>
      <c r="B774" s="1977"/>
      <c r="C774" s="1977"/>
      <c r="D774" s="1587"/>
      <c r="E774" s="1977"/>
      <c r="F774" s="1977"/>
      <c r="G774" s="1587"/>
      <c r="H774" s="997" t="s">
        <v>1389</v>
      </c>
      <c r="I774" s="1979"/>
      <c r="J774" s="1980"/>
      <c r="K774" s="1980"/>
      <c r="L774" s="1980"/>
      <c r="M774" s="1980"/>
      <c r="N774" s="1980"/>
      <c r="O774" s="1980"/>
      <c r="P774" s="1980"/>
      <c r="Q774" s="1980"/>
      <c r="R774" s="1980"/>
      <c r="S774" s="1980"/>
      <c r="T774" s="1980"/>
      <c r="U774" s="1585"/>
    </row>
    <row r="775" spans="1:21" ht="15.75" thickBot="1" x14ac:dyDescent="0.3">
      <c r="A775" s="543"/>
      <c r="B775" s="1587"/>
      <c r="C775" s="1588" t="s">
        <v>1385</v>
      </c>
      <c r="D775" s="1983" t="str">
        <f>AA38</f>
        <v/>
      </c>
      <c r="E775" s="1984"/>
      <c r="F775" s="1977"/>
      <c r="G775" s="1978"/>
      <c r="H775" s="1660"/>
      <c r="I775" s="1979"/>
      <c r="J775" s="1980"/>
      <c r="K775" s="1980"/>
      <c r="L775" s="1980"/>
      <c r="M775" s="1980"/>
      <c r="N775" s="1980"/>
      <c r="O775" s="1980"/>
      <c r="P775" s="1980"/>
      <c r="Q775" s="1980"/>
      <c r="R775" s="1980"/>
      <c r="S775" s="1980"/>
      <c r="T775" s="1980"/>
      <c r="U775" s="1585"/>
    </row>
    <row r="776" spans="1:21" ht="15.75" thickBot="1" x14ac:dyDescent="0.3">
      <c r="A776" s="543"/>
      <c r="B776" s="1977"/>
      <c r="C776" s="1977"/>
      <c r="D776" s="1587"/>
      <c r="E776" s="1977"/>
      <c r="F776" s="1977"/>
      <c r="G776" s="1977"/>
      <c r="H776" s="1977"/>
      <c r="I776" s="1980"/>
      <c r="J776" s="1980"/>
      <c r="K776" s="1980"/>
      <c r="L776" s="1980"/>
      <c r="M776" s="1980"/>
      <c r="N776" s="1980"/>
      <c r="O776" s="1980"/>
      <c r="P776" s="1980"/>
      <c r="Q776" s="1980"/>
      <c r="R776" s="1980"/>
      <c r="S776" s="1980"/>
      <c r="T776" s="1980"/>
      <c r="U776" s="1585"/>
    </row>
    <row r="777" spans="1:21" ht="15.75" thickBot="1" x14ac:dyDescent="0.3">
      <c r="A777" s="543"/>
      <c r="B777" s="1587"/>
      <c r="C777" s="1588" t="s">
        <v>1386</v>
      </c>
      <c r="D777" s="1983" t="str">
        <f>AB38</f>
        <v/>
      </c>
      <c r="E777" s="1984"/>
      <c r="F777" s="1977"/>
      <c r="G777" s="1977"/>
      <c r="H777" s="1587"/>
      <c r="I777" s="1980"/>
      <c r="J777" s="1980"/>
      <c r="K777" s="1980"/>
      <c r="L777" s="1980"/>
      <c r="M777" s="1980"/>
      <c r="N777" s="1980"/>
      <c r="O777" s="1980"/>
      <c r="P777" s="1980"/>
      <c r="Q777" s="1980"/>
      <c r="R777" s="1980"/>
      <c r="S777" s="1586"/>
      <c r="T777" s="997" t="s">
        <v>1599</v>
      </c>
      <c r="U777" s="1585"/>
    </row>
    <row r="778" spans="1:21" ht="15.75" thickBot="1" x14ac:dyDescent="0.3">
      <c r="A778" s="543"/>
      <c r="B778" s="1977"/>
      <c r="C778" s="1977"/>
      <c r="D778" s="1587"/>
      <c r="E778" s="1977"/>
      <c r="F778" s="1977"/>
      <c r="G778" s="1977"/>
      <c r="H778" s="1977"/>
      <c r="I778" s="1980"/>
      <c r="J778" s="1980"/>
      <c r="K778" s="1980"/>
      <c r="L778" s="1980"/>
      <c r="M778" s="1980"/>
      <c r="N778" s="1980"/>
      <c r="O778" s="1980"/>
      <c r="P778" s="1980"/>
      <c r="Q778" s="1980"/>
      <c r="R778" s="1980"/>
      <c r="S778" s="1586"/>
      <c r="T778" s="998" t="s">
        <v>646</v>
      </c>
      <c r="U778" s="1585"/>
    </row>
    <row r="779" spans="1:21" ht="30.75" thickBot="1" x14ac:dyDescent="0.3">
      <c r="A779" s="543"/>
      <c r="B779" s="1587"/>
      <c r="C779" s="1590" t="s">
        <v>1495</v>
      </c>
      <c r="D779" s="1986" t="s">
        <v>646</v>
      </c>
      <c r="E779" s="1987"/>
      <c r="F779" s="1988"/>
      <c r="G779" s="1977"/>
      <c r="H779" s="1587"/>
      <c r="I779" s="1980"/>
      <c r="J779" s="1980"/>
      <c r="K779" s="1980"/>
      <c r="L779" s="1980"/>
      <c r="M779" s="1980"/>
      <c r="N779" s="1980"/>
      <c r="O779" s="1980"/>
      <c r="P779" s="1980"/>
      <c r="Q779" s="1980"/>
      <c r="R779" s="1980"/>
      <c r="S779" s="1980"/>
      <c r="T779" s="1980"/>
      <c r="U779" s="1585"/>
    </row>
    <row r="780" spans="1:21" ht="15.75" thickBot="1" x14ac:dyDescent="0.3">
      <c r="A780" s="543"/>
      <c r="B780" s="1977"/>
      <c r="C780" s="1977"/>
      <c r="D780" s="1587"/>
      <c r="E780" s="1977"/>
      <c r="F780" s="1977"/>
      <c r="G780" s="1977"/>
      <c r="H780" s="1977"/>
      <c r="I780" s="1980"/>
      <c r="J780" s="1980"/>
      <c r="K780" s="1980"/>
      <c r="L780" s="1980"/>
      <c r="M780" s="1980"/>
      <c r="N780" s="1980"/>
      <c r="O780" s="1980"/>
      <c r="P780" s="1980"/>
      <c r="Q780" s="1980"/>
      <c r="R780" s="1980"/>
      <c r="S780" s="1586"/>
      <c r="T780" s="997" t="s">
        <v>523</v>
      </c>
      <c r="U780" s="1585"/>
    </row>
    <row r="781" spans="1:21" ht="15.75" thickBot="1" x14ac:dyDescent="0.3">
      <c r="A781" s="543"/>
      <c r="B781" s="1587"/>
      <c r="C781" s="1588" t="s">
        <v>1496</v>
      </c>
      <c r="D781" s="1981" t="s">
        <v>1497</v>
      </c>
      <c r="E781" s="1982"/>
      <c r="F781" s="1977"/>
      <c r="G781" s="1977"/>
      <c r="H781" s="1587"/>
      <c r="I781" s="1980"/>
      <c r="J781" s="1980"/>
      <c r="K781" s="1980"/>
      <c r="L781" s="1980"/>
      <c r="M781" s="1980"/>
      <c r="N781" s="1980"/>
      <c r="O781" s="1980"/>
      <c r="P781" s="1980"/>
      <c r="Q781" s="1980"/>
      <c r="R781" s="1980"/>
      <c r="S781" s="1586"/>
      <c r="T781" s="998" t="str">
        <f>Incentives!E435</f>
        <v>No</v>
      </c>
      <c r="U781" s="1585"/>
    </row>
    <row r="782" spans="1:21" ht="15.75" thickBot="1" x14ac:dyDescent="0.3">
      <c r="A782" s="543"/>
      <c r="B782" s="1985"/>
      <c r="C782" s="1985"/>
      <c r="D782" s="1586"/>
      <c r="E782" s="1985"/>
      <c r="F782" s="1985"/>
      <c r="G782" s="1985"/>
      <c r="H782" s="1985"/>
      <c r="I782" s="1985"/>
      <c r="J782" s="1985"/>
      <c r="K782" s="1985"/>
      <c r="L782" s="1985"/>
      <c r="M782" s="1985"/>
      <c r="N782" s="1985"/>
      <c r="O782" s="1985"/>
      <c r="P782" s="1985"/>
      <c r="Q782" s="1985"/>
      <c r="R782" s="1985"/>
      <c r="S782" s="1985"/>
      <c r="T782" s="1985"/>
      <c r="U782" s="1585"/>
    </row>
    <row r="783" spans="1:21" ht="15.75" thickBot="1" x14ac:dyDescent="0.3">
      <c r="A783" s="543"/>
      <c r="B783" s="1948" t="s">
        <v>2148</v>
      </c>
      <c r="C783" s="1935"/>
      <c r="D783" s="1935"/>
      <c r="E783" s="1935"/>
      <c r="F783" s="1935"/>
      <c r="G783" s="1935"/>
      <c r="H783" s="1935"/>
      <c r="I783" s="1935"/>
      <c r="J783" s="1935"/>
      <c r="K783" s="1935"/>
      <c r="L783" s="1935"/>
      <c r="M783" s="1935"/>
      <c r="N783" s="1935"/>
      <c r="O783" s="1935"/>
      <c r="P783" s="1935"/>
      <c r="Q783" s="1935"/>
      <c r="R783" s="1935"/>
      <c r="S783" s="1935"/>
      <c r="T783" s="1935"/>
      <c r="U783" s="1936"/>
    </row>
    <row r="784" spans="1:21" s="1645" customFormat="1" ht="15.75" thickBot="1" x14ac:dyDescent="0.3">
      <c r="A784" s="543"/>
      <c r="B784" s="1974"/>
      <c r="C784" s="1974"/>
      <c r="D784" s="1647"/>
      <c r="E784" s="1974"/>
      <c r="F784" s="1974"/>
      <c r="G784" s="1974"/>
      <c r="H784" s="1974"/>
      <c r="I784" s="1974"/>
      <c r="J784" s="1974"/>
      <c r="K784" s="1974"/>
      <c r="L784" s="1974"/>
      <c r="M784" s="1974"/>
      <c r="N784" s="1974"/>
      <c r="O784" s="1974"/>
      <c r="P784" s="1974"/>
      <c r="Q784" s="1974"/>
      <c r="R784" s="1974"/>
      <c r="S784" s="1974"/>
      <c r="T784" s="1974"/>
      <c r="U784" s="1585"/>
    </row>
    <row r="785" spans="1:21" s="1645" customFormat="1" ht="30.75" thickBot="1" x14ac:dyDescent="0.3">
      <c r="A785" s="543"/>
      <c r="B785" s="1646"/>
      <c r="C785" s="1588" t="s">
        <v>1383</v>
      </c>
      <c r="D785" s="1975" t="s">
        <v>2141</v>
      </c>
      <c r="E785" s="1976"/>
      <c r="F785" s="1977"/>
      <c r="G785" s="1978"/>
      <c r="H785" s="997" t="s">
        <v>1380</v>
      </c>
      <c r="I785" s="1647"/>
      <c r="J785" s="997" t="s">
        <v>1381</v>
      </c>
      <c r="K785" s="1647"/>
      <c r="L785" s="997" t="s">
        <v>1397</v>
      </c>
      <c r="M785" s="1647"/>
      <c r="N785" s="997" t="s">
        <v>1382</v>
      </c>
      <c r="O785" s="1979"/>
      <c r="P785" s="1980"/>
      <c r="Q785" s="1647"/>
      <c r="R785" s="997" t="s">
        <v>1487</v>
      </c>
      <c r="S785" s="1647"/>
      <c r="T785" s="997" t="s">
        <v>1488</v>
      </c>
      <c r="U785" s="1585"/>
    </row>
    <row r="786" spans="1:21" s="1645" customFormat="1" ht="15.75" thickBot="1" x14ac:dyDescent="0.3">
      <c r="A786" s="543"/>
      <c r="B786" s="1977"/>
      <c r="C786" s="1977"/>
      <c r="D786" s="1646"/>
      <c r="E786" s="1977"/>
      <c r="F786" s="1977"/>
      <c r="G786" s="1646"/>
      <c r="H786" s="871"/>
      <c r="I786" s="1647"/>
      <c r="J786" s="1643"/>
      <c r="K786" s="1647"/>
      <c r="L786" s="1644"/>
      <c r="M786" s="1647"/>
      <c r="N786" s="1589"/>
      <c r="O786" s="1979"/>
      <c r="P786" s="1980"/>
      <c r="Q786" s="1647"/>
      <c r="R786" s="998" t="s">
        <v>1490</v>
      </c>
      <c r="S786" s="1647"/>
      <c r="T786" s="998" t="s">
        <v>648</v>
      </c>
      <c r="U786" s="1585"/>
    </row>
    <row r="787" spans="1:21" s="1645" customFormat="1" ht="30.75" thickBot="1" x14ac:dyDescent="0.3">
      <c r="A787" s="543"/>
      <c r="B787" s="1646"/>
      <c r="C787" s="1588" t="s">
        <v>1491</v>
      </c>
      <c r="D787" s="1981">
        <v>5202</v>
      </c>
      <c r="E787" s="1982"/>
      <c r="F787" s="1977"/>
      <c r="G787" s="1977"/>
      <c r="H787" s="1646"/>
      <c r="I787" s="1980"/>
      <c r="J787" s="1980"/>
      <c r="K787" s="1980"/>
      <c r="L787" s="1980"/>
      <c r="M787" s="1980"/>
      <c r="N787" s="1980"/>
      <c r="O787" s="1980"/>
      <c r="P787" s="1980"/>
      <c r="Q787" s="1980"/>
      <c r="R787" s="1980"/>
      <c r="S787" s="1980"/>
      <c r="T787" s="1980"/>
      <c r="U787" s="1585"/>
    </row>
    <row r="788" spans="1:21" s="1645" customFormat="1" ht="15.75" thickBot="1" x14ac:dyDescent="0.3">
      <c r="A788" s="543"/>
      <c r="B788" s="1977"/>
      <c r="C788" s="1977"/>
      <c r="D788" s="1646"/>
      <c r="E788" s="1977"/>
      <c r="F788" s="1977"/>
      <c r="G788" s="1646"/>
      <c r="H788" s="997" t="s">
        <v>1389</v>
      </c>
      <c r="I788" s="1979"/>
      <c r="J788" s="1980"/>
      <c r="K788" s="1980"/>
      <c r="L788" s="1980"/>
      <c r="M788" s="1980"/>
      <c r="N788" s="1980"/>
      <c r="O788" s="1980"/>
      <c r="P788" s="1980"/>
      <c r="Q788" s="1980"/>
      <c r="R788" s="1980"/>
      <c r="S788" s="1980"/>
      <c r="T788" s="1980"/>
      <c r="U788" s="1585"/>
    </row>
    <row r="789" spans="1:21" s="1645" customFormat="1" ht="15.75" thickBot="1" x14ac:dyDescent="0.3">
      <c r="A789" s="543"/>
      <c r="B789" s="1646"/>
      <c r="C789" s="1588" t="s">
        <v>1385</v>
      </c>
      <c r="D789" s="1983" t="str">
        <f>AA39</f>
        <v/>
      </c>
      <c r="E789" s="1984"/>
      <c r="F789" s="1977"/>
      <c r="G789" s="1978"/>
      <c r="H789" s="1660"/>
      <c r="I789" s="1979"/>
      <c r="J789" s="1980"/>
      <c r="K789" s="1980"/>
      <c r="L789" s="1980"/>
      <c r="M789" s="1980"/>
      <c r="N789" s="1980"/>
      <c r="O789" s="1980"/>
      <c r="P789" s="1980"/>
      <c r="Q789" s="1980"/>
      <c r="R789" s="1980"/>
      <c r="S789" s="1980"/>
      <c r="T789" s="1980"/>
      <c r="U789" s="1585"/>
    </row>
    <row r="790" spans="1:21" s="1645" customFormat="1" ht="15.75" thickBot="1" x14ac:dyDescent="0.3">
      <c r="A790" s="543"/>
      <c r="B790" s="1977"/>
      <c r="C790" s="1977"/>
      <c r="D790" s="1646"/>
      <c r="E790" s="1977"/>
      <c r="F790" s="1977"/>
      <c r="G790" s="1977"/>
      <c r="H790" s="1977"/>
      <c r="I790" s="1980"/>
      <c r="J790" s="1980"/>
      <c r="K790" s="1980"/>
      <c r="L790" s="1980"/>
      <c r="M790" s="1980"/>
      <c r="N790" s="1980"/>
      <c r="O790" s="1980"/>
      <c r="P790" s="1980"/>
      <c r="Q790" s="1980"/>
      <c r="R790" s="1980"/>
      <c r="S790" s="1980"/>
      <c r="T790" s="1980"/>
      <c r="U790" s="1585"/>
    </row>
    <row r="791" spans="1:21" s="1645" customFormat="1" ht="15.75" thickBot="1" x14ac:dyDescent="0.3">
      <c r="A791" s="543"/>
      <c r="B791" s="1646"/>
      <c r="C791" s="1588" t="s">
        <v>1386</v>
      </c>
      <c r="D791" s="1983" t="str">
        <f>AB39</f>
        <v/>
      </c>
      <c r="E791" s="1984"/>
      <c r="F791" s="1977"/>
      <c r="G791" s="1977"/>
      <c r="H791" s="1646"/>
      <c r="I791" s="1980"/>
      <c r="J791" s="1980"/>
      <c r="K791" s="1980"/>
      <c r="L791" s="1980"/>
      <c r="M791" s="1980"/>
      <c r="N791" s="1980"/>
      <c r="O791" s="1980"/>
      <c r="P791" s="1980"/>
      <c r="Q791" s="1980"/>
      <c r="R791" s="1980"/>
      <c r="S791" s="1647"/>
      <c r="T791" s="997" t="s">
        <v>1599</v>
      </c>
      <c r="U791" s="1585"/>
    </row>
    <row r="792" spans="1:21" s="1645" customFormat="1" ht="15.75" thickBot="1" x14ac:dyDescent="0.3">
      <c r="A792" s="543"/>
      <c r="B792" s="1977"/>
      <c r="C792" s="1977"/>
      <c r="D792" s="1646"/>
      <c r="E792" s="1977"/>
      <c r="F792" s="1977"/>
      <c r="G792" s="1977"/>
      <c r="H792" s="1977"/>
      <c r="I792" s="1980"/>
      <c r="J792" s="1980"/>
      <c r="K792" s="1980"/>
      <c r="L792" s="1980"/>
      <c r="M792" s="1980"/>
      <c r="N792" s="1980"/>
      <c r="O792" s="1980"/>
      <c r="P792" s="1980"/>
      <c r="Q792" s="1980"/>
      <c r="R792" s="1980"/>
      <c r="S792" s="1647"/>
      <c r="T792" s="998" t="s">
        <v>646</v>
      </c>
      <c r="U792" s="1585"/>
    </row>
    <row r="793" spans="1:21" s="1645" customFormat="1" ht="30.75" thickBot="1" x14ac:dyDescent="0.3">
      <c r="A793" s="543"/>
      <c r="B793" s="1646"/>
      <c r="C793" s="1590" t="s">
        <v>1495</v>
      </c>
      <c r="D793" s="1986" t="s">
        <v>646</v>
      </c>
      <c r="E793" s="1987"/>
      <c r="F793" s="1988"/>
      <c r="G793" s="1977"/>
      <c r="H793" s="1646"/>
      <c r="I793" s="1980"/>
      <c r="J793" s="1980"/>
      <c r="K793" s="1980"/>
      <c r="L793" s="1980"/>
      <c r="M793" s="1980"/>
      <c r="N793" s="1980"/>
      <c r="O793" s="1980"/>
      <c r="P793" s="1980"/>
      <c r="Q793" s="1980"/>
      <c r="R793" s="1980"/>
      <c r="S793" s="1980"/>
      <c r="T793" s="1980"/>
      <c r="U793" s="1585"/>
    </row>
    <row r="794" spans="1:21" s="1645" customFormat="1" ht="15.75" thickBot="1" x14ac:dyDescent="0.3">
      <c r="A794" s="543"/>
      <c r="B794" s="1977"/>
      <c r="C794" s="1977"/>
      <c r="D794" s="1646"/>
      <c r="E794" s="1977"/>
      <c r="F794" s="1977"/>
      <c r="G794" s="1977"/>
      <c r="H794" s="1977"/>
      <c r="I794" s="1980"/>
      <c r="J794" s="1980"/>
      <c r="K794" s="1980"/>
      <c r="L794" s="1980"/>
      <c r="M794" s="1980"/>
      <c r="N794" s="1980"/>
      <c r="O794" s="1980"/>
      <c r="P794" s="1980"/>
      <c r="Q794" s="1980"/>
      <c r="R794" s="1980"/>
      <c r="S794" s="1647"/>
      <c r="T794" s="997" t="s">
        <v>523</v>
      </c>
      <c r="U794" s="1585"/>
    </row>
    <row r="795" spans="1:21" s="1645" customFormat="1" ht="15.75" thickBot="1" x14ac:dyDescent="0.3">
      <c r="A795" s="543"/>
      <c r="B795" s="1646"/>
      <c r="C795" s="1588" t="s">
        <v>1496</v>
      </c>
      <c r="D795" s="1981" t="s">
        <v>1497</v>
      </c>
      <c r="E795" s="1982"/>
      <c r="F795" s="1977"/>
      <c r="G795" s="1977"/>
      <c r="H795" s="1646"/>
      <c r="I795" s="1980"/>
      <c r="J795" s="1980"/>
      <c r="K795" s="1980"/>
      <c r="L795" s="1980"/>
      <c r="M795" s="1980"/>
      <c r="N795" s="1980"/>
      <c r="O795" s="1980"/>
      <c r="P795" s="1980"/>
      <c r="Q795" s="1980"/>
      <c r="R795" s="1980"/>
      <c r="S795" s="1647"/>
      <c r="T795" s="998" t="str">
        <f>Incentives!E443</f>
        <v>No</v>
      </c>
      <c r="U795" s="1585"/>
    </row>
    <row r="796" spans="1:21" s="1645" customFormat="1" ht="15.75" thickBot="1" x14ac:dyDescent="0.3">
      <c r="A796" s="543"/>
      <c r="B796" s="1985"/>
      <c r="C796" s="1985"/>
      <c r="D796" s="1647"/>
      <c r="E796" s="1985"/>
      <c r="F796" s="1985"/>
      <c r="G796" s="1985"/>
      <c r="H796" s="1985"/>
      <c r="I796" s="1985"/>
      <c r="J796" s="1985"/>
      <c r="K796" s="1985"/>
      <c r="L796" s="1985"/>
      <c r="M796" s="1985"/>
      <c r="N796" s="1985"/>
      <c r="O796" s="1985"/>
      <c r="P796" s="1985"/>
      <c r="Q796" s="1985"/>
      <c r="R796" s="1985"/>
      <c r="S796" s="1985"/>
      <c r="T796" s="1985"/>
      <c r="U796" s="1585"/>
    </row>
    <row r="797" spans="1:21" s="1645" customFormat="1" ht="15.75" thickBot="1" x14ac:dyDescent="0.3">
      <c r="A797" s="543"/>
      <c r="B797" s="1948" t="s">
        <v>2149</v>
      </c>
      <c r="C797" s="1935"/>
      <c r="D797" s="1935"/>
      <c r="E797" s="1935"/>
      <c r="F797" s="1935"/>
      <c r="G797" s="1935"/>
      <c r="H797" s="1935"/>
      <c r="I797" s="1935"/>
      <c r="J797" s="1935"/>
      <c r="K797" s="1935"/>
      <c r="L797" s="1935"/>
      <c r="M797" s="1935"/>
      <c r="N797" s="1935"/>
      <c r="O797" s="1935"/>
      <c r="P797" s="1935"/>
      <c r="Q797" s="1935"/>
      <c r="R797" s="1935"/>
      <c r="S797" s="1935"/>
      <c r="T797" s="1935"/>
      <c r="U797" s="1936"/>
    </row>
    <row r="798" spans="1:21" s="1645" customFormat="1" ht="15.75" thickBot="1" x14ac:dyDescent="0.3">
      <c r="A798" s="543"/>
      <c r="B798" s="1974"/>
      <c r="C798" s="1974"/>
      <c r="D798" s="1647"/>
      <c r="E798" s="1974"/>
      <c r="F798" s="1974"/>
      <c r="G798" s="1974"/>
      <c r="H798" s="1974"/>
      <c r="I798" s="1974"/>
      <c r="J798" s="1974"/>
      <c r="K798" s="1974"/>
      <c r="L798" s="1974"/>
      <c r="M798" s="1974"/>
      <c r="N798" s="1974"/>
      <c r="O798" s="1974"/>
      <c r="P798" s="1974"/>
      <c r="Q798" s="1974"/>
      <c r="R798" s="1974"/>
      <c r="S798" s="1974"/>
      <c r="T798" s="1974"/>
      <c r="U798" s="1585"/>
    </row>
    <row r="799" spans="1:21" s="1645" customFormat="1" ht="30.75" thickBot="1" x14ac:dyDescent="0.3">
      <c r="A799" s="543"/>
      <c r="B799" s="1646"/>
      <c r="C799" s="1588" t="s">
        <v>1383</v>
      </c>
      <c r="D799" s="1975" t="s">
        <v>2141</v>
      </c>
      <c r="E799" s="1976"/>
      <c r="F799" s="1977"/>
      <c r="G799" s="1978"/>
      <c r="H799" s="997" t="s">
        <v>1380</v>
      </c>
      <c r="I799" s="1647"/>
      <c r="J799" s="997" t="s">
        <v>1381</v>
      </c>
      <c r="K799" s="1647"/>
      <c r="L799" s="997" t="s">
        <v>1397</v>
      </c>
      <c r="M799" s="1647"/>
      <c r="N799" s="997" t="s">
        <v>1382</v>
      </c>
      <c r="O799" s="1979"/>
      <c r="P799" s="1980"/>
      <c r="Q799" s="1647"/>
      <c r="R799" s="997" t="s">
        <v>1487</v>
      </c>
      <c r="S799" s="1647"/>
      <c r="T799" s="997" t="s">
        <v>1488</v>
      </c>
      <c r="U799" s="1585"/>
    </row>
    <row r="800" spans="1:21" s="1645" customFormat="1" ht="15.75" thickBot="1" x14ac:dyDescent="0.3">
      <c r="A800" s="543"/>
      <c r="B800" s="1977"/>
      <c r="C800" s="1977"/>
      <c r="D800" s="1646"/>
      <c r="E800" s="1977"/>
      <c r="F800" s="1977"/>
      <c r="G800" s="1646"/>
      <c r="H800" s="871"/>
      <c r="I800" s="1647"/>
      <c r="J800" s="1643"/>
      <c r="K800" s="1647"/>
      <c r="L800" s="1644"/>
      <c r="M800" s="1647"/>
      <c r="N800" s="1589"/>
      <c r="O800" s="1979"/>
      <c r="P800" s="1980"/>
      <c r="Q800" s="1647"/>
      <c r="R800" s="998" t="s">
        <v>1490</v>
      </c>
      <c r="S800" s="1647"/>
      <c r="T800" s="998" t="s">
        <v>648</v>
      </c>
      <c r="U800" s="1585"/>
    </row>
    <row r="801" spans="1:21" s="1645" customFormat="1" ht="30.75" thickBot="1" x14ac:dyDescent="0.3">
      <c r="A801" s="543"/>
      <c r="B801" s="1646"/>
      <c r="C801" s="1588" t="s">
        <v>1491</v>
      </c>
      <c r="D801" s="1981">
        <v>5203</v>
      </c>
      <c r="E801" s="1982"/>
      <c r="F801" s="1977"/>
      <c r="G801" s="1977"/>
      <c r="H801" s="1646"/>
      <c r="I801" s="1980"/>
      <c r="J801" s="1980"/>
      <c r="K801" s="1980"/>
      <c r="L801" s="1980"/>
      <c r="M801" s="1980"/>
      <c r="N801" s="1980"/>
      <c r="O801" s="1980"/>
      <c r="P801" s="1980"/>
      <c r="Q801" s="1980"/>
      <c r="R801" s="1980"/>
      <c r="S801" s="1980"/>
      <c r="T801" s="1980"/>
      <c r="U801" s="1585"/>
    </row>
    <row r="802" spans="1:21" s="1645" customFormat="1" ht="15.75" thickBot="1" x14ac:dyDescent="0.3">
      <c r="A802" s="543"/>
      <c r="B802" s="1977"/>
      <c r="C802" s="1977"/>
      <c r="D802" s="1646"/>
      <c r="E802" s="1977"/>
      <c r="F802" s="1977"/>
      <c r="G802" s="1646"/>
      <c r="H802" s="997" t="s">
        <v>1389</v>
      </c>
      <c r="I802" s="1979"/>
      <c r="J802" s="1980"/>
      <c r="K802" s="1980"/>
      <c r="L802" s="1980"/>
      <c r="M802" s="1980"/>
      <c r="N802" s="1980"/>
      <c r="O802" s="1980"/>
      <c r="P802" s="1980"/>
      <c r="Q802" s="1980"/>
      <c r="R802" s="1980"/>
      <c r="S802" s="1980"/>
      <c r="T802" s="1980"/>
      <c r="U802" s="1585"/>
    </row>
    <row r="803" spans="1:21" s="1645" customFormat="1" ht="15.75" thickBot="1" x14ac:dyDescent="0.3">
      <c r="A803" s="543"/>
      <c r="B803" s="1646"/>
      <c r="C803" s="1588" t="s">
        <v>1385</v>
      </c>
      <c r="D803" s="1983" t="str">
        <f>AA40</f>
        <v/>
      </c>
      <c r="E803" s="1984"/>
      <c r="F803" s="1977"/>
      <c r="G803" s="1978"/>
      <c r="H803" s="1660"/>
      <c r="I803" s="1979"/>
      <c r="J803" s="1980"/>
      <c r="K803" s="1980"/>
      <c r="L803" s="1980"/>
      <c r="M803" s="1980"/>
      <c r="N803" s="1980"/>
      <c r="O803" s="1980"/>
      <c r="P803" s="1980"/>
      <c r="Q803" s="1980"/>
      <c r="R803" s="1980"/>
      <c r="S803" s="1980"/>
      <c r="T803" s="1980"/>
      <c r="U803" s="1585"/>
    </row>
    <row r="804" spans="1:21" s="1645" customFormat="1" ht="15.75" thickBot="1" x14ac:dyDescent="0.3">
      <c r="A804" s="543"/>
      <c r="B804" s="1977"/>
      <c r="C804" s="1977"/>
      <c r="D804" s="1646"/>
      <c r="E804" s="1977"/>
      <c r="F804" s="1977"/>
      <c r="G804" s="1977"/>
      <c r="H804" s="1977"/>
      <c r="I804" s="1980"/>
      <c r="J804" s="1980"/>
      <c r="K804" s="1980"/>
      <c r="L804" s="1980"/>
      <c r="M804" s="1980"/>
      <c r="N804" s="1980"/>
      <c r="O804" s="1980"/>
      <c r="P804" s="1980"/>
      <c r="Q804" s="1980"/>
      <c r="R804" s="1980"/>
      <c r="S804" s="1980"/>
      <c r="T804" s="1980"/>
      <c r="U804" s="1585"/>
    </row>
    <row r="805" spans="1:21" s="1645" customFormat="1" ht="15.75" thickBot="1" x14ac:dyDescent="0.3">
      <c r="A805" s="543"/>
      <c r="B805" s="1646"/>
      <c r="C805" s="1588" t="s">
        <v>1386</v>
      </c>
      <c r="D805" s="1983" t="str">
        <f>AB40</f>
        <v/>
      </c>
      <c r="E805" s="1984"/>
      <c r="F805" s="1977"/>
      <c r="G805" s="1977"/>
      <c r="H805" s="1646"/>
      <c r="I805" s="1980"/>
      <c r="J805" s="1980"/>
      <c r="K805" s="1980"/>
      <c r="L805" s="1980"/>
      <c r="M805" s="1980"/>
      <c r="N805" s="1980"/>
      <c r="O805" s="1980"/>
      <c r="P805" s="1980"/>
      <c r="Q805" s="1980"/>
      <c r="R805" s="1980"/>
      <c r="S805" s="1647"/>
      <c r="T805" s="997" t="s">
        <v>1599</v>
      </c>
      <c r="U805" s="1585"/>
    </row>
    <row r="806" spans="1:21" s="1645" customFormat="1" ht="15.75" thickBot="1" x14ac:dyDescent="0.3">
      <c r="A806" s="543"/>
      <c r="B806" s="1977"/>
      <c r="C806" s="1977"/>
      <c r="D806" s="1646"/>
      <c r="E806" s="1977"/>
      <c r="F806" s="1977"/>
      <c r="G806" s="1977"/>
      <c r="H806" s="1977"/>
      <c r="I806" s="1980"/>
      <c r="J806" s="1980"/>
      <c r="K806" s="1980"/>
      <c r="L806" s="1980"/>
      <c r="M806" s="1980"/>
      <c r="N806" s="1980"/>
      <c r="O806" s="1980"/>
      <c r="P806" s="1980"/>
      <c r="Q806" s="1980"/>
      <c r="R806" s="1980"/>
      <c r="S806" s="1647"/>
      <c r="T806" s="998" t="s">
        <v>646</v>
      </c>
      <c r="U806" s="1585"/>
    </row>
    <row r="807" spans="1:21" s="1645" customFormat="1" ht="30.75" thickBot="1" x14ac:dyDescent="0.3">
      <c r="A807" s="543"/>
      <c r="B807" s="1646"/>
      <c r="C807" s="1590" t="s">
        <v>1495</v>
      </c>
      <c r="D807" s="1986" t="s">
        <v>646</v>
      </c>
      <c r="E807" s="1987"/>
      <c r="F807" s="1988"/>
      <c r="G807" s="1977"/>
      <c r="H807" s="1646"/>
      <c r="I807" s="1980"/>
      <c r="J807" s="1980"/>
      <c r="K807" s="1980"/>
      <c r="L807" s="1980"/>
      <c r="M807" s="1980"/>
      <c r="N807" s="1980"/>
      <c r="O807" s="1980"/>
      <c r="P807" s="1980"/>
      <c r="Q807" s="1980"/>
      <c r="R807" s="1980"/>
      <c r="S807" s="1980"/>
      <c r="T807" s="1980"/>
      <c r="U807" s="1585"/>
    </row>
    <row r="808" spans="1:21" s="1645" customFormat="1" ht="15.75" thickBot="1" x14ac:dyDescent="0.3">
      <c r="A808" s="543"/>
      <c r="B808" s="1977"/>
      <c r="C808" s="1977"/>
      <c r="D808" s="1646"/>
      <c r="E808" s="1977"/>
      <c r="F808" s="1977"/>
      <c r="G808" s="1977"/>
      <c r="H808" s="1977"/>
      <c r="I808" s="1980"/>
      <c r="J808" s="1980"/>
      <c r="K808" s="1980"/>
      <c r="L808" s="1980"/>
      <c r="M808" s="1980"/>
      <c r="N808" s="1980"/>
      <c r="O808" s="1980"/>
      <c r="P808" s="1980"/>
      <c r="Q808" s="1980"/>
      <c r="R808" s="1980"/>
      <c r="S808" s="1647"/>
      <c r="T808" s="997" t="s">
        <v>523</v>
      </c>
      <c r="U808" s="1585"/>
    </row>
    <row r="809" spans="1:21" s="1645" customFormat="1" ht="15.75" thickBot="1" x14ac:dyDescent="0.3">
      <c r="A809" s="543"/>
      <c r="B809" s="1646"/>
      <c r="C809" s="1588" t="s">
        <v>1496</v>
      </c>
      <c r="D809" s="1981" t="s">
        <v>1497</v>
      </c>
      <c r="E809" s="1982"/>
      <c r="F809" s="1977"/>
      <c r="G809" s="1977"/>
      <c r="H809" s="1646"/>
      <c r="I809" s="1980"/>
      <c r="J809" s="1980"/>
      <c r="K809" s="1980"/>
      <c r="L809" s="1980"/>
      <c r="M809" s="1980"/>
      <c r="N809" s="1980"/>
      <c r="O809" s="1980"/>
      <c r="P809" s="1980"/>
      <c r="Q809" s="1980"/>
      <c r="R809" s="1980"/>
      <c r="S809" s="1647"/>
      <c r="T809" s="998" t="str">
        <f>Incentives!E451</f>
        <v>No</v>
      </c>
      <c r="U809" s="1585"/>
    </row>
    <row r="810" spans="1:21" s="1645" customFormat="1" ht="15.75" thickBot="1" x14ac:dyDescent="0.3">
      <c r="A810" s="543"/>
      <c r="B810" s="1985"/>
      <c r="C810" s="1985"/>
      <c r="D810" s="1647"/>
      <c r="E810" s="1985"/>
      <c r="F810" s="1985"/>
      <c r="G810" s="1985"/>
      <c r="H810" s="1985"/>
      <c r="I810" s="1985"/>
      <c r="J810" s="1985"/>
      <c r="K810" s="1985"/>
      <c r="L810" s="1985"/>
      <c r="M810" s="1985"/>
      <c r="N810" s="1985"/>
      <c r="O810" s="1985"/>
      <c r="P810" s="1985"/>
      <c r="Q810" s="1985"/>
      <c r="R810" s="1985"/>
      <c r="S810" s="1985"/>
      <c r="T810" s="1985"/>
      <c r="U810" s="1585"/>
    </row>
    <row r="811" spans="1:21" s="1645" customFormat="1" ht="15.75" thickBot="1" x14ac:dyDescent="0.3">
      <c r="A811" s="543"/>
      <c r="B811" s="1948" t="s">
        <v>2150</v>
      </c>
      <c r="C811" s="1935"/>
      <c r="D811" s="1935"/>
      <c r="E811" s="1935"/>
      <c r="F811" s="1935"/>
      <c r="G811" s="1935"/>
      <c r="H811" s="1935"/>
      <c r="I811" s="1935"/>
      <c r="J811" s="1935"/>
      <c r="K811" s="1935"/>
      <c r="L811" s="1935"/>
      <c r="M811" s="1935"/>
      <c r="N811" s="1935"/>
      <c r="O811" s="1935"/>
      <c r="P811" s="1935"/>
      <c r="Q811" s="1935"/>
      <c r="R811" s="1935"/>
      <c r="S811" s="1935"/>
      <c r="T811" s="1935"/>
      <c r="U811" s="1936"/>
    </row>
    <row r="812" spans="1:21" s="1645" customFormat="1" ht="15.75" thickBot="1" x14ac:dyDescent="0.3">
      <c r="A812" s="543"/>
      <c r="B812" s="1974"/>
      <c r="C812" s="1974"/>
      <c r="D812" s="1647"/>
      <c r="E812" s="1974"/>
      <c r="F812" s="1974"/>
      <c r="G812" s="1974"/>
      <c r="H812" s="1974"/>
      <c r="I812" s="1974"/>
      <c r="J812" s="1974"/>
      <c r="K812" s="1974"/>
      <c r="L812" s="1974"/>
      <c r="M812" s="1974"/>
      <c r="N812" s="1974"/>
      <c r="O812" s="1974"/>
      <c r="P812" s="1974"/>
      <c r="Q812" s="1974"/>
      <c r="R812" s="1974"/>
      <c r="S812" s="1974"/>
      <c r="T812" s="1974"/>
      <c r="U812" s="1585"/>
    </row>
    <row r="813" spans="1:21" s="1645" customFormat="1" ht="30.75" thickBot="1" x14ac:dyDescent="0.3">
      <c r="A813" s="543"/>
      <c r="B813" s="1646"/>
      <c r="C813" s="1588" t="s">
        <v>1383</v>
      </c>
      <c r="D813" s="1975" t="s">
        <v>2141</v>
      </c>
      <c r="E813" s="1976"/>
      <c r="F813" s="1977"/>
      <c r="G813" s="1978"/>
      <c r="H813" s="997" t="s">
        <v>1380</v>
      </c>
      <c r="I813" s="1647"/>
      <c r="J813" s="997" t="s">
        <v>1381</v>
      </c>
      <c r="K813" s="1647"/>
      <c r="L813" s="997" t="s">
        <v>1397</v>
      </c>
      <c r="M813" s="1647"/>
      <c r="N813" s="997" t="s">
        <v>1382</v>
      </c>
      <c r="O813" s="1979"/>
      <c r="P813" s="1980"/>
      <c r="Q813" s="1647"/>
      <c r="R813" s="997" t="s">
        <v>1487</v>
      </c>
      <c r="S813" s="1647"/>
      <c r="T813" s="997" t="s">
        <v>1488</v>
      </c>
      <c r="U813" s="1585"/>
    </row>
    <row r="814" spans="1:21" s="1645" customFormat="1" ht="15.75" thickBot="1" x14ac:dyDescent="0.3">
      <c r="A814" s="543"/>
      <c r="B814" s="1977"/>
      <c r="C814" s="1977"/>
      <c r="D814" s="1646"/>
      <c r="E814" s="1977"/>
      <c r="F814" s="1977"/>
      <c r="G814" s="1646"/>
      <c r="H814" s="871"/>
      <c r="I814" s="1647"/>
      <c r="J814" s="1643"/>
      <c r="K814" s="1647"/>
      <c r="L814" s="1644"/>
      <c r="M814" s="1647"/>
      <c r="N814" s="1589"/>
      <c r="O814" s="1979"/>
      <c r="P814" s="1980"/>
      <c r="Q814" s="1647"/>
      <c r="R814" s="998" t="s">
        <v>1490</v>
      </c>
      <c r="S814" s="1647"/>
      <c r="T814" s="998" t="s">
        <v>648</v>
      </c>
      <c r="U814" s="1585"/>
    </row>
    <row r="815" spans="1:21" s="1645" customFormat="1" ht="30.75" thickBot="1" x14ac:dyDescent="0.3">
      <c r="A815" s="543"/>
      <c r="B815" s="1646"/>
      <c r="C815" s="1588" t="s">
        <v>1491</v>
      </c>
      <c r="D815" s="1981">
        <v>5204</v>
      </c>
      <c r="E815" s="1982"/>
      <c r="F815" s="1977"/>
      <c r="G815" s="1977"/>
      <c r="H815" s="1646"/>
      <c r="I815" s="1980"/>
      <c r="J815" s="1980"/>
      <c r="K815" s="1980"/>
      <c r="L815" s="1980"/>
      <c r="M815" s="1980"/>
      <c r="N815" s="1980"/>
      <c r="O815" s="1980"/>
      <c r="P815" s="1980"/>
      <c r="Q815" s="1980"/>
      <c r="R815" s="1980"/>
      <c r="S815" s="1980"/>
      <c r="T815" s="1980"/>
      <c r="U815" s="1585"/>
    </row>
    <row r="816" spans="1:21" s="1645" customFormat="1" ht="15.75" thickBot="1" x14ac:dyDescent="0.3">
      <c r="A816" s="543"/>
      <c r="B816" s="1977"/>
      <c r="C816" s="1977"/>
      <c r="D816" s="1646"/>
      <c r="E816" s="1977"/>
      <c r="F816" s="1977"/>
      <c r="G816" s="1646"/>
      <c r="H816" s="997" t="s">
        <v>1389</v>
      </c>
      <c r="I816" s="1979"/>
      <c r="J816" s="1980"/>
      <c r="K816" s="1980"/>
      <c r="L816" s="1980"/>
      <c r="M816" s="1980"/>
      <c r="N816" s="1980"/>
      <c r="O816" s="1980"/>
      <c r="P816" s="1980"/>
      <c r="Q816" s="1980"/>
      <c r="R816" s="1980"/>
      <c r="S816" s="1980"/>
      <c r="T816" s="1980"/>
      <c r="U816" s="1585"/>
    </row>
    <row r="817" spans="1:21" s="1645" customFormat="1" ht="15.75" thickBot="1" x14ac:dyDescent="0.3">
      <c r="A817" s="543"/>
      <c r="B817" s="1646"/>
      <c r="C817" s="1588" t="s">
        <v>1385</v>
      </c>
      <c r="D817" s="1983" t="str">
        <f>AA41</f>
        <v/>
      </c>
      <c r="E817" s="1984"/>
      <c r="F817" s="1977"/>
      <c r="G817" s="1978"/>
      <c r="H817" s="1660"/>
      <c r="I817" s="1979"/>
      <c r="J817" s="1980"/>
      <c r="K817" s="1980"/>
      <c r="L817" s="1980"/>
      <c r="M817" s="1980"/>
      <c r="N817" s="1980"/>
      <c r="O817" s="1980"/>
      <c r="P817" s="1980"/>
      <c r="Q817" s="1980"/>
      <c r="R817" s="1980"/>
      <c r="S817" s="1980"/>
      <c r="T817" s="1980"/>
      <c r="U817" s="1585"/>
    </row>
    <row r="818" spans="1:21" s="1645" customFormat="1" ht="15.75" thickBot="1" x14ac:dyDescent="0.3">
      <c r="A818" s="543"/>
      <c r="B818" s="1977"/>
      <c r="C818" s="1977"/>
      <c r="D818" s="1646"/>
      <c r="E818" s="1977"/>
      <c r="F818" s="1977"/>
      <c r="G818" s="1977"/>
      <c r="H818" s="1977"/>
      <c r="I818" s="1980"/>
      <c r="J818" s="1980"/>
      <c r="K818" s="1980"/>
      <c r="L818" s="1980"/>
      <c r="M818" s="1980"/>
      <c r="N818" s="1980"/>
      <c r="O818" s="1980"/>
      <c r="P818" s="1980"/>
      <c r="Q818" s="1980"/>
      <c r="R818" s="1980"/>
      <c r="S818" s="1980"/>
      <c r="T818" s="1980"/>
      <c r="U818" s="1585"/>
    </row>
    <row r="819" spans="1:21" s="1645" customFormat="1" ht="15.75" thickBot="1" x14ac:dyDescent="0.3">
      <c r="A819" s="543"/>
      <c r="B819" s="1646"/>
      <c r="C819" s="1588" t="s">
        <v>1386</v>
      </c>
      <c r="D819" s="1983" t="str">
        <f>AB41</f>
        <v/>
      </c>
      <c r="E819" s="1984"/>
      <c r="F819" s="1977"/>
      <c r="G819" s="1977"/>
      <c r="H819" s="1646"/>
      <c r="I819" s="1980"/>
      <c r="J819" s="1980"/>
      <c r="K819" s="1980"/>
      <c r="L819" s="1980"/>
      <c r="M819" s="1980"/>
      <c r="N819" s="1980"/>
      <c r="O819" s="1980"/>
      <c r="P819" s="1980"/>
      <c r="Q819" s="1980"/>
      <c r="R819" s="1980"/>
      <c r="S819" s="1647"/>
      <c r="T819" s="997" t="s">
        <v>1599</v>
      </c>
      <c r="U819" s="1585"/>
    </row>
    <row r="820" spans="1:21" s="1645" customFormat="1" ht="15.75" thickBot="1" x14ac:dyDescent="0.3">
      <c r="A820" s="543"/>
      <c r="B820" s="1977"/>
      <c r="C820" s="1977"/>
      <c r="D820" s="1646"/>
      <c r="E820" s="1977"/>
      <c r="F820" s="1977"/>
      <c r="G820" s="1977"/>
      <c r="H820" s="1977"/>
      <c r="I820" s="1980"/>
      <c r="J820" s="1980"/>
      <c r="K820" s="1980"/>
      <c r="L820" s="1980"/>
      <c r="M820" s="1980"/>
      <c r="N820" s="1980"/>
      <c r="O820" s="1980"/>
      <c r="P820" s="1980"/>
      <c r="Q820" s="1980"/>
      <c r="R820" s="1980"/>
      <c r="S820" s="1647"/>
      <c r="T820" s="998" t="s">
        <v>646</v>
      </c>
      <c r="U820" s="1585"/>
    </row>
    <row r="821" spans="1:21" s="1645" customFormat="1" ht="30.75" thickBot="1" x14ac:dyDescent="0.3">
      <c r="A821" s="543"/>
      <c r="B821" s="1646"/>
      <c r="C821" s="1590" t="s">
        <v>1495</v>
      </c>
      <c r="D821" s="1986" t="s">
        <v>646</v>
      </c>
      <c r="E821" s="1987"/>
      <c r="F821" s="1988"/>
      <c r="G821" s="1977"/>
      <c r="H821" s="1646"/>
      <c r="I821" s="1980"/>
      <c r="J821" s="1980"/>
      <c r="K821" s="1980"/>
      <c r="L821" s="1980"/>
      <c r="M821" s="1980"/>
      <c r="N821" s="1980"/>
      <c r="O821" s="1980"/>
      <c r="P821" s="1980"/>
      <c r="Q821" s="1980"/>
      <c r="R821" s="1980"/>
      <c r="S821" s="1980"/>
      <c r="T821" s="1980"/>
      <c r="U821" s="1585"/>
    </row>
    <row r="822" spans="1:21" s="1645" customFormat="1" ht="15.75" thickBot="1" x14ac:dyDescent="0.3">
      <c r="A822" s="543"/>
      <c r="B822" s="1977"/>
      <c r="C822" s="1977"/>
      <c r="D822" s="1646"/>
      <c r="E822" s="1977"/>
      <c r="F822" s="1977"/>
      <c r="G822" s="1977"/>
      <c r="H822" s="1977"/>
      <c r="I822" s="1980"/>
      <c r="J822" s="1980"/>
      <c r="K822" s="1980"/>
      <c r="L822" s="1980"/>
      <c r="M822" s="1980"/>
      <c r="N822" s="1980"/>
      <c r="O822" s="1980"/>
      <c r="P822" s="1980"/>
      <c r="Q822" s="1980"/>
      <c r="R822" s="1980"/>
      <c r="S822" s="1647"/>
      <c r="T822" s="997" t="s">
        <v>523</v>
      </c>
      <c r="U822" s="1585"/>
    </row>
    <row r="823" spans="1:21" s="1645" customFormat="1" ht="15.75" thickBot="1" x14ac:dyDescent="0.3">
      <c r="A823" s="543"/>
      <c r="B823" s="1646"/>
      <c r="C823" s="1588" t="s">
        <v>1496</v>
      </c>
      <c r="D823" s="1981" t="s">
        <v>1497</v>
      </c>
      <c r="E823" s="1982"/>
      <c r="F823" s="1977"/>
      <c r="G823" s="1977"/>
      <c r="H823" s="1646"/>
      <c r="I823" s="1980"/>
      <c r="J823" s="1980"/>
      <c r="K823" s="1980"/>
      <c r="L823" s="1980"/>
      <c r="M823" s="1980"/>
      <c r="N823" s="1980"/>
      <c r="O823" s="1980"/>
      <c r="P823" s="1980"/>
      <c r="Q823" s="1980"/>
      <c r="R823" s="1980"/>
      <c r="S823" s="1647"/>
      <c r="T823" s="998" t="str">
        <f>Incentives!E459</f>
        <v>No</v>
      </c>
      <c r="U823" s="1585"/>
    </row>
    <row r="824" spans="1:21" s="1645" customFormat="1" ht="15.75" thickBot="1" x14ac:dyDescent="0.3">
      <c r="A824" s="543"/>
      <c r="B824" s="1985"/>
      <c r="C824" s="1985"/>
      <c r="D824" s="1647"/>
      <c r="E824" s="1985"/>
      <c r="F824" s="1985"/>
      <c r="G824" s="1985"/>
      <c r="H824" s="1985"/>
      <c r="I824" s="1985"/>
      <c r="J824" s="1985"/>
      <c r="K824" s="1985"/>
      <c r="L824" s="1985"/>
      <c r="M824" s="1985"/>
      <c r="N824" s="1985"/>
      <c r="O824" s="1985"/>
      <c r="P824" s="1985"/>
      <c r="Q824" s="1985"/>
      <c r="R824" s="1985"/>
      <c r="S824" s="1985"/>
      <c r="T824" s="1985"/>
      <c r="U824" s="1585"/>
    </row>
    <row r="825" spans="1:21" s="1645" customFormat="1" ht="15.75" thickBot="1" x14ac:dyDescent="0.3">
      <c r="A825" s="543"/>
      <c r="B825" s="1948" t="s">
        <v>2151</v>
      </c>
      <c r="C825" s="1935"/>
      <c r="D825" s="1935"/>
      <c r="E825" s="1935"/>
      <c r="F825" s="1935"/>
      <c r="G825" s="1935"/>
      <c r="H825" s="1935"/>
      <c r="I825" s="1935"/>
      <c r="J825" s="1935"/>
      <c r="K825" s="1935"/>
      <c r="L825" s="1935"/>
      <c r="M825" s="1935"/>
      <c r="N825" s="1935"/>
      <c r="O825" s="1935"/>
      <c r="P825" s="1935"/>
      <c r="Q825" s="1935"/>
      <c r="R825" s="1935"/>
      <c r="S825" s="1935"/>
      <c r="T825" s="1935"/>
      <c r="U825" s="1936"/>
    </row>
    <row r="826" spans="1:21" s="1645" customFormat="1" ht="15.75" thickBot="1" x14ac:dyDescent="0.3">
      <c r="A826" s="543"/>
      <c r="B826" s="1974"/>
      <c r="C826" s="1974"/>
      <c r="D826" s="1647"/>
      <c r="E826" s="1974"/>
      <c r="F826" s="1974"/>
      <c r="G826" s="1974"/>
      <c r="H826" s="1974"/>
      <c r="I826" s="1974"/>
      <c r="J826" s="1974"/>
      <c r="K826" s="1974"/>
      <c r="L826" s="1974"/>
      <c r="M826" s="1974"/>
      <c r="N826" s="1974"/>
      <c r="O826" s="1974"/>
      <c r="P826" s="1974"/>
      <c r="Q826" s="1974"/>
      <c r="R826" s="1974"/>
      <c r="S826" s="1974"/>
      <c r="T826" s="1974"/>
      <c r="U826" s="1585"/>
    </row>
    <row r="827" spans="1:21" s="1645" customFormat="1" ht="30.75" thickBot="1" x14ac:dyDescent="0.3">
      <c r="A827" s="543"/>
      <c r="B827" s="1646"/>
      <c r="C827" s="1588" t="s">
        <v>1383</v>
      </c>
      <c r="D827" s="1975" t="s">
        <v>2141</v>
      </c>
      <c r="E827" s="1976"/>
      <c r="F827" s="1977"/>
      <c r="G827" s="1978"/>
      <c r="H827" s="997" t="s">
        <v>1380</v>
      </c>
      <c r="I827" s="1647"/>
      <c r="J827" s="997" t="s">
        <v>1381</v>
      </c>
      <c r="K827" s="1647"/>
      <c r="L827" s="997" t="s">
        <v>1397</v>
      </c>
      <c r="M827" s="1647"/>
      <c r="N827" s="997" t="s">
        <v>1382</v>
      </c>
      <c r="O827" s="1979"/>
      <c r="P827" s="1980"/>
      <c r="Q827" s="1647"/>
      <c r="R827" s="997" t="s">
        <v>1487</v>
      </c>
      <c r="S827" s="1647"/>
      <c r="T827" s="997" t="s">
        <v>1488</v>
      </c>
      <c r="U827" s="1585"/>
    </row>
    <row r="828" spans="1:21" s="1645" customFormat="1" ht="15.75" thickBot="1" x14ac:dyDescent="0.3">
      <c r="A828" s="543"/>
      <c r="B828" s="1977"/>
      <c r="C828" s="1977"/>
      <c r="D828" s="1646"/>
      <c r="E828" s="1977"/>
      <c r="F828" s="1977"/>
      <c r="G828" s="1646"/>
      <c r="H828" s="871"/>
      <c r="I828" s="1647"/>
      <c r="J828" s="1643"/>
      <c r="K828" s="1647"/>
      <c r="L828" s="1644"/>
      <c r="M828" s="1647"/>
      <c r="N828" s="1589"/>
      <c r="O828" s="1979"/>
      <c r="P828" s="1980"/>
      <c r="Q828" s="1647"/>
      <c r="R828" s="998" t="s">
        <v>1490</v>
      </c>
      <c r="S828" s="1647"/>
      <c r="T828" s="998" t="s">
        <v>648</v>
      </c>
      <c r="U828" s="1585"/>
    </row>
    <row r="829" spans="1:21" s="1645" customFormat="1" ht="30.75" thickBot="1" x14ac:dyDescent="0.3">
      <c r="A829" s="543"/>
      <c r="B829" s="1646"/>
      <c r="C829" s="1588" t="s">
        <v>1491</v>
      </c>
      <c r="D829" s="1981">
        <v>5205</v>
      </c>
      <c r="E829" s="1982"/>
      <c r="F829" s="1977"/>
      <c r="G829" s="1977"/>
      <c r="H829" s="1646"/>
      <c r="I829" s="1980"/>
      <c r="J829" s="1980"/>
      <c r="K829" s="1980"/>
      <c r="L829" s="1980"/>
      <c r="M829" s="1980"/>
      <c r="N829" s="1980"/>
      <c r="O829" s="1980"/>
      <c r="P829" s="1980"/>
      <c r="Q829" s="1980"/>
      <c r="R829" s="1980"/>
      <c r="S829" s="1980"/>
      <c r="T829" s="1980"/>
      <c r="U829" s="1585"/>
    </row>
    <row r="830" spans="1:21" s="1645" customFormat="1" ht="15.75" thickBot="1" x14ac:dyDescent="0.3">
      <c r="A830" s="543"/>
      <c r="B830" s="1977"/>
      <c r="C830" s="1977"/>
      <c r="D830" s="1646"/>
      <c r="E830" s="1977"/>
      <c r="F830" s="1977"/>
      <c r="G830" s="1646"/>
      <c r="H830" s="997" t="s">
        <v>1389</v>
      </c>
      <c r="I830" s="1979"/>
      <c r="J830" s="1980"/>
      <c r="K830" s="1980"/>
      <c r="L830" s="1980"/>
      <c r="M830" s="1980"/>
      <c r="N830" s="1980"/>
      <c r="O830" s="1980"/>
      <c r="P830" s="1980"/>
      <c r="Q830" s="1980"/>
      <c r="R830" s="1980"/>
      <c r="S830" s="1980"/>
      <c r="T830" s="1980"/>
      <c r="U830" s="1585"/>
    </row>
    <row r="831" spans="1:21" s="1645" customFormat="1" ht="15.75" thickBot="1" x14ac:dyDescent="0.3">
      <c r="A831" s="543"/>
      <c r="B831" s="1646"/>
      <c r="C831" s="1588" t="s">
        <v>1385</v>
      </c>
      <c r="D831" s="1983" t="str">
        <f>AA42</f>
        <v/>
      </c>
      <c r="E831" s="1984"/>
      <c r="F831" s="1977"/>
      <c r="G831" s="1978"/>
      <c r="H831" s="1660"/>
      <c r="I831" s="1979"/>
      <c r="J831" s="1980"/>
      <c r="K831" s="1980"/>
      <c r="L831" s="1980"/>
      <c r="M831" s="1980"/>
      <c r="N831" s="1980"/>
      <c r="O831" s="1980"/>
      <c r="P831" s="1980"/>
      <c r="Q831" s="1980"/>
      <c r="R831" s="1980"/>
      <c r="S831" s="1980"/>
      <c r="T831" s="1980"/>
      <c r="U831" s="1585"/>
    </row>
    <row r="832" spans="1:21" s="1645" customFormat="1" ht="15.75" thickBot="1" x14ac:dyDescent="0.3">
      <c r="A832" s="543"/>
      <c r="B832" s="1977"/>
      <c r="C832" s="1977"/>
      <c r="D832" s="1646"/>
      <c r="E832" s="1977"/>
      <c r="F832" s="1977"/>
      <c r="G832" s="1977"/>
      <c r="H832" s="1977"/>
      <c r="I832" s="1980"/>
      <c r="J832" s="1980"/>
      <c r="K832" s="1980"/>
      <c r="L832" s="1980"/>
      <c r="M832" s="1980"/>
      <c r="N832" s="1980"/>
      <c r="O832" s="1980"/>
      <c r="P832" s="1980"/>
      <c r="Q832" s="1980"/>
      <c r="R832" s="1980"/>
      <c r="S832" s="1980"/>
      <c r="T832" s="1980"/>
      <c r="U832" s="1585"/>
    </row>
    <row r="833" spans="1:21" s="1645" customFormat="1" ht="15.75" thickBot="1" x14ac:dyDescent="0.3">
      <c r="A833" s="543"/>
      <c r="B833" s="1646"/>
      <c r="C833" s="1588" t="s">
        <v>1386</v>
      </c>
      <c r="D833" s="1983" t="str">
        <f>AB42</f>
        <v/>
      </c>
      <c r="E833" s="1984"/>
      <c r="F833" s="1977"/>
      <c r="G833" s="1977"/>
      <c r="H833" s="1646"/>
      <c r="I833" s="1980"/>
      <c r="J833" s="1980"/>
      <c r="K833" s="1980"/>
      <c r="L833" s="1980"/>
      <c r="M833" s="1980"/>
      <c r="N833" s="1980"/>
      <c r="O833" s="1980"/>
      <c r="P833" s="1980"/>
      <c r="Q833" s="1980"/>
      <c r="R833" s="1980"/>
      <c r="S833" s="1647"/>
      <c r="T833" s="997" t="s">
        <v>1599</v>
      </c>
      <c r="U833" s="1585"/>
    </row>
    <row r="834" spans="1:21" s="1645" customFormat="1" ht="15.75" thickBot="1" x14ac:dyDescent="0.3">
      <c r="A834" s="543"/>
      <c r="B834" s="1977"/>
      <c r="C834" s="1977"/>
      <c r="D834" s="1646"/>
      <c r="E834" s="1977"/>
      <c r="F834" s="1977"/>
      <c r="G834" s="1977"/>
      <c r="H834" s="1977"/>
      <c r="I834" s="1980"/>
      <c r="J834" s="1980"/>
      <c r="K834" s="1980"/>
      <c r="L834" s="1980"/>
      <c r="M834" s="1980"/>
      <c r="N834" s="1980"/>
      <c r="O834" s="1980"/>
      <c r="P834" s="1980"/>
      <c r="Q834" s="1980"/>
      <c r="R834" s="1980"/>
      <c r="S834" s="1647"/>
      <c r="T834" s="998" t="s">
        <v>646</v>
      </c>
      <c r="U834" s="1585"/>
    </row>
    <row r="835" spans="1:21" s="1645" customFormat="1" ht="30.75" thickBot="1" x14ac:dyDescent="0.3">
      <c r="A835" s="543"/>
      <c r="B835" s="1646"/>
      <c r="C835" s="1590" t="s">
        <v>1495</v>
      </c>
      <c r="D835" s="1986" t="s">
        <v>646</v>
      </c>
      <c r="E835" s="1987"/>
      <c r="F835" s="1988"/>
      <c r="G835" s="1977"/>
      <c r="H835" s="1646"/>
      <c r="I835" s="1980"/>
      <c r="J835" s="1980"/>
      <c r="K835" s="1980"/>
      <c r="L835" s="1980"/>
      <c r="M835" s="1980"/>
      <c r="N835" s="1980"/>
      <c r="O835" s="1980"/>
      <c r="P835" s="1980"/>
      <c r="Q835" s="1980"/>
      <c r="R835" s="1980"/>
      <c r="S835" s="1980"/>
      <c r="T835" s="1980"/>
      <c r="U835" s="1585"/>
    </row>
    <row r="836" spans="1:21" s="1645" customFormat="1" ht="15.75" thickBot="1" x14ac:dyDescent="0.3">
      <c r="A836" s="543"/>
      <c r="B836" s="1977"/>
      <c r="C836" s="1977"/>
      <c r="D836" s="1646"/>
      <c r="E836" s="1977"/>
      <c r="F836" s="1977"/>
      <c r="G836" s="1977"/>
      <c r="H836" s="1977"/>
      <c r="I836" s="1980"/>
      <c r="J836" s="1980"/>
      <c r="K836" s="1980"/>
      <c r="L836" s="1980"/>
      <c r="M836" s="1980"/>
      <c r="N836" s="1980"/>
      <c r="O836" s="1980"/>
      <c r="P836" s="1980"/>
      <c r="Q836" s="1980"/>
      <c r="R836" s="1980"/>
      <c r="S836" s="1647"/>
      <c r="T836" s="997" t="s">
        <v>523</v>
      </c>
      <c r="U836" s="1585"/>
    </row>
    <row r="837" spans="1:21" s="1645" customFormat="1" ht="15.75" thickBot="1" x14ac:dyDescent="0.3">
      <c r="A837" s="543"/>
      <c r="B837" s="1646"/>
      <c r="C837" s="1588" t="s">
        <v>1496</v>
      </c>
      <c r="D837" s="1981" t="s">
        <v>1497</v>
      </c>
      <c r="E837" s="1982"/>
      <c r="F837" s="1977"/>
      <c r="G837" s="1977"/>
      <c r="H837" s="1646"/>
      <c r="I837" s="1980"/>
      <c r="J837" s="1980"/>
      <c r="K837" s="1980"/>
      <c r="L837" s="1980"/>
      <c r="M837" s="1980"/>
      <c r="N837" s="1980"/>
      <c r="O837" s="1980"/>
      <c r="P837" s="1980"/>
      <c r="Q837" s="1980"/>
      <c r="R837" s="1980"/>
      <c r="S837" s="1647"/>
      <c r="T837" s="998" t="str">
        <f>Incentives!E467</f>
        <v>No</v>
      </c>
      <c r="U837" s="1585"/>
    </row>
    <row r="838" spans="1:21" s="1645" customFormat="1" ht="15.75" thickBot="1" x14ac:dyDescent="0.3">
      <c r="A838" s="543"/>
      <c r="B838" s="1985"/>
      <c r="C838" s="1985"/>
      <c r="D838" s="1647"/>
      <c r="E838" s="1985"/>
      <c r="F838" s="1985"/>
      <c r="G838" s="1985"/>
      <c r="H838" s="1985"/>
      <c r="I838" s="1985"/>
      <c r="J838" s="1985"/>
      <c r="K838" s="1985"/>
      <c r="L838" s="1985"/>
      <c r="M838" s="1985"/>
      <c r="N838" s="1985"/>
      <c r="O838" s="1985"/>
      <c r="P838" s="1985"/>
      <c r="Q838" s="1985"/>
      <c r="R838" s="1985"/>
      <c r="S838" s="1985"/>
      <c r="T838" s="1985"/>
      <c r="U838" s="1585"/>
    </row>
    <row r="839" spans="1:21" s="1645" customFormat="1" ht="15.75" thickBot="1" x14ac:dyDescent="0.3">
      <c r="A839" s="543"/>
      <c r="B839" s="1989"/>
      <c r="C839" s="1990"/>
      <c r="D839" s="1990"/>
      <c r="E839" s="1990"/>
      <c r="F839" s="1990"/>
      <c r="G839" s="1990"/>
      <c r="H839" s="1990"/>
      <c r="I839" s="1990"/>
      <c r="J839" s="1990"/>
      <c r="K839" s="1990"/>
      <c r="L839" s="1990"/>
      <c r="M839" s="1990"/>
      <c r="N839" s="1990"/>
      <c r="O839" s="1990"/>
      <c r="P839" s="1990"/>
      <c r="Q839" s="1990"/>
      <c r="R839" s="1990"/>
      <c r="S839" s="1990"/>
      <c r="T839" s="1990"/>
      <c r="U839" s="1990"/>
    </row>
    <row r="840" spans="1:21" x14ac:dyDescent="0.25">
      <c r="A840" s="543"/>
      <c r="B840" s="543"/>
      <c r="C840" s="543"/>
      <c r="D840" s="543"/>
      <c r="E840" s="543"/>
      <c r="F840" s="543"/>
      <c r="G840" s="961"/>
      <c r="H840" s="543"/>
      <c r="I840" s="543"/>
      <c r="J840" s="543"/>
      <c r="K840" s="543"/>
      <c r="L840" s="543"/>
      <c r="M840" s="543"/>
      <c r="N840" s="543"/>
      <c r="O840" s="543"/>
      <c r="P840" s="543"/>
      <c r="Q840" s="543"/>
      <c r="R840" s="543"/>
      <c r="S840" s="543"/>
      <c r="T840" s="543"/>
      <c r="U840" s="543"/>
    </row>
    <row r="841" spans="1:21" x14ac:dyDescent="0.25">
      <c r="A841" s="543"/>
      <c r="B841" s="543"/>
      <c r="C841" s="543"/>
      <c r="D841" s="543"/>
      <c r="E841" s="543"/>
      <c r="F841" s="543"/>
      <c r="G841" s="961"/>
      <c r="H841" s="543"/>
      <c r="I841" s="543"/>
      <c r="J841" s="543"/>
      <c r="K841" s="543"/>
      <c r="L841" s="543"/>
      <c r="M841" s="543"/>
      <c r="N841" s="543"/>
      <c r="O841" s="543"/>
      <c r="P841" s="543"/>
      <c r="Q841" s="543"/>
      <c r="R841" s="543"/>
      <c r="S841" s="543"/>
      <c r="T841" s="543"/>
      <c r="U841" s="543"/>
    </row>
    <row r="842" spans="1:21" x14ac:dyDescent="0.25">
      <c r="A842" s="543"/>
      <c r="B842" s="543"/>
      <c r="C842" s="543"/>
      <c r="D842" s="543"/>
      <c r="E842" s="543"/>
      <c r="F842" s="543"/>
      <c r="G842" s="961"/>
      <c r="H842" s="543"/>
      <c r="I842" s="543"/>
      <c r="J842" s="543"/>
      <c r="K842" s="543"/>
      <c r="L842" s="543"/>
      <c r="M842" s="543"/>
      <c r="N842" s="543"/>
      <c r="O842" s="543"/>
      <c r="P842" s="543"/>
      <c r="Q842" s="543"/>
      <c r="R842" s="543"/>
      <c r="S842" s="543"/>
      <c r="T842" s="543"/>
      <c r="U842" s="543"/>
    </row>
    <row r="843" spans="1:21" x14ac:dyDescent="0.25">
      <c r="A843" s="543"/>
      <c r="B843" s="543"/>
      <c r="C843" s="543"/>
      <c r="D843" s="543"/>
      <c r="E843" s="543"/>
      <c r="F843" s="543"/>
      <c r="G843" s="961"/>
      <c r="H843" s="543"/>
      <c r="I843" s="543"/>
      <c r="J843" s="543"/>
      <c r="K843" s="543"/>
      <c r="L843" s="543"/>
      <c r="M843" s="543"/>
      <c r="N843" s="543"/>
      <c r="O843" s="543"/>
      <c r="P843" s="543"/>
      <c r="Q843" s="543"/>
      <c r="R843" s="543"/>
      <c r="S843" s="543"/>
      <c r="T843" s="543"/>
      <c r="U843" s="543"/>
    </row>
    <row r="844" spans="1:21" x14ac:dyDescent="0.25">
      <c r="A844" s="543"/>
      <c r="B844" s="543"/>
      <c r="C844" s="543"/>
      <c r="D844" s="543"/>
      <c r="E844" s="543"/>
      <c r="F844" s="543"/>
      <c r="G844" s="961"/>
      <c r="H844" s="543"/>
      <c r="I844" s="543"/>
      <c r="J844" s="543"/>
      <c r="K844" s="543"/>
      <c r="L844" s="543"/>
      <c r="M844" s="543"/>
      <c r="N844" s="543"/>
      <c r="O844" s="543"/>
      <c r="P844" s="543"/>
      <c r="Q844" s="543"/>
      <c r="R844" s="543"/>
      <c r="S844" s="543"/>
      <c r="T844" s="543"/>
      <c r="U844" s="543"/>
    </row>
    <row r="845" spans="1:21" x14ac:dyDescent="0.25">
      <c r="A845" s="543"/>
      <c r="B845" s="543"/>
      <c r="C845" s="543"/>
      <c r="D845" s="543"/>
      <c r="E845" s="543"/>
      <c r="F845" s="543"/>
      <c r="G845" s="961"/>
      <c r="H845" s="543"/>
      <c r="I845" s="543"/>
      <c r="J845" s="543"/>
      <c r="K845" s="543"/>
      <c r="L845" s="543"/>
      <c r="M845" s="543"/>
      <c r="N845" s="543"/>
      <c r="O845" s="543"/>
      <c r="P845" s="543"/>
      <c r="Q845" s="543"/>
      <c r="R845" s="543"/>
      <c r="S845" s="543"/>
      <c r="T845" s="543"/>
      <c r="U845" s="543"/>
    </row>
    <row r="846" spans="1:21" x14ac:dyDescent="0.25">
      <c r="A846" s="543"/>
      <c r="B846" s="543"/>
      <c r="C846" s="543"/>
      <c r="D846" s="543"/>
      <c r="E846" s="543"/>
      <c r="F846" s="543"/>
      <c r="G846" s="961"/>
      <c r="H846" s="543"/>
      <c r="I846" s="543"/>
      <c r="J846" s="543"/>
      <c r="K846" s="543"/>
      <c r="L846" s="543"/>
      <c r="M846" s="543"/>
      <c r="N846" s="543"/>
      <c r="O846" s="543"/>
      <c r="P846" s="543"/>
      <c r="Q846" s="543"/>
      <c r="R846" s="543"/>
      <c r="S846" s="543"/>
      <c r="T846" s="543"/>
      <c r="U846" s="543"/>
    </row>
    <row r="847" spans="1:21" x14ac:dyDescent="0.25">
      <c r="A847" s="543"/>
      <c r="B847" s="543"/>
      <c r="C847" s="543"/>
      <c r="D847" s="543"/>
      <c r="E847" s="543"/>
      <c r="F847" s="543"/>
      <c r="G847" s="961"/>
      <c r="H847" s="543"/>
      <c r="I847" s="543"/>
      <c r="J847" s="543"/>
      <c r="K847" s="543"/>
      <c r="L847" s="543"/>
      <c r="M847" s="543"/>
      <c r="N847" s="543"/>
      <c r="O847" s="543"/>
      <c r="P847" s="543"/>
      <c r="Q847" s="543"/>
      <c r="R847" s="543"/>
      <c r="S847" s="543"/>
      <c r="T847" s="543"/>
      <c r="U847" s="543"/>
    </row>
    <row r="848" spans="1:21" x14ac:dyDescent="0.25">
      <c r="A848" s="543"/>
      <c r="B848" s="543"/>
      <c r="C848" s="543"/>
      <c r="D848" s="543"/>
      <c r="E848" s="543"/>
      <c r="F848" s="543"/>
      <c r="G848" s="961"/>
      <c r="H848" s="543"/>
      <c r="I848" s="543"/>
      <c r="J848" s="543"/>
      <c r="K848" s="543"/>
      <c r="L848" s="543"/>
      <c r="M848" s="543"/>
      <c r="N848" s="543"/>
      <c r="O848" s="543"/>
      <c r="P848" s="543"/>
      <c r="Q848" s="543"/>
      <c r="R848" s="543"/>
      <c r="S848" s="543"/>
      <c r="T848" s="543"/>
      <c r="U848" s="543"/>
    </row>
    <row r="849" spans="1:21" x14ac:dyDescent="0.25">
      <c r="A849" s="543"/>
      <c r="B849" s="543"/>
      <c r="C849" s="543"/>
      <c r="D849" s="543"/>
      <c r="E849" s="543"/>
      <c r="F849" s="543"/>
      <c r="G849" s="961"/>
      <c r="H849" s="543"/>
      <c r="I849" s="543"/>
      <c r="J849" s="543"/>
      <c r="K849" s="543"/>
      <c r="L849" s="543"/>
      <c r="M849" s="543"/>
      <c r="N849" s="543"/>
      <c r="O849" s="543"/>
      <c r="P849" s="543"/>
      <c r="Q849" s="543"/>
      <c r="R849" s="543"/>
      <c r="S849" s="543"/>
      <c r="T849" s="543"/>
      <c r="U849" s="543"/>
    </row>
    <row r="850" spans="1:21" x14ac:dyDescent="0.25">
      <c r="A850" s="543"/>
      <c r="B850" s="543"/>
      <c r="C850" s="543"/>
      <c r="D850" s="543"/>
      <c r="E850" s="543"/>
      <c r="F850" s="543"/>
      <c r="G850" s="961"/>
      <c r="H850" s="543"/>
      <c r="I850" s="543"/>
      <c r="J850" s="543"/>
      <c r="K850" s="543"/>
      <c r="L850" s="543"/>
      <c r="M850" s="543"/>
      <c r="N850" s="543"/>
      <c r="O850" s="543"/>
      <c r="P850" s="543"/>
      <c r="Q850" s="543"/>
      <c r="R850" s="543"/>
      <c r="S850" s="543"/>
      <c r="T850" s="543"/>
      <c r="U850" s="543"/>
    </row>
    <row r="851" spans="1:21" x14ac:dyDescent="0.25">
      <c r="A851" s="543"/>
      <c r="B851" s="543"/>
      <c r="C851" s="543"/>
      <c r="D851" s="543"/>
      <c r="E851" s="543"/>
      <c r="F851" s="543"/>
      <c r="G851" s="961"/>
      <c r="H851" s="543"/>
      <c r="I851" s="543"/>
      <c r="J851" s="543"/>
      <c r="K851" s="543"/>
      <c r="L851" s="543"/>
      <c r="M851" s="543"/>
      <c r="N851" s="543"/>
      <c r="O851" s="543"/>
      <c r="P851" s="543"/>
      <c r="Q851" s="543"/>
      <c r="R851" s="543"/>
      <c r="S851" s="543"/>
      <c r="T851" s="543"/>
      <c r="U851" s="543"/>
    </row>
    <row r="852" spans="1:21" x14ac:dyDescent="0.25">
      <c r="A852" s="543"/>
      <c r="B852" s="543"/>
      <c r="C852" s="543"/>
      <c r="D852" s="543"/>
      <c r="E852" s="543"/>
      <c r="F852" s="543"/>
      <c r="G852" s="961"/>
      <c r="H852" s="543"/>
      <c r="I852" s="543"/>
      <c r="J852" s="543"/>
      <c r="K852" s="543"/>
      <c r="L852" s="543"/>
      <c r="M852" s="543"/>
      <c r="N852" s="543"/>
      <c r="O852" s="543"/>
      <c r="P852" s="543"/>
      <c r="Q852" s="543"/>
      <c r="R852" s="543"/>
      <c r="S852" s="543"/>
      <c r="T852" s="543"/>
      <c r="U852" s="543"/>
    </row>
    <row r="853" spans="1:21" x14ac:dyDescent="0.25">
      <c r="A853" s="543"/>
      <c r="B853" s="543"/>
      <c r="C853" s="543"/>
      <c r="D853" s="543"/>
      <c r="E853" s="543"/>
      <c r="F853" s="543"/>
      <c r="G853" s="961"/>
      <c r="H853" s="543"/>
      <c r="I853" s="543"/>
      <c r="J853" s="543"/>
      <c r="K853" s="543"/>
      <c r="L853" s="543"/>
      <c r="M853" s="543"/>
      <c r="N853" s="543"/>
      <c r="O853" s="543"/>
      <c r="P853" s="543"/>
      <c r="Q853" s="543"/>
      <c r="R853" s="543"/>
      <c r="S853" s="543"/>
      <c r="T853" s="543"/>
      <c r="U853" s="543"/>
    </row>
    <row r="854" spans="1:21" x14ac:dyDescent="0.25">
      <c r="A854" s="543"/>
      <c r="B854" s="543"/>
      <c r="C854" s="543"/>
      <c r="D854" s="543"/>
      <c r="E854" s="543"/>
      <c r="F854" s="543"/>
      <c r="G854" s="961"/>
      <c r="H854" s="543"/>
      <c r="I854" s="543"/>
      <c r="J854" s="543"/>
      <c r="K854" s="543"/>
      <c r="L854" s="543"/>
      <c r="M854" s="543"/>
      <c r="N854" s="543"/>
      <c r="O854" s="543"/>
      <c r="P854" s="543"/>
      <c r="Q854" s="543"/>
      <c r="R854" s="543"/>
      <c r="S854" s="543"/>
      <c r="T854" s="543"/>
      <c r="U854" s="543"/>
    </row>
    <row r="855" spans="1:21" x14ac:dyDescent="0.25">
      <c r="A855" s="543"/>
      <c r="B855" s="543"/>
      <c r="C855" s="543"/>
      <c r="D855" s="543"/>
      <c r="E855" s="543"/>
      <c r="F855" s="543"/>
      <c r="G855" s="961"/>
      <c r="H855" s="543"/>
      <c r="I855" s="543"/>
      <c r="J855" s="543"/>
      <c r="K855" s="543"/>
      <c r="L855" s="543"/>
      <c r="M855" s="543"/>
      <c r="N855" s="543"/>
      <c r="O855" s="543"/>
      <c r="P855" s="543"/>
      <c r="Q855" s="543"/>
      <c r="R855" s="543"/>
      <c r="S855" s="543"/>
      <c r="T855" s="543"/>
      <c r="U855" s="543"/>
    </row>
    <row r="856" spans="1:21" x14ac:dyDescent="0.25">
      <c r="A856" s="543"/>
      <c r="B856" s="543"/>
      <c r="C856" s="543"/>
      <c r="D856" s="543"/>
      <c r="E856" s="543"/>
      <c r="F856" s="543"/>
      <c r="G856" s="961"/>
      <c r="H856" s="543"/>
      <c r="I856" s="543"/>
      <c r="J856" s="543"/>
      <c r="K856" s="543"/>
      <c r="L856" s="543"/>
      <c r="M856" s="543"/>
      <c r="N856" s="543"/>
      <c r="O856" s="543"/>
      <c r="P856" s="543"/>
      <c r="Q856" s="543"/>
      <c r="R856" s="543"/>
      <c r="S856" s="543"/>
      <c r="T856" s="543"/>
      <c r="U856" s="543"/>
    </row>
    <row r="857" spans="1:21" x14ac:dyDescent="0.25">
      <c r="A857" s="543"/>
      <c r="B857" s="543"/>
      <c r="C857" s="543"/>
      <c r="D857" s="543"/>
      <c r="E857" s="543"/>
      <c r="F857" s="543"/>
      <c r="G857" s="961"/>
      <c r="H857" s="543"/>
      <c r="I857" s="543"/>
      <c r="J857" s="543"/>
      <c r="K857" s="543"/>
      <c r="L857" s="543"/>
      <c r="M857" s="543"/>
      <c r="N857" s="543"/>
      <c r="O857" s="543"/>
      <c r="P857" s="543"/>
      <c r="Q857" s="543"/>
      <c r="R857" s="543"/>
      <c r="S857" s="543"/>
      <c r="T857" s="543"/>
      <c r="U857" s="543"/>
    </row>
    <row r="858" spans="1:21" x14ac:dyDescent="0.25">
      <c r="A858" s="543"/>
      <c r="B858" s="543"/>
      <c r="C858" s="543"/>
      <c r="D858" s="543"/>
      <c r="E858" s="543"/>
      <c r="F858" s="543"/>
      <c r="G858" s="961"/>
      <c r="H858" s="543"/>
      <c r="I858" s="543"/>
      <c r="J858" s="543"/>
      <c r="K858" s="543"/>
      <c r="L858" s="543"/>
      <c r="M858" s="543"/>
      <c r="N858" s="543"/>
      <c r="O858" s="543"/>
      <c r="P858" s="543"/>
      <c r="Q858" s="543"/>
      <c r="R858" s="543"/>
      <c r="S858" s="543"/>
      <c r="T858" s="543"/>
      <c r="U858" s="543"/>
    </row>
    <row r="859" spans="1:21" x14ac:dyDescent="0.25">
      <c r="A859" s="543"/>
      <c r="B859" s="543"/>
      <c r="C859" s="543"/>
      <c r="D859" s="543"/>
      <c r="E859" s="543"/>
      <c r="F859" s="543"/>
      <c r="G859" s="961"/>
      <c r="H859" s="543"/>
      <c r="I859" s="543"/>
      <c r="J859" s="543"/>
      <c r="K859" s="543"/>
      <c r="L859" s="543"/>
      <c r="M859" s="543"/>
      <c r="N859" s="543"/>
      <c r="O859" s="543"/>
      <c r="P859" s="543"/>
      <c r="Q859" s="543"/>
      <c r="R859" s="543"/>
      <c r="S859" s="543"/>
      <c r="T859" s="543"/>
      <c r="U859" s="543"/>
    </row>
    <row r="860" spans="1:21" x14ac:dyDescent="0.25">
      <c r="A860" s="543"/>
      <c r="B860" s="543"/>
      <c r="C860" s="543"/>
      <c r="D860" s="543"/>
      <c r="E860" s="543"/>
      <c r="F860" s="543"/>
      <c r="G860" s="961"/>
      <c r="H860" s="543"/>
      <c r="I860" s="543"/>
      <c r="J860" s="543"/>
      <c r="K860" s="543"/>
      <c r="L860" s="543"/>
      <c r="M860" s="543"/>
      <c r="N860" s="543"/>
      <c r="O860" s="543"/>
      <c r="P860" s="543"/>
      <c r="Q860" s="543"/>
      <c r="R860" s="543"/>
      <c r="S860" s="543"/>
      <c r="T860" s="543"/>
      <c r="U860" s="543"/>
    </row>
    <row r="861" spans="1:21" x14ac:dyDescent="0.25">
      <c r="A861" s="543"/>
      <c r="B861" s="543"/>
      <c r="C861" s="543"/>
      <c r="D861" s="543"/>
      <c r="E861" s="543"/>
      <c r="F861" s="543"/>
      <c r="G861" s="961"/>
      <c r="H861" s="543"/>
      <c r="I861" s="543"/>
      <c r="J861" s="543"/>
      <c r="K861" s="543"/>
      <c r="L861" s="543"/>
      <c r="M861" s="543"/>
      <c r="N861" s="543"/>
      <c r="O861" s="543"/>
      <c r="P861" s="543"/>
      <c r="Q861" s="543"/>
      <c r="R861" s="543"/>
      <c r="S861" s="543"/>
      <c r="T861" s="543"/>
      <c r="U861" s="543"/>
    </row>
    <row r="862" spans="1:21" x14ac:dyDescent="0.25">
      <c r="A862" s="543"/>
      <c r="B862" s="543"/>
      <c r="C862" s="543"/>
      <c r="D862" s="543"/>
      <c r="E862" s="543"/>
      <c r="F862" s="543"/>
      <c r="G862" s="961"/>
      <c r="H862" s="543"/>
      <c r="I862" s="543"/>
      <c r="J862" s="543"/>
      <c r="K862" s="543"/>
      <c r="L862" s="543"/>
      <c r="M862" s="543"/>
      <c r="N862" s="543"/>
      <c r="O862" s="543"/>
      <c r="P862" s="543"/>
      <c r="Q862" s="543"/>
      <c r="R862" s="543"/>
      <c r="S862" s="543"/>
      <c r="T862" s="543"/>
      <c r="U862" s="543"/>
    </row>
    <row r="863" spans="1:21" x14ac:dyDescent="0.25">
      <c r="A863" s="543"/>
      <c r="B863" s="543"/>
      <c r="C863" s="543"/>
      <c r="D863" s="543"/>
      <c r="E863" s="543"/>
      <c r="F863" s="543"/>
      <c r="G863" s="961"/>
      <c r="H863" s="543"/>
      <c r="I863" s="543"/>
      <c r="J863" s="543"/>
      <c r="K863" s="543"/>
      <c r="L863" s="543"/>
      <c r="M863" s="543"/>
      <c r="N863" s="543"/>
      <c r="O863" s="543"/>
      <c r="P863" s="543"/>
      <c r="Q863" s="543"/>
      <c r="R863" s="543"/>
      <c r="S863" s="543"/>
      <c r="T863" s="543"/>
      <c r="U863" s="543"/>
    </row>
    <row r="864" spans="1:21" x14ac:dyDescent="0.25">
      <c r="A864" s="543"/>
      <c r="B864" s="543"/>
      <c r="C864" s="543"/>
      <c r="D864" s="543"/>
      <c r="E864" s="543"/>
      <c r="F864" s="543"/>
      <c r="G864" s="961"/>
      <c r="H864" s="543"/>
      <c r="I864" s="543"/>
      <c r="J864" s="543"/>
      <c r="K864" s="543"/>
      <c r="L864" s="543"/>
      <c r="M864" s="543"/>
      <c r="N864" s="543"/>
      <c r="O864" s="543"/>
      <c r="P864" s="543"/>
      <c r="Q864" s="543"/>
      <c r="R864" s="543"/>
      <c r="S864" s="543"/>
      <c r="T864" s="543"/>
      <c r="U864" s="543"/>
    </row>
    <row r="865" spans="1:21" x14ac:dyDescent="0.25">
      <c r="A865" s="543"/>
      <c r="B865" s="543"/>
      <c r="C865" s="543"/>
      <c r="D865" s="543"/>
      <c r="E865" s="543"/>
      <c r="F865" s="543"/>
      <c r="G865" s="961"/>
      <c r="H865" s="543"/>
      <c r="I865" s="543"/>
      <c r="J865" s="543"/>
      <c r="K865" s="543"/>
      <c r="L865" s="543"/>
      <c r="M865" s="543"/>
      <c r="N865" s="543"/>
      <c r="O865" s="543"/>
      <c r="P865" s="543"/>
      <c r="Q865" s="543"/>
      <c r="R865" s="543"/>
      <c r="S865" s="543"/>
      <c r="T865" s="543"/>
      <c r="U865" s="543"/>
    </row>
    <row r="866" spans="1:21" x14ac:dyDescent="0.25">
      <c r="A866" s="543"/>
      <c r="B866" s="543"/>
      <c r="C866" s="543"/>
      <c r="D866" s="543"/>
      <c r="E866" s="543"/>
      <c r="F866" s="543"/>
      <c r="G866" s="961"/>
      <c r="H866" s="543"/>
      <c r="I866" s="543"/>
      <c r="J866" s="543"/>
      <c r="K866" s="543"/>
      <c r="L866" s="543"/>
      <c r="M866" s="543"/>
      <c r="N866" s="543"/>
      <c r="O866" s="543"/>
      <c r="P866" s="543"/>
      <c r="Q866" s="543"/>
      <c r="R866" s="543"/>
      <c r="S866" s="543"/>
      <c r="T866" s="543"/>
      <c r="U866" s="543"/>
    </row>
    <row r="867" spans="1:21" x14ac:dyDescent="0.25">
      <c r="A867" s="543"/>
      <c r="B867" s="543"/>
      <c r="C867" s="543"/>
      <c r="D867" s="543"/>
      <c r="E867" s="543"/>
      <c r="F867" s="543"/>
      <c r="G867" s="961"/>
      <c r="H867" s="543"/>
      <c r="I867" s="543"/>
      <c r="J867" s="543"/>
      <c r="K867" s="543"/>
      <c r="L867" s="543"/>
      <c r="M867" s="543"/>
      <c r="N867" s="543"/>
      <c r="O867" s="543"/>
      <c r="P867" s="543"/>
      <c r="Q867" s="543"/>
      <c r="R867" s="543"/>
      <c r="S867" s="543"/>
      <c r="T867" s="543"/>
      <c r="U867" s="543"/>
    </row>
    <row r="868" spans="1:21" x14ac:dyDescent="0.25">
      <c r="A868" s="543"/>
      <c r="B868" s="543"/>
      <c r="C868" s="543"/>
      <c r="D868" s="543"/>
      <c r="E868" s="543"/>
      <c r="F868" s="543"/>
      <c r="G868" s="961"/>
      <c r="H868" s="543"/>
      <c r="I868" s="543"/>
      <c r="J868" s="543"/>
      <c r="K868" s="543"/>
      <c r="L868" s="543"/>
      <c r="M868" s="543"/>
      <c r="N868" s="543"/>
      <c r="O868" s="543"/>
      <c r="P868" s="543"/>
      <c r="Q868" s="543"/>
      <c r="R868" s="543"/>
      <c r="S868" s="543"/>
      <c r="T868" s="543"/>
      <c r="U868" s="543"/>
    </row>
    <row r="869" spans="1:21" x14ac:dyDescent="0.25">
      <c r="A869" s="543"/>
      <c r="B869" s="543"/>
      <c r="C869" s="543"/>
      <c r="D869" s="543"/>
      <c r="E869" s="543"/>
      <c r="F869" s="543"/>
      <c r="G869" s="961"/>
      <c r="H869" s="543"/>
      <c r="I869" s="543"/>
      <c r="J869" s="543"/>
      <c r="K869" s="543"/>
      <c r="L869" s="543"/>
      <c r="M869" s="543"/>
      <c r="N869" s="543"/>
      <c r="O869" s="543"/>
      <c r="P869" s="543"/>
      <c r="Q869" s="543"/>
      <c r="R869" s="543"/>
      <c r="S869" s="543"/>
      <c r="T869" s="543"/>
      <c r="U869" s="543"/>
    </row>
    <row r="870" spans="1:21" x14ac:dyDescent="0.25">
      <c r="A870" s="543"/>
      <c r="B870" s="543"/>
      <c r="C870" s="543"/>
      <c r="D870" s="543"/>
      <c r="E870" s="543"/>
      <c r="F870" s="543"/>
      <c r="G870" s="961"/>
      <c r="H870" s="543"/>
      <c r="I870" s="543"/>
      <c r="J870" s="543"/>
      <c r="K870" s="543"/>
      <c r="L870" s="543"/>
      <c r="M870" s="543"/>
      <c r="N870" s="543"/>
      <c r="O870" s="543"/>
      <c r="P870" s="543"/>
      <c r="Q870" s="543"/>
      <c r="R870" s="543"/>
      <c r="S870" s="543"/>
      <c r="T870" s="543"/>
      <c r="U870" s="543"/>
    </row>
    <row r="871" spans="1:21" x14ac:dyDescent="0.25">
      <c r="A871" s="543"/>
      <c r="B871" s="543"/>
      <c r="C871" s="543"/>
      <c r="D871" s="543"/>
      <c r="E871" s="543"/>
      <c r="F871" s="543"/>
      <c r="G871" s="961"/>
      <c r="H871" s="543"/>
      <c r="I871" s="543"/>
      <c r="J871" s="543"/>
      <c r="K871" s="543"/>
      <c r="L871" s="543"/>
      <c r="M871" s="543"/>
      <c r="N871" s="543"/>
      <c r="O871" s="543"/>
      <c r="P871" s="543"/>
      <c r="Q871" s="543"/>
      <c r="R871" s="543"/>
      <c r="S871" s="543"/>
      <c r="T871" s="543"/>
      <c r="U871" s="543"/>
    </row>
    <row r="872" spans="1:21" x14ac:dyDescent="0.25">
      <c r="A872" s="543"/>
      <c r="B872" s="543"/>
      <c r="C872" s="543"/>
      <c r="D872" s="543"/>
      <c r="E872" s="543"/>
      <c r="F872" s="543"/>
      <c r="G872" s="961"/>
      <c r="H872" s="543"/>
      <c r="I872" s="543"/>
      <c r="J872" s="543"/>
      <c r="K872" s="543"/>
      <c r="L872" s="543"/>
      <c r="M872" s="543"/>
      <c r="N872" s="543"/>
      <c r="O872" s="543"/>
      <c r="P872" s="543"/>
      <c r="Q872" s="543"/>
      <c r="R872" s="543"/>
      <c r="S872" s="543"/>
      <c r="T872" s="543"/>
      <c r="U872" s="543"/>
    </row>
    <row r="873" spans="1:21" x14ac:dyDescent="0.25">
      <c r="A873" s="543"/>
      <c r="B873" s="543"/>
      <c r="C873" s="543"/>
      <c r="D873" s="543"/>
      <c r="E873" s="543"/>
      <c r="F873" s="543"/>
      <c r="G873" s="961"/>
      <c r="H873" s="543"/>
      <c r="I873" s="543"/>
      <c r="J873" s="543"/>
      <c r="K873" s="543"/>
      <c r="L873" s="543"/>
      <c r="M873" s="543"/>
      <c r="N873" s="543"/>
      <c r="O873" s="543"/>
      <c r="P873" s="543"/>
      <c r="Q873" s="543"/>
      <c r="R873" s="543"/>
      <c r="S873" s="543"/>
      <c r="T873" s="543"/>
      <c r="U873" s="543"/>
    </row>
    <row r="874" spans="1:21" x14ac:dyDescent="0.25">
      <c r="A874" s="543"/>
      <c r="B874" s="543"/>
      <c r="C874" s="543"/>
      <c r="D874" s="543"/>
      <c r="E874" s="543"/>
      <c r="F874" s="543"/>
      <c r="G874" s="961"/>
      <c r="H874" s="543"/>
      <c r="I874" s="543"/>
      <c r="J874" s="543"/>
      <c r="K874" s="543"/>
      <c r="L874" s="543"/>
      <c r="M874" s="543"/>
      <c r="N874" s="543"/>
      <c r="O874" s="543"/>
      <c r="P874" s="543"/>
      <c r="Q874" s="543"/>
      <c r="R874" s="543"/>
      <c r="S874" s="543"/>
      <c r="T874" s="543"/>
      <c r="U874" s="543"/>
    </row>
    <row r="875" spans="1:21" x14ac:dyDescent="0.25">
      <c r="A875" s="543"/>
      <c r="B875" s="543"/>
      <c r="C875" s="543"/>
      <c r="D875" s="543"/>
      <c r="E875" s="543"/>
      <c r="F875" s="543"/>
      <c r="G875" s="961"/>
      <c r="H875" s="543"/>
      <c r="I875" s="543"/>
      <c r="J875" s="543"/>
      <c r="K875" s="543"/>
      <c r="L875" s="543"/>
      <c r="M875" s="543"/>
      <c r="N875" s="543"/>
      <c r="O875" s="543"/>
      <c r="P875" s="543"/>
      <c r="Q875" s="543"/>
      <c r="R875" s="543"/>
      <c r="S875" s="543"/>
      <c r="T875" s="543"/>
      <c r="U875" s="543"/>
    </row>
    <row r="876" spans="1:21" x14ac:dyDescent="0.25">
      <c r="A876" s="543"/>
      <c r="B876" s="543"/>
      <c r="C876" s="543"/>
      <c r="D876" s="543"/>
      <c r="E876" s="543"/>
      <c r="F876" s="543"/>
      <c r="G876" s="961"/>
      <c r="H876" s="543"/>
      <c r="I876" s="543"/>
      <c r="J876" s="543"/>
      <c r="K876" s="543"/>
      <c r="L876" s="543"/>
      <c r="M876" s="543"/>
      <c r="N876" s="543"/>
      <c r="O876" s="543"/>
      <c r="P876" s="543"/>
      <c r="Q876" s="543"/>
      <c r="R876" s="543"/>
      <c r="S876" s="543"/>
      <c r="T876" s="543"/>
      <c r="U876" s="543"/>
    </row>
    <row r="877" spans="1:21" x14ac:dyDescent="0.25">
      <c r="A877" s="543"/>
      <c r="B877" s="543"/>
      <c r="C877" s="543"/>
      <c r="D877" s="543"/>
      <c r="E877" s="543"/>
      <c r="F877" s="543"/>
      <c r="G877" s="961"/>
      <c r="H877" s="543"/>
      <c r="I877" s="543"/>
      <c r="J877" s="543"/>
      <c r="K877" s="543"/>
      <c r="L877" s="543"/>
      <c r="M877" s="543"/>
      <c r="N877" s="543"/>
      <c r="O877" s="543"/>
      <c r="P877" s="543"/>
      <c r="Q877" s="543"/>
      <c r="R877" s="543"/>
      <c r="S877" s="543"/>
      <c r="T877" s="543"/>
      <c r="U877" s="543"/>
    </row>
    <row r="878" spans="1:21" x14ac:dyDescent="0.25">
      <c r="A878" s="543"/>
      <c r="B878" s="543"/>
      <c r="C878" s="543"/>
      <c r="D878" s="543"/>
      <c r="E878" s="543"/>
      <c r="F878" s="543"/>
      <c r="G878" s="961"/>
      <c r="H878" s="543"/>
      <c r="I878" s="543"/>
      <c r="J878" s="543"/>
      <c r="K878" s="543"/>
      <c r="L878" s="543"/>
      <c r="M878" s="543"/>
      <c r="N878" s="543"/>
      <c r="O878" s="543"/>
      <c r="P878" s="543"/>
      <c r="Q878" s="543"/>
      <c r="R878" s="543"/>
      <c r="S878" s="543"/>
      <c r="T878" s="543"/>
      <c r="U878" s="543"/>
    </row>
    <row r="879" spans="1:21" x14ac:dyDescent="0.25">
      <c r="A879" s="543"/>
      <c r="B879" s="543"/>
      <c r="C879" s="543"/>
      <c r="D879" s="543"/>
      <c r="E879" s="543"/>
      <c r="F879" s="543"/>
      <c r="G879" s="961"/>
      <c r="H879" s="543"/>
      <c r="I879" s="543"/>
      <c r="J879" s="543"/>
      <c r="K879" s="543"/>
      <c r="L879" s="543"/>
      <c r="M879" s="543"/>
      <c r="N879" s="543"/>
      <c r="O879" s="543"/>
      <c r="P879" s="543"/>
      <c r="Q879" s="543"/>
      <c r="R879" s="543"/>
      <c r="S879" s="543"/>
      <c r="T879" s="543"/>
      <c r="U879" s="543"/>
    </row>
    <row r="880" spans="1:21" x14ac:dyDescent="0.25">
      <c r="A880" s="543"/>
      <c r="B880" s="543"/>
      <c r="C880" s="543"/>
      <c r="D880" s="543"/>
      <c r="E880" s="543"/>
      <c r="F880" s="543"/>
      <c r="G880" s="961"/>
      <c r="H880" s="543"/>
      <c r="I880" s="543"/>
      <c r="J880" s="543"/>
      <c r="K880" s="543"/>
      <c r="L880" s="543"/>
      <c r="M880" s="543"/>
      <c r="N880" s="543"/>
      <c r="O880" s="543"/>
      <c r="P880" s="543"/>
      <c r="Q880" s="543"/>
      <c r="R880" s="543"/>
      <c r="S880" s="543"/>
      <c r="T880" s="543"/>
      <c r="U880" s="543"/>
    </row>
    <row r="881" spans="1:21" x14ac:dyDescent="0.25">
      <c r="A881" s="543"/>
      <c r="B881" s="543"/>
      <c r="C881" s="543"/>
      <c r="D881" s="543"/>
      <c r="E881" s="543"/>
      <c r="F881" s="543"/>
      <c r="G881" s="961"/>
      <c r="H881" s="543"/>
      <c r="I881" s="543"/>
      <c r="J881" s="543"/>
      <c r="K881" s="543"/>
      <c r="L881" s="543"/>
      <c r="M881" s="543"/>
      <c r="N881" s="543"/>
      <c r="O881" s="543"/>
      <c r="P881" s="543"/>
      <c r="Q881" s="543"/>
      <c r="R881" s="543"/>
      <c r="S881" s="543"/>
      <c r="T881" s="543"/>
      <c r="U881" s="543"/>
    </row>
    <row r="882" spans="1:21" x14ac:dyDescent="0.25">
      <c r="A882" s="543"/>
      <c r="B882" s="543"/>
      <c r="C882" s="543"/>
      <c r="D882" s="543"/>
      <c r="E882" s="543"/>
      <c r="F882" s="543"/>
      <c r="G882" s="961"/>
      <c r="H882" s="543"/>
      <c r="I882" s="543"/>
      <c r="J882" s="543"/>
      <c r="K882" s="543"/>
      <c r="L882" s="543"/>
      <c r="M882" s="543"/>
      <c r="N882" s="543"/>
      <c r="O882" s="543"/>
      <c r="P882" s="543"/>
      <c r="Q882" s="543"/>
      <c r="R882" s="543"/>
      <c r="S882" s="543"/>
      <c r="T882" s="543"/>
      <c r="U882" s="543"/>
    </row>
    <row r="883" spans="1:21" x14ac:dyDescent="0.25">
      <c r="A883" s="543"/>
      <c r="B883" s="543"/>
      <c r="C883" s="543"/>
      <c r="D883" s="543"/>
      <c r="E883" s="543"/>
      <c r="F883" s="543"/>
      <c r="G883" s="961"/>
      <c r="H883" s="543"/>
      <c r="I883" s="543"/>
      <c r="J883" s="543"/>
      <c r="K883" s="543"/>
      <c r="L883" s="543"/>
      <c r="M883" s="543"/>
      <c r="N883" s="543"/>
      <c r="O883" s="543"/>
      <c r="P883" s="543"/>
      <c r="Q883" s="543"/>
      <c r="R883" s="543"/>
      <c r="S883" s="543"/>
      <c r="T883" s="543"/>
      <c r="U883" s="543"/>
    </row>
    <row r="884" spans="1:21" x14ac:dyDescent="0.25">
      <c r="A884" s="543"/>
      <c r="B884" s="543"/>
      <c r="C884" s="543"/>
      <c r="D884" s="543"/>
      <c r="E884" s="543"/>
      <c r="F884" s="543"/>
      <c r="G884" s="961"/>
      <c r="H884" s="543"/>
      <c r="I884" s="543"/>
      <c r="J884" s="543"/>
      <c r="K884" s="543"/>
      <c r="L884" s="543"/>
      <c r="M884" s="543"/>
      <c r="N884" s="543"/>
      <c r="O884" s="543"/>
      <c r="P884" s="543"/>
      <c r="Q884" s="543"/>
      <c r="R884" s="543"/>
      <c r="S884" s="543"/>
      <c r="T884" s="543"/>
      <c r="U884" s="543"/>
    </row>
    <row r="885" spans="1:21" x14ac:dyDescent="0.25">
      <c r="A885" s="543"/>
      <c r="B885" s="543"/>
      <c r="C885" s="543"/>
      <c r="D885" s="543"/>
      <c r="E885" s="543"/>
      <c r="F885" s="543"/>
      <c r="G885" s="961"/>
      <c r="H885" s="543"/>
      <c r="I885" s="543"/>
      <c r="J885" s="543"/>
      <c r="K885" s="543"/>
      <c r="L885" s="543"/>
      <c r="M885" s="543"/>
      <c r="N885" s="543"/>
      <c r="O885" s="543"/>
      <c r="P885" s="543"/>
      <c r="Q885" s="543"/>
      <c r="R885" s="543"/>
      <c r="S885" s="543"/>
      <c r="T885" s="543"/>
      <c r="U885" s="543"/>
    </row>
    <row r="886" spans="1:21" x14ac:dyDescent="0.25">
      <c r="A886" s="543"/>
      <c r="B886" s="543"/>
      <c r="C886" s="543"/>
      <c r="D886" s="543"/>
      <c r="E886" s="543"/>
      <c r="F886" s="543"/>
      <c r="G886" s="961"/>
      <c r="H886" s="543"/>
      <c r="I886" s="543"/>
      <c r="J886" s="543"/>
      <c r="K886" s="543"/>
      <c r="L886" s="543"/>
      <c r="M886" s="543"/>
      <c r="N886" s="543"/>
      <c r="O886" s="543"/>
      <c r="P886" s="543"/>
      <c r="Q886" s="543"/>
      <c r="R886" s="543"/>
      <c r="S886" s="543"/>
      <c r="T886" s="543"/>
      <c r="U886" s="543"/>
    </row>
    <row r="887" spans="1:21" x14ac:dyDescent="0.25">
      <c r="A887" s="543"/>
      <c r="B887" s="543"/>
      <c r="C887" s="543"/>
      <c r="D887" s="543"/>
      <c r="E887" s="543"/>
      <c r="F887" s="543"/>
      <c r="G887" s="961"/>
      <c r="H887" s="543"/>
      <c r="I887" s="543"/>
      <c r="J887" s="543"/>
      <c r="K887" s="543"/>
      <c r="L887" s="543"/>
      <c r="M887" s="543"/>
      <c r="N887" s="543"/>
      <c r="O887" s="543"/>
      <c r="P887" s="543"/>
      <c r="Q887" s="543"/>
      <c r="R887" s="543"/>
      <c r="S887" s="543"/>
      <c r="T887" s="543"/>
      <c r="U887" s="543"/>
    </row>
    <row r="888" spans="1:21" x14ac:dyDescent="0.25">
      <c r="A888" s="543"/>
      <c r="B888" s="543"/>
      <c r="C888" s="543"/>
      <c r="D888" s="543"/>
      <c r="E888" s="543"/>
      <c r="F888" s="543"/>
      <c r="G888" s="961"/>
      <c r="H888" s="543"/>
      <c r="I888" s="543"/>
      <c r="J888" s="543"/>
      <c r="K888" s="543"/>
      <c r="L888" s="543"/>
      <c r="M888" s="543"/>
      <c r="N888" s="543"/>
      <c r="O888" s="543"/>
      <c r="P888" s="543"/>
      <c r="Q888" s="543"/>
      <c r="R888" s="543"/>
      <c r="S888" s="543"/>
      <c r="T888" s="543"/>
      <c r="U888" s="543"/>
    </row>
    <row r="889" spans="1:21" x14ac:dyDescent="0.25">
      <c r="A889" s="543"/>
      <c r="B889" s="543"/>
      <c r="C889" s="543"/>
      <c r="D889" s="543"/>
      <c r="E889" s="543"/>
      <c r="F889" s="543"/>
      <c r="G889" s="961"/>
      <c r="H889" s="543"/>
      <c r="I889" s="543"/>
      <c r="J889" s="543"/>
      <c r="K889" s="543"/>
      <c r="L889" s="543"/>
      <c r="M889" s="543"/>
      <c r="N889" s="543"/>
      <c r="O889" s="543"/>
      <c r="P889" s="543"/>
      <c r="Q889" s="543"/>
      <c r="R889" s="543"/>
      <c r="S889" s="543"/>
      <c r="T889" s="543"/>
      <c r="U889" s="543"/>
    </row>
    <row r="890" spans="1:21" x14ac:dyDescent="0.25">
      <c r="A890" s="543"/>
      <c r="B890" s="543"/>
      <c r="C890" s="543"/>
      <c r="D890" s="543"/>
      <c r="E890" s="543"/>
      <c r="F890" s="543"/>
      <c r="G890" s="961"/>
      <c r="H890" s="543"/>
      <c r="I890" s="543"/>
      <c r="J890" s="543"/>
      <c r="K890" s="543"/>
      <c r="L890" s="543"/>
      <c r="M890" s="543"/>
      <c r="N890" s="543"/>
      <c r="O890" s="543"/>
      <c r="P890" s="543"/>
      <c r="Q890" s="543"/>
      <c r="R890" s="543"/>
      <c r="S890" s="543"/>
      <c r="T890" s="543"/>
      <c r="U890" s="543"/>
    </row>
    <row r="891" spans="1:21" x14ac:dyDescent="0.25">
      <c r="A891" s="543"/>
      <c r="B891" s="543"/>
      <c r="C891" s="543"/>
      <c r="D891" s="543"/>
      <c r="E891" s="543"/>
      <c r="F891" s="543"/>
      <c r="G891" s="961"/>
      <c r="H891" s="543"/>
      <c r="I891" s="543"/>
      <c r="J891" s="543"/>
      <c r="K891" s="543"/>
      <c r="L891" s="543"/>
      <c r="M891" s="543"/>
      <c r="N891" s="543"/>
      <c r="O891" s="543"/>
      <c r="P891" s="543"/>
      <c r="Q891" s="543"/>
      <c r="R891" s="543"/>
      <c r="S891" s="543"/>
      <c r="T891" s="543"/>
      <c r="U891" s="543"/>
    </row>
    <row r="892" spans="1:21" x14ac:dyDescent="0.25">
      <c r="A892" s="543"/>
      <c r="B892" s="543"/>
      <c r="C892" s="543"/>
      <c r="D892" s="543"/>
      <c r="E892" s="543"/>
      <c r="F892" s="543"/>
      <c r="G892" s="961"/>
      <c r="H892" s="543"/>
      <c r="I892" s="543"/>
      <c r="J892" s="543"/>
      <c r="K892" s="543"/>
      <c r="L892" s="543"/>
      <c r="M892" s="543"/>
      <c r="N892" s="543"/>
      <c r="O892" s="543"/>
      <c r="P892" s="543"/>
      <c r="Q892" s="543"/>
      <c r="R892" s="543"/>
      <c r="S892" s="543"/>
      <c r="T892" s="543"/>
      <c r="U892" s="543"/>
    </row>
    <row r="893" spans="1:21" x14ac:dyDescent="0.25">
      <c r="A893" s="543"/>
      <c r="B893" s="543"/>
      <c r="C893" s="543"/>
      <c r="D893" s="543"/>
      <c r="E893" s="543"/>
      <c r="F893" s="543"/>
      <c r="G893" s="961"/>
      <c r="H893" s="543"/>
      <c r="I893" s="543"/>
      <c r="J893" s="543"/>
      <c r="K893" s="543"/>
      <c r="L893" s="543"/>
      <c r="M893" s="543"/>
      <c r="N893" s="543"/>
      <c r="O893" s="543"/>
      <c r="P893" s="543"/>
      <c r="Q893" s="543"/>
      <c r="R893" s="543"/>
      <c r="S893" s="543"/>
      <c r="T893" s="543"/>
      <c r="U893" s="543"/>
    </row>
    <row r="894" spans="1:21" x14ac:dyDescent="0.25">
      <c r="A894" s="543"/>
      <c r="B894" s="543"/>
      <c r="C894" s="543"/>
      <c r="D894" s="543"/>
      <c r="E894" s="543"/>
      <c r="F894" s="543"/>
      <c r="G894" s="961"/>
      <c r="H894" s="543"/>
      <c r="I894" s="543"/>
      <c r="J894" s="543"/>
      <c r="K894" s="543"/>
      <c r="L894" s="543"/>
      <c r="M894" s="543"/>
      <c r="N894" s="543"/>
      <c r="O894" s="543"/>
      <c r="P894" s="543"/>
      <c r="Q894" s="543"/>
      <c r="R894" s="543"/>
      <c r="S894" s="543"/>
      <c r="T894" s="543"/>
      <c r="U894" s="543"/>
    </row>
    <row r="895" spans="1:21" x14ac:dyDescent="0.25">
      <c r="A895" s="543"/>
      <c r="B895" s="543"/>
      <c r="C895" s="543"/>
      <c r="D895" s="543"/>
      <c r="E895" s="543"/>
      <c r="F895" s="543"/>
      <c r="G895" s="961"/>
      <c r="H895" s="543"/>
      <c r="I895" s="543"/>
      <c r="J895" s="543"/>
      <c r="K895" s="543"/>
      <c r="L895" s="543"/>
      <c r="M895" s="543"/>
      <c r="N895" s="543"/>
      <c r="O895" s="543"/>
      <c r="P895" s="543"/>
      <c r="Q895" s="543"/>
      <c r="R895" s="543"/>
      <c r="S895" s="543"/>
      <c r="T895" s="543"/>
      <c r="U895" s="543"/>
    </row>
    <row r="896" spans="1:21" x14ac:dyDescent="0.25">
      <c r="A896" s="543"/>
      <c r="B896" s="543"/>
      <c r="C896" s="543"/>
      <c r="D896" s="543"/>
      <c r="E896" s="543"/>
      <c r="F896" s="543"/>
      <c r="G896" s="961"/>
      <c r="H896" s="543"/>
      <c r="I896" s="543"/>
      <c r="J896" s="543"/>
      <c r="K896" s="543"/>
      <c r="L896" s="543"/>
      <c r="M896" s="543"/>
      <c r="N896" s="543"/>
      <c r="O896" s="543"/>
      <c r="P896" s="543"/>
      <c r="Q896" s="543"/>
      <c r="R896" s="543"/>
      <c r="S896" s="543"/>
      <c r="T896" s="543"/>
      <c r="U896" s="543"/>
    </row>
    <row r="897" spans="1:21" x14ac:dyDescent="0.25">
      <c r="A897" s="543"/>
      <c r="B897" s="543"/>
      <c r="C897" s="543"/>
      <c r="D897" s="543"/>
      <c r="E897" s="543"/>
      <c r="F897" s="543"/>
      <c r="G897" s="961"/>
      <c r="H897" s="543"/>
      <c r="I897" s="543"/>
      <c r="J897" s="543"/>
      <c r="K897" s="543"/>
      <c r="L897" s="543"/>
      <c r="M897" s="543"/>
      <c r="N897" s="543"/>
      <c r="O897" s="543"/>
      <c r="P897" s="543"/>
      <c r="Q897" s="543"/>
      <c r="R897" s="543"/>
      <c r="S897" s="543"/>
      <c r="T897" s="543"/>
      <c r="U897" s="543"/>
    </row>
    <row r="898" spans="1:21" x14ac:dyDescent="0.25">
      <c r="A898" s="543"/>
      <c r="B898" s="543"/>
      <c r="C898" s="543"/>
      <c r="D898" s="543"/>
      <c r="E898" s="543"/>
      <c r="F898" s="543"/>
      <c r="G898" s="961"/>
      <c r="H898" s="543"/>
      <c r="I898" s="543"/>
      <c r="J898" s="543"/>
      <c r="K898" s="543"/>
      <c r="L898" s="543"/>
      <c r="M898" s="543"/>
      <c r="N898" s="543"/>
      <c r="O898" s="543"/>
      <c r="P898" s="543"/>
      <c r="Q898" s="543"/>
      <c r="R898" s="543"/>
      <c r="S898" s="543"/>
      <c r="T898" s="543"/>
      <c r="U898" s="543"/>
    </row>
    <row r="899" spans="1:21" x14ac:dyDescent="0.25">
      <c r="A899" s="543"/>
      <c r="B899" s="543"/>
      <c r="C899" s="543"/>
      <c r="D899" s="543"/>
      <c r="E899" s="543"/>
      <c r="F899" s="543"/>
      <c r="G899" s="961"/>
      <c r="H899" s="543"/>
      <c r="I899" s="543"/>
      <c r="J899" s="543"/>
      <c r="K899" s="543"/>
      <c r="L899" s="543"/>
      <c r="M899" s="543"/>
      <c r="N899" s="543"/>
      <c r="O899" s="543"/>
      <c r="P899" s="543"/>
      <c r="Q899" s="543"/>
      <c r="R899" s="543"/>
      <c r="S899" s="543"/>
      <c r="T899" s="543"/>
      <c r="U899" s="543"/>
    </row>
    <row r="900" spans="1:21" x14ac:dyDescent="0.25">
      <c r="A900" s="543"/>
      <c r="B900" s="543"/>
      <c r="C900" s="543"/>
      <c r="D900" s="543"/>
      <c r="E900" s="543"/>
      <c r="F900" s="543"/>
      <c r="G900" s="961"/>
      <c r="H900" s="543"/>
      <c r="I900" s="543"/>
      <c r="J900" s="543"/>
      <c r="K900" s="543"/>
      <c r="L900" s="543"/>
      <c r="M900" s="543"/>
      <c r="N900" s="543"/>
      <c r="O900" s="543"/>
      <c r="P900" s="543"/>
      <c r="Q900" s="543"/>
      <c r="R900" s="543"/>
      <c r="S900" s="543"/>
      <c r="T900" s="543"/>
      <c r="U900" s="543"/>
    </row>
    <row r="901" spans="1:21" x14ac:dyDescent="0.25">
      <c r="A901" s="543"/>
      <c r="B901" s="543"/>
      <c r="C901" s="543"/>
      <c r="D901" s="543"/>
      <c r="E901" s="543"/>
      <c r="F901" s="543"/>
      <c r="G901" s="961"/>
      <c r="H901" s="543"/>
      <c r="I901" s="543"/>
      <c r="J901" s="543"/>
      <c r="K901" s="543"/>
      <c r="L901" s="543"/>
      <c r="M901" s="543"/>
      <c r="N901" s="543"/>
      <c r="O901" s="543"/>
      <c r="P901" s="543"/>
      <c r="Q901" s="543"/>
      <c r="R901" s="543"/>
      <c r="S901" s="543"/>
      <c r="T901" s="543"/>
      <c r="U901" s="543"/>
    </row>
    <row r="902" spans="1:21" x14ac:dyDescent="0.25">
      <c r="A902" s="543"/>
      <c r="B902" s="543"/>
      <c r="C902" s="543"/>
      <c r="D902" s="543"/>
      <c r="E902" s="543"/>
      <c r="F902" s="543"/>
      <c r="G902" s="961"/>
      <c r="H902" s="543"/>
      <c r="I902" s="543"/>
      <c r="J902" s="543"/>
      <c r="K902" s="543"/>
      <c r="L902" s="543"/>
      <c r="M902" s="543"/>
      <c r="N902" s="543"/>
      <c r="O902" s="543"/>
      <c r="P902" s="543"/>
      <c r="Q902" s="543"/>
      <c r="R902" s="543"/>
      <c r="S902" s="543"/>
      <c r="T902" s="543"/>
      <c r="U902" s="543"/>
    </row>
    <row r="903" spans="1:21" x14ac:dyDescent="0.25">
      <c r="A903" s="543"/>
      <c r="B903" s="543"/>
      <c r="C903" s="543"/>
      <c r="D903" s="543"/>
      <c r="E903" s="543"/>
      <c r="F903" s="543"/>
      <c r="G903" s="961"/>
      <c r="H903" s="543"/>
      <c r="I903" s="543"/>
      <c r="J903" s="543"/>
      <c r="K903" s="543"/>
      <c r="L903" s="543"/>
      <c r="M903" s="543"/>
      <c r="N903" s="543"/>
      <c r="O903" s="543"/>
      <c r="P903" s="543"/>
      <c r="Q903" s="543"/>
      <c r="R903" s="543"/>
      <c r="S903" s="543"/>
      <c r="T903" s="543"/>
      <c r="U903" s="543"/>
    </row>
    <row r="904" spans="1:21" x14ac:dyDescent="0.25">
      <c r="A904" s="543"/>
      <c r="B904" s="543"/>
      <c r="C904" s="543"/>
      <c r="D904" s="543"/>
      <c r="E904" s="543"/>
      <c r="F904" s="543"/>
      <c r="G904" s="961"/>
      <c r="H904" s="543"/>
      <c r="I904" s="543"/>
      <c r="J904" s="543"/>
      <c r="K904" s="543"/>
      <c r="L904" s="543"/>
      <c r="M904" s="543"/>
      <c r="N904" s="543"/>
      <c r="O904" s="543"/>
      <c r="P904" s="543"/>
      <c r="Q904" s="543"/>
      <c r="R904" s="543"/>
      <c r="S904" s="543"/>
      <c r="T904" s="543"/>
      <c r="U904" s="543"/>
    </row>
    <row r="905" spans="1:21" x14ac:dyDescent="0.25">
      <c r="A905" s="543"/>
      <c r="B905" s="543"/>
      <c r="C905" s="543"/>
      <c r="D905" s="543"/>
      <c r="E905" s="543"/>
      <c r="F905" s="543"/>
      <c r="G905" s="961"/>
      <c r="H905" s="543"/>
      <c r="I905" s="543"/>
      <c r="J905" s="543"/>
      <c r="K905" s="543"/>
      <c r="L905" s="543"/>
      <c r="M905" s="543"/>
      <c r="N905" s="543"/>
      <c r="O905" s="543"/>
      <c r="P905" s="543"/>
      <c r="Q905" s="543"/>
      <c r="R905" s="543"/>
      <c r="S905" s="543"/>
      <c r="T905" s="543"/>
      <c r="U905" s="543"/>
    </row>
    <row r="906" spans="1:21" x14ac:dyDescent="0.25">
      <c r="A906" s="543"/>
      <c r="B906" s="543"/>
      <c r="C906" s="543"/>
      <c r="D906" s="543"/>
      <c r="E906" s="543"/>
      <c r="F906" s="543"/>
      <c r="G906" s="961"/>
      <c r="H906" s="543"/>
      <c r="I906" s="543"/>
      <c r="J906" s="543"/>
      <c r="K906" s="543"/>
      <c r="L906" s="543"/>
      <c r="M906" s="543"/>
      <c r="N906" s="543"/>
      <c r="O906" s="543"/>
      <c r="P906" s="543"/>
      <c r="Q906" s="543"/>
      <c r="R906" s="543"/>
      <c r="S906" s="543"/>
      <c r="T906" s="543"/>
      <c r="U906" s="543"/>
    </row>
    <row r="907" spans="1:21" x14ac:dyDescent="0.25">
      <c r="A907" s="543"/>
      <c r="B907" s="543"/>
      <c r="C907" s="543"/>
      <c r="D907" s="543"/>
      <c r="E907" s="543"/>
      <c r="F907" s="543"/>
      <c r="G907" s="961"/>
      <c r="H907" s="543"/>
      <c r="I907" s="543"/>
      <c r="J907" s="543"/>
      <c r="K907" s="543"/>
      <c r="L907" s="543"/>
      <c r="M907" s="543"/>
      <c r="N907" s="543"/>
      <c r="O907" s="543"/>
      <c r="P907" s="543"/>
      <c r="Q907" s="543"/>
      <c r="R907" s="543"/>
      <c r="S907" s="543"/>
      <c r="T907" s="543"/>
      <c r="U907" s="543"/>
    </row>
    <row r="908" spans="1:21" x14ac:dyDescent="0.25">
      <c r="A908" s="543"/>
      <c r="B908" s="543"/>
      <c r="C908" s="543"/>
      <c r="D908" s="543"/>
      <c r="E908" s="543"/>
      <c r="F908" s="543"/>
      <c r="G908" s="961"/>
      <c r="H908" s="543"/>
      <c r="I908" s="543"/>
      <c r="J908" s="543"/>
      <c r="K908" s="543"/>
      <c r="L908" s="543"/>
      <c r="M908" s="543"/>
      <c r="N908" s="543"/>
      <c r="O908" s="543"/>
      <c r="P908" s="543"/>
      <c r="Q908" s="543"/>
      <c r="R908" s="543"/>
      <c r="S908" s="543"/>
      <c r="T908" s="543"/>
      <c r="U908" s="543"/>
    </row>
    <row r="909" spans="1:21" x14ac:dyDescent="0.25">
      <c r="A909" s="543"/>
      <c r="B909" s="543"/>
      <c r="C909" s="543"/>
      <c r="D909" s="543"/>
      <c r="E909" s="543"/>
      <c r="F909" s="543"/>
      <c r="G909" s="961"/>
      <c r="H909" s="543"/>
      <c r="I909" s="543"/>
      <c r="J909" s="543"/>
      <c r="K909" s="543"/>
      <c r="L909" s="543"/>
      <c r="M909" s="543"/>
      <c r="N909" s="543"/>
      <c r="O909" s="543"/>
      <c r="P909" s="543"/>
      <c r="Q909" s="543"/>
      <c r="R909" s="543"/>
      <c r="S909" s="543"/>
      <c r="T909" s="543"/>
      <c r="U909" s="543"/>
    </row>
    <row r="910" spans="1:21" x14ac:dyDescent="0.25">
      <c r="A910" s="543"/>
      <c r="B910" s="543"/>
      <c r="C910" s="543"/>
      <c r="D910" s="543"/>
      <c r="E910" s="543"/>
      <c r="F910" s="543"/>
      <c r="G910" s="961"/>
      <c r="H910" s="543"/>
      <c r="I910" s="543"/>
      <c r="J910" s="543"/>
      <c r="K910" s="543"/>
      <c r="L910" s="543"/>
      <c r="M910" s="543"/>
      <c r="N910" s="543"/>
      <c r="O910" s="543"/>
      <c r="P910" s="543"/>
      <c r="Q910" s="543"/>
      <c r="R910" s="543"/>
      <c r="S910" s="543"/>
      <c r="T910" s="543"/>
      <c r="U910" s="543"/>
    </row>
    <row r="911" spans="1:21" x14ac:dyDescent="0.25">
      <c r="A911" s="543"/>
      <c r="B911" s="543"/>
      <c r="C911" s="543"/>
      <c r="D911" s="543"/>
      <c r="E911" s="543"/>
      <c r="F911" s="543"/>
      <c r="G911" s="961"/>
      <c r="H911" s="543"/>
      <c r="I911" s="543"/>
      <c r="J911" s="543"/>
      <c r="K911" s="543"/>
      <c r="L911" s="543"/>
      <c r="M911" s="543"/>
      <c r="N911" s="543"/>
      <c r="O911" s="543"/>
      <c r="P911" s="543"/>
      <c r="Q911" s="543"/>
      <c r="R911" s="543"/>
      <c r="S911" s="543"/>
      <c r="T911" s="543"/>
      <c r="U911" s="543"/>
    </row>
    <row r="912" spans="1:21" x14ac:dyDescent="0.25">
      <c r="A912" s="543"/>
      <c r="B912" s="543"/>
      <c r="C912" s="543"/>
      <c r="D912" s="543"/>
      <c r="E912" s="543"/>
      <c r="F912" s="543"/>
      <c r="G912" s="961"/>
      <c r="H912" s="543"/>
      <c r="I912" s="543"/>
      <c r="J912" s="543"/>
      <c r="K912" s="543"/>
      <c r="L912" s="543"/>
      <c r="M912" s="543"/>
      <c r="N912" s="543"/>
      <c r="O912" s="543"/>
      <c r="P912" s="543"/>
      <c r="Q912" s="543"/>
      <c r="R912" s="543"/>
      <c r="S912" s="543"/>
      <c r="T912" s="543"/>
      <c r="U912" s="543"/>
    </row>
    <row r="913" spans="1:21" x14ac:dyDescent="0.25">
      <c r="A913" s="543"/>
      <c r="B913" s="543"/>
      <c r="C913" s="543"/>
      <c r="D913" s="543"/>
      <c r="E913" s="543"/>
      <c r="F913" s="543"/>
      <c r="G913" s="961"/>
      <c r="H913" s="543"/>
      <c r="I913" s="543"/>
      <c r="J913" s="543"/>
      <c r="K913" s="543"/>
      <c r="L913" s="543"/>
      <c r="M913" s="543"/>
      <c r="N913" s="543"/>
      <c r="O913" s="543"/>
      <c r="P913" s="543"/>
      <c r="Q913" s="543"/>
      <c r="R913" s="543"/>
      <c r="S913" s="543"/>
      <c r="T913" s="543"/>
      <c r="U913" s="543"/>
    </row>
    <row r="914" spans="1:21" x14ac:dyDescent="0.25">
      <c r="A914" s="543"/>
      <c r="B914" s="543"/>
      <c r="C914" s="543"/>
      <c r="D914" s="543"/>
      <c r="E914" s="543"/>
      <c r="F914" s="543"/>
      <c r="G914" s="961"/>
      <c r="H914" s="543"/>
      <c r="I914" s="543"/>
      <c r="J914" s="543"/>
      <c r="K914" s="543"/>
      <c r="L914" s="543"/>
      <c r="M914" s="543"/>
      <c r="N914" s="543"/>
      <c r="O914" s="543"/>
      <c r="P914" s="543"/>
      <c r="Q914" s="543"/>
      <c r="R914" s="543"/>
      <c r="S914" s="543"/>
      <c r="T914" s="543"/>
      <c r="U914" s="543"/>
    </row>
    <row r="915" spans="1:21" x14ac:dyDescent="0.25">
      <c r="A915" s="543"/>
      <c r="B915" s="543"/>
      <c r="C915" s="543"/>
      <c r="D915" s="543"/>
      <c r="E915" s="543"/>
      <c r="F915" s="543"/>
      <c r="G915" s="961"/>
      <c r="H915" s="543"/>
      <c r="I915" s="543"/>
      <c r="J915" s="543"/>
      <c r="K915" s="543"/>
      <c r="L915" s="543"/>
      <c r="M915" s="543"/>
      <c r="N915" s="543"/>
      <c r="O915" s="543"/>
      <c r="P915" s="543"/>
      <c r="Q915" s="543"/>
      <c r="R915" s="543"/>
      <c r="S915" s="543"/>
      <c r="T915" s="543"/>
      <c r="U915" s="543"/>
    </row>
    <row r="916" spans="1:21" x14ac:dyDescent="0.25">
      <c r="A916" s="543"/>
      <c r="B916" s="543"/>
      <c r="C916" s="543"/>
      <c r="D916" s="543"/>
      <c r="E916" s="543"/>
      <c r="F916" s="543"/>
      <c r="G916" s="961"/>
      <c r="H916" s="543"/>
      <c r="I916" s="543"/>
      <c r="J916" s="543"/>
      <c r="K916" s="543"/>
      <c r="L916" s="543"/>
      <c r="M916" s="543"/>
      <c r="N916" s="543"/>
      <c r="O916" s="543"/>
      <c r="P916" s="543"/>
      <c r="Q916" s="543"/>
      <c r="R916" s="543"/>
      <c r="S916" s="543"/>
      <c r="T916" s="543"/>
      <c r="U916" s="543"/>
    </row>
    <row r="917" spans="1:21" x14ac:dyDescent="0.25">
      <c r="A917" s="543"/>
      <c r="B917" s="543"/>
      <c r="C917" s="543"/>
      <c r="D917" s="543"/>
      <c r="E917" s="543"/>
      <c r="F917" s="543"/>
      <c r="G917" s="961"/>
      <c r="H917" s="543"/>
      <c r="I917" s="543"/>
      <c r="J917" s="543"/>
      <c r="K917" s="543"/>
      <c r="L917" s="543"/>
      <c r="M917" s="543"/>
      <c r="N917" s="543"/>
      <c r="O917" s="543"/>
      <c r="P917" s="543"/>
      <c r="Q917" s="543"/>
      <c r="R917" s="543"/>
      <c r="S917" s="543"/>
      <c r="T917" s="543"/>
      <c r="U917" s="543"/>
    </row>
    <row r="918" spans="1:21" x14ac:dyDescent="0.25">
      <c r="A918" s="543"/>
      <c r="B918" s="543"/>
      <c r="C918" s="543"/>
      <c r="D918" s="543"/>
      <c r="E918" s="543"/>
      <c r="F918" s="543"/>
      <c r="G918" s="961"/>
      <c r="H918" s="543"/>
      <c r="I918" s="543"/>
      <c r="J918" s="543"/>
      <c r="K918" s="543"/>
      <c r="L918" s="543"/>
      <c r="M918" s="543"/>
      <c r="N918" s="543"/>
      <c r="O918" s="543"/>
      <c r="P918" s="543"/>
      <c r="Q918" s="543"/>
      <c r="R918" s="543"/>
      <c r="S918" s="543"/>
      <c r="T918" s="543"/>
      <c r="U918" s="543"/>
    </row>
    <row r="919" spans="1:21" x14ac:dyDescent="0.25">
      <c r="A919" s="543"/>
      <c r="B919" s="543"/>
      <c r="C919" s="543"/>
      <c r="D919" s="543"/>
      <c r="E919" s="543"/>
      <c r="F919" s="543"/>
      <c r="G919" s="961"/>
      <c r="H919" s="543"/>
      <c r="I919" s="543"/>
      <c r="J919" s="543"/>
      <c r="K919" s="543"/>
      <c r="L919" s="543"/>
      <c r="M919" s="543"/>
      <c r="N919" s="543"/>
      <c r="O919" s="543"/>
      <c r="P919" s="543"/>
      <c r="Q919" s="543"/>
      <c r="R919" s="543"/>
      <c r="S919" s="543"/>
      <c r="T919" s="543"/>
      <c r="U919" s="543"/>
    </row>
    <row r="920" spans="1:21" x14ac:dyDescent="0.25">
      <c r="A920" s="543"/>
      <c r="B920" s="543"/>
      <c r="C920" s="543"/>
      <c r="D920" s="543"/>
      <c r="E920" s="543"/>
      <c r="F920" s="543"/>
      <c r="G920" s="961"/>
      <c r="H920" s="543"/>
      <c r="I920" s="543"/>
      <c r="J920" s="543"/>
      <c r="K920" s="543"/>
      <c r="L920" s="543"/>
      <c r="M920" s="543"/>
      <c r="N920" s="543"/>
      <c r="O920" s="543"/>
      <c r="P920" s="543"/>
      <c r="Q920" s="543"/>
      <c r="R920" s="543"/>
      <c r="S920" s="543"/>
      <c r="T920" s="543"/>
      <c r="U920" s="543"/>
    </row>
    <row r="921" spans="1:21" x14ac:dyDescent="0.25">
      <c r="A921" s="543"/>
      <c r="B921" s="543"/>
      <c r="C921" s="543"/>
      <c r="D921" s="543"/>
      <c r="E921" s="543"/>
      <c r="F921" s="543"/>
      <c r="G921" s="961"/>
      <c r="H921" s="543"/>
      <c r="I921" s="543"/>
      <c r="J921" s="543"/>
      <c r="K921" s="543"/>
      <c r="L921" s="543"/>
      <c r="M921" s="543"/>
      <c r="N921" s="543"/>
      <c r="O921" s="543"/>
      <c r="P921" s="543"/>
      <c r="Q921" s="543"/>
      <c r="R921" s="543"/>
      <c r="S921" s="543"/>
      <c r="T921" s="543"/>
      <c r="U921" s="543"/>
    </row>
    <row r="922" spans="1:21" x14ac:dyDescent="0.25">
      <c r="A922" s="543"/>
      <c r="B922" s="543"/>
      <c r="C922" s="543"/>
      <c r="D922" s="543"/>
      <c r="E922" s="543"/>
      <c r="F922" s="543"/>
      <c r="G922" s="961"/>
      <c r="H922" s="543"/>
      <c r="I922" s="543"/>
      <c r="J922" s="543"/>
      <c r="K922" s="543"/>
      <c r="L922" s="543"/>
      <c r="M922" s="543"/>
      <c r="N922" s="543"/>
      <c r="O922" s="543"/>
      <c r="P922" s="543"/>
      <c r="Q922" s="543"/>
      <c r="R922" s="543"/>
      <c r="S922" s="543"/>
      <c r="T922" s="543"/>
      <c r="U922" s="543"/>
    </row>
    <row r="923" spans="1:21" x14ac:dyDescent="0.25">
      <c r="A923" s="543"/>
      <c r="B923" s="543"/>
      <c r="C923" s="543"/>
      <c r="D923" s="543"/>
      <c r="E923" s="543"/>
      <c r="F923" s="543"/>
      <c r="G923" s="961"/>
      <c r="H923" s="543"/>
      <c r="I923" s="543"/>
      <c r="J923" s="543"/>
      <c r="K923" s="543"/>
      <c r="L923" s="543"/>
      <c r="M923" s="543"/>
      <c r="N923" s="543"/>
      <c r="O923" s="543"/>
      <c r="P923" s="543"/>
      <c r="Q923" s="543"/>
      <c r="R923" s="543"/>
      <c r="S923" s="543"/>
      <c r="T923" s="543"/>
      <c r="U923" s="543"/>
    </row>
    <row r="924" spans="1:21" x14ac:dyDescent="0.25">
      <c r="A924" s="543"/>
      <c r="B924" s="543"/>
      <c r="C924" s="543"/>
      <c r="D924" s="543"/>
      <c r="E924" s="543"/>
      <c r="F924" s="543"/>
      <c r="G924" s="961"/>
      <c r="H924" s="543"/>
      <c r="I924" s="543"/>
      <c r="J924" s="543"/>
      <c r="K924" s="543"/>
      <c r="L924" s="543"/>
      <c r="M924" s="543"/>
      <c r="N924" s="543"/>
      <c r="O924" s="543"/>
      <c r="P924" s="543"/>
      <c r="Q924" s="543"/>
      <c r="R924" s="543"/>
      <c r="S924" s="543"/>
      <c r="T924" s="543"/>
      <c r="U924" s="543"/>
    </row>
    <row r="925" spans="1:21" x14ac:dyDescent="0.25">
      <c r="A925" s="543"/>
      <c r="B925" s="543"/>
      <c r="C925" s="543"/>
      <c r="D925" s="543"/>
      <c r="E925" s="543"/>
      <c r="F925" s="543"/>
      <c r="G925" s="961"/>
      <c r="H925" s="543"/>
      <c r="I925" s="543"/>
      <c r="J925" s="543"/>
      <c r="K925" s="543"/>
      <c r="L925" s="543"/>
      <c r="M925" s="543"/>
      <c r="N925" s="543"/>
      <c r="O925" s="543"/>
      <c r="P925" s="543"/>
      <c r="Q925" s="543"/>
      <c r="R925" s="543"/>
      <c r="S925" s="543"/>
      <c r="T925" s="543"/>
      <c r="U925" s="543"/>
    </row>
    <row r="926" spans="1:21" x14ac:dyDescent="0.25">
      <c r="A926" s="543"/>
      <c r="B926" s="543"/>
      <c r="C926" s="543"/>
      <c r="D926" s="543"/>
      <c r="E926" s="543"/>
      <c r="F926" s="543"/>
      <c r="G926" s="961"/>
      <c r="H926" s="543"/>
      <c r="I926" s="543"/>
      <c r="J926" s="543"/>
      <c r="K926" s="543"/>
      <c r="L926" s="543"/>
      <c r="M926" s="543"/>
      <c r="N926" s="543"/>
      <c r="O926" s="543"/>
      <c r="P926" s="543"/>
      <c r="Q926" s="543"/>
      <c r="R926" s="543"/>
      <c r="S926" s="543"/>
      <c r="T926" s="543"/>
      <c r="U926" s="543"/>
    </row>
    <row r="927" spans="1:21" x14ac:dyDescent="0.25">
      <c r="A927" s="543"/>
      <c r="B927" s="543"/>
      <c r="C927" s="543"/>
      <c r="D927" s="543"/>
      <c r="E927" s="543"/>
      <c r="F927" s="543"/>
      <c r="G927" s="961"/>
      <c r="H927" s="543"/>
      <c r="I927" s="543"/>
      <c r="J927" s="543"/>
      <c r="K927" s="543"/>
      <c r="L927" s="543"/>
      <c r="M927" s="543"/>
      <c r="N927" s="543"/>
      <c r="O927" s="543"/>
      <c r="P927" s="543"/>
      <c r="Q927" s="543"/>
      <c r="R927" s="543"/>
      <c r="S927" s="543"/>
      <c r="T927" s="543"/>
      <c r="U927" s="543"/>
    </row>
    <row r="928" spans="1:21" x14ac:dyDescent="0.25">
      <c r="A928" s="543"/>
      <c r="B928" s="543"/>
      <c r="C928" s="543"/>
      <c r="D928" s="543"/>
      <c r="E928" s="543"/>
      <c r="F928" s="543"/>
      <c r="G928" s="961"/>
      <c r="H928" s="543"/>
      <c r="I928" s="543"/>
      <c r="J928" s="543"/>
      <c r="K928" s="543"/>
      <c r="L928" s="543"/>
      <c r="M928" s="543"/>
      <c r="N928" s="543"/>
      <c r="O928" s="543"/>
      <c r="P928" s="543"/>
      <c r="Q928" s="543"/>
      <c r="R928" s="543"/>
      <c r="S928" s="543"/>
      <c r="T928" s="543"/>
      <c r="U928" s="543"/>
    </row>
    <row r="929" spans="1:21" x14ac:dyDescent="0.25">
      <c r="A929" s="543"/>
      <c r="B929" s="543"/>
      <c r="C929" s="543"/>
      <c r="D929" s="543"/>
      <c r="E929" s="543"/>
      <c r="F929" s="543"/>
      <c r="G929" s="961"/>
      <c r="H929" s="543"/>
      <c r="I929" s="543"/>
      <c r="J929" s="543"/>
      <c r="K929" s="543"/>
      <c r="L929" s="543"/>
      <c r="M929" s="543"/>
      <c r="N929" s="543"/>
      <c r="O929" s="543"/>
      <c r="P929" s="543"/>
      <c r="Q929" s="543"/>
      <c r="R929" s="543"/>
      <c r="S929" s="543"/>
      <c r="T929" s="543"/>
      <c r="U929" s="543"/>
    </row>
    <row r="930" spans="1:21" x14ac:dyDescent="0.25">
      <c r="A930" s="543"/>
      <c r="B930" s="543"/>
      <c r="C930" s="543"/>
      <c r="D930" s="543"/>
      <c r="E930" s="543"/>
      <c r="F930" s="543"/>
      <c r="G930" s="961"/>
      <c r="H930" s="543"/>
      <c r="I930" s="543"/>
      <c r="J930" s="543"/>
      <c r="K930" s="543"/>
      <c r="L930" s="543"/>
      <c r="M930" s="543"/>
      <c r="N930" s="543"/>
      <c r="O930" s="543"/>
      <c r="P930" s="543"/>
      <c r="Q930" s="543"/>
      <c r="R930" s="543"/>
      <c r="S930" s="543"/>
      <c r="T930" s="543"/>
      <c r="U930" s="543"/>
    </row>
    <row r="931" spans="1:21" x14ac:dyDescent="0.25">
      <c r="A931" s="543"/>
      <c r="B931" s="543"/>
      <c r="C931" s="543"/>
      <c r="D931" s="543"/>
      <c r="E931" s="543"/>
      <c r="F931" s="543"/>
      <c r="G931" s="961"/>
      <c r="H931" s="543"/>
      <c r="I931" s="543"/>
      <c r="J931" s="543"/>
      <c r="K931" s="543"/>
      <c r="L931" s="543"/>
      <c r="M931" s="543"/>
      <c r="N931" s="543"/>
      <c r="O931" s="543"/>
      <c r="P931" s="543"/>
      <c r="Q931" s="543"/>
      <c r="R931" s="543"/>
      <c r="S931" s="543"/>
      <c r="T931" s="543"/>
      <c r="U931" s="543"/>
    </row>
    <row r="932" spans="1:21" x14ac:dyDescent="0.25">
      <c r="A932" s="543"/>
      <c r="B932" s="543"/>
      <c r="C932" s="543"/>
      <c r="D932" s="543"/>
      <c r="E932" s="543"/>
      <c r="F932" s="543"/>
      <c r="G932" s="961"/>
      <c r="H932" s="543"/>
      <c r="I932" s="543"/>
      <c r="J932" s="543"/>
      <c r="K932" s="543"/>
      <c r="L932" s="543"/>
      <c r="M932" s="543"/>
      <c r="N932" s="543"/>
      <c r="O932" s="543"/>
      <c r="P932" s="543"/>
      <c r="Q932" s="543"/>
      <c r="R932" s="543"/>
      <c r="S932" s="543"/>
      <c r="T932" s="543"/>
      <c r="U932" s="543"/>
    </row>
    <row r="933" spans="1:21" x14ac:dyDescent="0.25">
      <c r="A933" s="543"/>
      <c r="B933" s="543"/>
      <c r="C933" s="543"/>
      <c r="D933" s="543"/>
      <c r="E933" s="543"/>
      <c r="F933" s="543"/>
      <c r="G933" s="961"/>
      <c r="H933" s="543"/>
      <c r="I933" s="543"/>
      <c r="J933" s="543"/>
      <c r="K933" s="543"/>
      <c r="L933" s="543"/>
      <c r="M933" s="543"/>
      <c r="N933" s="543"/>
      <c r="O933" s="543"/>
      <c r="P933" s="543"/>
      <c r="Q933" s="543"/>
      <c r="R933" s="543"/>
      <c r="S933" s="543"/>
      <c r="T933" s="543"/>
      <c r="U933" s="543"/>
    </row>
    <row r="934" spans="1:21" x14ac:dyDescent="0.25">
      <c r="A934" s="543"/>
      <c r="B934" s="543"/>
      <c r="C934" s="543"/>
      <c r="D934" s="543"/>
      <c r="E934" s="543"/>
      <c r="F934" s="543"/>
      <c r="G934" s="961"/>
      <c r="H934" s="543"/>
      <c r="I934" s="543"/>
      <c r="J934" s="543"/>
      <c r="K934" s="543"/>
      <c r="L934" s="543"/>
      <c r="M934" s="543"/>
      <c r="N934" s="543"/>
      <c r="O934" s="543"/>
      <c r="P934" s="543"/>
      <c r="Q934" s="543"/>
      <c r="R934" s="543"/>
      <c r="S934" s="543"/>
      <c r="T934" s="543"/>
      <c r="U934" s="543"/>
    </row>
    <row r="935" spans="1:21" x14ac:dyDescent="0.25">
      <c r="A935" s="543"/>
      <c r="B935" s="543"/>
      <c r="C935" s="543"/>
      <c r="D935" s="543"/>
      <c r="E935" s="543"/>
      <c r="F935" s="543"/>
      <c r="G935" s="961"/>
      <c r="H935" s="543"/>
      <c r="I935" s="543"/>
      <c r="J935" s="543"/>
      <c r="K935" s="543"/>
      <c r="L935" s="543"/>
      <c r="M935" s="543"/>
      <c r="N935" s="543"/>
      <c r="O935" s="543"/>
      <c r="P935" s="543"/>
      <c r="Q935" s="543"/>
      <c r="R935" s="543"/>
      <c r="S935" s="543"/>
      <c r="T935" s="543"/>
      <c r="U935" s="543"/>
    </row>
    <row r="936" spans="1:21" x14ac:dyDescent="0.25">
      <c r="A936" s="543"/>
      <c r="B936" s="543"/>
      <c r="C936" s="543"/>
      <c r="D936" s="543"/>
      <c r="E936" s="543"/>
      <c r="F936" s="543"/>
      <c r="G936" s="961"/>
      <c r="H936" s="543"/>
      <c r="I936" s="543"/>
      <c r="J936" s="543"/>
      <c r="K936" s="543"/>
      <c r="L936" s="543"/>
      <c r="M936" s="543"/>
      <c r="N936" s="543"/>
      <c r="O936" s="543"/>
      <c r="P936" s="543"/>
      <c r="Q936" s="543"/>
      <c r="R936" s="543"/>
      <c r="S936" s="543"/>
      <c r="T936" s="543"/>
      <c r="U936" s="543"/>
    </row>
    <row r="937" spans="1:21" x14ac:dyDescent="0.25">
      <c r="A937" s="543"/>
      <c r="B937" s="543"/>
      <c r="C937" s="543"/>
      <c r="D937" s="543"/>
      <c r="E937" s="543"/>
      <c r="F937" s="543"/>
      <c r="G937" s="961"/>
      <c r="H937" s="543"/>
      <c r="I937" s="543"/>
      <c r="J937" s="543"/>
      <c r="K937" s="543"/>
      <c r="L937" s="543"/>
      <c r="M937" s="543"/>
      <c r="N937" s="543"/>
      <c r="O937" s="543"/>
      <c r="P937" s="543"/>
      <c r="Q937" s="543"/>
      <c r="R937" s="543"/>
      <c r="S937" s="543"/>
      <c r="T937" s="543"/>
      <c r="U937" s="543"/>
    </row>
    <row r="938" spans="1:21" x14ac:dyDescent="0.25">
      <c r="A938" s="543"/>
      <c r="B938" s="543"/>
      <c r="C938" s="543"/>
      <c r="D938" s="543"/>
      <c r="E938" s="543"/>
      <c r="F938" s="543"/>
      <c r="G938" s="961"/>
      <c r="H938" s="543"/>
      <c r="I938" s="543"/>
      <c r="J938" s="543"/>
      <c r="K938" s="543"/>
      <c r="L938" s="543"/>
      <c r="M938" s="543"/>
      <c r="N938" s="543"/>
      <c r="O938" s="543"/>
      <c r="P938" s="543"/>
      <c r="Q938" s="543"/>
      <c r="R938" s="543"/>
      <c r="S938" s="543"/>
      <c r="T938" s="543"/>
      <c r="U938" s="543"/>
    </row>
    <row r="939" spans="1:21" x14ac:dyDescent="0.25">
      <c r="A939" s="543"/>
      <c r="B939" s="543"/>
      <c r="C939" s="543"/>
      <c r="D939" s="543"/>
      <c r="E939" s="543"/>
      <c r="F939" s="543"/>
      <c r="G939" s="961"/>
      <c r="H939" s="543"/>
      <c r="I939" s="543"/>
      <c r="J939" s="543"/>
      <c r="K939" s="543"/>
      <c r="L939" s="543"/>
      <c r="M939" s="543"/>
      <c r="N939" s="543"/>
      <c r="O939" s="543"/>
      <c r="P939" s="543"/>
      <c r="Q939" s="543"/>
      <c r="R939" s="543"/>
      <c r="S939" s="543"/>
      <c r="T939" s="543"/>
      <c r="U939" s="543"/>
    </row>
    <row r="940" spans="1:21" x14ac:dyDescent="0.25">
      <c r="A940" s="543"/>
      <c r="B940" s="543"/>
      <c r="C940" s="543"/>
      <c r="D940" s="543"/>
      <c r="E940" s="543"/>
      <c r="F940" s="543"/>
      <c r="G940" s="961"/>
      <c r="H940" s="543"/>
      <c r="I940" s="543"/>
      <c r="J940" s="543"/>
      <c r="K940" s="543"/>
      <c r="L940" s="543"/>
      <c r="M940" s="543"/>
      <c r="N940" s="543"/>
      <c r="O940" s="543"/>
      <c r="P940" s="543"/>
      <c r="Q940" s="543"/>
      <c r="R940" s="543"/>
      <c r="S940" s="543"/>
      <c r="T940" s="543"/>
      <c r="U940" s="543"/>
    </row>
    <row r="941" spans="1:21" x14ac:dyDescent="0.25">
      <c r="A941" s="543"/>
      <c r="B941" s="543"/>
      <c r="C941" s="543"/>
      <c r="D941" s="543"/>
      <c r="E941" s="543"/>
      <c r="F941" s="543"/>
      <c r="G941" s="961"/>
      <c r="H941" s="543"/>
      <c r="I941" s="543"/>
      <c r="J941" s="543"/>
      <c r="K941" s="543"/>
      <c r="L941" s="543"/>
      <c r="M941" s="543"/>
      <c r="N941" s="543"/>
      <c r="O941" s="543"/>
      <c r="P941" s="543"/>
      <c r="Q941" s="543"/>
      <c r="R941" s="543"/>
      <c r="S941" s="543"/>
      <c r="T941" s="543"/>
      <c r="U941" s="543"/>
    </row>
    <row r="942" spans="1:21" x14ac:dyDescent="0.25">
      <c r="A942" s="543"/>
      <c r="B942" s="543"/>
      <c r="C942" s="543"/>
      <c r="D942" s="543"/>
      <c r="E942" s="543"/>
      <c r="F942" s="543"/>
      <c r="G942" s="961"/>
      <c r="H942" s="543"/>
      <c r="I942" s="543"/>
      <c r="J942" s="543"/>
      <c r="K942" s="543"/>
      <c r="L942" s="543"/>
      <c r="M942" s="543"/>
      <c r="N942" s="543"/>
      <c r="O942" s="543"/>
      <c r="P942" s="543"/>
      <c r="Q942" s="543"/>
      <c r="R942" s="543"/>
      <c r="S942" s="543"/>
      <c r="T942" s="543"/>
      <c r="U942" s="543"/>
    </row>
    <row r="943" spans="1:21" x14ac:dyDescent="0.25">
      <c r="A943" s="543"/>
      <c r="B943" s="543"/>
      <c r="C943" s="543"/>
      <c r="D943" s="543"/>
      <c r="E943" s="543"/>
      <c r="F943" s="543"/>
      <c r="G943" s="961"/>
      <c r="H943" s="543"/>
      <c r="I943" s="543"/>
      <c r="J943" s="543"/>
      <c r="K943" s="543"/>
      <c r="L943" s="543"/>
      <c r="M943" s="543"/>
      <c r="N943" s="543"/>
      <c r="O943" s="543"/>
      <c r="P943" s="543"/>
      <c r="Q943" s="543"/>
      <c r="R943" s="543"/>
      <c r="S943" s="543"/>
      <c r="T943" s="543"/>
      <c r="U943" s="543"/>
    </row>
    <row r="944" spans="1:21" x14ac:dyDescent="0.25">
      <c r="A944" s="543"/>
      <c r="B944" s="543"/>
      <c r="C944" s="543"/>
      <c r="D944" s="543"/>
      <c r="E944" s="543"/>
      <c r="F944" s="543"/>
      <c r="G944" s="961"/>
      <c r="H944" s="543"/>
      <c r="I944" s="543"/>
      <c r="J944" s="543"/>
      <c r="K944" s="543"/>
      <c r="L944" s="543"/>
      <c r="M944" s="543"/>
      <c r="N944" s="543"/>
      <c r="O944" s="543"/>
      <c r="P944" s="543"/>
      <c r="Q944" s="543"/>
      <c r="R944" s="543"/>
      <c r="S944" s="543"/>
      <c r="T944" s="543"/>
      <c r="U944" s="543"/>
    </row>
    <row r="945" spans="1:21" x14ac:dyDescent="0.25">
      <c r="A945" s="543"/>
      <c r="B945" s="543"/>
      <c r="C945" s="543"/>
      <c r="D945" s="543"/>
      <c r="E945" s="543"/>
      <c r="F945" s="543"/>
      <c r="G945" s="961"/>
      <c r="H945" s="543"/>
      <c r="I945" s="543"/>
      <c r="J945" s="543"/>
      <c r="K945" s="543"/>
      <c r="L945" s="543"/>
      <c r="M945" s="543"/>
      <c r="N945" s="543"/>
      <c r="O945" s="543"/>
      <c r="P945" s="543"/>
      <c r="Q945" s="543"/>
      <c r="R945" s="543"/>
      <c r="S945" s="543"/>
      <c r="T945" s="543"/>
      <c r="U945" s="543"/>
    </row>
    <row r="946" spans="1:21" x14ac:dyDescent="0.25">
      <c r="A946" s="543"/>
      <c r="B946" s="543"/>
      <c r="C946" s="543"/>
      <c r="D946" s="543"/>
      <c r="E946" s="543"/>
      <c r="F946" s="543"/>
      <c r="G946" s="961"/>
      <c r="H946" s="543"/>
      <c r="I946" s="543"/>
      <c r="J946" s="543"/>
      <c r="K946" s="543"/>
      <c r="L946" s="543"/>
      <c r="M946" s="543"/>
      <c r="N946" s="543"/>
      <c r="O946" s="543"/>
      <c r="P946" s="543"/>
      <c r="Q946" s="543"/>
      <c r="R946" s="543"/>
      <c r="S946" s="543"/>
      <c r="T946" s="543"/>
      <c r="U946" s="543"/>
    </row>
    <row r="947" spans="1:21" x14ac:dyDescent="0.25">
      <c r="A947" s="543"/>
      <c r="B947" s="543"/>
      <c r="C947" s="543"/>
      <c r="D947" s="543"/>
      <c r="E947" s="543"/>
      <c r="F947" s="543"/>
      <c r="G947" s="961"/>
      <c r="H947" s="543"/>
      <c r="I947" s="543"/>
      <c r="J947" s="543"/>
      <c r="K947" s="543"/>
      <c r="L947" s="543"/>
      <c r="M947" s="543"/>
      <c r="N947" s="543"/>
      <c r="O947" s="543"/>
      <c r="P947" s="543"/>
      <c r="Q947" s="543"/>
      <c r="R947" s="543"/>
      <c r="S947" s="543"/>
      <c r="T947" s="543"/>
      <c r="U947" s="543"/>
    </row>
    <row r="948" spans="1:21" x14ac:dyDescent="0.25">
      <c r="A948" s="543"/>
      <c r="B948" s="543"/>
      <c r="C948" s="543"/>
      <c r="D948" s="543"/>
      <c r="E948" s="543"/>
      <c r="F948" s="543"/>
      <c r="G948" s="961"/>
      <c r="H948" s="543"/>
      <c r="I948" s="543"/>
      <c r="J948" s="543"/>
      <c r="K948" s="543"/>
      <c r="L948" s="543"/>
      <c r="M948" s="543"/>
      <c r="N948" s="543"/>
      <c r="O948" s="543"/>
      <c r="P948" s="543"/>
      <c r="Q948" s="543"/>
      <c r="R948" s="543"/>
      <c r="S948" s="543"/>
      <c r="T948" s="543"/>
      <c r="U948" s="543"/>
    </row>
    <row r="949" spans="1:21" x14ac:dyDescent="0.25">
      <c r="A949" s="543"/>
      <c r="B949" s="543"/>
      <c r="C949" s="543"/>
      <c r="D949" s="543"/>
      <c r="E949" s="543"/>
      <c r="F949" s="543"/>
      <c r="G949" s="961"/>
      <c r="H949" s="543"/>
      <c r="I949" s="543"/>
      <c r="J949" s="543"/>
      <c r="K949" s="543"/>
      <c r="L949" s="543"/>
      <c r="M949" s="543"/>
      <c r="N949" s="543"/>
      <c r="O949" s="543"/>
      <c r="P949" s="543"/>
      <c r="Q949" s="543"/>
      <c r="R949" s="543"/>
      <c r="S949" s="543"/>
      <c r="T949" s="543"/>
      <c r="U949" s="543"/>
    </row>
    <row r="950" spans="1:21" x14ac:dyDescent="0.25">
      <c r="A950" s="543"/>
      <c r="B950" s="543"/>
      <c r="C950" s="543"/>
      <c r="D950" s="543"/>
      <c r="E950" s="543"/>
      <c r="F950" s="543"/>
      <c r="G950" s="961"/>
      <c r="H950" s="543"/>
      <c r="I950" s="543"/>
      <c r="J950" s="543"/>
      <c r="K950" s="543"/>
      <c r="L950" s="543"/>
      <c r="M950" s="543"/>
      <c r="N950" s="543"/>
      <c r="O950" s="543"/>
      <c r="P950" s="543"/>
      <c r="Q950" s="543"/>
      <c r="R950" s="543"/>
      <c r="S950" s="543"/>
      <c r="T950" s="543"/>
      <c r="U950" s="543"/>
    </row>
    <row r="951" spans="1:21" x14ac:dyDescent="0.25">
      <c r="A951" s="543"/>
      <c r="B951" s="543"/>
      <c r="C951" s="543"/>
      <c r="D951" s="543"/>
      <c r="E951" s="543"/>
      <c r="F951" s="543"/>
      <c r="G951" s="961"/>
      <c r="H951" s="543"/>
      <c r="I951" s="543"/>
      <c r="J951" s="543"/>
      <c r="K951" s="543"/>
      <c r="L951" s="543"/>
      <c r="M951" s="543"/>
      <c r="N951" s="543"/>
      <c r="O951" s="543"/>
      <c r="P951" s="543"/>
      <c r="Q951" s="543"/>
      <c r="R951" s="543"/>
      <c r="S951" s="543"/>
      <c r="T951" s="543"/>
      <c r="U951" s="543"/>
    </row>
    <row r="952" spans="1:21" x14ac:dyDescent="0.25">
      <c r="A952" s="543"/>
      <c r="B952" s="543"/>
      <c r="C952" s="543"/>
      <c r="D952" s="543"/>
      <c r="E952" s="543"/>
      <c r="F952" s="543"/>
      <c r="G952" s="961"/>
      <c r="H952" s="543"/>
      <c r="I952" s="543"/>
      <c r="J952" s="543"/>
      <c r="K952" s="543"/>
      <c r="L952" s="543"/>
      <c r="M952" s="543"/>
      <c r="N952" s="543"/>
      <c r="O952" s="543"/>
      <c r="P952" s="543"/>
      <c r="Q952" s="543"/>
      <c r="R952" s="543"/>
      <c r="S952" s="543"/>
      <c r="T952" s="543"/>
      <c r="U952" s="543"/>
    </row>
    <row r="953" spans="1:21" x14ac:dyDescent="0.25">
      <c r="A953" s="543"/>
      <c r="B953" s="543"/>
      <c r="C953" s="543"/>
      <c r="D953" s="543"/>
      <c r="E953" s="543"/>
      <c r="F953" s="543"/>
      <c r="G953" s="961"/>
      <c r="H953" s="543"/>
      <c r="I953" s="543"/>
      <c r="J953" s="543"/>
      <c r="K953" s="543"/>
      <c r="L953" s="543"/>
      <c r="M953" s="543"/>
      <c r="N953" s="543"/>
      <c r="O953" s="543"/>
      <c r="P953" s="543"/>
      <c r="Q953" s="543"/>
      <c r="R953" s="543"/>
      <c r="S953" s="543"/>
      <c r="T953" s="543"/>
      <c r="U953" s="543"/>
    </row>
    <row r="954" spans="1:21" x14ac:dyDescent="0.25">
      <c r="A954" s="543"/>
      <c r="B954" s="543"/>
      <c r="C954" s="543"/>
      <c r="D954" s="543"/>
      <c r="E954" s="543"/>
      <c r="F954" s="543"/>
      <c r="G954" s="961"/>
      <c r="H954" s="543"/>
      <c r="I954" s="543"/>
      <c r="J954" s="543"/>
      <c r="K954" s="543"/>
      <c r="L954" s="543"/>
      <c r="M954" s="543"/>
      <c r="N954" s="543"/>
      <c r="O954" s="543"/>
      <c r="P954" s="543"/>
      <c r="Q954" s="543"/>
      <c r="R954" s="543"/>
      <c r="S954" s="543"/>
      <c r="T954" s="543"/>
      <c r="U954" s="543"/>
    </row>
    <row r="955" spans="1:21" x14ac:dyDescent="0.25">
      <c r="A955" s="543"/>
      <c r="B955" s="543"/>
      <c r="C955" s="543"/>
      <c r="D955" s="543"/>
      <c r="E955" s="543"/>
      <c r="F955" s="543"/>
      <c r="G955" s="961"/>
      <c r="H955" s="543"/>
      <c r="I955" s="543"/>
      <c r="J955" s="543"/>
      <c r="K955" s="543"/>
      <c r="L955" s="543"/>
      <c r="M955" s="543"/>
      <c r="N955" s="543"/>
      <c r="O955" s="543"/>
      <c r="P955" s="543"/>
      <c r="Q955" s="543"/>
      <c r="R955" s="543"/>
      <c r="S955" s="543"/>
      <c r="T955" s="543"/>
      <c r="U955" s="543"/>
    </row>
    <row r="956" spans="1:21" x14ac:dyDescent="0.25">
      <c r="A956" s="543"/>
      <c r="B956" s="543"/>
      <c r="C956" s="543"/>
      <c r="D956" s="543"/>
      <c r="E956" s="543"/>
      <c r="F956" s="543"/>
      <c r="G956" s="961"/>
      <c r="H956" s="543"/>
      <c r="I956" s="543"/>
      <c r="J956" s="543"/>
      <c r="K956" s="543"/>
      <c r="L956" s="543"/>
      <c r="M956" s="543"/>
      <c r="N956" s="543"/>
      <c r="O956" s="543"/>
      <c r="P956" s="543"/>
      <c r="Q956" s="543"/>
      <c r="R956" s="543"/>
      <c r="S956" s="543"/>
      <c r="T956" s="543"/>
      <c r="U956" s="543"/>
    </row>
    <row r="957" spans="1:21" x14ac:dyDescent="0.25">
      <c r="A957" s="543"/>
      <c r="B957" s="543"/>
      <c r="C957" s="543"/>
      <c r="D957" s="543"/>
      <c r="E957" s="543"/>
      <c r="F957" s="543"/>
      <c r="G957" s="961"/>
      <c r="H957" s="543"/>
      <c r="I957" s="543"/>
      <c r="J957" s="543"/>
      <c r="K957" s="543"/>
      <c r="L957" s="543"/>
      <c r="M957" s="543"/>
      <c r="N957" s="543"/>
      <c r="O957" s="543"/>
      <c r="P957" s="543"/>
      <c r="Q957" s="543"/>
      <c r="R957" s="543"/>
      <c r="S957" s="543"/>
      <c r="T957" s="543"/>
      <c r="U957" s="543"/>
    </row>
    <row r="958" spans="1:21" x14ac:dyDescent="0.25">
      <c r="A958" s="543"/>
      <c r="B958" s="543"/>
      <c r="C958" s="543"/>
      <c r="D958" s="543"/>
      <c r="E958" s="543"/>
      <c r="F958" s="543"/>
      <c r="G958" s="961"/>
      <c r="H958" s="543"/>
      <c r="I958" s="543"/>
      <c r="J958" s="543"/>
      <c r="K958" s="543"/>
      <c r="L958" s="543"/>
      <c r="M958" s="543"/>
      <c r="N958" s="543"/>
      <c r="O958" s="543"/>
      <c r="P958" s="543"/>
      <c r="Q958" s="543"/>
      <c r="R958" s="543"/>
      <c r="S958" s="543"/>
      <c r="T958" s="543"/>
      <c r="U958" s="543"/>
    </row>
    <row r="959" spans="1:21" x14ac:dyDescent="0.25">
      <c r="A959" s="543"/>
      <c r="B959" s="543"/>
      <c r="C959" s="543"/>
      <c r="D959" s="543"/>
      <c r="E959" s="543"/>
      <c r="F959" s="543"/>
      <c r="G959" s="961"/>
      <c r="H959" s="543"/>
      <c r="I959" s="543"/>
      <c r="J959" s="543"/>
      <c r="K959" s="543"/>
      <c r="L959" s="543"/>
      <c r="M959" s="543"/>
      <c r="N959" s="543"/>
      <c r="O959" s="543"/>
      <c r="P959" s="543"/>
      <c r="Q959" s="543"/>
      <c r="R959" s="543"/>
      <c r="S959" s="543"/>
      <c r="T959" s="543"/>
      <c r="U959" s="543"/>
    </row>
    <row r="960" spans="1:21" x14ac:dyDescent="0.25">
      <c r="A960" s="543"/>
      <c r="B960" s="543"/>
      <c r="C960" s="543"/>
      <c r="D960" s="543"/>
      <c r="E960" s="543"/>
      <c r="F960" s="543"/>
      <c r="G960" s="961"/>
      <c r="H960" s="543"/>
      <c r="I960" s="543"/>
      <c r="J960" s="543"/>
      <c r="K960" s="543"/>
      <c r="L960" s="543"/>
      <c r="M960" s="543"/>
      <c r="N960" s="543"/>
      <c r="O960" s="543"/>
      <c r="P960" s="543"/>
      <c r="Q960" s="543"/>
      <c r="R960" s="543"/>
      <c r="S960" s="543"/>
      <c r="T960" s="543"/>
      <c r="U960" s="543"/>
    </row>
    <row r="961" spans="1:21" x14ac:dyDescent="0.25">
      <c r="A961" s="543"/>
      <c r="B961" s="543"/>
      <c r="C961" s="543"/>
      <c r="D961" s="543"/>
      <c r="E961" s="543"/>
      <c r="F961" s="543"/>
      <c r="G961" s="961"/>
      <c r="H961" s="543"/>
      <c r="I961" s="543"/>
      <c r="J961" s="543"/>
      <c r="K961" s="543"/>
      <c r="L961" s="543"/>
      <c r="M961" s="543"/>
      <c r="N961" s="543"/>
      <c r="O961" s="543"/>
      <c r="P961" s="543"/>
      <c r="Q961" s="543"/>
      <c r="R961" s="543"/>
      <c r="S961" s="543"/>
      <c r="T961" s="543"/>
      <c r="U961" s="543"/>
    </row>
    <row r="962" spans="1:21" x14ac:dyDescent="0.25">
      <c r="A962" s="543"/>
      <c r="B962" s="543"/>
      <c r="C962" s="543"/>
      <c r="D962" s="543"/>
      <c r="E962" s="543"/>
      <c r="F962" s="543"/>
      <c r="G962" s="961"/>
      <c r="H962" s="543"/>
      <c r="I962" s="543"/>
      <c r="J962" s="543"/>
      <c r="K962" s="543"/>
      <c r="L962" s="543"/>
      <c r="M962" s="543"/>
      <c r="N962" s="543"/>
      <c r="O962" s="543"/>
      <c r="P962" s="543"/>
      <c r="Q962" s="543"/>
      <c r="R962" s="543"/>
      <c r="S962" s="543"/>
      <c r="T962" s="543"/>
      <c r="U962" s="543"/>
    </row>
    <row r="963" spans="1:21" x14ac:dyDescent="0.25">
      <c r="A963" s="543"/>
      <c r="B963" s="543"/>
      <c r="C963" s="543"/>
      <c r="D963" s="543"/>
      <c r="E963" s="543"/>
      <c r="F963" s="543"/>
      <c r="G963" s="961"/>
      <c r="H963" s="543"/>
      <c r="I963" s="543"/>
      <c r="J963" s="543"/>
      <c r="K963" s="543"/>
      <c r="L963" s="543"/>
      <c r="M963" s="543"/>
      <c r="N963" s="543"/>
      <c r="O963" s="543"/>
      <c r="P963" s="543"/>
      <c r="Q963" s="543"/>
      <c r="R963" s="543"/>
      <c r="S963" s="543"/>
      <c r="T963" s="543"/>
      <c r="U963" s="543"/>
    </row>
    <row r="964" spans="1:21" x14ac:dyDescent="0.25">
      <c r="A964" s="543"/>
      <c r="B964" s="543"/>
      <c r="C964" s="543"/>
      <c r="D964" s="543"/>
      <c r="E964" s="543"/>
      <c r="F964" s="543"/>
      <c r="G964" s="961"/>
      <c r="H964" s="543"/>
      <c r="I964" s="543"/>
      <c r="J964" s="543"/>
      <c r="K964" s="543"/>
      <c r="L964" s="543"/>
      <c r="M964" s="543"/>
      <c r="N964" s="543"/>
      <c r="O964" s="543"/>
      <c r="P964" s="543"/>
      <c r="Q964" s="543"/>
      <c r="R964" s="543"/>
      <c r="S964" s="543"/>
      <c r="T964" s="543"/>
      <c r="U964" s="543"/>
    </row>
    <row r="965" spans="1:21" x14ac:dyDescent="0.25">
      <c r="A965" s="543"/>
      <c r="B965" s="543"/>
      <c r="C965" s="543"/>
      <c r="D965" s="543"/>
      <c r="E965" s="543"/>
      <c r="F965" s="543"/>
      <c r="G965" s="961"/>
      <c r="H965" s="543"/>
      <c r="I965" s="543"/>
      <c r="J965" s="543"/>
      <c r="K965" s="543"/>
      <c r="L965" s="543"/>
      <c r="M965" s="543"/>
      <c r="N965" s="543"/>
      <c r="O965" s="543"/>
      <c r="P965" s="543"/>
      <c r="Q965" s="543"/>
      <c r="R965" s="543"/>
      <c r="S965" s="543"/>
      <c r="T965" s="543"/>
      <c r="U965" s="543"/>
    </row>
    <row r="966" spans="1:21" x14ac:dyDescent="0.25">
      <c r="A966" s="543"/>
      <c r="B966" s="543"/>
      <c r="C966" s="543"/>
      <c r="D966" s="543"/>
      <c r="E966" s="543"/>
      <c r="F966" s="543"/>
      <c r="G966" s="961"/>
      <c r="H966" s="543"/>
      <c r="I966" s="543"/>
      <c r="J966" s="543"/>
      <c r="K966" s="543"/>
      <c r="L966" s="543"/>
      <c r="M966" s="543"/>
      <c r="N966" s="543"/>
      <c r="O966" s="543"/>
      <c r="P966" s="543"/>
      <c r="Q966" s="543"/>
      <c r="R966" s="543"/>
      <c r="S966" s="543"/>
      <c r="T966" s="543"/>
      <c r="U966" s="543"/>
    </row>
    <row r="967" spans="1:21" x14ac:dyDescent="0.25">
      <c r="A967" s="543"/>
      <c r="B967" s="543"/>
      <c r="C967" s="543"/>
      <c r="D967" s="543"/>
      <c r="E967" s="543"/>
      <c r="F967" s="543"/>
      <c r="G967" s="961"/>
      <c r="H967" s="543"/>
      <c r="I967" s="543"/>
      <c r="J967" s="543"/>
      <c r="K967" s="543"/>
      <c r="L967" s="543"/>
      <c r="M967" s="543"/>
      <c r="N967" s="543"/>
      <c r="O967" s="543"/>
      <c r="P967" s="543"/>
      <c r="Q967" s="543"/>
      <c r="R967" s="543"/>
      <c r="S967" s="543"/>
      <c r="T967" s="543"/>
      <c r="U967" s="543"/>
    </row>
    <row r="968" spans="1:21" x14ac:dyDescent="0.25">
      <c r="A968" s="543"/>
      <c r="B968" s="543"/>
      <c r="C968" s="543"/>
      <c r="D968" s="543"/>
      <c r="E968" s="543"/>
      <c r="F968" s="543"/>
      <c r="G968" s="961"/>
      <c r="H968" s="543"/>
      <c r="I968" s="543"/>
      <c r="J968" s="543"/>
      <c r="K968" s="543"/>
      <c r="L968" s="543"/>
      <c r="M968" s="543"/>
      <c r="N968" s="543"/>
      <c r="O968" s="543"/>
      <c r="P968" s="543"/>
      <c r="Q968" s="543"/>
      <c r="R968" s="543"/>
      <c r="S968" s="543"/>
      <c r="T968" s="543"/>
      <c r="U968" s="543"/>
    </row>
    <row r="969" spans="1:21" x14ac:dyDescent="0.25">
      <c r="A969" s="543"/>
      <c r="B969" s="543"/>
      <c r="C969" s="543"/>
      <c r="D969" s="543"/>
      <c r="E969" s="543"/>
      <c r="F969" s="543"/>
      <c r="G969" s="961"/>
      <c r="H969" s="543"/>
      <c r="I969" s="543"/>
      <c r="J969" s="543"/>
      <c r="K969" s="543"/>
      <c r="L969" s="543"/>
      <c r="M969" s="543"/>
      <c r="N969" s="543"/>
      <c r="O969" s="543"/>
      <c r="P969" s="543"/>
      <c r="Q969" s="543"/>
      <c r="R969" s="543"/>
      <c r="S969" s="543"/>
      <c r="T969" s="543"/>
      <c r="U969" s="543"/>
    </row>
    <row r="970" spans="1:21" x14ac:dyDescent="0.25">
      <c r="A970" s="543"/>
      <c r="B970" s="543"/>
      <c r="C970" s="543"/>
      <c r="D970" s="543"/>
      <c r="E970" s="543"/>
      <c r="F970" s="543"/>
      <c r="G970" s="961"/>
      <c r="H970" s="543"/>
      <c r="I970" s="543"/>
      <c r="J970" s="543"/>
      <c r="K970" s="543"/>
      <c r="L970" s="543"/>
      <c r="M970" s="543"/>
      <c r="N970" s="543"/>
      <c r="O970" s="543"/>
      <c r="P970" s="543"/>
      <c r="Q970" s="543"/>
      <c r="R970" s="543"/>
      <c r="S970" s="543"/>
      <c r="T970" s="543"/>
      <c r="U970" s="543"/>
    </row>
    <row r="971" spans="1:21" x14ac:dyDescent="0.25">
      <c r="A971" s="543"/>
      <c r="B971" s="543"/>
      <c r="C971" s="543"/>
      <c r="D971" s="543"/>
      <c r="E971" s="543"/>
      <c r="F971" s="543"/>
      <c r="G971" s="961"/>
      <c r="H971" s="543"/>
      <c r="I971" s="543"/>
      <c r="J971" s="543"/>
      <c r="K971" s="543"/>
      <c r="L971" s="543"/>
      <c r="M971" s="543"/>
      <c r="N971" s="543"/>
      <c r="O971" s="543"/>
      <c r="P971" s="543"/>
      <c r="Q971" s="543"/>
      <c r="R971" s="543"/>
      <c r="S971" s="543"/>
      <c r="T971" s="543"/>
      <c r="U971" s="543"/>
    </row>
    <row r="972" spans="1:21" x14ac:dyDescent="0.25">
      <c r="A972" s="543"/>
      <c r="B972" s="543"/>
      <c r="C972" s="543"/>
      <c r="D972" s="543"/>
      <c r="E972" s="543"/>
      <c r="F972" s="543"/>
      <c r="G972" s="961"/>
      <c r="H972" s="543"/>
      <c r="I972" s="543"/>
      <c r="J972" s="543"/>
      <c r="K972" s="543"/>
      <c r="L972" s="543"/>
      <c r="M972" s="543"/>
      <c r="N972" s="543"/>
      <c r="O972" s="543"/>
      <c r="P972" s="543"/>
      <c r="Q972" s="543"/>
      <c r="R972" s="543"/>
      <c r="S972" s="543"/>
      <c r="T972" s="543"/>
      <c r="U972" s="543"/>
    </row>
    <row r="973" spans="1:21" x14ac:dyDescent="0.25">
      <c r="A973" s="543"/>
      <c r="B973" s="543"/>
      <c r="C973" s="543"/>
      <c r="D973" s="543"/>
      <c r="E973" s="543"/>
      <c r="F973" s="543"/>
      <c r="G973" s="961"/>
      <c r="H973" s="543"/>
      <c r="I973" s="543"/>
      <c r="J973" s="543"/>
      <c r="K973" s="543"/>
      <c r="L973" s="543"/>
      <c r="M973" s="543"/>
      <c r="N973" s="543"/>
      <c r="O973" s="543"/>
      <c r="P973" s="543"/>
      <c r="Q973" s="543"/>
      <c r="R973" s="543"/>
      <c r="S973" s="543"/>
      <c r="T973" s="543"/>
      <c r="U973" s="543"/>
    </row>
    <row r="974" spans="1:21" x14ac:dyDescent="0.25">
      <c r="A974" s="543"/>
      <c r="B974" s="543"/>
      <c r="C974" s="543"/>
      <c r="D974" s="543"/>
      <c r="E974" s="543"/>
      <c r="F974" s="543"/>
      <c r="G974" s="961"/>
      <c r="H974" s="543"/>
      <c r="I974" s="543"/>
      <c r="J974" s="543"/>
      <c r="K974" s="543"/>
      <c r="L974" s="543"/>
      <c r="M974" s="543"/>
      <c r="N974" s="543"/>
      <c r="O974" s="543"/>
      <c r="P974" s="543"/>
      <c r="Q974" s="543"/>
      <c r="R974" s="543"/>
      <c r="S974" s="543"/>
      <c r="T974" s="543"/>
      <c r="U974" s="543"/>
    </row>
    <row r="975" spans="1:21" x14ac:dyDescent="0.25">
      <c r="A975" s="543"/>
      <c r="B975" s="543"/>
      <c r="C975" s="543"/>
      <c r="D975" s="543"/>
      <c r="E975" s="543"/>
      <c r="F975" s="543"/>
      <c r="G975" s="961"/>
      <c r="H975" s="543"/>
      <c r="I975" s="543"/>
      <c r="J975" s="543"/>
      <c r="K975" s="543"/>
      <c r="L975" s="543"/>
      <c r="M975" s="543"/>
      <c r="N975" s="543"/>
      <c r="O975" s="543"/>
      <c r="P975" s="543"/>
      <c r="Q975" s="543"/>
      <c r="R975" s="543"/>
      <c r="S975" s="543"/>
      <c r="T975" s="543"/>
      <c r="U975" s="543"/>
    </row>
    <row r="976" spans="1:21" x14ac:dyDescent="0.25">
      <c r="A976" s="543"/>
      <c r="B976" s="543"/>
      <c r="C976" s="543"/>
      <c r="D976" s="543"/>
      <c r="E976" s="543"/>
      <c r="F976" s="543"/>
      <c r="G976" s="961"/>
      <c r="H976" s="543"/>
      <c r="I976" s="543"/>
      <c r="J976" s="543"/>
      <c r="K976" s="543"/>
      <c r="L976" s="543"/>
      <c r="M976" s="543"/>
      <c r="N976" s="543"/>
      <c r="O976" s="543"/>
      <c r="P976" s="543"/>
      <c r="Q976" s="543"/>
      <c r="R976" s="543"/>
      <c r="S976" s="543"/>
      <c r="T976" s="543"/>
      <c r="U976" s="543"/>
    </row>
    <row r="977" spans="1:21" x14ac:dyDescent="0.25">
      <c r="A977" s="543"/>
      <c r="B977" s="543"/>
      <c r="C977" s="543"/>
      <c r="D977" s="543"/>
      <c r="E977" s="543"/>
      <c r="F977" s="543"/>
      <c r="G977" s="961"/>
      <c r="H977" s="543"/>
      <c r="I977" s="543"/>
      <c r="J977" s="543"/>
      <c r="K977" s="543"/>
      <c r="L977" s="543"/>
      <c r="M977" s="543"/>
      <c r="N977" s="543"/>
      <c r="O977" s="543"/>
      <c r="P977" s="543"/>
      <c r="Q977" s="543"/>
      <c r="R977" s="543"/>
      <c r="S977" s="543"/>
      <c r="T977" s="543"/>
      <c r="U977" s="543"/>
    </row>
    <row r="978" spans="1:21" x14ac:dyDescent="0.25">
      <c r="A978" s="543"/>
      <c r="B978" s="543"/>
      <c r="C978" s="543"/>
      <c r="D978" s="543"/>
      <c r="E978" s="543"/>
      <c r="F978" s="543"/>
      <c r="G978" s="961"/>
      <c r="H978" s="543"/>
      <c r="I978" s="543"/>
      <c r="J978" s="543"/>
      <c r="K978" s="543"/>
      <c r="L978" s="543"/>
      <c r="M978" s="543"/>
      <c r="N978" s="543"/>
      <c r="O978" s="543"/>
      <c r="P978" s="543"/>
      <c r="Q978" s="543"/>
      <c r="R978" s="543"/>
      <c r="S978" s="543"/>
      <c r="T978" s="543"/>
      <c r="U978" s="543"/>
    </row>
    <row r="979" spans="1:21" x14ac:dyDescent="0.25">
      <c r="A979" s="543"/>
      <c r="B979" s="543"/>
      <c r="C979" s="543"/>
      <c r="D979" s="543"/>
      <c r="E979" s="543"/>
      <c r="F979" s="543"/>
      <c r="G979" s="961"/>
      <c r="H979" s="543"/>
      <c r="I979" s="543"/>
      <c r="J979" s="543"/>
      <c r="K979" s="543"/>
      <c r="L979" s="543"/>
      <c r="M979" s="543"/>
      <c r="N979" s="543"/>
      <c r="O979" s="543"/>
      <c r="P979" s="543"/>
      <c r="Q979" s="543"/>
      <c r="R979" s="543"/>
      <c r="S979" s="543"/>
      <c r="T979" s="543"/>
      <c r="U979" s="543"/>
    </row>
    <row r="980" spans="1:21" x14ac:dyDescent="0.25">
      <c r="A980" s="543"/>
      <c r="B980" s="543"/>
      <c r="C980" s="543"/>
      <c r="D980" s="543"/>
      <c r="E980" s="543"/>
      <c r="F980" s="543"/>
      <c r="G980" s="961"/>
      <c r="H980" s="543"/>
      <c r="I980" s="543"/>
      <c r="J980" s="543"/>
      <c r="K980" s="543"/>
      <c r="L980" s="543"/>
      <c r="M980" s="543"/>
      <c r="N980" s="543"/>
      <c r="O980" s="543"/>
      <c r="P980" s="543"/>
      <c r="Q980" s="543"/>
      <c r="R980" s="543"/>
      <c r="S980" s="543"/>
      <c r="T980" s="543"/>
      <c r="U980" s="543"/>
    </row>
    <row r="981" spans="1:21" x14ac:dyDescent="0.25">
      <c r="A981" s="543"/>
      <c r="B981" s="543"/>
      <c r="C981" s="543"/>
      <c r="D981" s="543"/>
      <c r="E981" s="543"/>
      <c r="F981" s="543"/>
      <c r="G981" s="961"/>
      <c r="H981" s="543"/>
      <c r="I981" s="543"/>
      <c r="J981" s="543"/>
      <c r="K981" s="543"/>
      <c r="L981" s="543"/>
      <c r="M981" s="543"/>
      <c r="N981" s="543"/>
      <c r="O981" s="543"/>
      <c r="P981" s="543"/>
      <c r="Q981" s="543"/>
      <c r="R981" s="543"/>
      <c r="S981" s="543"/>
      <c r="T981" s="543"/>
      <c r="U981" s="543"/>
    </row>
    <row r="982" spans="1:21" x14ac:dyDescent="0.25">
      <c r="A982" s="543"/>
      <c r="B982" s="543"/>
      <c r="C982" s="543"/>
      <c r="D982" s="543"/>
      <c r="E982" s="543"/>
      <c r="F982" s="543"/>
      <c r="G982" s="961"/>
      <c r="H982" s="543"/>
      <c r="I982" s="543"/>
      <c r="J982" s="543"/>
      <c r="K982" s="543"/>
      <c r="L982" s="543"/>
      <c r="M982" s="543"/>
      <c r="N982" s="543"/>
      <c r="O982" s="543"/>
      <c r="P982" s="543"/>
      <c r="Q982" s="543"/>
      <c r="R982" s="543"/>
      <c r="S982" s="543"/>
      <c r="T982" s="543"/>
      <c r="U982" s="543"/>
    </row>
    <row r="983" spans="1:21" x14ac:dyDescent="0.25">
      <c r="A983" s="543"/>
      <c r="B983" s="543"/>
      <c r="C983" s="543"/>
      <c r="D983" s="543"/>
      <c r="E983" s="543"/>
      <c r="F983" s="543"/>
      <c r="G983" s="961"/>
      <c r="H983" s="543"/>
      <c r="I983" s="543"/>
      <c r="J983" s="543"/>
      <c r="K983" s="543"/>
      <c r="L983" s="543"/>
      <c r="M983" s="543"/>
      <c r="N983" s="543"/>
      <c r="O983" s="543"/>
      <c r="P983" s="543"/>
      <c r="Q983" s="543"/>
      <c r="R983" s="543"/>
      <c r="S983" s="543"/>
      <c r="T983" s="543"/>
      <c r="U983" s="543"/>
    </row>
    <row r="984" spans="1:21" x14ac:dyDescent="0.25">
      <c r="A984" s="543"/>
      <c r="B984" s="543"/>
      <c r="C984" s="543"/>
      <c r="D984" s="543"/>
      <c r="E984" s="543"/>
      <c r="F984" s="543"/>
      <c r="G984" s="961"/>
      <c r="H984" s="543"/>
      <c r="I984" s="543"/>
      <c r="J984" s="543"/>
      <c r="K984" s="543"/>
      <c r="L984" s="543"/>
      <c r="M984" s="543"/>
      <c r="N984" s="543"/>
      <c r="O984" s="543"/>
      <c r="P984" s="543"/>
      <c r="Q984" s="543"/>
      <c r="R984" s="543"/>
      <c r="S984" s="543"/>
      <c r="T984" s="543"/>
      <c r="U984" s="543"/>
    </row>
    <row r="985" spans="1:21" x14ac:dyDescent="0.25">
      <c r="A985" s="543"/>
      <c r="B985" s="543"/>
      <c r="C985" s="543"/>
      <c r="D985" s="543"/>
      <c r="E985" s="543"/>
      <c r="F985" s="543"/>
      <c r="G985" s="961"/>
      <c r="H985" s="543"/>
      <c r="I985" s="543"/>
      <c r="J985" s="543"/>
      <c r="K985" s="543"/>
      <c r="L985" s="543"/>
      <c r="M985" s="543"/>
      <c r="N985" s="543"/>
      <c r="O985" s="543"/>
      <c r="P985" s="543"/>
      <c r="Q985" s="543"/>
      <c r="R985" s="543"/>
      <c r="S985" s="543"/>
      <c r="T985" s="543"/>
      <c r="U985" s="543"/>
    </row>
    <row r="986" spans="1:21" x14ac:dyDescent="0.25">
      <c r="A986" s="543"/>
      <c r="B986" s="543"/>
      <c r="C986" s="543"/>
      <c r="D986" s="543"/>
      <c r="E986" s="543"/>
      <c r="F986" s="543"/>
      <c r="G986" s="961"/>
      <c r="H986" s="543"/>
      <c r="I986" s="543"/>
      <c r="J986" s="543"/>
      <c r="K986" s="543"/>
      <c r="L986" s="543"/>
      <c r="M986" s="543"/>
      <c r="N986" s="543"/>
      <c r="O986" s="543"/>
      <c r="P986" s="543"/>
      <c r="Q986" s="543"/>
      <c r="R986" s="543"/>
      <c r="S986" s="543"/>
      <c r="T986" s="543"/>
      <c r="U986" s="543"/>
    </row>
    <row r="987" spans="1:21" x14ac:dyDescent="0.25">
      <c r="A987" s="543"/>
      <c r="B987" s="543"/>
      <c r="C987" s="543"/>
      <c r="D987" s="543"/>
      <c r="E987" s="543"/>
      <c r="F987" s="543"/>
      <c r="G987" s="961"/>
      <c r="H987" s="543"/>
      <c r="I987" s="543"/>
      <c r="J987" s="543"/>
      <c r="K987" s="543"/>
      <c r="L987" s="543"/>
      <c r="M987" s="543"/>
      <c r="N987" s="543"/>
      <c r="O987" s="543"/>
      <c r="P987" s="543"/>
      <c r="Q987" s="543"/>
      <c r="R987" s="543"/>
      <c r="S987" s="543"/>
      <c r="T987" s="543"/>
      <c r="U987" s="543"/>
    </row>
    <row r="988" spans="1:21" x14ac:dyDescent="0.25">
      <c r="A988" s="543"/>
      <c r="B988" s="543"/>
      <c r="C988" s="543"/>
      <c r="D988" s="543"/>
      <c r="E988" s="543"/>
      <c r="F988" s="543"/>
      <c r="G988" s="961"/>
      <c r="H988" s="543"/>
      <c r="I988" s="543"/>
      <c r="J988" s="543"/>
      <c r="K988" s="543"/>
      <c r="L988" s="543"/>
      <c r="M988" s="543"/>
      <c r="N988" s="543"/>
      <c r="O988" s="543"/>
      <c r="P988" s="543"/>
      <c r="Q988" s="543"/>
      <c r="R988" s="543"/>
      <c r="S988" s="543"/>
      <c r="T988" s="543"/>
      <c r="U988" s="543"/>
    </row>
    <row r="989" spans="1:21" x14ac:dyDescent="0.25">
      <c r="A989" s="543"/>
      <c r="B989" s="543"/>
      <c r="C989" s="543"/>
      <c r="D989" s="543"/>
      <c r="E989" s="543"/>
      <c r="F989" s="543"/>
      <c r="G989" s="961"/>
      <c r="H989" s="543"/>
      <c r="I989" s="543"/>
      <c r="J989" s="543"/>
      <c r="K989" s="543"/>
      <c r="L989" s="543"/>
      <c r="M989" s="543"/>
      <c r="N989" s="543"/>
      <c r="O989" s="543"/>
      <c r="P989" s="543"/>
      <c r="Q989" s="543"/>
      <c r="R989" s="543"/>
      <c r="S989" s="543"/>
      <c r="T989" s="543"/>
      <c r="U989" s="543"/>
    </row>
    <row r="990" spans="1:21" x14ac:dyDescent="0.25">
      <c r="A990" s="543"/>
      <c r="B990" s="543"/>
      <c r="C990" s="543"/>
      <c r="D990" s="543"/>
      <c r="E990" s="543"/>
      <c r="F990" s="543"/>
      <c r="G990" s="961"/>
      <c r="H990" s="543"/>
      <c r="I990" s="543"/>
      <c r="J990" s="543"/>
      <c r="K990" s="543"/>
      <c r="L990" s="543"/>
      <c r="M990" s="543"/>
      <c r="N990" s="543"/>
      <c r="O990" s="543"/>
      <c r="P990" s="543"/>
      <c r="Q990" s="543"/>
      <c r="R990" s="543"/>
      <c r="S990" s="543"/>
      <c r="T990" s="543"/>
      <c r="U990" s="543"/>
    </row>
    <row r="991" spans="1:21" x14ac:dyDescent="0.25">
      <c r="A991" s="543"/>
      <c r="B991" s="543"/>
      <c r="C991" s="543"/>
      <c r="D991" s="543"/>
      <c r="E991" s="543"/>
      <c r="F991" s="543"/>
      <c r="G991" s="961"/>
      <c r="H991" s="543"/>
      <c r="I991" s="543"/>
      <c r="J991" s="543"/>
      <c r="K991" s="543"/>
      <c r="L991" s="543"/>
      <c r="M991" s="543"/>
      <c r="N991" s="543"/>
      <c r="O991" s="543"/>
      <c r="P991" s="543"/>
      <c r="Q991" s="543"/>
      <c r="R991" s="543"/>
      <c r="S991" s="543"/>
      <c r="T991" s="543"/>
      <c r="U991" s="543"/>
    </row>
    <row r="992" spans="1:21" x14ac:dyDescent="0.25">
      <c r="A992" s="543"/>
      <c r="B992" s="543"/>
      <c r="C992" s="543"/>
      <c r="D992" s="543"/>
      <c r="E992" s="543"/>
      <c r="F992" s="543"/>
      <c r="G992" s="961"/>
      <c r="H992" s="543"/>
      <c r="I992" s="543"/>
      <c r="J992" s="543"/>
      <c r="K992" s="543"/>
      <c r="L992" s="543"/>
      <c r="M992" s="543"/>
      <c r="N992" s="543"/>
      <c r="O992" s="543"/>
      <c r="P992" s="543"/>
      <c r="Q992" s="543"/>
      <c r="R992" s="543"/>
      <c r="S992" s="543"/>
      <c r="T992" s="543"/>
      <c r="U992" s="543"/>
    </row>
    <row r="993" spans="1:21" x14ac:dyDescent="0.25">
      <c r="A993" s="543"/>
      <c r="B993" s="543"/>
      <c r="C993" s="543"/>
      <c r="D993" s="543"/>
      <c r="E993" s="543"/>
      <c r="F993" s="543"/>
      <c r="G993" s="961"/>
      <c r="H993" s="543"/>
      <c r="I993" s="543"/>
      <c r="J993" s="543"/>
      <c r="K993" s="543"/>
      <c r="L993" s="543"/>
      <c r="M993" s="543"/>
      <c r="N993" s="543"/>
      <c r="O993" s="543"/>
      <c r="P993" s="543"/>
      <c r="Q993" s="543"/>
      <c r="R993" s="543"/>
      <c r="S993" s="543"/>
      <c r="T993" s="543"/>
      <c r="U993" s="543"/>
    </row>
    <row r="994" spans="1:21" x14ac:dyDescent="0.25">
      <c r="A994" s="543"/>
      <c r="B994" s="543"/>
      <c r="C994" s="543"/>
      <c r="D994" s="543"/>
      <c r="E994" s="543"/>
      <c r="F994" s="543"/>
      <c r="G994" s="961"/>
      <c r="H994" s="543"/>
      <c r="I994" s="543"/>
      <c r="J994" s="543"/>
      <c r="K994" s="543"/>
      <c r="L994" s="543"/>
      <c r="M994" s="543"/>
      <c r="N994" s="543"/>
      <c r="O994" s="543"/>
      <c r="P994" s="543"/>
      <c r="Q994" s="543"/>
      <c r="R994" s="543"/>
      <c r="S994" s="543"/>
      <c r="T994" s="543"/>
      <c r="U994" s="543"/>
    </row>
    <row r="995" spans="1:21" x14ac:dyDescent="0.25">
      <c r="A995" s="543"/>
      <c r="B995" s="543"/>
      <c r="C995" s="543"/>
      <c r="D995" s="543"/>
      <c r="E995" s="543"/>
      <c r="F995" s="543"/>
      <c r="G995" s="961"/>
      <c r="H995" s="543"/>
      <c r="I995" s="543"/>
      <c r="J995" s="543"/>
      <c r="K995" s="543"/>
      <c r="L995" s="543"/>
      <c r="M995" s="543"/>
      <c r="N995" s="543"/>
      <c r="O995" s="543"/>
      <c r="P995" s="543"/>
      <c r="Q995" s="543"/>
      <c r="R995" s="543"/>
      <c r="S995" s="543"/>
      <c r="T995" s="543"/>
      <c r="U995" s="543"/>
    </row>
    <row r="996" spans="1:21" x14ac:dyDescent="0.25">
      <c r="A996" s="543"/>
      <c r="B996" s="543"/>
      <c r="C996" s="543"/>
      <c r="D996" s="543"/>
      <c r="E996" s="543"/>
      <c r="F996" s="543"/>
      <c r="G996" s="961"/>
      <c r="H996" s="543"/>
      <c r="I996" s="543"/>
      <c r="J996" s="543"/>
      <c r="K996" s="543"/>
      <c r="L996" s="543"/>
      <c r="M996" s="543"/>
      <c r="N996" s="543"/>
      <c r="O996" s="543"/>
      <c r="P996" s="543"/>
      <c r="Q996" s="543"/>
      <c r="R996" s="543"/>
      <c r="S996" s="543"/>
      <c r="T996" s="543"/>
      <c r="U996" s="543"/>
    </row>
    <row r="997" spans="1:21" x14ac:dyDescent="0.25">
      <c r="A997" s="543"/>
      <c r="B997" s="543"/>
      <c r="C997" s="543"/>
      <c r="D997" s="543"/>
      <c r="E997" s="543"/>
      <c r="F997" s="543"/>
      <c r="G997" s="961"/>
      <c r="H997" s="543"/>
      <c r="I997" s="543"/>
      <c r="J997" s="543"/>
      <c r="K997" s="543"/>
      <c r="L997" s="543"/>
      <c r="M997" s="543"/>
      <c r="N997" s="543"/>
      <c r="O997" s="543"/>
      <c r="P997" s="543"/>
      <c r="Q997" s="543"/>
      <c r="R997" s="543"/>
      <c r="S997" s="543"/>
      <c r="T997" s="543"/>
      <c r="U997" s="543"/>
    </row>
    <row r="998" spans="1:21" x14ac:dyDescent="0.25">
      <c r="A998" s="543"/>
      <c r="B998" s="543"/>
      <c r="C998" s="543"/>
      <c r="D998" s="543"/>
      <c r="E998" s="543"/>
      <c r="F998" s="543"/>
      <c r="G998" s="961"/>
      <c r="H998" s="543"/>
      <c r="I998" s="543"/>
      <c r="J998" s="543"/>
      <c r="K998" s="543"/>
      <c r="L998" s="543"/>
      <c r="M998" s="543"/>
      <c r="N998" s="543"/>
      <c r="O998" s="543"/>
      <c r="P998" s="543"/>
      <c r="Q998" s="543"/>
      <c r="R998" s="543"/>
      <c r="S998" s="543"/>
      <c r="T998" s="543"/>
      <c r="U998" s="543"/>
    </row>
    <row r="999" spans="1:21" x14ac:dyDescent="0.25">
      <c r="A999" s="543"/>
      <c r="B999" s="543"/>
      <c r="C999" s="543"/>
      <c r="D999" s="543"/>
      <c r="E999" s="543"/>
      <c r="F999" s="543"/>
      <c r="G999" s="961"/>
      <c r="H999" s="543"/>
      <c r="I999" s="543"/>
      <c r="J999" s="543"/>
      <c r="K999" s="543"/>
      <c r="L999" s="543"/>
      <c r="M999" s="543"/>
      <c r="N999" s="543"/>
      <c r="O999" s="543"/>
      <c r="P999" s="543"/>
      <c r="Q999" s="543"/>
      <c r="R999" s="543"/>
      <c r="S999" s="543"/>
      <c r="T999" s="543"/>
      <c r="U999" s="543"/>
    </row>
    <row r="1000" spans="1:21" x14ac:dyDescent="0.25">
      <c r="A1000" s="543"/>
      <c r="B1000" s="543"/>
      <c r="C1000" s="543"/>
      <c r="D1000" s="543"/>
      <c r="E1000" s="543"/>
      <c r="F1000" s="543"/>
      <c r="G1000" s="961"/>
      <c r="H1000" s="543"/>
      <c r="I1000" s="543"/>
      <c r="J1000" s="543"/>
      <c r="K1000" s="543"/>
      <c r="L1000" s="543"/>
      <c r="M1000" s="543"/>
      <c r="N1000" s="543"/>
      <c r="O1000" s="543"/>
      <c r="P1000" s="543"/>
      <c r="Q1000" s="543"/>
      <c r="R1000" s="543"/>
      <c r="S1000" s="543"/>
      <c r="T1000" s="543"/>
      <c r="U1000" s="543"/>
    </row>
    <row r="1001" spans="1:21" x14ac:dyDescent="0.25">
      <c r="A1001" s="543"/>
      <c r="B1001" s="543"/>
      <c r="C1001" s="543"/>
      <c r="D1001" s="543"/>
      <c r="E1001" s="543"/>
      <c r="F1001" s="543"/>
      <c r="G1001" s="961"/>
      <c r="H1001" s="543"/>
      <c r="I1001" s="543"/>
      <c r="J1001" s="543"/>
      <c r="K1001" s="543"/>
      <c r="L1001" s="543"/>
      <c r="M1001" s="543"/>
      <c r="N1001" s="543"/>
      <c r="O1001" s="543"/>
      <c r="P1001" s="543"/>
      <c r="Q1001" s="543"/>
      <c r="R1001" s="543"/>
      <c r="S1001" s="543"/>
      <c r="T1001" s="543"/>
      <c r="U1001" s="543"/>
    </row>
    <row r="1002" spans="1:21" x14ac:dyDescent="0.25">
      <c r="A1002" s="543"/>
      <c r="B1002" s="543"/>
      <c r="C1002" s="543"/>
      <c r="D1002" s="543"/>
      <c r="E1002" s="543"/>
      <c r="F1002" s="543"/>
      <c r="G1002" s="961"/>
      <c r="H1002" s="543"/>
      <c r="I1002" s="543"/>
      <c r="J1002" s="543"/>
      <c r="K1002" s="543"/>
      <c r="L1002" s="543"/>
      <c r="M1002" s="543"/>
      <c r="N1002" s="543"/>
      <c r="O1002" s="543"/>
      <c r="P1002" s="543"/>
      <c r="Q1002" s="543"/>
      <c r="R1002" s="543"/>
      <c r="S1002" s="543"/>
      <c r="T1002" s="543"/>
      <c r="U1002" s="543"/>
    </row>
    <row r="1003" spans="1:21" x14ac:dyDescent="0.25">
      <c r="A1003" s="543"/>
      <c r="B1003" s="543"/>
      <c r="C1003" s="543"/>
      <c r="D1003" s="543"/>
      <c r="E1003" s="543"/>
      <c r="F1003" s="543"/>
      <c r="G1003" s="961"/>
      <c r="H1003" s="543"/>
      <c r="I1003" s="543"/>
      <c r="J1003" s="543"/>
      <c r="K1003" s="543"/>
      <c r="L1003" s="543"/>
      <c r="M1003" s="543"/>
      <c r="N1003" s="543"/>
      <c r="O1003" s="543"/>
      <c r="P1003" s="543"/>
      <c r="Q1003" s="543"/>
      <c r="R1003" s="543"/>
      <c r="S1003" s="543"/>
      <c r="T1003" s="543"/>
      <c r="U1003" s="543"/>
    </row>
    <row r="1004" spans="1:21" x14ac:dyDescent="0.25">
      <c r="A1004" s="543"/>
      <c r="B1004" s="543"/>
      <c r="C1004" s="543"/>
      <c r="D1004" s="543"/>
      <c r="E1004" s="543"/>
      <c r="F1004" s="543"/>
      <c r="G1004" s="961"/>
      <c r="H1004" s="543"/>
      <c r="I1004" s="543"/>
      <c r="J1004" s="543"/>
      <c r="K1004" s="543"/>
      <c r="L1004" s="543"/>
      <c r="M1004" s="543"/>
      <c r="N1004" s="543"/>
      <c r="O1004" s="543"/>
      <c r="P1004" s="543"/>
      <c r="Q1004" s="543"/>
      <c r="R1004" s="543"/>
      <c r="S1004" s="543"/>
      <c r="T1004" s="543"/>
      <c r="U1004" s="543"/>
    </row>
    <row r="1005" spans="1:21" x14ac:dyDescent="0.25">
      <c r="A1005" s="543"/>
      <c r="B1005" s="543"/>
      <c r="C1005" s="543"/>
      <c r="D1005" s="543"/>
      <c r="E1005" s="543"/>
      <c r="F1005" s="543"/>
      <c r="G1005" s="961"/>
      <c r="H1005" s="543"/>
      <c r="I1005" s="543"/>
      <c r="J1005" s="543"/>
      <c r="K1005" s="543"/>
      <c r="L1005" s="543"/>
      <c r="M1005" s="543"/>
      <c r="N1005" s="543"/>
      <c r="O1005" s="543"/>
      <c r="P1005" s="543"/>
      <c r="Q1005" s="543"/>
      <c r="R1005" s="543"/>
      <c r="S1005" s="543"/>
      <c r="T1005" s="543"/>
      <c r="U1005" s="543"/>
    </row>
    <row r="1006" spans="1:21" x14ac:dyDescent="0.25">
      <c r="A1006" s="543"/>
      <c r="B1006" s="543"/>
      <c r="C1006" s="543"/>
      <c r="D1006" s="543"/>
      <c r="E1006" s="543"/>
      <c r="F1006" s="543"/>
      <c r="G1006" s="961"/>
      <c r="H1006" s="543"/>
      <c r="I1006" s="543"/>
      <c r="J1006" s="543"/>
      <c r="K1006" s="543"/>
      <c r="L1006" s="543"/>
      <c r="M1006" s="543"/>
      <c r="N1006" s="543"/>
      <c r="O1006" s="543"/>
      <c r="P1006" s="543"/>
      <c r="Q1006" s="543"/>
      <c r="R1006" s="543"/>
      <c r="S1006" s="543"/>
      <c r="T1006" s="543"/>
      <c r="U1006" s="543"/>
    </row>
    <row r="1007" spans="1:21" x14ac:dyDescent="0.25">
      <c r="A1007" s="543"/>
      <c r="B1007" s="543"/>
      <c r="C1007" s="543"/>
      <c r="D1007" s="543"/>
      <c r="E1007" s="543"/>
      <c r="F1007" s="543"/>
      <c r="G1007" s="961"/>
      <c r="H1007" s="543"/>
      <c r="I1007" s="543"/>
      <c r="J1007" s="543"/>
      <c r="K1007" s="543"/>
      <c r="L1007" s="543"/>
      <c r="M1007" s="543"/>
      <c r="N1007" s="543"/>
      <c r="O1007" s="543"/>
      <c r="P1007" s="543"/>
      <c r="Q1007" s="543"/>
      <c r="R1007" s="543"/>
      <c r="S1007" s="543"/>
      <c r="T1007" s="543"/>
      <c r="U1007" s="543"/>
    </row>
    <row r="1008" spans="1:21" x14ac:dyDescent="0.25">
      <c r="A1008" s="543"/>
      <c r="B1008" s="543"/>
      <c r="C1008" s="543"/>
      <c r="D1008" s="543"/>
      <c r="E1008" s="543"/>
      <c r="F1008" s="543"/>
      <c r="G1008" s="961"/>
      <c r="H1008" s="543"/>
      <c r="I1008" s="543"/>
      <c r="J1008" s="543"/>
      <c r="K1008" s="543"/>
      <c r="L1008" s="543"/>
      <c r="M1008" s="543"/>
      <c r="N1008" s="543"/>
      <c r="O1008" s="543"/>
      <c r="P1008" s="543"/>
      <c r="Q1008" s="543"/>
      <c r="R1008" s="543"/>
      <c r="S1008" s="543"/>
      <c r="T1008" s="543"/>
      <c r="U1008" s="543"/>
    </row>
    <row r="1009" spans="1:21" x14ac:dyDescent="0.25">
      <c r="A1009" s="543"/>
      <c r="B1009" s="543"/>
      <c r="C1009" s="543"/>
      <c r="D1009" s="543"/>
      <c r="E1009" s="543"/>
      <c r="F1009" s="543"/>
      <c r="G1009" s="961"/>
      <c r="H1009" s="543"/>
      <c r="I1009" s="543"/>
      <c r="J1009" s="543"/>
      <c r="K1009" s="543"/>
      <c r="L1009" s="543"/>
      <c r="M1009" s="543"/>
      <c r="N1009" s="543"/>
      <c r="O1009" s="543"/>
      <c r="P1009" s="543"/>
      <c r="Q1009" s="543"/>
      <c r="R1009" s="543"/>
      <c r="S1009" s="543"/>
      <c r="T1009" s="543"/>
      <c r="U1009" s="543"/>
    </row>
    <row r="1010" spans="1:21" x14ac:dyDescent="0.25">
      <c r="A1010" s="543"/>
      <c r="B1010" s="543"/>
      <c r="C1010" s="543"/>
      <c r="D1010" s="543"/>
      <c r="E1010" s="543"/>
      <c r="F1010" s="543"/>
      <c r="G1010" s="961"/>
      <c r="H1010" s="543"/>
      <c r="I1010" s="543"/>
      <c r="J1010" s="543"/>
      <c r="K1010" s="543"/>
      <c r="L1010" s="543"/>
      <c r="M1010" s="543"/>
      <c r="N1010" s="543"/>
      <c r="O1010" s="543"/>
      <c r="P1010" s="543"/>
      <c r="Q1010" s="543"/>
      <c r="R1010" s="543"/>
      <c r="S1010" s="543"/>
      <c r="T1010" s="543"/>
      <c r="U1010" s="543"/>
    </row>
    <row r="1011" spans="1:21" x14ac:dyDescent="0.25">
      <c r="A1011" s="543"/>
      <c r="B1011" s="543"/>
      <c r="C1011" s="543"/>
      <c r="D1011" s="543"/>
      <c r="E1011" s="543"/>
      <c r="F1011" s="543"/>
      <c r="G1011" s="961"/>
      <c r="H1011" s="543"/>
      <c r="I1011" s="543"/>
      <c r="J1011" s="543"/>
      <c r="K1011" s="543"/>
      <c r="L1011" s="543"/>
      <c r="M1011" s="543"/>
      <c r="N1011" s="543"/>
      <c r="O1011" s="543"/>
      <c r="P1011" s="543"/>
      <c r="Q1011" s="543"/>
      <c r="R1011" s="543"/>
      <c r="S1011" s="543"/>
      <c r="T1011" s="543"/>
      <c r="U1011" s="543"/>
    </row>
    <row r="1012" spans="1:21" x14ac:dyDescent="0.25">
      <c r="A1012" s="543"/>
      <c r="B1012" s="543"/>
      <c r="C1012" s="543"/>
      <c r="D1012" s="543"/>
      <c r="E1012" s="543"/>
      <c r="F1012" s="543"/>
      <c r="G1012" s="961"/>
      <c r="H1012" s="543"/>
      <c r="I1012" s="543"/>
      <c r="J1012" s="543"/>
      <c r="K1012" s="543"/>
      <c r="L1012" s="543"/>
      <c r="M1012" s="543"/>
      <c r="N1012" s="543"/>
      <c r="O1012" s="543"/>
      <c r="P1012" s="543"/>
      <c r="Q1012" s="543"/>
      <c r="R1012" s="543"/>
      <c r="S1012" s="543"/>
      <c r="T1012" s="543"/>
      <c r="U1012" s="543"/>
    </row>
    <row r="1013" spans="1:21" x14ac:dyDescent="0.25">
      <c r="A1013" s="543"/>
      <c r="B1013" s="543"/>
      <c r="C1013" s="543"/>
      <c r="D1013" s="543"/>
      <c r="E1013" s="543"/>
      <c r="F1013" s="543"/>
      <c r="G1013" s="961"/>
      <c r="H1013" s="543"/>
      <c r="I1013" s="543"/>
      <c r="J1013" s="543"/>
      <c r="K1013" s="543"/>
      <c r="L1013" s="543"/>
      <c r="M1013" s="543"/>
      <c r="N1013" s="543"/>
      <c r="O1013" s="543"/>
      <c r="P1013" s="543"/>
      <c r="Q1013" s="543"/>
      <c r="R1013" s="543"/>
      <c r="S1013" s="543"/>
      <c r="T1013" s="543"/>
      <c r="U1013" s="543"/>
    </row>
    <row r="1014" spans="1:21" x14ac:dyDescent="0.25">
      <c r="A1014" s="543"/>
      <c r="B1014" s="543"/>
      <c r="C1014" s="543"/>
      <c r="D1014" s="543"/>
      <c r="E1014" s="543"/>
      <c r="F1014" s="543"/>
      <c r="G1014" s="961"/>
      <c r="H1014" s="543"/>
      <c r="I1014" s="543"/>
      <c r="J1014" s="543"/>
      <c r="K1014" s="543"/>
      <c r="L1014" s="543"/>
      <c r="M1014" s="543"/>
      <c r="N1014" s="543"/>
      <c r="O1014" s="543"/>
      <c r="P1014" s="543"/>
      <c r="Q1014" s="543"/>
      <c r="R1014" s="543"/>
      <c r="S1014" s="543"/>
      <c r="T1014" s="543"/>
      <c r="U1014" s="543"/>
    </row>
    <row r="1015" spans="1:21" x14ac:dyDescent="0.25">
      <c r="A1015" s="543"/>
      <c r="B1015" s="543"/>
      <c r="C1015" s="543"/>
      <c r="D1015" s="543"/>
      <c r="E1015" s="543"/>
      <c r="F1015" s="543"/>
      <c r="G1015" s="961"/>
      <c r="H1015" s="543"/>
      <c r="I1015" s="543"/>
      <c r="J1015" s="543"/>
      <c r="K1015" s="543"/>
      <c r="L1015" s="543"/>
      <c r="M1015" s="543"/>
      <c r="N1015" s="543"/>
      <c r="O1015" s="543"/>
      <c r="P1015" s="543"/>
      <c r="Q1015" s="543"/>
      <c r="R1015" s="543"/>
      <c r="S1015" s="543"/>
      <c r="T1015" s="543"/>
      <c r="U1015" s="543"/>
    </row>
    <row r="1016" spans="1:21" x14ac:dyDescent="0.25">
      <c r="A1016" s="543"/>
      <c r="B1016" s="543"/>
      <c r="C1016" s="543"/>
      <c r="D1016" s="543"/>
      <c r="E1016" s="543"/>
      <c r="F1016" s="543"/>
      <c r="G1016" s="961"/>
      <c r="H1016" s="543"/>
      <c r="I1016" s="543"/>
      <c r="J1016" s="543"/>
      <c r="K1016" s="543"/>
      <c r="L1016" s="543"/>
      <c r="M1016" s="543"/>
      <c r="N1016" s="543"/>
      <c r="O1016" s="543"/>
      <c r="P1016" s="543"/>
      <c r="Q1016" s="543"/>
      <c r="R1016" s="543"/>
      <c r="S1016" s="543"/>
      <c r="T1016" s="543"/>
      <c r="U1016" s="543"/>
    </row>
    <row r="1017" spans="1:21" x14ac:dyDescent="0.25">
      <c r="A1017" s="543"/>
      <c r="B1017" s="543"/>
      <c r="C1017" s="543"/>
      <c r="D1017" s="543"/>
      <c r="E1017" s="543"/>
      <c r="F1017" s="543"/>
      <c r="G1017" s="961"/>
      <c r="H1017" s="543"/>
      <c r="I1017" s="543"/>
      <c r="J1017" s="543"/>
      <c r="K1017" s="543"/>
      <c r="L1017" s="543"/>
      <c r="M1017" s="543"/>
      <c r="N1017" s="543"/>
      <c r="O1017" s="543"/>
      <c r="P1017" s="543"/>
      <c r="Q1017" s="543"/>
      <c r="R1017" s="543"/>
      <c r="S1017" s="543"/>
      <c r="T1017" s="543"/>
      <c r="U1017" s="543"/>
    </row>
    <row r="1018" spans="1:21" x14ac:dyDescent="0.25">
      <c r="A1018" s="543"/>
      <c r="B1018" s="543"/>
      <c r="C1018" s="543"/>
      <c r="D1018" s="543"/>
      <c r="E1018" s="543"/>
      <c r="F1018" s="543"/>
      <c r="G1018" s="961"/>
      <c r="H1018" s="543"/>
      <c r="I1018" s="543"/>
      <c r="J1018" s="543"/>
      <c r="K1018" s="543"/>
      <c r="L1018" s="543"/>
      <c r="M1018" s="543"/>
      <c r="N1018" s="543"/>
      <c r="O1018" s="543"/>
      <c r="P1018" s="543"/>
      <c r="Q1018" s="543"/>
      <c r="R1018" s="543"/>
      <c r="S1018" s="543"/>
      <c r="T1018" s="543"/>
      <c r="U1018" s="543"/>
    </row>
    <row r="1019" spans="1:21" x14ac:dyDescent="0.25">
      <c r="A1019" s="543"/>
      <c r="B1019" s="543"/>
      <c r="C1019" s="543"/>
      <c r="D1019" s="543"/>
      <c r="E1019" s="543"/>
      <c r="F1019" s="543"/>
      <c r="G1019" s="961"/>
      <c r="H1019" s="543"/>
      <c r="I1019" s="543"/>
      <c r="J1019" s="543"/>
      <c r="K1019" s="543"/>
      <c r="L1019" s="543"/>
      <c r="M1019" s="543"/>
      <c r="N1019" s="543"/>
      <c r="O1019" s="543"/>
      <c r="P1019" s="543"/>
      <c r="Q1019" s="543"/>
      <c r="R1019" s="543"/>
      <c r="S1019" s="543"/>
      <c r="T1019" s="543"/>
      <c r="U1019" s="543"/>
    </row>
    <row r="1020" spans="1:21" x14ac:dyDescent="0.25">
      <c r="A1020" s="543"/>
      <c r="B1020" s="543"/>
      <c r="C1020" s="543"/>
      <c r="D1020" s="543"/>
      <c r="E1020" s="543"/>
      <c r="F1020" s="543"/>
      <c r="G1020" s="961"/>
      <c r="H1020" s="543"/>
      <c r="I1020" s="543"/>
      <c r="J1020" s="543"/>
      <c r="K1020" s="543"/>
      <c r="L1020" s="543"/>
      <c r="M1020" s="543"/>
      <c r="N1020" s="543"/>
      <c r="O1020" s="543"/>
      <c r="P1020" s="543"/>
      <c r="Q1020" s="543"/>
      <c r="R1020" s="543"/>
      <c r="S1020" s="543"/>
      <c r="T1020" s="543"/>
      <c r="U1020" s="543"/>
    </row>
    <row r="1021" spans="1:21" x14ac:dyDescent="0.25">
      <c r="A1021" s="543"/>
      <c r="B1021" s="543"/>
      <c r="C1021" s="543"/>
      <c r="D1021" s="543"/>
      <c r="E1021" s="543"/>
      <c r="F1021" s="543"/>
      <c r="G1021" s="961"/>
      <c r="H1021" s="543"/>
      <c r="I1021" s="543"/>
      <c r="J1021" s="543"/>
      <c r="K1021" s="543"/>
      <c r="L1021" s="543"/>
      <c r="M1021" s="543"/>
      <c r="N1021" s="543"/>
      <c r="O1021" s="543"/>
      <c r="P1021" s="543"/>
      <c r="Q1021" s="543"/>
      <c r="R1021" s="543"/>
      <c r="S1021" s="543"/>
      <c r="T1021" s="543"/>
      <c r="U1021" s="543"/>
    </row>
    <row r="1022" spans="1:21" x14ac:dyDescent="0.25">
      <c r="A1022" s="543"/>
      <c r="B1022" s="543"/>
      <c r="C1022" s="543"/>
      <c r="D1022" s="543"/>
      <c r="E1022" s="543"/>
      <c r="F1022" s="543"/>
      <c r="G1022" s="961"/>
      <c r="H1022" s="543"/>
      <c r="I1022" s="543"/>
      <c r="J1022" s="543"/>
      <c r="K1022" s="543"/>
      <c r="L1022" s="543"/>
      <c r="M1022" s="543"/>
      <c r="N1022" s="543"/>
      <c r="O1022" s="543"/>
      <c r="P1022" s="543"/>
      <c r="Q1022" s="543"/>
      <c r="R1022" s="543"/>
      <c r="S1022" s="543"/>
      <c r="T1022" s="543"/>
      <c r="U1022" s="543"/>
    </row>
    <row r="1023" spans="1:21" x14ac:dyDescent="0.25">
      <c r="A1023" s="543"/>
      <c r="B1023" s="543"/>
      <c r="C1023" s="543"/>
      <c r="D1023" s="543"/>
      <c r="E1023" s="543"/>
      <c r="F1023" s="543"/>
      <c r="G1023" s="961"/>
      <c r="H1023" s="543"/>
      <c r="I1023" s="543"/>
      <c r="J1023" s="543"/>
      <c r="K1023" s="543"/>
      <c r="L1023" s="543"/>
      <c r="M1023" s="543"/>
      <c r="N1023" s="543"/>
      <c r="O1023" s="543"/>
      <c r="P1023" s="543"/>
      <c r="Q1023" s="543"/>
      <c r="R1023" s="543"/>
      <c r="S1023" s="543"/>
      <c r="T1023" s="543"/>
      <c r="U1023" s="543"/>
    </row>
    <row r="1024" spans="1:21" x14ac:dyDescent="0.25">
      <c r="A1024" s="543"/>
      <c r="B1024" s="543"/>
      <c r="C1024" s="543"/>
      <c r="D1024" s="543"/>
      <c r="E1024" s="543"/>
      <c r="F1024" s="543"/>
      <c r="G1024" s="961"/>
      <c r="H1024" s="543"/>
      <c r="I1024" s="543"/>
      <c r="J1024" s="543"/>
      <c r="K1024" s="543"/>
      <c r="L1024" s="543"/>
      <c r="M1024" s="543"/>
      <c r="N1024" s="543"/>
      <c r="O1024" s="543"/>
      <c r="P1024" s="543"/>
      <c r="Q1024" s="543"/>
      <c r="R1024" s="543"/>
      <c r="S1024" s="543"/>
      <c r="T1024" s="543"/>
      <c r="U1024" s="543"/>
    </row>
    <row r="1025" spans="1:21" x14ac:dyDescent="0.25">
      <c r="A1025" s="543"/>
      <c r="B1025" s="543"/>
      <c r="C1025" s="543"/>
      <c r="D1025" s="543"/>
      <c r="E1025" s="543"/>
      <c r="F1025" s="543"/>
      <c r="G1025" s="961"/>
      <c r="H1025" s="543"/>
      <c r="I1025" s="543"/>
      <c r="J1025" s="543"/>
      <c r="K1025" s="543"/>
      <c r="L1025" s="543"/>
      <c r="M1025" s="543"/>
      <c r="N1025" s="543"/>
      <c r="O1025" s="543"/>
      <c r="P1025" s="543"/>
      <c r="Q1025" s="543"/>
      <c r="R1025" s="543"/>
      <c r="S1025" s="543"/>
      <c r="T1025" s="543"/>
      <c r="U1025" s="543"/>
    </row>
    <row r="1026" spans="1:21" x14ac:dyDescent="0.25">
      <c r="A1026" s="543"/>
      <c r="B1026" s="543"/>
      <c r="C1026" s="543"/>
      <c r="D1026" s="543"/>
      <c r="E1026" s="543"/>
      <c r="F1026" s="543"/>
      <c r="G1026" s="961"/>
      <c r="H1026" s="543"/>
      <c r="I1026" s="543"/>
      <c r="J1026" s="543"/>
      <c r="K1026" s="543"/>
      <c r="L1026" s="543"/>
      <c r="M1026" s="543"/>
      <c r="N1026" s="543"/>
      <c r="O1026" s="543"/>
      <c r="P1026" s="543"/>
      <c r="Q1026" s="543"/>
      <c r="R1026" s="543"/>
      <c r="S1026" s="543"/>
      <c r="T1026" s="543"/>
      <c r="U1026" s="543"/>
    </row>
    <row r="1027" spans="1:21" x14ac:dyDescent="0.25">
      <c r="A1027" s="543"/>
      <c r="B1027" s="543"/>
      <c r="C1027" s="543"/>
      <c r="D1027" s="543"/>
      <c r="E1027" s="543"/>
      <c r="F1027" s="543"/>
      <c r="G1027" s="961"/>
      <c r="H1027" s="543"/>
      <c r="I1027" s="543"/>
      <c r="J1027" s="543"/>
      <c r="K1027" s="543"/>
      <c r="L1027" s="543"/>
      <c r="M1027" s="543"/>
      <c r="N1027" s="543"/>
      <c r="O1027" s="543"/>
      <c r="P1027" s="543"/>
      <c r="Q1027" s="543"/>
      <c r="R1027" s="543"/>
      <c r="S1027" s="543"/>
      <c r="T1027" s="543"/>
      <c r="U1027" s="543"/>
    </row>
    <row r="1028" spans="1:21" x14ac:dyDescent="0.25">
      <c r="A1028" s="543"/>
      <c r="B1028" s="543"/>
      <c r="C1028" s="543"/>
      <c r="D1028" s="543"/>
      <c r="E1028" s="543"/>
      <c r="F1028" s="543"/>
      <c r="G1028" s="961"/>
      <c r="H1028" s="543"/>
      <c r="I1028" s="543"/>
      <c r="J1028" s="543"/>
      <c r="K1028" s="543"/>
      <c r="L1028" s="543"/>
      <c r="M1028" s="543"/>
      <c r="N1028" s="543"/>
      <c r="O1028" s="543"/>
      <c r="P1028" s="543"/>
      <c r="Q1028" s="543"/>
      <c r="R1028" s="543"/>
      <c r="S1028" s="543"/>
      <c r="T1028" s="543"/>
      <c r="U1028" s="543"/>
    </row>
    <row r="1029" spans="1:21" x14ac:dyDescent="0.25">
      <c r="A1029" s="543"/>
      <c r="B1029" s="543"/>
      <c r="C1029" s="543"/>
      <c r="D1029" s="543"/>
      <c r="E1029" s="543"/>
      <c r="F1029" s="543"/>
      <c r="G1029" s="961"/>
      <c r="H1029" s="543"/>
      <c r="I1029" s="543"/>
      <c r="J1029" s="543"/>
      <c r="K1029" s="543"/>
      <c r="L1029" s="543"/>
      <c r="M1029" s="543"/>
      <c r="N1029" s="543"/>
      <c r="O1029" s="543"/>
      <c r="P1029" s="543"/>
      <c r="Q1029" s="543"/>
      <c r="R1029" s="543"/>
      <c r="S1029" s="543"/>
      <c r="T1029" s="543"/>
      <c r="U1029" s="543"/>
    </row>
    <row r="1030" spans="1:21" x14ac:dyDescent="0.25">
      <c r="A1030" s="543"/>
      <c r="B1030" s="543"/>
      <c r="C1030" s="543"/>
      <c r="D1030" s="543"/>
      <c r="E1030" s="543"/>
      <c r="F1030" s="543"/>
      <c r="G1030" s="961"/>
      <c r="H1030" s="543"/>
      <c r="I1030" s="543"/>
      <c r="J1030" s="543"/>
      <c r="K1030" s="543"/>
      <c r="L1030" s="543"/>
      <c r="M1030" s="543"/>
      <c r="N1030" s="543"/>
      <c r="O1030" s="543"/>
      <c r="P1030" s="543"/>
      <c r="Q1030" s="543"/>
      <c r="R1030" s="543"/>
      <c r="S1030" s="543"/>
      <c r="T1030" s="543"/>
      <c r="U1030" s="543"/>
    </row>
    <row r="1031" spans="1:21" x14ac:dyDescent="0.25">
      <c r="A1031" s="543"/>
      <c r="B1031" s="543"/>
      <c r="C1031" s="543"/>
      <c r="D1031" s="543"/>
      <c r="E1031" s="543"/>
      <c r="F1031" s="543"/>
      <c r="G1031" s="961"/>
      <c r="H1031" s="543"/>
      <c r="I1031" s="543"/>
      <c r="J1031" s="543"/>
      <c r="K1031" s="543"/>
      <c r="L1031" s="543"/>
      <c r="M1031" s="543"/>
      <c r="N1031" s="543"/>
      <c r="O1031" s="543"/>
      <c r="P1031" s="543"/>
      <c r="Q1031" s="543"/>
      <c r="R1031" s="543"/>
      <c r="S1031" s="543"/>
      <c r="T1031" s="543"/>
      <c r="U1031" s="543"/>
    </row>
    <row r="1032" spans="1:21" x14ac:dyDescent="0.25">
      <c r="A1032" s="543"/>
      <c r="B1032" s="543"/>
      <c r="C1032" s="543"/>
      <c r="D1032" s="543"/>
      <c r="E1032" s="543"/>
      <c r="F1032" s="543"/>
      <c r="G1032" s="961"/>
      <c r="H1032" s="543"/>
      <c r="I1032" s="543"/>
      <c r="J1032" s="543"/>
      <c r="K1032" s="543"/>
      <c r="L1032" s="543"/>
      <c r="M1032" s="543"/>
      <c r="N1032" s="543"/>
      <c r="O1032" s="543"/>
      <c r="P1032" s="543"/>
      <c r="Q1032" s="543"/>
      <c r="R1032" s="543"/>
      <c r="S1032" s="543"/>
      <c r="T1032" s="543"/>
      <c r="U1032" s="543"/>
    </row>
    <row r="1033" spans="1:21" x14ac:dyDescent="0.25">
      <c r="A1033" s="543"/>
      <c r="B1033" s="543"/>
      <c r="C1033" s="543"/>
      <c r="D1033" s="543"/>
      <c r="E1033" s="543"/>
      <c r="F1033" s="543"/>
      <c r="G1033" s="961"/>
      <c r="H1033" s="543"/>
      <c r="I1033" s="543"/>
      <c r="J1033" s="543"/>
      <c r="K1033" s="543"/>
      <c r="L1033" s="543"/>
      <c r="M1033" s="543"/>
      <c r="N1033" s="543"/>
      <c r="O1033" s="543"/>
      <c r="P1033" s="543"/>
      <c r="Q1033" s="543"/>
      <c r="R1033" s="543"/>
      <c r="S1033" s="543"/>
      <c r="T1033" s="543"/>
      <c r="U1033" s="543"/>
    </row>
    <row r="1034" spans="1:21" x14ac:dyDescent="0.25">
      <c r="A1034" s="543"/>
      <c r="B1034" s="543"/>
      <c r="C1034" s="543"/>
      <c r="D1034" s="543"/>
      <c r="E1034" s="543"/>
      <c r="F1034" s="543"/>
      <c r="G1034" s="961"/>
      <c r="H1034" s="543"/>
      <c r="I1034" s="543"/>
      <c r="J1034" s="543"/>
      <c r="K1034" s="543"/>
      <c r="L1034" s="543"/>
      <c r="M1034" s="543"/>
      <c r="N1034" s="543"/>
      <c r="O1034" s="543"/>
      <c r="P1034" s="543"/>
      <c r="Q1034" s="543"/>
      <c r="R1034" s="543"/>
      <c r="S1034" s="543"/>
      <c r="T1034" s="543"/>
      <c r="U1034" s="543"/>
    </row>
    <row r="1035" spans="1:21" x14ac:dyDescent="0.25">
      <c r="A1035" s="543"/>
      <c r="B1035" s="543"/>
      <c r="C1035" s="543"/>
      <c r="D1035" s="543"/>
      <c r="E1035" s="543"/>
      <c r="F1035" s="543"/>
      <c r="G1035" s="961"/>
      <c r="H1035" s="543"/>
      <c r="I1035" s="543"/>
      <c r="J1035" s="543"/>
      <c r="K1035" s="543"/>
      <c r="L1035" s="543"/>
      <c r="M1035" s="543"/>
      <c r="N1035" s="543"/>
      <c r="O1035" s="543"/>
      <c r="P1035" s="543"/>
      <c r="Q1035" s="543"/>
      <c r="R1035" s="543"/>
      <c r="S1035" s="543"/>
      <c r="T1035" s="543"/>
      <c r="U1035" s="543"/>
    </row>
    <row r="1036" spans="1:21" x14ac:dyDescent="0.25">
      <c r="A1036" s="543"/>
      <c r="B1036" s="543"/>
      <c r="C1036" s="543"/>
      <c r="D1036" s="543"/>
      <c r="E1036" s="543"/>
      <c r="F1036" s="543"/>
      <c r="G1036" s="961"/>
      <c r="H1036" s="543"/>
      <c r="I1036" s="543"/>
      <c r="J1036" s="543"/>
      <c r="K1036" s="543"/>
      <c r="L1036" s="543"/>
      <c r="M1036" s="543"/>
      <c r="N1036" s="543"/>
      <c r="O1036" s="543"/>
      <c r="P1036" s="543"/>
      <c r="Q1036" s="543"/>
      <c r="R1036" s="543"/>
      <c r="S1036" s="543"/>
      <c r="T1036" s="543"/>
      <c r="U1036" s="543"/>
    </row>
    <row r="1037" spans="1:21" x14ac:dyDescent="0.25">
      <c r="A1037" s="543"/>
      <c r="B1037" s="543"/>
      <c r="C1037" s="543"/>
      <c r="D1037" s="543"/>
      <c r="E1037" s="543"/>
      <c r="F1037" s="543"/>
      <c r="G1037" s="961"/>
      <c r="H1037" s="543"/>
      <c r="I1037" s="543"/>
      <c r="J1037" s="543"/>
      <c r="K1037" s="543"/>
      <c r="L1037" s="543"/>
      <c r="M1037" s="543"/>
      <c r="N1037" s="543"/>
      <c r="O1037" s="543"/>
      <c r="P1037" s="543"/>
      <c r="Q1037" s="543"/>
      <c r="R1037" s="543"/>
      <c r="S1037" s="543"/>
      <c r="T1037" s="543"/>
      <c r="U1037" s="543"/>
    </row>
    <row r="1038" spans="1:21" x14ac:dyDescent="0.25">
      <c r="A1038" s="543"/>
      <c r="B1038" s="543"/>
      <c r="C1038" s="543"/>
      <c r="D1038" s="543"/>
      <c r="E1038" s="543"/>
      <c r="F1038" s="543"/>
      <c r="G1038" s="961"/>
      <c r="H1038" s="543"/>
      <c r="I1038" s="543"/>
      <c r="J1038" s="543"/>
      <c r="K1038" s="543"/>
      <c r="L1038" s="543"/>
      <c r="M1038" s="543"/>
      <c r="N1038" s="543"/>
      <c r="O1038" s="543"/>
      <c r="P1038" s="543"/>
      <c r="Q1038" s="543"/>
      <c r="R1038" s="543"/>
      <c r="S1038" s="543"/>
      <c r="T1038" s="543"/>
      <c r="U1038" s="543"/>
    </row>
    <row r="1039" spans="1:21" x14ac:dyDescent="0.25">
      <c r="A1039" s="543"/>
      <c r="B1039" s="543"/>
      <c r="C1039" s="543"/>
      <c r="D1039" s="543"/>
      <c r="E1039" s="543"/>
      <c r="F1039" s="543"/>
      <c r="G1039" s="961"/>
      <c r="H1039" s="543"/>
      <c r="I1039" s="543"/>
      <c r="J1039" s="543"/>
      <c r="K1039" s="543"/>
      <c r="L1039" s="543"/>
      <c r="M1039" s="543"/>
      <c r="N1039" s="543"/>
      <c r="O1039" s="543"/>
      <c r="P1039" s="543"/>
      <c r="Q1039" s="543"/>
      <c r="R1039" s="543"/>
      <c r="S1039" s="543"/>
      <c r="T1039" s="543"/>
      <c r="U1039" s="543"/>
    </row>
    <row r="1040" spans="1:21" x14ac:dyDescent="0.25">
      <c r="A1040" s="543"/>
      <c r="B1040" s="543"/>
      <c r="C1040" s="543"/>
      <c r="D1040" s="543"/>
      <c r="E1040" s="543"/>
      <c r="F1040" s="543"/>
      <c r="G1040" s="961"/>
      <c r="H1040" s="543"/>
      <c r="I1040" s="543"/>
      <c r="J1040" s="543"/>
      <c r="K1040" s="543"/>
      <c r="L1040" s="543"/>
      <c r="M1040" s="543"/>
      <c r="N1040" s="543"/>
      <c r="O1040" s="543"/>
      <c r="P1040" s="543"/>
      <c r="Q1040" s="543"/>
      <c r="R1040" s="543"/>
      <c r="S1040" s="543"/>
      <c r="T1040" s="543"/>
      <c r="U1040" s="543"/>
    </row>
    <row r="1041" spans="1:21" x14ac:dyDescent="0.25">
      <c r="A1041" s="543"/>
      <c r="B1041" s="543"/>
      <c r="C1041" s="543"/>
      <c r="D1041" s="543"/>
      <c r="E1041" s="543"/>
      <c r="F1041" s="543"/>
      <c r="G1041" s="961"/>
      <c r="H1041" s="543"/>
      <c r="I1041" s="543"/>
      <c r="J1041" s="543"/>
      <c r="K1041" s="543"/>
      <c r="L1041" s="543"/>
      <c r="M1041" s="543"/>
      <c r="N1041" s="543"/>
      <c r="O1041" s="543"/>
      <c r="P1041" s="543"/>
      <c r="Q1041" s="543"/>
      <c r="R1041" s="543"/>
      <c r="S1041" s="543"/>
      <c r="T1041" s="543"/>
      <c r="U1041" s="543"/>
    </row>
    <row r="1042" spans="1:21" x14ac:dyDescent="0.25">
      <c r="A1042" s="543"/>
      <c r="B1042" s="543"/>
      <c r="C1042" s="543"/>
      <c r="D1042" s="543"/>
      <c r="E1042" s="543"/>
      <c r="F1042" s="543"/>
      <c r="G1042" s="961"/>
      <c r="H1042" s="543"/>
      <c r="I1042" s="543"/>
      <c r="J1042" s="543"/>
      <c r="K1042" s="543"/>
      <c r="L1042" s="543"/>
      <c r="M1042" s="543"/>
      <c r="N1042" s="543"/>
      <c r="O1042" s="543"/>
      <c r="P1042" s="543"/>
      <c r="Q1042" s="543"/>
      <c r="R1042" s="543"/>
      <c r="S1042" s="543"/>
      <c r="T1042" s="543"/>
      <c r="U1042" s="543"/>
    </row>
    <row r="1043" spans="1:21" x14ac:dyDescent="0.25">
      <c r="A1043" s="543"/>
      <c r="B1043" s="543"/>
      <c r="C1043" s="543"/>
      <c r="D1043" s="543"/>
      <c r="E1043" s="543"/>
      <c r="F1043" s="543"/>
      <c r="G1043" s="961"/>
      <c r="H1043" s="543"/>
      <c r="I1043" s="543"/>
      <c r="J1043" s="543"/>
      <c r="K1043" s="543"/>
      <c r="L1043" s="543"/>
      <c r="M1043" s="543"/>
      <c r="N1043" s="543"/>
      <c r="O1043" s="543"/>
      <c r="P1043" s="543"/>
      <c r="Q1043" s="543"/>
      <c r="R1043" s="543"/>
      <c r="S1043" s="543"/>
      <c r="T1043" s="543"/>
      <c r="U1043" s="543"/>
    </row>
    <row r="1044" spans="1:21" x14ac:dyDescent="0.25">
      <c r="A1044" s="543"/>
      <c r="B1044" s="543"/>
      <c r="C1044" s="543"/>
      <c r="D1044" s="543"/>
      <c r="E1044" s="543"/>
      <c r="F1044" s="543"/>
      <c r="G1044" s="961"/>
      <c r="H1044" s="543"/>
      <c r="I1044" s="543"/>
      <c r="J1044" s="543"/>
      <c r="K1044" s="543"/>
      <c r="L1044" s="543"/>
      <c r="M1044" s="543"/>
      <c r="N1044" s="543"/>
      <c r="O1044" s="543"/>
      <c r="P1044" s="543"/>
      <c r="Q1044" s="543"/>
      <c r="R1044" s="543"/>
      <c r="S1044" s="543"/>
      <c r="T1044" s="543"/>
      <c r="U1044" s="543"/>
    </row>
    <row r="1045" spans="1:21" x14ac:dyDescent="0.25">
      <c r="A1045" s="543"/>
      <c r="B1045" s="543"/>
      <c r="C1045" s="543"/>
      <c r="D1045" s="543"/>
      <c r="E1045" s="543"/>
      <c r="F1045" s="543"/>
      <c r="G1045" s="961"/>
      <c r="H1045" s="543"/>
      <c r="I1045" s="543"/>
      <c r="J1045" s="543"/>
      <c r="K1045" s="543"/>
      <c r="L1045" s="543"/>
      <c r="M1045" s="543"/>
      <c r="N1045" s="543"/>
      <c r="O1045" s="543"/>
      <c r="P1045" s="543"/>
      <c r="Q1045" s="543"/>
      <c r="R1045" s="543"/>
      <c r="S1045" s="543"/>
      <c r="T1045" s="543"/>
      <c r="U1045" s="543"/>
    </row>
    <row r="1046" spans="1:21" x14ac:dyDescent="0.25">
      <c r="A1046" s="543"/>
      <c r="B1046" s="543"/>
      <c r="C1046" s="543"/>
      <c r="D1046" s="543"/>
      <c r="E1046" s="543"/>
      <c r="F1046" s="543"/>
      <c r="G1046" s="961"/>
      <c r="H1046" s="543"/>
      <c r="I1046" s="543"/>
      <c r="J1046" s="543"/>
      <c r="K1046" s="543"/>
      <c r="L1046" s="543"/>
      <c r="M1046" s="543"/>
      <c r="N1046" s="543"/>
      <c r="O1046" s="543"/>
      <c r="P1046" s="543"/>
      <c r="Q1046" s="543"/>
      <c r="R1046" s="543"/>
      <c r="S1046" s="543"/>
      <c r="T1046" s="543"/>
      <c r="U1046" s="543"/>
    </row>
    <row r="1047" spans="1:21" x14ac:dyDescent="0.25">
      <c r="A1047" s="543"/>
      <c r="B1047" s="543"/>
      <c r="C1047" s="543"/>
      <c r="D1047" s="543"/>
      <c r="E1047" s="543"/>
      <c r="F1047" s="543"/>
      <c r="G1047" s="961"/>
      <c r="H1047" s="543"/>
      <c r="I1047" s="543"/>
      <c r="J1047" s="543"/>
      <c r="K1047" s="543"/>
      <c r="L1047" s="543"/>
      <c r="M1047" s="543"/>
      <c r="N1047" s="543"/>
      <c r="O1047" s="543"/>
      <c r="P1047" s="543"/>
      <c r="Q1047" s="543"/>
      <c r="R1047" s="543"/>
      <c r="S1047" s="543"/>
      <c r="T1047" s="543"/>
      <c r="U1047" s="543"/>
    </row>
    <row r="1048" spans="1:21" x14ac:dyDescent="0.25">
      <c r="A1048" s="543"/>
      <c r="B1048" s="543"/>
      <c r="C1048" s="543"/>
      <c r="D1048" s="543"/>
      <c r="E1048" s="543"/>
      <c r="F1048" s="543"/>
      <c r="G1048" s="961"/>
      <c r="H1048" s="543"/>
      <c r="I1048" s="543"/>
      <c r="J1048" s="543"/>
      <c r="K1048" s="543"/>
      <c r="L1048" s="543"/>
      <c r="M1048" s="543"/>
      <c r="N1048" s="543"/>
      <c r="O1048" s="543"/>
      <c r="P1048" s="543"/>
      <c r="Q1048" s="543"/>
      <c r="R1048" s="543"/>
      <c r="S1048" s="543"/>
      <c r="T1048" s="543"/>
      <c r="U1048" s="543"/>
    </row>
    <row r="1049" spans="1:21" x14ac:dyDescent="0.25">
      <c r="A1049" s="543"/>
      <c r="B1049" s="543"/>
      <c r="C1049" s="543"/>
      <c r="D1049" s="543"/>
      <c r="E1049" s="543"/>
      <c r="F1049" s="543"/>
      <c r="G1049" s="961"/>
      <c r="H1049" s="543"/>
      <c r="I1049" s="543"/>
      <c r="J1049" s="543"/>
      <c r="K1049" s="543"/>
      <c r="L1049" s="543"/>
      <c r="M1049" s="543"/>
      <c r="N1049" s="543"/>
      <c r="O1049" s="543"/>
      <c r="P1049" s="543"/>
      <c r="Q1049" s="543"/>
      <c r="R1049" s="543"/>
      <c r="S1049" s="543"/>
      <c r="T1049" s="543"/>
      <c r="U1049" s="543"/>
    </row>
    <row r="1050" spans="1:21" x14ac:dyDescent="0.25">
      <c r="A1050" s="543"/>
      <c r="B1050" s="543"/>
      <c r="C1050" s="543"/>
      <c r="D1050" s="543"/>
      <c r="E1050" s="543"/>
      <c r="F1050" s="543"/>
      <c r="G1050" s="961"/>
      <c r="H1050" s="543"/>
      <c r="I1050" s="543"/>
      <c r="J1050" s="543"/>
      <c r="K1050" s="543"/>
      <c r="L1050" s="543"/>
      <c r="M1050" s="543"/>
      <c r="N1050" s="543"/>
      <c r="O1050" s="543"/>
      <c r="P1050" s="543"/>
      <c r="Q1050" s="543"/>
      <c r="R1050" s="543"/>
      <c r="S1050" s="543"/>
      <c r="T1050" s="543"/>
      <c r="U1050" s="543"/>
    </row>
    <row r="1051" spans="1:21" x14ac:dyDescent="0.25">
      <c r="A1051" s="543"/>
      <c r="B1051" s="543"/>
      <c r="C1051" s="543"/>
      <c r="D1051" s="543"/>
      <c r="E1051" s="543"/>
      <c r="F1051" s="543"/>
      <c r="G1051" s="961"/>
      <c r="H1051" s="543"/>
      <c r="I1051" s="543"/>
      <c r="J1051" s="543"/>
      <c r="K1051" s="543"/>
      <c r="L1051" s="543"/>
      <c r="M1051" s="543"/>
      <c r="N1051" s="543"/>
      <c r="O1051" s="543"/>
      <c r="P1051" s="543"/>
      <c r="Q1051" s="543"/>
      <c r="R1051" s="543"/>
      <c r="S1051" s="543"/>
      <c r="T1051" s="543"/>
      <c r="U1051" s="543"/>
    </row>
    <row r="1052" spans="1:21" x14ac:dyDescent="0.25">
      <c r="A1052" s="543"/>
      <c r="B1052" s="543"/>
      <c r="C1052" s="543"/>
      <c r="D1052" s="543"/>
      <c r="E1052" s="543"/>
      <c r="F1052" s="543"/>
      <c r="G1052" s="961"/>
      <c r="H1052" s="543"/>
      <c r="I1052" s="543"/>
      <c r="J1052" s="543"/>
      <c r="K1052" s="543"/>
      <c r="L1052" s="543"/>
      <c r="M1052" s="543"/>
      <c r="N1052" s="543"/>
      <c r="O1052" s="543"/>
      <c r="P1052" s="543"/>
      <c r="Q1052" s="543"/>
      <c r="R1052" s="543"/>
      <c r="S1052" s="543"/>
      <c r="T1052" s="543"/>
      <c r="U1052" s="543"/>
    </row>
    <row r="1053" spans="1:21" x14ac:dyDescent="0.25">
      <c r="A1053" s="543"/>
      <c r="B1053" s="543"/>
      <c r="C1053" s="543"/>
      <c r="D1053" s="543"/>
      <c r="E1053" s="543"/>
      <c r="F1053" s="543"/>
      <c r="G1053" s="961"/>
      <c r="H1053" s="543"/>
      <c r="I1053" s="543"/>
      <c r="J1053" s="543"/>
      <c r="K1053" s="543"/>
      <c r="L1053" s="543"/>
      <c r="M1053" s="543"/>
      <c r="N1053" s="543"/>
      <c r="O1053" s="543"/>
      <c r="P1053" s="543"/>
      <c r="Q1053" s="543"/>
      <c r="R1053" s="543"/>
      <c r="S1053" s="543"/>
      <c r="T1053" s="543"/>
      <c r="U1053" s="543"/>
    </row>
    <row r="1054" spans="1:21" x14ac:dyDescent="0.25">
      <c r="A1054" s="543"/>
      <c r="B1054" s="543"/>
      <c r="C1054" s="543"/>
      <c r="D1054" s="543"/>
      <c r="E1054" s="543"/>
      <c r="F1054" s="543"/>
      <c r="G1054" s="961"/>
      <c r="H1054" s="543"/>
      <c r="I1054" s="543"/>
      <c r="J1054" s="543"/>
      <c r="K1054" s="543"/>
      <c r="L1054" s="543"/>
      <c r="M1054" s="543"/>
      <c r="N1054" s="543"/>
      <c r="O1054" s="543"/>
      <c r="P1054" s="543"/>
      <c r="Q1054" s="543"/>
      <c r="R1054" s="543"/>
      <c r="S1054" s="543"/>
      <c r="T1054" s="543"/>
      <c r="U1054" s="543"/>
    </row>
    <row r="1055" spans="1:21" x14ac:dyDescent="0.25">
      <c r="A1055" s="543"/>
      <c r="B1055" s="543"/>
      <c r="C1055" s="543"/>
      <c r="D1055" s="543"/>
      <c r="E1055" s="543"/>
      <c r="F1055" s="543"/>
      <c r="G1055" s="961"/>
      <c r="H1055" s="543"/>
      <c r="I1055" s="543"/>
      <c r="J1055" s="543"/>
      <c r="K1055" s="543"/>
      <c r="L1055" s="543"/>
      <c r="M1055" s="543"/>
      <c r="N1055" s="543"/>
      <c r="O1055" s="543"/>
      <c r="P1055" s="543"/>
      <c r="Q1055" s="543"/>
      <c r="R1055" s="543"/>
      <c r="S1055" s="543"/>
      <c r="T1055" s="543"/>
      <c r="U1055" s="543"/>
    </row>
    <row r="1056" spans="1:21" x14ac:dyDescent="0.25">
      <c r="A1056" s="543"/>
      <c r="B1056" s="543"/>
      <c r="C1056" s="543"/>
      <c r="D1056" s="543"/>
      <c r="E1056" s="543"/>
      <c r="F1056" s="543"/>
      <c r="G1056" s="961"/>
      <c r="H1056" s="543"/>
      <c r="I1056" s="543"/>
      <c r="J1056" s="543"/>
      <c r="K1056" s="543"/>
      <c r="L1056" s="543"/>
      <c r="M1056" s="543"/>
      <c r="N1056" s="543"/>
      <c r="O1056" s="543"/>
      <c r="P1056" s="543"/>
      <c r="Q1056" s="543"/>
      <c r="R1056" s="543"/>
      <c r="S1056" s="543"/>
      <c r="T1056" s="543"/>
      <c r="U1056" s="543"/>
    </row>
    <row r="1057" spans="1:21" x14ac:dyDescent="0.25">
      <c r="A1057" s="543"/>
      <c r="B1057" s="543"/>
      <c r="C1057" s="543"/>
      <c r="D1057" s="543"/>
      <c r="E1057" s="543"/>
      <c r="F1057" s="543"/>
      <c r="G1057" s="961"/>
      <c r="H1057" s="543"/>
      <c r="I1057" s="543"/>
      <c r="J1057" s="543"/>
      <c r="K1057" s="543"/>
      <c r="L1057" s="543"/>
      <c r="M1057" s="543"/>
      <c r="N1057" s="543"/>
      <c r="O1057" s="543"/>
      <c r="P1057" s="543"/>
      <c r="Q1057" s="543"/>
      <c r="R1057" s="543"/>
      <c r="S1057" s="543"/>
      <c r="T1057" s="543"/>
      <c r="U1057" s="543"/>
    </row>
    <row r="1058" spans="1:21" x14ac:dyDescent="0.25">
      <c r="A1058" s="543"/>
      <c r="B1058" s="543"/>
      <c r="C1058" s="543"/>
      <c r="D1058" s="543"/>
      <c r="E1058" s="543"/>
      <c r="F1058" s="543"/>
      <c r="G1058" s="961"/>
      <c r="H1058" s="543"/>
      <c r="I1058" s="543"/>
      <c r="J1058" s="543"/>
      <c r="K1058" s="543"/>
      <c r="L1058" s="543"/>
      <c r="M1058" s="543"/>
      <c r="N1058" s="543"/>
      <c r="O1058" s="543"/>
      <c r="P1058" s="543"/>
      <c r="Q1058" s="543"/>
      <c r="R1058" s="543"/>
      <c r="S1058" s="543"/>
      <c r="T1058" s="543"/>
      <c r="U1058" s="543"/>
    </row>
    <row r="1059" spans="1:21" x14ac:dyDescent="0.25">
      <c r="A1059" s="543"/>
      <c r="B1059" s="543"/>
      <c r="C1059" s="543"/>
      <c r="D1059" s="543"/>
      <c r="E1059" s="543"/>
      <c r="F1059" s="543"/>
      <c r="G1059" s="961"/>
      <c r="H1059" s="543"/>
      <c r="I1059" s="543"/>
      <c r="J1059" s="543"/>
      <c r="K1059" s="543"/>
      <c r="L1059" s="543"/>
      <c r="M1059" s="543"/>
      <c r="N1059" s="543"/>
      <c r="O1059" s="543"/>
      <c r="P1059" s="543"/>
      <c r="Q1059" s="543"/>
      <c r="R1059" s="543"/>
      <c r="S1059" s="543"/>
      <c r="T1059" s="543"/>
      <c r="U1059" s="543"/>
    </row>
    <row r="1060" spans="1:21" x14ac:dyDescent="0.25">
      <c r="A1060" s="543"/>
      <c r="B1060" s="543"/>
      <c r="C1060" s="543"/>
      <c r="D1060" s="543"/>
      <c r="E1060" s="543"/>
      <c r="F1060" s="543"/>
      <c r="G1060" s="961"/>
      <c r="H1060" s="543"/>
      <c r="I1060" s="543"/>
      <c r="J1060" s="543"/>
      <c r="K1060" s="543"/>
      <c r="L1060" s="543"/>
      <c r="M1060" s="543"/>
      <c r="N1060" s="543"/>
      <c r="O1060" s="543"/>
      <c r="P1060" s="543"/>
      <c r="Q1060" s="543"/>
      <c r="R1060" s="543"/>
      <c r="S1060" s="543"/>
      <c r="T1060" s="543"/>
      <c r="U1060" s="543"/>
    </row>
    <row r="1061" spans="1:21" x14ac:dyDescent="0.25">
      <c r="A1061" s="543"/>
      <c r="B1061" s="543"/>
      <c r="C1061" s="543"/>
      <c r="D1061" s="543"/>
      <c r="E1061" s="543"/>
      <c r="F1061" s="543"/>
      <c r="G1061" s="961"/>
      <c r="H1061" s="543"/>
      <c r="I1061" s="543"/>
      <c r="J1061" s="543"/>
      <c r="K1061" s="543"/>
      <c r="L1061" s="543"/>
      <c r="M1061" s="543"/>
      <c r="N1061" s="543"/>
      <c r="O1061" s="543"/>
      <c r="P1061" s="543"/>
      <c r="Q1061" s="543"/>
      <c r="R1061" s="543"/>
      <c r="S1061" s="543"/>
      <c r="T1061" s="543"/>
      <c r="U1061" s="543"/>
    </row>
    <row r="1062" spans="1:21" x14ac:dyDescent="0.25">
      <c r="A1062" s="543"/>
      <c r="B1062" s="543"/>
      <c r="C1062" s="543"/>
      <c r="D1062" s="543"/>
      <c r="E1062" s="543"/>
      <c r="F1062" s="543"/>
      <c r="G1062" s="961"/>
      <c r="H1062" s="543"/>
      <c r="I1062" s="543"/>
      <c r="J1062" s="543"/>
      <c r="K1062" s="543"/>
      <c r="L1062" s="543"/>
      <c r="M1062" s="543"/>
      <c r="N1062" s="543"/>
      <c r="O1062" s="543"/>
      <c r="P1062" s="543"/>
      <c r="Q1062" s="543"/>
      <c r="R1062" s="543"/>
      <c r="S1062" s="543"/>
      <c r="T1062" s="543"/>
      <c r="U1062" s="543"/>
    </row>
    <row r="1063" spans="1:21" x14ac:dyDescent="0.25">
      <c r="A1063" s="543"/>
      <c r="B1063" s="543"/>
      <c r="C1063" s="543"/>
      <c r="D1063" s="543"/>
      <c r="E1063" s="543"/>
      <c r="F1063" s="543"/>
      <c r="G1063" s="961"/>
      <c r="H1063" s="543"/>
      <c r="I1063" s="543"/>
      <c r="J1063" s="543"/>
      <c r="K1063" s="543"/>
      <c r="L1063" s="543"/>
      <c r="M1063" s="543"/>
      <c r="N1063" s="543"/>
      <c r="O1063" s="543"/>
      <c r="P1063" s="543"/>
      <c r="Q1063" s="543"/>
      <c r="R1063" s="543"/>
      <c r="S1063" s="543"/>
      <c r="T1063" s="543"/>
      <c r="U1063" s="543"/>
    </row>
    <row r="1064" spans="1:21" x14ac:dyDescent="0.25">
      <c r="A1064" s="543"/>
      <c r="B1064" s="543"/>
      <c r="C1064" s="543"/>
      <c r="D1064" s="543"/>
      <c r="E1064" s="543"/>
      <c r="F1064" s="543"/>
      <c r="G1064" s="961"/>
      <c r="H1064" s="543"/>
      <c r="I1064" s="543"/>
      <c r="J1064" s="543"/>
      <c r="K1064" s="543"/>
      <c r="L1064" s="543"/>
      <c r="M1064" s="543"/>
      <c r="N1064" s="543"/>
      <c r="O1064" s="543"/>
      <c r="P1064" s="543"/>
      <c r="Q1064" s="543"/>
      <c r="R1064" s="543"/>
      <c r="S1064" s="543"/>
      <c r="T1064" s="543"/>
      <c r="U1064" s="543"/>
    </row>
    <row r="1065" spans="1:21" x14ac:dyDescent="0.25">
      <c r="A1065" s="543"/>
      <c r="B1065" s="543"/>
      <c r="C1065" s="543"/>
      <c r="D1065" s="543"/>
      <c r="E1065" s="543"/>
      <c r="F1065" s="543"/>
      <c r="G1065" s="961"/>
      <c r="H1065" s="543"/>
      <c r="I1065" s="543"/>
      <c r="J1065" s="543"/>
      <c r="K1065" s="543"/>
      <c r="L1065" s="543"/>
      <c r="M1065" s="543"/>
      <c r="N1065" s="543"/>
      <c r="O1065" s="543"/>
      <c r="P1065" s="543"/>
      <c r="Q1065" s="543"/>
      <c r="R1065" s="543"/>
      <c r="S1065" s="543"/>
      <c r="T1065" s="543"/>
      <c r="U1065" s="543"/>
    </row>
    <row r="1066" spans="1:21" x14ac:dyDescent="0.25">
      <c r="A1066" s="543"/>
      <c r="B1066" s="543"/>
      <c r="C1066" s="543"/>
      <c r="D1066" s="543"/>
      <c r="E1066" s="543"/>
      <c r="F1066" s="543"/>
      <c r="G1066" s="961"/>
      <c r="H1066" s="543"/>
      <c r="I1066" s="543"/>
      <c r="J1066" s="543"/>
      <c r="K1066" s="543"/>
      <c r="L1066" s="543"/>
      <c r="M1066" s="543"/>
      <c r="N1066" s="543"/>
      <c r="O1066" s="543"/>
      <c r="P1066" s="543"/>
      <c r="Q1066" s="543"/>
      <c r="R1066" s="543"/>
      <c r="S1066" s="543"/>
      <c r="T1066" s="543"/>
      <c r="U1066" s="543"/>
    </row>
    <row r="1067" spans="1:21" x14ac:dyDescent="0.25">
      <c r="A1067" s="543"/>
      <c r="B1067" s="543"/>
      <c r="C1067" s="543"/>
      <c r="D1067" s="543"/>
      <c r="E1067" s="543"/>
      <c r="F1067" s="543"/>
      <c r="G1067" s="961"/>
      <c r="H1067" s="543"/>
      <c r="I1067" s="543"/>
      <c r="J1067" s="543"/>
      <c r="K1067" s="543"/>
      <c r="L1067" s="543"/>
      <c r="M1067" s="543"/>
      <c r="N1067" s="543"/>
      <c r="O1067" s="543"/>
      <c r="P1067" s="543"/>
      <c r="Q1067" s="543"/>
      <c r="R1067" s="543"/>
      <c r="S1067" s="543"/>
      <c r="T1067" s="543"/>
      <c r="U1067" s="543"/>
    </row>
    <row r="1068" spans="1:21" x14ac:dyDescent="0.25">
      <c r="A1068" s="543"/>
      <c r="B1068" s="543"/>
      <c r="C1068" s="543"/>
      <c r="D1068" s="543"/>
      <c r="E1068" s="543"/>
      <c r="F1068" s="543"/>
      <c r="G1068" s="961"/>
      <c r="H1068" s="543"/>
      <c r="I1068" s="543"/>
      <c r="J1068" s="543"/>
      <c r="K1068" s="543"/>
      <c r="L1068" s="543"/>
      <c r="M1068" s="543"/>
      <c r="N1068" s="543"/>
      <c r="O1068" s="543"/>
      <c r="P1068" s="543"/>
      <c r="Q1068" s="543"/>
      <c r="R1068" s="543"/>
      <c r="S1068" s="543"/>
      <c r="T1068" s="543"/>
      <c r="U1068" s="543"/>
    </row>
    <row r="1069" spans="1:21" x14ac:dyDescent="0.25">
      <c r="A1069" s="543"/>
      <c r="B1069" s="543"/>
      <c r="C1069" s="543"/>
      <c r="D1069" s="543"/>
      <c r="E1069" s="543"/>
      <c r="F1069" s="543"/>
      <c r="G1069" s="961"/>
      <c r="H1069" s="543"/>
      <c r="I1069" s="543"/>
      <c r="J1069" s="543"/>
      <c r="K1069" s="543"/>
      <c r="L1069" s="543"/>
      <c r="M1069" s="543"/>
      <c r="N1069" s="543"/>
      <c r="O1069" s="543"/>
      <c r="P1069" s="543"/>
      <c r="Q1069" s="543"/>
      <c r="R1069" s="543"/>
      <c r="S1069" s="543"/>
      <c r="T1069" s="543"/>
      <c r="U1069" s="543"/>
    </row>
    <row r="1070" spans="1:21" x14ac:dyDescent="0.25">
      <c r="A1070" s="543"/>
      <c r="B1070" s="543"/>
      <c r="C1070" s="543"/>
      <c r="D1070" s="543"/>
      <c r="E1070" s="543"/>
      <c r="F1070" s="543"/>
      <c r="G1070" s="961"/>
      <c r="H1070" s="543"/>
      <c r="I1070" s="543"/>
      <c r="J1070" s="543"/>
      <c r="K1070" s="543"/>
      <c r="L1070" s="543"/>
      <c r="M1070" s="543"/>
      <c r="N1070" s="543"/>
      <c r="O1070" s="543"/>
      <c r="P1070" s="543"/>
      <c r="Q1070" s="543"/>
      <c r="R1070" s="543"/>
      <c r="S1070" s="543"/>
      <c r="T1070" s="543"/>
      <c r="U1070" s="543"/>
    </row>
    <row r="1071" spans="1:21" x14ac:dyDescent="0.25">
      <c r="A1071" s="543"/>
      <c r="B1071" s="543"/>
      <c r="C1071" s="543"/>
      <c r="D1071" s="543"/>
      <c r="E1071" s="543"/>
      <c r="F1071" s="543"/>
      <c r="G1071" s="961"/>
      <c r="H1071" s="543"/>
      <c r="I1071" s="543"/>
      <c r="J1071" s="543"/>
      <c r="K1071" s="543"/>
      <c r="L1071" s="543"/>
      <c r="M1071" s="543"/>
      <c r="N1071" s="543"/>
      <c r="O1071" s="543"/>
      <c r="P1071" s="543"/>
      <c r="Q1071" s="543"/>
      <c r="R1071" s="543"/>
      <c r="S1071" s="543"/>
      <c r="T1071" s="543"/>
      <c r="U1071" s="543"/>
    </row>
    <row r="1072" spans="1:21" x14ac:dyDescent="0.25">
      <c r="A1072" s="543"/>
      <c r="B1072" s="543"/>
      <c r="C1072" s="543"/>
      <c r="D1072" s="543"/>
      <c r="E1072" s="543"/>
      <c r="F1072" s="543"/>
      <c r="G1072" s="961"/>
      <c r="H1072" s="543"/>
      <c r="I1072" s="543"/>
      <c r="J1072" s="543"/>
      <c r="K1072" s="543"/>
      <c r="L1072" s="543"/>
      <c r="M1072" s="543"/>
      <c r="N1072" s="543"/>
      <c r="O1072" s="543"/>
      <c r="P1072" s="543"/>
      <c r="Q1072" s="543"/>
      <c r="R1072" s="543"/>
      <c r="S1072" s="543"/>
      <c r="T1072" s="543"/>
      <c r="U1072" s="543"/>
    </row>
    <row r="1073" spans="1:21" x14ac:dyDescent="0.25">
      <c r="A1073" s="543"/>
      <c r="B1073" s="543"/>
      <c r="C1073" s="543"/>
      <c r="D1073" s="543"/>
      <c r="E1073" s="543"/>
      <c r="F1073" s="543"/>
      <c r="G1073" s="961"/>
      <c r="H1073" s="543"/>
      <c r="I1073" s="543"/>
      <c r="J1073" s="543"/>
      <c r="K1073" s="543"/>
      <c r="L1073" s="543"/>
      <c r="M1073" s="543"/>
      <c r="N1073" s="543"/>
      <c r="O1073" s="543"/>
      <c r="P1073" s="543"/>
      <c r="Q1073" s="543"/>
      <c r="R1073" s="543"/>
      <c r="S1073" s="543"/>
      <c r="T1073" s="543"/>
      <c r="U1073" s="543"/>
    </row>
    <row r="1074" spans="1:21" x14ac:dyDescent="0.25">
      <c r="A1074" s="543"/>
      <c r="B1074" s="543"/>
      <c r="C1074" s="543"/>
      <c r="D1074" s="543"/>
      <c r="E1074" s="543"/>
      <c r="F1074" s="543"/>
      <c r="G1074" s="961"/>
      <c r="H1074" s="543"/>
      <c r="I1074" s="543"/>
      <c r="J1074" s="543"/>
      <c r="K1074" s="543"/>
      <c r="L1074" s="543"/>
      <c r="M1074" s="543"/>
      <c r="N1074" s="543"/>
      <c r="O1074" s="543"/>
      <c r="P1074" s="543"/>
      <c r="Q1074" s="543"/>
      <c r="R1074" s="543"/>
      <c r="S1074" s="543"/>
      <c r="T1074" s="543"/>
      <c r="U1074" s="543"/>
    </row>
    <row r="1075" spans="1:21" x14ac:dyDescent="0.25">
      <c r="A1075" s="543"/>
      <c r="B1075" s="543"/>
      <c r="C1075" s="543"/>
      <c r="D1075" s="543"/>
      <c r="E1075" s="543"/>
      <c r="F1075" s="543"/>
      <c r="G1075" s="961"/>
      <c r="H1075" s="543"/>
      <c r="I1075" s="543"/>
      <c r="J1075" s="543"/>
      <c r="K1075" s="543"/>
      <c r="L1075" s="543"/>
      <c r="M1075" s="543"/>
      <c r="N1075" s="543"/>
      <c r="O1075" s="543"/>
      <c r="P1075" s="543"/>
      <c r="Q1075" s="543"/>
      <c r="R1075" s="543"/>
      <c r="S1075" s="543"/>
      <c r="T1075" s="543"/>
      <c r="U1075" s="543"/>
    </row>
    <row r="1076" spans="1:21" x14ac:dyDescent="0.25">
      <c r="A1076" s="543"/>
      <c r="B1076" s="543"/>
      <c r="C1076" s="543"/>
      <c r="D1076" s="543"/>
      <c r="E1076" s="543"/>
      <c r="F1076" s="543"/>
      <c r="G1076" s="961"/>
      <c r="H1076" s="543"/>
      <c r="I1076" s="543"/>
      <c r="J1076" s="543"/>
      <c r="K1076" s="543"/>
      <c r="L1076" s="543"/>
      <c r="M1076" s="543"/>
      <c r="N1076" s="543"/>
      <c r="O1076" s="543"/>
      <c r="P1076" s="543"/>
      <c r="Q1076" s="543"/>
      <c r="R1076" s="543"/>
      <c r="S1076" s="543"/>
      <c r="T1076" s="543"/>
      <c r="U1076" s="543"/>
    </row>
    <row r="1077" spans="1:21" x14ac:dyDescent="0.25">
      <c r="A1077" s="543"/>
      <c r="B1077" s="543"/>
      <c r="C1077" s="543"/>
      <c r="D1077" s="543"/>
      <c r="E1077" s="543"/>
      <c r="F1077" s="543"/>
      <c r="G1077" s="961"/>
      <c r="H1077" s="543"/>
      <c r="I1077" s="543"/>
      <c r="J1077" s="543"/>
      <c r="K1077" s="543"/>
      <c r="L1077" s="543"/>
      <c r="M1077" s="543"/>
      <c r="N1077" s="543"/>
      <c r="O1077" s="543"/>
      <c r="P1077" s="543"/>
      <c r="Q1077" s="543"/>
      <c r="R1077" s="543"/>
      <c r="S1077" s="543"/>
      <c r="T1077" s="543"/>
      <c r="U1077" s="543"/>
    </row>
    <row r="1078" spans="1:21" x14ac:dyDescent="0.25">
      <c r="A1078" s="543"/>
      <c r="B1078" s="543"/>
      <c r="C1078" s="543"/>
      <c r="D1078" s="543"/>
      <c r="E1078" s="543"/>
      <c r="F1078" s="543"/>
      <c r="G1078" s="961"/>
      <c r="H1078" s="543"/>
      <c r="I1078" s="543"/>
      <c r="J1078" s="543"/>
      <c r="K1078" s="543"/>
      <c r="L1078" s="543"/>
      <c r="M1078" s="543"/>
      <c r="N1078" s="543"/>
      <c r="O1078" s="543"/>
      <c r="P1078" s="543"/>
      <c r="Q1078" s="543"/>
      <c r="R1078" s="543"/>
      <c r="S1078" s="543"/>
      <c r="T1078" s="543"/>
      <c r="U1078" s="543"/>
    </row>
    <row r="1079" spans="1:21" x14ac:dyDescent="0.25">
      <c r="A1079" s="543"/>
      <c r="B1079" s="543"/>
      <c r="C1079" s="543"/>
      <c r="D1079" s="543"/>
      <c r="E1079" s="543"/>
      <c r="F1079" s="543"/>
      <c r="G1079" s="961"/>
      <c r="H1079" s="543"/>
      <c r="I1079" s="543"/>
      <c r="J1079" s="543"/>
      <c r="K1079" s="543"/>
      <c r="L1079" s="543"/>
      <c r="M1079" s="543"/>
      <c r="N1079" s="543"/>
      <c r="O1079" s="543"/>
      <c r="P1079" s="543"/>
      <c r="Q1079" s="543"/>
      <c r="R1079" s="543"/>
      <c r="S1079" s="543"/>
      <c r="T1079" s="543"/>
      <c r="U1079" s="543"/>
    </row>
    <row r="1080" spans="1:21" x14ac:dyDescent="0.25">
      <c r="A1080" s="543"/>
      <c r="B1080" s="543"/>
      <c r="C1080" s="543"/>
      <c r="D1080" s="543"/>
      <c r="E1080" s="543"/>
      <c r="F1080" s="543"/>
      <c r="G1080" s="961"/>
      <c r="H1080" s="543"/>
      <c r="I1080" s="543"/>
      <c r="J1080" s="543"/>
      <c r="K1080" s="543"/>
      <c r="L1080" s="543"/>
      <c r="M1080" s="543"/>
      <c r="N1080" s="543"/>
      <c r="O1080" s="543"/>
      <c r="P1080" s="543"/>
      <c r="Q1080" s="543"/>
      <c r="R1080" s="543"/>
      <c r="S1080" s="543"/>
      <c r="T1080" s="543"/>
      <c r="U1080" s="543"/>
    </row>
    <row r="1081" spans="1:21" x14ac:dyDescent="0.25">
      <c r="A1081" s="543"/>
      <c r="B1081" s="543"/>
      <c r="C1081" s="543"/>
      <c r="D1081" s="543"/>
      <c r="E1081" s="543"/>
      <c r="F1081" s="543"/>
      <c r="G1081" s="961"/>
      <c r="H1081" s="543"/>
      <c r="I1081" s="543"/>
      <c r="J1081" s="543"/>
      <c r="K1081" s="543"/>
      <c r="L1081" s="543"/>
      <c r="M1081" s="543"/>
      <c r="N1081" s="543"/>
      <c r="O1081" s="543"/>
      <c r="P1081" s="543"/>
      <c r="Q1081" s="543"/>
      <c r="R1081" s="543"/>
      <c r="S1081" s="543"/>
      <c r="T1081" s="543"/>
      <c r="U1081" s="543"/>
    </row>
    <row r="1082" spans="1:21" x14ac:dyDescent="0.25">
      <c r="A1082" s="543"/>
      <c r="B1082" s="543"/>
      <c r="C1082" s="543"/>
      <c r="D1082" s="543"/>
      <c r="E1082" s="543"/>
      <c r="F1082" s="543"/>
      <c r="G1082" s="961"/>
      <c r="H1082" s="543"/>
      <c r="I1082" s="543"/>
      <c r="J1082" s="543"/>
      <c r="K1082" s="543"/>
      <c r="L1082" s="543"/>
      <c r="M1082" s="543"/>
      <c r="N1082" s="543"/>
      <c r="O1082" s="543"/>
      <c r="P1082" s="543"/>
      <c r="Q1082" s="543"/>
      <c r="R1082" s="543"/>
      <c r="S1082" s="543"/>
      <c r="T1082" s="543"/>
      <c r="U1082" s="543"/>
    </row>
    <row r="1083" spans="1:21" x14ac:dyDescent="0.25">
      <c r="A1083" s="543"/>
      <c r="B1083" s="543"/>
      <c r="C1083" s="543"/>
      <c r="D1083" s="543"/>
      <c r="E1083" s="543"/>
      <c r="F1083" s="543"/>
      <c r="G1083" s="961"/>
      <c r="H1083" s="543"/>
      <c r="I1083" s="543"/>
      <c r="J1083" s="543"/>
      <c r="K1083" s="543"/>
      <c r="L1083" s="543"/>
      <c r="M1083" s="543"/>
      <c r="N1083" s="543"/>
      <c r="O1083" s="543"/>
      <c r="P1083" s="543"/>
      <c r="Q1083" s="543"/>
      <c r="R1083" s="543"/>
      <c r="S1083" s="543"/>
      <c r="T1083" s="543"/>
      <c r="U1083" s="543"/>
    </row>
    <row r="1084" spans="1:21" x14ac:dyDescent="0.25">
      <c r="A1084" s="543"/>
      <c r="B1084" s="543"/>
      <c r="C1084" s="543"/>
      <c r="D1084" s="543"/>
      <c r="E1084" s="543"/>
      <c r="F1084" s="543"/>
      <c r="G1084" s="961"/>
      <c r="H1084" s="543"/>
      <c r="I1084" s="543"/>
      <c r="J1084" s="543"/>
      <c r="K1084" s="543"/>
      <c r="L1084" s="543"/>
      <c r="M1084" s="543"/>
      <c r="N1084" s="543"/>
      <c r="O1084" s="543"/>
      <c r="P1084" s="543"/>
      <c r="Q1084" s="543"/>
      <c r="R1084" s="543"/>
      <c r="S1084" s="543"/>
      <c r="T1084" s="543"/>
      <c r="U1084" s="543"/>
    </row>
    <row r="1085" spans="1:21" x14ac:dyDescent="0.25">
      <c r="A1085" s="543"/>
      <c r="B1085" s="543"/>
      <c r="C1085" s="543"/>
      <c r="D1085" s="543"/>
      <c r="E1085" s="543"/>
      <c r="F1085" s="543"/>
      <c r="G1085" s="961"/>
      <c r="H1085" s="543"/>
      <c r="I1085" s="543"/>
      <c r="J1085" s="543"/>
      <c r="K1085" s="543"/>
      <c r="L1085" s="543"/>
      <c r="M1085" s="543"/>
      <c r="N1085" s="543"/>
      <c r="O1085" s="543"/>
      <c r="P1085" s="543"/>
      <c r="Q1085" s="543"/>
      <c r="R1085" s="543"/>
      <c r="S1085" s="543"/>
      <c r="T1085" s="543"/>
      <c r="U1085" s="543"/>
    </row>
    <row r="1086" spans="1:21" x14ac:dyDescent="0.25">
      <c r="A1086" s="543"/>
      <c r="B1086" s="543"/>
      <c r="C1086" s="543"/>
      <c r="D1086" s="543"/>
      <c r="E1086" s="543"/>
      <c r="F1086" s="543"/>
      <c r="G1086" s="961"/>
      <c r="H1086" s="543"/>
      <c r="I1086" s="543"/>
      <c r="J1086" s="543"/>
      <c r="K1086" s="543"/>
      <c r="L1086" s="543"/>
      <c r="M1086" s="543"/>
      <c r="N1086" s="543"/>
      <c r="O1086" s="543"/>
      <c r="P1086" s="543"/>
      <c r="Q1086" s="543"/>
      <c r="R1086" s="543"/>
      <c r="S1086" s="543"/>
      <c r="T1086" s="543"/>
      <c r="U1086" s="543"/>
    </row>
    <row r="1087" spans="1:21" x14ac:dyDescent="0.25">
      <c r="A1087" s="543"/>
      <c r="B1087" s="543"/>
      <c r="C1087" s="543"/>
      <c r="D1087" s="543"/>
      <c r="E1087" s="543"/>
      <c r="F1087" s="543"/>
      <c r="G1087" s="961"/>
      <c r="H1087" s="543"/>
      <c r="I1087" s="543"/>
      <c r="J1087" s="543"/>
      <c r="K1087" s="543"/>
      <c r="L1087" s="543"/>
      <c r="M1087" s="543"/>
      <c r="N1087" s="543"/>
      <c r="O1087" s="543"/>
      <c r="P1087" s="543"/>
      <c r="Q1087" s="543"/>
      <c r="R1087" s="543"/>
      <c r="S1087" s="543"/>
      <c r="T1087" s="543"/>
      <c r="U1087" s="543"/>
    </row>
    <row r="1088" spans="1:21" x14ac:dyDescent="0.25">
      <c r="A1088" s="543"/>
      <c r="B1088" s="543"/>
      <c r="C1088" s="543"/>
      <c r="D1088" s="543"/>
      <c r="E1088" s="543"/>
      <c r="F1088" s="543"/>
      <c r="G1088" s="961"/>
      <c r="H1088" s="543"/>
      <c r="I1088" s="543"/>
      <c r="J1088" s="543"/>
      <c r="K1088" s="543"/>
      <c r="L1088" s="543"/>
      <c r="M1088" s="543"/>
      <c r="N1088" s="543"/>
      <c r="O1088" s="543"/>
      <c r="P1088" s="543"/>
      <c r="Q1088" s="543"/>
      <c r="R1088" s="543"/>
      <c r="S1088" s="543"/>
      <c r="T1088" s="543"/>
      <c r="U1088" s="543"/>
    </row>
    <row r="1089" spans="1:21" x14ac:dyDescent="0.25">
      <c r="A1089" s="543"/>
      <c r="B1089" s="543"/>
      <c r="C1089" s="543"/>
      <c r="D1089" s="543"/>
      <c r="E1089" s="543"/>
      <c r="F1089" s="543"/>
      <c r="G1089" s="961"/>
      <c r="H1089" s="543"/>
      <c r="I1089" s="543"/>
      <c r="J1089" s="543"/>
      <c r="K1089" s="543"/>
      <c r="L1089" s="543"/>
      <c r="M1089" s="543"/>
      <c r="N1089" s="543"/>
      <c r="O1089" s="543"/>
      <c r="P1089" s="543"/>
      <c r="Q1089" s="543"/>
      <c r="R1089" s="543"/>
      <c r="S1089" s="543"/>
      <c r="T1089" s="543"/>
      <c r="U1089" s="543"/>
    </row>
    <row r="1090" spans="1:21" x14ac:dyDescent="0.25">
      <c r="A1090" s="543"/>
      <c r="B1090" s="543"/>
      <c r="C1090" s="543"/>
      <c r="D1090" s="543"/>
      <c r="E1090" s="543"/>
      <c r="F1090" s="543"/>
      <c r="G1090" s="961"/>
      <c r="H1090" s="543"/>
      <c r="I1090" s="543"/>
      <c r="J1090" s="543"/>
      <c r="K1090" s="543"/>
      <c r="L1090" s="543"/>
      <c r="M1090" s="543"/>
      <c r="N1090" s="543"/>
      <c r="O1090" s="543"/>
      <c r="P1090" s="543"/>
      <c r="Q1090" s="543"/>
      <c r="R1090" s="543"/>
      <c r="S1090" s="543"/>
      <c r="T1090" s="543"/>
      <c r="U1090" s="543"/>
    </row>
    <row r="1091" spans="1:21" x14ac:dyDescent="0.25">
      <c r="A1091" s="543"/>
      <c r="B1091" s="543"/>
      <c r="C1091" s="543"/>
      <c r="D1091" s="543"/>
      <c r="E1091" s="543"/>
      <c r="F1091" s="543"/>
      <c r="G1091" s="961"/>
      <c r="H1091" s="543"/>
      <c r="I1091" s="543"/>
      <c r="J1091" s="543"/>
      <c r="K1091" s="543"/>
      <c r="L1091" s="543"/>
      <c r="M1091" s="543"/>
      <c r="N1091" s="543"/>
      <c r="O1091" s="543"/>
      <c r="P1091" s="543"/>
      <c r="Q1091" s="543"/>
      <c r="R1091" s="543"/>
      <c r="S1091" s="543"/>
      <c r="T1091" s="543"/>
      <c r="U1091" s="543"/>
    </row>
    <row r="1092" spans="1:21" x14ac:dyDescent="0.25">
      <c r="A1092" s="543"/>
      <c r="B1092" s="543"/>
      <c r="C1092" s="543"/>
      <c r="D1092" s="543"/>
      <c r="E1092" s="543"/>
      <c r="F1092" s="543"/>
      <c r="G1092" s="961"/>
      <c r="H1092" s="543"/>
      <c r="I1092" s="543"/>
      <c r="J1092" s="543"/>
      <c r="K1092" s="543"/>
      <c r="L1092" s="543"/>
      <c r="M1092" s="543"/>
      <c r="N1092" s="543"/>
      <c r="O1092" s="543"/>
      <c r="P1092" s="543"/>
      <c r="Q1092" s="543"/>
      <c r="R1092" s="543"/>
      <c r="S1092" s="543"/>
      <c r="T1092" s="543"/>
      <c r="U1092" s="543"/>
    </row>
    <row r="1093" spans="1:21" x14ac:dyDescent="0.25">
      <c r="A1093" s="543"/>
      <c r="B1093" s="543"/>
      <c r="C1093" s="543"/>
      <c r="D1093" s="543"/>
      <c r="E1093" s="543"/>
      <c r="F1093" s="543"/>
      <c r="G1093" s="961"/>
      <c r="H1093" s="543"/>
      <c r="I1093" s="543"/>
      <c r="J1093" s="543"/>
      <c r="K1093" s="543"/>
      <c r="L1093" s="543"/>
      <c r="M1093" s="543"/>
      <c r="N1093" s="543"/>
      <c r="O1093" s="543"/>
      <c r="P1093" s="543"/>
      <c r="Q1093" s="543"/>
      <c r="R1093" s="543"/>
      <c r="S1093" s="543"/>
      <c r="T1093" s="543"/>
      <c r="U1093" s="543"/>
    </row>
    <row r="1094" spans="1:21" x14ac:dyDescent="0.25">
      <c r="A1094" s="543"/>
      <c r="B1094" s="543"/>
      <c r="C1094" s="543"/>
      <c r="D1094" s="543"/>
      <c r="E1094" s="543"/>
      <c r="F1094" s="543"/>
      <c r="G1094" s="961"/>
      <c r="H1094" s="543"/>
      <c r="I1094" s="543"/>
      <c r="J1094" s="543"/>
      <c r="K1094" s="543"/>
      <c r="L1094" s="543"/>
      <c r="M1094" s="543"/>
      <c r="N1094" s="543"/>
      <c r="O1094" s="543"/>
      <c r="P1094" s="543"/>
      <c r="Q1094" s="543"/>
      <c r="R1094" s="543"/>
      <c r="S1094" s="543"/>
      <c r="T1094" s="543"/>
      <c r="U1094" s="543"/>
    </row>
    <row r="1095" spans="1:21" x14ac:dyDescent="0.25">
      <c r="A1095" s="543"/>
      <c r="B1095" s="543"/>
      <c r="C1095" s="543"/>
      <c r="D1095" s="543"/>
      <c r="E1095" s="543"/>
      <c r="F1095" s="543"/>
      <c r="G1095" s="961"/>
      <c r="H1095" s="543"/>
      <c r="I1095" s="543"/>
      <c r="J1095" s="543"/>
      <c r="K1095" s="543"/>
      <c r="L1095" s="543"/>
      <c r="M1095" s="543"/>
      <c r="N1095" s="543"/>
      <c r="O1095" s="543"/>
      <c r="P1095" s="543"/>
      <c r="Q1095" s="543"/>
      <c r="R1095" s="543"/>
      <c r="S1095" s="543"/>
      <c r="T1095" s="543"/>
      <c r="U1095" s="543"/>
    </row>
    <row r="1096" spans="1:21" x14ac:dyDescent="0.25">
      <c r="A1096" s="543"/>
      <c r="B1096" s="543"/>
      <c r="C1096" s="543"/>
      <c r="D1096" s="543"/>
      <c r="E1096" s="543"/>
      <c r="F1096" s="543"/>
      <c r="G1096" s="961"/>
      <c r="H1096" s="543"/>
      <c r="I1096" s="543"/>
      <c r="J1096" s="543"/>
      <c r="K1096" s="543"/>
      <c r="L1096" s="543"/>
      <c r="M1096" s="543"/>
      <c r="N1096" s="543"/>
      <c r="O1096" s="543"/>
      <c r="P1096" s="543"/>
      <c r="Q1096" s="543"/>
      <c r="R1096" s="543"/>
      <c r="S1096" s="543"/>
      <c r="T1096" s="543"/>
      <c r="U1096" s="543"/>
    </row>
    <row r="1097" spans="1:21" x14ac:dyDescent="0.25">
      <c r="A1097" s="543"/>
      <c r="B1097" s="543"/>
      <c r="C1097" s="543"/>
      <c r="D1097" s="543"/>
      <c r="E1097" s="543"/>
      <c r="F1097" s="543"/>
      <c r="G1097" s="961"/>
      <c r="H1097" s="543"/>
      <c r="I1097" s="543"/>
      <c r="J1097" s="543"/>
      <c r="K1097" s="543"/>
      <c r="L1097" s="543"/>
      <c r="M1097" s="543"/>
      <c r="N1097" s="543"/>
      <c r="O1097" s="543"/>
      <c r="P1097" s="543"/>
      <c r="Q1097" s="543"/>
      <c r="R1097" s="543"/>
      <c r="S1097" s="543"/>
      <c r="T1097" s="543"/>
      <c r="U1097" s="543"/>
    </row>
    <row r="1098" spans="1:21" x14ac:dyDescent="0.25">
      <c r="A1098" s="543"/>
      <c r="B1098" s="543"/>
      <c r="C1098" s="543"/>
      <c r="D1098" s="543"/>
      <c r="E1098" s="543"/>
      <c r="F1098" s="543"/>
      <c r="G1098" s="961"/>
      <c r="H1098" s="543"/>
      <c r="I1098" s="543"/>
      <c r="J1098" s="543"/>
      <c r="K1098" s="543"/>
      <c r="L1098" s="543"/>
      <c r="M1098" s="543"/>
      <c r="N1098" s="543"/>
      <c r="O1098" s="543"/>
      <c r="P1098" s="543"/>
      <c r="Q1098" s="543"/>
      <c r="R1098" s="543"/>
      <c r="S1098" s="543"/>
      <c r="T1098" s="543"/>
      <c r="U1098" s="543"/>
    </row>
    <row r="1099" spans="1:21" x14ac:dyDescent="0.25">
      <c r="A1099" s="543"/>
      <c r="B1099" s="543"/>
      <c r="C1099" s="543"/>
      <c r="D1099" s="543"/>
      <c r="E1099" s="543"/>
      <c r="F1099" s="543"/>
      <c r="G1099" s="961"/>
      <c r="H1099" s="543"/>
      <c r="I1099" s="543"/>
      <c r="J1099" s="543"/>
      <c r="K1099" s="543"/>
      <c r="L1099" s="543"/>
      <c r="M1099" s="543"/>
      <c r="N1099" s="543"/>
      <c r="O1099" s="543"/>
      <c r="P1099" s="543"/>
      <c r="Q1099" s="543"/>
      <c r="R1099" s="543"/>
      <c r="S1099" s="543"/>
      <c r="T1099" s="543"/>
      <c r="U1099" s="543"/>
    </row>
    <row r="1100" spans="1:21" x14ac:dyDescent="0.25">
      <c r="A1100" s="543"/>
      <c r="B1100" s="543"/>
      <c r="C1100" s="543"/>
      <c r="D1100" s="543"/>
      <c r="E1100" s="543"/>
      <c r="F1100" s="543"/>
      <c r="G1100" s="961"/>
      <c r="H1100" s="543"/>
      <c r="I1100" s="543"/>
      <c r="J1100" s="543"/>
      <c r="K1100" s="543"/>
      <c r="L1100" s="543"/>
      <c r="M1100" s="543"/>
      <c r="N1100" s="543"/>
      <c r="O1100" s="543"/>
      <c r="P1100" s="543"/>
      <c r="Q1100" s="543"/>
      <c r="R1100" s="543"/>
      <c r="S1100" s="543"/>
      <c r="T1100" s="543"/>
      <c r="U1100" s="543"/>
    </row>
    <row r="1101" spans="1:21" x14ac:dyDescent="0.25">
      <c r="A1101" s="543"/>
      <c r="B1101" s="543"/>
      <c r="C1101" s="543"/>
      <c r="D1101" s="543"/>
      <c r="E1101" s="543"/>
      <c r="F1101" s="543"/>
      <c r="G1101" s="961"/>
      <c r="H1101" s="543"/>
      <c r="I1101" s="543"/>
      <c r="J1101" s="543"/>
      <c r="K1101" s="543"/>
      <c r="L1101" s="543"/>
      <c r="M1101" s="543"/>
      <c r="N1101" s="543"/>
      <c r="O1101" s="543"/>
      <c r="P1101" s="543"/>
      <c r="Q1101" s="543"/>
      <c r="R1101" s="543"/>
      <c r="S1101" s="543"/>
      <c r="T1101" s="543"/>
      <c r="U1101" s="543"/>
    </row>
    <row r="1102" spans="1:21" x14ac:dyDescent="0.25">
      <c r="A1102" s="543"/>
      <c r="B1102" s="543"/>
      <c r="C1102" s="543"/>
      <c r="D1102" s="543"/>
      <c r="E1102" s="543"/>
      <c r="F1102" s="543"/>
      <c r="G1102" s="961"/>
      <c r="H1102" s="543"/>
      <c r="I1102" s="543"/>
      <c r="J1102" s="543"/>
      <c r="K1102" s="543"/>
      <c r="L1102" s="543"/>
      <c r="M1102" s="543"/>
      <c r="N1102" s="543"/>
      <c r="O1102" s="543"/>
      <c r="P1102" s="543"/>
      <c r="Q1102" s="543"/>
      <c r="R1102" s="543"/>
      <c r="S1102" s="543"/>
      <c r="T1102" s="543"/>
      <c r="U1102" s="543"/>
    </row>
    <row r="1103" spans="1:21" x14ac:dyDescent="0.25">
      <c r="A1103" s="543"/>
      <c r="B1103" s="543"/>
      <c r="C1103" s="543"/>
      <c r="D1103" s="543"/>
      <c r="E1103" s="543"/>
      <c r="F1103" s="543"/>
      <c r="G1103" s="961"/>
      <c r="H1103" s="543"/>
      <c r="I1103" s="543"/>
      <c r="J1103" s="543"/>
      <c r="K1103" s="543"/>
      <c r="L1103" s="543"/>
      <c r="M1103" s="543"/>
      <c r="N1103" s="543"/>
      <c r="O1103" s="543"/>
      <c r="P1103" s="543"/>
      <c r="Q1103" s="543"/>
      <c r="R1103" s="543"/>
      <c r="S1103" s="543"/>
      <c r="T1103" s="543"/>
      <c r="U1103" s="543"/>
    </row>
    <row r="1104" spans="1:21" x14ac:dyDescent="0.25">
      <c r="A1104" s="543"/>
      <c r="B1104" s="543"/>
      <c r="C1104" s="543"/>
      <c r="D1104" s="543"/>
      <c r="E1104" s="543"/>
      <c r="F1104" s="543"/>
      <c r="G1104" s="961"/>
      <c r="H1104" s="543"/>
      <c r="I1104" s="543"/>
      <c r="J1104" s="543"/>
      <c r="K1104" s="543"/>
      <c r="L1104" s="543"/>
      <c r="M1104" s="543"/>
      <c r="N1104" s="543"/>
      <c r="O1104" s="543"/>
      <c r="P1104" s="543"/>
      <c r="Q1104" s="543"/>
      <c r="R1104" s="543"/>
      <c r="S1104" s="543"/>
      <c r="T1104" s="543"/>
      <c r="U1104" s="543"/>
    </row>
    <row r="1105" spans="1:21" x14ac:dyDescent="0.25">
      <c r="A1105" s="543"/>
      <c r="B1105" s="543"/>
      <c r="C1105" s="543"/>
      <c r="D1105" s="543"/>
      <c r="E1105" s="543"/>
      <c r="F1105" s="543"/>
      <c r="G1105" s="961"/>
      <c r="H1105" s="543"/>
      <c r="I1105" s="543"/>
      <c r="J1105" s="543"/>
      <c r="K1105" s="543"/>
      <c r="L1105" s="543"/>
      <c r="M1105" s="543"/>
      <c r="N1105" s="543"/>
      <c r="O1105" s="543"/>
      <c r="P1105" s="543"/>
      <c r="Q1105" s="543"/>
      <c r="R1105" s="543"/>
      <c r="S1105" s="543"/>
      <c r="T1105" s="543"/>
      <c r="U1105" s="543"/>
    </row>
    <row r="1106" spans="1:21" x14ac:dyDescent="0.25">
      <c r="A1106" s="543"/>
      <c r="B1106" s="543"/>
      <c r="C1106" s="543"/>
      <c r="D1106" s="543"/>
      <c r="E1106" s="543"/>
      <c r="F1106" s="543"/>
      <c r="G1106" s="961"/>
      <c r="H1106" s="543"/>
      <c r="I1106" s="543"/>
      <c r="J1106" s="543"/>
      <c r="K1106" s="543"/>
      <c r="L1106" s="543"/>
      <c r="M1106" s="543"/>
      <c r="N1106" s="543"/>
      <c r="O1106" s="543"/>
      <c r="P1106" s="543"/>
      <c r="Q1106" s="543"/>
      <c r="R1106" s="543"/>
      <c r="S1106" s="543"/>
      <c r="T1106" s="543"/>
      <c r="U1106" s="543"/>
    </row>
    <row r="1107" spans="1:21" x14ac:dyDescent="0.25">
      <c r="A1107" s="543"/>
      <c r="B1107" s="543"/>
      <c r="C1107" s="543"/>
      <c r="D1107" s="543"/>
      <c r="E1107" s="543"/>
      <c r="F1107" s="543"/>
      <c r="G1107" s="961"/>
      <c r="H1107" s="543"/>
      <c r="I1107" s="543"/>
      <c r="J1107" s="543"/>
      <c r="K1107" s="543"/>
      <c r="L1107" s="543"/>
      <c r="M1107" s="543"/>
      <c r="N1107" s="543"/>
      <c r="O1107" s="543"/>
      <c r="P1107" s="543"/>
      <c r="Q1107" s="543"/>
      <c r="R1107" s="543"/>
      <c r="S1107" s="543"/>
      <c r="T1107" s="543"/>
      <c r="U1107" s="543"/>
    </row>
    <row r="1108" spans="1:21" x14ac:dyDescent="0.25">
      <c r="A1108" s="543"/>
      <c r="B1108" s="543"/>
      <c r="C1108" s="543"/>
      <c r="D1108" s="543"/>
      <c r="E1108" s="543"/>
      <c r="F1108" s="543"/>
      <c r="G1108" s="961"/>
      <c r="H1108" s="543"/>
      <c r="I1108" s="543"/>
      <c r="J1108" s="543"/>
      <c r="K1108" s="543"/>
      <c r="L1108" s="543"/>
      <c r="M1108" s="543"/>
      <c r="N1108" s="543"/>
      <c r="O1108" s="543"/>
      <c r="P1108" s="543"/>
      <c r="Q1108" s="543"/>
      <c r="R1108" s="543"/>
      <c r="S1108" s="543"/>
      <c r="T1108" s="543"/>
      <c r="U1108" s="543"/>
    </row>
    <row r="1109" spans="1:21" x14ac:dyDescent="0.25">
      <c r="A1109" s="543"/>
      <c r="B1109" s="543"/>
      <c r="C1109" s="543"/>
      <c r="D1109" s="543"/>
      <c r="E1109" s="543"/>
      <c r="F1109" s="543"/>
      <c r="G1109" s="961"/>
      <c r="H1109" s="543"/>
      <c r="I1109" s="543"/>
      <c r="J1109" s="543"/>
      <c r="K1109" s="543"/>
      <c r="L1109" s="543"/>
      <c r="M1109" s="543"/>
      <c r="N1109" s="543"/>
      <c r="O1109" s="543"/>
      <c r="P1109" s="543"/>
      <c r="Q1109" s="543"/>
      <c r="R1109" s="543"/>
      <c r="S1109" s="543"/>
      <c r="T1109" s="543"/>
      <c r="U1109" s="543"/>
    </row>
    <row r="1110" spans="1:21" x14ac:dyDescent="0.25">
      <c r="A1110" s="543"/>
      <c r="B1110" s="543"/>
      <c r="C1110" s="543"/>
      <c r="D1110" s="543"/>
      <c r="E1110" s="543"/>
      <c r="F1110" s="543"/>
      <c r="G1110" s="961"/>
      <c r="H1110" s="543"/>
      <c r="I1110" s="543"/>
      <c r="J1110" s="543"/>
      <c r="K1110" s="543"/>
      <c r="L1110" s="543"/>
      <c r="M1110" s="543"/>
      <c r="N1110" s="543"/>
      <c r="O1110" s="543"/>
      <c r="P1110" s="543"/>
      <c r="Q1110" s="543"/>
      <c r="R1110" s="543"/>
      <c r="S1110" s="543"/>
      <c r="T1110" s="543"/>
      <c r="U1110" s="543"/>
    </row>
    <row r="1111" spans="1:21" x14ac:dyDescent="0.25">
      <c r="A1111" s="543"/>
      <c r="B1111" s="543"/>
      <c r="C1111" s="543"/>
      <c r="D1111" s="543"/>
      <c r="E1111" s="543"/>
      <c r="F1111" s="543"/>
      <c r="G1111" s="961"/>
      <c r="H1111" s="543"/>
      <c r="I1111" s="543"/>
      <c r="J1111" s="543"/>
      <c r="K1111" s="543"/>
      <c r="L1111" s="543"/>
      <c r="M1111" s="543"/>
      <c r="N1111" s="543"/>
      <c r="O1111" s="543"/>
      <c r="P1111" s="543"/>
      <c r="Q1111" s="543"/>
      <c r="R1111" s="543"/>
      <c r="S1111" s="543"/>
      <c r="T1111" s="543"/>
      <c r="U1111" s="543"/>
    </row>
    <row r="1112" spans="1:21" x14ac:dyDescent="0.25">
      <c r="A1112" s="543"/>
      <c r="B1112" s="543"/>
      <c r="C1112" s="543"/>
      <c r="D1112" s="543"/>
      <c r="E1112" s="543"/>
      <c r="F1112" s="543"/>
      <c r="G1112" s="961"/>
      <c r="H1112" s="543"/>
      <c r="I1112" s="543"/>
      <c r="J1112" s="543"/>
      <c r="K1112" s="543"/>
      <c r="L1112" s="543"/>
      <c r="M1112" s="543"/>
      <c r="N1112" s="543"/>
      <c r="O1112" s="543"/>
      <c r="P1112" s="543"/>
      <c r="Q1112" s="543"/>
      <c r="R1112" s="543"/>
      <c r="S1112" s="543"/>
      <c r="T1112" s="543"/>
      <c r="U1112" s="543"/>
    </row>
    <row r="1113" spans="1:21" x14ac:dyDescent="0.25">
      <c r="A1113" s="543"/>
      <c r="B1113" s="543"/>
      <c r="C1113" s="543"/>
      <c r="D1113" s="543"/>
      <c r="E1113" s="543"/>
      <c r="F1113" s="543"/>
      <c r="G1113" s="961"/>
      <c r="H1113" s="543"/>
      <c r="I1113" s="543"/>
      <c r="J1113" s="543"/>
      <c r="K1113" s="543"/>
      <c r="L1113" s="543"/>
      <c r="M1113" s="543"/>
      <c r="N1113" s="543"/>
      <c r="O1113" s="543"/>
      <c r="P1113" s="543"/>
      <c r="Q1113" s="543"/>
      <c r="R1113" s="543"/>
      <c r="S1113" s="543"/>
      <c r="T1113" s="543"/>
      <c r="U1113" s="543"/>
    </row>
    <row r="1114" spans="1:21" x14ac:dyDescent="0.25">
      <c r="A1114" s="543"/>
      <c r="B1114" s="543"/>
      <c r="C1114" s="543"/>
      <c r="D1114" s="543"/>
      <c r="E1114" s="543"/>
      <c r="F1114" s="543"/>
      <c r="G1114" s="961"/>
      <c r="H1114" s="543"/>
      <c r="I1114" s="543"/>
      <c r="J1114" s="543"/>
      <c r="K1114" s="543"/>
      <c r="L1114" s="543"/>
      <c r="M1114" s="543"/>
      <c r="N1114" s="543"/>
      <c r="O1114" s="543"/>
      <c r="P1114" s="543"/>
      <c r="Q1114" s="543"/>
      <c r="R1114" s="543"/>
      <c r="S1114" s="543"/>
      <c r="T1114" s="543"/>
      <c r="U1114" s="543"/>
    </row>
    <row r="1115" spans="1:21" x14ac:dyDescent="0.25">
      <c r="A1115" s="543"/>
      <c r="B1115" s="543"/>
      <c r="C1115" s="543"/>
      <c r="D1115" s="543"/>
      <c r="E1115" s="543"/>
      <c r="F1115" s="543"/>
      <c r="G1115" s="961"/>
      <c r="H1115" s="543"/>
      <c r="I1115" s="543"/>
      <c r="J1115" s="543"/>
      <c r="K1115" s="543"/>
      <c r="L1115" s="543"/>
      <c r="M1115" s="543"/>
      <c r="N1115" s="543"/>
      <c r="O1115" s="543"/>
      <c r="P1115" s="543"/>
      <c r="Q1115" s="543"/>
      <c r="R1115" s="543"/>
      <c r="S1115" s="543"/>
      <c r="T1115" s="543"/>
      <c r="U1115" s="543"/>
    </row>
    <row r="1116" spans="1:21" x14ac:dyDescent="0.25">
      <c r="A1116" s="543"/>
      <c r="B1116" s="543"/>
      <c r="C1116" s="543"/>
      <c r="D1116" s="543"/>
      <c r="E1116" s="543"/>
      <c r="F1116" s="543"/>
      <c r="G1116" s="961"/>
      <c r="H1116" s="543"/>
      <c r="I1116" s="543"/>
      <c r="J1116" s="543"/>
      <c r="K1116" s="543"/>
      <c r="L1116" s="543"/>
      <c r="M1116" s="543"/>
      <c r="N1116" s="543"/>
      <c r="O1116" s="543"/>
      <c r="P1116" s="543"/>
      <c r="Q1116" s="543"/>
      <c r="R1116" s="543"/>
      <c r="S1116" s="543"/>
      <c r="T1116" s="543"/>
      <c r="U1116" s="543"/>
    </row>
    <row r="1117" spans="1:21" x14ac:dyDescent="0.25">
      <c r="A1117" s="543"/>
      <c r="B1117" s="543"/>
      <c r="C1117" s="543"/>
      <c r="D1117" s="543"/>
      <c r="E1117" s="543"/>
      <c r="F1117" s="543"/>
      <c r="G1117" s="961"/>
      <c r="H1117" s="543"/>
      <c r="I1117" s="543"/>
      <c r="J1117" s="543"/>
      <c r="K1117" s="543"/>
      <c r="L1117" s="543"/>
      <c r="M1117" s="543"/>
      <c r="N1117" s="543"/>
      <c r="O1117" s="543"/>
      <c r="P1117" s="543"/>
      <c r="Q1117" s="543"/>
      <c r="R1117" s="543"/>
      <c r="S1117" s="543"/>
      <c r="T1117" s="543"/>
      <c r="U1117" s="543"/>
    </row>
    <row r="1118" spans="1:21" x14ac:dyDescent="0.25">
      <c r="A1118" s="543"/>
      <c r="B1118" s="543"/>
      <c r="C1118" s="543"/>
      <c r="D1118" s="543"/>
      <c r="E1118" s="543"/>
      <c r="F1118" s="543"/>
      <c r="G1118" s="961"/>
      <c r="H1118" s="543"/>
      <c r="I1118" s="543"/>
      <c r="J1118" s="543"/>
      <c r="K1118" s="543"/>
      <c r="L1118" s="543"/>
      <c r="M1118" s="543"/>
      <c r="N1118" s="543"/>
      <c r="O1118" s="543"/>
      <c r="P1118" s="543"/>
      <c r="Q1118" s="543"/>
      <c r="R1118" s="543"/>
      <c r="S1118" s="543"/>
      <c r="T1118" s="543"/>
      <c r="U1118" s="543"/>
    </row>
    <row r="1119" spans="1:21" x14ac:dyDescent="0.25">
      <c r="A1119" s="543"/>
      <c r="B1119" s="543"/>
      <c r="C1119" s="543"/>
      <c r="D1119" s="543"/>
      <c r="E1119" s="543"/>
      <c r="F1119" s="543"/>
      <c r="G1119" s="961"/>
      <c r="H1119" s="543"/>
      <c r="I1119" s="543"/>
      <c r="J1119" s="543"/>
      <c r="K1119" s="543"/>
      <c r="L1119" s="543"/>
      <c r="M1119" s="543"/>
      <c r="N1119" s="543"/>
      <c r="O1119" s="543"/>
      <c r="P1119" s="543"/>
      <c r="Q1119" s="543"/>
      <c r="R1119" s="543"/>
      <c r="S1119" s="543"/>
      <c r="T1119" s="543"/>
      <c r="U1119" s="543"/>
    </row>
    <row r="1120" spans="1:21" x14ac:dyDescent="0.25">
      <c r="A1120" s="543"/>
      <c r="B1120" s="543"/>
      <c r="C1120" s="543"/>
      <c r="D1120" s="543"/>
      <c r="E1120" s="543"/>
      <c r="F1120" s="543"/>
      <c r="G1120" s="961"/>
      <c r="H1120" s="543"/>
      <c r="I1120" s="543"/>
      <c r="J1120" s="543"/>
      <c r="K1120" s="543"/>
      <c r="L1120" s="543"/>
      <c r="M1120" s="543"/>
      <c r="N1120" s="543"/>
      <c r="O1120" s="543"/>
      <c r="P1120" s="543"/>
      <c r="Q1120" s="543"/>
      <c r="R1120" s="543"/>
      <c r="S1120" s="543"/>
      <c r="T1120" s="543"/>
      <c r="U1120" s="543"/>
    </row>
    <row r="1121" spans="1:21" x14ac:dyDescent="0.25">
      <c r="A1121" s="543"/>
      <c r="B1121" s="543"/>
      <c r="C1121" s="543"/>
      <c r="D1121" s="543"/>
      <c r="E1121" s="543"/>
      <c r="F1121" s="543"/>
      <c r="G1121" s="961"/>
      <c r="H1121" s="543"/>
      <c r="I1121" s="543"/>
      <c r="J1121" s="543"/>
      <c r="K1121" s="543"/>
      <c r="L1121" s="543"/>
      <c r="M1121" s="543"/>
      <c r="N1121" s="543"/>
      <c r="O1121" s="543"/>
      <c r="P1121" s="543"/>
      <c r="Q1121" s="543"/>
      <c r="R1121" s="543"/>
      <c r="S1121" s="543"/>
      <c r="T1121" s="543"/>
      <c r="U1121" s="543"/>
    </row>
    <row r="1122" spans="1:21" x14ac:dyDescent="0.25">
      <c r="A1122" s="543"/>
      <c r="B1122" s="543"/>
      <c r="C1122" s="543"/>
      <c r="D1122" s="543"/>
      <c r="E1122" s="543"/>
      <c r="F1122" s="543"/>
      <c r="G1122" s="961"/>
      <c r="H1122" s="543"/>
      <c r="I1122" s="543"/>
      <c r="J1122" s="543"/>
      <c r="K1122" s="543"/>
      <c r="L1122" s="543"/>
      <c r="M1122" s="543"/>
      <c r="N1122" s="543"/>
      <c r="O1122" s="543"/>
      <c r="P1122" s="543"/>
      <c r="Q1122" s="543"/>
      <c r="R1122" s="543"/>
      <c r="S1122" s="543"/>
      <c r="T1122" s="543"/>
      <c r="U1122" s="543"/>
    </row>
    <row r="1123" spans="1:21" x14ac:dyDescent="0.25">
      <c r="A1123" s="543"/>
      <c r="B1123" s="543"/>
      <c r="C1123" s="543"/>
      <c r="D1123" s="543"/>
      <c r="E1123" s="543"/>
      <c r="F1123" s="543"/>
      <c r="G1123" s="961"/>
      <c r="H1123" s="543"/>
      <c r="I1123" s="543"/>
      <c r="J1123" s="543"/>
      <c r="K1123" s="543"/>
      <c r="L1123" s="543"/>
      <c r="M1123" s="543"/>
      <c r="N1123" s="543"/>
      <c r="O1123" s="543"/>
      <c r="P1123" s="543"/>
      <c r="Q1123" s="543"/>
      <c r="R1123" s="543"/>
      <c r="S1123" s="543"/>
      <c r="T1123" s="543"/>
      <c r="U1123" s="543"/>
    </row>
    <row r="1124" spans="1:21" x14ac:dyDescent="0.25">
      <c r="A1124" s="543"/>
      <c r="B1124" s="543"/>
      <c r="C1124" s="543"/>
      <c r="D1124" s="543"/>
      <c r="E1124" s="543"/>
      <c r="F1124" s="543"/>
      <c r="G1124" s="961"/>
      <c r="H1124" s="543"/>
      <c r="I1124" s="543"/>
      <c r="J1124" s="543"/>
      <c r="K1124" s="543"/>
      <c r="L1124" s="543"/>
      <c r="M1124" s="543"/>
      <c r="N1124" s="543"/>
      <c r="O1124" s="543"/>
      <c r="P1124" s="543"/>
      <c r="Q1124" s="543"/>
      <c r="R1124" s="543"/>
      <c r="S1124" s="543"/>
      <c r="T1124" s="543"/>
      <c r="U1124" s="543"/>
    </row>
    <row r="1125" spans="1:21" x14ac:dyDescent="0.25">
      <c r="A1125" s="543"/>
      <c r="B1125" s="543"/>
      <c r="C1125" s="543"/>
      <c r="D1125" s="543"/>
      <c r="E1125" s="543"/>
      <c r="F1125" s="543"/>
      <c r="G1125" s="961"/>
      <c r="H1125" s="543"/>
      <c r="I1125" s="543"/>
      <c r="J1125" s="543"/>
      <c r="K1125" s="543"/>
      <c r="L1125" s="543"/>
      <c r="M1125" s="543"/>
      <c r="N1125" s="543"/>
      <c r="O1125" s="543"/>
      <c r="P1125" s="543"/>
      <c r="Q1125" s="543"/>
      <c r="R1125" s="543"/>
      <c r="S1125" s="543"/>
      <c r="T1125" s="543"/>
      <c r="U1125" s="543"/>
    </row>
    <row r="1126" spans="1:21" x14ac:dyDescent="0.25">
      <c r="A1126" s="543"/>
      <c r="B1126" s="543"/>
      <c r="C1126" s="543"/>
      <c r="D1126" s="543"/>
      <c r="E1126" s="543"/>
      <c r="F1126" s="543"/>
      <c r="G1126" s="961"/>
      <c r="H1126" s="543"/>
      <c r="I1126" s="543"/>
      <c r="J1126" s="543"/>
      <c r="K1126" s="543"/>
      <c r="L1126" s="543"/>
      <c r="M1126" s="543"/>
      <c r="N1126" s="543"/>
      <c r="O1126" s="543"/>
      <c r="P1126" s="543"/>
      <c r="Q1126" s="543"/>
      <c r="R1126" s="543"/>
      <c r="S1126" s="543"/>
      <c r="T1126" s="543"/>
      <c r="U1126" s="543"/>
    </row>
    <row r="1127" spans="1:21" x14ac:dyDescent="0.25">
      <c r="A1127" s="543"/>
      <c r="B1127" s="543"/>
      <c r="C1127" s="543"/>
      <c r="D1127" s="543"/>
      <c r="E1127" s="543"/>
      <c r="F1127" s="543"/>
      <c r="G1127" s="961"/>
      <c r="H1127" s="543"/>
      <c r="I1127" s="543"/>
      <c r="J1127" s="543"/>
      <c r="K1127" s="543"/>
      <c r="L1127" s="543"/>
      <c r="M1127" s="543"/>
      <c r="N1127" s="543"/>
      <c r="O1127" s="543"/>
      <c r="P1127" s="543"/>
      <c r="Q1127" s="543"/>
      <c r="R1127" s="543"/>
      <c r="S1127" s="543"/>
      <c r="T1127" s="543"/>
      <c r="U1127" s="543"/>
    </row>
    <row r="1128" spans="1:21" x14ac:dyDescent="0.25">
      <c r="A1128" s="543"/>
      <c r="B1128" s="543"/>
      <c r="C1128" s="543"/>
      <c r="D1128" s="543"/>
      <c r="E1128" s="543"/>
      <c r="F1128" s="543"/>
      <c r="G1128" s="961"/>
      <c r="H1128" s="543"/>
      <c r="I1128" s="543"/>
      <c r="J1128" s="543"/>
      <c r="K1128" s="543"/>
      <c r="L1128" s="543"/>
      <c r="M1128" s="543"/>
      <c r="N1128" s="543"/>
      <c r="O1128" s="543"/>
      <c r="P1128" s="543"/>
      <c r="Q1128" s="543"/>
      <c r="R1128" s="543"/>
      <c r="S1128" s="543"/>
      <c r="T1128" s="543"/>
      <c r="U1128" s="543"/>
    </row>
    <row r="1129" spans="1:21" x14ac:dyDescent="0.25">
      <c r="A1129" s="543"/>
      <c r="B1129" s="543"/>
      <c r="C1129" s="543"/>
      <c r="D1129" s="543"/>
      <c r="E1129" s="543"/>
      <c r="F1129" s="543"/>
      <c r="G1129" s="961"/>
      <c r="H1129" s="543"/>
      <c r="I1129" s="543"/>
      <c r="J1129" s="543"/>
      <c r="K1129" s="543"/>
      <c r="L1129" s="543"/>
      <c r="M1129" s="543"/>
      <c r="N1129" s="543"/>
      <c r="O1129" s="543"/>
      <c r="P1129" s="543"/>
      <c r="Q1129" s="543"/>
      <c r="R1129" s="543"/>
      <c r="S1129" s="543"/>
      <c r="T1129" s="543"/>
      <c r="U1129" s="543"/>
    </row>
    <row r="1130" spans="1:21" x14ac:dyDescent="0.25">
      <c r="A1130" s="543"/>
      <c r="B1130" s="543"/>
      <c r="C1130" s="543"/>
      <c r="D1130" s="543"/>
      <c r="E1130" s="543"/>
      <c r="F1130" s="543"/>
      <c r="G1130" s="961"/>
      <c r="H1130" s="543"/>
      <c r="I1130" s="543"/>
      <c r="J1130" s="543"/>
      <c r="K1130" s="543"/>
      <c r="L1130" s="543"/>
      <c r="M1130" s="543"/>
      <c r="N1130" s="543"/>
      <c r="O1130" s="543"/>
      <c r="P1130" s="543"/>
      <c r="Q1130" s="543"/>
      <c r="R1130" s="543"/>
      <c r="S1130" s="543"/>
      <c r="T1130" s="543"/>
      <c r="U1130" s="543"/>
    </row>
    <row r="1131" spans="1:21" x14ac:dyDescent="0.25">
      <c r="A1131" s="543"/>
      <c r="B1131" s="543"/>
      <c r="C1131" s="543"/>
      <c r="D1131" s="543"/>
      <c r="E1131" s="543"/>
      <c r="F1131" s="543"/>
      <c r="G1131" s="961"/>
      <c r="H1131" s="543"/>
      <c r="I1131" s="543"/>
      <c r="J1131" s="543"/>
      <c r="K1131" s="543"/>
      <c r="L1131" s="543"/>
      <c r="M1131" s="543"/>
      <c r="N1131" s="543"/>
      <c r="O1131" s="543"/>
      <c r="P1131" s="543"/>
      <c r="Q1131" s="543"/>
      <c r="R1131" s="543"/>
      <c r="S1131" s="543"/>
      <c r="T1131" s="543"/>
      <c r="U1131" s="543"/>
    </row>
    <row r="1132" spans="1:21" x14ac:dyDescent="0.25">
      <c r="A1132" s="543"/>
      <c r="B1132" s="543"/>
      <c r="C1132" s="543"/>
      <c r="D1132" s="543"/>
      <c r="E1132" s="543"/>
      <c r="F1132" s="543"/>
      <c r="G1132" s="961"/>
      <c r="H1132" s="543"/>
      <c r="I1132" s="543"/>
      <c r="J1132" s="543"/>
      <c r="K1132" s="543"/>
      <c r="L1132" s="543"/>
      <c r="M1132" s="543"/>
      <c r="N1132" s="543"/>
      <c r="O1132" s="543"/>
      <c r="P1132" s="543"/>
      <c r="Q1132" s="543"/>
      <c r="R1132" s="543"/>
      <c r="S1132" s="543"/>
      <c r="T1132" s="543"/>
      <c r="U1132" s="543"/>
    </row>
    <row r="1133" spans="1:21" x14ac:dyDescent="0.25">
      <c r="A1133" s="543"/>
      <c r="B1133" s="543"/>
      <c r="C1133" s="543"/>
      <c r="D1133" s="543"/>
      <c r="E1133" s="543"/>
      <c r="F1133" s="543"/>
      <c r="G1133" s="961"/>
      <c r="H1133" s="543"/>
      <c r="I1133" s="543"/>
      <c r="J1133" s="543"/>
      <c r="K1133" s="543"/>
      <c r="L1133" s="543"/>
      <c r="M1133" s="543"/>
      <c r="N1133" s="543"/>
      <c r="O1133" s="543"/>
      <c r="P1133" s="543"/>
      <c r="Q1133" s="543"/>
      <c r="R1133" s="543"/>
      <c r="S1133" s="543"/>
      <c r="T1133" s="543"/>
      <c r="U1133" s="543"/>
    </row>
    <row r="1134" spans="1:21" x14ac:dyDescent="0.25">
      <c r="A1134" s="543"/>
      <c r="B1134" s="543"/>
      <c r="C1134" s="543"/>
      <c r="D1134" s="543"/>
      <c r="E1134" s="543"/>
      <c r="F1134" s="543"/>
      <c r="G1134" s="961"/>
      <c r="H1134" s="543"/>
      <c r="I1134" s="543"/>
      <c r="J1134" s="543"/>
      <c r="K1134" s="543"/>
      <c r="L1134" s="543"/>
      <c r="M1134" s="543"/>
      <c r="N1134" s="543"/>
      <c r="O1134" s="543"/>
      <c r="P1134" s="543"/>
      <c r="Q1134" s="543"/>
      <c r="R1134" s="543"/>
      <c r="S1134" s="543"/>
      <c r="T1134" s="543"/>
      <c r="U1134" s="543"/>
    </row>
    <row r="1135" spans="1:21" x14ac:dyDescent="0.25">
      <c r="A1135" s="543"/>
      <c r="B1135" s="543"/>
      <c r="C1135" s="543"/>
      <c r="D1135" s="543"/>
      <c r="E1135" s="543"/>
      <c r="F1135" s="543"/>
      <c r="G1135" s="961"/>
      <c r="H1135" s="543"/>
      <c r="I1135" s="543"/>
      <c r="J1135" s="543"/>
      <c r="K1135" s="543"/>
      <c r="L1135" s="543"/>
      <c r="M1135" s="543"/>
      <c r="N1135" s="543"/>
      <c r="O1135" s="543"/>
      <c r="P1135" s="543"/>
      <c r="Q1135" s="543"/>
      <c r="R1135" s="543"/>
      <c r="S1135" s="543"/>
      <c r="T1135" s="543"/>
      <c r="U1135" s="543"/>
    </row>
    <row r="1136" spans="1:21" x14ac:dyDescent="0.25">
      <c r="A1136" s="543"/>
      <c r="B1136" s="543"/>
      <c r="C1136" s="543"/>
      <c r="D1136" s="543"/>
      <c r="E1136" s="543"/>
      <c r="F1136" s="543"/>
      <c r="G1136" s="961"/>
      <c r="H1136" s="543"/>
      <c r="I1136" s="543"/>
      <c r="J1136" s="543"/>
      <c r="K1136" s="543"/>
      <c r="L1136" s="543"/>
      <c r="M1136" s="543"/>
      <c r="N1136" s="543"/>
      <c r="O1136" s="543"/>
      <c r="P1136" s="543"/>
      <c r="Q1136" s="543"/>
      <c r="R1136" s="543"/>
      <c r="S1136" s="543"/>
      <c r="T1136" s="543"/>
      <c r="U1136" s="543"/>
    </row>
    <row r="1137" spans="1:21" x14ac:dyDescent="0.25">
      <c r="A1137" s="543"/>
      <c r="B1137" s="543"/>
      <c r="C1137" s="543"/>
      <c r="D1137" s="543"/>
      <c r="E1137" s="543"/>
      <c r="F1137" s="543"/>
      <c r="G1137" s="961"/>
      <c r="H1137" s="543"/>
      <c r="I1137" s="543"/>
      <c r="J1137" s="543"/>
      <c r="K1137" s="543"/>
      <c r="L1137" s="543"/>
      <c r="M1137" s="543"/>
      <c r="N1137" s="543"/>
      <c r="O1137" s="543"/>
      <c r="P1137" s="543"/>
      <c r="Q1137" s="543"/>
      <c r="R1137" s="543"/>
      <c r="S1137" s="543"/>
      <c r="T1137" s="543"/>
      <c r="U1137" s="543"/>
    </row>
    <row r="1138" spans="1:21" x14ac:dyDescent="0.25">
      <c r="A1138" s="543"/>
      <c r="B1138" s="543"/>
      <c r="C1138" s="543"/>
      <c r="D1138" s="543"/>
      <c r="E1138" s="543"/>
      <c r="F1138" s="543"/>
      <c r="G1138" s="961"/>
      <c r="H1138" s="543"/>
      <c r="I1138" s="543"/>
      <c r="J1138" s="543"/>
      <c r="K1138" s="543"/>
      <c r="L1138" s="543"/>
      <c r="M1138" s="543"/>
      <c r="N1138" s="543"/>
      <c r="O1138" s="543"/>
      <c r="P1138" s="543"/>
      <c r="Q1138" s="543"/>
      <c r="R1138" s="543"/>
      <c r="S1138" s="543"/>
      <c r="T1138" s="543"/>
      <c r="U1138" s="543"/>
    </row>
    <row r="1139" spans="1:21" x14ac:dyDescent="0.25">
      <c r="A1139" s="543"/>
      <c r="B1139" s="543"/>
      <c r="C1139" s="543"/>
      <c r="D1139" s="543"/>
      <c r="E1139" s="543"/>
      <c r="F1139" s="543"/>
      <c r="G1139" s="961"/>
      <c r="H1139" s="543"/>
      <c r="I1139" s="543"/>
      <c r="J1139" s="543"/>
      <c r="K1139" s="543"/>
      <c r="L1139" s="543"/>
      <c r="M1139" s="543"/>
      <c r="N1139" s="543"/>
      <c r="O1139" s="543"/>
      <c r="P1139" s="543"/>
      <c r="Q1139" s="543"/>
      <c r="R1139" s="543"/>
      <c r="S1139" s="543"/>
      <c r="T1139" s="543"/>
      <c r="U1139" s="543"/>
    </row>
    <row r="1140" spans="1:21" x14ac:dyDescent="0.25">
      <c r="A1140" s="543"/>
      <c r="B1140" s="543"/>
      <c r="C1140" s="543"/>
      <c r="D1140" s="543"/>
      <c r="E1140" s="543"/>
      <c r="F1140" s="543"/>
      <c r="G1140" s="961"/>
      <c r="H1140" s="543"/>
      <c r="I1140" s="543"/>
      <c r="J1140" s="543"/>
      <c r="K1140" s="543"/>
      <c r="L1140" s="543"/>
      <c r="M1140" s="543"/>
      <c r="N1140" s="543"/>
      <c r="O1140" s="543"/>
      <c r="P1140" s="543"/>
      <c r="Q1140" s="543"/>
      <c r="R1140" s="543"/>
      <c r="S1140" s="543"/>
      <c r="T1140" s="543"/>
      <c r="U1140" s="543"/>
    </row>
    <row r="1141" spans="1:21" x14ac:dyDescent="0.25">
      <c r="A1141" s="543"/>
      <c r="B1141" s="543"/>
      <c r="C1141" s="543"/>
      <c r="D1141" s="543"/>
      <c r="E1141" s="543"/>
      <c r="F1141" s="543"/>
      <c r="G1141" s="961"/>
      <c r="H1141" s="543"/>
      <c r="I1141" s="543"/>
      <c r="J1141" s="543"/>
      <c r="K1141" s="543"/>
      <c r="L1141" s="543"/>
      <c r="M1141" s="543"/>
      <c r="N1141" s="543"/>
      <c r="O1141" s="543"/>
      <c r="P1141" s="543"/>
      <c r="Q1141" s="543"/>
      <c r="R1141" s="543"/>
      <c r="S1141" s="543"/>
      <c r="T1141" s="543"/>
      <c r="U1141" s="543"/>
    </row>
    <row r="1142" spans="1:21" x14ac:dyDescent="0.25">
      <c r="A1142" s="543"/>
      <c r="B1142" s="543"/>
      <c r="C1142" s="543"/>
      <c r="D1142" s="543"/>
      <c r="E1142" s="543"/>
      <c r="F1142" s="543"/>
      <c r="G1142" s="961"/>
      <c r="H1142" s="543"/>
      <c r="I1142" s="543"/>
      <c r="J1142" s="543"/>
      <c r="K1142" s="543"/>
      <c r="L1142" s="543"/>
      <c r="M1142" s="543"/>
      <c r="N1142" s="543"/>
      <c r="O1142" s="543"/>
      <c r="P1142" s="543"/>
      <c r="Q1142" s="543"/>
      <c r="R1142" s="543"/>
      <c r="S1142" s="543"/>
      <c r="T1142" s="543"/>
      <c r="U1142" s="543"/>
    </row>
    <row r="1143" spans="1:21" x14ac:dyDescent="0.25">
      <c r="A1143" s="543"/>
      <c r="B1143" s="543"/>
      <c r="C1143" s="543"/>
      <c r="D1143" s="543"/>
      <c r="E1143" s="543"/>
      <c r="F1143" s="543"/>
      <c r="G1143" s="961"/>
      <c r="H1143" s="543"/>
      <c r="I1143" s="543"/>
      <c r="J1143" s="543"/>
      <c r="K1143" s="543"/>
      <c r="L1143" s="543"/>
      <c r="M1143" s="543"/>
      <c r="N1143" s="543"/>
      <c r="O1143" s="543"/>
      <c r="P1143" s="543"/>
      <c r="Q1143" s="543"/>
      <c r="R1143" s="543"/>
      <c r="S1143" s="543"/>
      <c r="T1143" s="543"/>
      <c r="U1143" s="543"/>
    </row>
    <row r="1144" spans="1:21" x14ac:dyDescent="0.25">
      <c r="A1144" s="543"/>
      <c r="B1144" s="543"/>
      <c r="C1144" s="543"/>
      <c r="D1144" s="543"/>
      <c r="E1144" s="543"/>
      <c r="F1144" s="543"/>
      <c r="G1144" s="961"/>
      <c r="H1144" s="543"/>
      <c r="I1144" s="543"/>
      <c r="J1144" s="543"/>
      <c r="K1144" s="543"/>
      <c r="L1144" s="543"/>
      <c r="M1144" s="543"/>
      <c r="N1144" s="543"/>
      <c r="O1144" s="543"/>
      <c r="P1144" s="543"/>
      <c r="Q1144" s="543"/>
      <c r="R1144" s="543"/>
      <c r="S1144" s="543"/>
      <c r="T1144" s="543"/>
      <c r="U1144" s="543"/>
    </row>
    <row r="1145" spans="1:21" x14ac:dyDescent="0.25">
      <c r="A1145" s="543"/>
      <c r="B1145" s="543"/>
      <c r="C1145" s="543"/>
      <c r="D1145" s="543"/>
      <c r="E1145" s="543"/>
      <c r="F1145" s="543"/>
      <c r="G1145" s="961"/>
      <c r="H1145" s="543"/>
      <c r="I1145" s="543"/>
      <c r="J1145" s="543"/>
      <c r="K1145" s="543"/>
      <c r="L1145" s="543"/>
      <c r="M1145" s="543"/>
      <c r="N1145" s="543"/>
      <c r="O1145" s="543"/>
      <c r="P1145" s="543"/>
      <c r="Q1145" s="543"/>
      <c r="R1145" s="543"/>
      <c r="S1145" s="543"/>
      <c r="T1145" s="543"/>
      <c r="U1145" s="543"/>
    </row>
    <row r="1146" spans="1:21" x14ac:dyDescent="0.25">
      <c r="A1146" s="543"/>
      <c r="B1146" s="543"/>
      <c r="C1146" s="543"/>
      <c r="D1146" s="543"/>
      <c r="E1146" s="543"/>
      <c r="F1146" s="543"/>
      <c r="G1146" s="961"/>
      <c r="H1146" s="543"/>
      <c r="I1146" s="543"/>
      <c r="J1146" s="543"/>
      <c r="K1146" s="543"/>
      <c r="L1146" s="543"/>
      <c r="M1146" s="543"/>
      <c r="N1146" s="543"/>
      <c r="O1146" s="543"/>
      <c r="P1146" s="543"/>
      <c r="Q1146" s="543"/>
      <c r="R1146" s="543"/>
      <c r="S1146" s="543"/>
      <c r="T1146" s="543"/>
      <c r="U1146" s="543"/>
    </row>
    <row r="1147" spans="1:21" x14ac:dyDescent="0.25">
      <c r="A1147" s="543"/>
      <c r="B1147" s="543"/>
      <c r="C1147" s="543"/>
      <c r="D1147" s="543"/>
      <c r="E1147" s="543"/>
      <c r="F1147" s="543"/>
      <c r="G1147" s="961"/>
      <c r="H1147" s="543"/>
      <c r="I1147" s="543"/>
      <c r="J1147" s="543"/>
      <c r="K1147" s="543"/>
      <c r="L1147" s="543"/>
      <c r="M1147" s="543"/>
      <c r="N1147" s="543"/>
      <c r="O1147" s="543"/>
      <c r="P1147" s="543"/>
      <c r="Q1147" s="543"/>
      <c r="R1147" s="543"/>
      <c r="S1147" s="543"/>
      <c r="T1147" s="543"/>
      <c r="U1147" s="543"/>
    </row>
    <row r="1148" spans="1:21" x14ac:dyDescent="0.25">
      <c r="A1148" s="543"/>
      <c r="B1148" s="543"/>
      <c r="C1148" s="543"/>
      <c r="D1148" s="543"/>
      <c r="E1148" s="543"/>
      <c r="F1148" s="543"/>
      <c r="G1148" s="961"/>
      <c r="H1148" s="543"/>
      <c r="I1148" s="543"/>
      <c r="J1148" s="543"/>
      <c r="K1148" s="543"/>
      <c r="L1148" s="543"/>
      <c r="M1148" s="543"/>
      <c r="N1148" s="543"/>
      <c r="O1148" s="543"/>
      <c r="P1148" s="543"/>
      <c r="Q1148" s="543"/>
      <c r="R1148" s="543"/>
      <c r="S1148" s="543"/>
      <c r="T1148" s="543"/>
      <c r="U1148" s="543"/>
    </row>
    <row r="1149" spans="1:21" x14ac:dyDescent="0.25">
      <c r="A1149" s="543"/>
      <c r="B1149" s="543"/>
      <c r="C1149" s="543"/>
      <c r="D1149" s="543"/>
      <c r="E1149" s="543"/>
      <c r="F1149" s="543"/>
      <c r="G1149" s="961"/>
      <c r="H1149" s="543"/>
      <c r="I1149" s="543"/>
      <c r="J1149" s="543"/>
      <c r="K1149" s="543"/>
      <c r="L1149" s="543"/>
      <c r="M1149" s="543"/>
      <c r="N1149" s="543"/>
      <c r="O1149" s="543"/>
      <c r="P1149" s="543"/>
      <c r="Q1149" s="543"/>
      <c r="R1149" s="543"/>
      <c r="S1149" s="543"/>
      <c r="T1149" s="543"/>
      <c r="U1149" s="543"/>
    </row>
    <row r="1150" spans="1:21" x14ac:dyDescent="0.25">
      <c r="A1150" s="543"/>
      <c r="B1150" s="543"/>
      <c r="C1150" s="543"/>
      <c r="D1150" s="543"/>
      <c r="E1150" s="543"/>
      <c r="F1150" s="543"/>
      <c r="G1150" s="961"/>
      <c r="H1150" s="543"/>
      <c r="I1150" s="543"/>
      <c r="J1150" s="543"/>
      <c r="K1150" s="543"/>
      <c r="L1150" s="543"/>
      <c r="M1150" s="543"/>
      <c r="N1150" s="543"/>
      <c r="O1150" s="543"/>
      <c r="P1150" s="543"/>
      <c r="Q1150" s="543"/>
      <c r="R1150" s="543"/>
      <c r="S1150" s="543"/>
      <c r="T1150" s="543"/>
      <c r="U1150" s="543"/>
    </row>
    <row r="1151" spans="1:21" x14ac:dyDescent="0.25">
      <c r="A1151" s="543"/>
      <c r="B1151" s="543"/>
      <c r="C1151" s="543"/>
      <c r="D1151" s="543"/>
      <c r="E1151" s="543"/>
      <c r="F1151" s="543"/>
      <c r="G1151" s="961"/>
      <c r="H1151" s="543"/>
      <c r="I1151" s="543"/>
      <c r="J1151" s="543"/>
      <c r="K1151" s="543"/>
      <c r="L1151" s="543"/>
      <c r="M1151" s="543"/>
      <c r="N1151" s="543"/>
      <c r="O1151" s="543"/>
      <c r="P1151" s="543"/>
      <c r="Q1151" s="543"/>
      <c r="R1151" s="543"/>
      <c r="S1151" s="543"/>
      <c r="T1151" s="543"/>
      <c r="U1151" s="543"/>
    </row>
    <row r="1152" spans="1:21" x14ac:dyDescent="0.25">
      <c r="A1152" s="543"/>
      <c r="B1152" s="543"/>
      <c r="C1152" s="543"/>
      <c r="D1152" s="543"/>
      <c r="E1152" s="543"/>
      <c r="F1152" s="543"/>
      <c r="G1152" s="961"/>
      <c r="H1152" s="543"/>
      <c r="I1152" s="543"/>
      <c r="J1152" s="543"/>
      <c r="K1152" s="543"/>
      <c r="L1152" s="543"/>
      <c r="M1152" s="543"/>
      <c r="N1152" s="543"/>
      <c r="O1152" s="543"/>
      <c r="P1152" s="543"/>
      <c r="Q1152" s="543"/>
      <c r="R1152" s="543"/>
      <c r="S1152" s="543"/>
      <c r="T1152" s="543"/>
      <c r="U1152" s="543"/>
    </row>
    <row r="1153" spans="1:21" x14ac:dyDescent="0.25">
      <c r="A1153" s="543"/>
      <c r="B1153" s="543"/>
      <c r="C1153" s="543"/>
      <c r="D1153" s="543"/>
      <c r="E1153" s="543"/>
      <c r="F1153" s="543"/>
      <c r="G1153" s="961"/>
      <c r="H1153" s="543"/>
      <c r="I1153" s="543"/>
      <c r="J1153" s="543"/>
      <c r="K1153" s="543"/>
      <c r="L1153" s="543"/>
      <c r="M1153" s="543"/>
      <c r="N1153" s="543"/>
      <c r="O1153" s="543"/>
      <c r="P1153" s="543"/>
      <c r="Q1153" s="543"/>
      <c r="R1153" s="543"/>
      <c r="S1153" s="543"/>
      <c r="T1153" s="543"/>
      <c r="U1153" s="543"/>
    </row>
    <row r="1154" spans="1:21" x14ac:dyDescent="0.25">
      <c r="A1154" s="543"/>
      <c r="B1154" s="543"/>
      <c r="C1154" s="543"/>
      <c r="D1154" s="543"/>
      <c r="E1154" s="543"/>
      <c r="F1154" s="543"/>
      <c r="G1154" s="961"/>
      <c r="H1154" s="543"/>
      <c r="I1154" s="543"/>
      <c r="J1154" s="543"/>
      <c r="K1154" s="543"/>
      <c r="L1154" s="543"/>
      <c r="M1154" s="543"/>
      <c r="N1154" s="543"/>
      <c r="O1154" s="543"/>
      <c r="P1154" s="543"/>
      <c r="Q1154" s="543"/>
      <c r="R1154" s="543"/>
      <c r="S1154" s="543"/>
      <c r="T1154" s="543"/>
      <c r="U1154" s="543"/>
    </row>
    <row r="1155" spans="1:21" x14ac:dyDescent="0.25">
      <c r="A1155" s="543"/>
      <c r="B1155" s="543"/>
      <c r="C1155" s="543"/>
      <c r="D1155" s="543"/>
      <c r="E1155" s="543"/>
      <c r="F1155" s="543"/>
      <c r="G1155" s="961"/>
      <c r="H1155" s="543"/>
      <c r="I1155" s="543"/>
      <c r="J1155" s="543"/>
      <c r="K1155" s="543"/>
      <c r="L1155" s="543"/>
      <c r="M1155" s="543"/>
      <c r="N1155" s="543"/>
      <c r="O1155" s="543"/>
      <c r="P1155" s="543"/>
      <c r="Q1155" s="543"/>
      <c r="R1155" s="543"/>
      <c r="S1155" s="543"/>
      <c r="T1155" s="543"/>
      <c r="U1155" s="543"/>
    </row>
    <row r="1156" spans="1:21" x14ac:dyDescent="0.25">
      <c r="A1156" s="543"/>
      <c r="B1156" s="543"/>
      <c r="C1156" s="543"/>
      <c r="D1156" s="543"/>
      <c r="E1156" s="543"/>
      <c r="F1156" s="543"/>
      <c r="G1156" s="961"/>
      <c r="H1156" s="543"/>
      <c r="I1156" s="543"/>
      <c r="J1156" s="543"/>
      <c r="K1156" s="543"/>
      <c r="L1156" s="543"/>
      <c r="M1156" s="543"/>
      <c r="N1156" s="543"/>
      <c r="O1156" s="543"/>
      <c r="P1156" s="543"/>
      <c r="Q1156" s="543"/>
      <c r="R1156" s="543"/>
      <c r="S1156" s="543"/>
      <c r="T1156" s="543"/>
      <c r="U1156" s="543"/>
    </row>
    <row r="1157" spans="1:21" x14ac:dyDescent="0.25">
      <c r="A1157" s="543"/>
      <c r="B1157" s="543"/>
      <c r="C1157" s="543"/>
      <c r="D1157" s="543"/>
      <c r="E1157" s="543"/>
      <c r="F1157" s="543"/>
      <c r="G1157" s="961"/>
      <c r="H1157" s="543"/>
      <c r="I1157" s="543"/>
      <c r="J1157" s="543"/>
      <c r="K1157" s="543"/>
      <c r="L1157" s="543"/>
      <c r="M1157" s="543"/>
      <c r="N1157" s="543"/>
      <c r="O1157" s="543"/>
      <c r="P1157" s="543"/>
      <c r="Q1157" s="543"/>
      <c r="R1157" s="543"/>
      <c r="S1157" s="543"/>
      <c r="T1157" s="543"/>
      <c r="U1157" s="543"/>
    </row>
    <row r="1158" spans="1:21" x14ac:dyDescent="0.25">
      <c r="A1158" s="543"/>
      <c r="B1158" s="543"/>
      <c r="C1158" s="543"/>
      <c r="D1158" s="543"/>
      <c r="E1158" s="543"/>
      <c r="F1158" s="543"/>
      <c r="G1158" s="961"/>
      <c r="H1158" s="543"/>
      <c r="I1158" s="543"/>
      <c r="J1158" s="543"/>
      <c r="K1158" s="543"/>
      <c r="L1158" s="543"/>
      <c r="M1158" s="543"/>
      <c r="N1158" s="543"/>
      <c r="O1158" s="543"/>
      <c r="P1158" s="543"/>
      <c r="Q1158" s="543"/>
      <c r="R1158" s="543"/>
      <c r="S1158" s="543"/>
      <c r="T1158" s="543"/>
      <c r="U1158" s="543"/>
    </row>
    <row r="1159" spans="1:21" x14ac:dyDescent="0.25">
      <c r="A1159" s="543"/>
      <c r="B1159" s="543"/>
      <c r="C1159" s="543"/>
      <c r="D1159" s="543"/>
      <c r="E1159" s="543"/>
      <c r="F1159" s="543"/>
      <c r="G1159" s="961"/>
      <c r="H1159" s="543"/>
      <c r="I1159" s="543"/>
      <c r="J1159" s="543"/>
      <c r="K1159" s="543"/>
      <c r="L1159" s="543"/>
      <c r="M1159" s="543"/>
      <c r="N1159" s="543"/>
      <c r="O1159" s="543"/>
      <c r="P1159" s="543"/>
      <c r="Q1159" s="543"/>
      <c r="R1159" s="543"/>
      <c r="S1159" s="543"/>
      <c r="T1159" s="543"/>
      <c r="U1159" s="543"/>
    </row>
    <row r="1160" spans="1:21" x14ac:dyDescent="0.25">
      <c r="A1160" s="543"/>
      <c r="B1160" s="543"/>
      <c r="C1160" s="543"/>
      <c r="D1160" s="543"/>
      <c r="E1160" s="543"/>
      <c r="F1160" s="543"/>
      <c r="G1160" s="961"/>
      <c r="H1160" s="543"/>
      <c r="I1160" s="543"/>
      <c r="J1160" s="543"/>
      <c r="K1160" s="543"/>
      <c r="L1160" s="543"/>
      <c r="M1160" s="543"/>
      <c r="N1160" s="543"/>
      <c r="O1160" s="543"/>
      <c r="P1160" s="543"/>
      <c r="Q1160" s="543"/>
      <c r="R1160" s="543"/>
      <c r="S1160" s="543"/>
      <c r="T1160" s="543"/>
      <c r="U1160" s="543"/>
    </row>
    <row r="1161" spans="1:21" x14ac:dyDescent="0.25">
      <c r="A1161" s="543"/>
      <c r="B1161" s="543"/>
      <c r="C1161" s="543"/>
      <c r="D1161" s="543"/>
      <c r="E1161" s="543"/>
      <c r="F1161" s="543"/>
      <c r="G1161" s="961"/>
      <c r="H1161" s="543"/>
      <c r="I1161" s="543"/>
      <c r="J1161" s="543"/>
      <c r="K1161" s="543"/>
      <c r="L1161" s="543"/>
      <c r="M1161" s="543"/>
      <c r="N1161" s="543"/>
      <c r="O1161" s="543"/>
      <c r="P1161" s="543"/>
      <c r="Q1161" s="543"/>
      <c r="R1161" s="543"/>
      <c r="S1161" s="543"/>
      <c r="T1161" s="543"/>
      <c r="U1161" s="543"/>
    </row>
    <row r="1162" spans="1:21" x14ac:dyDescent="0.25">
      <c r="A1162" s="543"/>
      <c r="B1162" s="543"/>
      <c r="C1162" s="543"/>
      <c r="D1162" s="543"/>
      <c r="E1162" s="543"/>
      <c r="F1162" s="543"/>
      <c r="G1162" s="961"/>
      <c r="H1162" s="543"/>
      <c r="I1162" s="543"/>
      <c r="J1162" s="543"/>
      <c r="K1162" s="543"/>
      <c r="L1162" s="543"/>
      <c r="M1162" s="543"/>
      <c r="N1162" s="543"/>
      <c r="O1162" s="543"/>
      <c r="P1162" s="543"/>
      <c r="Q1162" s="543"/>
      <c r="R1162" s="543"/>
      <c r="S1162" s="543"/>
      <c r="T1162" s="543"/>
      <c r="U1162" s="543"/>
    </row>
    <row r="1163" spans="1:21" x14ac:dyDescent="0.25">
      <c r="A1163" s="543"/>
      <c r="B1163" s="543"/>
      <c r="C1163" s="543"/>
      <c r="D1163" s="543"/>
      <c r="E1163" s="543"/>
      <c r="F1163" s="543"/>
      <c r="G1163" s="961"/>
      <c r="H1163" s="543"/>
      <c r="I1163" s="543"/>
      <c r="J1163" s="543"/>
      <c r="K1163" s="543"/>
      <c r="L1163" s="543"/>
      <c r="M1163" s="543"/>
      <c r="N1163" s="543"/>
      <c r="O1163" s="543"/>
      <c r="P1163" s="543"/>
      <c r="Q1163" s="543"/>
      <c r="R1163" s="543"/>
      <c r="S1163" s="543"/>
      <c r="T1163" s="543"/>
      <c r="U1163" s="543"/>
    </row>
    <row r="1164" spans="1:21" x14ac:dyDescent="0.25">
      <c r="A1164" s="543"/>
      <c r="B1164" s="543"/>
      <c r="C1164" s="543"/>
      <c r="D1164" s="543"/>
      <c r="E1164" s="543"/>
      <c r="F1164" s="543"/>
      <c r="G1164" s="961"/>
      <c r="H1164" s="543"/>
      <c r="I1164" s="543"/>
      <c r="J1164" s="543"/>
      <c r="K1164" s="543"/>
      <c r="L1164" s="543"/>
      <c r="M1164" s="543"/>
      <c r="N1164" s="543"/>
      <c r="O1164" s="543"/>
      <c r="P1164" s="543"/>
      <c r="Q1164" s="543"/>
      <c r="R1164" s="543"/>
      <c r="S1164" s="543"/>
      <c r="T1164" s="543"/>
      <c r="U1164" s="543"/>
    </row>
    <row r="1165" spans="1:21" x14ac:dyDescent="0.25">
      <c r="A1165" s="543"/>
      <c r="B1165" s="543"/>
      <c r="C1165" s="543"/>
      <c r="D1165" s="543"/>
      <c r="E1165" s="543"/>
      <c r="F1165" s="543"/>
      <c r="G1165" s="961"/>
      <c r="H1165" s="543"/>
      <c r="I1165" s="543"/>
      <c r="J1165" s="543"/>
      <c r="K1165" s="543"/>
      <c r="L1165" s="543"/>
      <c r="M1165" s="543"/>
      <c r="N1165" s="543"/>
      <c r="O1165" s="543"/>
      <c r="P1165" s="543"/>
      <c r="Q1165" s="543"/>
      <c r="R1165" s="543"/>
      <c r="S1165" s="543"/>
      <c r="T1165" s="543"/>
      <c r="U1165" s="543"/>
    </row>
    <row r="1166" spans="1:21" x14ac:dyDescent="0.25">
      <c r="A1166" s="543"/>
      <c r="B1166" s="543"/>
      <c r="C1166" s="543"/>
      <c r="D1166" s="543"/>
      <c r="E1166" s="543"/>
      <c r="F1166" s="543"/>
      <c r="G1166" s="961"/>
      <c r="H1166" s="543"/>
      <c r="I1166" s="543"/>
      <c r="J1166" s="543"/>
      <c r="K1166" s="543"/>
      <c r="L1166" s="543"/>
      <c r="M1166" s="543"/>
      <c r="N1166" s="543"/>
      <c r="O1166" s="543"/>
      <c r="P1166" s="543"/>
      <c r="Q1166" s="543"/>
      <c r="R1166" s="543"/>
      <c r="S1166" s="543"/>
      <c r="T1166" s="543"/>
      <c r="U1166" s="543"/>
    </row>
    <row r="1167" spans="1:21" x14ac:dyDescent="0.25">
      <c r="A1167" s="543"/>
      <c r="B1167" s="543"/>
      <c r="C1167" s="543"/>
      <c r="D1167" s="543"/>
      <c r="E1167" s="543"/>
      <c r="F1167" s="543"/>
      <c r="G1167" s="961"/>
      <c r="H1167" s="543"/>
      <c r="I1167" s="543"/>
      <c r="J1167" s="543"/>
      <c r="K1167" s="543"/>
      <c r="L1167" s="543"/>
      <c r="M1167" s="543"/>
      <c r="N1167" s="543"/>
      <c r="O1167" s="543"/>
      <c r="P1167" s="543"/>
      <c r="Q1167" s="543"/>
      <c r="R1167" s="543"/>
      <c r="S1167" s="543"/>
      <c r="T1167" s="543"/>
      <c r="U1167" s="543"/>
    </row>
    <row r="1168" spans="1:21" x14ac:dyDescent="0.25">
      <c r="A1168" s="543"/>
      <c r="B1168" s="543"/>
      <c r="C1168" s="543"/>
      <c r="D1168" s="543"/>
      <c r="E1168" s="543"/>
      <c r="F1168" s="543"/>
      <c r="G1168" s="961"/>
      <c r="H1168" s="543"/>
      <c r="I1168" s="543"/>
      <c r="J1168" s="543"/>
      <c r="K1168" s="543"/>
      <c r="L1168" s="543"/>
      <c r="M1168" s="543"/>
      <c r="N1168" s="543"/>
      <c r="O1168" s="543"/>
      <c r="P1168" s="543"/>
      <c r="Q1168" s="543"/>
      <c r="R1168" s="543"/>
      <c r="S1168" s="543"/>
      <c r="T1168" s="543"/>
      <c r="U1168" s="543"/>
    </row>
    <row r="1169" spans="1:21" x14ac:dyDescent="0.25">
      <c r="A1169" s="543"/>
      <c r="B1169" s="543"/>
      <c r="C1169" s="543"/>
      <c r="D1169" s="543"/>
      <c r="E1169" s="543"/>
      <c r="F1169" s="543"/>
      <c r="G1169" s="961"/>
      <c r="H1169" s="543"/>
      <c r="I1169" s="543"/>
      <c r="J1169" s="543"/>
      <c r="K1169" s="543"/>
      <c r="L1169" s="543"/>
      <c r="M1169" s="543"/>
      <c r="N1169" s="543"/>
      <c r="O1169" s="543"/>
      <c r="P1169" s="543"/>
      <c r="Q1169" s="543"/>
      <c r="R1169" s="543"/>
      <c r="S1169" s="543"/>
      <c r="T1169" s="543"/>
      <c r="U1169" s="543"/>
    </row>
    <row r="1170" spans="1:21" x14ac:dyDescent="0.25">
      <c r="A1170" s="543"/>
      <c r="B1170" s="543"/>
      <c r="C1170" s="543"/>
      <c r="D1170" s="543"/>
      <c r="E1170" s="543"/>
      <c r="F1170" s="543"/>
      <c r="G1170" s="961"/>
      <c r="H1170" s="543"/>
      <c r="I1170" s="543"/>
      <c r="J1170" s="543"/>
      <c r="K1170" s="543"/>
      <c r="L1170" s="543"/>
      <c r="M1170" s="543"/>
      <c r="N1170" s="543"/>
      <c r="O1170" s="543"/>
      <c r="P1170" s="543"/>
      <c r="Q1170" s="543"/>
      <c r="R1170" s="543"/>
      <c r="S1170" s="543"/>
      <c r="T1170" s="543"/>
      <c r="U1170" s="543"/>
    </row>
    <row r="1171" spans="1:21" x14ac:dyDescent="0.25">
      <c r="A1171" s="543"/>
      <c r="B1171" s="543"/>
      <c r="C1171" s="543"/>
      <c r="D1171" s="543"/>
      <c r="E1171" s="543"/>
      <c r="F1171" s="543"/>
      <c r="G1171" s="961"/>
      <c r="H1171" s="543"/>
      <c r="I1171" s="543"/>
      <c r="J1171" s="543"/>
      <c r="K1171" s="543"/>
      <c r="L1171" s="543"/>
      <c r="M1171" s="543"/>
      <c r="N1171" s="543"/>
      <c r="O1171" s="543"/>
      <c r="P1171" s="543"/>
      <c r="Q1171" s="543"/>
      <c r="R1171" s="543"/>
      <c r="S1171" s="543"/>
      <c r="T1171" s="543"/>
      <c r="U1171" s="543"/>
    </row>
    <row r="1172" spans="1:21" x14ac:dyDescent="0.25">
      <c r="A1172" s="543"/>
      <c r="B1172" s="543"/>
      <c r="C1172" s="543"/>
      <c r="D1172" s="543"/>
      <c r="E1172" s="543"/>
      <c r="F1172" s="543"/>
      <c r="G1172" s="961"/>
      <c r="H1172" s="543"/>
      <c r="I1172" s="543"/>
      <c r="J1172" s="543"/>
      <c r="K1172" s="543"/>
      <c r="L1172" s="543"/>
      <c r="M1172" s="543"/>
      <c r="N1172" s="543"/>
      <c r="O1172" s="543"/>
      <c r="P1172" s="543"/>
      <c r="Q1172" s="543"/>
      <c r="R1172" s="543"/>
      <c r="S1172" s="543"/>
      <c r="T1172" s="543"/>
      <c r="U1172" s="543"/>
    </row>
    <row r="1173" spans="1:21" x14ac:dyDescent="0.25">
      <c r="A1173" s="543"/>
      <c r="B1173" s="543"/>
      <c r="C1173" s="543"/>
      <c r="D1173" s="543"/>
      <c r="E1173" s="543"/>
      <c r="F1173" s="543"/>
      <c r="G1173" s="961"/>
      <c r="H1173" s="543"/>
      <c r="I1173" s="543"/>
      <c r="J1173" s="543"/>
      <c r="K1173" s="543"/>
      <c r="L1173" s="543"/>
      <c r="M1173" s="543"/>
      <c r="N1173" s="543"/>
      <c r="O1173" s="543"/>
      <c r="P1173" s="543"/>
      <c r="Q1173" s="543"/>
      <c r="R1173" s="543"/>
      <c r="S1173" s="543"/>
      <c r="T1173" s="543"/>
      <c r="U1173" s="543"/>
    </row>
    <row r="1174" spans="1:21" x14ac:dyDescent="0.25">
      <c r="A1174" s="543"/>
      <c r="B1174" s="543"/>
      <c r="C1174" s="543"/>
      <c r="D1174" s="543"/>
      <c r="E1174" s="543"/>
      <c r="F1174" s="543"/>
      <c r="G1174" s="961"/>
      <c r="H1174" s="543"/>
      <c r="I1174" s="543"/>
      <c r="J1174" s="543"/>
      <c r="K1174" s="543"/>
      <c r="L1174" s="543"/>
      <c r="M1174" s="543"/>
      <c r="N1174" s="543"/>
      <c r="O1174" s="543"/>
      <c r="P1174" s="543"/>
      <c r="Q1174" s="543"/>
      <c r="R1174" s="543"/>
      <c r="S1174" s="543"/>
      <c r="T1174" s="543"/>
      <c r="U1174" s="543"/>
    </row>
    <row r="1175" spans="1:21" x14ac:dyDescent="0.25">
      <c r="A1175" s="543"/>
      <c r="B1175" s="543"/>
      <c r="C1175" s="543"/>
      <c r="D1175" s="543"/>
      <c r="E1175" s="543"/>
      <c r="F1175" s="543"/>
      <c r="G1175" s="961"/>
      <c r="H1175" s="543"/>
      <c r="I1175" s="543"/>
      <c r="J1175" s="543"/>
      <c r="K1175" s="543"/>
      <c r="L1175" s="543"/>
      <c r="M1175" s="543"/>
      <c r="N1175" s="543"/>
      <c r="O1175" s="543"/>
      <c r="P1175" s="543"/>
      <c r="Q1175" s="543"/>
      <c r="R1175" s="543"/>
      <c r="S1175" s="543"/>
      <c r="T1175" s="543"/>
      <c r="U1175" s="543"/>
    </row>
    <row r="1176" spans="1:21" x14ac:dyDescent="0.25">
      <c r="A1176" s="543"/>
      <c r="B1176" s="543"/>
      <c r="C1176" s="543"/>
      <c r="D1176" s="543"/>
      <c r="E1176" s="543"/>
      <c r="F1176" s="543"/>
      <c r="G1176" s="961"/>
      <c r="H1176" s="543"/>
      <c r="I1176" s="543"/>
      <c r="J1176" s="543"/>
      <c r="K1176" s="543"/>
      <c r="L1176" s="543"/>
      <c r="M1176" s="543"/>
      <c r="N1176" s="543"/>
      <c r="O1176" s="543"/>
      <c r="P1176" s="543"/>
      <c r="Q1176" s="543"/>
      <c r="R1176" s="543"/>
      <c r="S1176" s="543"/>
      <c r="T1176" s="543"/>
      <c r="U1176" s="543"/>
    </row>
    <row r="1177" spans="1:21" x14ac:dyDescent="0.25">
      <c r="A1177" s="543"/>
      <c r="B1177" s="543"/>
      <c r="C1177" s="543"/>
      <c r="D1177" s="543"/>
      <c r="E1177" s="543"/>
      <c r="F1177" s="543"/>
      <c r="G1177" s="961"/>
      <c r="H1177" s="543"/>
      <c r="I1177" s="543"/>
      <c r="J1177" s="543"/>
      <c r="K1177" s="543"/>
      <c r="L1177" s="543"/>
      <c r="M1177" s="543"/>
      <c r="N1177" s="543"/>
      <c r="O1177" s="543"/>
      <c r="P1177" s="543"/>
      <c r="Q1177" s="543"/>
      <c r="R1177" s="543"/>
      <c r="S1177" s="543"/>
      <c r="T1177" s="543"/>
      <c r="U1177" s="543"/>
    </row>
    <row r="1178" spans="1:21" x14ac:dyDescent="0.25">
      <c r="A1178" s="543"/>
      <c r="B1178" s="543"/>
      <c r="C1178" s="543"/>
      <c r="D1178" s="543"/>
      <c r="E1178" s="543"/>
      <c r="F1178" s="543"/>
      <c r="G1178" s="961"/>
      <c r="H1178" s="543"/>
      <c r="I1178" s="543"/>
      <c r="J1178" s="543"/>
      <c r="K1178" s="543"/>
      <c r="L1178" s="543"/>
      <c r="M1178" s="543"/>
      <c r="N1178" s="543"/>
      <c r="O1178" s="543"/>
      <c r="P1178" s="543"/>
      <c r="Q1178" s="543"/>
      <c r="R1178" s="543"/>
      <c r="S1178" s="543"/>
      <c r="T1178" s="543"/>
      <c r="U1178" s="543"/>
    </row>
    <row r="1179" spans="1:21" x14ac:dyDescent="0.25">
      <c r="A1179" s="543"/>
      <c r="B1179" s="543"/>
      <c r="C1179" s="543"/>
      <c r="D1179" s="543"/>
      <c r="E1179" s="543"/>
      <c r="F1179" s="543"/>
      <c r="G1179" s="961"/>
      <c r="H1179" s="543"/>
      <c r="I1179" s="543"/>
      <c r="J1179" s="543"/>
      <c r="K1179" s="543"/>
      <c r="L1179" s="543"/>
      <c r="M1179" s="543"/>
      <c r="N1179" s="543"/>
      <c r="O1179" s="543"/>
      <c r="P1179" s="543"/>
      <c r="Q1179" s="543"/>
      <c r="R1179" s="543"/>
      <c r="S1179" s="543"/>
      <c r="T1179" s="543"/>
      <c r="U1179" s="543"/>
    </row>
    <row r="1180" spans="1:21" x14ac:dyDescent="0.25">
      <c r="A1180" s="543"/>
      <c r="B1180" s="543"/>
      <c r="C1180" s="543"/>
      <c r="D1180" s="543"/>
      <c r="E1180" s="543"/>
      <c r="F1180" s="543"/>
      <c r="G1180" s="961"/>
      <c r="H1180" s="543"/>
      <c r="I1180" s="543"/>
      <c r="J1180" s="543"/>
      <c r="K1180" s="543"/>
      <c r="L1180" s="543"/>
      <c r="M1180" s="543"/>
      <c r="N1180" s="543"/>
      <c r="O1180" s="543"/>
      <c r="P1180" s="543"/>
      <c r="Q1180" s="543"/>
      <c r="R1180" s="543"/>
      <c r="S1180" s="543"/>
      <c r="T1180" s="543"/>
      <c r="U1180" s="543"/>
    </row>
    <row r="1181" spans="1:21" x14ac:dyDescent="0.25">
      <c r="A1181" s="543"/>
      <c r="B1181" s="543"/>
      <c r="C1181" s="543"/>
      <c r="D1181" s="543"/>
      <c r="E1181" s="543"/>
      <c r="F1181" s="543"/>
      <c r="G1181" s="961"/>
      <c r="H1181" s="543"/>
      <c r="I1181" s="543"/>
      <c r="J1181" s="543"/>
      <c r="K1181" s="543"/>
      <c r="L1181" s="543"/>
      <c r="M1181" s="543"/>
      <c r="N1181" s="543"/>
      <c r="O1181" s="543"/>
      <c r="P1181" s="543"/>
      <c r="Q1181" s="543"/>
      <c r="R1181" s="543"/>
      <c r="S1181" s="543"/>
      <c r="T1181" s="543"/>
      <c r="U1181" s="543"/>
    </row>
    <row r="1182" spans="1:21" x14ac:dyDescent="0.25">
      <c r="A1182" s="543"/>
      <c r="B1182" s="543"/>
      <c r="C1182" s="543"/>
      <c r="D1182" s="543"/>
      <c r="E1182" s="543"/>
      <c r="F1182" s="543"/>
      <c r="G1182" s="961"/>
      <c r="H1182" s="543"/>
      <c r="I1182" s="543"/>
      <c r="J1182" s="543"/>
      <c r="K1182" s="543"/>
      <c r="L1182" s="543"/>
      <c r="M1182" s="543"/>
      <c r="N1182" s="543"/>
      <c r="O1182" s="543"/>
      <c r="P1182" s="543"/>
      <c r="Q1182" s="543"/>
      <c r="R1182" s="543"/>
      <c r="S1182" s="543"/>
      <c r="T1182" s="543"/>
      <c r="U1182" s="543"/>
    </row>
    <row r="1183" spans="1:21" x14ac:dyDescent="0.25">
      <c r="A1183" s="543"/>
      <c r="B1183" s="543"/>
      <c r="C1183" s="543"/>
      <c r="D1183" s="543"/>
      <c r="E1183" s="543"/>
      <c r="F1183" s="543"/>
      <c r="G1183" s="961"/>
      <c r="H1183" s="543"/>
      <c r="I1183" s="543"/>
      <c r="J1183" s="543"/>
      <c r="K1183" s="543"/>
      <c r="L1183" s="543"/>
      <c r="M1183" s="543"/>
      <c r="N1183" s="543"/>
      <c r="O1183" s="543"/>
      <c r="P1183" s="543"/>
      <c r="Q1183" s="543"/>
      <c r="R1183" s="543"/>
      <c r="S1183" s="543"/>
      <c r="T1183" s="543"/>
      <c r="U1183" s="543"/>
    </row>
    <row r="1184" spans="1:21" x14ac:dyDescent="0.25">
      <c r="A1184" s="543"/>
      <c r="B1184" s="543"/>
      <c r="C1184" s="543"/>
      <c r="D1184" s="543"/>
      <c r="E1184" s="543"/>
      <c r="F1184" s="543"/>
      <c r="G1184" s="961"/>
      <c r="H1184" s="543"/>
      <c r="I1184" s="543"/>
      <c r="J1184" s="543"/>
      <c r="K1184" s="543"/>
      <c r="L1184" s="543"/>
      <c r="M1184" s="543"/>
      <c r="N1184" s="543"/>
      <c r="O1184" s="543"/>
      <c r="P1184" s="543"/>
      <c r="Q1184" s="543"/>
      <c r="R1184" s="543"/>
      <c r="S1184" s="543"/>
      <c r="T1184" s="543"/>
      <c r="U1184" s="543"/>
    </row>
  </sheetData>
  <sheetProtection algorithmName="SHA-512" hashValue="sjie/8XVxUK40L/EJiYqvvxDusunKWUpB8vKI2hFNDtR6uw3KSm+v0Mjlr/OuT49iOPubtuj//kv6P7J0KgOrA==" saltValue="I05dExheBgSIXwMFOzR3bA==" spinCount="100000" sheet="1" objects="1" scenarios="1"/>
  <mergeCells count="906">
    <mergeCell ref="S838:T838"/>
    <mergeCell ref="B839:U839"/>
    <mergeCell ref="D837:E837"/>
    <mergeCell ref="F837:G837"/>
    <mergeCell ref="I837:J837"/>
    <mergeCell ref="K837:L837"/>
    <mergeCell ref="M837:N837"/>
    <mergeCell ref="O837:P837"/>
    <mergeCell ref="Q837:R837"/>
    <mergeCell ref="B838:C838"/>
    <mergeCell ref="E838:F838"/>
    <mergeCell ref="G838:H838"/>
    <mergeCell ref="I838:J838"/>
    <mergeCell ref="K838:L838"/>
    <mergeCell ref="M838:N838"/>
    <mergeCell ref="O838:P838"/>
    <mergeCell ref="Q838:R838"/>
    <mergeCell ref="D835:E835"/>
    <mergeCell ref="F835:G835"/>
    <mergeCell ref="I835:J835"/>
    <mergeCell ref="K835:L835"/>
    <mergeCell ref="M835:N835"/>
    <mergeCell ref="O835:P835"/>
    <mergeCell ref="Q835:R835"/>
    <mergeCell ref="S835:T835"/>
    <mergeCell ref="B836:C836"/>
    <mergeCell ref="E836:F836"/>
    <mergeCell ref="G836:H836"/>
    <mergeCell ref="I836:J836"/>
    <mergeCell ref="K836:L836"/>
    <mergeCell ref="M836:N836"/>
    <mergeCell ref="O836:P836"/>
    <mergeCell ref="Q836:R836"/>
    <mergeCell ref="D833:E833"/>
    <mergeCell ref="F833:G833"/>
    <mergeCell ref="I833:J833"/>
    <mergeCell ref="K833:L833"/>
    <mergeCell ref="M833:N833"/>
    <mergeCell ref="O833:P833"/>
    <mergeCell ref="Q833:R833"/>
    <mergeCell ref="B834:C834"/>
    <mergeCell ref="E834:F834"/>
    <mergeCell ref="G834:H834"/>
    <mergeCell ref="I834:J834"/>
    <mergeCell ref="K834:L834"/>
    <mergeCell ref="M834:N834"/>
    <mergeCell ref="O834:P834"/>
    <mergeCell ref="Q834:R834"/>
    <mergeCell ref="D831:E831"/>
    <mergeCell ref="F831:G831"/>
    <mergeCell ref="I831:J831"/>
    <mergeCell ref="K831:L831"/>
    <mergeCell ref="M831:N831"/>
    <mergeCell ref="O831:P831"/>
    <mergeCell ref="Q831:R831"/>
    <mergeCell ref="S831:T831"/>
    <mergeCell ref="B832:C832"/>
    <mergeCell ref="E832:F832"/>
    <mergeCell ref="G832:H832"/>
    <mergeCell ref="I832:J832"/>
    <mergeCell ref="K832:L832"/>
    <mergeCell ref="M832:N832"/>
    <mergeCell ref="O832:P832"/>
    <mergeCell ref="Q832:R832"/>
    <mergeCell ref="S832:T832"/>
    <mergeCell ref="Q829:R829"/>
    <mergeCell ref="S829:T829"/>
    <mergeCell ref="B830:C830"/>
    <mergeCell ref="E830:F830"/>
    <mergeCell ref="I830:J830"/>
    <mergeCell ref="K830:L830"/>
    <mergeCell ref="M830:N830"/>
    <mergeCell ref="O830:P830"/>
    <mergeCell ref="Q830:R830"/>
    <mergeCell ref="S830:T830"/>
    <mergeCell ref="D827:E827"/>
    <mergeCell ref="F827:G827"/>
    <mergeCell ref="O827:P827"/>
    <mergeCell ref="B828:C828"/>
    <mergeCell ref="E828:F828"/>
    <mergeCell ref="O828:P828"/>
    <mergeCell ref="D829:E829"/>
    <mergeCell ref="F829:G829"/>
    <mergeCell ref="I829:J829"/>
    <mergeCell ref="K829:L829"/>
    <mergeCell ref="M829:N829"/>
    <mergeCell ref="O829:P829"/>
    <mergeCell ref="S824:T824"/>
    <mergeCell ref="B825:U825"/>
    <mergeCell ref="B826:C826"/>
    <mergeCell ref="E826:F826"/>
    <mergeCell ref="G826:H826"/>
    <mergeCell ref="I826:J826"/>
    <mergeCell ref="K826:L826"/>
    <mergeCell ref="M826:N826"/>
    <mergeCell ref="O826:P826"/>
    <mergeCell ref="Q826:R826"/>
    <mergeCell ref="S826:T826"/>
    <mergeCell ref="D823:E823"/>
    <mergeCell ref="F823:G823"/>
    <mergeCell ref="I823:J823"/>
    <mergeCell ref="K823:L823"/>
    <mergeCell ref="M823:N823"/>
    <mergeCell ref="O823:P823"/>
    <mergeCell ref="Q823:R823"/>
    <mergeCell ref="B824:C824"/>
    <mergeCell ref="E824:F824"/>
    <mergeCell ref="G824:H824"/>
    <mergeCell ref="I824:J824"/>
    <mergeCell ref="K824:L824"/>
    <mergeCell ref="M824:N824"/>
    <mergeCell ref="O824:P824"/>
    <mergeCell ref="Q824:R824"/>
    <mergeCell ref="D821:E821"/>
    <mergeCell ref="F821:G821"/>
    <mergeCell ref="I821:J821"/>
    <mergeCell ref="K821:L821"/>
    <mergeCell ref="M821:N821"/>
    <mergeCell ref="O821:P821"/>
    <mergeCell ref="Q821:R821"/>
    <mergeCell ref="S821:T821"/>
    <mergeCell ref="B822:C822"/>
    <mergeCell ref="E822:F822"/>
    <mergeCell ref="G822:H822"/>
    <mergeCell ref="I822:J822"/>
    <mergeCell ref="K822:L822"/>
    <mergeCell ref="M822:N822"/>
    <mergeCell ref="O822:P822"/>
    <mergeCell ref="Q822:R822"/>
    <mergeCell ref="D819:E819"/>
    <mergeCell ref="F819:G819"/>
    <mergeCell ref="I819:J819"/>
    <mergeCell ref="K819:L819"/>
    <mergeCell ref="M819:N819"/>
    <mergeCell ref="O819:P819"/>
    <mergeCell ref="Q819:R819"/>
    <mergeCell ref="B820:C820"/>
    <mergeCell ref="E820:F820"/>
    <mergeCell ref="G820:H820"/>
    <mergeCell ref="I820:J820"/>
    <mergeCell ref="K820:L820"/>
    <mergeCell ref="M820:N820"/>
    <mergeCell ref="O820:P820"/>
    <mergeCell ref="Q820:R820"/>
    <mergeCell ref="D817:E817"/>
    <mergeCell ref="F817:G817"/>
    <mergeCell ref="I817:J817"/>
    <mergeCell ref="K817:L817"/>
    <mergeCell ref="M817:N817"/>
    <mergeCell ref="O817:P817"/>
    <mergeCell ref="Q817:R817"/>
    <mergeCell ref="S817:T817"/>
    <mergeCell ref="B818:C818"/>
    <mergeCell ref="E818:F818"/>
    <mergeCell ref="G818:H818"/>
    <mergeCell ref="I818:J818"/>
    <mergeCell ref="K818:L818"/>
    <mergeCell ref="M818:N818"/>
    <mergeCell ref="O818:P818"/>
    <mergeCell ref="Q818:R818"/>
    <mergeCell ref="S818:T818"/>
    <mergeCell ref="Q815:R815"/>
    <mergeCell ref="S815:T815"/>
    <mergeCell ref="B816:C816"/>
    <mergeCell ref="E816:F816"/>
    <mergeCell ref="I816:J816"/>
    <mergeCell ref="K816:L816"/>
    <mergeCell ref="M816:N816"/>
    <mergeCell ref="O816:P816"/>
    <mergeCell ref="Q816:R816"/>
    <mergeCell ref="S816:T816"/>
    <mergeCell ref="D813:E813"/>
    <mergeCell ref="F813:G813"/>
    <mergeCell ref="O813:P813"/>
    <mergeCell ref="B814:C814"/>
    <mergeCell ref="E814:F814"/>
    <mergeCell ref="O814:P814"/>
    <mergeCell ref="D815:E815"/>
    <mergeCell ref="F815:G815"/>
    <mergeCell ref="I815:J815"/>
    <mergeCell ref="K815:L815"/>
    <mergeCell ref="M815:N815"/>
    <mergeCell ref="O815:P815"/>
    <mergeCell ref="S810:T810"/>
    <mergeCell ref="B811:U811"/>
    <mergeCell ref="B812:C812"/>
    <mergeCell ref="E812:F812"/>
    <mergeCell ref="G812:H812"/>
    <mergeCell ref="I812:J812"/>
    <mergeCell ref="K812:L812"/>
    <mergeCell ref="M812:N812"/>
    <mergeCell ref="O812:P812"/>
    <mergeCell ref="Q812:R812"/>
    <mergeCell ref="S812:T812"/>
    <mergeCell ref="D809:E809"/>
    <mergeCell ref="F809:G809"/>
    <mergeCell ref="I809:J809"/>
    <mergeCell ref="K809:L809"/>
    <mergeCell ref="M809:N809"/>
    <mergeCell ref="O809:P809"/>
    <mergeCell ref="Q809:R809"/>
    <mergeCell ref="B810:C810"/>
    <mergeCell ref="E810:F810"/>
    <mergeCell ref="G810:H810"/>
    <mergeCell ref="I810:J810"/>
    <mergeCell ref="K810:L810"/>
    <mergeCell ref="M810:N810"/>
    <mergeCell ref="O810:P810"/>
    <mergeCell ref="Q810:R810"/>
    <mergeCell ref="D807:E807"/>
    <mergeCell ref="F807:G807"/>
    <mergeCell ref="I807:J807"/>
    <mergeCell ref="K807:L807"/>
    <mergeCell ref="M807:N807"/>
    <mergeCell ref="O807:P807"/>
    <mergeCell ref="Q807:R807"/>
    <mergeCell ref="S807:T807"/>
    <mergeCell ref="B808:C808"/>
    <mergeCell ref="E808:F808"/>
    <mergeCell ref="G808:H808"/>
    <mergeCell ref="I808:J808"/>
    <mergeCell ref="K808:L808"/>
    <mergeCell ref="M808:N808"/>
    <mergeCell ref="O808:P808"/>
    <mergeCell ref="Q808:R808"/>
    <mergeCell ref="D805:E805"/>
    <mergeCell ref="F805:G805"/>
    <mergeCell ref="I805:J805"/>
    <mergeCell ref="K805:L805"/>
    <mergeCell ref="M805:N805"/>
    <mergeCell ref="O805:P805"/>
    <mergeCell ref="Q805:R805"/>
    <mergeCell ref="B806:C806"/>
    <mergeCell ref="E806:F806"/>
    <mergeCell ref="G806:H806"/>
    <mergeCell ref="I806:J806"/>
    <mergeCell ref="K806:L806"/>
    <mergeCell ref="M806:N806"/>
    <mergeCell ref="O806:P806"/>
    <mergeCell ref="Q806:R806"/>
    <mergeCell ref="D803:E803"/>
    <mergeCell ref="F803:G803"/>
    <mergeCell ref="I803:J803"/>
    <mergeCell ref="K803:L803"/>
    <mergeCell ref="M803:N803"/>
    <mergeCell ref="O803:P803"/>
    <mergeCell ref="Q803:R803"/>
    <mergeCell ref="S803:T803"/>
    <mergeCell ref="B804:C804"/>
    <mergeCell ref="E804:F804"/>
    <mergeCell ref="G804:H804"/>
    <mergeCell ref="I804:J804"/>
    <mergeCell ref="K804:L804"/>
    <mergeCell ref="M804:N804"/>
    <mergeCell ref="O804:P804"/>
    <mergeCell ref="Q804:R804"/>
    <mergeCell ref="S804:T804"/>
    <mergeCell ref="Q801:R801"/>
    <mergeCell ref="S801:T801"/>
    <mergeCell ref="B802:C802"/>
    <mergeCell ref="E802:F802"/>
    <mergeCell ref="I802:J802"/>
    <mergeCell ref="K802:L802"/>
    <mergeCell ref="M802:N802"/>
    <mergeCell ref="O802:P802"/>
    <mergeCell ref="Q802:R802"/>
    <mergeCell ref="S802:T802"/>
    <mergeCell ref="D799:E799"/>
    <mergeCell ref="F799:G799"/>
    <mergeCell ref="O799:P799"/>
    <mergeCell ref="B800:C800"/>
    <mergeCell ref="E800:F800"/>
    <mergeCell ref="O800:P800"/>
    <mergeCell ref="D801:E801"/>
    <mergeCell ref="F801:G801"/>
    <mergeCell ref="I801:J801"/>
    <mergeCell ref="K801:L801"/>
    <mergeCell ref="M801:N801"/>
    <mergeCell ref="O801:P801"/>
    <mergeCell ref="S796:T796"/>
    <mergeCell ref="B797:U797"/>
    <mergeCell ref="B798:C798"/>
    <mergeCell ref="E798:F798"/>
    <mergeCell ref="G798:H798"/>
    <mergeCell ref="I798:J798"/>
    <mergeCell ref="K798:L798"/>
    <mergeCell ref="M798:N798"/>
    <mergeCell ref="O798:P798"/>
    <mergeCell ref="Q798:R798"/>
    <mergeCell ref="S798:T798"/>
    <mergeCell ref="D795:E795"/>
    <mergeCell ref="F795:G795"/>
    <mergeCell ref="I795:J795"/>
    <mergeCell ref="K795:L795"/>
    <mergeCell ref="M795:N795"/>
    <mergeCell ref="O795:P795"/>
    <mergeCell ref="Q795:R795"/>
    <mergeCell ref="B796:C796"/>
    <mergeCell ref="E796:F796"/>
    <mergeCell ref="G796:H796"/>
    <mergeCell ref="I796:J796"/>
    <mergeCell ref="K796:L796"/>
    <mergeCell ref="M796:N796"/>
    <mergeCell ref="O796:P796"/>
    <mergeCell ref="Q796:R796"/>
    <mergeCell ref="D793:E793"/>
    <mergeCell ref="F793:G793"/>
    <mergeCell ref="I793:J793"/>
    <mergeCell ref="K793:L793"/>
    <mergeCell ref="M793:N793"/>
    <mergeCell ref="O793:P793"/>
    <mergeCell ref="Q793:R793"/>
    <mergeCell ref="S793:T793"/>
    <mergeCell ref="B794:C794"/>
    <mergeCell ref="E794:F794"/>
    <mergeCell ref="G794:H794"/>
    <mergeCell ref="I794:J794"/>
    <mergeCell ref="K794:L794"/>
    <mergeCell ref="M794:N794"/>
    <mergeCell ref="O794:P794"/>
    <mergeCell ref="Q794:R794"/>
    <mergeCell ref="D791:E791"/>
    <mergeCell ref="F791:G791"/>
    <mergeCell ref="I791:J791"/>
    <mergeCell ref="K791:L791"/>
    <mergeCell ref="M791:N791"/>
    <mergeCell ref="O791:P791"/>
    <mergeCell ref="Q791:R791"/>
    <mergeCell ref="B792:C792"/>
    <mergeCell ref="E792:F792"/>
    <mergeCell ref="G792:H792"/>
    <mergeCell ref="I792:J792"/>
    <mergeCell ref="K792:L792"/>
    <mergeCell ref="M792:N792"/>
    <mergeCell ref="O792:P792"/>
    <mergeCell ref="Q792:R792"/>
    <mergeCell ref="D789:E789"/>
    <mergeCell ref="F789:G789"/>
    <mergeCell ref="I789:J789"/>
    <mergeCell ref="K789:L789"/>
    <mergeCell ref="M789:N789"/>
    <mergeCell ref="O789:P789"/>
    <mergeCell ref="Q789:R789"/>
    <mergeCell ref="S789:T789"/>
    <mergeCell ref="B790:C790"/>
    <mergeCell ref="E790:F790"/>
    <mergeCell ref="G790:H790"/>
    <mergeCell ref="I790:J790"/>
    <mergeCell ref="K790:L790"/>
    <mergeCell ref="M790:N790"/>
    <mergeCell ref="O790:P790"/>
    <mergeCell ref="Q790:R790"/>
    <mergeCell ref="S790:T790"/>
    <mergeCell ref="Q787:R787"/>
    <mergeCell ref="S787:T787"/>
    <mergeCell ref="B788:C788"/>
    <mergeCell ref="E788:F788"/>
    <mergeCell ref="I788:J788"/>
    <mergeCell ref="K788:L788"/>
    <mergeCell ref="M788:N788"/>
    <mergeCell ref="O788:P788"/>
    <mergeCell ref="Q788:R788"/>
    <mergeCell ref="S788:T788"/>
    <mergeCell ref="D785:E785"/>
    <mergeCell ref="F785:G785"/>
    <mergeCell ref="O785:P785"/>
    <mergeCell ref="B786:C786"/>
    <mergeCell ref="E786:F786"/>
    <mergeCell ref="O786:P786"/>
    <mergeCell ref="D787:E787"/>
    <mergeCell ref="F787:G787"/>
    <mergeCell ref="I787:J787"/>
    <mergeCell ref="K787:L787"/>
    <mergeCell ref="M787:N787"/>
    <mergeCell ref="O787:P787"/>
    <mergeCell ref="B784:C784"/>
    <mergeCell ref="E784:F784"/>
    <mergeCell ref="G784:H784"/>
    <mergeCell ref="I784:J784"/>
    <mergeCell ref="K784:L784"/>
    <mergeCell ref="M784:N784"/>
    <mergeCell ref="O784:P784"/>
    <mergeCell ref="Q784:R784"/>
    <mergeCell ref="S784:T784"/>
    <mergeCell ref="S782:T782"/>
    <mergeCell ref="B783:U783"/>
    <mergeCell ref="D779:E779"/>
    <mergeCell ref="D781:E781"/>
    <mergeCell ref="F781:G781"/>
    <mergeCell ref="I781:J781"/>
    <mergeCell ref="K781:L781"/>
    <mergeCell ref="M781:N781"/>
    <mergeCell ref="O781:P781"/>
    <mergeCell ref="Q781:R781"/>
    <mergeCell ref="B782:C782"/>
    <mergeCell ref="E782:F782"/>
    <mergeCell ref="G782:H782"/>
    <mergeCell ref="I782:J782"/>
    <mergeCell ref="K782:L782"/>
    <mergeCell ref="M782:N782"/>
    <mergeCell ref="O782:P782"/>
    <mergeCell ref="Q782:R782"/>
    <mergeCell ref="F779:G779"/>
    <mergeCell ref="I779:J779"/>
    <mergeCell ref="K779:L779"/>
    <mergeCell ref="M779:N779"/>
    <mergeCell ref="O779:P779"/>
    <mergeCell ref="Q779:R779"/>
    <mergeCell ref="S779:T779"/>
    <mergeCell ref="B780:C780"/>
    <mergeCell ref="E780:F780"/>
    <mergeCell ref="G780:H780"/>
    <mergeCell ref="I780:J780"/>
    <mergeCell ref="K780:L780"/>
    <mergeCell ref="M780:N780"/>
    <mergeCell ref="O780:P780"/>
    <mergeCell ref="Q780:R780"/>
    <mergeCell ref="D777:E777"/>
    <mergeCell ref="F777:G777"/>
    <mergeCell ref="I777:J777"/>
    <mergeCell ref="K777:L777"/>
    <mergeCell ref="M777:N777"/>
    <mergeCell ref="O777:P777"/>
    <mergeCell ref="Q777:R777"/>
    <mergeCell ref="B778:C778"/>
    <mergeCell ref="E778:F778"/>
    <mergeCell ref="G778:H778"/>
    <mergeCell ref="I778:J778"/>
    <mergeCell ref="K778:L778"/>
    <mergeCell ref="M778:N778"/>
    <mergeCell ref="O778:P778"/>
    <mergeCell ref="Q778:R778"/>
    <mergeCell ref="D775:E775"/>
    <mergeCell ref="F775:G775"/>
    <mergeCell ref="I775:J775"/>
    <mergeCell ref="K775:L775"/>
    <mergeCell ref="M775:N775"/>
    <mergeCell ref="O775:P775"/>
    <mergeCell ref="Q775:R775"/>
    <mergeCell ref="S775:T775"/>
    <mergeCell ref="B776:C776"/>
    <mergeCell ref="E776:F776"/>
    <mergeCell ref="G776:H776"/>
    <mergeCell ref="I776:J776"/>
    <mergeCell ref="K776:L776"/>
    <mergeCell ref="M776:N776"/>
    <mergeCell ref="O776:P776"/>
    <mergeCell ref="Q776:R776"/>
    <mergeCell ref="S776:T776"/>
    <mergeCell ref="Q773:R773"/>
    <mergeCell ref="S773:T773"/>
    <mergeCell ref="B774:C774"/>
    <mergeCell ref="E774:F774"/>
    <mergeCell ref="I774:J774"/>
    <mergeCell ref="K774:L774"/>
    <mergeCell ref="M774:N774"/>
    <mergeCell ref="O774:P774"/>
    <mergeCell ref="Q774:R774"/>
    <mergeCell ref="S774:T774"/>
    <mergeCell ref="D771:E771"/>
    <mergeCell ref="F771:G771"/>
    <mergeCell ref="O771:P771"/>
    <mergeCell ref="B772:C772"/>
    <mergeCell ref="E772:F772"/>
    <mergeCell ref="O772:P772"/>
    <mergeCell ref="D773:E773"/>
    <mergeCell ref="F773:G773"/>
    <mergeCell ref="I773:J773"/>
    <mergeCell ref="K773:L773"/>
    <mergeCell ref="M773:N773"/>
    <mergeCell ref="O773:P773"/>
    <mergeCell ref="B770:C770"/>
    <mergeCell ref="E770:F770"/>
    <mergeCell ref="G770:H770"/>
    <mergeCell ref="I770:J770"/>
    <mergeCell ref="K770:L770"/>
    <mergeCell ref="M770:N770"/>
    <mergeCell ref="O770:P770"/>
    <mergeCell ref="Q770:R770"/>
    <mergeCell ref="S770:T770"/>
    <mergeCell ref="D487:E487"/>
    <mergeCell ref="N468:P468"/>
    <mergeCell ref="N469:P469"/>
    <mergeCell ref="N470:P470"/>
    <mergeCell ref="N471:P471"/>
    <mergeCell ref="N472:P472"/>
    <mergeCell ref="N473:P473"/>
    <mergeCell ref="N482:P482"/>
    <mergeCell ref="N483:P483"/>
    <mergeCell ref="N484:P484"/>
    <mergeCell ref="N485:P485"/>
    <mergeCell ref="N486:P486"/>
    <mergeCell ref="N487:P487"/>
    <mergeCell ref="B477:U477"/>
    <mergeCell ref="D479:E479"/>
    <mergeCell ref="D481:E481"/>
    <mergeCell ref="D483:E483"/>
    <mergeCell ref="D485:E485"/>
    <mergeCell ref="D311:E311"/>
    <mergeCell ref="D313:E313"/>
    <mergeCell ref="D315:E315"/>
    <mergeCell ref="D317:E317"/>
    <mergeCell ref="D321:E321"/>
    <mergeCell ref="B323:U323"/>
    <mergeCell ref="D319:E319"/>
    <mergeCell ref="D245:E245"/>
    <mergeCell ref="D247:E247"/>
    <mergeCell ref="D251:E251"/>
    <mergeCell ref="B309:U309"/>
    <mergeCell ref="D249:E249"/>
    <mergeCell ref="B253:U253"/>
    <mergeCell ref="D255:E255"/>
    <mergeCell ref="D257:E257"/>
    <mergeCell ref="D259:E259"/>
    <mergeCell ref="D261:E261"/>
    <mergeCell ref="D263:E263"/>
    <mergeCell ref="D265:E265"/>
    <mergeCell ref="B267:U267"/>
    <mergeCell ref="D269:E269"/>
    <mergeCell ref="D271:E271"/>
    <mergeCell ref="D273:E273"/>
    <mergeCell ref="D275:E275"/>
    <mergeCell ref="D173:E173"/>
    <mergeCell ref="D177:E177"/>
    <mergeCell ref="B179:U179"/>
    <mergeCell ref="D181:E181"/>
    <mergeCell ref="D163:E163"/>
    <mergeCell ref="B165:U165"/>
    <mergeCell ref="D167:E167"/>
    <mergeCell ref="D169:E169"/>
    <mergeCell ref="D153:E153"/>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D25:E25"/>
    <mergeCell ref="D29:E29"/>
    <mergeCell ref="B31:U31"/>
    <mergeCell ref="D33:E33"/>
    <mergeCell ref="D35:E35"/>
    <mergeCell ref="D37:E37"/>
    <mergeCell ref="D39:E39"/>
    <mergeCell ref="D43:E43"/>
    <mergeCell ref="D27:E27"/>
    <mergeCell ref="D41:E41"/>
    <mergeCell ref="D13:E13"/>
    <mergeCell ref="D19:E19"/>
    <mergeCell ref="D21:E21"/>
    <mergeCell ref="B3:U3"/>
    <mergeCell ref="D5:E5"/>
    <mergeCell ref="D7:E7"/>
    <mergeCell ref="D9:E9"/>
    <mergeCell ref="D11:E11"/>
    <mergeCell ref="D23:E23"/>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325:E325"/>
    <mergeCell ref="D327:E327"/>
    <mergeCell ref="D329:E329"/>
    <mergeCell ref="D331:E331"/>
    <mergeCell ref="D335:E335"/>
    <mergeCell ref="B337:U337"/>
    <mergeCell ref="D339:E339"/>
    <mergeCell ref="D341:E341"/>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D363:E363"/>
    <mergeCell ref="B365:U365"/>
    <mergeCell ref="D367:E367"/>
    <mergeCell ref="D369:E369"/>
    <mergeCell ref="D371:E371"/>
    <mergeCell ref="D373:E373"/>
    <mergeCell ref="D377:E377"/>
    <mergeCell ref="D343:E343"/>
    <mergeCell ref="D345:E345"/>
    <mergeCell ref="D349:E349"/>
    <mergeCell ref="B351:U351"/>
    <mergeCell ref="D353:E353"/>
    <mergeCell ref="D355:E355"/>
    <mergeCell ref="D357:E357"/>
    <mergeCell ref="D359:E359"/>
    <mergeCell ref="D375:E375"/>
    <mergeCell ref="D361:E361"/>
    <mergeCell ref="D347:E347"/>
    <mergeCell ref="B379:U379"/>
    <mergeCell ref="D381:E381"/>
    <mergeCell ref="D383:E383"/>
    <mergeCell ref="D385:E385"/>
    <mergeCell ref="D387:E387"/>
    <mergeCell ref="D391:E391"/>
    <mergeCell ref="D389:E389"/>
    <mergeCell ref="B393:U393"/>
    <mergeCell ref="D395:E395"/>
    <mergeCell ref="D397:E397"/>
    <mergeCell ref="D399:E399"/>
    <mergeCell ref="D401:E401"/>
    <mergeCell ref="D405:E405"/>
    <mergeCell ref="D403:E403"/>
    <mergeCell ref="D433:E433"/>
    <mergeCell ref="B435:U435"/>
    <mergeCell ref="D437:E437"/>
    <mergeCell ref="D439:E439"/>
    <mergeCell ref="B407:U407"/>
    <mergeCell ref="D409:E409"/>
    <mergeCell ref="D411:E411"/>
    <mergeCell ref="D413:E413"/>
    <mergeCell ref="D415:E415"/>
    <mergeCell ref="D419:E419"/>
    <mergeCell ref="B421:U421"/>
    <mergeCell ref="D431:E431"/>
    <mergeCell ref="D423:E423"/>
    <mergeCell ref="D425:E425"/>
    <mergeCell ref="D427:E427"/>
    <mergeCell ref="D429:E429"/>
    <mergeCell ref="D461:E461"/>
    <mergeCell ref="B463:U463"/>
    <mergeCell ref="D465:E465"/>
    <mergeCell ref="D467:E467"/>
    <mergeCell ref="D469:E469"/>
    <mergeCell ref="D471:E471"/>
    <mergeCell ref="D475:E475"/>
    <mergeCell ref="D441:E441"/>
    <mergeCell ref="D443:E443"/>
    <mergeCell ref="D447:E447"/>
    <mergeCell ref="B449:U449"/>
    <mergeCell ref="D451:E451"/>
    <mergeCell ref="D453:E453"/>
    <mergeCell ref="D455:E455"/>
    <mergeCell ref="D457:E457"/>
    <mergeCell ref="D445:E445"/>
    <mergeCell ref="D459:E459"/>
    <mergeCell ref="D473:E473"/>
    <mergeCell ref="D277:E277"/>
    <mergeCell ref="D279:E279"/>
    <mergeCell ref="B281:U281"/>
    <mergeCell ref="D283:E283"/>
    <mergeCell ref="D285:E285"/>
    <mergeCell ref="D287:E287"/>
    <mergeCell ref="D289:E289"/>
    <mergeCell ref="D291:E291"/>
    <mergeCell ref="D293:E293"/>
    <mergeCell ref="B503:U503"/>
    <mergeCell ref="D505:E505"/>
    <mergeCell ref="D507:E507"/>
    <mergeCell ref="D509:E509"/>
    <mergeCell ref="D511:E511"/>
    <mergeCell ref="D515:E515"/>
    <mergeCell ref="B517:U517"/>
    <mergeCell ref="D519:E519"/>
    <mergeCell ref="B295:U295"/>
    <mergeCell ref="D297:E297"/>
    <mergeCell ref="D299:E299"/>
    <mergeCell ref="D301:E301"/>
    <mergeCell ref="D303:E303"/>
    <mergeCell ref="D305:E305"/>
    <mergeCell ref="D307:E307"/>
    <mergeCell ref="D489:E489"/>
    <mergeCell ref="B491:U491"/>
    <mergeCell ref="D493:E493"/>
    <mergeCell ref="D501:E501"/>
    <mergeCell ref="D333:E333"/>
    <mergeCell ref="D417:E417"/>
    <mergeCell ref="D495:E495"/>
    <mergeCell ref="D497:E497"/>
    <mergeCell ref="D499:E499"/>
    <mergeCell ref="D539:E539"/>
    <mergeCell ref="D543:E543"/>
    <mergeCell ref="B545:U545"/>
    <mergeCell ref="D547:E547"/>
    <mergeCell ref="D549:E549"/>
    <mergeCell ref="D551:E551"/>
    <mergeCell ref="D553:E553"/>
    <mergeCell ref="D521:E521"/>
    <mergeCell ref="D523:E523"/>
    <mergeCell ref="D525:E525"/>
    <mergeCell ref="D529:E529"/>
    <mergeCell ref="B531:U531"/>
    <mergeCell ref="D533:E533"/>
    <mergeCell ref="D535:E535"/>
    <mergeCell ref="D537:E537"/>
    <mergeCell ref="D575:E575"/>
    <mergeCell ref="D577:E577"/>
    <mergeCell ref="D579:E579"/>
    <mergeCell ref="D581:E581"/>
    <mergeCell ref="D585:E585"/>
    <mergeCell ref="B587:U587"/>
    <mergeCell ref="D589:E589"/>
    <mergeCell ref="D591:E591"/>
    <mergeCell ref="D557:E557"/>
    <mergeCell ref="B559:U559"/>
    <mergeCell ref="D561:E561"/>
    <mergeCell ref="D563:E563"/>
    <mergeCell ref="D565:E565"/>
    <mergeCell ref="D567:E567"/>
    <mergeCell ref="D571:E571"/>
    <mergeCell ref="B573:U573"/>
    <mergeCell ref="D627:E627"/>
    <mergeCell ref="D593:E593"/>
    <mergeCell ref="D595:E595"/>
    <mergeCell ref="D599:E599"/>
    <mergeCell ref="B601:U601"/>
    <mergeCell ref="D603:E603"/>
    <mergeCell ref="D605:E605"/>
    <mergeCell ref="D607:E607"/>
    <mergeCell ref="D609:E609"/>
    <mergeCell ref="AE5:AE6"/>
    <mergeCell ref="AE19:AE20"/>
    <mergeCell ref="AE33:AE34"/>
    <mergeCell ref="AE47:AE48"/>
    <mergeCell ref="AE61:AE62"/>
    <mergeCell ref="AE77:AE78"/>
    <mergeCell ref="AE93:AE94"/>
    <mergeCell ref="AE107:AE108"/>
    <mergeCell ref="B769:U769"/>
    <mergeCell ref="D513:E513"/>
    <mergeCell ref="D527:E527"/>
    <mergeCell ref="D541:E541"/>
    <mergeCell ref="D555:E555"/>
    <mergeCell ref="D569:E569"/>
    <mergeCell ref="D583:E583"/>
    <mergeCell ref="D597:E597"/>
    <mergeCell ref="D611:E611"/>
    <mergeCell ref="D625:E625"/>
    <mergeCell ref="D613:E613"/>
    <mergeCell ref="B615:U615"/>
    <mergeCell ref="D617:E617"/>
    <mergeCell ref="D619:E619"/>
    <mergeCell ref="D621:E621"/>
    <mergeCell ref="D623:E623"/>
    <mergeCell ref="AE121:AE122"/>
    <mergeCell ref="AE137:AE138"/>
    <mergeCell ref="AE153:AE154"/>
    <mergeCell ref="AE167:AE168"/>
    <mergeCell ref="AE181:AE182"/>
    <mergeCell ref="AE195:AE196"/>
    <mergeCell ref="AE209:AE210"/>
    <mergeCell ref="AE225:AE226"/>
    <mergeCell ref="AE241:AE242"/>
    <mergeCell ref="AE255:AE256"/>
    <mergeCell ref="AE269:AE270"/>
    <mergeCell ref="AE283:AE284"/>
    <mergeCell ref="AE297:AE298"/>
    <mergeCell ref="AE311:AE312"/>
    <mergeCell ref="AE325:AE326"/>
    <mergeCell ref="AE339:AE340"/>
    <mergeCell ref="AE353:AE354"/>
    <mergeCell ref="AE367:AE368"/>
    <mergeCell ref="AE381:AE382"/>
    <mergeCell ref="AE395:AE396"/>
    <mergeCell ref="AE409:AE410"/>
    <mergeCell ref="AE423:AE424"/>
    <mergeCell ref="AE437:AE438"/>
    <mergeCell ref="AE451:AE452"/>
    <mergeCell ref="AE465:AE466"/>
    <mergeCell ref="AE479:AE480"/>
    <mergeCell ref="AE493:AE494"/>
    <mergeCell ref="B629:U629"/>
    <mergeCell ref="D631:E631"/>
    <mergeCell ref="D633:E633"/>
    <mergeCell ref="D635:E635"/>
    <mergeCell ref="D637:E637"/>
    <mergeCell ref="D639:E639"/>
    <mergeCell ref="D641:E641"/>
    <mergeCell ref="B643:U643"/>
    <mergeCell ref="D645:E645"/>
    <mergeCell ref="D647:E647"/>
    <mergeCell ref="D649:E649"/>
    <mergeCell ref="D651:E651"/>
    <mergeCell ref="D653:E653"/>
    <mergeCell ref="D655:E655"/>
    <mergeCell ref="B657:U657"/>
    <mergeCell ref="D659:E659"/>
    <mergeCell ref="D661:E661"/>
    <mergeCell ref="D663:E663"/>
    <mergeCell ref="D665:E665"/>
    <mergeCell ref="D667:E667"/>
    <mergeCell ref="D669:E669"/>
    <mergeCell ref="B671:U671"/>
    <mergeCell ref="D673:E673"/>
    <mergeCell ref="D675:E675"/>
    <mergeCell ref="D677:E677"/>
    <mergeCell ref="D679:E679"/>
    <mergeCell ref="D681:E681"/>
    <mergeCell ref="D683:E683"/>
    <mergeCell ref="B685:U685"/>
    <mergeCell ref="D687:E687"/>
    <mergeCell ref="D689:E689"/>
    <mergeCell ref="D691:E691"/>
    <mergeCell ref="D693:E693"/>
    <mergeCell ref="D695:E695"/>
    <mergeCell ref="D697:E697"/>
    <mergeCell ref="B699:U699"/>
    <mergeCell ref="D701:E701"/>
    <mergeCell ref="D703:E703"/>
    <mergeCell ref="D705:E705"/>
    <mergeCell ref="D707:E707"/>
    <mergeCell ref="D709:E709"/>
    <mergeCell ref="D711:E711"/>
    <mergeCell ref="B713:U713"/>
    <mergeCell ref="D715:E715"/>
    <mergeCell ref="D717:E717"/>
    <mergeCell ref="D719:E719"/>
    <mergeCell ref="D721:E721"/>
    <mergeCell ref="D723:E723"/>
    <mergeCell ref="D725:E725"/>
    <mergeCell ref="B727:U727"/>
    <mergeCell ref="D729:E729"/>
    <mergeCell ref="D731:E731"/>
    <mergeCell ref="D733:E733"/>
    <mergeCell ref="D735:E735"/>
    <mergeCell ref="B755:U755"/>
    <mergeCell ref="D757:E757"/>
    <mergeCell ref="D759:E759"/>
    <mergeCell ref="D761:E761"/>
    <mergeCell ref="D763:E763"/>
    <mergeCell ref="D765:E765"/>
    <mergeCell ref="D767:E767"/>
    <mergeCell ref="D737:E737"/>
    <mergeCell ref="D739:E739"/>
    <mergeCell ref="B741:U741"/>
    <mergeCell ref="D743:E743"/>
    <mergeCell ref="D745:E745"/>
    <mergeCell ref="D747:E747"/>
    <mergeCell ref="D749:E749"/>
    <mergeCell ref="D751:E751"/>
    <mergeCell ref="D753:E753"/>
  </mergeCells>
  <conditionalFormatting sqref="N6">
    <cfRule type="expression" dxfId="541" priority="77">
      <formula>$J6="Check"</formula>
    </cfRule>
  </conditionalFormatting>
  <conditionalFormatting sqref="N20">
    <cfRule type="expression" dxfId="540" priority="75">
      <formula>$J20="Check"</formula>
    </cfRule>
  </conditionalFormatting>
  <conditionalFormatting sqref="N34">
    <cfRule type="expression" dxfId="539" priority="74">
      <formula>$J34="Check"</formula>
    </cfRule>
  </conditionalFormatting>
  <conditionalFormatting sqref="N48">
    <cfRule type="expression" dxfId="538" priority="73">
      <formula>$J48="Check"</formula>
    </cfRule>
  </conditionalFormatting>
  <conditionalFormatting sqref="N62">
    <cfRule type="expression" dxfId="537" priority="72">
      <formula>$J62="Check"</formula>
    </cfRule>
  </conditionalFormatting>
  <conditionalFormatting sqref="N78">
    <cfRule type="expression" dxfId="536" priority="71">
      <formula>$J78="Check"</formula>
    </cfRule>
  </conditionalFormatting>
  <conditionalFormatting sqref="N94">
    <cfRule type="expression" dxfId="535" priority="70">
      <formula>$J94="Check"</formula>
    </cfRule>
  </conditionalFormatting>
  <conditionalFormatting sqref="N108">
    <cfRule type="expression" dxfId="534" priority="69">
      <formula>$J108="Check"</formula>
    </cfRule>
  </conditionalFormatting>
  <conditionalFormatting sqref="N122">
    <cfRule type="expression" dxfId="533" priority="68">
      <formula>$J122="Check"</formula>
    </cfRule>
  </conditionalFormatting>
  <conditionalFormatting sqref="N138">
    <cfRule type="expression" dxfId="532" priority="67">
      <formula>$J138="Check"</formula>
    </cfRule>
  </conditionalFormatting>
  <conditionalFormatting sqref="N242">
    <cfRule type="expression" dxfId="531" priority="60">
      <formula>$J242="Check"</formula>
    </cfRule>
  </conditionalFormatting>
  <conditionalFormatting sqref="N226">
    <cfRule type="expression" dxfId="530" priority="59">
      <formula>$J226="Check"</formula>
    </cfRule>
  </conditionalFormatting>
  <conditionalFormatting sqref="N210">
    <cfRule type="expression" dxfId="529" priority="58">
      <formula>$J210="Check"</formula>
    </cfRule>
  </conditionalFormatting>
  <conditionalFormatting sqref="N196">
    <cfRule type="expression" dxfId="528" priority="57">
      <formula>$J196="Check"</formula>
    </cfRule>
  </conditionalFormatting>
  <conditionalFormatting sqref="N182">
    <cfRule type="expression" dxfId="527" priority="56">
      <formula>$J182="Check"</formula>
    </cfRule>
  </conditionalFormatting>
  <conditionalFormatting sqref="N168">
    <cfRule type="expression" dxfId="526" priority="55">
      <formula>$J168="Check"</formula>
    </cfRule>
  </conditionalFormatting>
  <conditionalFormatting sqref="N154">
    <cfRule type="expression" dxfId="525" priority="54">
      <formula>$J154="Check"</formula>
    </cfRule>
  </conditionalFormatting>
  <conditionalFormatting sqref="N312">
    <cfRule type="expression" dxfId="524" priority="53">
      <formula>$J312="Check"</formula>
    </cfRule>
  </conditionalFormatting>
  <conditionalFormatting sqref="N326">
    <cfRule type="expression" dxfId="523" priority="52">
      <formula>$J326="Check"</formula>
    </cfRule>
  </conditionalFormatting>
  <conditionalFormatting sqref="N340">
    <cfRule type="expression" dxfId="522" priority="51">
      <formula>$J340="Check"</formula>
    </cfRule>
  </conditionalFormatting>
  <conditionalFormatting sqref="N354">
    <cfRule type="expression" dxfId="521" priority="50">
      <formula>$J354="Check"</formula>
    </cfRule>
  </conditionalFormatting>
  <conditionalFormatting sqref="N368">
    <cfRule type="expression" dxfId="520" priority="49">
      <formula>$J368="Check"</formula>
    </cfRule>
  </conditionalFormatting>
  <conditionalFormatting sqref="N382">
    <cfRule type="expression" dxfId="519" priority="48">
      <formula>$J382="Check"</formula>
    </cfRule>
  </conditionalFormatting>
  <conditionalFormatting sqref="N396">
    <cfRule type="expression" dxfId="518" priority="46">
      <formula>$J396="Check"</formula>
    </cfRule>
  </conditionalFormatting>
  <conditionalFormatting sqref="N410">
    <cfRule type="expression" dxfId="517" priority="44">
      <formula>$J410="Check"</formula>
    </cfRule>
  </conditionalFormatting>
  <conditionalFormatting sqref="N424">
    <cfRule type="expression" dxfId="516" priority="43">
      <formula>$J424="Check"</formula>
    </cfRule>
  </conditionalFormatting>
  <conditionalFormatting sqref="N438">
    <cfRule type="expression" dxfId="515" priority="42">
      <formula>$J438="Check"</formula>
    </cfRule>
  </conditionalFormatting>
  <conditionalFormatting sqref="N452">
    <cfRule type="expression" dxfId="514" priority="41">
      <formula>$J452="Check"</formula>
    </cfRule>
  </conditionalFormatting>
  <conditionalFormatting sqref="N466">
    <cfRule type="expression" dxfId="513" priority="40">
      <formula>$J466="Check"</formula>
    </cfRule>
  </conditionalFormatting>
  <conditionalFormatting sqref="N480">
    <cfRule type="expression" dxfId="512" priority="39">
      <formula>$J480="Check"</formula>
    </cfRule>
  </conditionalFormatting>
  <conditionalFormatting sqref="N256">
    <cfRule type="expression" dxfId="511" priority="38">
      <formula>$J256="Check"</formula>
    </cfRule>
  </conditionalFormatting>
  <conditionalFormatting sqref="N270">
    <cfRule type="expression" dxfId="510" priority="37">
      <formula>$J270="Check"</formula>
    </cfRule>
  </conditionalFormatting>
  <conditionalFormatting sqref="N284">
    <cfRule type="expression" dxfId="509" priority="36">
      <formula>$J284="Check"</formula>
    </cfRule>
  </conditionalFormatting>
  <conditionalFormatting sqref="N298">
    <cfRule type="expression" dxfId="508" priority="35">
      <formula>$J298="Check"</formula>
    </cfRule>
  </conditionalFormatting>
  <conditionalFormatting sqref="P248">
    <cfRule type="expression" dxfId="507" priority="34">
      <formula>$H242="Monthly"</formula>
    </cfRule>
  </conditionalFormatting>
  <conditionalFormatting sqref="P262">
    <cfRule type="expression" dxfId="506" priority="33">
      <formula>$H256="Monthly"</formula>
    </cfRule>
  </conditionalFormatting>
  <conditionalFormatting sqref="P276">
    <cfRule type="expression" dxfId="505" priority="32">
      <formula>$H270="Monthly"</formula>
    </cfRule>
  </conditionalFormatting>
  <conditionalFormatting sqref="P290">
    <cfRule type="expression" dxfId="504" priority="31">
      <formula>$H284="Monthly"</formula>
    </cfRule>
  </conditionalFormatting>
  <conditionalFormatting sqref="P304">
    <cfRule type="expression" dxfId="503" priority="30">
      <formula>$H298="Monthly"</formula>
    </cfRule>
  </conditionalFormatting>
  <conditionalFormatting sqref="P40">
    <cfRule type="expression" dxfId="502" priority="29">
      <formula>$H34="Monthly"</formula>
    </cfRule>
  </conditionalFormatting>
  <conditionalFormatting sqref="P54">
    <cfRule type="expression" dxfId="501" priority="28">
      <formula>$H48="Monthly"</formula>
    </cfRule>
  </conditionalFormatting>
  <conditionalFormatting sqref="P72">
    <cfRule type="expression" dxfId="500" priority="27">
      <formula>$H62="Monthly"</formula>
    </cfRule>
  </conditionalFormatting>
  <conditionalFormatting sqref="P88">
    <cfRule type="expression" dxfId="499" priority="26">
      <formula>$H78="Monthly"</formula>
    </cfRule>
  </conditionalFormatting>
  <conditionalFormatting sqref="R6">
    <cfRule type="expression" dxfId="498" priority="25">
      <formula>$H6="Program"</formula>
    </cfRule>
  </conditionalFormatting>
  <conditionalFormatting sqref="R20">
    <cfRule type="expression" dxfId="497" priority="24">
      <formula>$H20="Program"</formula>
    </cfRule>
  </conditionalFormatting>
  <conditionalFormatting sqref="R34">
    <cfRule type="expression" dxfId="496" priority="23">
      <formula>$H34="Program"</formula>
    </cfRule>
  </conditionalFormatting>
  <conditionalFormatting sqref="R48">
    <cfRule type="expression" dxfId="495" priority="22">
      <formula>$H48="Program"</formula>
    </cfRule>
  </conditionalFormatting>
  <conditionalFormatting sqref="R62">
    <cfRule type="expression" dxfId="494" priority="21">
      <formula>$H62="Program"</formula>
    </cfRule>
  </conditionalFormatting>
  <conditionalFormatting sqref="R78">
    <cfRule type="expression" dxfId="493" priority="20">
      <formula>$H78="Program"</formula>
    </cfRule>
  </conditionalFormatting>
  <conditionalFormatting sqref="R94">
    <cfRule type="expression" dxfId="492" priority="19">
      <formula>$H94="Program"</formula>
    </cfRule>
  </conditionalFormatting>
  <conditionalFormatting sqref="R108">
    <cfRule type="expression" dxfId="491" priority="18">
      <formula>$H108="Program"</formula>
    </cfRule>
  </conditionalFormatting>
  <conditionalFormatting sqref="R122">
    <cfRule type="expression" dxfId="490" priority="17">
      <formula>$H122="Program"</formula>
    </cfRule>
  </conditionalFormatting>
  <conditionalFormatting sqref="R138">
    <cfRule type="expression" dxfId="489" priority="16">
      <formula>$H138="Program"</formula>
    </cfRule>
  </conditionalFormatting>
  <conditionalFormatting sqref="R154">
    <cfRule type="expression" dxfId="488" priority="15">
      <formula>$H154="Program"</formula>
    </cfRule>
  </conditionalFormatting>
  <conditionalFormatting sqref="R168">
    <cfRule type="expression" dxfId="487" priority="14">
      <formula>$H168="Program"</formula>
    </cfRule>
  </conditionalFormatting>
  <conditionalFormatting sqref="R182">
    <cfRule type="expression" dxfId="486" priority="13">
      <formula>$H182="Program"</formula>
    </cfRule>
  </conditionalFormatting>
  <conditionalFormatting sqref="R196">
    <cfRule type="expression" dxfId="485" priority="12">
      <formula>$H196="Program"</formula>
    </cfRule>
  </conditionalFormatting>
  <conditionalFormatting sqref="R210">
    <cfRule type="expression" dxfId="484" priority="11">
      <formula>$H210="Program"</formula>
    </cfRule>
  </conditionalFormatting>
  <conditionalFormatting sqref="R226">
    <cfRule type="expression" dxfId="483" priority="10">
      <formula>$H226="Program"</formula>
    </cfRule>
  </conditionalFormatting>
  <conditionalFormatting sqref="R242">
    <cfRule type="expression" dxfId="482" priority="9">
      <formula>$H242="Program"</formula>
    </cfRule>
  </conditionalFormatting>
  <conditionalFormatting sqref="R256">
    <cfRule type="expression" dxfId="481" priority="8">
      <formula>$H256="Program"</formula>
    </cfRule>
  </conditionalFormatting>
  <conditionalFormatting sqref="R270">
    <cfRule type="expression" dxfId="480" priority="7">
      <formula>$H270="Program"</formula>
    </cfRule>
  </conditionalFormatting>
  <conditionalFormatting sqref="R284">
    <cfRule type="expression" dxfId="479" priority="6">
      <formula>$H284="Program"</formula>
    </cfRule>
  </conditionalFormatting>
  <conditionalFormatting sqref="R298">
    <cfRule type="expression" dxfId="478" priority="5">
      <formula>$H298="Program"</formula>
    </cfRule>
  </conditionalFormatting>
  <conditionalFormatting sqref="R312">
    <cfRule type="expression" dxfId="477" priority="4">
      <formula>$H312="Program"</formula>
    </cfRule>
  </conditionalFormatting>
  <conditionalFormatting sqref="R368">
    <cfRule type="expression" dxfId="476" priority="3">
      <formula>$H368="Program"</formula>
    </cfRule>
  </conditionalFormatting>
  <conditionalFormatting sqref="R438">
    <cfRule type="expression" dxfId="475" priority="2">
      <formula>$H438="Program"</formula>
    </cfRule>
  </conditionalFormatting>
  <conditionalFormatting sqref="R452">
    <cfRule type="expression" dxfId="474" priority="1">
      <formula>$H452="Program"</formula>
    </cfRule>
  </conditionalFormatting>
  <dataValidations count="9">
    <dataValidation type="list" allowBlank="1" showInputMessage="1" showErrorMessage="1" sqref="H284 H270 H256 H48 H62 H20 H78 H94 H108 H122 H226 H298 H210 H182 H168 H154 H138 H312 H368 H438 H452 H242" xr:uid="{00000000-0002-0000-0C00-000000000000}">
      <formula1>"Annual, Quarterly, Monthly, Weekly, Program"</formula1>
    </dataValidation>
    <dataValidation type="list" allowBlank="1" showInputMessage="1" showErrorMessage="1" sqref="R6 R438 R20 R48 R62 R34 R78 R94 R108 R122 R226 R210 R196 R182 R168 R154 R138 R298 R312 R242 R256 R270 R284 R368 R452" xr:uid="{00000000-0002-0000-0C00-000001000000}">
      <formula1>"USF Calendar, Calendar"</formula1>
    </dataValidation>
    <dataValidation type="list" allowBlank="1" showInputMessage="1" showErrorMessage="1" sqref="P6 P20 P34 P62 P78 P48 P94 P108 P122 P138 P242 P226 P210 P196 P182 P168 P154 P312 P368 P256 P270 P284 P298" xr:uid="{00000000-0002-0000-0C00-000002000000}">
      <formula1>"Same as Payout Cycle, Monthly-Calendar, Monthly-Fiscal, Quarterly-Calendar, Quarterly-Fiscal, Weekly"</formula1>
    </dataValidation>
    <dataValidation type="list" allowBlank="1" showInputMessage="1" showErrorMessage="1" sqref="H12 T6 D13 H72 D27 H88 D55 T438 D71 D87 H40 H26 D41 P40 H54 H100 H114 H132 H148 D101 D115 D147 D131 D249 H248 T20 T34 T48 T62 T78 T94 T108 T122 T138 T168 T182 T196 T210 T226 D235 T242 P54 P72 P248 D161 D175 D189 D203 D219 T154 H236 H220 H202 H188 H174 H160 H318 D319 T312 H444 D487 H332 H486 D501 H346 D333 H374 D361 D347 D375 D389 D403 D417 D459 D473 H360 H391 H405 H416 H430 H472 H458 D431 D445 D263 H262 T256 T368 D277 H276 T270 P262 D291 H290 T284 P276 D305 H304 T298 P290 P304 T452 P88 D597 D513 D555 D583 D625 D611 D527 D569 D541 R15 R29 R43 R57 R68 R84 R103 R117 R132 R148 R163 R177 R191 R205 R220 R236 R251 R265 R279 R293 R307 R321 R447 R461 L610 L512 L526 L540 L554 L568 L582 L596 L624 D639 L638 D653 L652 D667 L666 D681 L680 D695 L694 D709 L708 D723 L722 D737 L736 D751 L750 D765 L764"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318 J262 J276 J290 J304"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441 J441:J445 L441:L445 H427 L388 H455 N388 J455:J459 H469 L469:L470 J469:J473 H483 J483:J487 L402 N402" xr:uid="{00000000-0002-0000-0C00-000006000000}">
      <formula1>100000</formula1>
    </dataValidation>
    <dataValidation type="list" allowBlank="1" showInputMessage="1" showErrorMessage="1" errorTitle="Incentive Error" error="This is not a valid value for this field." sqref="H6 H196 H34 H772 H786 H800 H814 H828" xr:uid="{7733429A-EC8B-40E2-9312-F76096312AC9}">
      <formula1>"Annual, Quarterly, Monthly, Weekly, Program"</formula1>
    </dataValidation>
    <dataValidation operator="lessThanOrEqual" allowBlank="1" showErrorMessage="1" errorTitle="Signing Limit Exceeded" error="The signing incentive cannot exceed $100,000.  Please use the custom modeling process in order to accomodate this request. " sqref="H509 J512 N512 H523 J526 N526 H537 J540 N540 H551 J554 N554 H565 J568 N568 H579 J582 N582 H593 J596 N596 H607 J610 N610 H621 J624 N624 H635 J638 N638 H649 J652 N652 H663 J666 N666 H677 J680 N680 H691 J694 N694 H705 J708 N708 H719 J722 N722 H733 J736 N736 H747 J750 N750 H761 J764 N764" xr:uid="{E73B06CA-25CA-4BA7-9CFD-0321A108C86F}"/>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I72"/>
  <sheetViews>
    <sheetView topLeftCell="A15" workbookViewId="0">
      <selection activeCell="C34" sqref="C34"/>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4.7109375" style="140" customWidth="1"/>
    <col min="18" max="18" width="12.42578125" style="140" bestFit="1" customWidth="1"/>
    <col min="19" max="19" width="10" style="140" bestFit="1" customWidth="1"/>
    <col min="20" max="21" width="14" style="140" customWidth="1"/>
    <col min="22" max="24" width="10.85546875" style="140" bestFit="1" customWidth="1"/>
    <col min="25" max="25" width="12.85546875" style="140" customWidth="1"/>
    <col min="26" max="26" width="13.85546875" style="140" customWidth="1"/>
    <col min="27" max="27" width="13.140625" style="140" customWidth="1"/>
    <col min="28" max="29" width="15.7109375" style="140" customWidth="1"/>
    <col min="30" max="31" width="10.85546875" style="140" customWidth="1"/>
    <col min="32" max="32" width="12" style="140" bestFit="1" customWidth="1"/>
    <col min="33" max="33" width="11.42578125" style="140" customWidth="1"/>
    <col min="34" max="36" width="10.140625" style="140" customWidth="1"/>
    <col min="37" max="37" width="12.28515625" style="140" bestFit="1" customWidth="1"/>
    <col min="38" max="38" width="9.5703125" style="140" bestFit="1" customWidth="1"/>
    <col min="39" max="39" width="49.7109375" style="140" bestFit="1" customWidth="1"/>
    <col min="40" max="40" width="27.85546875" style="140" bestFit="1" customWidth="1"/>
    <col min="41" max="41" width="46.5703125" style="140" bestFit="1" customWidth="1"/>
    <col min="42" max="42" width="25" style="140" bestFit="1" customWidth="1"/>
    <col min="43" max="16384" width="8.85546875" style="140"/>
  </cols>
  <sheetData>
    <row r="1" spans="1:61" ht="15" x14ac:dyDescent="0.25">
      <c r="AM1" s="140" t="s">
        <v>14</v>
      </c>
      <c r="AN1" s="140" t="s">
        <v>1</v>
      </c>
      <c r="AO1" s="140" t="s">
        <v>14</v>
      </c>
      <c r="AP1" s="598" t="s">
        <v>113</v>
      </c>
      <c r="BF1" s="946"/>
      <c r="BG1" s="989"/>
      <c r="BH1" s="989"/>
      <c r="BI1" s="989"/>
    </row>
    <row r="2" spans="1:61" ht="15" x14ac:dyDescent="0.25">
      <c r="I2" s="476"/>
      <c r="J2" s="1994"/>
      <c r="K2" s="1994"/>
      <c r="O2" s="476"/>
      <c r="P2" s="476"/>
      <c r="Q2" s="476"/>
      <c r="R2" s="476"/>
      <c r="S2" s="476"/>
      <c r="T2" s="476"/>
      <c r="U2" s="476"/>
      <c r="V2" s="476"/>
      <c r="W2" s="476"/>
      <c r="X2" s="476"/>
      <c r="Y2" s="476"/>
      <c r="Z2" s="476"/>
      <c r="AA2" s="476"/>
      <c r="AB2" s="476"/>
      <c r="AC2" s="476"/>
      <c r="AD2" s="476"/>
      <c r="AE2" s="476"/>
      <c r="AM2" s="140" t="s">
        <v>62</v>
      </c>
      <c r="AN2" s="140" t="s">
        <v>1</v>
      </c>
      <c r="AO2" s="140" t="s">
        <v>62</v>
      </c>
      <c r="AP2" s="598" t="s">
        <v>113</v>
      </c>
      <c r="BF2" s="946"/>
      <c r="BG2" s="499"/>
      <c r="BH2" s="948"/>
      <c r="BI2" s="499"/>
    </row>
    <row r="3" spans="1:61" ht="15" x14ac:dyDescent="0.25">
      <c r="I3" s="477" t="s">
        <v>872</v>
      </c>
      <c r="J3" s="1892" t="e">
        <f>VLOOKUP($J$4,'Market Geography'!$D:$G,4,FALSE)</f>
        <v>#N/A</v>
      </c>
      <c r="K3" s="1892"/>
      <c r="O3" s="476"/>
      <c r="P3" s="476"/>
      <c r="Q3" s="476"/>
      <c r="R3" s="476"/>
      <c r="S3" s="476"/>
      <c r="T3" s="476"/>
      <c r="U3" s="476"/>
      <c r="V3" s="476"/>
      <c r="W3" s="476"/>
      <c r="X3" s="476"/>
      <c r="Y3" s="476"/>
      <c r="Z3" s="476"/>
      <c r="AA3" s="476"/>
      <c r="AB3" s="476"/>
      <c r="AC3" s="476"/>
      <c r="AD3" s="476"/>
      <c r="AE3" s="476"/>
      <c r="AM3" s="140" t="s">
        <v>74</v>
      </c>
      <c r="AN3" s="140" t="s">
        <v>1</v>
      </c>
      <c r="AO3" s="140" t="s">
        <v>74</v>
      </c>
      <c r="AP3" s="598" t="s">
        <v>113</v>
      </c>
      <c r="BF3" s="946"/>
      <c r="BG3" s="499"/>
      <c r="BH3" s="948"/>
      <c r="BI3" s="499"/>
    </row>
    <row r="4" spans="1:61" ht="15" x14ac:dyDescent="0.25">
      <c r="I4" s="477" t="s">
        <v>873</v>
      </c>
      <c r="J4" s="1892">
        <f>Welcome!$D$4</f>
        <v>0</v>
      </c>
      <c r="K4" s="1892"/>
      <c r="L4" s="478"/>
      <c r="M4" s="478"/>
      <c r="O4" s="476"/>
      <c r="P4" s="476"/>
      <c r="Q4" s="476"/>
      <c r="R4" s="476"/>
      <c r="S4" s="476"/>
      <c r="T4" s="476"/>
      <c r="U4" s="476"/>
      <c r="V4" s="476"/>
      <c r="W4" s="476"/>
      <c r="X4" s="476"/>
      <c r="Y4" s="476"/>
      <c r="Z4" s="476"/>
      <c r="AA4" s="476"/>
      <c r="AB4" s="476"/>
      <c r="AC4" s="476"/>
      <c r="AD4" s="476"/>
      <c r="AE4" s="476"/>
      <c r="AG4" s="27"/>
      <c r="AM4" s="140" t="s">
        <v>34</v>
      </c>
      <c r="AN4" s="140" t="s">
        <v>1</v>
      </c>
      <c r="AO4" s="140" t="s">
        <v>34</v>
      </c>
      <c r="AP4" s="598" t="s">
        <v>113</v>
      </c>
      <c r="BF4" s="946"/>
      <c r="BG4" s="499"/>
      <c r="BH4" s="948"/>
      <c r="BI4" s="499"/>
    </row>
    <row r="5" spans="1:61" ht="15" x14ac:dyDescent="0.25">
      <c r="I5" s="477" t="s">
        <v>874</v>
      </c>
      <c r="J5" s="1995" t="e">
        <f>VLOOKUP($J$4,'Market Geography'!$D:$F,3,FALSE)</f>
        <v>#N/A</v>
      </c>
      <c r="K5" s="1995"/>
      <c r="O5" s="476"/>
      <c r="P5" s="476"/>
      <c r="Q5" s="476"/>
      <c r="R5" s="476"/>
      <c r="S5" s="476"/>
      <c r="T5" s="476"/>
      <c r="U5" s="476"/>
      <c r="V5" s="476"/>
      <c r="W5" s="476"/>
      <c r="X5" s="476"/>
      <c r="Y5" s="476"/>
      <c r="Z5" s="476"/>
      <c r="AA5" s="476"/>
      <c r="AB5" s="476"/>
      <c r="AC5" s="476"/>
      <c r="AD5" s="476"/>
      <c r="AE5" s="476"/>
      <c r="AM5" s="140" t="s">
        <v>0</v>
      </c>
      <c r="AN5" s="140" t="s">
        <v>1</v>
      </c>
      <c r="AO5" s="140" t="s">
        <v>0</v>
      </c>
      <c r="AP5" s="598" t="s">
        <v>113</v>
      </c>
      <c r="BF5" s="946"/>
      <c r="BG5" s="499"/>
      <c r="BH5" s="948"/>
      <c r="BI5" s="499"/>
    </row>
    <row r="6" spans="1:61" ht="15" x14ac:dyDescent="0.25">
      <c r="I6" s="479" t="s">
        <v>875</v>
      </c>
      <c r="J6" s="1892" t="s">
        <v>134</v>
      </c>
      <c r="K6" s="1892" t="s">
        <v>206</v>
      </c>
      <c r="O6" s="476"/>
      <c r="P6" s="476"/>
      <c r="Q6" s="476"/>
      <c r="R6" s="476"/>
      <c r="S6" s="476"/>
      <c r="T6" s="476"/>
      <c r="U6" s="476"/>
      <c r="V6" s="476"/>
      <c r="W6" s="476"/>
      <c r="X6" s="476"/>
      <c r="Y6" s="476"/>
      <c r="Z6" s="476"/>
      <c r="AA6" s="476"/>
      <c r="AB6" s="476"/>
      <c r="AC6" s="476"/>
      <c r="AD6" s="476"/>
      <c r="AE6" s="476"/>
      <c r="AM6" s="140" t="s">
        <v>69</v>
      </c>
      <c r="AN6" s="140" t="s">
        <v>1</v>
      </c>
      <c r="AO6" s="140" t="s">
        <v>69</v>
      </c>
      <c r="AP6" s="598" t="s">
        <v>113</v>
      </c>
      <c r="BF6" s="946"/>
      <c r="BG6" s="499"/>
      <c r="BH6" s="948"/>
      <c r="BI6" s="499"/>
    </row>
    <row r="7" spans="1:61" ht="15" x14ac:dyDescent="0.25">
      <c r="I7" s="479" t="s">
        <v>876</v>
      </c>
      <c r="J7" s="1892" t="str">
        <f>IF(Welcome!$D$10="MDA","C","N")</f>
        <v>N</v>
      </c>
      <c r="K7" s="1892" t="e">
        <f>IF(#REF!="MDA","C","N")</f>
        <v>#REF!</v>
      </c>
      <c r="O7" s="476"/>
      <c r="P7" s="476"/>
      <c r="Q7" s="476"/>
      <c r="R7" s="476"/>
      <c r="S7" s="476"/>
      <c r="T7" s="476"/>
      <c r="U7" s="476"/>
      <c r="V7" s="476"/>
      <c r="W7" s="476"/>
      <c r="X7" s="476"/>
      <c r="Y7" s="476"/>
      <c r="Z7" s="476"/>
      <c r="AA7" s="476"/>
      <c r="AB7" s="476"/>
      <c r="AC7" s="476"/>
      <c r="AD7" s="476"/>
      <c r="AE7" s="476"/>
      <c r="AF7" s="27"/>
      <c r="AG7" s="27"/>
      <c r="AM7" s="140" t="s">
        <v>4</v>
      </c>
      <c r="AN7" s="140" t="s">
        <v>1</v>
      </c>
      <c r="AO7" s="140" t="s">
        <v>4</v>
      </c>
      <c r="AP7" s="598" t="s">
        <v>113</v>
      </c>
      <c r="BF7" s="946"/>
      <c r="BG7" s="499"/>
      <c r="BH7" s="948"/>
      <c r="BI7" s="499"/>
    </row>
    <row r="8" spans="1:61" ht="15" x14ac:dyDescent="0.25">
      <c r="AM8" s="140" t="s">
        <v>35</v>
      </c>
      <c r="AN8" s="140" t="s">
        <v>1</v>
      </c>
      <c r="AO8" s="140" t="s">
        <v>35</v>
      </c>
      <c r="AP8" s="598" t="s">
        <v>113</v>
      </c>
      <c r="BF8" s="946"/>
      <c r="BG8" s="499"/>
      <c r="BH8" s="948"/>
      <c r="BI8" s="499"/>
    </row>
    <row r="9" spans="1:61" ht="15" x14ac:dyDescent="0.25">
      <c r="I9" s="480"/>
      <c r="AM9" s="140" t="s">
        <v>6</v>
      </c>
      <c r="AN9" s="140" t="s">
        <v>1</v>
      </c>
      <c r="AO9" s="140" t="s">
        <v>6</v>
      </c>
      <c r="AP9" s="598" t="s">
        <v>113</v>
      </c>
      <c r="BF9" s="946"/>
      <c r="BG9" s="499"/>
      <c r="BH9" s="948"/>
      <c r="BI9" s="499"/>
    </row>
    <row r="10" spans="1:61" ht="15" x14ac:dyDescent="0.25">
      <c r="I10" s="480"/>
      <c r="J10" s="480"/>
      <c r="N10" s="466"/>
      <c r="O10" s="466"/>
      <c r="P10" s="466"/>
      <c r="Q10" s="466"/>
      <c r="R10" s="466"/>
      <c r="S10" s="466"/>
      <c r="T10" s="466"/>
      <c r="U10" s="466"/>
      <c r="V10" s="466"/>
      <c r="W10" s="466"/>
      <c r="X10" s="466"/>
      <c r="Y10" s="466"/>
      <c r="Z10" s="466"/>
      <c r="AA10" s="466"/>
      <c r="AB10" s="466"/>
      <c r="AC10" s="466"/>
      <c r="AD10" s="466"/>
      <c r="AE10" s="466"/>
      <c r="AF10" s="466"/>
      <c r="AG10" s="481"/>
      <c r="AM10" s="140" t="s">
        <v>15</v>
      </c>
      <c r="AN10" s="140" t="s">
        <v>1</v>
      </c>
      <c r="AO10" s="140" t="s">
        <v>15</v>
      </c>
      <c r="AP10" s="598" t="s">
        <v>113</v>
      </c>
      <c r="BF10" s="946"/>
      <c r="BG10" s="499"/>
      <c r="BH10" s="948"/>
      <c r="BI10" s="499"/>
    </row>
    <row r="11" spans="1:61" ht="15" x14ac:dyDescent="0.25">
      <c r="I11" s="464"/>
      <c r="N11" s="466"/>
      <c r="O11" s="466"/>
      <c r="P11" s="466"/>
      <c r="Q11" s="466"/>
      <c r="R11" s="466"/>
      <c r="S11" s="466"/>
      <c r="T11" s="466"/>
      <c r="U11" s="466"/>
      <c r="V11" s="466"/>
      <c r="W11" s="466"/>
      <c r="X11" s="466"/>
      <c r="Y11" s="466"/>
      <c r="Z11" s="466"/>
      <c r="AA11" s="466"/>
      <c r="AB11" s="466"/>
      <c r="AC11" s="466"/>
      <c r="AD11" s="466"/>
      <c r="AE11" s="466"/>
      <c r="AF11" s="466"/>
      <c r="AG11" s="481"/>
      <c r="AM11" s="140" t="s">
        <v>45</v>
      </c>
      <c r="AN11" s="140" t="s">
        <v>1</v>
      </c>
      <c r="AO11" s="140" t="s">
        <v>45</v>
      </c>
      <c r="AP11" s="598" t="s">
        <v>113</v>
      </c>
      <c r="BF11" s="946"/>
      <c r="BG11" s="499"/>
      <c r="BH11" s="948"/>
      <c r="BI11" s="499"/>
    </row>
    <row r="12" spans="1:61" ht="15" x14ac:dyDescent="0.25">
      <c r="I12" s="464"/>
      <c r="N12" s="466"/>
      <c r="O12" s="466"/>
      <c r="P12" s="466"/>
      <c r="Q12" s="466"/>
      <c r="R12" s="466"/>
      <c r="S12" s="466"/>
      <c r="T12" s="466"/>
      <c r="U12" s="466"/>
      <c r="V12" s="466"/>
      <c r="W12" s="466"/>
      <c r="X12" s="466"/>
      <c r="Y12" s="466"/>
      <c r="Z12" s="466"/>
      <c r="AA12" s="466"/>
      <c r="AB12" s="466"/>
      <c r="AC12" s="466"/>
      <c r="AD12" s="466"/>
      <c r="AE12" s="466"/>
      <c r="AF12" s="466"/>
      <c r="AM12" s="140" t="s">
        <v>48</v>
      </c>
      <c r="AN12" s="140" t="s">
        <v>1</v>
      </c>
      <c r="AO12" s="140" t="s">
        <v>48</v>
      </c>
      <c r="AP12" s="598" t="s">
        <v>113</v>
      </c>
      <c r="BF12" s="946"/>
      <c r="BG12" s="499"/>
      <c r="BH12" s="948"/>
      <c r="BI12" s="499"/>
    </row>
    <row r="13" spans="1:61" ht="15" x14ac:dyDescent="0.25">
      <c r="J13" s="465"/>
      <c r="N13" s="466"/>
      <c r="AH13" s="1991" t="s">
        <v>925</v>
      </c>
      <c r="AI13" s="1992"/>
      <c r="AJ13" s="1993"/>
      <c r="AK13" s="1398"/>
      <c r="AM13" s="140" t="s">
        <v>60</v>
      </c>
      <c r="AN13" s="140" t="s">
        <v>1</v>
      </c>
      <c r="AO13" s="140" t="s">
        <v>60</v>
      </c>
      <c r="AP13" s="598" t="s">
        <v>113</v>
      </c>
      <c r="BF13" s="946"/>
      <c r="BG13" s="499"/>
      <c r="BH13" s="948"/>
      <c r="BI13" s="499"/>
    </row>
    <row r="14" spans="1:61" ht="48" customHeight="1" x14ac:dyDescent="0.25">
      <c r="A14" s="140" t="s">
        <v>990</v>
      </c>
      <c r="B14" s="471" t="s">
        <v>853</v>
      </c>
      <c r="C14" s="471" t="s">
        <v>871</v>
      </c>
      <c r="D14" s="472" t="s">
        <v>916</v>
      </c>
      <c r="E14" s="472" t="s">
        <v>924</v>
      </c>
      <c r="F14" s="474" t="s">
        <v>931</v>
      </c>
      <c r="G14" s="473" t="s">
        <v>926</v>
      </c>
      <c r="H14" s="473" t="s">
        <v>927</v>
      </c>
      <c r="I14" s="473" t="s">
        <v>204</v>
      </c>
      <c r="J14" s="473" t="s">
        <v>395</v>
      </c>
      <c r="K14" s="473" t="s">
        <v>205</v>
      </c>
      <c r="L14" s="473" t="s">
        <v>928</v>
      </c>
      <c r="M14" s="473" t="s">
        <v>989</v>
      </c>
      <c r="N14" s="475" t="s">
        <v>934</v>
      </c>
      <c r="O14" s="474" t="s">
        <v>935</v>
      </c>
      <c r="P14" s="474" t="s">
        <v>936</v>
      </c>
      <c r="Q14" s="1395" t="s">
        <v>2066</v>
      </c>
      <c r="R14" s="472" t="s">
        <v>929</v>
      </c>
      <c r="S14" s="472" t="s">
        <v>930</v>
      </c>
      <c r="T14" s="472" t="s">
        <v>939</v>
      </c>
      <c r="U14" s="1396" t="s">
        <v>2067</v>
      </c>
      <c r="V14" s="472" t="s">
        <v>917</v>
      </c>
      <c r="W14" s="472" t="s">
        <v>918</v>
      </c>
      <c r="X14" s="472" t="s">
        <v>919</v>
      </c>
      <c r="Y14" s="1396" t="s">
        <v>2068</v>
      </c>
      <c r="Z14" s="483" t="s">
        <v>937</v>
      </c>
      <c r="AA14" s="483" t="s">
        <v>938</v>
      </c>
      <c r="AB14" s="483" t="s">
        <v>940</v>
      </c>
      <c r="AC14" s="1397" t="s">
        <v>2069</v>
      </c>
      <c r="AD14" s="473" t="s">
        <v>932</v>
      </c>
      <c r="AE14" s="473" t="s">
        <v>933</v>
      </c>
      <c r="AF14" s="473"/>
      <c r="AG14" s="485" t="s">
        <v>799</v>
      </c>
      <c r="AH14" s="486" t="s">
        <v>800</v>
      </c>
      <c r="AI14" s="486" t="s">
        <v>801</v>
      </c>
      <c r="AJ14" s="486" t="s">
        <v>802</v>
      </c>
      <c r="AK14" s="1399" t="s">
        <v>2070</v>
      </c>
      <c r="AL14" s="486" t="s">
        <v>964</v>
      </c>
      <c r="AM14" s="140" t="s">
        <v>20</v>
      </c>
      <c r="AN14" s="140" t="s">
        <v>1</v>
      </c>
      <c r="AO14" s="140" t="s">
        <v>20</v>
      </c>
      <c r="AP14" s="598" t="s">
        <v>113</v>
      </c>
      <c r="BF14" s="946"/>
      <c r="BG14" s="499"/>
      <c r="BH14" s="948"/>
      <c r="BI14" s="499"/>
    </row>
    <row r="15" spans="1:61" ht="15" x14ac:dyDescent="0.25">
      <c r="A15" s="140" t="str">
        <f>IF('Customer Inputs'!$S6="","",IF('Variable Costs (Back)'!$M15="Zip Code Not Serviced","Zip Code Not Serviced",""))</f>
        <v/>
      </c>
      <c r="B15" s="140" t="str">
        <f>'Customer Inputs'!Z6</f>
        <v/>
      </c>
      <c r="C15" s="140" t="str">
        <f>IF('Customer Inputs'!H6="","",'Customer Inputs'!H6)</f>
        <v/>
      </c>
      <c r="D15" s="1728">
        <f>ROUND('Multi-Customer'!$BK$51,0)</f>
        <v>0</v>
      </c>
      <c r="E15" s="1728">
        <f>ROUND('Multi-Customer'!$BK$52,0)</f>
        <v>0</v>
      </c>
      <c r="F15" s="1728">
        <f>ROUND('Multi-Customer'!$BL$35,0)</f>
        <v>0</v>
      </c>
      <c r="G15" s="464" t="str">
        <f>LEFT($I15,3)</f>
        <v/>
      </c>
      <c r="H15" s="464" t="str">
        <f>LEFT($I15,4)</f>
        <v/>
      </c>
      <c r="I15" s="464" t="str">
        <f>IF('Customer Inputs'!AA6="","",'Customer Inputs'!AA6)</f>
        <v/>
      </c>
      <c r="J15" s="482" t="str">
        <f>IF('Customer Inputs'!$F6="","",'Customer Inputs'!$P6)</f>
        <v/>
      </c>
      <c r="K15" s="140" t="str">
        <f>'Customer Inputs'!Y6</f>
        <v/>
      </c>
      <c r="L15" s="465">
        <f>IFERROR(IFERROR(IFERROR(VLOOKUP($J$5&amp;$I15,'5zip'!$A:$F,6,FALSE),VLOOKUP($J$5&amp;$H15,'4zip'!$A:$F,6,FALSE)),VLOOKUP($J$5&amp;$G15,'3zip'!$A:$F,6,FALSE)),0)</f>
        <v>0</v>
      </c>
      <c r="M15" s="465" t="str">
        <f>IFERROR(IFERROR(IFERROR(VLOOKUP($J$5&amp;$I15,'5zip'!$A:$F,6,FALSE),VLOOKUP($J$5&amp;$H15,'4zip'!$A:$F,6,FALSE)),VLOOKUP($J$5&amp;$G15,'3zip'!$A:$F,6,FALSE)),"Zip Code Not Serviced")</f>
        <v>Zip Code Not Serviced</v>
      </c>
      <c r="N15" s="466">
        <f>IFERROR(52*K15*L15,0)</f>
        <v>0</v>
      </c>
      <c r="O15" s="467">
        <f>IFERROR((VLOOKUP($J$4&amp;$C15&amp;$J$6&amp;$J$7,'Variable Selling'!$B:$O,11,FALSE))*F15,0)</f>
        <v>0</v>
      </c>
      <c r="P15" s="467">
        <f>IFERROR(VLOOKUP($J$4,'Variable Div Avgs'!$D:$I,6,FALSE)*'Variable Costs (Back)'!$F15,0)</f>
        <v>0</v>
      </c>
      <c r="Q15" s="467">
        <f>IFERROR((VLOOKUP($J$4&amp;$C15&amp;$J$6&amp;$J$7,'Variable Selling'!$B:$Q,16,FALSE))*F15,0)</f>
        <v>0</v>
      </c>
      <c r="R15" s="467">
        <f t="shared" ref="R15:R24" si="0">IFERROR(V15/E15,0)</f>
        <v>0</v>
      </c>
      <c r="S15" s="467">
        <f t="shared" ref="S15:S24" si="1">IFERROR(W15/D15,0)</f>
        <v>0</v>
      </c>
      <c r="T15" s="467">
        <f>IFERROR(X15/D15,0)</f>
        <v>0</v>
      </c>
      <c r="U15" s="467">
        <f>IFERROR(Y15/D15,0)</f>
        <v>0</v>
      </c>
      <c r="V15" s="467">
        <f>IFERROR(VLOOKUP($AG15,'Existing Customer Variable Exp'!$B:$E,2,FALSE),0)</f>
        <v>0</v>
      </c>
      <c r="W15" s="467">
        <f>IFERROR(VLOOKUP($AG15,'Existing Customer Variable Exp'!$B:$E,3,FALSE),0)</f>
        <v>0</v>
      </c>
      <c r="X15" s="467">
        <f>IFERROR(VLOOKUP($AG15,'Existing Customer Variable Exp'!$B:$E,4,FALSE),0)</f>
        <v>0</v>
      </c>
      <c r="Y15" s="467">
        <f>IFERROR(VLOOKUP($AG15,'Existing Customer Variable Exp'!$B:$M,12,FALSE),0)</f>
        <v>0</v>
      </c>
      <c r="Z15" s="466">
        <f>IFERROR(R15*K15*52,0)</f>
        <v>0</v>
      </c>
      <c r="AA15" s="467">
        <f>S15*F15</f>
        <v>0</v>
      </c>
      <c r="AB15" s="467">
        <f>T15*F15</f>
        <v>0</v>
      </c>
      <c r="AC15" s="467">
        <f>U15*F15</f>
        <v>0</v>
      </c>
      <c r="AD15" s="467" t="str">
        <f>IF('Customer Inputs'!L6&lt;&gt;'Customer Inputs'!Y6,"Modelled",IF(D15=F15,"BASE","Modelled"))</f>
        <v>BASE</v>
      </c>
      <c r="AE15" s="467" t="str">
        <f>IF(AND(SUMIF('Existing Customers'!$A:$A,'Variable Costs (Back)'!$AG15,'Existing Customers'!$Q:$Q)&gt;0,'Customer Inputs'!$U6&lt;&gt;"Prospect"),IF('Customer Inputs'!$V6&lt;&gt;"Yes","Existing","New"),"New")</f>
        <v>New</v>
      </c>
      <c r="AF15" s="484" t="s">
        <v>780</v>
      </c>
      <c r="AG15" s="468" t="str">
        <f>IF('Customer Inputs'!$F6="","",'Customer Inputs'!$G6)</f>
        <v/>
      </c>
      <c r="AH15" s="949" t="e">
        <f>IF($AE15="Existing",IF($AD15="BASE",$V15,$Z15),$N15) + VLOOKUP($J$5,$BA:$BD,2,FALSE)*$F15</f>
        <v>#N/A</v>
      </c>
      <c r="AI15" s="949" t="e">
        <f>IF($AE15="Existing",IF($AD15="BASE",$W15,$AA15),$O15) + VLOOKUP($J$5,$BA:$BD,3,FALSE)*$F15</f>
        <v>#N/A</v>
      </c>
      <c r="AJ15" s="949" t="e">
        <f>IF($AE15="Existing",IF($AD15="BASE",$X15,$AB15),$P15) + VLOOKUP($J$5,$BA:$BD,4,FALSE)*$F15</f>
        <v>#N/A</v>
      </c>
      <c r="AK15" s="949">
        <f>IF($AE15="Existing",IF($AD15="BASE",$Y15,$AC15),$Q15)</f>
        <v>0</v>
      </c>
      <c r="AL15" s="565" t="e">
        <f>SUM(AH15:AK15)</f>
        <v>#N/A</v>
      </c>
      <c r="AM15" s="140" t="s">
        <v>36</v>
      </c>
      <c r="AN15" s="140" t="s">
        <v>1</v>
      </c>
      <c r="AO15" s="140" t="s">
        <v>36</v>
      </c>
      <c r="AP15" s="598" t="s">
        <v>113</v>
      </c>
      <c r="BF15" s="946"/>
      <c r="BG15" s="499"/>
      <c r="BH15" s="948"/>
      <c r="BI15" s="499"/>
    </row>
    <row r="16" spans="1:61" ht="15" x14ac:dyDescent="0.25">
      <c r="A16" s="140" t="str">
        <f>IF('Customer Inputs'!$S7="","",IF('Variable Costs (Back)'!$M16="Zip Code Not Serviced","Zip Code Not Serviced",""))</f>
        <v/>
      </c>
      <c r="B16" s="140" t="str">
        <f>'Customer Inputs'!Z7</f>
        <v/>
      </c>
      <c r="C16" s="140" t="str">
        <f>IF('Customer Inputs'!H7="","",'Customer Inputs'!H7)</f>
        <v/>
      </c>
      <c r="D16" s="1728">
        <f>ROUND('Multi-Customer'!$CH$51,0)</f>
        <v>0</v>
      </c>
      <c r="E16" s="1728">
        <f>ROUND('Multi-Customer'!$CH$52,0)</f>
        <v>0</v>
      </c>
      <c r="F16" s="1728">
        <f>ROUND('Multi-Customer'!$CI$35,0)</f>
        <v>0</v>
      </c>
      <c r="G16" s="464" t="str">
        <f t="shared" ref="G16:G34" si="2">LEFT($I16,3)</f>
        <v/>
      </c>
      <c r="H16" s="464" t="str">
        <f t="shared" ref="H16:H34" si="3">LEFT($I16,4)</f>
        <v/>
      </c>
      <c r="I16" s="464" t="str">
        <f>IF('Customer Inputs'!AA7="","",'Customer Inputs'!AA7)</f>
        <v/>
      </c>
      <c r="J16" s="482" t="str">
        <f>IF('Customer Inputs'!$F7="","",'Customer Inputs'!$P7)</f>
        <v/>
      </c>
      <c r="K16" s="140" t="str">
        <f>'Customer Inputs'!Y7</f>
        <v/>
      </c>
      <c r="L16" s="465">
        <f>IFERROR(IFERROR(IFERROR(VLOOKUP($J$5&amp;$I16,'5zip'!$A:$F,6,FALSE),VLOOKUP($J$5&amp;$H16,'4zip'!$A:$F,6,FALSE)),VLOOKUP($J$5&amp;$G16,'3zip'!$A:$F,6,FALSE)),0)</f>
        <v>0</v>
      </c>
      <c r="M16" s="465" t="str">
        <f>IFERROR(IFERROR(IFERROR(VLOOKUP($J$5&amp;$I16,'5zip'!$A:$F,6,FALSE),VLOOKUP($J$5&amp;$H16,'4zip'!$A:$F,6,FALSE)),VLOOKUP($J$5&amp;$G16,'3zip'!$A:$F,6,FALSE)),"Zip Code Not Serviced")</f>
        <v>Zip Code Not Serviced</v>
      </c>
      <c r="N16" s="466">
        <f t="shared" ref="N16:N24" si="4">IFERROR(52*K16*L16,0)</f>
        <v>0</v>
      </c>
      <c r="O16" s="467">
        <f>IFERROR((VLOOKUP($J$4&amp;$C16&amp;$J$6&amp;$J$7,'Variable Selling'!$B:$O,11,FALSE))*F16,0)</f>
        <v>0</v>
      </c>
      <c r="P16" s="467">
        <f>IFERROR(VLOOKUP($J$4,'Variable Div Avgs'!$D:$I,6,FALSE)*'Variable Costs (Back)'!$F16,0)</f>
        <v>0</v>
      </c>
      <c r="Q16" s="467">
        <f>IFERROR((VLOOKUP($J$4&amp;$C16&amp;$J$6&amp;$J$7,'Variable Selling'!$B:$Q,16,FALSE))*F16,0)</f>
        <v>0</v>
      </c>
      <c r="R16" s="467">
        <f t="shared" si="0"/>
        <v>0</v>
      </c>
      <c r="S16" s="467">
        <f t="shared" si="1"/>
        <v>0</v>
      </c>
      <c r="T16" s="467">
        <f t="shared" ref="T16:T24" si="5">IFERROR(X16/D16,0)</f>
        <v>0</v>
      </c>
      <c r="U16" s="467">
        <f t="shared" ref="U16:U24" si="6">IFERROR(Y16/D16,0)</f>
        <v>0</v>
      </c>
      <c r="V16" s="467">
        <f>IFERROR(VLOOKUP($AG16,'Existing Customer Variable Exp'!$B:$E,2,FALSE),0)</f>
        <v>0</v>
      </c>
      <c r="W16" s="467">
        <f>IFERROR(VLOOKUP($AG16,'Existing Customer Variable Exp'!$B:$E,3,FALSE),0)</f>
        <v>0</v>
      </c>
      <c r="X16" s="467">
        <f>IFERROR(VLOOKUP($AG16,'Existing Customer Variable Exp'!$B:$E,4,FALSE),0)</f>
        <v>0</v>
      </c>
      <c r="Y16" s="467">
        <f>IFERROR(VLOOKUP($AG16,'Existing Customer Variable Exp'!$B:$M,12,FALSE),0)</f>
        <v>0</v>
      </c>
      <c r="Z16" s="466">
        <f t="shared" ref="Z16:Z24" si="7">IFERROR(R16*K16*52,0)</f>
        <v>0</v>
      </c>
      <c r="AA16" s="467">
        <f t="shared" ref="AA16:AA24" si="8">S16*F16</f>
        <v>0</v>
      </c>
      <c r="AB16" s="467">
        <f t="shared" ref="AB16:AB24" si="9">T16*F16</f>
        <v>0</v>
      </c>
      <c r="AC16" s="467">
        <f t="shared" ref="AC16:AC24" si="10">U16*F16</f>
        <v>0</v>
      </c>
      <c r="AD16" s="467" t="str">
        <f>IF('Customer Inputs'!L7&lt;&gt;'Customer Inputs'!Y7,"Modelled",IF(D16=F16,"BASE","Modelled"))</f>
        <v>BASE</v>
      </c>
      <c r="AE16" s="467" t="str">
        <f>IF(AND(SUMIF('Existing Customers'!$A:$A,'Variable Costs (Back)'!$AG16,'Existing Customers'!$Q:$Q)&gt;0,'Customer Inputs'!$U7&lt;&gt;"Prospect"),IF('Customer Inputs'!$V7&lt;&gt;"Yes","Existing","New"),"New")</f>
        <v>New</v>
      </c>
      <c r="AF16" s="484" t="s">
        <v>781</v>
      </c>
      <c r="AG16" s="468" t="str">
        <f>IF('Customer Inputs'!$F7="","",'Customer Inputs'!$G7)</f>
        <v/>
      </c>
      <c r="AH16" s="949" t="e">
        <f t="shared" ref="AH16:AH34" si="11">IF($AE16="Existing",IF($AD16="BASE",$V16,$Z16),$N16) + VLOOKUP($J$5,$BA:$BD,2,FALSE)*$F16</f>
        <v>#N/A</v>
      </c>
      <c r="AI16" s="949" t="e">
        <f t="shared" ref="AI16:AI34" si="12">IF($AE16="Existing",IF($AD16="BASE",$W16,$AA16),$O16) + VLOOKUP($J$5,$BA:$BD,3,FALSE)*$F16</f>
        <v>#N/A</v>
      </c>
      <c r="AJ16" s="949" t="e">
        <f t="shared" ref="AJ16:AJ34" si="13">IF($AE16="Existing",IF($AD16="BASE",$X16,$AB16),$P16) + VLOOKUP($J$5,$BA:$BD,4,FALSE)*$F16</f>
        <v>#N/A</v>
      </c>
      <c r="AK16" s="949">
        <f t="shared" ref="AK16:AK34" si="14">IF($AE16="Existing",IF($AD16="BASE",$Y16,$AC16),$Q16)</f>
        <v>0</v>
      </c>
      <c r="AL16" s="565" t="e">
        <f t="shared" ref="AL16:AL24" si="15">SUM(AH16:AK16)</f>
        <v>#N/A</v>
      </c>
      <c r="AM16" s="140" t="s">
        <v>71</v>
      </c>
      <c r="AN16" s="140" t="s">
        <v>1</v>
      </c>
      <c r="AO16" s="140" t="s">
        <v>71</v>
      </c>
      <c r="AP16" s="598" t="s">
        <v>113</v>
      </c>
      <c r="BF16" s="946"/>
      <c r="BG16" s="499"/>
      <c r="BH16" s="948"/>
      <c r="BI16" s="499"/>
    </row>
    <row r="17" spans="1:61" ht="15" x14ac:dyDescent="0.25">
      <c r="A17" s="140" t="str">
        <f>IF('Customer Inputs'!$S8="","",IF('Variable Costs (Back)'!$M17="Zip Code Not Serviced","Zip Code Not Serviced",""))</f>
        <v/>
      </c>
      <c r="B17" s="140" t="str">
        <f>'Customer Inputs'!Z8</f>
        <v/>
      </c>
      <c r="C17" s="140" t="str">
        <f>IF('Customer Inputs'!H8="","",'Customer Inputs'!H8)</f>
        <v/>
      </c>
      <c r="D17" s="1728">
        <f>ROUND('Multi-Customer'!$DE$51,0)</f>
        <v>0</v>
      </c>
      <c r="E17" s="1728">
        <f>ROUND('Multi-Customer'!$DE$52,0)</f>
        <v>0</v>
      </c>
      <c r="F17" s="1728">
        <f>ROUND('Multi-Customer'!$DF$35,0)</f>
        <v>0</v>
      </c>
      <c r="G17" s="464" t="str">
        <f t="shared" si="2"/>
        <v/>
      </c>
      <c r="H17" s="464" t="str">
        <f t="shared" si="3"/>
        <v/>
      </c>
      <c r="I17" s="464" t="str">
        <f>IF('Customer Inputs'!AA8="","",'Customer Inputs'!AA8)</f>
        <v/>
      </c>
      <c r="J17" s="482" t="str">
        <f>IF('Customer Inputs'!$F8="","",'Customer Inputs'!$P8)</f>
        <v/>
      </c>
      <c r="K17" s="140" t="str">
        <f>'Customer Inputs'!Y8</f>
        <v/>
      </c>
      <c r="L17" s="465">
        <f>IFERROR(IFERROR(IFERROR(VLOOKUP($J$5&amp;$I17,'5zip'!$A:$F,6,FALSE),VLOOKUP($J$5&amp;$H17,'4zip'!$A:$F,6,FALSE)),VLOOKUP($J$5&amp;$G17,'3zip'!$A:$F,6,FALSE)),0)</f>
        <v>0</v>
      </c>
      <c r="M17" s="465" t="str">
        <f>IFERROR(IFERROR(IFERROR(VLOOKUP($J$5&amp;$I17,'5zip'!$A:$F,6,FALSE),VLOOKUP($J$5&amp;$H17,'4zip'!$A:$F,6,FALSE)),VLOOKUP($J$5&amp;$G17,'3zip'!$A:$F,6,FALSE)),"Zip Code Not Serviced")</f>
        <v>Zip Code Not Serviced</v>
      </c>
      <c r="N17" s="466">
        <f t="shared" si="4"/>
        <v>0</v>
      </c>
      <c r="O17" s="467">
        <f>IFERROR((VLOOKUP($J$4&amp;$C17&amp;$J$6&amp;$J$7,'Variable Selling'!$B:$O,11,FALSE))*F17,0)</f>
        <v>0</v>
      </c>
      <c r="P17" s="467">
        <f>IFERROR(VLOOKUP($J$4,'Variable Div Avgs'!$D:$I,6,FALSE)*'Variable Costs (Back)'!$F17,0)</f>
        <v>0</v>
      </c>
      <c r="Q17" s="467">
        <f>IFERROR((VLOOKUP($J$4&amp;$C17&amp;$J$6&amp;$J$7,'Variable Selling'!$B:$Q,16,FALSE))*F17,0)</f>
        <v>0</v>
      </c>
      <c r="R17" s="467">
        <f t="shared" si="0"/>
        <v>0</v>
      </c>
      <c r="S17" s="467">
        <f t="shared" si="1"/>
        <v>0</v>
      </c>
      <c r="T17" s="467">
        <f t="shared" si="5"/>
        <v>0</v>
      </c>
      <c r="U17" s="467">
        <f t="shared" si="6"/>
        <v>0</v>
      </c>
      <c r="V17" s="467">
        <f>IFERROR(VLOOKUP($AG17,'Existing Customer Variable Exp'!$B:$E,2,FALSE),0)</f>
        <v>0</v>
      </c>
      <c r="W17" s="467">
        <f>IFERROR(VLOOKUP($AG17,'Existing Customer Variable Exp'!$B:$E,3,FALSE),0)</f>
        <v>0</v>
      </c>
      <c r="X17" s="467">
        <f>IFERROR(VLOOKUP($AG17,'Existing Customer Variable Exp'!$B:$E,4,FALSE),0)</f>
        <v>0</v>
      </c>
      <c r="Y17" s="467">
        <f>IFERROR(VLOOKUP($AG17,'Existing Customer Variable Exp'!$B:$M,12,FALSE),0)</f>
        <v>0</v>
      </c>
      <c r="Z17" s="466">
        <f t="shared" si="7"/>
        <v>0</v>
      </c>
      <c r="AA17" s="467">
        <f t="shared" si="8"/>
        <v>0</v>
      </c>
      <c r="AB17" s="467">
        <f t="shared" si="9"/>
        <v>0</v>
      </c>
      <c r="AC17" s="467">
        <f t="shared" si="10"/>
        <v>0</v>
      </c>
      <c r="AD17" s="467" t="str">
        <f>IF('Customer Inputs'!L8&lt;&gt;'Customer Inputs'!Y8,"Modelled",IF(D17=F17,"BASE","Modelled"))</f>
        <v>BASE</v>
      </c>
      <c r="AE17" s="467" t="str">
        <f>IF(AND(SUMIF('Existing Customers'!$A:$A,'Variable Costs (Back)'!$AG17,'Existing Customers'!$Q:$Q)&gt;0,'Customer Inputs'!$U8&lt;&gt;"Prospect"),IF('Customer Inputs'!$V8&lt;&gt;"Yes","Existing","New"),"New")</f>
        <v>New</v>
      </c>
      <c r="AF17" s="484" t="s">
        <v>782</v>
      </c>
      <c r="AG17" s="468" t="str">
        <f>IF('Customer Inputs'!$F8="","",'Customer Inputs'!$G8)</f>
        <v/>
      </c>
      <c r="AH17" s="949" t="e">
        <f t="shared" si="11"/>
        <v>#N/A</v>
      </c>
      <c r="AI17" s="949" t="e">
        <f t="shared" si="12"/>
        <v>#N/A</v>
      </c>
      <c r="AJ17" s="949" t="e">
        <f t="shared" si="13"/>
        <v>#N/A</v>
      </c>
      <c r="AK17" s="949">
        <f t="shared" si="14"/>
        <v>0</v>
      </c>
      <c r="AL17" s="565" t="e">
        <f t="shared" si="15"/>
        <v>#N/A</v>
      </c>
      <c r="AM17" s="140" t="s">
        <v>11</v>
      </c>
      <c r="AN17" s="140" t="s">
        <v>1</v>
      </c>
      <c r="AO17" s="140" t="s">
        <v>11</v>
      </c>
      <c r="AP17" s="598" t="s">
        <v>113</v>
      </c>
      <c r="BF17" s="946"/>
      <c r="BG17" s="499"/>
      <c r="BH17" s="948"/>
      <c r="BI17" s="499"/>
    </row>
    <row r="18" spans="1:61" ht="15" x14ac:dyDescent="0.25">
      <c r="A18" s="140" t="str">
        <f>IF('Customer Inputs'!$S9="","",IF('Variable Costs (Back)'!$M18="Zip Code Not Serviced","Zip Code Not Serviced",""))</f>
        <v/>
      </c>
      <c r="B18" s="140" t="str">
        <f>'Customer Inputs'!Z9</f>
        <v/>
      </c>
      <c r="C18" s="140" t="str">
        <f>IF('Customer Inputs'!H9="","",'Customer Inputs'!H9)</f>
        <v/>
      </c>
      <c r="D18" s="1728">
        <f>ROUND('Multi-Customer'!$EB$51,0)</f>
        <v>0</v>
      </c>
      <c r="E18" s="1728">
        <f>ROUND('Multi-Customer'!$EB$52,0)</f>
        <v>0</v>
      </c>
      <c r="F18" s="1728">
        <f>ROUND('Multi-Customer'!$EC$35,0)</f>
        <v>0</v>
      </c>
      <c r="G18" s="464" t="str">
        <f t="shared" si="2"/>
        <v/>
      </c>
      <c r="H18" s="464" t="str">
        <f t="shared" si="3"/>
        <v/>
      </c>
      <c r="I18" s="464" t="str">
        <f>IF('Customer Inputs'!AA9="","",'Customer Inputs'!AA9)</f>
        <v/>
      </c>
      <c r="J18" s="482" t="str">
        <f>IF('Customer Inputs'!$F9="","",'Customer Inputs'!$P9)</f>
        <v/>
      </c>
      <c r="K18" s="140" t="str">
        <f>'Customer Inputs'!Y9</f>
        <v/>
      </c>
      <c r="L18" s="465">
        <f>IFERROR(IFERROR(IFERROR(VLOOKUP($J$5&amp;$I18,'5zip'!$A:$F,6,FALSE),VLOOKUP($J$5&amp;$H18,'4zip'!$A:$F,6,FALSE)),VLOOKUP($J$5&amp;$G18,'3zip'!$A:$F,6,FALSE)),0)</f>
        <v>0</v>
      </c>
      <c r="M18" s="465" t="str">
        <f>IFERROR(IFERROR(IFERROR(VLOOKUP($J$5&amp;$I18,'5zip'!$A:$F,6,FALSE),VLOOKUP($J$5&amp;$H18,'4zip'!$A:$F,6,FALSE)),VLOOKUP($J$5&amp;$G18,'3zip'!$A:$F,6,FALSE)),"Zip Code Not Serviced")</f>
        <v>Zip Code Not Serviced</v>
      </c>
      <c r="N18" s="466">
        <f t="shared" si="4"/>
        <v>0</v>
      </c>
      <c r="O18" s="467">
        <f>IFERROR((VLOOKUP($J$4&amp;$C18&amp;$J$6&amp;$J$7,'Variable Selling'!$B:$O,11,FALSE))*F18,0)</f>
        <v>0</v>
      </c>
      <c r="P18" s="467">
        <f>IFERROR(VLOOKUP($J$4,'Variable Div Avgs'!$D:$I,6,FALSE)*'Variable Costs (Back)'!$F18,0)</f>
        <v>0</v>
      </c>
      <c r="Q18" s="467">
        <f>IFERROR((VLOOKUP($J$4&amp;$C18&amp;$J$6&amp;$J$7,'Variable Selling'!$B:$Q,16,FALSE))*F18,0)</f>
        <v>0</v>
      </c>
      <c r="R18" s="467">
        <f t="shared" si="0"/>
        <v>0</v>
      </c>
      <c r="S18" s="467">
        <f t="shared" si="1"/>
        <v>0</v>
      </c>
      <c r="T18" s="467">
        <f t="shared" si="5"/>
        <v>0</v>
      </c>
      <c r="U18" s="467">
        <f t="shared" si="6"/>
        <v>0</v>
      </c>
      <c r="V18" s="467">
        <f>IFERROR(VLOOKUP($AG18,'Existing Customer Variable Exp'!$B:$E,2,FALSE),0)</f>
        <v>0</v>
      </c>
      <c r="W18" s="467">
        <f>IFERROR(VLOOKUP($AG18,'Existing Customer Variable Exp'!$B:$E,3,FALSE),0)</f>
        <v>0</v>
      </c>
      <c r="X18" s="467">
        <f>IFERROR(VLOOKUP($AG18,'Existing Customer Variable Exp'!$B:$E,4,FALSE),0)</f>
        <v>0</v>
      </c>
      <c r="Y18" s="467">
        <f>IFERROR(VLOOKUP($AG18,'Existing Customer Variable Exp'!$B:$M,12,FALSE),0)</f>
        <v>0</v>
      </c>
      <c r="Z18" s="466">
        <f t="shared" si="7"/>
        <v>0</v>
      </c>
      <c r="AA18" s="467">
        <f t="shared" si="8"/>
        <v>0</v>
      </c>
      <c r="AB18" s="467">
        <f t="shared" si="9"/>
        <v>0</v>
      </c>
      <c r="AC18" s="467">
        <f t="shared" si="10"/>
        <v>0</v>
      </c>
      <c r="AD18" s="467" t="str">
        <f>IF('Customer Inputs'!L9&lt;&gt;'Customer Inputs'!Y9,"Modelled",IF(D18=F18,"BASE","Modelled"))</f>
        <v>BASE</v>
      </c>
      <c r="AE18" s="467" t="str">
        <f>IF(AND(SUMIF('Existing Customers'!$A:$A,'Variable Costs (Back)'!$AG18,'Existing Customers'!$Q:$Q)&gt;0,'Customer Inputs'!$U9&lt;&gt;"Prospect"),IF('Customer Inputs'!$V9&lt;&gt;"Yes","Existing","New"),"New")</f>
        <v>New</v>
      </c>
      <c r="AF18" s="484" t="s">
        <v>783</v>
      </c>
      <c r="AG18" s="468" t="str">
        <f>IF('Customer Inputs'!$F9="","",'Customer Inputs'!$G9)</f>
        <v/>
      </c>
      <c r="AH18" s="949" t="e">
        <f t="shared" si="11"/>
        <v>#N/A</v>
      </c>
      <c r="AI18" s="949" t="e">
        <f t="shared" si="12"/>
        <v>#N/A</v>
      </c>
      <c r="AJ18" s="949" t="e">
        <f t="shared" si="13"/>
        <v>#N/A</v>
      </c>
      <c r="AK18" s="949">
        <f t="shared" si="14"/>
        <v>0</v>
      </c>
      <c r="AL18" s="565" t="e">
        <f t="shared" si="15"/>
        <v>#N/A</v>
      </c>
      <c r="AM18" s="140" t="s">
        <v>9</v>
      </c>
      <c r="AN18" s="140" t="s">
        <v>1</v>
      </c>
      <c r="AO18" s="140" t="s">
        <v>9</v>
      </c>
      <c r="AP18" s="598" t="s">
        <v>113</v>
      </c>
      <c r="BF18" s="946"/>
      <c r="BG18" s="499"/>
      <c r="BH18" s="948"/>
      <c r="BI18" s="499"/>
    </row>
    <row r="19" spans="1:61" ht="15" x14ac:dyDescent="0.25">
      <c r="A19" s="140" t="str">
        <f>IF('Customer Inputs'!$S10="","",IF('Variable Costs (Back)'!$M19="Zip Code Not Serviced","Zip Code Not Serviced",""))</f>
        <v/>
      </c>
      <c r="B19" s="140" t="str">
        <f>'Customer Inputs'!Z10</f>
        <v/>
      </c>
      <c r="C19" s="140" t="str">
        <f>IF('Customer Inputs'!H10="","",'Customer Inputs'!H10)</f>
        <v/>
      </c>
      <c r="D19" s="1728">
        <f>ROUND('Multi-Customer'!$EY$51,0)</f>
        <v>0</v>
      </c>
      <c r="E19" s="1728">
        <f>ROUND('Multi-Customer'!$EY$52,0)</f>
        <v>0</v>
      </c>
      <c r="F19" s="1728">
        <f>ROUND('Multi-Customer'!$EZ$35,0)</f>
        <v>0</v>
      </c>
      <c r="G19" s="464" t="str">
        <f t="shared" si="2"/>
        <v/>
      </c>
      <c r="H19" s="464" t="str">
        <f t="shared" si="3"/>
        <v/>
      </c>
      <c r="I19" s="464" t="str">
        <f>IF('Customer Inputs'!AA10="","",'Customer Inputs'!AA10)</f>
        <v/>
      </c>
      <c r="J19" s="482" t="str">
        <f>IF('Customer Inputs'!$F10="","",'Customer Inputs'!$P10)</f>
        <v/>
      </c>
      <c r="K19" s="140" t="str">
        <f>'Customer Inputs'!Y10</f>
        <v/>
      </c>
      <c r="L19" s="465">
        <f>IFERROR(IFERROR(IFERROR(VLOOKUP($J$5&amp;$I19,'5zip'!$A:$F,6,FALSE),VLOOKUP($J$5&amp;$H19,'4zip'!$A:$F,6,FALSE)),VLOOKUP($J$5&amp;$G19,'3zip'!$A:$F,6,FALSE)),0)</f>
        <v>0</v>
      </c>
      <c r="M19" s="465" t="str">
        <f>IFERROR(IFERROR(IFERROR(VLOOKUP($J$5&amp;$I19,'5zip'!$A:$F,6,FALSE),VLOOKUP($J$5&amp;$H19,'4zip'!$A:$F,6,FALSE)),VLOOKUP($J$5&amp;$G19,'3zip'!$A:$F,6,FALSE)),"Zip Code Not Serviced")</f>
        <v>Zip Code Not Serviced</v>
      </c>
      <c r="N19" s="466">
        <f t="shared" si="4"/>
        <v>0</v>
      </c>
      <c r="O19" s="467">
        <f>IFERROR((VLOOKUP($J$4&amp;$C19&amp;$J$6&amp;$J$7,'Variable Selling'!$B:$O,11,FALSE))*F19,0)</f>
        <v>0</v>
      </c>
      <c r="P19" s="467">
        <f>IFERROR(VLOOKUP($J$4,'Variable Div Avgs'!$D:$I,6,FALSE)*'Variable Costs (Back)'!$F19,0)</f>
        <v>0</v>
      </c>
      <c r="Q19" s="467">
        <f>IFERROR((VLOOKUP($J$4&amp;$C19&amp;$J$6&amp;$J$7,'Variable Selling'!$B:$Q,16,FALSE))*F19,0)</f>
        <v>0</v>
      </c>
      <c r="R19" s="467">
        <f t="shared" si="0"/>
        <v>0</v>
      </c>
      <c r="S19" s="467">
        <f t="shared" si="1"/>
        <v>0</v>
      </c>
      <c r="T19" s="467">
        <f t="shared" si="5"/>
        <v>0</v>
      </c>
      <c r="U19" s="467">
        <f t="shared" si="6"/>
        <v>0</v>
      </c>
      <c r="V19" s="467">
        <f>IFERROR(VLOOKUP($AG19,'Existing Customer Variable Exp'!$B:$E,2,FALSE),0)</f>
        <v>0</v>
      </c>
      <c r="W19" s="467">
        <f>IFERROR(VLOOKUP($AG19,'Existing Customer Variable Exp'!$B:$E,3,FALSE),0)</f>
        <v>0</v>
      </c>
      <c r="X19" s="467">
        <f>IFERROR(VLOOKUP($AG19,'Existing Customer Variable Exp'!$B:$E,4,FALSE),0)</f>
        <v>0</v>
      </c>
      <c r="Y19" s="467">
        <f>IFERROR(VLOOKUP($AG19,'Existing Customer Variable Exp'!$B:$M,12,FALSE),0)</f>
        <v>0</v>
      </c>
      <c r="Z19" s="466">
        <f t="shared" si="7"/>
        <v>0</v>
      </c>
      <c r="AA19" s="467">
        <f t="shared" si="8"/>
        <v>0</v>
      </c>
      <c r="AB19" s="467">
        <f t="shared" si="9"/>
        <v>0</v>
      </c>
      <c r="AC19" s="467">
        <f t="shared" si="10"/>
        <v>0</v>
      </c>
      <c r="AD19" s="467" t="str">
        <f>IF('Customer Inputs'!L10&lt;&gt;'Customer Inputs'!Y10,"Modelled",IF(D19=F19,"BASE","Modelled"))</f>
        <v>BASE</v>
      </c>
      <c r="AE19" s="467" t="str">
        <f>IF(AND(SUMIF('Existing Customers'!$A:$A,'Variable Costs (Back)'!$AG19,'Existing Customers'!$Q:$Q)&gt;0,'Customer Inputs'!$U10&lt;&gt;"Prospect"),IF('Customer Inputs'!$V10&lt;&gt;"Yes","Existing","New"),"New")</f>
        <v>New</v>
      </c>
      <c r="AF19" s="484" t="s">
        <v>784</v>
      </c>
      <c r="AG19" s="468" t="str">
        <f>IF('Customer Inputs'!$F10="","",'Customer Inputs'!$G10)</f>
        <v/>
      </c>
      <c r="AH19" s="949" t="e">
        <f t="shared" si="11"/>
        <v>#N/A</v>
      </c>
      <c r="AI19" s="949" t="e">
        <f t="shared" si="12"/>
        <v>#N/A</v>
      </c>
      <c r="AJ19" s="949" t="e">
        <f t="shared" si="13"/>
        <v>#N/A</v>
      </c>
      <c r="AK19" s="949">
        <f t="shared" si="14"/>
        <v>0</v>
      </c>
      <c r="AL19" s="565" t="e">
        <f t="shared" si="15"/>
        <v>#N/A</v>
      </c>
      <c r="AM19" s="140" t="s">
        <v>38</v>
      </c>
      <c r="AN19" s="140" t="s">
        <v>1</v>
      </c>
      <c r="AO19" s="140" t="s">
        <v>38</v>
      </c>
      <c r="AP19" s="598" t="s">
        <v>113</v>
      </c>
      <c r="BF19" s="946"/>
      <c r="BG19" s="499"/>
      <c r="BH19" s="948"/>
      <c r="BI19" s="499"/>
    </row>
    <row r="20" spans="1:61" ht="15" x14ac:dyDescent="0.25">
      <c r="A20" s="140" t="str">
        <f>IF('Customer Inputs'!$S11="","",IF('Variable Costs (Back)'!$M20="Zip Code Not Serviced","Zip Code Not Serviced",""))</f>
        <v/>
      </c>
      <c r="B20" s="140" t="str">
        <f>'Customer Inputs'!Z11</f>
        <v/>
      </c>
      <c r="C20" s="140" t="str">
        <f>IF('Customer Inputs'!H11="","",'Customer Inputs'!H11)</f>
        <v/>
      </c>
      <c r="D20" s="1728">
        <f>ROUND('Multi-Customer'!$FV$51,0)</f>
        <v>0</v>
      </c>
      <c r="E20" s="1728">
        <f>ROUND('Multi-Customer'!$FV$52,0)</f>
        <v>0</v>
      </c>
      <c r="F20" s="1728">
        <f>ROUND('Multi-Customer'!$FW$35,0)</f>
        <v>0</v>
      </c>
      <c r="G20" s="464" t="str">
        <f t="shared" si="2"/>
        <v/>
      </c>
      <c r="H20" s="464" t="str">
        <f t="shared" si="3"/>
        <v/>
      </c>
      <c r="I20" s="464" t="str">
        <f>IF('Customer Inputs'!AA11="","",'Customer Inputs'!AA11)</f>
        <v/>
      </c>
      <c r="J20" s="482" t="str">
        <f>IF('Customer Inputs'!$F11="","",'Customer Inputs'!$P11)</f>
        <v/>
      </c>
      <c r="K20" s="140" t="str">
        <f>'Customer Inputs'!Y11</f>
        <v/>
      </c>
      <c r="L20" s="465">
        <f>IFERROR(IFERROR(IFERROR(VLOOKUP($J$5&amp;$I20,'5zip'!$A:$F,6,FALSE),VLOOKUP($J$5&amp;$H20,'4zip'!$A:$F,6,FALSE)),VLOOKUP($J$5&amp;$G20,'3zip'!$A:$F,6,FALSE)),0)</f>
        <v>0</v>
      </c>
      <c r="M20" s="465" t="str">
        <f>IFERROR(IFERROR(IFERROR(VLOOKUP($J$5&amp;$I20,'5zip'!$A:$F,6,FALSE),VLOOKUP($J$5&amp;$H20,'4zip'!$A:$F,6,FALSE)),VLOOKUP($J$5&amp;$G20,'3zip'!$A:$F,6,FALSE)),"Zip Code Not Serviced")</f>
        <v>Zip Code Not Serviced</v>
      </c>
      <c r="N20" s="466">
        <f t="shared" si="4"/>
        <v>0</v>
      </c>
      <c r="O20" s="467">
        <f>IFERROR((VLOOKUP($J$4&amp;$C20&amp;$J$6&amp;$J$7,'Variable Selling'!$B:$O,11,FALSE))*F20,0)</f>
        <v>0</v>
      </c>
      <c r="P20" s="467">
        <f>IFERROR(VLOOKUP($J$4,'Variable Div Avgs'!$D:$I,6,FALSE)*'Variable Costs (Back)'!$F20,0)</f>
        <v>0</v>
      </c>
      <c r="Q20" s="467">
        <f>IFERROR((VLOOKUP($J$4&amp;$C20&amp;$J$6&amp;$J$7,'Variable Selling'!$B:$Q,16,FALSE))*F20,0)</f>
        <v>0</v>
      </c>
      <c r="R20" s="467">
        <f t="shared" si="0"/>
        <v>0</v>
      </c>
      <c r="S20" s="467">
        <f t="shared" si="1"/>
        <v>0</v>
      </c>
      <c r="T20" s="467">
        <f t="shared" si="5"/>
        <v>0</v>
      </c>
      <c r="U20" s="467">
        <f t="shared" si="6"/>
        <v>0</v>
      </c>
      <c r="V20" s="467">
        <f>IFERROR(VLOOKUP($AG20,'Existing Customer Variable Exp'!$B:$E,2,FALSE),0)</f>
        <v>0</v>
      </c>
      <c r="W20" s="467">
        <f>IFERROR(VLOOKUP($AG20,'Existing Customer Variable Exp'!$B:$E,3,FALSE),0)</f>
        <v>0</v>
      </c>
      <c r="X20" s="467">
        <f>IFERROR(VLOOKUP($AG20,'Existing Customer Variable Exp'!$B:$E,4,FALSE),0)</f>
        <v>0</v>
      </c>
      <c r="Y20" s="467">
        <f>IFERROR(VLOOKUP($AG20,'Existing Customer Variable Exp'!$B:$M,12,FALSE),0)</f>
        <v>0</v>
      </c>
      <c r="Z20" s="466">
        <f t="shared" si="7"/>
        <v>0</v>
      </c>
      <c r="AA20" s="467">
        <f t="shared" si="8"/>
        <v>0</v>
      </c>
      <c r="AB20" s="467">
        <f t="shared" si="9"/>
        <v>0</v>
      </c>
      <c r="AC20" s="467">
        <f t="shared" si="10"/>
        <v>0</v>
      </c>
      <c r="AD20" s="467" t="str">
        <f>IF('Customer Inputs'!L11&lt;&gt;'Customer Inputs'!Y11,"Modelled",IF(D20=F20,"BASE","Modelled"))</f>
        <v>BASE</v>
      </c>
      <c r="AE20" s="467" t="str">
        <f>IF(AND(SUMIF('Existing Customers'!$A:$A,'Variable Costs (Back)'!$AG20,'Existing Customers'!$Q:$Q)&gt;0,'Customer Inputs'!$U11&lt;&gt;"Prospect"),IF('Customer Inputs'!$V11&lt;&gt;"Yes","Existing","New"),"New")</f>
        <v>New</v>
      </c>
      <c r="AF20" s="484" t="s">
        <v>785</v>
      </c>
      <c r="AG20" s="468" t="str">
        <f>IF('Customer Inputs'!$F11="","",'Customer Inputs'!$G11)</f>
        <v/>
      </c>
      <c r="AH20" s="949" t="e">
        <f t="shared" si="11"/>
        <v>#N/A</v>
      </c>
      <c r="AI20" s="949" t="e">
        <f t="shared" si="12"/>
        <v>#N/A</v>
      </c>
      <c r="AJ20" s="949" t="e">
        <f t="shared" si="13"/>
        <v>#N/A</v>
      </c>
      <c r="AK20" s="949">
        <f t="shared" si="14"/>
        <v>0</v>
      </c>
      <c r="AL20" s="565" t="e">
        <f t="shared" si="15"/>
        <v>#N/A</v>
      </c>
      <c r="AM20" s="140" t="s">
        <v>259</v>
      </c>
      <c r="AN20" s="140" t="s">
        <v>1</v>
      </c>
      <c r="AO20" s="140" t="s">
        <v>259</v>
      </c>
      <c r="AP20" s="598" t="s">
        <v>113</v>
      </c>
      <c r="BF20" s="946"/>
      <c r="BG20" s="499"/>
      <c r="BH20" s="948"/>
      <c r="BI20" s="499"/>
    </row>
    <row r="21" spans="1:61" ht="15" x14ac:dyDescent="0.25">
      <c r="A21" s="140" t="str">
        <f>IF('Customer Inputs'!$S12="","",IF('Variable Costs (Back)'!$M21="Zip Code Not Serviced","Zip Code Not Serviced",""))</f>
        <v/>
      </c>
      <c r="B21" s="140" t="str">
        <f>'Customer Inputs'!Z12</f>
        <v/>
      </c>
      <c r="C21" s="140" t="str">
        <f>IF('Customer Inputs'!H12="","",'Customer Inputs'!H12)</f>
        <v/>
      </c>
      <c r="D21" s="1728">
        <f>ROUND('Multi-Customer'!$GS$51,0)</f>
        <v>0</v>
      </c>
      <c r="E21" s="1728">
        <f>ROUND('Multi-Customer'!$GS$52,0)</f>
        <v>0</v>
      </c>
      <c r="F21" s="1728">
        <f>ROUND('Multi-Customer'!$GT$35,0)</f>
        <v>0</v>
      </c>
      <c r="G21" s="464" t="str">
        <f t="shared" si="2"/>
        <v/>
      </c>
      <c r="H21" s="464" t="str">
        <f t="shared" si="3"/>
        <v/>
      </c>
      <c r="I21" s="464" t="str">
        <f>IF('Customer Inputs'!AA12="","",'Customer Inputs'!AA12)</f>
        <v/>
      </c>
      <c r="J21" s="482" t="str">
        <f>IF('Customer Inputs'!$F12="","",'Customer Inputs'!$P12)</f>
        <v/>
      </c>
      <c r="K21" s="140" t="str">
        <f>'Customer Inputs'!Y12</f>
        <v/>
      </c>
      <c r="L21" s="465">
        <f>IFERROR(IFERROR(IFERROR(VLOOKUP($J$5&amp;$I21,'5zip'!$A:$F,6,FALSE),VLOOKUP($J$5&amp;$H21,'4zip'!$A:$F,6,FALSE)),VLOOKUP($J$5&amp;$G21,'3zip'!$A:$F,6,FALSE)),0)</f>
        <v>0</v>
      </c>
      <c r="M21" s="465" t="str">
        <f>IFERROR(IFERROR(IFERROR(VLOOKUP($J$5&amp;$I21,'5zip'!$A:$F,6,FALSE),VLOOKUP($J$5&amp;$H21,'4zip'!$A:$F,6,FALSE)),VLOOKUP($J$5&amp;$G21,'3zip'!$A:$F,6,FALSE)),"Zip Code Not Serviced")</f>
        <v>Zip Code Not Serviced</v>
      </c>
      <c r="N21" s="466">
        <f t="shared" si="4"/>
        <v>0</v>
      </c>
      <c r="O21" s="467">
        <f>IFERROR((VLOOKUP($J$4&amp;$C21&amp;$J$6&amp;$J$7,'Variable Selling'!$B:$O,11,FALSE))*F21,0)</f>
        <v>0</v>
      </c>
      <c r="P21" s="467">
        <f>IFERROR(VLOOKUP($J$4,'Variable Div Avgs'!$D:$I,6,FALSE)*'Variable Costs (Back)'!$F21,0)</f>
        <v>0</v>
      </c>
      <c r="Q21" s="467">
        <f>IFERROR((VLOOKUP($J$4&amp;$C21&amp;$J$6&amp;$J$7,'Variable Selling'!$B:$Q,16,FALSE))*F21,0)</f>
        <v>0</v>
      </c>
      <c r="R21" s="467">
        <f t="shared" si="0"/>
        <v>0</v>
      </c>
      <c r="S21" s="467">
        <f t="shared" si="1"/>
        <v>0</v>
      </c>
      <c r="T21" s="467">
        <f t="shared" si="5"/>
        <v>0</v>
      </c>
      <c r="U21" s="467">
        <f t="shared" si="6"/>
        <v>0</v>
      </c>
      <c r="V21" s="467">
        <f>IFERROR(VLOOKUP($AG21,'Existing Customer Variable Exp'!$B:$E,2,FALSE),0)</f>
        <v>0</v>
      </c>
      <c r="W21" s="467">
        <f>IFERROR(VLOOKUP($AG21,'Existing Customer Variable Exp'!$B:$E,3,FALSE),0)</f>
        <v>0</v>
      </c>
      <c r="X21" s="467">
        <f>IFERROR(VLOOKUP($AG21,'Existing Customer Variable Exp'!$B:$E,4,FALSE),0)</f>
        <v>0</v>
      </c>
      <c r="Y21" s="467">
        <f>IFERROR(VLOOKUP($AG21,'Existing Customer Variable Exp'!$B:$M,12,FALSE),0)</f>
        <v>0</v>
      </c>
      <c r="Z21" s="466">
        <f t="shared" si="7"/>
        <v>0</v>
      </c>
      <c r="AA21" s="467">
        <f t="shared" si="8"/>
        <v>0</v>
      </c>
      <c r="AB21" s="467">
        <f t="shared" si="9"/>
        <v>0</v>
      </c>
      <c r="AC21" s="467">
        <f t="shared" si="10"/>
        <v>0</v>
      </c>
      <c r="AD21" s="467" t="str">
        <f>IF('Customer Inputs'!L12&lt;&gt;'Customer Inputs'!Y12,"Modelled",IF(D21=F21,"BASE","Modelled"))</f>
        <v>BASE</v>
      </c>
      <c r="AE21" s="467" t="str">
        <f>IF(AND(SUMIF('Existing Customers'!$A:$A,'Variable Costs (Back)'!$AG21,'Existing Customers'!$Q:$Q)&gt;0,'Customer Inputs'!$U12&lt;&gt;"Prospect"),IF('Customer Inputs'!$V12&lt;&gt;"Yes","Existing","New"),"New")</f>
        <v>New</v>
      </c>
      <c r="AF21" s="484" t="s">
        <v>786</v>
      </c>
      <c r="AG21" s="468" t="str">
        <f>IF('Customer Inputs'!$F12="","",'Customer Inputs'!$G12)</f>
        <v/>
      </c>
      <c r="AH21" s="949" t="e">
        <f t="shared" si="11"/>
        <v>#N/A</v>
      </c>
      <c r="AI21" s="949" t="e">
        <f t="shared" si="12"/>
        <v>#N/A</v>
      </c>
      <c r="AJ21" s="949" t="e">
        <f t="shared" si="13"/>
        <v>#N/A</v>
      </c>
      <c r="AK21" s="949">
        <f t="shared" si="14"/>
        <v>0</v>
      </c>
      <c r="AL21" s="565" t="e">
        <f t="shared" si="15"/>
        <v>#N/A</v>
      </c>
      <c r="AM21" s="140" t="s">
        <v>255</v>
      </c>
      <c r="AN21" s="140" t="s">
        <v>114</v>
      </c>
      <c r="AO21" s="140" t="s">
        <v>255</v>
      </c>
      <c r="AP21" s="140" t="s">
        <v>114</v>
      </c>
      <c r="BF21" s="946"/>
      <c r="BG21" s="499"/>
      <c r="BH21" s="948"/>
      <c r="BI21" s="499"/>
    </row>
    <row r="22" spans="1:61" ht="15" x14ac:dyDescent="0.25">
      <c r="A22" s="140" t="str">
        <f>IF('Customer Inputs'!$S13="","",IF('Variable Costs (Back)'!$M22="Zip Code Not Serviced","Zip Code Not Serviced",""))</f>
        <v/>
      </c>
      <c r="B22" s="140" t="str">
        <f>'Customer Inputs'!Z13</f>
        <v/>
      </c>
      <c r="C22" s="140" t="str">
        <f>IF('Customer Inputs'!H13="","",'Customer Inputs'!H13)</f>
        <v/>
      </c>
      <c r="D22" s="1728">
        <f>ROUND('Multi-Customer'!$HP$51,0)</f>
        <v>0</v>
      </c>
      <c r="E22" s="1728">
        <f>ROUND('Multi-Customer'!$HP$52,0)</f>
        <v>0</v>
      </c>
      <c r="F22" s="1728">
        <f>ROUND('Multi-Customer'!$HQ$35,0)</f>
        <v>0</v>
      </c>
      <c r="G22" s="464" t="str">
        <f t="shared" si="2"/>
        <v/>
      </c>
      <c r="H22" s="464" t="str">
        <f t="shared" si="3"/>
        <v/>
      </c>
      <c r="I22" s="464" t="str">
        <f>IF('Customer Inputs'!AA13="","",'Customer Inputs'!AA13)</f>
        <v/>
      </c>
      <c r="J22" s="482" t="str">
        <f>IF('Customer Inputs'!$F13="","",'Customer Inputs'!$P13)</f>
        <v/>
      </c>
      <c r="K22" s="140" t="str">
        <f>'Customer Inputs'!Y13</f>
        <v/>
      </c>
      <c r="L22" s="465">
        <f>IFERROR(IFERROR(IFERROR(VLOOKUP($J$5&amp;$I22,'5zip'!$A:$F,6,FALSE),VLOOKUP($J$5&amp;$H22,'4zip'!$A:$F,6,FALSE)),VLOOKUP($J$5&amp;$G22,'3zip'!$A:$F,6,FALSE)),0)</f>
        <v>0</v>
      </c>
      <c r="M22" s="465" t="str">
        <f>IFERROR(IFERROR(IFERROR(VLOOKUP($J$5&amp;$I22,'5zip'!$A:$F,6,FALSE),VLOOKUP($J$5&amp;$H22,'4zip'!$A:$F,6,FALSE)),VLOOKUP($J$5&amp;$G22,'3zip'!$A:$F,6,FALSE)),"Zip Code Not Serviced")</f>
        <v>Zip Code Not Serviced</v>
      </c>
      <c r="N22" s="466">
        <f t="shared" si="4"/>
        <v>0</v>
      </c>
      <c r="O22" s="467">
        <f>IFERROR((VLOOKUP($J$4&amp;$C22&amp;$J$6&amp;$J$7,'Variable Selling'!$B:$O,11,FALSE))*F22,0)</f>
        <v>0</v>
      </c>
      <c r="P22" s="467">
        <f>IFERROR(VLOOKUP($J$4,'Variable Div Avgs'!$D:$I,6,FALSE)*'Variable Costs (Back)'!$F22,0)</f>
        <v>0</v>
      </c>
      <c r="Q22" s="467">
        <f>IFERROR((VLOOKUP($J$4&amp;$C22&amp;$J$6&amp;$J$7,'Variable Selling'!$B:$Q,16,FALSE))*F22,0)</f>
        <v>0</v>
      </c>
      <c r="R22" s="467">
        <f t="shared" si="0"/>
        <v>0</v>
      </c>
      <c r="S22" s="467">
        <f t="shared" si="1"/>
        <v>0</v>
      </c>
      <c r="T22" s="467">
        <f t="shared" si="5"/>
        <v>0</v>
      </c>
      <c r="U22" s="467">
        <f t="shared" si="6"/>
        <v>0</v>
      </c>
      <c r="V22" s="467">
        <f>IFERROR(VLOOKUP($AG22,'Existing Customer Variable Exp'!$B:$E,2,FALSE),0)</f>
        <v>0</v>
      </c>
      <c r="W22" s="467">
        <f>IFERROR(VLOOKUP($AG22,'Existing Customer Variable Exp'!$B:$E,3,FALSE),0)</f>
        <v>0</v>
      </c>
      <c r="X22" s="467">
        <f>IFERROR(VLOOKUP($AG22,'Existing Customer Variable Exp'!$B:$E,4,FALSE),0)</f>
        <v>0</v>
      </c>
      <c r="Y22" s="467">
        <f>IFERROR(VLOOKUP($AG22,'Existing Customer Variable Exp'!$B:$M,12,FALSE),0)</f>
        <v>0</v>
      </c>
      <c r="Z22" s="466">
        <f t="shared" si="7"/>
        <v>0</v>
      </c>
      <c r="AA22" s="467">
        <f t="shared" si="8"/>
        <v>0</v>
      </c>
      <c r="AB22" s="467">
        <f t="shared" si="9"/>
        <v>0</v>
      </c>
      <c r="AC22" s="467">
        <f t="shared" si="10"/>
        <v>0</v>
      </c>
      <c r="AD22" s="467" t="str">
        <f>IF('Customer Inputs'!L13&lt;&gt;'Customer Inputs'!Y13,"Modelled",IF(D22=F22,"BASE","Modelled"))</f>
        <v>BASE</v>
      </c>
      <c r="AE22" s="467" t="str">
        <f>IF(AND(SUMIF('Existing Customers'!$A:$A,'Variable Costs (Back)'!$AG22,'Existing Customers'!$Q:$Q)&gt;0,'Customer Inputs'!$U13&lt;&gt;"Prospect"),IF('Customer Inputs'!$V13&lt;&gt;"Yes","Existing","New"),"New")</f>
        <v>New</v>
      </c>
      <c r="AF22" s="484" t="s">
        <v>787</v>
      </c>
      <c r="AG22" s="468" t="str">
        <f>IF('Customer Inputs'!$F13="","",'Customer Inputs'!$G13)</f>
        <v/>
      </c>
      <c r="AH22" s="949" t="e">
        <f t="shared" si="11"/>
        <v>#N/A</v>
      </c>
      <c r="AI22" s="949" t="e">
        <f t="shared" si="12"/>
        <v>#N/A</v>
      </c>
      <c r="AJ22" s="949" t="e">
        <f t="shared" si="13"/>
        <v>#N/A</v>
      </c>
      <c r="AK22" s="949">
        <f t="shared" si="14"/>
        <v>0</v>
      </c>
      <c r="AL22" s="565" t="e">
        <f t="shared" si="15"/>
        <v>#N/A</v>
      </c>
      <c r="AM22" s="140" t="s">
        <v>256</v>
      </c>
      <c r="AN22" s="140" t="s">
        <v>116</v>
      </c>
      <c r="AO22" s="140" t="s">
        <v>256</v>
      </c>
      <c r="AP22" s="140" t="s">
        <v>116</v>
      </c>
      <c r="BF22" s="946"/>
      <c r="BG22" s="499"/>
      <c r="BH22" s="948"/>
      <c r="BI22" s="499"/>
    </row>
    <row r="23" spans="1:61" ht="15" x14ac:dyDescent="0.25">
      <c r="A23" s="140" t="str">
        <f>IF('Customer Inputs'!$S14="","",IF('Variable Costs (Back)'!$M23="Zip Code Not Serviced","Zip Code Not Serviced",""))</f>
        <v/>
      </c>
      <c r="B23" s="140" t="str">
        <f>'Customer Inputs'!Z14</f>
        <v/>
      </c>
      <c r="C23" s="140" t="str">
        <f>IF('Customer Inputs'!H14="","",'Customer Inputs'!H14)</f>
        <v/>
      </c>
      <c r="D23" s="1728">
        <f>ROUND('Multi-Customer'!$IM$51,0)</f>
        <v>0</v>
      </c>
      <c r="E23" s="1728">
        <f>ROUND('Multi-Customer'!$IM$52,0)</f>
        <v>0</v>
      </c>
      <c r="F23" s="1728">
        <f>ROUND('Multi-Customer'!$IN$35,0)</f>
        <v>0</v>
      </c>
      <c r="G23" s="464" t="str">
        <f t="shared" si="2"/>
        <v/>
      </c>
      <c r="H23" s="464" t="str">
        <f t="shared" si="3"/>
        <v/>
      </c>
      <c r="I23" s="464" t="str">
        <f>IF('Customer Inputs'!AA14="","",'Customer Inputs'!AA14)</f>
        <v/>
      </c>
      <c r="J23" s="482" t="str">
        <f>IF('Customer Inputs'!$F14="","",'Customer Inputs'!$P14)</f>
        <v/>
      </c>
      <c r="K23" s="140" t="str">
        <f>'Customer Inputs'!Y14</f>
        <v/>
      </c>
      <c r="L23" s="465">
        <f>IFERROR(IFERROR(IFERROR(VLOOKUP($J$5&amp;$I23,'5zip'!$A:$F,6,FALSE),VLOOKUP($J$5&amp;$H23,'4zip'!$A:$F,6,FALSE)),VLOOKUP($J$5&amp;$G23,'3zip'!$A:$F,6,FALSE)),0)</f>
        <v>0</v>
      </c>
      <c r="M23" s="465" t="str">
        <f>IFERROR(IFERROR(IFERROR(VLOOKUP($J$5&amp;$I23,'5zip'!$A:$F,6,FALSE),VLOOKUP($J$5&amp;$H23,'4zip'!$A:$F,6,FALSE)),VLOOKUP($J$5&amp;$G23,'3zip'!$A:$F,6,FALSE)),"Zip Code Not Serviced")</f>
        <v>Zip Code Not Serviced</v>
      </c>
      <c r="N23" s="466">
        <f t="shared" si="4"/>
        <v>0</v>
      </c>
      <c r="O23" s="467">
        <f>IFERROR((VLOOKUP($J$4&amp;$C23&amp;$J$6&amp;$J$7,'Variable Selling'!$B:$O,11,FALSE))*F23,0)</f>
        <v>0</v>
      </c>
      <c r="P23" s="467">
        <f>IFERROR(VLOOKUP($J$4,'Variable Div Avgs'!$D:$I,6,FALSE)*'Variable Costs (Back)'!$F23,0)</f>
        <v>0</v>
      </c>
      <c r="Q23" s="467">
        <f>IFERROR((VLOOKUP($J$4&amp;$C23&amp;$J$6&amp;$J$7,'Variable Selling'!$B:$Q,16,FALSE))*F23,0)</f>
        <v>0</v>
      </c>
      <c r="R23" s="467">
        <f t="shared" si="0"/>
        <v>0</v>
      </c>
      <c r="S23" s="467">
        <f t="shared" si="1"/>
        <v>0</v>
      </c>
      <c r="T23" s="467">
        <f t="shared" si="5"/>
        <v>0</v>
      </c>
      <c r="U23" s="467">
        <f t="shared" si="6"/>
        <v>0</v>
      </c>
      <c r="V23" s="467">
        <f>IFERROR(VLOOKUP($AG23,'Existing Customer Variable Exp'!$B:$E,2,FALSE),0)</f>
        <v>0</v>
      </c>
      <c r="W23" s="467">
        <f>IFERROR(VLOOKUP($AG23,'Existing Customer Variable Exp'!$B:$E,3,FALSE),0)</f>
        <v>0</v>
      </c>
      <c r="X23" s="467">
        <f>IFERROR(VLOOKUP($AG23,'Existing Customer Variable Exp'!$B:$E,4,FALSE),0)</f>
        <v>0</v>
      </c>
      <c r="Y23" s="467">
        <f>IFERROR(VLOOKUP($AG23,'Existing Customer Variable Exp'!$B:$M,12,FALSE),0)</f>
        <v>0</v>
      </c>
      <c r="Z23" s="466">
        <f t="shared" si="7"/>
        <v>0</v>
      </c>
      <c r="AA23" s="467">
        <f t="shared" si="8"/>
        <v>0</v>
      </c>
      <c r="AB23" s="467">
        <f t="shared" si="9"/>
        <v>0</v>
      </c>
      <c r="AC23" s="467">
        <f t="shared" si="10"/>
        <v>0</v>
      </c>
      <c r="AD23" s="467" t="str">
        <f>IF('Customer Inputs'!L14&lt;&gt;'Customer Inputs'!Y14,"Modelled",IF(D23=F23,"BASE","Modelled"))</f>
        <v>BASE</v>
      </c>
      <c r="AE23" s="467" t="str">
        <f>IF(AND(SUMIF('Existing Customers'!$A:$A,'Variable Costs (Back)'!$AG23,'Existing Customers'!$Q:$Q)&gt;0,'Customer Inputs'!$U14&lt;&gt;"Prospect"),IF('Customer Inputs'!$V14&lt;&gt;"Yes","Existing","New"),"New")</f>
        <v>New</v>
      </c>
      <c r="AF23" s="484" t="s">
        <v>788</v>
      </c>
      <c r="AG23" s="468" t="str">
        <f>IF('Customer Inputs'!$F14="","",'Customer Inputs'!$G14)</f>
        <v/>
      </c>
      <c r="AH23" s="949" t="e">
        <f t="shared" si="11"/>
        <v>#N/A</v>
      </c>
      <c r="AI23" s="949" t="e">
        <f t="shared" si="12"/>
        <v>#N/A</v>
      </c>
      <c r="AJ23" s="949" t="e">
        <f t="shared" si="13"/>
        <v>#N/A</v>
      </c>
      <c r="AK23" s="949">
        <f t="shared" si="14"/>
        <v>0</v>
      </c>
      <c r="AL23" s="565" t="e">
        <f t="shared" si="15"/>
        <v>#N/A</v>
      </c>
      <c r="AM23" s="140" t="s">
        <v>257</v>
      </c>
      <c r="AN23" s="140" t="s">
        <v>112</v>
      </c>
      <c r="AO23" s="140" t="s">
        <v>257</v>
      </c>
      <c r="AP23" s="140" t="s">
        <v>112</v>
      </c>
      <c r="BF23" s="946"/>
      <c r="BG23" s="499"/>
      <c r="BH23" s="948"/>
      <c r="BI23" s="499"/>
    </row>
    <row r="24" spans="1:61" ht="15" x14ac:dyDescent="0.25">
      <c r="A24" s="140" t="str">
        <f>IF('Customer Inputs'!$S15="","",IF('Variable Costs (Back)'!$M24="Zip Code Not Serviced","Zip Code Not Serviced",""))</f>
        <v/>
      </c>
      <c r="B24" s="140" t="str">
        <f>'Customer Inputs'!Z15</f>
        <v/>
      </c>
      <c r="C24" s="140" t="str">
        <f>IF('Customer Inputs'!H15="","",'Customer Inputs'!H15)</f>
        <v/>
      </c>
      <c r="D24" s="1728">
        <f>ROUND('Multi-Customer'!$JJ$51,0)</f>
        <v>0</v>
      </c>
      <c r="E24" s="1728">
        <f>ROUND('Multi-Customer'!$JJ$52,0)</f>
        <v>0</v>
      </c>
      <c r="F24" s="1728">
        <f>ROUND('Multi-Customer'!$JK$35,0)</f>
        <v>0</v>
      </c>
      <c r="G24" s="464" t="str">
        <f t="shared" si="2"/>
        <v/>
      </c>
      <c r="H24" s="464" t="str">
        <f t="shared" si="3"/>
        <v/>
      </c>
      <c r="I24" s="464" t="str">
        <f>IF('Customer Inputs'!AA15="","",'Customer Inputs'!AA15)</f>
        <v/>
      </c>
      <c r="J24" s="482" t="str">
        <f>IF('Customer Inputs'!$F15="","",'Customer Inputs'!$P15)</f>
        <v/>
      </c>
      <c r="K24" s="140" t="str">
        <f>'Customer Inputs'!Y15</f>
        <v/>
      </c>
      <c r="L24" s="465">
        <f>IFERROR(IFERROR(IFERROR(VLOOKUP($J$5&amp;$I24,'5zip'!$A:$F,6,FALSE),VLOOKUP($J$5&amp;$H24,'4zip'!$A:$F,6,FALSE)),VLOOKUP($J$5&amp;$G24,'3zip'!$A:$F,6,FALSE)),0)</f>
        <v>0</v>
      </c>
      <c r="M24" s="465" t="str">
        <f>IFERROR(IFERROR(IFERROR(VLOOKUP($J$5&amp;$I24,'5zip'!$A:$F,6,FALSE),VLOOKUP($J$5&amp;$H24,'4zip'!$A:$F,6,FALSE)),VLOOKUP($J$5&amp;$G24,'3zip'!$A:$F,6,FALSE)),"Zip Code Not Serviced")</f>
        <v>Zip Code Not Serviced</v>
      </c>
      <c r="N24" s="466">
        <f t="shared" si="4"/>
        <v>0</v>
      </c>
      <c r="O24" s="467">
        <f>IFERROR((VLOOKUP($J$4&amp;$C24&amp;$J$6&amp;$J$7,'Variable Selling'!$B:$O,11,FALSE))*F24,0)</f>
        <v>0</v>
      </c>
      <c r="P24" s="467">
        <f>IFERROR(VLOOKUP($J$4,'Variable Div Avgs'!$D:$I,6,FALSE)*'Variable Costs (Back)'!$F24,0)</f>
        <v>0</v>
      </c>
      <c r="Q24" s="467">
        <f>IFERROR((VLOOKUP($J$4&amp;$C24&amp;$J$6&amp;$J$7,'Variable Selling'!$B:$Q,16,FALSE))*F24,0)</f>
        <v>0</v>
      </c>
      <c r="R24" s="467">
        <f t="shared" si="0"/>
        <v>0</v>
      </c>
      <c r="S24" s="467">
        <f t="shared" si="1"/>
        <v>0</v>
      </c>
      <c r="T24" s="467">
        <f t="shared" si="5"/>
        <v>0</v>
      </c>
      <c r="U24" s="467">
        <f t="shared" si="6"/>
        <v>0</v>
      </c>
      <c r="V24" s="467">
        <f>IFERROR(VLOOKUP($AG24,'Existing Customer Variable Exp'!$B:$E,2,FALSE),0)</f>
        <v>0</v>
      </c>
      <c r="W24" s="467">
        <f>IFERROR(VLOOKUP($AG24,'Existing Customer Variable Exp'!$B:$E,3,FALSE),0)</f>
        <v>0</v>
      </c>
      <c r="X24" s="467">
        <f>IFERROR(VLOOKUP($AG24,'Existing Customer Variable Exp'!$B:$E,4,FALSE),0)</f>
        <v>0</v>
      </c>
      <c r="Y24" s="467">
        <f>IFERROR(VLOOKUP($AG24,'Existing Customer Variable Exp'!$B:$M,12,FALSE),0)</f>
        <v>0</v>
      </c>
      <c r="Z24" s="466">
        <f t="shared" si="7"/>
        <v>0</v>
      </c>
      <c r="AA24" s="467">
        <f t="shared" si="8"/>
        <v>0</v>
      </c>
      <c r="AB24" s="467">
        <f t="shared" si="9"/>
        <v>0</v>
      </c>
      <c r="AC24" s="467">
        <f t="shared" si="10"/>
        <v>0</v>
      </c>
      <c r="AD24" s="467" t="str">
        <f>IF('Customer Inputs'!L15&lt;&gt;'Customer Inputs'!Y15,"Modelled",IF(D24=F24,"BASE","Modelled"))</f>
        <v>BASE</v>
      </c>
      <c r="AE24" s="467" t="str">
        <f>IF(AND(SUMIF('Existing Customers'!$A:$A,'Variable Costs (Back)'!$AG24,'Existing Customers'!$Q:$Q)&gt;0,'Customer Inputs'!$U15&lt;&gt;"Prospect"),IF('Customer Inputs'!$V15&lt;&gt;"Yes","Existing","New"),"New")</f>
        <v>New</v>
      </c>
      <c r="AF24" s="484" t="s">
        <v>789</v>
      </c>
      <c r="AG24" s="468" t="str">
        <f>IF('Customer Inputs'!$F15="","",'Customer Inputs'!$G15)</f>
        <v/>
      </c>
      <c r="AH24" s="949" t="e">
        <f t="shared" si="11"/>
        <v>#N/A</v>
      </c>
      <c r="AI24" s="949" t="e">
        <f t="shared" si="12"/>
        <v>#N/A</v>
      </c>
      <c r="AJ24" s="949" t="e">
        <f t="shared" si="13"/>
        <v>#N/A</v>
      </c>
      <c r="AK24" s="949">
        <f t="shared" si="14"/>
        <v>0</v>
      </c>
      <c r="AL24" s="565" t="e">
        <f t="shared" si="15"/>
        <v>#N/A</v>
      </c>
      <c r="AM24" s="140" t="s">
        <v>258</v>
      </c>
      <c r="AN24" s="140" t="s">
        <v>113</v>
      </c>
      <c r="AO24" s="140" t="s">
        <v>258</v>
      </c>
      <c r="AP24" s="140" t="s">
        <v>113</v>
      </c>
      <c r="BF24" s="946"/>
      <c r="BG24" s="499"/>
      <c r="BH24" s="948"/>
      <c r="BI24" s="499"/>
    </row>
    <row r="25" spans="1:61" ht="15" x14ac:dyDescent="0.25">
      <c r="A25" s="140" t="str">
        <f>IF('Customer Inputs'!$S16="","",IF('Variable Costs (Back)'!$M25="Zip Code Not Serviced","Zip Code Not Serviced",""))</f>
        <v/>
      </c>
      <c r="B25" s="140" t="str">
        <f>'Customer Inputs'!Z16</f>
        <v/>
      </c>
      <c r="C25" s="140" t="str">
        <f>IF('Customer Inputs'!H16="","",'Customer Inputs'!H16)</f>
        <v/>
      </c>
      <c r="D25" s="1728">
        <f>ROUND('Multi-Customer'!$KG$51,0)</f>
        <v>0</v>
      </c>
      <c r="E25" s="1728">
        <f>ROUND('Multi-Customer'!$KG$52,0)</f>
        <v>0</v>
      </c>
      <c r="F25" s="1728">
        <f>ROUND('Multi-Customer'!$KH$35,0)</f>
        <v>0</v>
      </c>
      <c r="G25" s="464" t="str">
        <f t="shared" si="2"/>
        <v/>
      </c>
      <c r="H25" s="464" t="str">
        <f t="shared" si="3"/>
        <v/>
      </c>
      <c r="I25" s="464" t="str">
        <f>IF('Customer Inputs'!AA16="","",'Customer Inputs'!AA16)</f>
        <v/>
      </c>
      <c r="J25" s="482" t="str">
        <f>IF('Customer Inputs'!$F16="","",'Customer Inputs'!$P16)</f>
        <v/>
      </c>
      <c r="K25" s="140" t="str">
        <f>'Customer Inputs'!Y16</f>
        <v/>
      </c>
      <c r="L25" s="465">
        <f>IFERROR(IFERROR(IFERROR(VLOOKUP($J$5&amp;$I25,'5zip'!$A:$F,6,FALSE),VLOOKUP($J$5&amp;$H25,'4zip'!$A:$F,6,FALSE)),VLOOKUP($J$5&amp;$G25,'3zip'!$A:$F,6,FALSE)),0)</f>
        <v>0</v>
      </c>
      <c r="M25" s="465" t="str">
        <f>IFERROR(IFERROR(IFERROR(VLOOKUP($J$5&amp;$I25,'5zip'!$A:$F,6,FALSE),VLOOKUP($J$5&amp;$H25,'4zip'!$A:$F,6,FALSE)),VLOOKUP($J$5&amp;$G25,'3zip'!$A:$F,6,FALSE)),"Zip Code Not Serviced")</f>
        <v>Zip Code Not Serviced</v>
      </c>
      <c r="N25" s="466">
        <f t="shared" ref="N25:N34" si="16">IFERROR(52*K25*L25,0)</f>
        <v>0</v>
      </c>
      <c r="O25" s="467">
        <f>IFERROR((VLOOKUP($J$4&amp;$C25&amp;$J$6&amp;$J$7,'Variable Selling'!$B:$O,11,FALSE))*F25,0)</f>
        <v>0</v>
      </c>
      <c r="P25" s="467">
        <f>IFERROR(VLOOKUP($J$4,'Variable Div Avgs'!$D:$I,6,FALSE)*'Variable Costs (Back)'!$F25,0)</f>
        <v>0</v>
      </c>
      <c r="Q25" s="467">
        <f>IFERROR((VLOOKUP($J$4&amp;$C25&amp;$J$6&amp;$J$7,'Variable Selling'!$B:$Q,16,FALSE))*F25,0)</f>
        <v>0</v>
      </c>
      <c r="R25" s="467">
        <f t="shared" ref="R25:R34" si="17">IFERROR(V25/E25,0)</f>
        <v>0</v>
      </c>
      <c r="S25" s="467">
        <f t="shared" ref="S25:S34" si="18">IFERROR(W25/D25,0)</f>
        <v>0</v>
      </c>
      <c r="T25" s="467">
        <f t="shared" ref="T25:T34" si="19">IFERROR(X25/D25,0)</f>
        <v>0</v>
      </c>
      <c r="U25" s="467">
        <f t="shared" ref="U25:U34" si="20">IFERROR(Y25/D25,0)</f>
        <v>0</v>
      </c>
      <c r="V25" s="467">
        <f>IFERROR(VLOOKUP($AG25,'Existing Customer Variable Exp'!$B:$E,2,FALSE),0)</f>
        <v>0</v>
      </c>
      <c r="W25" s="467">
        <f>IFERROR(VLOOKUP($AG25,'Existing Customer Variable Exp'!$B:$E,3,FALSE),0)</f>
        <v>0</v>
      </c>
      <c r="X25" s="467">
        <f>IFERROR(VLOOKUP($AG25,'Existing Customer Variable Exp'!$B:$E,4,FALSE),0)</f>
        <v>0</v>
      </c>
      <c r="Y25" s="467">
        <f>IFERROR(VLOOKUP($AG25,'Existing Customer Variable Exp'!$B:$M,12,FALSE),0)</f>
        <v>0</v>
      </c>
      <c r="Z25" s="466">
        <f t="shared" ref="Z25:Z34" si="21">IFERROR(R25*K25*52,0)</f>
        <v>0</v>
      </c>
      <c r="AA25" s="467">
        <f t="shared" ref="AA25:AA34" si="22">S25*F25</f>
        <v>0</v>
      </c>
      <c r="AB25" s="467">
        <f t="shared" ref="AB25:AB34" si="23">T25*F25</f>
        <v>0</v>
      </c>
      <c r="AC25" s="467">
        <f t="shared" ref="AC25:AC34" si="24">U25*F25</f>
        <v>0</v>
      </c>
      <c r="AD25" s="467" t="str">
        <f>IF('Customer Inputs'!L16&lt;&gt;'Customer Inputs'!Y16,"Modelled",IF(D25=F25,"BASE","Modelled"))</f>
        <v>BASE</v>
      </c>
      <c r="AE25" s="467" t="str">
        <f>IF(AND(SUMIF('Existing Customers'!$A:$A,'Variable Costs (Back)'!$AG25,'Existing Customers'!$Q:$Q)&gt;0,'Customer Inputs'!$U16&lt;&gt;"Prospect"),IF('Customer Inputs'!$V16&lt;&gt;"Yes","Existing","New"),"New")</f>
        <v>New</v>
      </c>
      <c r="AF25" s="484" t="s">
        <v>2211</v>
      </c>
      <c r="AG25" s="1714" t="str">
        <f>IF('Customer Inputs'!$F16="","",'Customer Inputs'!$G16)</f>
        <v/>
      </c>
      <c r="AH25" s="1715" t="e">
        <f t="shared" si="11"/>
        <v>#N/A</v>
      </c>
      <c r="AI25" s="1715" t="e">
        <f t="shared" si="12"/>
        <v>#N/A</v>
      </c>
      <c r="AJ25" s="1715" t="e">
        <f t="shared" si="13"/>
        <v>#N/A</v>
      </c>
      <c r="AK25" s="1715">
        <f t="shared" si="14"/>
        <v>0</v>
      </c>
      <c r="AL25" s="487" t="e">
        <f t="shared" ref="AL25:AL34" si="25">SUM(AH25:AK25)</f>
        <v>#N/A</v>
      </c>
      <c r="AM25" s="140" t="s">
        <v>260</v>
      </c>
      <c r="AN25" s="140" t="s">
        <v>111</v>
      </c>
      <c r="AO25" s="140" t="s">
        <v>260</v>
      </c>
      <c r="AP25" s="140" t="s">
        <v>111</v>
      </c>
      <c r="BF25" s="946"/>
      <c r="BG25" s="499"/>
      <c r="BH25" s="948"/>
      <c r="BI25" s="499"/>
    </row>
    <row r="26" spans="1:61" ht="15" x14ac:dyDescent="0.25">
      <c r="A26" s="140" t="str">
        <f>IF('Customer Inputs'!$S17="","",IF('Variable Costs (Back)'!$M26="Zip Code Not Serviced","Zip Code Not Serviced",""))</f>
        <v/>
      </c>
      <c r="B26" s="140" t="str">
        <f>'Customer Inputs'!Z17</f>
        <v/>
      </c>
      <c r="C26" s="140" t="str">
        <f>IF('Customer Inputs'!H17="","",'Customer Inputs'!H17)</f>
        <v/>
      </c>
      <c r="D26" s="1728">
        <f>ROUND('Multi-Customer'!$LD$51,0)</f>
        <v>0</v>
      </c>
      <c r="E26" s="1728">
        <f>ROUND('Multi-Customer'!$LD$52,0)</f>
        <v>0</v>
      </c>
      <c r="F26" s="1728">
        <f>ROUND('Multi-Customer'!$LE$35,0)</f>
        <v>0</v>
      </c>
      <c r="G26" s="464" t="str">
        <f t="shared" si="2"/>
        <v/>
      </c>
      <c r="H26" s="464" t="str">
        <f t="shared" si="3"/>
        <v/>
      </c>
      <c r="I26" s="464" t="str">
        <f>IF('Customer Inputs'!AA17="","",'Customer Inputs'!AA17)</f>
        <v/>
      </c>
      <c r="J26" s="482" t="str">
        <f>IF('Customer Inputs'!$F17="","",'Customer Inputs'!$P17)</f>
        <v/>
      </c>
      <c r="K26" s="140" t="str">
        <f>'Customer Inputs'!Y17</f>
        <v/>
      </c>
      <c r="L26" s="465">
        <f>IFERROR(IFERROR(IFERROR(VLOOKUP($J$5&amp;$I26,'5zip'!$A:$F,6,FALSE),VLOOKUP($J$5&amp;$H26,'4zip'!$A:$F,6,FALSE)),VLOOKUP($J$5&amp;$G26,'3zip'!$A:$F,6,FALSE)),0)</f>
        <v>0</v>
      </c>
      <c r="M26" s="465" t="str">
        <f>IFERROR(IFERROR(IFERROR(VLOOKUP($J$5&amp;$I26,'5zip'!$A:$F,6,FALSE),VLOOKUP($J$5&amp;$H26,'4zip'!$A:$F,6,FALSE)),VLOOKUP($J$5&amp;$G26,'3zip'!$A:$F,6,FALSE)),"Zip Code Not Serviced")</f>
        <v>Zip Code Not Serviced</v>
      </c>
      <c r="N26" s="466">
        <f t="shared" si="16"/>
        <v>0</v>
      </c>
      <c r="O26" s="467">
        <f>IFERROR((VLOOKUP($J$4&amp;$C26&amp;$J$6&amp;$J$7,'Variable Selling'!$B:$O,11,FALSE))*F26,0)</f>
        <v>0</v>
      </c>
      <c r="P26" s="467">
        <f>IFERROR(VLOOKUP($J$4,'Variable Div Avgs'!$D:$I,6,FALSE)*'Variable Costs (Back)'!$F26,0)</f>
        <v>0</v>
      </c>
      <c r="Q26" s="467">
        <f>IFERROR((VLOOKUP($J$4&amp;$C26&amp;$J$6&amp;$J$7,'Variable Selling'!$B:$Q,16,FALSE))*F26,0)</f>
        <v>0</v>
      </c>
      <c r="R26" s="467">
        <f t="shared" si="17"/>
        <v>0</v>
      </c>
      <c r="S26" s="467">
        <f t="shared" si="18"/>
        <v>0</v>
      </c>
      <c r="T26" s="467">
        <f t="shared" si="19"/>
        <v>0</v>
      </c>
      <c r="U26" s="467">
        <f t="shared" si="20"/>
        <v>0</v>
      </c>
      <c r="V26" s="467">
        <f>IFERROR(VLOOKUP($AG26,'Existing Customer Variable Exp'!$B:$E,2,FALSE),0)</f>
        <v>0</v>
      </c>
      <c r="W26" s="467">
        <f>IFERROR(VLOOKUP($AG26,'Existing Customer Variable Exp'!$B:$E,3,FALSE),0)</f>
        <v>0</v>
      </c>
      <c r="X26" s="467">
        <f>IFERROR(VLOOKUP($AG26,'Existing Customer Variable Exp'!$B:$E,4,FALSE),0)</f>
        <v>0</v>
      </c>
      <c r="Y26" s="467">
        <f>IFERROR(VLOOKUP($AG26,'Existing Customer Variable Exp'!$B:$M,12,FALSE),0)</f>
        <v>0</v>
      </c>
      <c r="Z26" s="466">
        <f t="shared" si="21"/>
        <v>0</v>
      </c>
      <c r="AA26" s="467">
        <f t="shared" si="22"/>
        <v>0</v>
      </c>
      <c r="AB26" s="467">
        <f t="shared" si="23"/>
        <v>0</v>
      </c>
      <c r="AC26" s="467">
        <f t="shared" si="24"/>
        <v>0</v>
      </c>
      <c r="AD26" s="467" t="str">
        <f>IF('Customer Inputs'!L17&lt;&gt;'Customer Inputs'!Y17,"Modelled",IF(D26=F26,"BASE","Modelled"))</f>
        <v>BASE</v>
      </c>
      <c r="AE26" s="467" t="str">
        <f>IF(AND(SUMIF('Existing Customers'!$A:$A,'Variable Costs (Back)'!$AG26,'Existing Customers'!$Q:$Q)&gt;0,'Customer Inputs'!$U17&lt;&gt;"Prospect"),IF('Customer Inputs'!$V17&lt;&gt;"Yes","Existing","New"),"New")</f>
        <v>New</v>
      </c>
      <c r="AF26" s="484" t="s">
        <v>2212</v>
      </c>
      <c r="AG26" s="1714" t="str">
        <f>IF('Customer Inputs'!$F17="","",'Customer Inputs'!$G17)</f>
        <v/>
      </c>
      <c r="AH26" s="1715" t="e">
        <f t="shared" si="11"/>
        <v>#N/A</v>
      </c>
      <c r="AI26" s="1715" t="e">
        <f t="shared" si="12"/>
        <v>#N/A</v>
      </c>
      <c r="AJ26" s="1715" t="e">
        <f t="shared" si="13"/>
        <v>#N/A</v>
      </c>
      <c r="AK26" s="1715">
        <f t="shared" si="14"/>
        <v>0</v>
      </c>
      <c r="AL26" s="487" t="e">
        <f t="shared" si="25"/>
        <v>#N/A</v>
      </c>
      <c r="AM26" s="140" t="s">
        <v>261</v>
      </c>
      <c r="AN26" s="140" t="s">
        <v>118</v>
      </c>
      <c r="AO26" s="140" t="s">
        <v>261</v>
      </c>
      <c r="AP26" s="140" t="s">
        <v>118</v>
      </c>
      <c r="BF26" s="946"/>
      <c r="BG26" s="499"/>
      <c r="BH26" s="948"/>
      <c r="BI26" s="499"/>
    </row>
    <row r="27" spans="1:61" ht="15" x14ac:dyDescent="0.25">
      <c r="A27" s="140" t="str">
        <f>IF('Customer Inputs'!$S18="","",IF('Variable Costs (Back)'!$M27="Zip Code Not Serviced","Zip Code Not Serviced",""))</f>
        <v/>
      </c>
      <c r="B27" s="140" t="str">
        <f>'Customer Inputs'!Z18</f>
        <v/>
      </c>
      <c r="C27" s="140" t="str">
        <f>IF('Customer Inputs'!H18="","",'Customer Inputs'!H18)</f>
        <v/>
      </c>
      <c r="D27" s="1728">
        <f>ROUND('Multi-Customer'!$MA$51,0)</f>
        <v>0</v>
      </c>
      <c r="E27" s="1728">
        <f>ROUND('Multi-Customer'!$MA$52,0)</f>
        <v>0</v>
      </c>
      <c r="F27" s="1728">
        <f>ROUND('Multi-Customer'!$MB$35,0)</f>
        <v>0</v>
      </c>
      <c r="G27" s="464" t="str">
        <f t="shared" si="2"/>
        <v/>
      </c>
      <c r="H27" s="464" t="str">
        <f t="shared" si="3"/>
        <v/>
      </c>
      <c r="I27" s="464" t="str">
        <f>IF('Customer Inputs'!AA18="","",'Customer Inputs'!AA18)</f>
        <v/>
      </c>
      <c r="J27" s="482" t="str">
        <f>IF('Customer Inputs'!$F18="","",'Customer Inputs'!$P18)</f>
        <v/>
      </c>
      <c r="K27" s="140" t="str">
        <f>'Customer Inputs'!Y18</f>
        <v/>
      </c>
      <c r="L27" s="465">
        <f>IFERROR(IFERROR(IFERROR(VLOOKUP($J$5&amp;$I27,'5zip'!$A:$F,6,FALSE),VLOOKUP($J$5&amp;$H27,'4zip'!$A:$F,6,FALSE)),VLOOKUP($J$5&amp;$G27,'3zip'!$A:$F,6,FALSE)),0)</f>
        <v>0</v>
      </c>
      <c r="M27" s="465" t="str">
        <f>IFERROR(IFERROR(IFERROR(VLOOKUP($J$5&amp;$I27,'5zip'!$A:$F,6,FALSE),VLOOKUP($J$5&amp;$H27,'4zip'!$A:$F,6,FALSE)),VLOOKUP($J$5&amp;$G27,'3zip'!$A:$F,6,FALSE)),"Zip Code Not Serviced")</f>
        <v>Zip Code Not Serviced</v>
      </c>
      <c r="N27" s="466">
        <f t="shared" si="16"/>
        <v>0</v>
      </c>
      <c r="O27" s="467">
        <f>IFERROR((VLOOKUP($J$4&amp;$C27&amp;$J$6&amp;$J$7,'Variable Selling'!$B:$O,11,FALSE))*F27,0)</f>
        <v>0</v>
      </c>
      <c r="P27" s="467">
        <f>IFERROR(VLOOKUP($J$4,'Variable Div Avgs'!$D:$I,6,FALSE)*'Variable Costs (Back)'!$F27,0)</f>
        <v>0</v>
      </c>
      <c r="Q27" s="467">
        <f>IFERROR((VLOOKUP($J$4&amp;$C27&amp;$J$6&amp;$J$7,'Variable Selling'!$B:$Q,16,FALSE))*F27,0)</f>
        <v>0</v>
      </c>
      <c r="R27" s="467">
        <f t="shared" si="17"/>
        <v>0</v>
      </c>
      <c r="S27" s="467">
        <f t="shared" si="18"/>
        <v>0</v>
      </c>
      <c r="T27" s="467">
        <f t="shared" si="19"/>
        <v>0</v>
      </c>
      <c r="U27" s="467">
        <f t="shared" si="20"/>
        <v>0</v>
      </c>
      <c r="V27" s="467">
        <f>IFERROR(VLOOKUP($AG27,'Existing Customer Variable Exp'!$B:$E,2,FALSE),0)</f>
        <v>0</v>
      </c>
      <c r="W27" s="467">
        <f>IFERROR(VLOOKUP($AG27,'Existing Customer Variable Exp'!$B:$E,3,FALSE),0)</f>
        <v>0</v>
      </c>
      <c r="X27" s="467">
        <f>IFERROR(VLOOKUP($AG27,'Existing Customer Variable Exp'!$B:$E,4,FALSE),0)</f>
        <v>0</v>
      </c>
      <c r="Y27" s="467">
        <f>IFERROR(VLOOKUP($AG27,'Existing Customer Variable Exp'!$B:$M,12,FALSE),0)</f>
        <v>0</v>
      </c>
      <c r="Z27" s="466">
        <f t="shared" si="21"/>
        <v>0</v>
      </c>
      <c r="AA27" s="467">
        <f t="shared" si="22"/>
        <v>0</v>
      </c>
      <c r="AB27" s="467">
        <f t="shared" si="23"/>
        <v>0</v>
      </c>
      <c r="AC27" s="467">
        <f t="shared" si="24"/>
        <v>0</v>
      </c>
      <c r="AD27" s="467" t="str">
        <f>IF('Customer Inputs'!L18&lt;&gt;'Customer Inputs'!Y18,"Modelled",IF(D27=F27,"BASE","Modelled"))</f>
        <v>BASE</v>
      </c>
      <c r="AE27" s="467" t="str">
        <f>IF(AND(SUMIF('Existing Customers'!$A:$A,'Variable Costs (Back)'!$AG27,'Existing Customers'!$Q:$Q)&gt;0,'Customer Inputs'!$U18&lt;&gt;"Prospect"),IF('Customer Inputs'!$V18&lt;&gt;"Yes","Existing","New"),"New")</f>
        <v>New</v>
      </c>
      <c r="AF27" s="484" t="s">
        <v>2213</v>
      </c>
      <c r="AG27" s="1714" t="str">
        <f>IF('Customer Inputs'!$F18="","",'Customer Inputs'!$G18)</f>
        <v/>
      </c>
      <c r="AH27" s="1715" t="e">
        <f t="shared" si="11"/>
        <v>#N/A</v>
      </c>
      <c r="AI27" s="1715" t="e">
        <f t="shared" si="12"/>
        <v>#N/A</v>
      </c>
      <c r="AJ27" s="1715" t="e">
        <f t="shared" si="13"/>
        <v>#N/A</v>
      </c>
      <c r="AK27" s="1715">
        <f t="shared" si="14"/>
        <v>0</v>
      </c>
      <c r="AL27" s="487" t="e">
        <f t="shared" si="25"/>
        <v>#N/A</v>
      </c>
      <c r="AM27" s="140" t="s">
        <v>262</v>
      </c>
      <c r="AN27" s="140" t="s">
        <v>115</v>
      </c>
      <c r="AO27" s="140" t="s">
        <v>262</v>
      </c>
      <c r="AP27" s="140" t="s">
        <v>115</v>
      </c>
      <c r="BF27" s="946"/>
      <c r="BG27" s="499"/>
      <c r="BH27" s="948"/>
      <c r="BI27" s="499"/>
    </row>
    <row r="28" spans="1:61" ht="15" x14ac:dyDescent="0.25">
      <c r="A28" s="140" t="str">
        <f>IF('Customer Inputs'!$S19="","",IF('Variable Costs (Back)'!$M28="Zip Code Not Serviced","Zip Code Not Serviced",""))</f>
        <v/>
      </c>
      <c r="B28" s="140" t="str">
        <f>'Customer Inputs'!Z19</f>
        <v/>
      </c>
      <c r="C28" s="140" t="str">
        <f>IF('Customer Inputs'!H19="","",'Customer Inputs'!H19)</f>
        <v/>
      </c>
      <c r="D28" s="1728">
        <f>ROUND('Multi-Customer'!$MX$51,0)</f>
        <v>0</v>
      </c>
      <c r="E28" s="1728">
        <f>ROUND('Multi-Customer'!$MX$52,0)</f>
        <v>0</v>
      </c>
      <c r="F28" s="1728">
        <f>ROUND('Multi-Customer'!$MY$35,0)</f>
        <v>0</v>
      </c>
      <c r="G28" s="464" t="str">
        <f t="shared" si="2"/>
        <v/>
      </c>
      <c r="H28" s="464" t="str">
        <f t="shared" si="3"/>
        <v/>
      </c>
      <c r="I28" s="464" t="str">
        <f>IF('Customer Inputs'!AA19="","",'Customer Inputs'!AA19)</f>
        <v/>
      </c>
      <c r="J28" s="482" t="str">
        <f>IF('Customer Inputs'!$F19="","",'Customer Inputs'!$P19)</f>
        <v/>
      </c>
      <c r="K28" s="140" t="str">
        <f>'Customer Inputs'!Y19</f>
        <v/>
      </c>
      <c r="L28" s="465">
        <f>IFERROR(IFERROR(IFERROR(VLOOKUP($J$5&amp;$I28,'5zip'!$A:$F,6,FALSE),VLOOKUP($J$5&amp;$H28,'4zip'!$A:$F,6,FALSE)),VLOOKUP($J$5&amp;$G28,'3zip'!$A:$F,6,FALSE)),0)</f>
        <v>0</v>
      </c>
      <c r="M28" s="465" t="str">
        <f>IFERROR(IFERROR(IFERROR(VLOOKUP($J$5&amp;$I28,'5zip'!$A:$F,6,FALSE),VLOOKUP($J$5&amp;$H28,'4zip'!$A:$F,6,FALSE)),VLOOKUP($J$5&amp;$G28,'3zip'!$A:$F,6,FALSE)),"Zip Code Not Serviced")</f>
        <v>Zip Code Not Serviced</v>
      </c>
      <c r="N28" s="466">
        <f t="shared" si="16"/>
        <v>0</v>
      </c>
      <c r="O28" s="467">
        <f>IFERROR((VLOOKUP($J$4&amp;$C28&amp;$J$6&amp;$J$7,'Variable Selling'!$B:$O,11,FALSE))*F28,0)</f>
        <v>0</v>
      </c>
      <c r="P28" s="467">
        <f>IFERROR(VLOOKUP($J$4,'Variable Div Avgs'!$D:$I,6,FALSE)*'Variable Costs (Back)'!$F28,0)</f>
        <v>0</v>
      </c>
      <c r="Q28" s="467">
        <f>IFERROR((VLOOKUP($J$4&amp;$C28&amp;$J$6&amp;$J$7,'Variable Selling'!$B:$Q,16,FALSE))*F28,0)</f>
        <v>0</v>
      </c>
      <c r="R28" s="467">
        <f t="shared" si="17"/>
        <v>0</v>
      </c>
      <c r="S28" s="467">
        <f t="shared" si="18"/>
        <v>0</v>
      </c>
      <c r="T28" s="467">
        <f t="shared" si="19"/>
        <v>0</v>
      </c>
      <c r="U28" s="467">
        <f t="shared" si="20"/>
        <v>0</v>
      </c>
      <c r="V28" s="467">
        <f>IFERROR(VLOOKUP($AG28,'Existing Customer Variable Exp'!$B:$E,2,FALSE),0)</f>
        <v>0</v>
      </c>
      <c r="W28" s="467">
        <f>IFERROR(VLOOKUP($AG28,'Existing Customer Variable Exp'!$B:$E,3,FALSE),0)</f>
        <v>0</v>
      </c>
      <c r="X28" s="467">
        <f>IFERROR(VLOOKUP($AG28,'Existing Customer Variable Exp'!$B:$E,4,FALSE),0)</f>
        <v>0</v>
      </c>
      <c r="Y28" s="467">
        <f>IFERROR(VLOOKUP($AG28,'Existing Customer Variable Exp'!$B:$M,12,FALSE),0)</f>
        <v>0</v>
      </c>
      <c r="Z28" s="466">
        <f t="shared" si="21"/>
        <v>0</v>
      </c>
      <c r="AA28" s="467">
        <f t="shared" si="22"/>
        <v>0</v>
      </c>
      <c r="AB28" s="467">
        <f t="shared" si="23"/>
        <v>0</v>
      </c>
      <c r="AC28" s="467">
        <f t="shared" si="24"/>
        <v>0</v>
      </c>
      <c r="AD28" s="467" t="str">
        <f>IF('Customer Inputs'!L19&lt;&gt;'Customer Inputs'!Y19,"Modelled",IF(D28=F28,"BASE","Modelled"))</f>
        <v>BASE</v>
      </c>
      <c r="AE28" s="467" t="str">
        <f>IF(AND(SUMIF('Existing Customers'!$A:$A,'Variable Costs (Back)'!$AG28,'Existing Customers'!$Q:$Q)&gt;0,'Customer Inputs'!$U19&lt;&gt;"Prospect"),IF('Customer Inputs'!$V19&lt;&gt;"Yes","Existing","New"),"New")</f>
        <v>New</v>
      </c>
      <c r="AF28" s="484" t="s">
        <v>2214</v>
      </c>
      <c r="AG28" s="1714" t="str">
        <f>IF('Customer Inputs'!$F19="","",'Customer Inputs'!$G19)</f>
        <v/>
      </c>
      <c r="AH28" s="1715" t="e">
        <f t="shared" si="11"/>
        <v>#N/A</v>
      </c>
      <c r="AI28" s="1715" t="e">
        <f t="shared" si="12"/>
        <v>#N/A</v>
      </c>
      <c r="AJ28" s="1715" t="e">
        <f t="shared" si="13"/>
        <v>#N/A</v>
      </c>
      <c r="AK28" s="1715">
        <f t="shared" si="14"/>
        <v>0</v>
      </c>
      <c r="AL28" s="487" t="e">
        <f t="shared" si="25"/>
        <v>#N/A</v>
      </c>
      <c r="AM28" s="140" t="s">
        <v>263</v>
      </c>
      <c r="AN28" s="140" t="s">
        <v>117</v>
      </c>
      <c r="AO28" s="140" t="s">
        <v>263</v>
      </c>
      <c r="AP28" s="140" t="s">
        <v>117</v>
      </c>
      <c r="BF28" s="946"/>
      <c r="BG28" s="499"/>
      <c r="BH28" s="948"/>
      <c r="BI28" s="499"/>
    </row>
    <row r="29" spans="1:61" ht="15" x14ac:dyDescent="0.25">
      <c r="A29" s="140" t="str">
        <f>IF('Customer Inputs'!$S20="","",IF('Variable Costs (Back)'!$M29="Zip Code Not Serviced","Zip Code Not Serviced",""))</f>
        <v/>
      </c>
      <c r="B29" s="140" t="str">
        <f>'Customer Inputs'!Z20</f>
        <v/>
      </c>
      <c r="C29" s="140" t="str">
        <f>IF('Customer Inputs'!H20="","",'Customer Inputs'!H20)</f>
        <v/>
      </c>
      <c r="D29" s="1728">
        <f>ROUND('Multi-Customer'!$NU$51,0)</f>
        <v>0</v>
      </c>
      <c r="E29" s="1728">
        <f>ROUND('Multi-Customer'!$NU$52,0)</f>
        <v>0</v>
      </c>
      <c r="F29" s="1728">
        <f>ROUND('Multi-Customer'!$NV$35,0)</f>
        <v>0</v>
      </c>
      <c r="G29" s="464" t="str">
        <f t="shared" si="2"/>
        <v/>
      </c>
      <c r="H29" s="464" t="str">
        <f t="shared" si="3"/>
        <v/>
      </c>
      <c r="I29" s="464" t="str">
        <f>IF('Customer Inputs'!AA20="","",'Customer Inputs'!AA20)</f>
        <v/>
      </c>
      <c r="J29" s="482" t="str">
        <f>IF('Customer Inputs'!$F20="","",'Customer Inputs'!$P20)</f>
        <v/>
      </c>
      <c r="K29" s="140" t="str">
        <f>'Customer Inputs'!Y20</f>
        <v/>
      </c>
      <c r="L29" s="465">
        <f>IFERROR(IFERROR(IFERROR(VLOOKUP($J$5&amp;$I29,'5zip'!$A:$F,6,FALSE),VLOOKUP($J$5&amp;$H29,'4zip'!$A:$F,6,FALSE)),VLOOKUP($J$5&amp;$G29,'3zip'!$A:$F,6,FALSE)),0)</f>
        <v>0</v>
      </c>
      <c r="M29" s="465" t="str">
        <f>IFERROR(IFERROR(IFERROR(VLOOKUP($J$5&amp;$I29,'5zip'!$A:$F,6,FALSE),VLOOKUP($J$5&amp;$H29,'4zip'!$A:$F,6,FALSE)),VLOOKUP($J$5&amp;$G29,'3zip'!$A:$F,6,FALSE)),"Zip Code Not Serviced")</f>
        <v>Zip Code Not Serviced</v>
      </c>
      <c r="N29" s="466">
        <f t="shared" si="16"/>
        <v>0</v>
      </c>
      <c r="O29" s="467">
        <f>IFERROR((VLOOKUP($J$4&amp;$C29&amp;$J$6&amp;$J$7,'Variable Selling'!$B:$O,11,FALSE))*F29,0)</f>
        <v>0</v>
      </c>
      <c r="P29" s="467">
        <f>IFERROR(VLOOKUP($J$4,'Variable Div Avgs'!$D:$I,6,FALSE)*'Variable Costs (Back)'!$F29,0)</f>
        <v>0</v>
      </c>
      <c r="Q29" s="467">
        <f>IFERROR((VLOOKUP($J$4&amp;$C29&amp;$J$6&amp;$J$7,'Variable Selling'!$B:$Q,16,FALSE))*F29,0)</f>
        <v>0</v>
      </c>
      <c r="R29" s="467">
        <f t="shared" si="17"/>
        <v>0</v>
      </c>
      <c r="S29" s="467">
        <f t="shared" si="18"/>
        <v>0</v>
      </c>
      <c r="T29" s="467">
        <f t="shared" si="19"/>
        <v>0</v>
      </c>
      <c r="U29" s="467">
        <f t="shared" si="20"/>
        <v>0</v>
      </c>
      <c r="V29" s="467">
        <f>IFERROR(VLOOKUP($AG29,'Existing Customer Variable Exp'!$B:$E,2,FALSE),0)</f>
        <v>0</v>
      </c>
      <c r="W29" s="467">
        <f>IFERROR(VLOOKUP($AG29,'Existing Customer Variable Exp'!$B:$E,3,FALSE),0)</f>
        <v>0</v>
      </c>
      <c r="X29" s="467">
        <f>IFERROR(VLOOKUP($AG29,'Existing Customer Variable Exp'!$B:$E,4,FALSE),0)</f>
        <v>0</v>
      </c>
      <c r="Y29" s="467">
        <f>IFERROR(VLOOKUP($AG29,'Existing Customer Variable Exp'!$B:$M,12,FALSE),0)</f>
        <v>0</v>
      </c>
      <c r="Z29" s="466">
        <f t="shared" si="21"/>
        <v>0</v>
      </c>
      <c r="AA29" s="467">
        <f t="shared" si="22"/>
        <v>0</v>
      </c>
      <c r="AB29" s="467">
        <f t="shared" si="23"/>
        <v>0</v>
      </c>
      <c r="AC29" s="467">
        <f t="shared" si="24"/>
        <v>0</v>
      </c>
      <c r="AD29" s="467" t="str">
        <f>IF('Customer Inputs'!L20&lt;&gt;'Customer Inputs'!Y20,"Modelled",IF(D29=F29,"BASE","Modelled"))</f>
        <v>BASE</v>
      </c>
      <c r="AE29" s="467" t="str">
        <f>IF(AND(SUMIF('Existing Customers'!$A:$A,'Variable Costs (Back)'!$AG29,'Existing Customers'!$Q:$Q)&gt;0,'Customer Inputs'!$U20&lt;&gt;"Prospect"),IF('Customer Inputs'!$V20&lt;&gt;"Yes","Existing","New"),"New")</f>
        <v>New</v>
      </c>
      <c r="AF29" s="484" t="s">
        <v>2215</v>
      </c>
      <c r="AG29" s="1714" t="str">
        <f>IF('Customer Inputs'!$F20="","",'Customer Inputs'!$G20)</f>
        <v/>
      </c>
      <c r="AH29" s="1715" t="e">
        <f t="shared" si="11"/>
        <v>#N/A</v>
      </c>
      <c r="AI29" s="1715" t="e">
        <f t="shared" si="12"/>
        <v>#N/A</v>
      </c>
      <c r="AJ29" s="1715" t="e">
        <f t="shared" si="13"/>
        <v>#N/A</v>
      </c>
      <c r="AK29" s="1715">
        <f t="shared" si="14"/>
        <v>0</v>
      </c>
      <c r="AL29" s="487" t="e">
        <f t="shared" si="25"/>
        <v>#N/A</v>
      </c>
      <c r="BF29" s="946"/>
      <c r="BG29" s="499"/>
      <c r="BH29" s="948"/>
      <c r="BI29" s="499"/>
    </row>
    <row r="30" spans="1:61" ht="15" x14ac:dyDescent="0.25">
      <c r="A30" s="140" t="str">
        <f>IF('Customer Inputs'!$S21="","",IF('Variable Costs (Back)'!$M30="Zip Code Not Serviced","Zip Code Not Serviced",""))</f>
        <v/>
      </c>
      <c r="B30" s="140" t="str">
        <f>'Customer Inputs'!Z21</f>
        <v/>
      </c>
      <c r="C30" s="140" t="str">
        <f>IF('Customer Inputs'!H21="","",'Customer Inputs'!H21)</f>
        <v/>
      </c>
      <c r="D30" s="1728">
        <f>ROUND('Multi-Customer'!$OR$51,0)</f>
        <v>0</v>
      </c>
      <c r="E30" s="1728">
        <f>ROUND('Multi-Customer'!$OR$52,0)</f>
        <v>0</v>
      </c>
      <c r="F30" s="1728">
        <f>ROUND('Multi-Customer'!$OS$35,0)</f>
        <v>0</v>
      </c>
      <c r="G30" s="464" t="str">
        <f t="shared" si="2"/>
        <v/>
      </c>
      <c r="H30" s="464" t="str">
        <f t="shared" si="3"/>
        <v/>
      </c>
      <c r="I30" s="464" t="str">
        <f>IF('Customer Inputs'!AA21="","",'Customer Inputs'!AA21)</f>
        <v/>
      </c>
      <c r="J30" s="482" t="str">
        <f>IF('Customer Inputs'!$F21="","",'Customer Inputs'!$P21)</f>
        <v/>
      </c>
      <c r="K30" s="140" t="str">
        <f>'Customer Inputs'!Y21</f>
        <v/>
      </c>
      <c r="L30" s="465">
        <f>IFERROR(IFERROR(IFERROR(VLOOKUP($J$5&amp;$I30,'5zip'!$A:$F,6,FALSE),VLOOKUP($J$5&amp;$H30,'4zip'!$A:$F,6,FALSE)),VLOOKUP($J$5&amp;$G30,'3zip'!$A:$F,6,FALSE)),0)</f>
        <v>0</v>
      </c>
      <c r="M30" s="465" t="str">
        <f>IFERROR(IFERROR(IFERROR(VLOOKUP($J$5&amp;$I30,'5zip'!$A:$F,6,FALSE),VLOOKUP($J$5&amp;$H30,'4zip'!$A:$F,6,FALSE)),VLOOKUP($J$5&amp;$G30,'3zip'!$A:$F,6,FALSE)),"Zip Code Not Serviced")</f>
        <v>Zip Code Not Serviced</v>
      </c>
      <c r="N30" s="466">
        <f t="shared" si="16"/>
        <v>0</v>
      </c>
      <c r="O30" s="467">
        <f>IFERROR((VLOOKUP($J$4&amp;$C30&amp;$J$6&amp;$J$7,'Variable Selling'!$B:$O,11,FALSE))*F30,0)</f>
        <v>0</v>
      </c>
      <c r="P30" s="467">
        <f>IFERROR(VLOOKUP($J$4,'Variable Div Avgs'!$D:$I,6,FALSE)*'Variable Costs (Back)'!$F30,0)</f>
        <v>0</v>
      </c>
      <c r="Q30" s="467">
        <f>IFERROR((VLOOKUP($J$4&amp;$C30&amp;$J$6&amp;$J$7,'Variable Selling'!$B:$Q,16,FALSE))*F30,0)</f>
        <v>0</v>
      </c>
      <c r="R30" s="467">
        <f t="shared" si="17"/>
        <v>0</v>
      </c>
      <c r="S30" s="467">
        <f t="shared" si="18"/>
        <v>0</v>
      </c>
      <c r="T30" s="467">
        <f t="shared" si="19"/>
        <v>0</v>
      </c>
      <c r="U30" s="467">
        <f t="shared" si="20"/>
        <v>0</v>
      </c>
      <c r="V30" s="467">
        <f>IFERROR(VLOOKUP($AG30,'Existing Customer Variable Exp'!$B:$E,2,FALSE),0)</f>
        <v>0</v>
      </c>
      <c r="W30" s="467">
        <f>IFERROR(VLOOKUP($AG30,'Existing Customer Variable Exp'!$B:$E,3,FALSE),0)</f>
        <v>0</v>
      </c>
      <c r="X30" s="467">
        <f>IFERROR(VLOOKUP($AG30,'Existing Customer Variable Exp'!$B:$E,4,FALSE),0)</f>
        <v>0</v>
      </c>
      <c r="Y30" s="467">
        <f>IFERROR(VLOOKUP($AG30,'Existing Customer Variable Exp'!$B:$M,12,FALSE),0)</f>
        <v>0</v>
      </c>
      <c r="Z30" s="466">
        <f t="shared" si="21"/>
        <v>0</v>
      </c>
      <c r="AA30" s="467">
        <f t="shared" si="22"/>
        <v>0</v>
      </c>
      <c r="AB30" s="467">
        <f t="shared" si="23"/>
        <v>0</v>
      </c>
      <c r="AC30" s="467">
        <f t="shared" si="24"/>
        <v>0</v>
      </c>
      <c r="AD30" s="467" t="str">
        <f>IF('Customer Inputs'!L21&lt;&gt;'Customer Inputs'!Y21,"Modelled",IF(D30=F30,"BASE","Modelled"))</f>
        <v>BASE</v>
      </c>
      <c r="AE30" s="467" t="str">
        <f>IF(AND(SUMIF('Existing Customers'!$A:$A,'Variable Costs (Back)'!$AG30,'Existing Customers'!$Q:$Q)&gt;0,'Customer Inputs'!$U21&lt;&gt;"Prospect"),IF('Customer Inputs'!$V21&lt;&gt;"Yes","Existing","New"),"New")</f>
        <v>New</v>
      </c>
      <c r="AF30" s="484" t="s">
        <v>2221</v>
      </c>
      <c r="AG30" s="1714" t="str">
        <f>IF('Customer Inputs'!$F21="","",'Customer Inputs'!$G21)</f>
        <v/>
      </c>
      <c r="AH30" s="1715" t="e">
        <f t="shared" si="11"/>
        <v>#N/A</v>
      </c>
      <c r="AI30" s="1715" t="e">
        <f t="shared" si="12"/>
        <v>#N/A</v>
      </c>
      <c r="AJ30" s="1715" t="e">
        <f t="shared" si="13"/>
        <v>#N/A</v>
      </c>
      <c r="AK30" s="1715">
        <f t="shared" si="14"/>
        <v>0</v>
      </c>
      <c r="AL30" s="487" t="e">
        <f t="shared" si="25"/>
        <v>#N/A</v>
      </c>
      <c r="BF30" s="946"/>
      <c r="BG30" s="499"/>
      <c r="BH30" s="948"/>
      <c r="BI30" s="499"/>
    </row>
    <row r="31" spans="1:61" ht="15" x14ac:dyDescent="0.25">
      <c r="A31" s="140" t="str">
        <f>IF('Customer Inputs'!$S22="","",IF('Variable Costs (Back)'!$M31="Zip Code Not Serviced","Zip Code Not Serviced",""))</f>
        <v/>
      </c>
      <c r="B31" s="140" t="str">
        <f>'Customer Inputs'!Z22</f>
        <v/>
      </c>
      <c r="C31" s="140" t="str">
        <f>IF('Customer Inputs'!H22="","",'Customer Inputs'!H22)</f>
        <v/>
      </c>
      <c r="D31" s="1728">
        <f>ROUND('Multi-Customer'!$PO$51,0)</f>
        <v>0</v>
      </c>
      <c r="E31" s="1728">
        <f>ROUND('Multi-Customer'!$PO$52,0)</f>
        <v>0</v>
      </c>
      <c r="F31" s="1728">
        <f>ROUND('Multi-Customer'!$PP$35,0)</f>
        <v>0</v>
      </c>
      <c r="G31" s="464" t="str">
        <f t="shared" si="2"/>
        <v/>
      </c>
      <c r="H31" s="464" t="str">
        <f t="shared" si="3"/>
        <v/>
      </c>
      <c r="I31" s="464" t="str">
        <f>IF('Customer Inputs'!AA22="","",'Customer Inputs'!AA22)</f>
        <v/>
      </c>
      <c r="J31" s="482" t="str">
        <f>IF('Customer Inputs'!$F22="","",'Customer Inputs'!$P22)</f>
        <v/>
      </c>
      <c r="K31" s="140" t="str">
        <f>'Customer Inputs'!Y22</f>
        <v/>
      </c>
      <c r="L31" s="465">
        <f>IFERROR(IFERROR(IFERROR(VLOOKUP($J$5&amp;$I31,'5zip'!$A:$F,6,FALSE),VLOOKUP($J$5&amp;$H31,'4zip'!$A:$F,6,FALSE)),VLOOKUP($J$5&amp;$G31,'3zip'!$A:$F,6,FALSE)),0)</f>
        <v>0</v>
      </c>
      <c r="M31" s="465" t="str">
        <f>IFERROR(IFERROR(IFERROR(VLOOKUP($J$5&amp;$I31,'5zip'!$A:$F,6,FALSE),VLOOKUP($J$5&amp;$H31,'4zip'!$A:$F,6,FALSE)),VLOOKUP($J$5&amp;$G31,'3zip'!$A:$F,6,FALSE)),"Zip Code Not Serviced")</f>
        <v>Zip Code Not Serviced</v>
      </c>
      <c r="N31" s="466">
        <f t="shared" si="16"/>
        <v>0</v>
      </c>
      <c r="O31" s="467">
        <f>IFERROR((VLOOKUP($J$4&amp;$C31&amp;$J$6&amp;$J$7,'Variable Selling'!$B:$O,11,FALSE))*F31,0)</f>
        <v>0</v>
      </c>
      <c r="P31" s="467">
        <f>IFERROR(VLOOKUP($J$4,'Variable Div Avgs'!$D:$I,6,FALSE)*'Variable Costs (Back)'!$F31,0)</f>
        <v>0</v>
      </c>
      <c r="Q31" s="467">
        <f>IFERROR((VLOOKUP($J$4&amp;$C31&amp;$J$6&amp;$J$7,'Variable Selling'!$B:$Q,16,FALSE))*F31,0)</f>
        <v>0</v>
      </c>
      <c r="R31" s="467">
        <f t="shared" si="17"/>
        <v>0</v>
      </c>
      <c r="S31" s="467">
        <f t="shared" si="18"/>
        <v>0</v>
      </c>
      <c r="T31" s="467">
        <f t="shared" si="19"/>
        <v>0</v>
      </c>
      <c r="U31" s="467">
        <f t="shared" si="20"/>
        <v>0</v>
      </c>
      <c r="V31" s="467">
        <f>IFERROR(VLOOKUP($AG31,'Existing Customer Variable Exp'!$B:$E,2,FALSE),0)</f>
        <v>0</v>
      </c>
      <c r="W31" s="467">
        <f>IFERROR(VLOOKUP($AG31,'Existing Customer Variable Exp'!$B:$E,3,FALSE),0)</f>
        <v>0</v>
      </c>
      <c r="X31" s="467">
        <f>IFERROR(VLOOKUP($AG31,'Existing Customer Variable Exp'!$B:$E,4,FALSE),0)</f>
        <v>0</v>
      </c>
      <c r="Y31" s="467">
        <f>IFERROR(VLOOKUP($AG31,'Existing Customer Variable Exp'!$B:$M,12,FALSE),0)</f>
        <v>0</v>
      </c>
      <c r="Z31" s="466">
        <f t="shared" si="21"/>
        <v>0</v>
      </c>
      <c r="AA31" s="467">
        <f t="shared" si="22"/>
        <v>0</v>
      </c>
      <c r="AB31" s="467">
        <f t="shared" si="23"/>
        <v>0</v>
      </c>
      <c r="AC31" s="467">
        <f t="shared" si="24"/>
        <v>0</v>
      </c>
      <c r="AD31" s="467" t="str">
        <f>IF('Customer Inputs'!L22&lt;&gt;'Customer Inputs'!Y22,"Modelled",IF(D31=F31,"BASE","Modelled"))</f>
        <v>BASE</v>
      </c>
      <c r="AE31" s="467" t="str">
        <f>IF(AND(SUMIF('Existing Customers'!$A:$A,'Variable Costs (Back)'!$AG31,'Existing Customers'!$Q:$Q)&gt;0,'Customer Inputs'!$U22&lt;&gt;"Prospect"),IF('Customer Inputs'!$V22&lt;&gt;"Yes","Existing","New"),"New")</f>
        <v>New</v>
      </c>
      <c r="AF31" s="484" t="s">
        <v>2222</v>
      </c>
      <c r="AG31" s="1714" t="str">
        <f>IF('Customer Inputs'!$F22="","",'Customer Inputs'!$G22)</f>
        <v/>
      </c>
      <c r="AH31" s="1715" t="e">
        <f t="shared" si="11"/>
        <v>#N/A</v>
      </c>
      <c r="AI31" s="1715" t="e">
        <f t="shared" si="12"/>
        <v>#N/A</v>
      </c>
      <c r="AJ31" s="1715" t="e">
        <f t="shared" si="13"/>
        <v>#N/A</v>
      </c>
      <c r="AK31" s="1715">
        <f t="shared" si="14"/>
        <v>0</v>
      </c>
      <c r="AL31" s="487" t="e">
        <f t="shared" si="25"/>
        <v>#N/A</v>
      </c>
      <c r="BF31" s="946"/>
      <c r="BG31" s="499"/>
      <c r="BH31" s="948"/>
      <c r="BI31" s="499"/>
    </row>
    <row r="32" spans="1:61" ht="15" x14ac:dyDescent="0.25">
      <c r="A32" s="140" t="str">
        <f>IF('Customer Inputs'!$S23="","",IF('Variable Costs (Back)'!$M32="Zip Code Not Serviced","Zip Code Not Serviced",""))</f>
        <v/>
      </c>
      <c r="B32" s="140" t="str">
        <f>'Customer Inputs'!Z23</f>
        <v/>
      </c>
      <c r="C32" s="140" t="str">
        <f>IF('Customer Inputs'!H23="","",'Customer Inputs'!H23)</f>
        <v/>
      </c>
      <c r="D32" s="1728">
        <f>ROUND('Multi-Customer'!$QL$51,0)</f>
        <v>0</v>
      </c>
      <c r="E32" s="1728">
        <f>ROUND('Multi-Customer'!$QL$52,0)</f>
        <v>0</v>
      </c>
      <c r="F32" s="1728">
        <f>ROUND('Multi-Customer'!$QM$35,0)</f>
        <v>0</v>
      </c>
      <c r="G32" s="464" t="str">
        <f t="shared" si="2"/>
        <v/>
      </c>
      <c r="H32" s="464" t="str">
        <f t="shared" si="3"/>
        <v/>
      </c>
      <c r="I32" s="464" t="str">
        <f>IF('Customer Inputs'!AA23="","",'Customer Inputs'!AA23)</f>
        <v/>
      </c>
      <c r="J32" s="482" t="str">
        <f>IF('Customer Inputs'!$F23="","",'Customer Inputs'!$P23)</f>
        <v/>
      </c>
      <c r="K32" s="140" t="str">
        <f>'Customer Inputs'!Y23</f>
        <v/>
      </c>
      <c r="L32" s="465">
        <f>IFERROR(IFERROR(IFERROR(VLOOKUP($J$5&amp;$I32,'5zip'!$A:$F,6,FALSE),VLOOKUP($J$5&amp;$H32,'4zip'!$A:$F,6,FALSE)),VLOOKUP($J$5&amp;$G32,'3zip'!$A:$F,6,FALSE)),0)</f>
        <v>0</v>
      </c>
      <c r="M32" s="465" t="str">
        <f>IFERROR(IFERROR(IFERROR(VLOOKUP($J$5&amp;$I32,'5zip'!$A:$F,6,FALSE),VLOOKUP($J$5&amp;$H32,'4zip'!$A:$F,6,FALSE)),VLOOKUP($J$5&amp;$G32,'3zip'!$A:$F,6,FALSE)),"Zip Code Not Serviced")</f>
        <v>Zip Code Not Serviced</v>
      </c>
      <c r="N32" s="466">
        <f t="shared" si="16"/>
        <v>0</v>
      </c>
      <c r="O32" s="467">
        <f>IFERROR((VLOOKUP($J$4&amp;$C32&amp;$J$6&amp;$J$7,'Variable Selling'!$B:$O,11,FALSE))*F32,0)</f>
        <v>0</v>
      </c>
      <c r="P32" s="467">
        <f>IFERROR(VLOOKUP($J$4,'Variable Div Avgs'!$D:$I,6,FALSE)*'Variable Costs (Back)'!$F32,0)</f>
        <v>0</v>
      </c>
      <c r="Q32" s="467">
        <f>IFERROR((VLOOKUP($J$4&amp;$C32&amp;$J$6&amp;$J$7,'Variable Selling'!$B:$Q,16,FALSE))*F32,0)</f>
        <v>0</v>
      </c>
      <c r="R32" s="467">
        <f t="shared" si="17"/>
        <v>0</v>
      </c>
      <c r="S32" s="467">
        <f t="shared" si="18"/>
        <v>0</v>
      </c>
      <c r="T32" s="467">
        <f t="shared" si="19"/>
        <v>0</v>
      </c>
      <c r="U32" s="467">
        <f t="shared" si="20"/>
        <v>0</v>
      </c>
      <c r="V32" s="467">
        <f>IFERROR(VLOOKUP($AG32,'Existing Customer Variable Exp'!$B:$E,2,FALSE),0)</f>
        <v>0</v>
      </c>
      <c r="W32" s="467">
        <f>IFERROR(VLOOKUP($AG32,'Existing Customer Variable Exp'!$B:$E,3,FALSE),0)</f>
        <v>0</v>
      </c>
      <c r="X32" s="467">
        <f>IFERROR(VLOOKUP($AG32,'Existing Customer Variable Exp'!$B:$E,4,FALSE),0)</f>
        <v>0</v>
      </c>
      <c r="Y32" s="467">
        <f>IFERROR(VLOOKUP($AG32,'Existing Customer Variable Exp'!$B:$M,12,FALSE),0)</f>
        <v>0</v>
      </c>
      <c r="Z32" s="466">
        <f t="shared" si="21"/>
        <v>0</v>
      </c>
      <c r="AA32" s="467">
        <f t="shared" si="22"/>
        <v>0</v>
      </c>
      <c r="AB32" s="467">
        <f t="shared" si="23"/>
        <v>0</v>
      </c>
      <c r="AC32" s="467">
        <f t="shared" si="24"/>
        <v>0</v>
      </c>
      <c r="AD32" s="467" t="str">
        <f>IF('Customer Inputs'!L23&lt;&gt;'Customer Inputs'!Y23,"Modelled",IF(D32=F32,"BASE","Modelled"))</f>
        <v>BASE</v>
      </c>
      <c r="AE32" s="467" t="str">
        <f>IF(AND(SUMIF('Existing Customers'!$A:$A,'Variable Costs (Back)'!$AG32,'Existing Customers'!$Q:$Q)&gt;0,'Customer Inputs'!$U23&lt;&gt;"Prospect"),IF('Customer Inputs'!$V23&lt;&gt;"Yes","Existing","New"),"New")</f>
        <v>New</v>
      </c>
      <c r="AF32" s="484" t="s">
        <v>2218</v>
      </c>
      <c r="AG32" s="1714" t="str">
        <f>IF('Customer Inputs'!$F23="","",'Customer Inputs'!$G23)</f>
        <v/>
      </c>
      <c r="AH32" s="1715" t="e">
        <f t="shared" si="11"/>
        <v>#N/A</v>
      </c>
      <c r="AI32" s="1715" t="e">
        <f t="shared" si="12"/>
        <v>#N/A</v>
      </c>
      <c r="AJ32" s="1715" t="e">
        <f t="shared" si="13"/>
        <v>#N/A</v>
      </c>
      <c r="AK32" s="1715">
        <f t="shared" si="14"/>
        <v>0</v>
      </c>
      <c r="AL32" s="487" t="e">
        <f t="shared" si="25"/>
        <v>#N/A</v>
      </c>
      <c r="BF32" s="946"/>
      <c r="BG32" s="499"/>
      <c r="BH32" s="948"/>
      <c r="BI32" s="499"/>
    </row>
    <row r="33" spans="1:61" ht="14.45" customHeight="1" x14ac:dyDescent="0.25">
      <c r="A33" s="140" t="str">
        <f>IF('Customer Inputs'!$S24="","",IF('Variable Costs (Back)'!$M33="Zip Code Not Serviced","Zip Code Not Serviced",""))</f>
        <v/>
      </c>
      <c r="B33" s="140" t="str">
        <f>'Customer Inputs'!Z24</f>
        <v/>
      </c>
      <c r="C33" s="140" t="str">
        <f>IF('Customer Inputs'!H24="","",'Customer Inputs'!H24)</f>
        <v/>
      </c>
      <c r="D33" s="1728">
        <f>ROUND('Multi-Customer'!$RI$51,0)</f>
        <v>0</v>
      </c>
      <c r="E33" s="1728">
        <f>ROUND('Multi-Customer'!$RI$52,0)</f>
        <v>0</v>
      </c>
      <c r="F33" s="1728">
        <f>ROUND('Multi-Customer'!$RJ$35,0)</f>
        <v>0</v>
      </c>
      <c r="G33" s="464" t="str">
        <f t="shared" si="2"/>
        <v/>
      </c>
      <c r="H33" s="464" t="str">
        <f t="shared" si="3"/>
        <v/>
      </c>
      <c r="I33" s="464" t="str">
        <f>IF('Customer Inputs'!AA24="","",'Customer Inputs'!AA24)</f>
        <v/>
      </c>
      <c r="J33" s="482" t="str">
        <f>IF('Customer Inputs'!$F24="","",'Customer Inputs'!$P24)</f>
        <v/>
      </c>
      <c r="K33" s="140" t="str">
        <f>'Customer Inputs'!Y24</f>
        <v/>
      </c>
      <c r="L33" s="465">
        <f>IFERROR(IFERROR(IFERROR(VLOOKUP($J$5&amp;$I33,'5zip'!$A:$F,6,FALSE),VLOOKUP($J$5&amp;$H33,'4zip'!$A:$F,6,FALSE)),VLOOKUP($J$5&amp;$G33,'3zip'!$A:$F,6,FALSE)),0)</f>
        <v>0</v>
      </c>
      <c r="M33" s="465" t="str">
        <f>IFERROR(IFERROR(IFERROR(VLOOKUP($J$5&amp;$I33,'5zip'!$A:$F,6,FALSE),VLOOKUP($J$5&amp;$H33,'4zip'!$A:$F,6,FALSE)),VLOOKUP($J$5&amp;$G33,'3zip'!$A:$F,6,FALSE)),"Zip Code Not Serviced")</f>
        <v>Zip Code Not Serviced</v>
      </c>
      <c r="N33" s="466">
        <f t="shared" si="16"/>
        <v>0</v>
      </c>
      <c r="O33" s="467">
        <f>IFERROR((VLOOKUP($J$4&amp;$C33&amp;$J$6&amp;$J$7,'Variable Selling'!$B:$O,11,FALSE))*F33,0)</f>
        <v>0</v>
      </c>
      <c r="P33" s="467">
        <f>IFERROR(VLOOKUP($J$4,'Variable Div Avgs'!$D:$I,6,FALSE)*'Variable Costs (Back)'!$F33,0)</f>
        <v>0</v>
      </c>
      <c r="Q33" s="467">
        <f>IFERROR((VLOOKUP($J$4&amp;$C33&amp;$J$6&amp;$J$7,'Variable Selling'!$B:$Q,16,FALSE))*F33,0)</f>
        <v>0</v>
      </c>
      <c r="R33" s="467">
        <f t="shared" si="17"/>
        <v>0</v>
      </c>
      <c r="S33" s="467">
        <f t="shared" si="18"/>
        <v>0</v>
      </c>
      <c r="T33" s="467">
        <f t="shared" si="19"/>
        <v>0</v>
      </c>
      <c r="U33" s="467">
        <f t="shared" si="20"/>
        <v>0</v>
      </c>
      <c r="V33" s="467">
        <f>IFERROR(VLOOKUP($AG33,'Existing Customer Variable Exp'!$B:$E,2,FALSE),0)</f>
        <v>0</v>
      </c>
      <c r="W33" s="467">
        <f>IFERROR(VLOOKUP($AG33,'Existing Customer Variable Exp'!$B:$E,3,FALSE),0)</f>
        <v>0</v>
      </c>
      <c r="X33" s="467">
        <f>IFERROR(VLOOKUP($AG33,'Existing Customer Variable Exp'!$B:$E,4,FALSE),0)</f>
        <v>0</v>
      </c>
      <c r="Y33" s="467">
        <f>IFERROR(VLOOKUP($AG33,'Existing Customer Variable Exp'!$B:$M,12,FALSE),0)</f>
        <v>0</v>
      </c>
      <c r="Z33" s="466">
        <f t="shared" si="21"/>
        <v>0</v>
      </c>
      <c r="AA33" s="467">
        <f t="shared" si="22"/>
        <v>0</v>
      </c>
      <c r="AB33" s="467">
        <f t="shared" si="23"/>
        <v>0</v>
      </c>
      <c r="AC33" s="467">
        <f t="shared" si="24"/>
        <v>0</v>
      </c>
      <c r="AD33" s="467" t="str">
        <f>IF('Customer Inputs'!L24&lt;&gt;'Customer Inputs'!Y24,"Modelled",IF(D33=F33,"BASE","Modelled"))</f>
        <v>BASE</v>
      </c>
      <c r="AE33" s="467" t="str">
        <f>IF(AND(SUMIF('Existing Customers'!$A:$A,'Variable Costs (Back)'!$AG33,'Existing Customers'!$Q:$Q)&gt;0,'Customer Inputs'!$U24&lt;&gt;"Prospect"),IF('Customer Inputs'!$V24&lt;&gt;"Yes","Existing","New"),"New")</f>
        <v>New</v>
      </c>
      <c r="AF33" s="484" t="s">
        <v>2219</v>
      </c>
      <c r="AG33" s="1714" t="str">
        <f>IF('Customer Inputs'!$F24="","",'Customer Inputs'!$G24)</f>
        <v/>
      </c>
      <c r="AH33" s="1715" t="e">
        <f t="shared" si="11"/>
        <v>#N/A</v>
      </c>
      <c r="AI33" s="1715" t="e">
        <f t="shared" si="12"/>
        <v>#N/A</v>
      </c>
      <c r="AJ33" s="1715" t="e">
        <f t="shared" si="13"/>
        <v>#N/A</v>
      </c>
      <c r="AK33" s="1715">
        <f t="shared" si="14"/>
        <v>0</v>
      </c>
      <c r="AL33" s="487" t="e">
        <f t="shared" si="25"/>
        <v>#N/A</v>
      </c>
      <c r="BF33" s="946"/>
      <c r="BG33" s="499"/>
      <c r="BH33" s="948"/>
      <c r="BI33" s="499"/>
    </row>
    <row r="34" spans="1:61" ht="15" x14ac:dyDescent="0.25">
      <c r="A34" s="140" t="str">
        <f>IF('Customer Inputs'!$S25="","",IF('Variable Costs (Back)'!$M34="Zip Code Not Serviced","Zip Code Not Serviced",""))</f>
        <v/>
      </c>
      <c r="B34" s="140" t="str">
        <f>'Customer Inputs'!Z25</f>
        <v/>
      </c>
      <c r="C34" s="140" t="str">
        <f>IF('Customer Inputs'!H25="","",'Customer Inputs'!H25)</f>
        <v/>
      </c>
      <c r="D34" s="1728">
        <f>ROUND('Multi-Customer'!$SF$51,0)</f>
        <v>0</v>
      </c>
      <c r="E34" s="1728">
        <f>ROUND('Multi-Customer'!$SF$52,0)</f>
        <v>0</v>
      </c>
      <c r="F34" s="1728">
        <f>ROUND('Multi-Customer'!$SG$35,0)</f>
        <v>0</v>
      </c>
      <c r="G34" s="464" t="str">
        <f t="shared" si="2"/>
        <v/>
      </c>
      <c r="H34" s="464" t="str">
        <f t="shared" si="3"/>
        <v/>
      </c>
      <c r="I34" s="464" t="str">
        <f>IF('Customer Inputs'!AA25="","",'Customer Inputs'!AA25)</f>
        <v/>
      </c>
      <c r="J34" s="482" t="str">
        <f>IF('Customer Inputs'!$F25="","",'Customer Inputs'!$P25)</f>
        <v/>
      </c>
      <c r="K34" s="140" t="str">
        <f>'Customer Inputs'!Y25</f>
        <v/>
      </c>
      <c r="L34" s="465">
        <f>IFERROR(IFERROR(IFERROR(VLOOKUP($J$5&amp;$I34,'5zip'!$A:$F,6,FALSE),VLOOKUP($J$5&amp;$H34,'4zip'!$A:$F,6,FALSE)),VLOOKUP($J$5&amp;$G34,'3zip'!$A:$F,6,FALSE)),0)</f>
        <v>0</v>
      </c>
      <c r="M34" s="465" t="str">
        <f>IFERROR(IFERROR(IFERROR(VLOOKUP($J$5&amp;$I34,'5zip'!$A:$F,6,FALSE),VLOOKUP($J$5&amp;$H34,'4zip'!$A:$F,6,FALSE)),VLOOKUP($J$5&amp;$G34,'3zip'!$A:$F,6,FALSE)),"Zip Code Not Serviced")</f>
        <v>Zip Code Not Serviced</v>
      </c>
      <c r="N34" s="466">
        <f t="shared" si="16"/>
        <v>0</v>
      </c>
      <c r="O34" s="467">
        <f>IFERROR((VLOOKUP($J$4&amp;$C34&amp;$J$6&amp;$J$7,'Variable Selling'!$B:$O,11,FALSE))*F34,0)</f>
        <v>0</v>
      </c>
      <c r="P34" s="467">
        <f>IFERROR(VLOOKUP($J$4,'Variable Div Avgs'!$D:$I,6,FALSE)*'Variable Costs (Back)'!$F34,0)</f>
        <v>0</v>
      </c>
      <c r="Q34" s="467">
        <f>IFERROR((VLOOKUP($J$4&amp;$C34&amp;$J$6&amp;$J$7,'Variable Selling'!$B:$Q,16,FALSE))*F34,0)</f>
        <v>0</v>
      </c>
      <c r="R34" s="467">
        <f t="shared" si="17"/>
        <v>0</v>
      </c>
      <c r="S34" s="467">
        <f t="shared" si="18"/>
        <v>0</v>
      </c>
      <c r="T34" s="467">
        <f t="shared" si="19"/>
        <v>0</v>
      </c>
      <c r="U34" s="467">
        <f t="shared" si="20"/>
        <v>0</v>
      </c>
      <c r="V34" s="467">
        <f>IFERROR(VLOOKUP($AG34,'Existing Customer Variable Exp'!$B:$E,2,FALSE),0)</f>
        <v>0</v>
      </c>
      <c r="W34" s="467">
        <f>IFERROR(VLOOKUP($AG34,'Existing Customer Variable Exp'!$B:$E,3,FALSE),0)</f>
        <v>0</v>
      </c>
      <c r="X34" s="467">
        <f>IFERROR(VLOOKUP($AG34,'Existing Customer Variable Exp'!$B:$E,4,FALSE),0)</f>
        <v>0</v>
      </c>
      <c r="Y34" s="467">
        <f>IFERROR(VLOOKUP($AG34,'Existing Customer Variable Exp'!$B:$M,12,FALSE),0)</f>
        <v>0</v>
      </c>
      <c r="Z34" s="466">
        <f t="shared" si="21"/>
        <v>0</v>
      </c>
      <c r="AA34" s="467">
        <f t="shared" si="22"/>
        <v>0</v>
      </c>
      <c r="AB34" s="467">
        <f t="shared" si="23"/>
        <v>0</v>
      </c>
      <c r="AC34" s="467">
        <f t="shared" si="24"/>
        <v>0</v>
      </c>
      <c r="AD34" s="467" t="str">
        <f>IF('Customer Inputs'!L25&lt;&gt;'Customer Inputs'!Y25,"Modelled",IF(D34=F34,"BASE","Modelled"))</f>
        <v>BASE</v>
      </c>
      <c r="AE34" s="467" t="str">
        <f>IF(AND(SUMIF('Existing Customers'!$A:$A,'Variable Costs (Back)'!$AG34,'Existing Customers'!$Q:$Q)&gt;0,'Customer Inputs'!$U25&lt;&gt;"Prospect"),IF('Customer Inputs'!$V25&lt;&gt;"Yes","Existing","New"),"New")</f>
        <v>New</v>
      </c>
      <c r="AF34" s="484" t="s">
        <v>2220</v>
      </c>
      <c r="AG34" s="1714" t="str">
        <f>IF('Customer Inputs'!$F25="","",'Customer Inputs'!$G25)</f>
        <v/>
      </c>
      <c r="AH34" s="1715" t="e">
        <f t="shared" si="11"/>
        <v>#N/A</v>
      </c>
      <c r="AI34" s="1715" t="e">
        <f t="shared" si="12"/>
        <v>#N/A</v>
      </c>
      <c r="AJ34" s="1715" t="e">
        <f t="shared" si="13"/>
        <v>#N/A</v>
      </c>
      <c r="AK34" s="1715">
        <f t="shared" si="14"/>
        <v>0</v>
      </c>
      <c r="AL34" s="487" t="e">
        <f t="shared" si="25"/>
        <v>#N/A</v>
      </c>
      <c r="BF34" s="946"/>
      <c r="BG34" s="499"/>
      <c r="BH34" s="948"/>
      <c r="BI34" s="499"/>
    </row>
    <row r="35" spans="1:61" ht="15" x14ac:dyDescent="0.25">
      <c r="K35" s="469">
        <f>SUM(K15:K24)</f>
        <v>0</v>
      </c>
      <c r="Z35" s="467"/>
      <c r="AB35" s="467"/>
      <c r="AC35" s="467"/>
      <c r="AD35" s="467"/>
      <c r="AE35" s="467"/>
      <c r="AG35" s="488" t="s">
        <v>899</v>
      </c>
      <c r="AH35" s="487" t="e">
        <f>SUM(AH15:AH24)</f>
        <v>#N/A</v>
      </c>
      <c r="AI35" s="487" t="e">
        <f>SUM(AI15:AI24)</f>
        <v>#N/A</v>
      </c>
      <c r="AJ35" s="487" t="e">
        <f>SUM(AJ15:AJ24)</f>
        <v>#N/A</v>
      </c>
      <c r="AK35" s="487">
        <f>SUM(AK15:AK24)</f>
        <v>0</v>
      </c>
      <c r="AL35" s="487" t="e">
        <f>SUM(AH35:AJ35)</f>
        <v>#N/A</v>
      </c>
      <c r="BF35" s="946"/>
      <c r="BG35" s="499"/>
      <c r="BH35" s="948"/>
      <c r="BI35" s="499"/>
    </row>
    <row r="36" spans="1:61" ht="15" x14ac:dyDescent="0.25">
      <c r="J36" s="470" t="s">
        <v>865</v>
      </c>
      <c r="K36" s="469">
        <f>IFERROR(SUM($K$15:$K$24)/COUNTIF($K$15:$K$24,"&gt;0"),0)</f>
        <v>0</v>
      </c>
      <c r="AF36" s="470"/>
      <c r="BF36" s="946"/>
      <c r="BG36" s="499"/>
      <c r="BH36" s="948"/>
      <c r="BI36" s="499"/>
    </row>
    <row r="37" spans="1:61" ht="15" x14ac:dyDescent="0.25">
      <c r="AF37" s="470"/>
      <c r="BF37" s="946"/>
      <c r="BG37" s="499"/>
      <c r="BH37" s="948"/>
      <c r="BI37" s="499"/>
    </row>
    <row r="38" spans="1:61" ht="15" x14ac:dyDescent="0.25">
      <c r="BF38" s="946"/>
      <c r="BG38" s="499"/>
      <c r="BH38" s="948"/>
      <c r="BI38" s="499"/>
    </row>
    <row r="39" spans="1:61" ht="15" x14ac:dyDescent="0.25">
      <c r="BF39" s="946"/>
      <c r="BG39" s="499"/>
      <c r="BH39" s="948"/>
      <c r="BI39" s="499"/>
    </row>
    <row r="40" spans="1:61" ht="15" x14ac:dyDescent="0.25">
      <c r="BF40" s="946"/>
      <c r="BG40" s="499"/>
      <c r="BH40" s="948"/>
      <c r="BI40" s="499"/>
    </row>
    <row r="41" spans="1:61" ht="15" x14ac:dyDescent="0.25">
      <c r="BF41" s="946"/>
      <c r="BG41" s="499"/>
      <c r="BH41" s="948"/>
      <c r="BI41" s="499"/>
    </row>
    <row r="42" spans="1:61" ht="15" x14ac:dyDescent="0.25">
      <c r="BF42" s="946"/>
      <c r="BG42" s="499"/>
      <c r="BH42" s="948"/>
      <c r="BI42" s="499"/>
    </row>
    <row r="43" spans="1:61" ht="15" x14ac:dyDescent="0.25">
      <c r="BF43" s="946"/>
      <c r="BG43" s="499"/>
      <c r="BH43" s="948"/>
      <c r="BI43" s="499"/>
    </row>
    <row r="44" spans="1:61" ht="15" x14ac:dyDescent="0.25">
      <c r="BF44" s="946"/>
      <c r="BG44" s="499"/>
      <c r="BH44" s="948"/>
      <c r="BI44" s="499"/>
    </row>
    <row r="45" spans="1:61" ht="15" x14ac:dyDescent="0.25">
      <c r="BF45" s="946"/>
      <c r="BG45" s="499"/>
      <c r="BH45" s="948"/>
      <c r="BI45" s="499"/>
    </row>
    <row r="46" spans="1:61" ht="15" x14ac:dyDescent="0.25">
      <c r="BF46" s="946"/>
      <c r="BG46" s="499"/>
      <c r="BH46" s="948"/>
      <c r="BI46" s="499"/>
    </row>
    <row r="47" spans="1:61" ht="15" x14ac:dyDescent="0.25">
      <c r="BF47" s="946"/>
      <c r="BG47" s="499"/>
      <c r="BH47" s="948"/>
      <c r="BI47" s="499"/>
    </row>
    <row r="48" spans="1:61" ht="15" x14ac:dyDescent="0.25">
      <c r="BF48" s="946"/>
      <c r="BG48" s="499"/>
      <c r="BH48" s="948"/>
      <c r="BI48" s="499"/>
    </row>
    <row r="49" spans="58:61" ht="15" x14ac:dyDescent="0.25">
      <c r="BF49" s="946"/>
      <c r="BG49" s="499"/>
      <c r="BH49" s="948"/>
      <c r="BI49" s="499"/>
    </row>
    <row r="50" spans="58:61" ht="15" x14ac:dyDescent="0.25">
      <c r="BF50" s="946"/>
      <c r="BG50" s="499"/>
      <c r="BH50" s="948"/>
      <c r="BI50" s="499"/>
    </row>
    <row r="51" spans="58:61" ht="15" x14ac:dyDescent="0.25">
      <c r="BF51" s="946"/>
      <c r="BG51" s="499"/>
      <c r="BH51" s="948"/>
      <c r="BI51" s="499"/>
    </row>
    <row r="52" spans="58:61" ht="15" x14ac:dyDescent="0.25">
      <c r="BF52" s="946"/>
      <c r="BG52" s="499"/>
      <c r="BH52" s="948"/>
      <c r="BI52" s="499"/>
    </row>
    <row r="53" spans="58:61" ht="15" x14ac:dyDescent="0.25">
      <c r="BF53" s="946"/>
      <c r="BG53" s="499"/>
      <c r="BH53" s="948"/>
      <c r="BI53" s="499"/>
    </row>
    <row r="54" spans="58:61" ht="15" x14ac:dyDescent="0.25">
      <c r="BF54" s="946"/>
      <c r="BG54" s="499"/>
      <c r="BH54" s="948"/>
      <c r="BI54" s="499"/>
    </row>
    <row r="55" spans="58:61" ht="15" x14ac:dyDescent="0.25">
      <c r="BF55" s="946"/>
      <c r="BG55" s="499"/>
      <c r="BH55" s="948"/>
      <c r="BI55" s="499"/>
    </row>
    <row r="56" spans="58:61" ht="15" x14ac:dyDescent="0.25">
      <c r="BF56" s="946"/>
      <c r="BG56" s="499"/>
      <c r="BH56" s="948"/>
      <c r="BI56" s="499"/>
    </row>
    <row r="57" spans="58:61" ht="15" x14ac:dyDescent="0.25">
      <c r="BF57" s="946"/>
      <c r="BG57" s="499"/>
      <c r="BH57" s="948"/>
      <c r="BI57" s="499"/>
    </row>
    <row r="58" spans="58:61" ht="15" x14ac:dyDescent="0.25">
      <c r="BF58" s="946"/>
      <c r="BG58" s="499"/>
      <c r="BH58" s="948"/>
      <c r="BI58" s="499"/>
    </row>
    <row r="59" spans="58:61" ht="15" x14ac:dyDescent="0.25">
      <c r="BF59" s="946"/>
      <c r="BG59" s="499"/>
      <c r="BH59" s="948"/>
      <c r="BI59" s="499"/>
    </row>
    <row r="60" spans="58:61" ht="15" x14ac:dyDescent="0.25">
      <c r="BF60" s="946"/>
      <c r="BG60" s="499"/>
      <c r="BH60" s="948"/>
      <c r="BI60" s="499"/>
    </row>
    <row r="61" spans="58:61" ht="15" x14ac:dyDescent="0.25">
      <c r="BF61" s="946"/>
      <c r="BG61" s="499"/>
      <c r="BH61" s="948"/>
      <c r="BI61" s="499"/>
    </row>
    <row r="62" spans="58:61" ht="15" x14ac:dyDescent="0.25">
      <c r="BF62" s="946"/>
      <c r="BG62" s="499"/>
      <c r="BH62" s="948"/>
      <c r="BI62" s="499"/>
    </row>
    <row r="63" spans="58:61" ht="15" x14ac:dyDescent="0.25">
      <c r="BF63" s="946"/>
      <c r="BG63" s="499"/>
      <c r="BH63" s="948"/>
      <c r="BI63" s="499"/>
    </row>
    <row r="64" spans="58:61" ht="15" x14ac:dyDescent="0.25">
      <c r="BF64" s="946"/>
      <c r="BG64" s="499"/>
      <c r="BH64" s="948"/>
      <c r="BI64" s="499"/>
    </row>
    <row r="65" spans="58:61" ht="15" x14ac:dyDescent="0.25">
      <c r="BF65" s="946"/>
      <c r="BG65" s="499"/>
      <c r="BH65" s="948"/>
      <c r="BI65" s="499"/>
    </row>
    <row r="66" spans="58:61" ht="15" x14ac:dyDescent="0.25">
      <c r="BF66" s="946"/>
      <c r="BG66" s="499"/>
      <c r="BH66" s="948"/>
      <c r="BI66" s="499"/>
    </row>
    <row r="67" spans="58:61" ht="15" x14ac:dyDescent="0.25">
      <c r="BF67" s="946"/>
      <c r="BG67" s="499"/>
      <c r="BH67" s="948"/>
      <c r="BI67" s="499"/>
    </row>
    <row r="68" spans="58:61" ht="15" x14ac:dyDescent="0.25">
      <c r="BF68" s="946"/>
      <c r="BG68" s="499"/>
      <c r="BH68" s="948"/>
      <c r="BI68" s="499"/>
    </row>
    <row r="69" spans="58:61" ht="15" x14ac:dyDescent="0.25">
      <c r="BF69" s="946"/>
      <c r="BG69" s="499"/>
      <c r="BH69" s="948"/>
      <c r="BI69" s="499"/>
    </row>
    <row r="70" spans="58:61" ht="15" x14ac:dyDescent="0.25">
      <c r="BF70" s="946"/>
      <c r="BG70" s="499"/>
      <c r="BH70" s="948"/>
      <c r="BI70" s="499"/>
    </row>
    <row r="71" spans="58:61" ht="15" x14ac:dyDescent="0.25">
      <c r="BF71" s="946"/>
      <c r="BG71" s="499"/>
      <c r="BH71" s="948"/>
      <c r="BI71" s="499"/>
    </row>
    <row r="72" spans="58:61" ht="15" x14ac:dyDescent="0.25">
      <c r="BF72" s="946"/>
      <c r="BG72" s="499"/>
      <c r="BH72" s="948"/>
      <c r="BI72" s="499"/>
    </row>
  </sheetData>
  <mergeCells count="7">
    <mergeCell ref="AH13:AJ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34" workbookViewId="0">
      <selection activeCell="A34" sqref="A34"/>
    </sheetView>
  </sheetViews>
  <sheetFormatPr defaultRowHeight="15" x14ac:dyDescent="0.25"/>
  <cols>
    <col min="1" max="1" width="31.28515625" customWidth="1"/>
    <col min="2" max="2" width="41" bestFit="1" customWidth="1"/>
    <col min="3" max="3" width="12.140625" bestFit="1" customWidth="1"/>
    <col min="4" max="4" width="11.7109375" bestFit="1" customWidth="1"/>
    <col min="5" max="5" width="17.5703125" customWidth="1"/>
    <col min="7" max="7" width="15.28515625"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997" t="s">
        <v>970</v>
      </c>
      <c r="F1" s="1998"/>
      <c r="G1" s="1998"/>
      <c r="H1" s="1998"/>
      <c r="I1" s="1998"/>
      <c r="J1" s="1999"/>
      <c r="L1" s="1997" t="s">
        <v>969</v>
      </c>
      <c r="M1" s="1999"/>
      <c r="Q1" s="1" t="s">
        <v>528</v>
      </c>
      <c r="R1" s="1" t="s">
        <v>527</v>
      </c>
    </row>
    <row r="2" spans="1:18" x14ac:dyDescent="0.25">
      <c r="E2" s="1">
        <v>0.1</v>
      </c>
      <c r="F2" s="50">
        <v>1.0999999999999999E-2</v>
      </c>
      <c r="G2" s="50">
        <v>2.7E-2</v>
      </c>
      <c r="H2" s="50">
        <v>3.2000000000000001E-2</v>
      </c>
      <c r="I2" s="50">
        <v>4.9000000000000002E-2</v>
      </c>
      <c r="J2" s="50">
        <v>6.4000000000000001E-2</v>
      </c>
      <c r="L2" s="615" t="s">
        <v>1076</v>
      </c>
      <c r="M2" s="45">
        <v>5.0000000000000001E-4</v>
      </c>
      <c r="O2" s="1" t="s">
        <v>529</v>
      </c>
      <c r="P2" s="1" t="s">
        <v>212</v>
      </c>
      <c r="Q2" s="1" t="s">
        <v>14</v>
      </c>
      <c r="R2" s="50">
        <v>6.0999999999999999E-2</v>
      </c>
    </row>
    <row r="3" spans="1:18" x14ac:dyDescent="0.25">
      <c r="E3" s="1">
        <v>0.15</v>
      </c>
      <c r="F3" s="50">
        <v>5.0000000000000001E-3</v>
      </c>
      <c r="G3" s="50">
        <v>3.9E-2</v>
      </c>
      <c r="H3" s="50">
        <v>0.05</v>
      </c>
      <c r="I3" s="50">
        <v>6.5000000000000002E-2</v>
      </c>
      <c r="J3" s="50">
        <v>8.5999999999999993E-2</v>
      </c>
      <c r="L3" s="615" t="s">
        <v>1077</v>
      </c>
      <c r="M3" s="45">
        <v>1E-3</v>
      </c>
      <c r="O3" s="1" t="s">
        <v>530</v>
      </c>
      <c r="P3" s="1" t="s">
        <v>213</v>
      </c>
      <c r="Q3" s="1" t="s">
        <v>14</v>
      </c>
      <c r="R3" s="50">
        <v>9.8000000000000004E-2</v>
      </c>
    </row>
    <row r="4" spans="1:18" x14ac:dyDescent="0.25">
      <c r="B4">
        <f>'Multi-Customer'!$AQ$39</f>
        <v>0</v>
      </c>
      <c r="E4" s="1">
        <v>0.2</v>
      </c>
      <c r="F4" s="50">
        <v>3.2000000000000001E-2</v>
      </c>
      <c r="G4" s="50">
        <v>5.2999999999999999E-2</v>
      </c>
      <c r="H4" s="50">
        <v>6.5000000000000002E-2</v>
      </c>
      <c r="I4" s="50">
        <v>7.6999999999999999E-2</v>
      </c>
      <c r="J4" s="50">
        <v>0.11</v>
      </c>
      <c r="L4" s="615" t="s">
        <v>1078</v>
      </c>
      <c r="M4" s="45">
        <v>1.5E-3</v>
      </c>
      <c r="O4" s="1" t="s">
        <v>531</v>
      </c>
      <c r="P4" s="1" t="s">
        <v>214</v>
      </c>
      <c r="Q4" s="1" t="s">
        <v>14</v>
      </c>
      <c r="R4" s="50">
        <v>0.122</v>
      </c>
    </row>
    <row r="5" spans="1:18" x14ac:dyDescent="0.25">
      <c r="B5">
        <f>'Multi-Customer'!$AQ$39</f>
        <v>0</v>
      </c>
      <c r="E5" s="1">
        <v>0.25</v>
      </c>
      <c r="F5" s="50">
        <v>4.2000000000000003E-2</v>
      </c>
      <c r="G5" s="50">
        <v>5.8999999999999997E-2</v>
      </c>
      <c r="H5" s="50">
        <v>7.0999999999999994E-2</v>
      </c>
      <c r="I5" s="50">
        <v>9.2999999999999999E-2</v>
      </c>
      <c r="J5" s="50">
        <v>0.122</v>
      </c>
      <c r="L5" s="615" t="s">
        <v>1079</v>
      </c>
      <c r="M5" s="45">
        <v>2E-3</v>
      </c>
      <c r="O5" s="1" t="s">
        <v>532</v>
      </c>
      <c r="P5" s="1" t="s">
        <v>265</v>
      </c>
      <c r="Q5" s="1" t="s">
        <v>14</v>
      </c>
      <c r="R5" s="50">
        <v>0.14499999999999999</v>
      </c>
    </row>
    <row r="6" spans="1:18" x14ac:dyDescent="0.25">
      <c r="A6" s="82" t="s">
        <v>888</v>
      </c>
      <c r="B6" t="str">
        <f>IF(B7&lt;0.25,"Q1",IF(B7&lt;0.5,"Q2",IF(B7&lt;0.75,"Q3","Q4")))</f>
        <v>Q1</v>
      </c>
      <c r="E6" s="1">
        <v>0.3</v>
      </c>
      <c r="F6" s="50">
        <v>3.2000000000000001E-2</v>
      </c>
      <c r="G6" s="50">
        <v>6.5000000000000002E-2</v>
      </c>
      <c r="H6" s="50">
        <v>7.6999999999999999E-2</v>
      </c>
      <c r="I6" s="50">
        <v>9.5000000000000001E-2</v>
      </c>
      <c r="J6" s="50">
        <v>0.12</v>
      </c>
      <c r="L6" s="615" t="s">
        <v>1080</v>
      </c>
      <c r="M6" s="45">
        <v>2.5000000000000001E-3</v>
      </c>
      <c r="O6" s="1" t="s">
        <v>533</v>
      </c>
      <c r="P6" s="1" t="s">
        <v>212</v>
      </c>
      <c r="Q6" s="1" t="s">
        <v>62</v>
      </c>
      <c r="R6" s="50">
        <v>4.5999999999999999E-2</v>
      </c>
    </row>
    <row r="7" spans="1:18" x14ac:dyDescent="0.25">
      <c r="A7" s="82" t="s">
        <v>464</v>
      </c>
      <c r="B7">
        <f>'PIM Ranges'!$AW$3</f>
        <v>0</v>
      </c>
      <c r="E7" s="1">
        <v>0.35</v>
      </c>
      <c r="F7" s="50">
        <v>4.8000000000000001E-2</v>
      </c>
      <c r="G7" s="50">
        <v>7.9000000000000001E-2</v>
      </c>
      <c r="H7" s="50">
        <v>9.4E-2</v>
      </c>
      <c r="I7" s="50">
        <v>0.11</v>
      </c>
      <c r="J7" s="50">
        <v>0.14499999999999999</v>
      </c>
      <c r="L7" s="615" t="s">
        <v>1081</v>
      </c>
      <c r="M7" s="45">
        <v>3.0000000000000001E-3</v>
      </c>
      <c r="O7" s="1" t="s">
        <v>534</v>
      </c>
      <c r="P7" s="1" t="s">
        <v>213</v>
      </c>
      <c r="Q7" s="1" t="s">
        <v>62</v>
      </c>
      <c r="R7" s="50">
        <v>8.5000000000000006E-2</v>
      </c>
    </row>
    <row r="8" spans="1:18" x14ac:dyDescent="0.25">
      <c r="A8" s="82" t="s">
        <v>466</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615" t="s">
        <v>1082</v>
      </c>
      <c r="M8" s="45">
        <v>3.5000000000000001E-3</v>
      </c>
      <c r="O8" s="1" t="s">
        <v>535</v>
      </c>
      <c r="P8" s="1" t="s">
        <v>214</v>
      </c>
      <c r="Q8" s="1" t="s">
        <v>62</v>
      </c>
      <c r="R8" s="50">
        <v>0.106</v>
      </c>
    </row>
    <row r="9" spans="1:18" x14ac:dyDescent="0.25">
      <c r="A9" s="82" t="s">
        <v>889</v>
      </c>
      <c r="B9" t="str">
        <f>IF($B$4="Multiple Menu Types",B6&amp;B5,B6&amp;B4)</f>
        <v>Q10</v>
      </c>
      <c r="E9" s="1">
        <v>0.45</v>
      </c>
      <c r="F9" s="50">
        <v>5.6000000000000001E-2</v>
      </c>
      <c r="G9" s="50">
        <v>8.6999999999999994E-2</v>
      </c>
      <c r="H9" s="50">
        <v>0.10100000000000001</v>
      </c>
      <c r="I9" s="50">
        <v>0.12</v>
      </c>
      <c r="J9" s="50">
        <v>0.16700000000000001</v>
      </c>
      <c r="L9" s="615" t="s">
        <v>1083</v>
      </c>
      <c r="M9" s="45">
        <v>4.0000000000000001E-3</v>
      </c>
      <c r="O9" s="1" t="s">
        <v>536</v>
      </c>
      <c r="P9" s="1" t="s">
        <v>265</v>
      </c>
      <c r="Q9" s="1" t="s">
        <v>62</v>
      </c>
      <c r="R9" s="50">
        <v>0.106</v>
      </c>
    </row>
    <row r="10" spans="1:18" x14ac:dyDescent="0.25">
      <c r="A10" s="82"/>
      <c r="E10" s="1">
        <v>0.5</v>
      </c>
      <c r="F10" s="50">
        <v>0.05</v>
      </c>
      <c r="G10" s="50">
        <v>9.1999999999999998E-2</v>
      </c>
      <c r="H10" s="50">
        <v>0.108</v>
      </c>
      <c r="I10" s="50">
        <v>0.124</v>
      </c>
      <c r="J10" s="50">
        <v>0.16600000000000001</v>
      </c>
      <c r="L10" s="615" t="s">
        <v>1084</v>
      </c>
      <c r="M10" s="45">
        <v>4.4999999999999997E-3</v>
      </c>
      <c r="O10" s="1" t="s">
        <v>537</v>
      </c>
      <c r="P10" s="1" t="s">
        <v>212</v>
      </c>
      <c r="Q10" s="1" t="s">
        <v>74</v>
      </c>
      <c r="R10" s="50">
        <v>7.1999999999999995E-2</v>
      </c>
    </row>
    <row r="11" spans="1:18" x14ac:dyDescent="0.25">
      <c r="A11" s="82" t="s">
        <v>890</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615" t="s">
        <v>1085</v>
      </c>
      <c r="M11" s="45">
        <v>5.0000000000000001E-3</v>
      </c>
      <c r="O11" s="1" t="s">
        <v>538</v>
      </c>
      <c r="P11" s="1" t="s">
        <v>213</v>
      </c>
      <c r="Q11" s="1" t="s">
        <v>74</v>
      </c>
      <c r="R11" s="50">
        <v>0.109</v>
      </c>
    </row>
    <row r="12" spans="1:18" x14ac:dyDescent="0.25">
      <c r="A12" s="82" t="s">
        <v>891</v>
      </c>
      <c r="B12">
        <f>IFERROR(VLOOKUP($B$9,$O:$R,4,FALSE),0)</f>
        <v>0</v>
      </c>
      <c r="E12" s="1">
        <v>0.6</v>
      </c>
      <c r="F12" s="50">
        <v>6.6000000000000003E-2</v>
      </c>
      <c r="G12" s="50">
        <v>0.10299999999999999</v>
      </c>
      <c r="H12" s="50">
        <v>0.11899999999999999</v>
      </c>
      <c r="I12" s="50">
        <v>0.13700000000000001</v>
      </c>
      <c r="J12" s="50">
        <v>0.184</v>
      </c>
      <c r="L12" s="615" t="s">
        <v>1086</v>
      </c>
      <c r="M12" s="45">
        <v>5.4999999999999997E-3</v>
      </c>
      <c r="O12" s="1" t="s">
        <v>539</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615" t="s">
        <v>1087</v>
      </c>
      <c r="M13" s="45">
        <v>6.0000000000000001E-3</v>
      </c>
      <c r="O13" s="1" t="s">
        <v>540</v>
      </c>
      <c r="P13" s="1" t="s">
        <v>265</v>
      </c>
      <c r="Q13" s="1" t="s">
        <v>74</v>
      </c>
      <c r="R13" s="50">
        <v>0.14299999999999999</v>
      </c>
    </row>
    <row r="14" spans="1:18" x14ac:dyDescent="0.25">
      <c r="A14" s="82" t="s">
        <v>854</v>
      </c>
      <c r="B14" s="38">
        <f>'PIM Model'!$G$31</f>
        <v>0</v>
      </c>
      <c r="E14" s="1">
        <v>0.7</v>
      </c>
      <c r="F14" s="50">
        <v>0.08</v>
      </c>
      <c r="G14" s="50">
        <v>0.113</v>
      </c>
      <c r="H14" s="50">
        <v>0.126</v>
      </c>
      <c r="I14" s="50">
        <v>0.15</v>
      </c>
      <c r="J14" s="50">
        <v>0.20200000000000001</v>
      </c>
      <c r="L14" s="615" t="s">
        <v>1088</v>
      </c>
      <c r="M14" s="45">
        <v>6.4999999999999997E-3</v>
      </c>
      <c r="O14" s="1" t="s">
        <v>541</v>
      </c>
      <c r="P14" s="1" t="s">
        <v>212</v>
      </c>
      <c r="Q14" s="1" t="s">
        <v>34</v>
      </c>
      <c r="R14" s="50">
        <v>6.2E-2</v>
      </c>
    </row>
    <row r="15" spans="1:18" x14ac:dyDescent="0.25">
      <c r="A15" s="82" t="s">
        <v>892</v>
      </c>
      <c r="B15" s="38">
        <f>B12*B14</f>
        <v>0</v>
      </c>
      <c r="E15" s="1">
        <v>0.75</v>
      </c>
      <c r="F15" s="50">
        <v>7.8E-2</v>
      </c>
      <c r="G15" s="50">
        <v>0.108</v>
      </c>
      <c r="H15" s="50">
        <v>0.128</v>
      </c>
      <c r="I15" s="50">
        <v>0.154</v>
      </c>
      <c r="J15" s="50">
        <v>0.21</v>
      </c>
      <c r="L15" s="615" t="s">
        <v>1089</v>
      </c>
      <c r="M15" s="45">
        <v>7.0000000000000001E-3</v>
      </c>
      <c r="O15" s="1" t="s">
        <v>542</v>
      </c>
      <c r="P15" s="1" t="s">
        <v>213</v>
      </c>
      <c r="Q15" s="1" t="s">
        <v>34</v>
      </c>
      <c r="R15" s="50">
        <v>0.10199999999999999</v>
      </c>
    </row>
    <row r="16" spans="1:18" x14ac:dyDescent="0.25">
      <c r="A16" s="82" t="s">
        <v>890</v>
      </c>
      <c r="B16">
        <f>B14*B11</f>
        <v>0</v>
      </c>
      <c r="E16" s="1">
        <v>0.8</v>
      </c>
      <c r="F16" s="50">
        <v>9.7000000000000003E-2</v>
      </c>
      <c r="G16" s="50">
        <v>0.13200000000000001</v>
      </c>
      <c r="H16" s="50">
        <v>0.129</v>
      </c>
      <c r="I16" s="50">
        <v>0.156</v>
      </c>
      <c r="J16" s="50">
        <v>0.17</v>
      </c>
      <c r="L16" s="615" t="s">
        <v>1090</v>
      </c>
      <c r="M16" s="45">
        <v>7.4999999999999997E-3</v>
      </c>
      <c r="O16" s="1" t="s">
        <v>543</v>
      </c>
      <c r="P16" s="1" t="s">
        <v>214</v>
      </c>
      <c r="Q16" s="1" t="s">
        <v>34</v>
      </c>
      <c r="R16" s="50">
        <v>0.11700000000000001</v>
      </c>
    </row>
    <row r="17" spans="2:18" x14ac:dyDescent="0.25">
      <c r="E17" s="1" t="s">
        <v>465</v>
      </c>
      <c r="F17" s="50">
        <v>9.9000000000000005E-2</v>
      </c>
      <c r="G17" s="50">
        <v>0.10800000000000001</v>
      </c>
      <c r="H17" s="50">
        <v>0.129</v>
      </c>
      <c r="I17" s="50">
        <v>0.151</v>
      </c>
      <c r="J17" s="50">
        <v>0.155</v>
      </c>
      <c r="L17" s="616" t="s">
        <v>1091</v>
      </c>
      <c r="M17" s="45">
        <v>8.0000000000000002E-3</v>
      </c>
      <c r="O17" s="1" t="s">
        <v>544</v>
      </c>
      <c r="P17" s="1" t="s">
        <v>265</v>
      </c>
      <c r="Q17" s="1" t="s">
        <v>34</v>
      </c>
      <c r="R17" s="50">
        <v>0.11700000000000001</v>
      </c>
    </row>
    <row r="18" spans="2:18" x14ac:dyDescent="0.25">
      <c r="L18" s="615" t="s">
        <v>1092</v>
      </c>
      <c r="M18" s="45">
        <v>8.5000000000000006E-3</v>
      </c>
      <c r="O18" s="1" t="s">
        <v>545</v>
      </c>
      <c r="P18" s="1" t="s">
        <v>212</v>
      </c>
      <c r="Q18" s="1" t="s">
        <v>0</v>
      </c>
      <c r="R18" s="50">
        <v>5.3999999999999999E-2</v>
      </c>
    </row>
    <row r="19" spans="2:18" x14ac:dyDescent="0.25">
      <c r="B19" t="s">
        <v>976</v>
      </c>
      <c r="C19">
        <f>IF(Welcome!$D$18="Select # of Locations",0,Welcome!$D$18)</f>
        <v>0</v>
      </c>
      <c r="L19" s="615" t="s">
        <v>1093</v>
      </c>
      <c r="M19" s="45">
        <v>8.9999999999999993E-3</v>
      </c>
      <c r="O19" s="1" t="s">
        <v>546</v>
      </c>
      <c r="P19" s="1" t="s">
        <v>213</v>
      </c>
      <c r="Q19" s="1" t="s">
        <v>0</v>
      </c>
      <c r="R19" s="50">
        <v>8.7999999999999995E-2</v>
      </c>
    </row>
    <row r="20" spans="2:18" x14ac:dyDescent="0.25">
      <c r="B20" t="str">
        <f>'PIM Model'!$E$3</f>
        <v>Please Select</v>
      </c>
      <c r="E20" s="1997" t="s">
        <v>971</v>
      </c>
      <c r="F20" s="1998"/>
      <c r="G20" s="1999"/>
      <c r="L20" s="1"/>
      <c r="M20" s="45">
        <v>9.4999999999999998E-3</v>
      </c>
      <c r="O20" s="1" t="s">
        <v>547</v>
      </c>
      <c r="P20" s="1" t="s">
        <v>214</v>
      </c>
      <c r="Q20" s="1" t="s">
        <v>0</v>
      </c>
      <c r="R20" s="50">
        <v>0.112</v>
      </c>
    </row>
    <row r="21" spans="2:18" x14ac:dyDescent="0.25">
      <c r="B21" t="s">
        <v>485</v>
      </c>
      <c r="C21" s="38">
        <f>'PIM Model'!$G$31</f>
        <v>0</v>
      </c>
      <c r="E21" s="84" t="s">
        <v>978</v>
      </c>
      <c r="F21" s="541">
        <v>2600</v>
      </c>
      <c r="G21" s="50">
        <v>5.6000000000000001E-2</v>
      </c>
      <c r="H21" s="24"/>
      <c r="O21" s="1" t="s">
        <v>548</v>
      </c>
      <c r="P21" s="1" t="s">
        <v>265</v>
      </c>
      <c r="Q21" s="1" t="s">
        <v>0</v>
      </c>
      <c r="R21" s="50">
        <v>0.112</v>
      </c>
    </row>
    <row r="22" spans="2:18" x14ac:dyDescent="0.25">
      <c r="B22" t="s">
        <v>486</v>
      </c>
      <c r="C22" s="38">
        <f>$C$21/52</f>
        <v>0</v>
      </c>
      <c r="D22" t="s">
        <v>993</v>
      </c>
      <c r="E22" s="84" t="s">
        <v>979</v>
      </c>
      <c r="F22" s="541">
        <v>4600</v>
      </c>
      <c r="G22" s="50">
        <v>6.3E-2</v>
      </c>
      <c r="H22" s="24"/>
      <c r="L22" s="1996" t="s">
        <v>113</v>
      </c>
      <c r="M22" s="1996"/>
      <c r="O22" s="1" t="s">
        <v>549</v>
      </c>
      <c r="P22" s="1" t="s">
        <v>212</v>
      </c>
      <c r="Q22" s="1" t="s">
        <v>69</v>
      </c>
      <c r="R22" s="50">
        <v>7.6999999999999999E-2</v>
      </c>
    </row>
    <row r="23" spans="2:18" x14ac:dyDescent="0.25">
      <c r="B23" t="s">
        <v>977</v>
      </c>
      <c r="C23" s="38">
        <f>IFERROR($C$22/C19,0)</f>
        <v>0</v>
      </c>
      <c r="E23" s="84" t="s">
        <v>980</v>
      </c>
      <c r="F23" s="541">
        <v>8300</v>
      </c>
      <c r="G23" s="50">
        <v>5.2999999999999999E-2</v>
      </c>
      <c r="H23" s="24"/>
      <c r="L23" s="1997" t="s">
        <v>969</v>
      </c>
      <c r="M23" s="1999"/>
      <c r="O23" s="1" t="s">
        <v>550</v>
      </c>
      <c r="P23" s="1" t="s">
        <v>213</v>
      </c>
      <c r="Q23" s="1" t="s">
        <v>69</v>
      </c>
      <c r="R23" s="50">
        <v>0.122</v>
      </c>
    </row>
    <row r="24" spans="2:18" x14ac:dyDescent="0.25">
      <c r="B24" t="s">
        <v>973</v>
      </c>
      <c r="C24" s="24">
        <v>0.08</v>
      </c>
      <c r="D24" s="24">
        <f>IF($C$23&lt;$F$21,$G$21,IF($C$23&lt;$F$22,$G$22,IF($C$23&lt;$F$23,$G$23,IF($C$23&lt;$F$24,$G$24,$G$25))))</f>
        <v>5.6000000000000001E-2</v>
      </c>
      <c r="E24" s="84" t="s">
        <v>981</v>
      </c>
      <c r="F24" s="541">
        <v>17000</v>
      </c>
      <c r="G24" s="50">
        <v>7.2999999999999995E-2</v>
      </c>
      <c r="H24" s="24"/>
      <c r="L24" s="325" t="s">
        <v>1076</v>
      </c>
      <c r="M24" s="45">
        <f t="shared" ref="M24:M29" si="0">M25-0.0005</f>
        <v>4.9999999999999975E-3</v>
      </c>
      <c r="O24" s="1" t="s">
        <v>551</v>
      </c>
      <c r="P24" s="1" t="s">
        <v>214</v>
      </c>
      <c r="Q24" s="1" t="s">
        <v>69</v>
      </c>
      <c r="R24" s="50">
        <v>0.151</v>
      </c>
    </row>
    <row r="25" spans="2:18" x14ac:dyDescent="0.25">
      <c r="B25" t="s">
        <v>974</v>
      </c>
      <c r="C25" s="24">
        <v>0.08</v>
      </c>
      <c r="D25" s="24">
        <f>IF($C$23&lt;$F$29,$G$29,IF($C$23&lt;$F$30,$G$30,IF($C$23&lt;$F$31,$G$31,IF($C$23&lt;$F$32,$G$32,$G$33))))</f>
        <v>8.3000000000000004E-2</v>
      </c>
      <c r="E25" s="84" t="s">
        <v>982</v>
      </c>
      <c r="F25" s="541"/>
      <c r="G25" s="50">
        <v>6.0999999999999999E-2</v>
      </c>
      <c r="H25" s="24"/>
      <c r="K25" s="607"/>
      <c r="L25" s="325" t="s">
        <v>1077</v>
      </c>
      <c r="M25" s="45">
        <f t="shared" si="0"/>
        <v>5.4999999999999979E-3</v>
      </c>
      <c r="O25" s="1" t="s">
        <v>552</v>
      </c>
      <c r="P25" s="1" t="s">
        <v>265</v>
      </c>
      <c r="Q25" s="1" t="s">
        <v>69</v>
      </c>
      <c r="R25" s="50">
        <v>0.151</v>
      </c>
    </row>
    <row r="26" spans="2:18" x14ac:dyDescent="0.25">
      <c r="B26" t="s">
        <v>975</v>
      </c>
      <c r="C26" s="24">
        <f>IF($B$20="MDA",$C$24,$C$25)</f>
        <v>0.08</v>
      </c>
      <c r="E26" s="82"/>
      <c r="G26" s="24"/>
      <c r="H26" s="24"/>
      <c r="K26" s="607"/>
      <c r="L26" s="325" t="s">
        <v>1078</v>
      </c>
      <c r="M26" s="45">
        <f t="shared" si="0"/>
        <v>5.9999999999999984E-3</v>
      </c>
      <c r="O26" s="1" t="s">
        <v>553</v>
      </c>
      <c r="P26" s="1" t="s">
        <v>212</v>
      </c>
      <c r="Q26" s="1" t="s">
        <v>4</v>
      </c>
      <c r="R26" s="50">
        <v>6.5000000000000002E-2</v>
      </c>
    </row>
    <row r="27" spans="2:18" x14ac:dyDescent="0.25">
      <c r="B27" t="s">
        <v>484</v>
      </c>
      <c r="C27" s="24">
        <f>'Tracking &amp; Profitability'!$I$41</f>
        <v>0</v>
      </c>
      <c r="E27" s="82"/>
      <c r="K27" s="607"/>
      <c r="L27" s="325" t="s">
        <v>1079</v>
      </c>
      <c r="M27" s="45">
        <f t="shared" si="0"/>
        <v>6.4999999999999988E-3</v>
      </c>
      <c r="O27" s="1" t="s">
        <v>554</v>
      </c>
      <c r="P27" s="1" t="s">
        <v>213</v>
      </c>
      <c r="Q27" s="1" t="s">
        <v>4</v>
      </c>
      <c r="R27" s="50">
        <v>9.2999999999999999E-2</v>
      </c>
    </row>
    <row r="28" spans="2:18" x14ac:dyDescent="0.25">
      <c r="C28" s="24">
        <f>IFERROR(IF($C$27&gt;$C$26,"Approved",C26-C27),0)</f>
        <v>0.08</v>
      </c>
      <c r="E28" s="1996" t="s">
        <v>972</v>
      </c>
      <c r="F28" s="1996"/>
      <c r="G28" s="1996"/>
      <c r="K28" s="607"/>
      <c r="L28" s="325" t="s">
        <v>1080</v>
      </c>
      <c r="M28" s="45">
        <f t="shared" si="0"/>
        <v>6.9999999999999993E-3</v>
      </c>
      <c r="O28" s="1" t="s">
        <v>555</v>
      </c>
      <c r="P28" s="1" t="s">
        <v>214</v>
      </c>
      <c r="Q28" s="1" t="s">
        <v>4</v>
      </c>
      <c r="R28" s="50">
        <v>0.11600000000000001</v>
      </c>
    </row>
    <row r="29" spans="2:18" x14ac:dyDescent="0.25">
      <c r="E29" s="84" t="s">
        <v>983</v>
      </c>
      <c r="F29" s="541">
        <v>1500</v>
      </c>
      <c r="G29" s="50">
        <v>8.3000000000000004E-2</v>
      </c>
      <c r="H29" s="24"/>
      <c r="K29" s="607"/>
      <c r="L29" s="325" t="s">
        <v>1081</v>
      </c>
      <c r="M29" s="45">
        <f t="shared" si="0"/>
        <v>7.4999999999999997E-3</v>
      </c>
      <c r="O29" s="1" t="s">
        <v>556</v>
      </c>
      <c r="P29" s="1" t="s">
        <v>265</v>
      </c>
      <c r="Q29" s="1" t="s">
        <v>4</v>
      </c>
      <c r="R29" s="50">
        <v>0.11600000000000001</v>
      </c>
    </row>
    <row r="30" spans="2:18" x14ac:dyDescent="0.25">
      <c r="E30" s="84" t="s">
        <v>984</v>
      </c>
      <c r="F30" s="541">
        <v>2400</v>
      </c>
      <c r="G30" s="50">
        <v>8.3000000000000004E-2</v>
      </c>
      <c r="H30" s="24"/>
      <c r="K30" s="607"/>
      <c r="L30" s="611" t="s">
        <v>1082</v>
      </c>
      <c r="M30" s="612">
        <v>8.0000000000000002E-3</v>
      </c>
      <c r="O30" s="1" t="s">
        <v>557</v>
      </c>
      <c r="P30" s="1" t="s">
        <v>212</v>
      </c>
      <c r="Q30" s="1" t="s">
        <v>35</v>
      </c>
      <c r="R30" s="50">
        <v>8.6999999999999994E-2</v>
      </c>
    </row>
    <row r="31" spans="2:18" x14ac:dyDescent="0.25">
      <c r="E31" s="84" t="s">
        <v>985</v>
      </c>
      <c r="F31" s="541">
        <v>4100</v>
      </c>
      <c r="G31" s="50">
        <v>8.3000000000000004E-2</v>
      </c>
      <c r="H31" s="24"/>
      <c r="K31" s="607"/>
      <c r="L31" s="325" t="s">
        <v>1083</v>
      </c>
      <c r="M31" s="45">
        <f>M30+0.0005</f>
        <v>8.5000000000000006E-3</v>
      </c>
      <c r="O31" s="1" t="s">
        <v>558</v>
      </c>
      <c r="P31" s="1" t="s">
        <v>213</v>
      </c>
      <c r="Q31" s="1" t="s">
        <v>35</v>
      </c>
      <c r="R31" s="50">
        <v>8.6999999999999994E-2</v>
      </c>
    </row>
    <row r="32" spans="2:18" x14ac:dyDescent="0.25">
      <c r="E32" s="84" t="s">
        <v>986</v>
      </c>
      <c r="F32" s="541">
        <v>8000</v>
      </c>
      <c r="G32" s="50">
        <v>8.2000000000000003E-2</v>
      </c>
      <c r="H32" s="24"/>
      <c r="K32" s="607"/>
      <c r="L32" s="325" t="s">
        <v>1084</v>
      </c>
      <c r="M32" s="45">
        <f>M31+0.0005</f>
        <v>9.0000000000000011E-3</v>
      </c>
      <c r="O32" s="1" t="s">
        <v>559</v>
      </c>
      <c r="P32" s="1" t="s">
        <v>214</v>
      </c>
      <c r="Q32" s="1" t="s">
        <v>35</v>
      </c>
      <c r="R32" s="50">
        <v>0.11700000000000001</v>
      </c>
    </row>
    <row r="33" spans="1:18" x14ac:dyDescent="0.25">
      <c r="E33" s="84" t="s">
        <v>987</v>
      </c>
      <c r="F33" s="541"/>
      <c r="G33" s="50">
        <v>7.9000000000000001E-2</v>
      </c>
      <c r="H33" s="24"/>
      <c r="K33" s="607"/>
      <c r="L33" s="325" t="s">
        <v>1085</v>
      </c>
      <c r="M33" s="45">
        <f>M32+0.0005</f>
        <v>9.5000000000000015E-3</v>
      </c>
      <c r="O33" s="1" t="s">
        <v>560</v>
      </c>
      <c r="P33" s="1" t="s">
        <v>265</v>
      </c>
      <c r="Q33" s="1" t="s">
        <v>35</v>
      </c>
      <c r="R33" s="50">
        <v>0.11700000000000001</v>
      </c>
    </row>
    <row r="34" spans="1:18" ht="15.75" thickBot="1" x14ac:dyDescent="0.3">
      <c r="G34" s="24"/>
      <c r="H34" s="24"/>
      <c r="K34" s="607"/>
      <c r="L34" s="325" t="s">
        <v>1086</v>
      </c>
      <c r="M34" s="45">
        <f>M33+0.0005</f>
        <v>1.0000000000000002E-2</v>
      </c>
      <c r="O34" s="1" t="s">
        <v>561</v>
      </c>
      <c r="P34" s="1" t="s">
        <v>212</v>
      </c>
      <c r="Q34" s="1" t="s">
        <v>6</v>
      </c>
      <c r="R34" s="50">
        <v>0.06</v>
      </c>
    </row>
    <row r="35" spans="1:18" ht="15.75" thickBot="1" x14ac:dyDescent="0.3">
      <c r="A35" s="336" t="s">
        <v>895</v>
      </c>
      <c r="K35" s="607"/>
      <c r="L35" s="325" t="s">
        <v>1087</v>
      </c>
      <c r="M35" s="45">
        <f>M34+0.0005</f>
        <v>1.0500000000000002E-2</v>
      </c>
      <c r="O35" s="1" t="s">
        <v>562</v>
      </c>
      <c r="P35" s="1" t="s">
        <v>213</v>
      </c>
      <c r="Q35" s="1" t="s">
        <v>6</v>
      </c>
      <c r="R35" s="50">
        <v>0.106</v>
      </c>
    </row>
    <row r="36" spans="1:18" x14ac:dyDescent="0.25">
      <c r="A36" s="1717" t="s">
        <v>885</v>
      </c>
      <c r="B36" s="1718" t="s">
        <v>853</v>
      </c>
      <c r="C36" s="1719" t="s">
        <v>457</v>
      </c>
      <c r="D36" s="1719" t="s">
        <v>887</v>
      </c>
      <c r="E36" s="1720" t="s">
        <v>893</v>
      </c>
      <c r="F36" s="1724" t="s">
        <v>886</v>
      </c>
      <c r="G36" s="1721" t="s">
        <v>894</v>
      </c>
      <c r="H36" s="607"/>
      <c r="I36" s="325" t="s">
        <v>1088</v>
      </c>
      <c r="J36" s="45">
        <f>M35+0.0005</f>
        <v>1.1000000000000003E-2</v>
      </c>
      <c r="L36" s="1" t="s">
        <v>563</v>
      </c>
      <c r="M36" s="1" t="s">
        <v>214</v>
      </c>
      <c r="N36" s="1" t="s">
        <v>6</v>
      </c>
      <c r="O36" s="50">
        <v>0.12</v>
      </c>
    </row>
    <row r="37" spans="1:18" x14ac:dyDescent="0.25">
      <c r="A37" s="1049" cm="1">
        <f t="array" ref="A37:A56">_xlfn.SEQUENCE('Configurable Tab'!Q2)</f>
        <v>1</v>
      </c>
      <c r="B37" s="1711" t="str">
        <f>'Customer Inputs'!Z6</f>
        <v/>
      </c>
      <c r="C37" s="1711">
        <f>'Customer Inputs'!P6</f>
        <v>0</v>
      </c>
      <c r="D37" s="334">
        <f>'Multi-Customer'!$BK$9</f>
        <v>0</v>
      </c>
      <c r="E37" s="334">
        <f>'Multi-Customer'!$BK$10</f>
        <v>0</v>
      </c>
      <c r="F37" s="1725">
        <f t="shared" ref="F37:F46" si="1">D37*C37</f>
        <v>0</v>
      </c>
      <c r="G37" s="394">
        <f t="shared" ref="G37:G46" si="2">E37*C37</f>
        <v>0</v>
      </c>
      <c r="H37" s="607"/>
      <c r="I37" s="325" t="s">
        <v>1089</v>
      </c>
      <c r="J37" s="45">
        <f t="shared" ref="J37:J42" si="3">J36+0.0005</f>
        <v>1.1500000000000003E-2</v>
      </c>
      <c r="L37" s="1" t="s">
        <v>564</v>
      </c>
      <c r="M37" s="1" t="s">
        <v>265</v>
      </c>
      <c r="N37" s="1" t="s">
        <v>6</v>
      </c>
      <c r="O37" s="50">
        <v>0.17</v>
      </c>
    </row>
    <row r="38" spans="1:18" x14ac:dyDescent="0.25">
      <c r="A38" s="1049">
        <v>2</v>
      </c>
      <c r="B38" s="1711" t="str">
        <f>'Customer Inputs'!Z7</f>
        <v/>
      </c>
      <c r="C38" s="1711">
        <f>'Customer Inputs'!P7</f>
        <v>0</v>
      </c>
      <c r="D38" s="334">
        <f>'Multi-Customer'!$CH$9</f>
        <v>0</v>
      </c>
      <c r="E38" s="334">
        <f>'Multi-Customer'!$CH$10</f>
        <v>0</v>
      </c>
      <c r="F38" s="1725">
        <f t="shared" si="1"/>
        <v>0</v>
      </c>
      <c r="G38" s="394">
        <f t="shared" si="2"/>
        <v>0</v>
      </c>
      <c r="H38" s="607"/>
      <c r="I38" s="325" t="s">
        <v>1090</v>
      </c>
      <c r="J38" s="45">
        <f t="shared" si="3"/>
        <v>1.2000000000000004E-2</v>
      </c>
      <c r="L38" s="1" t="s">
        <v>565</v>
      </c>
      <c r="M38" s="1" t="s">
        <v>212</v>
      </c>
      <c r="N38" s="1" t="s">
        <v>255</v>
      </c>
      <c r="O38" s="50">
        <v>5.9000000000000004E-2</v>
      </c>
    </row>
    <row r="39" spans="1:18" x14ac:dyDescent="0.25">
      <c r="A39" s="1049">
        <v>3</v>
      </c>
      <c r="B39" s="1711" t="str">
        <f>'Customer Inputs'!Z8</f>
        <v/>
      </c>
      <c r="C39" s="1711">
        <f>'Customer Inputs'!P8</f>
        <v>0</v>
      </c>
      <c r="D39" s="334">
        <f>'Multi-Customer'!$DE$9</f>
        <v>0</v>
      </c>
      <c r="E39" s="334">
        <f>'Multi-Customer'!$DE$10</f>
        <v>0</v>
      </c>
      <c r="F39" s="1725">
        <f t="shared" si="1"/>
        <v>0</v>
      </c>
      <c r="G39" s="394">
        <f t="shared" si="2"/>
        <v>0</v>
      </c>
      <c r="H39" s="607"/>
      <c r="I39" s="326" t="s">
        <v>1091</v>
      </c>
      <c r="J39" s="45">
        <f t="shared" si="3"/>
        <v>1.2500000000000004E-2</v>
      </c>
      <c r="L39" s="1" t="s">
        <v>566</v>
      </c>
      <c r="M39" s="1" t="s">
        <v>213</v>
      </c>
      <c r="N39" s="1" t="s">
        <v>255</v>
      </c>
      <c r="O39" s="50">
        <v>9.9000000000000005E-2</v>
      </c>
    </row>
    <row r="40" spans="1:18" x14ac:dyDescent="0.25">
      <c r="A40" s="1049">
        <v>4</v>
      </c>
      <c r="B40" s="1711" t="str">
        <f>'Customer Inputs'!Z9</f>
        <v/>
      </c>
      <c r="C40" s="1711">
        <f>'Customer Inputs'!P9</f>
        <v>0</v>
      </c>
      <c r="D40" s="334">
        <f>'Multi-Customer'!$EB$9</f>
        <v>0</v>
      </c>
      <c r="E40" s="334">
        <f>'Multi-Customer'!$EB$10</f>
        <v>0</v>
      </c>
      <c r="F40" s="1725">
        <f t="shared" si="1"/>
        <v>0</v>
      </c>
      <c r="G40" s="394">
        <f t="shared" si="2"/>
        <v>0</v>
      </c>
      <c r="H40" s="607"/>
      <c r="I40" s="325" t="s">
        <v>1092</v>
      </c>
      <c r="J40" s="45">
        <f t="shared" si="3"/>
        <v>1.3000000000000005E-2</v>
      </c>
      <c r="L40" s="1" t="s">
        <v>567</v>
      </c>
      <c r="M40" s="1" t="s">
        <v>214</v>
      </c>
      <c r="N40" s="1" t="s">
        <v>255</v>
      </c>
      <c r="O40" s="50">
        <v>0.11900000000000001</v>
      </c>
    </row>
    <row r="41" spans="1:18" x14ac:dyDescent="0.25">
      <c r="A41" s="1049">
        <v>5</v>
      </c>
      <c r="B41" s="1711" t="str">
        <f>'Customer Inputs'!Z10</f>
        <v/>
      </c>
      <c r="C41" s="1711">
        <f>'Customer Inputs'!P10</f>
        <v>0</v>
      </c>
      <c r="D41" s="334">
        <f>'Multi-Customer'!$EY$9</f>
        <v>0</v>
      </c>
      <c r="E41" s="334">
        <f>'Multi-Customer'!$EY$10</f>
        <v>0</v>
      </c>
      <c r="F41" s="1725">
        <f t="shared" si="1"/>
        <v>0</v>
      </c>
      <c r="G41" s="394">
        <f t="shared" si="2"/>
        <v>0</v>
      </c>
      <c r="H41" s="607"/>
      <c r="I41" s="325" t="s">
        <v>1093</v>
      </c>
      <c r="J41" s="45">
        <f t="shared" si="3"/>
        <v>1.3500000000000005E-2</v>
      </c>
      <c r="L41" s="1" t="s">
        <v>568</v>
      </c>
      <c r="M41" s="1" t="s">
        <v>265</v>
      </c>
      <c r="N41" s="1" t="s">
        <v>255</v>
      </c>
      <c r="O41" s="50">
        <v>0.15</v>
      </c>
    </row>
    <row r="42" spans="1:18" x14ac:dyDescent="0.25">
      <c r="A42" s="1049">
        <v>6</v>
      </c>
      <c r="B42" s="1711" t="str">
        <f>'Customer Inputs'!Z11</f>
        <v/>
      </c>
      <c r="C42" s="1711">
        <f>'Customer Inputs'!P11</f>
        <v>0</v>
      </c>
      <c r="D42" s="334">
        <f>'Multi-Customer'!$FV$9</f>
        <v>0</v>
      </c>
      <c r="E42" s="334">
        <f>'Multi-Customer'!$FV$10</f>
        <v>0</v>
      </c>
      <c r="F42" s="1725">
        <f t="shared" si="1"/>
        <v>0</v>
      </c>
      <c r="G42" s="394">
        <f t="shared" si="2"/>
        <v>0</v>
      </c>
      <c r="H42" s="607"/>
      <c r="I42" s="608" t="s">
        <v>1094</v>
      </c>
      <c r="J42" s="45">
        <f t="shared" si="3"/>
        <v>1.4000000000000005E-2</v>
      </c>
      <c r="L42" s="1" t="s">
        <v>569</v>
      </c>
      <c r="M42" s="1" t="s">
        <v>212</v>
      </c>
      <c r="N42" s="1" t="s">
        <v>15</v>
      </c>
      <c r="O42" s="50">
        <v>4.5999999999999999E-2</v>
      </c>
    </row>
    <row r="43" spans="1:18" x14ac:dyDescent="0.25">
      <c r="A43" s="1049">
        <v>7</v>
      </c>
      <c r="B43" s="1711" t="str">
        <f>'Customer Inputs'!Z12</f>
        <v/>
      </c>
      <c r="C43" s="1711">
        <f>'Customer Inputs'!P12</f>
        <v>0</v>
      </c>
      <c r="D43" s="334">
        <f>'Multi-Customer'!$GS$9</f>
        <v>0</v>
      </c>
      <c r="E43" s="334">
        <f>'Multi-Customer'!$GS$10</f>
        <v>0</v>
      </c>
      <c r="F43" s="1725">
        <f t="shared" si="1"/>
        <v>0</v>
      </c>
      <c r="G43" s="394">
        <f t="shared" si="2"/>
        <v>0</v>
      </c>
      <c r="L43" s="1" t="s">
        <v>570</v>
      </c>
      <c r="M43" s="1" t="s">
        <v>213</v>
      </c>
      <c r="N43" s="1" t="s">
        <v>15</v>
      </c>
      <c r="O43" s="50">
        <v>0.109</v>
      </c>
    </row>
    <row r="44" spans="1:18" x14ac:dyDescent="0.25">
      <c r="A44" s="1049">
        <v>8</v>
      </c>
      <c r="B44" s="1711" t="str">
        <f>'Customer Inputs'!Z13</f>
        <v/>
      </c>
      <c r="C44" s="1711">
        <f>'Customer Inputs'!P13</f>
        <v>0</v>
      </c>
      <c r="D44" s="334">
        <f>'Multi-Customer'!$HP$9</f>
        <v>0</v>
      </c>
      <c r="E44" s="334">
        <f>'Multi-Customer'!$HP$10</f>
        <v>0</v>
      </c>
      <c r="F44" s="1725">
        <f t="shared" si="1"/>
        <v>0</v>
      </c>
      <c r="G44" s="394">
        <f t="shared" si="2"/>
        <v>0</v>
      </c>
      <c r="L44" s="1" t="s">
        <v>571</v>
      </c>
      <c r="M44" s="1" t="s">
        <v>214</v>
      </c>
      <c r="N44" s="1" t="s">
        <v>15</v>
      </c>
      <c r="O44" s="50">
        <v>0.11600000000000001</v>
      </c>
    </row>
    <row r="45" spans="1:18" x14ac:dyDescent="0.25">
      <c r="A45" s="1049">
        <v>9</v>
      </c>
      <c r="B45" s="1711" t="str">
        <f>'Customer Inputs'!Z14</f>
        <v/>
      </c>
      <c r="C45" s="1711">
        <f>'Customer Inputs'!P14</f>
        <v>0</v>
      </c>
      <c r="D45" s="334">
        <f>'Multi-Customer'!$IM$9</f>
        <v>0</v>
      </c>
      <c r="E45" s="334">
        <f>'Multi-Customer'!$IM$10</f>
        <v>0</v>
      </c>
      <c r="F45" s="1725">
        <f t="shared" si="1"/>
        <v>0</v>
      </c>
      <c r="G45" s="394">
        <f t="shared" si="2"/>
        <v>0</v>
      </c>
      <c r="L45" s="1" t="s">
        <v>572</v>
      </c>
      <c r="M45" s="1" t="s">
        <v>265</v>
      </c>
      <c r="N45" s="1" t="s">
        <v>15</v>
      </c>
      <c r="O45" s="50">
        <v>0.11600000000000001</v>
      </c>
    </row>
    <row r="46" spans="1:18" x14ac:dyDescent="0.25">
      <c r="A46" s="1049">
        <v>10</v>
      </c>
      <c r="B46" s="1711" t="str">
        <f>'Customer Inputs'!Z15</f>
        <v/>
      </c>
      <c r="C46" s="1711">
        <f>'Customer Inputs'!P15</f>
        <v>0</v>
      </c>
      <c r="D46" s="334">
        <f>'Multi-Customer'!$JJ$9</f>
        <v>0</v>
      </c>
      <c r="E46" s="334">
        <f>'Multi-Customer'!$JJ$10</f>
        <v>0</v>
      </c>
      <c r="F46" s="1725">
        <f t="shared" si="1"/>
        <v>0</v>
      </c>
      <c r="G46" s="394">
        <f t="shared" si="2"/>
        <v>0</v>
      </c>
      <c r="L46" s="1" t="s">
        <v>573</v>
      </c>
      <c r="M46" s="1" t="s">
        <v>212</v>
      </c>
      <c r="N46" s="1" t="s">
        <v>45</v>
      </c>
      <c r="O46" s="50">
        <v>5.1999999999999998E-2</v>
      </c>
    </row>
    <row r="47" spans="1:18" x14ac:dyDescent="0.25">
      <c r="A47" s="1049">
        <v>11</v>
      </c>
      <c r="B47" s="1711" t="str">
        <f>'Customer Inputs'!Z16</f>
        <v/>
      </c>
      <c r="C47" s="1711">
        <f>'Customer Inputs'!P16</f>
        <v>0</v>
      </c>
      <c r="D47" s="334">
        <f>'Multi-Customer'!$KG$9</f>
        <v>0</v>
      </c>
      <c r="E47" s="334">
        <f>'Multi-Customer'!$KG$10</f>
        <v>0</v>
      </c>
      <c r="F47" s="1725">
        <f t="shared" ref="F47:F56" si="4">D47*C47</f>
        <v>0</v>
      </c>
      <c r="G47" s="394">
        <f t="shared" ref="G47:G56" si="5">E47*C47</f>
        <v>0</v>
      </c>
      <c r="O47" s="1" t="s">
        <v>574</v>
      </c>
      <c r="P47" s="1" t="s">
        <v>213</v>
      </c>
      <c r="Q47" s="1" t="s">
        <v>45</v>
      </c>
      <c r="R47" s="50">
        <v>6.3E-2</v>
      </c>
    </row>
    <row r="48" spans="1:18" x14ac:dyDescent="0.25">
      <c r="A48" s="1049">
        <v>12</v>
      </c>
      <c r="B48" s="1711" t="str">
        <f>'Customer Inputs'!Z17</f>
        <v/>
      </c>
      <c r="C48" s="1711">
        <f>'Customer Inputs'!P17</f>
        <v>0</v>
      </c>
      <c r="D48" s="334">
        <f>'Multi-Customer'!$LD$9</f>
        <v>0</v>
      </c>
      <c r="E48" s="334">
        <f>'Multi-Customer'!$LD$10</f>
        <v>0</v>
      </c>
      <c r="F48" s="1725">
        <f t="shared" si="4"/>
        <v>0</v>
      </c>
      <c r="G48" s="394">
        <f t="shared" si="5"/>
        <v>0</v>
      </c>
      <c r="O48" s="1" t="s">
        <v>575</v>
      </c>
      <c r="P48" s="1" t="s">
        <v>214</v>
      </c>
      <c r="Q48" s="1" t="s">
        <v>45</v>
      </c>
      <c r="R48" s="50">
        <v>0.115</v>
      </c>
    </row>
    <row r="49" spans="1:18" x14ac:dyDescent="0.25">
      <c r="A49" s="1049">
        <v>13</v>
      </c>
      <c r="B49" s="1711" t="str">
        <f>'Customer Inputs'!Z18</f>
        <v/>
      </c>
      <c r="C49" s="1711">
        <f>'Customer Inputs'!P18</f>
        <v>0</v>
      </c>
      <c r="D49" s="334">
        <f>'Multi-Customer'!$MA$9</f>
        <v>0</v>
      </c>
      <c r="E49" s="334">
        <f>'Multi-Customer'!$MA$10</f>
        <v>0</v>
      </c>
      <c r="F49" s="1725">
        <f t="shared" si="4"/>
        <v>0</v>
      </c>
      <c r="G49" s="394">
        <f t="shared" si="5"/>
        <v>0</v>
      </c>
      <c r="O49" s="1" t="s">
        <v>576</v>
      </c>
      <c r="P49" s="1" t="s">
        <v>265</v>
      </c>
      <c r="Q49" s="1" t="s">
        <v>45</v>
      </c>
      <c r="R49" s="50">
        <v>0.115</v>
      </c>
    </row>
    <row r="50" spans="1:18" x14ac:dyDescent="0.25">
      <c r="A50" s="1049">
        <v>14</v>
      </c>
      <c r="B50" s="1711" t="str">
        <f>'Customer Inputs'!Z19</f>
        <v/>
      </c>
      <c r="C50" s="1711">
        <f>'Customer Inputs'!P19</f>
        <v>0</v>
      </c>
      <c r="D50" s="334">
        <f>'Multi-Customer'!$MX$9</f>
        <v>0</v>
      </c>
      <c r="E50" s="334">
        <f>'Multi-Customer'!$MX$10</f>
        <v>0</v>
      </c>
      <c r="F50" s="1725">
        <f t="shared" si="4"/>
        <v>0</v>
      </c>
      <c r="G50" s="394">
        <f t="shared" si="5"/>
        <v>0</v>
      </c>
      <c r="O50" s="1" t="s">
        <v>577</v>
      </c>
      <c r="P50" s="1" t="s">
        <v>212</v>
      </c>
      <c r="Q50" s="1" t="s">
        <v>256</v>
      </c>
      <c r="R50" s="50">
        <v>5.9000000000000004E-2</v>
      </c>
    </row>
    <row r="51" spans="1:18" x14ac:dyDescent="0.25">
      <c r="A51" s="1049">
        <v>15</v>
      </c>
      <c r="B51" s="1711" t="str">
        <f>'Customer Inputs'!Z20</f>
        <v/>
      </c>
      <c r="C51" s="1711">
        <f>'Customer Inputs'!P20</f>
        <v>0</v>
      </c>
      <c r="D51" s="334">
        <f>'Multi-Customer'!$NU$9</f>
        <v>0</v>
      </c>
      <c r="E51" s="334">
        <f>'Multi-Customer'!$NU$10</f>
        <v>0</v>
      </c>
      <c r="F51" s="1725">
        <f t="shared" si="4"/>
        <v>0</v>
      </c>
      <c r="G51" s="394">
        <f t="shared" si="5"/>
        <v>0</v>
      </c>
      <c r="O51" s="1" t="s">
        <v>578</v>
      </c>
      <c r="P51" s="1" t="s">
        <v>213</v>
      </c>
      <c r="Q51" s="1" t="s">
        <v>256</v>
      </c>
      <c r="R51" s="50">
        <v>9.9000000000000005E-2</v>
      </c>
    </row>
    <row r="52" spans="1:18" x14ac:dyDescent="0.25">
      <c r="A52" s="1049">
        <v>16</v>
      </c>
      <c r="B52" s="1711" t="str">
        <f>'Customer Inputs'!Z21</f>
        <v/>
      </c>
      <c r="C52" s="1711">
        <f>'Customer Inputs'!P21</f>
        <v>0</v>
      </c>
      <c r="D52" s="334">
        <f>'Multi-Customer'!$OR$9</f>
        <v>0</v>
      </c>
      <c r="E52" s="334">
        <f>'Multi-Customer'!$OR$10</f>
        <v>0</v>
      </c>
      <c r="F52" s="1725">
        <f t="shared" si="4"/>
        <v>0</v>
      </c>
      <c r="G52" s="394">
        <f t="shared" si="5"/>
        <v>0</v>
      </c>
      <c r="O52" s="1" t="s">
        <v>579</v>
      </c>
      <c r="P52" s="1" t="s">
        <v>214</v>
      </c>
      <c r="Q52" s="1" t="s">
        <v>256</v>
      </c>
      <c r="R52" s="50">
        <v>0.11900000000000001</v>
      </c>
    </row>
    <row r="53" spans="1:18" x14ac:dyDescent="0.25">
      <c r="A53" s="1049">
        <v>17</v>
      </c>
      <c r="B53" s="1711" t="str">
        <f>'Customer Inputs'!Z22</f>
        <v/>
      </c>
      <c r="C53" s="1711">
        <f>'Customer Inputs'!P22</f>
        <v>0</v>
      </c>
      <c r="D53" s="334">
        <f>'Multi-Customer'!$PO$9</f>
        <v>0</v>
      </c>
      <c r="E53" s="334">
        <f>'Multi-Customer'!$PO$10</f>
        <v>0</v>
      </c>
      <c r="F53" s="1725">
        <f t="shared" si="4"/>
        <v>0</v>
      </c>
      <c r="G53" s="394">
        <f t="shared" si="5"/>
        <v>0</v>
      </c>
      <c r="H53" s="1710"/>
      <c r="O53" s="1" t="s">
        <v>580</v>
      </c>
      <c r="P53" s="1" t="s">
        <v>265</v>
      </c>
      <c r="Q53" s="1" t="s">
        <v>256</v>
      </c>
      <c r="R53" s="50">
        <v>0.15</v>
      </c>
    </row>
    <row r="54" spans="1:18" x14ac:dyDescent="0.25">
      <c r="A54" s="1049">
        <v>18</v>
      </c>
      <c r="B54" s="1711" t="str">
        <f>'Customer Inputs'!Z23</f>
        <v/>
      </c>
      <c r="C54" s="1711">
        <f>'Customer Inputs'!P23</f>
        <v>0</v>
      </c>
      <c r="D54" s="334">
        <f>'Multi-Customer'!$QL$9</f>
        <v>0</v>
      </c>
      <c r="E54" s="334">
        <f>'Multi-Customer'!$QL$10</f>
        <v>0</v>
      </c>
      <c r="F54" s="1725">
        <f t="shared" si="4"/>
        <v>0</v>
      </c>
      <c r="G54" s="394">
        <f t="shared" si="5"/>
        <v>0</v>
      </c>
      <c r="H54" s="1710"/>
      <c r="O54" s="1" t="s">
        <v>581</v>
      </c>
      <c r="P54" s="1" t="s">
        <v>212</v>
      </c>
      <c r="Q54" s="1" t="s">
        <v>48</v>
      </c>
      <c r="R54" s="50">
        <v>5.8999999999999997E-2</v>
      </c>
    </row>
    <row r="55" spans="1:18" x14ac:dyDescent="0.25">
      <c r="A55" s="1049">
        <v>19</v>
      </c>
      <c r="B55" s="1711" t="str">
        <f>'Customer Inputs'!Z24</f>
        <v/>
      </c>
      <c r="C55" s="1711">
        <f>'Customer Inputs'!P24</f>
        <v>0</v>
      </c>
      <c r="D55" s="334">
        <f>'Multi-Customer'!$RI$9</f>
        <v>0</v>
      </c>
      <c r="E55" s="334">
        <f>'Multi-Customer'!$RI$10</f>
        <v>0</v>
      </c>
      <c r="F55" s="1725">
        <f t="shared" si="4"/>
        <v>0</v>
      </c>
      <c r="G55" s="394">
        <f t="shared" si="5"/>
        <v>0</v>
      </c>
      <c r="O55" s="1" t="s">
        <v>582</v>
      </c>
      <c r="P55" s="1" t="s">
        <v>213</v>
      </c>
      <c r="Q55" s="1" t="s">
        <v>48</v>
      </c>
      <c r="R55" s="50">
        <v>9.9000000000000005E-2</v>
      </c>
    </row>
    <row r="56" spans="1:18" ht="15.75" thickBot="1" x14ac:dyDescent="0.3">
      <c r="A56" s="1716">
        <v>20</v>
      </c>
      <c r="B56" s="1712" t="str">
        <f>'Customer Inputs'!Z25</f>
        <v/>
      </c>
      <c r="C56" s="256">
        <f>'Customer Inputs'!P25</f>
        <v>0</v>
      </c>
      <c r="D56" s="1722">
        <f>'Multi-Customer'!$SF$9</f>
        <v>0</v>
      </c>
      <c r="E56" s="1723">
        <f>'Multi-Customer'!$SF$10</f>
        <v>0</v>
      </c>
      <c r="F56" s="1726">
        <f t="shared" si="4"/>
        <v>0</v>
      </c>
      <c r="G56" s="394">
        <f t="shared" si="5"/>
        <v>0</v>
      </c>
      <c r="O56" s="1" t="s">
        <v>583</v>
      </c>
      <c r="P56" s="1" t="s">
        <v>214</v>
      </c>
      <c r="Q56" s="1" t="s">
        <v>48</v>
      </c>
      <c r="R56" s="50">
        <v>0.13900000000000001</v>
      </c>
    </row>
    <row r="57" spans="1:18" ht="15.75" thickBot="1" x14ac:dyDescent="0.3">
      <c r="F57" s="1727">
        <f>SUM(F37:F46)</f>
        <v>0</v>
      </c>
      <c r="G57" s="337">
        <f>SUM(G37:G46)</f>
        <v>0</v>
      </c>
      <c r="O57" s="1" t="s">
        <v>584</v>
      </c>
      <c r="P57" s="1" t="s">
        <v>265</v>
      </c>
      <c r="Q57" s="1" t="s">
        <v>48</v>
      </c>
      <c r="R57" s="50">
        <v>0.13900000000000001</v>
      </c>
    </row>
    <row r="58" spans="1:18" x14ac:dyDescent="0.25">
      <c r="O58" s="1" t="s">
        <v>585</v>
      </c>
      <c r="P58" s="1" t="s">
        <v>212</v>
      </c>
      <c r="Q58" s="1" t="s">
        <v>257</v>
      </c>
      <c r="R58" s="50">
        <v>5.9000000000000004E-2</v>
      </c>
    </row>
    <row r="59" spans="1:18" x14ac:dyDescent="0.25">
      <c r="O59" s="1" t="s">
        <v>586</v>
      </c>
      <c r="P59" s="1" t="s">
        <v>213</v>
      </c>
      <c r="Q59" s="1" t="s">
        <v>257</v>
      </c>
      <c r="R59" s="50">
        <v>9.9000000000000005E-2</v>
      </c>
    </row>
    <row r="60" spans="1:18" x14ac:dyDescent="0.25">
      <c r="O60" s="1" t="s">
        <v>587</v>
      </c>
      <c r="P60" s="1" t="s">
        <v>214</v>
      </c>
      <c r="Q60" s="1" t="s">
        <v>257</v>
      </c>
      <c r="R60" s="50">
        <v>0.11900000000000001</v>
      </c>
    </row>
    <row r="61" spans="1:18" x14ac:dyDescent="0.25">
      <c r="O61" s="1" t="s">
        <v>588</v>
      </c>
      <c r="P61" s="1" t="s">
        <v>265</v>
      </c>
      <c r="Q61" s="1" t="s">
        <v>257</v>
      </c>
      <c r="R61" s="50">
        <v>0.15</v>
      </c>
    </row>
    <row r="62" spans="1:18" x14ac:dyDescent="0.25">
      <c r="O62" s="1" t="s">
        <v>589</v>
      </c>
      <c r="P62" s="1" t="s">
        <v>212</v>
      </c>
      <c r="Q62" s="1" t="s">
        <v>258</v>
      </c>
      <c r="R62" s="50">
        <v>5.9000000000000004E-2</v>
      </c>
    </row>
    <row r="63" spans="1:18" x14ac:dyDescent="0.25">
      <c r="O63" s="1" t="s">
        <v>590</v>
      </c>
      <c r="P63" s="1" t="s">
        <v>213</v>
      </c>
      <c r="Q63" s="1" t="s">
        <v>258</v>
      </c>
      <c r="R63" s="50">
        <v>9.9000000000000005E-2</v>
      </c>
    </row>
    <row r="64" spans="1:18" x14ac:dyDescent="0.25">
      <c r="D64" s="58"/>
      <c r="O64" s="1" t="s">
        <v>591</v>
      </c>
      <c r="P64" s="1" t="s">
        <v>214</v>
      </c>
      <c r="Q64" s="1" t="s">
        <v>258</v>
      </c>
      <c r="R64" s="50">
        <v>0.11900000000000001</v>
      </c>
    </row>
    <row r="65" spans="4:18" x14ac:dyDescent="0.25">
      <c r="E65" s="39"/>
      <c r="G65" s="58"/>
      <c r="O65" s="1" t="s">
        <v>592</v>
      </c>
      <c r="P65" s="1" t="s">
        <v>265</v>
      </c>
      <c r="Q65" s="1" t="s">
        <v>258</v>
      </c>
      <c r="R65" s="50">
        <v>0.15</v>
      </c>
    </row>
    <row r="66" spans="4:18" x14ac:dyDescent="0.25">
      <c r="D66" s="39"/>
      <c r="O66" s="1" t="s">
        <v>593</v>
      </c>
      <c r="P66" s="1" t="s">
        <v>212</v>
      </c>
      <c r="Q66" s="1" t="s">
        <v>259</v>
      </c>
      <c r="R66" s="50">
        <v>5.0999999999999997E-2</v>
      </c>
    </row>
    <row r="67" spans="4:18" x14ac:dyDescent="0.25">
      <c r="O67" s="1" t="s">
        <v>594</v>
      </c>
      <c r="P67" s="1" t="s">
        <v>213</v>
      </c>
      <c r="Q67" s="1" t="s">
        <v>259</v>
      </c>
      <c r="R67" s="50">
        <v>0.108</v>
      </c>
    </row>
    <row r="68" spans="4:18" x14ac:dyDescent="0.25">
      <c r="O68" s="1" t="s">
        <v>595</v>
      </c>
      <c r="P68" s="1" t="s">
        <v>214</v>
      </c>
      <c r="Q68" s="1" t="s">
        <v>259</v>
      </c>
      <c r="R68" s="50">
        <v>0.121</v>
      </c>
    </row>
    <row r="69" spans="4:18" x14ac:dyDescent="0.25">
      <c r="O69" s="1" t="s">
        <v>596</v>
      </c>
      <c r="P69" s="1" t="s">
        <v>265</v>
      </c>
      <c r="Q69" s="1" t="s">
        <v>259</v>
      </c>
      <c r="R69" s="50">
        <v>0.155</v>
      </c>
    </row>
    <row r="70" spans="4:18" x14ac:dyDescent="0.25">
      <c r="O70" s="1" t="s">
        <v>597</v>
      </c>
      <c r="P70" s="1" t="s">
        <v>212</v>
      </c>
      <c r="Q70" s="1" t="s">
        <v>60</v>
      </c>
      <c r="R70" s="50">
        <v>5.0999999999999997E-2</v>
      </c>
    </row>
    <row r="71" spans="4:18" x14ac:dyDescent="0.25">
      <c r="O71" s="1" t="s">
        <v>598</v>
      </c>
      <c r="P71" s="1" t="s">
        <v>213</v>
      </c>
      <c r="Q71" s="1" t="s">
        <v>60</v>
      </c>
      <c r="R71" s="50">
        <v>0.108</v>
      </c>
    </row>
    <row r="72" spans="4:18" x14ac:dyDescent="0.25">
      <c r="O72" s="1" t="s">
        <v>599</v>
      </c>
      <c r="P72" s="1" t="s">
        <v>214</v>
      </c>
      <c r="Q72" s="1" t="s">
        <v>60</v>
      </c>
      <c r="R72" s="50">
        <v>0.121</v>
      </c>
    </row>
    <row r="73" spans="4:18" x14ac:dyDescent="0.25">
      <c r="O73" s="1" t="s">
        <v>600</v>
      </c>
      <c r="P73" s="1" t="s">
        <v>265</v>
      </c>
      <c r="Q73" s="1" t="s">
        <v>60</v>
      </c>
      <c r="R73" s="50">
        <v>0.155</v>
      </c>
    </row>
    <row r="74" spans="4:18" x14ac:dyDescent="0.25">
      <c r="O74" s="1" t="s">
        <v>601</v>
      </c>
      <c r="P74" s="1" t="s">
        <v>212</v>
      </c>
      <c r="Q74" s="1" t="s">
        <v>20</v>
      </c>
      <c r="R74" s="50">
        <v>7.0999999999999994E-2</v>
      </c>
    </row>
    <row r="75" spans="4:18" x14ac:dyDescent="0.25">
      <c r="O75" s="1" t="s">
        <v>602</v>
      </c>
      <c r="P75" s="1" t="s">
        <v>213</v>
      </c>
      <c r="Q75" s="1" t="s">
        <v>20</v>
      </c>
      <c r="R75" s="50">
        <v>8.7999999999999995E-2</v>
      </c>
    </row>
    <row r="76" spans="4:18" x14ac:dyDescent="0.25">
      <c r="O76" s="1" t="s">
        <v>603</v>
      </c>
      <c r="P76" s="1" t="s">
        <v>214</v>
      </c>
      <c r="Q76" s="1" t="s">
        <v>20</v>
      </c>
      <c r="R76" s="50">
        <v>0.107</v>
      </c>
    </row>
    <row r="77" spans="4:18" x14ac:dyDescent="0.25">
      <c r="O77" s="1" t="s">
        <v>604</v>
      </c>
      <c r="P77" s="1" t="s">
        <v>265</v>
      </c>
      <c r="Q77" s="1" t="s">
        <v>20</v>
      </c>
      <c r="R77" s="50">
        <v>0.107</v>
      </c>
    </row>
    <row r="78" spans="4:18" x14ac:dyDescent="0.25">
      <c r="O78" s="1" t="s">
        <v>605</v>
      </c>
      <c r="P78" s="1" t="s">
        <v>212</v>
      </c>
      <c r="Q78" s="1" t="s">
        <v>260</v>
      </c>
      <c r="R78" s="50">
        <v>5.9000000000000004E-2</v>
      </c>
    </row>
    <row r="79" spans="4:18" x14ac:dyDescent="0.25">
      <c r="O79" s="1" t="s">
        <v>606</v>
      </c>
      <c r="P79" s="1" t="s">
        <v>213</v>
      </c>
      <c r="Q79" s="1" t="s">
        <v>260</v>
      </c>
      <c r="R79" s="50">
        <v>9.9000000000000005E-2</v>
      </c>
    </row>
    <row r="80" spans="4:18" x14ac:dyDescent="0.25">
      <c r="O80" s="1" t="s">
        <v>607</v>
      </c>
      <c r="P80" s="1" t="s">
        <v>214</v>
      </c>
      <c r="Q80" s="1" t="s">
        <v>260</v>
      </c>
      <c r="R80" s="50">
        <v>0.11900000000000001</v>
      </c>
    </row>
    <row r="81" spans="15:18" x14ac:dyDescent="0.25">
      <c r="O81" s="1" t="s">
        <v>608</v>
      </c>
      <c r="P81" s="1" t="s">
        <v>265</v>
      </c>
      <c r="Q81" s="1" t="s">
        <v>260</v>
      </c>
      <c r="R81" s="50">
        <v>0.15</v>
      </c>
    </row>
    <row r="82" spans="15:18" x14ac:dyDescent="0.25">
      <c r="O82" s="1" t="s">
        <v>609</v>
      </c>
      <c r="P82" s="1" t="s">
        <v>212</v>
      </c>
      <c r="Q82" s="1" t="s">
        <v>261</v>
      </c>
      <c r="R82" s="50">
        <v>5.9000000000000004E-2</v>
      </c>
    </row>
    <row r="83" spans="15:18" x14ac:dyDescent="0.25">
      <c r="O83" s="1" t="s">
        <v>610</v>
      </c>
      <c r="P83" s="1" t="s">
        <v>213</v>
      </c>
      <c r="Q83" s="1" t="s">
        <v>261</v>
      </c>
      <c r="R83" s="50">
        <v>9.9000000000000005E-2</v>
      </c>
    </row>
    <row r="84" spans="15:18" x14ac:dyDescent="0.25">
      <c r="O84" s="1" t="s">
        <v>611</v>
      </c>
      <c r="P84" s="1" t="s">
        <v>214</v>
      </c>
      <c r="Q84" s="1" t="s">
        <v>261</v>
      </c>
      <c r="R84" s="50">
        <v>0.11900000000000001</v>
      </c>
    </row>
    <row r="85" spans="15:18" x14ac:dyDescent="0.25">
      <c r="O85" s="1" t="s">
        <v>612</v>
      </c>
      <c r="P85" s="1" t="s">
        <v>265</v>
      </c>
      <c r="Q85" s="1" t="s">
        <v>261</v>
      </c>
      <c r="R85" s="50">
        <v>0.15</v>
      </c>
    </row>
    <row r="86" spans="15:18" x14ac:dyDescent="0.25">
      <c r="O86" s="1" t="s">
        <v>613</v>
      </c>
      <c r="P86" s="1" t="s">
        <v>212</v>
      </c>
      <c r="Q86" s="1" t="s">
        <v>36</v>
      </c>
      <c r="R86" s="50">
        <v>4.3999999999999997E-2</v>
      </c>
    </row>
    <row r="87" spans="15:18" x14ac:dyDescent="0.25">
      <c r="O87" s="1" t="s">
        <v>614</v>
      </c>
      <c r="P87" s="1" t="s">
        <v>213</v>
      </c>
      <c r="Q87" s="1" t="s">
        <v>36</v>
      </c>
      <c r="R87" s="50">
        <v>8.6999999999999994E-2</v>
      </c>
    </row>
    <row r="88" spans="15:18" x14ac:dyDescent="0.25">
      <c r="O88" s="1" t="s">
        <v>615</v>
      </c>
      <c r="P88" s="1" t="s">
        <v>214</v>
      </c>
      <c r="Q88" s="1" t="s">
        <v>36</v>
      </c>
      <c r="R88" s="50">
        <v>9.2999999999999999E-2</v>
      </c>
    </row>
    <row r="89" spans="15:18" x14ac:dyDescent="0.25">
      <c r="O89" s="1" t="s">
        <v>616</v>
      </c>
      <c r="P89" s="1" t="s">
        <v>265</v>
      </c>
      <c r="Q89" s="1" t="s">
        <v>36</v>
      </c>
      <c r="R89" s="50">
        <v>0.14899999999999999</v>
      </c>
    </row>
    <row r="90" spans="15:18" x14ac:dyDescent="0.25">
      <c r="O90" s="1" t="s">
        <v>617</v>
      </c>
      <c r="P90" s="1" t="s">
        <v>212</v>
      </c>
      <c r="Q90" s="1" t="s">
        <v>71</v>
      </c>
      <c r="R90" s="50">
        <v>5.9000000000000004E-2</v>
      </c>
    </row>
    <row r="91" spans="15:18" x14ac:dyDescent="0.25">
      <c r="O91" s="1" t="s">
        <v>618</v>
      </c>
      <c r="P91" s="1" t="s">
        <v>213</v>
      </c>
      <c r="Q91" s="1" t="s">
        <v>71</v>
      </c>
      <c r="R91" s="50">
        <v>9.9000000000000005E-2</v>
      </c>
    </row>
    <row r="92" spans="15:18" x14ac:dyDescent="0.25">
      <c r="O92" s="1" t="s">
        <v>619</v>
      </c>
      <c r="P92" s="1" t="s">
        <v>214</v>
      </c>
      <c r="Q92" s="1" t="s">
        <v>71</v>
      </c>
      <c r="R92" s="50">
        <v>0.11900000000000001</v>
      </c>
    </row>
    <row r="93" spans="15:18" x14ac:dyDescent="0.25">
      <c r="O93" s="1" t="s">
        <v>620</v>
      </c>
      <c r="P93" s="1" t="s">
        <v>265</v>
      </c>
      <c r="Q93" s="1" t="s">
        <v>71</v>
      </c>
      <c r="R93" s="50">
        <v>0.15</v>
      </c>
    </row>
    <row r="94" spans="15:18" x14ac:dyDescent="0.25">
      <c r="O94" s="1" t="s">
        <v>621</v>
      </c>
      <c r="P94" s="1" t="s">
        <v>212</v>
      </c>
      <c r="Q94" s="1" t="s">
        <v>11</v>
      </c>
      <c r="R94" s="50">
        <v>6.2E-2</v>
      </c>
    </row>
    <row r="95" spans="15:18" x14ac:dyDescent="0.25">
      <c r="O95" s="1" t="s">
        <v>622</v>
      </c>
      <c r="P95" s="1" t="s">
        <v>213</v>
      </c>
      <c r="Q95" s="1" t="s">
        <v>11</v>
      </c>
      <c r="R95" s="50">
        <v>9.4E-2</v>
      </c>
    </row>
    <row r="96" spans="15:18" x14ac:dyDescent="0.25">
      <c r="O96" s="1" t="s">
        <v>623</v>
      </c>
      <c r="P96" s="1" t="s">
        <v>214</v>
      </c>
      <c r="Q96" s="1" t="s">
        <v>11</v>
      </c>
      <c r="R96" s="50">
        <v>0.112</v>
      </c>
    </row>
    <row r="97" spans="15:18" x14ac:dyDescent="0.25">
      <c r="O97" s="1" t="s">
        <v>624</v>
      </c>
      <c r="P97" s="1" t="s">
        <v>265</v>
      </c>
      <c r="Q97" s="1" t="s">
        <v>11</v>
      </c>
      <c r="R97" s="50">
        <v>0.112</v>
      </c>
    </row>
    <row r="98" spans="15:18" x14ac:dyDescent="0.25">
      <c r="O98" s="1" t="s">
        <v>625</v>
      </c>
      <c r="P98" s="1" t="s">
        <v>212</v>
      </c>
      <c r="Q98" s="1" t="s">
        <v>262</v>
      </c>
      <c r="R98" s="50">
        <v>5.9000000000000004E-2</v>
      </c>
    </row>
    <row r="99" spans="15:18" x14ac:dyDescent="0.25">
      <c r="O99" s="1" t="s">
        <v>626</v>
      </c>
      <c r="P99" s="1" t="s">
        <v>213</v>
      </c>
      <c r="Q99" s="1" t="s">
        <v>262</v>
      </c>
      <c r="R99" s="50">
        <v>9.9000000000000005E-2</v>
      </c>
    </row>
    <row r="100" spans="15:18" x14ac:dyDescent="0.25">
      <c r="O100" s="1" t="s">
        <v>627</v>
      </c>
      <c r="P100" s="1" t="s">
        <v>214</v>
      </c>
      <c r="Q100" s="1" t="s">
        <v>262</v>
      </c>
      <c r="R100" s="50">
        <v>0.11900000000000001</v>
      </c>
    </row>
    <row r="101" spans="15:18" x14ac:dyDescent="0.25">
      <c r="O101" s="1" t="s">
        <v>628</v>
      </c>
      <c r="P101" s="1" t="s">
        <v>265</v>
      </c>
      <c r="Q101" s="1" t="s">
        <v>262</v>
      </c>
      <c r="R101" s="50">
        <v>0.15</v>
      </c>
    </row>
    <row r="102" spans="15:18" x14ac:dyDescent="0.25">
      <c r="O102" s="1" t="s">
        <v>629</v>
      </c>
      <c r="P102" s="1" t="s">
        <v>212</v>
      </c>
      <c r="Q102" s="1" t="s">
        <v>263</v>
      </c>
      <c r="R102" s="50">
        <v>5.9000000000000004E-2</v>
      </c>
    </row>
    <row r="103" spans="15:18" x14ac:dyDescent="0.25">
      <c r="O103" s="1" t="s">
        <v>630</v>
      </c>
      <c r="P103" s="1" t="s">
        <v>213</v>
      </c>
      <c r="Q103" s="1" t="s">
        <v>263</v>
      </c>
      <c r="R103" s="50">
        <v>9.9000000000000005E-2</v>
      </c>
    </row>
    <row r="104" spans="15:18" x14ac:dyDescent="0.25">
      <c r="O104" s="1" t="s">
        <v>631</v>
      </c>
      <c r="P104" s="1" t="s">
        <v>214</v>
      </c>
      <c r="Q104" s="1" t="s">
        <v>263</v>
      </c>
      <c r="R104" s="50">
        <v>0.11900000000000001</v>
      </c>
    </row>
    <row r="105" spans="15:18" x14ac:dyDescent="0.25">
      <c r="O105" s="1" t="s">
        <v>632</v>
      </c>
      <c r="P105" s="1" t="s">
        <v>265</v>
      </c>
      <c r="Q105" s="1" t="s">
        <v>263</v>
      </c>
      <c r="R105" s="50">
        <v>0.15</v>
      </c>
    </row>
    <row r="106" spans="15:18" x14ac:dyDescent="0.25">
      <c r="O106" s="1" t="s">
        <v>633</v>
      </c>
      <c r="P106" s="1" t="s">
        <v>212</v>
      </c>
      <c r="Q106" s="1" t="s">
        <v>9</v>
      </c>
      <c r="R106" s="50">
        <v>5.0999999999999997E-2</v>
      </c>
    </row>
    <row r="107" spans="15:18" x14ac:dyDescent="0.25">
      <c r="O107" s="1" t="s">
        <v>634</v>
      </c>
      <c r="P107" s="1" t="s">
        <v>213</v>
      </c>
      <c r="Q107" s="1" t="s">
        <v>9</v>
      </c>
      <c r="R107" s="50">
        <v>0.10100000000000001</v>
      </c>
    </row>
    <row r="108" spans="15:18" x14ac:dyDescent="0.25">
      <c r="O108" s="1" t="s">
        <v>635</v>
      </c>
      <c r="P108" s="1" t="s">
        <v>214</v>
      </c>
      <c r="Q108" s="1" t="s">
        <v>9</v>
      </c>
      <c r="R108" s="50">
        <v>0.14199999999999999</v>
      </c>
    </row>
    <row r="109" spans="15:18" x14ac:dyDescent="0.25">
      <c r="O109" s="1" t="s">
        <v>636</v>
      </c>
      <c r="P109" s="1" t="s">
        <v>265</v>
      </c>
      <c r="Q109" s="1" t="s">
        <v>9</v>
      </c>
      <c r="R109" s="50">
        <v>0.14199999999999999</v>
      </c>
    </row>
    <row r="110" spans="15:18" x14ac:dyDescent="0.25">
      <c r="O110" s="1" t="s">
        <v>637</v>
      </c>
      <c r="P110" s="1" t="s">
        <v>212</v>
      </c>
      <c r="Q110" s="1" t="s">
        <v>38</v>
      </c>
      <c r="R110" s="50">
        <v>6.5000000000000002E-2</v>
      </c>
    </row>
    <row r="111" spans="15:18" x14ac:dyDescent="0.25">
      <c r="O111" s="1" t="s">
        <v>638</v>
      </c>
      <c r="P111" s="1" t="s">
        <v>213</v>
      </c>
      <c r="Q111" s="1" t="s">
        <v>38</v>
      </c>
      <c r="R111" s="50">
        <v>0.09</v>
      </c>
    </row>
    <row r="112" spans="15:18" x14ac:dyDescent="0.25">
      <c r="O112" s="1" t="s">
        <v>639</v>
      </c>
      <c r="P112" s="1" t="s">
        <v>214</v>
      </c>
      <c r="Q112" s="1" t="s">
        <v>38</v>
      </c>
      <c r="R112" s="50">
        <v>0.09</v>
      </c>
    </row>
    <row r="113" spans="15:18" x14ac:dyDescent="0.25">
      <c r="O113" s="1" t="s">
        <v>640</v>
      </c>
      <c r="P113" s="1" t="s">
        <v>265</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A1:TR88"/>
  <sheetViews>
    <sheetView zoomScale="90" zoomScaleNormal="90" workbookViewId="0"/>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7" max="7" width="11" style="1412" customWidth="1"/>
    <col min="8" max="8" width="14.140625" style="1412" customWidth="1"/>
    <col min="10" max="10" width="12.42578125" style="775" customWidth="1"/>
    <col min="11" max="13" width="9.140625" style="775"/>
    <col min="14" max="16" width="9.140625" style="1412"/>
    <col min="17" max="17" width="12.85546875" style="775" customWidth="1"/>
    <col min="18" max="18" width="17.42578125" style="775" customWidth="1"/>
    <col min="19" max="19" width="33.5703125" style="775" customWidth="1"/>
    <col min="20" max="20" width="15.28515625" style="1500" customWidth="1"/>
    <col min="21" max="21" width="25.5703125" style="1500" customWidth="1"/>
    <col min="22" max="22" width="14.85546875" style="1500" customWidth="1"/>
    <col min="23" max="23" width="27.42578125" style="1500" customWidth="1"/>
    <col min="24" max="24" width="14.28515625" customWidth="1"/>
    <col min="27" max="27" width="55.140625" customWidth="1"/>
    <col min="28" max="28" width="35.85546875" bestFit="1" customWidth="1"/>
    <col min="29" max="29" width="9.28515625" bestFit="1" customWidth="1"/>
    <col min="30" max="30" width="14.7109375" bestFit="1" customWidth="1"/>
    <col min="31" max="31" width="30.7109375" customWidth="1"/>
    <col min="32" max="32" width="14.7109375" customWidth="1"/>
    <col min="33" max="33" width="9.28515625" bestFit="1" customWidth="1"/>
    <col min="34" max="35" width="8.5703125" customWidth="1"/>
    <col min="36" max="36" width="34.28515625" customWidth="1"/>
    <col min="37" max="37" width="21.7109375" customWidth="1"/>
    <col min="38" max="38" width="16.5703125" bestFit="1" customWidth="1"/>
    <col min="39" max="39" width="14.42578125" customWidth="1"/>
    <col min="40" max="41" width="5.28515625" bestFit="1" customWidth="1"/>
    <col min="42" max="42" width="17.28515625" customWidth="1"/>
    <col min="43" max="43" width="28.28515625" bestFit="1" customWidth="1"/>
    <col min="44" max="48" width="8.5703125" customWidth="1"/>
    <col min="49" max="49" width="4.42578125" bestFit="1" customWidth="1"/>
    <col min="50" max="55" width="9.7109375" customWidth="1"/>
    <col min="56" max="58" width="8.5703125" customWidth="1"/>
    <col min="59" max="59" width="5.42578125" customWidth="1"/>
    <col min="60" max="60" width="14.7109375" customWidth="1"/>
    <col min="61" max="61" width="14.7109375" style="794" customWidth="1"/>
    <col min="62" max="62" width="28.28515625" bestFit="1" customWidth="1"/>
    <col min="63" max="63" width="19.28515625" bestFit="1" customWidth="1"/>
    <col min="64" max="64" width="9.7109375" bestFit="1" customWidth="1"/>
    <col min="65" max="65" width="13.28515625" customWidth="1"/>
    <col min="66" max="66" width="11.85546875" customWidth="1"/>
    <col min="67" max="67" width="10.5703125" customWidth="1"/>
    <col min="68" max="68" width="10.85546875" customWidth="1"/>
    <col min="69" max="69" width="10.42578125" style="775" customWidth="1"/>
    <col min="70" max="70" width="11.85546875" style="775" customWidth="1"/>
    <col min="71" max="71" width="21" style="775" customWidth="1"/>
    <col min="72" max="72" width="11.140625" style="775" customWidth="1"/>
    <col min="73" max="73" width="11.28515625" style="775" customWidth="1"/>
    <col min="74" max="74" width="12.140625" style="775" customWidth="1"/>
    <col min="75" max="75" width="10.28515625" style="775" customWidth="1"/>
    <col min="76" max="78" width="8.5703125" style="775" customWidth="1"/>
    <col min="79" max="79" width="10.28515625" style="775" customWidth="1"/>
    <col min="80" max="80" width="10.85546875" style="775" customWidth="1"/>
    <col min="81" max="81" width="10.7109375" style="775" customWidth="1"/>
    <col min="84" max="84" width="10.5703125" style="794" customWidth="1"/>
    <col min="85" max="85" width="28.28515625" bestFit="1" customWidth="1"/>
    <col min="86" max="86" width="17.5703125" bestFit="1" customWidth="1"/>
    <col min="88" max="88" width="12.140625" customWidth="1"/>
    <col min="89" max="89" width="11.7109375" customWidth="1"/>
    <col min="92" max="94" width="9.140625" style="775"/>
    <col min="95" max="95" width="11.85546875" style="775" customWidth="1"/>
    <col min="96" max="96" width="11.7109375" style="775" customWidth="1"/>
    <col min="97" max="97" width="10.140625" style="775" customWidth="1"/>
    <col min="98" max="98" width="9.85546875" style="775" customWidth="1"/>
    <col min="99" max="101" width="9.140625" style="775"/>
    <col min="102" max="102" width="10.28515625" style="775" customWidth="1"/>
    <col min="103" max="103" width="10.140625" style="775" customWidth="1"/>
    <col min="104" max="104" width="10" style="775" customWidth="1"/>
    <col min="107" max="107" width="10.42578125" style="794" customWidth="1"/>
    <col min="108" max="108" width="28.28515625" bestFit="1" customWidth="1"/>
    <col min="109" max="109" width="17.5703125" bestFit="1" customWidth="1"/>
    <col min="111" max="111" width="11.140625" customWidth="1"/>
    <col min="112" max="112" width="10.42578125" customWidth="1"/>
    <col min="115" max="118" width="9.140625" style="775"/>
    <col min="119" max="119" width="11" style="775" customWidth="1"/>
    <col min="120" max="120" width="9" style="775" customWidth="1"/>
    <col min="121" max="121" width="9.42578125" style="775" customWidth="1"/>
    <col min="122" max="124" width="9.140625" style="775"/>
    <col min="125" max="125" width="9.28515625" style="775" customWidth="1"/>
    <col min="126" max="126" width="10.5703125" style="775" customWidth="1"/>
    <col min="127" max="127" width="9.42578125" style="775" customWidth="1"/>
    <col min="130" max="130" width="10.85546875" style="794" customWidth="1"/>
    <col min="131" max="131" width="28.28515625" bestFit="1" customWidth="1"/>
    <col min="132" max="132" width="17.5703125" bestFit="1" customWidth="1"/>
    <col min="134" max="134" width="11.7109375" customWidth="1"/>
    <col min="135" max="135" width="10.28515625" customWidth="1"/>
    <col min="138" max="140" width="9.140625" style="775"/>
    <col min="141" max="141" width="10.140625" style="775" customWidth="1"/>
    <col min="142" max="142" width="10.7109375" style="775" customWidth="1"/>
    <col min="143" max="143" width="10" style="775" customWidth="1"/>
    <col min="144" max="144" width="10.140625" style="775" customWidth="1"/>
    <col min="145" max="147" width="9.140625" style="775"/>
    <col min="148" max="148" width="10" style="775" customWidth="1"/>
    <col min="149" max="150" width="9.140625" style="775"/>
    <col min="153" max="153" width="10.5703125" style="794" customWidth="1"/>
    <col min="154" max="154" width="28.28515625" bestFit="1" customWidth="1"/>
    <col min="155" max="155" width="17.5703125" bestFit="1" customWidth="1"/>
    <col min="157" max="157" width="10.140625" customWidth="1"/>
    <col min="158" max="158" width="10.28515625" customWidth="1"/>
    <col min="161" max="164" width="9.140625" style="775"/>
    <col min="165" max="165" width="11.7109375" style="775" customWidth="1"/>
    <col min="166" max="173" width="9.140625" style="775"/>
    <col min="176" max="176" width="10.140625" style="794" customWidth="1"/>
    <col min="177" max="177" width="28.28515625" bestFit="1" customWidth="1"/>
    <col min="178" max="178" width="17.5703125" bestFit="1" customWidth="1"/>
    <col min="180" max="180" width="10.140625" customWidth="1"/>
    <col min="184" max="186" width="9.140625" style="775"/>
    <col min="187" max="187" width="10.7109375" style="775" customWidth="1"/>
    <col min="188" max="188" width="11.5703125" style="775" customWidth="1"/>
    <col min="189" max="196" width="9.140625" style="775"/>
    <col min="199" max="199" width="11.7109375" style="794" customWidth="1"/>
    <col min="200" max="200" width="28.28515625" bestFit="1" customWidth="1"/>
    <col min="201" max="201" width="17.5703125" bestFit="1" customWidth="1"/>
    <col min="203" max="203" width="10.140625" customWidth="1"/>
    <col min="204" max="204" width="10.85546875" customWidth="1"/>
    <col min="207" max="210" width="9.140625" style="775"/>
    <col min="211" max="211" width="11.5703125" style="775" customWidth="1"/>
    <col min="212" max="219" width="9.140625" style="775"/>
    <col min="222" max="222" width="11.5703125" style="794" customWidth="1"/>
    <col min="223" max="223" width="28.28515625" bestFit="1" customWidth="1"/>
    <col min="224" max="224" width="17.5703125" bestFit="1" customWidth="1"/>
    <col min="226" max="226" width="11.5703125" customWidth="1"/>
    <col min="227" max="227" width="10.42578125" customWidth="1"/>
    <col min="230" max="233" width="9.140625" style="775"/>
    <col min="234" max="234" width="11.42578125" style="775" customWidth="1"/>
    <col min="235" max="242" width="9.140625" style="775"/>
    <col min="245" max="245" width="10.85546875" style="794" customWidth="1"/>
    <col min="246" max="246" width="28.28515625" bestFit="1" customWidth="1"/>
    <col min="247" max="247" width="17.5703125" bestFit="1" customWidth="1"/>
    <col min="249" max="250" width="10.42578125" customWidth="1"/>
    <col min="253" max="256" width="9.140625" style="775"/>
    <col min="257" max="257" width="11.42578125" style="775" customWidth="1"/>
    <col min="258" max="265" width="9.140625" style="775"/>
    <col min="267" max="267" width="15" customWidth="1"/>
    <col min="268" max="268" width="10.5703125" style="794" customWidth="1"/>
    <col min="269" max="269" width="28.28515625" bestFit="1" customWidth="1"/>
    <col min="270" max="270" width="17.5703125" bestFit="1" customWidth="1"/>
    <col min="271" max="271" width="7.85546875" bestFit="1" customWidth="1"/>
    <col min="272" max="272" width="11.85546875" customWidth="1"/>
    <col min="273" max="273" width="10.42578125" customWidth="1"/>
    <col min="274" max="274" width="10.85546875" customWidth="1"/>
    <col min="275" max="275" width="9.5703125" customWidth="1"/>
    <col min="276" max="276" width="7.7109375" style="775" customWidth="1"/>
    <col min="277" max="277" width="9.42578125" style="775" customWidth="1"/>
    <col min="278" max="279" width="7.7109375" style="775" customWidth="1"/>
    <col min="280" max="280" width="12.5703125" style="775" customWidth="1"/>
    <col min="281" max="281" width="10.85546875" style="775" customWidth="1"/>
    <col min="282" max="282" width="10.42578125" style="775" customWidth="1"/>
    <col min="283" max="285" width="7.7109375" style="775" customWidth="1"/>
    <col min="286" max="286" width="8.5703125" style="775" customWidth="1"/>
    <col min="287" max="287" width="9.28515625" style="775" customWidth="1"/>
    <col min="288" max="288" width="11" style="775" customWidth="1"/>
    <col min="290" max="290" width="28.28515625" bestFit="1" customWidth="1"/>
    <col min="291" max="291" width="10.5703125" customWidth="1"/>
    <col min="292" max="292" width="23.85546875" customWidth="1"/>
    <col min="293" max="293" width="21" customWidth="1"/>
    <col min="294" max="294" width="9" bestFit="1" customWidth="1"/>
    <col min="295" max="295" width="7.7109375" bestFit="1" customWidth="1"/>
    <col min="296" max="296" width="6.7109375" bestFit="1" customWidth="1"/>
    <col min="298" max="298" width="13" bestFit="1" customWidth="1"/>
    <col min="299" max="299" width="28.28515625" bestFit="1" customWidth="1"/>
    <col min="300" max="300" width="7.5703125" bestFit="1" customWidth="1"/>
    <col min="301" max="301" width="7.85546875" bestFit="1" customWidth="1"/>
    <col min="302" max="302" width="9.28515625" bestFit="1" customWidth="1"/>
    <col min="303" max="303" width="9" bestFit="1" customWidth="1"/>
    <col min="304" max="304" width="7.7109375" bestFit="1" customWidth="1"/>
    <col min="305" max="305" width="6.7109375" bestFit="1" customWidth="1"/>
    <col min="314" max="314" width="11.7109375" customWidth="1"/>
    <col min="315" max="315" width="29.140625" customWidth="1"/>
    <col min="316" max="316" width="18" customWidth="1"/>
    <col min="337" max="337" width="11.7109375" customWidth="1"/>
    <col min="338" max="338" width="27.5703125" customWidth="1"/>
    <col min="339" max="339" width="21.140625" customWidth="1"/>
    <col min="360" max="360" width="10.85546875" customWidth="1"/>
    <col min="361" max="361" width="28.5703125" customWidth="1"/>
    <col min="362" max="362" width="18" customWidth="1"/>
    <col min="383" max="383" width="16.42578125" customWidth="1"/>
    <col min="384" max="384" width="24.85546875" customWidth="1"/>
    <col min="385" max="385" width="20.28515625" customWidth="1"/>
    <col min="406" max="406" width="11.140625" customWidth="1"/>
    <col min="407" max="407" width="22.5703125" customWidth="1"/>
    <col min="408" max="408" width="18.5703125" customWidth="1"/>
    <col min="429" max="429" width="12.42578125" customWidth="1"/>
    <col min="430" max="430" width="23.42578125" customWidth="1"/>
    <col min="431" max="431" width="19.28515625" customWidth="1"/>
    <col min="453" max="453" width="20.7109375" customWidth="1"/>
    <col min="454" max="454" width="25.42578125" customWidth="1"/>
    <col min="475" max="475" width="12.85546875" customWidth="1"/>
    <col min="476" max="476" width="20.85546875" customWidth="1"/>
    <col min="477" max="477" width="17.5703125" customWidth="1"/>
    <col min="498" max="498" width="10.5703125" customWidth="1"/>
    <col min="499" max="499" width="21.85546875" customWidth="1"/>
    <col min="500" max="500" width="20.7109375" customWidth="1"/>
  </cols>
  <sheetData>
    <row r="1" spans="1:538" x14ac:dyDescent="0.25">
      <c r="A1" s="1705"/>
      <c r="B1" s="1705"/>
      <c r="C1" s="1705"/>
      <c r="D1" s="1705"/>
      <c r="E1" s="1705"/>
      <c r="F1" s="1705"/>
      <c r="G1" s="1705"/>
      <c r="H1" s="1705"/>
      <c r="I1" s="1705"/>
      <c r="J1" s="1705"/>
      <c r="K1" s="1705"/>
      <c r="L1" s="1705"/>
      <c r="M1" s="1705"/>
      <c r="N1" s="1705"/>
      <c r="O1" s="1705"/>
      <c r="P1" s="1705"/>
      <c r="Q1" s="1705"/>
      <c r="R1" s="1705"/>
      <c r="S1" s="1705"/>
      <c r="T1" s="1705"/>
      <c r="U1" s="1705"/>
      <c r="V1" s="1705"/>
      <c r="W1" s="1705"/>
      <c r="X1" s="1705"/>
      <c r="Y1" s="1705"/>
      <c r="Z1" s="1705"/>
      <c r="AA1" s="1705"/>
      <c r="AB1" s="1705"/>
      <c r="AC1" s="2000" t="s">
        <v>804</v>
      </c>
      <c r="AD1" s="2000"/>
      <c r="AE1" s="1705">
        <f>COUNTIF($BJ$1:$SF$1,"New Location")</f>
        <v>0</v>
      </c>
      <c r="AF1" s="1705"/>
      <c r="AG1" s="1705"/>
      <c r="AH1" s="1705"/>
      <c r="AI1" s="1705"/>
      <c r="AJ1" s="1705"/>
      <c r="AK1" s="1705"/>
      <c r="AL1" s="1705"/>
      <c r="AM1" s="1705"/>
      <c r="AN1" s="1705"/>
      <c r="AO1" s="1705"/>
      <c r="AP1" s="1705"/>
      <c r="AQ1" s="1705"/>
      <c r="AR1" s="1705"/>
      <c r="AS1" s="1705"/>
      <c r="AT1" s="1705"/>
      <c r="AU1" s="1705"/>
      <c r="AV1" s="1705"/>
      <c r="AW1" s="1705"/>
      <c r="AX1" s="1705"/>
      <c r="AY1" s="1705"/>
      <c r="AZ1" s="1705"/>
      <c r="BA1" s="1705"/>
      <c r="BB1" s="1705"/>
      <c r="BC1" s="1705"/>
      <c r="BD1" s="1705"/>
      <c r="BE1" s="1705"/>
      <c r="BF1" s="573" t="e">
        <f>VLOOKUP('Existing Customers'!AB2,'Market Geography'!A:B,2,0)</f>
        <v>#N/A</v>
      </c>
      <c r="BG1" s="1705"/>
      <c r="BH1" s="1705"/>
      <c r="BI1" s="1705"/>
      <c r="BJ1" s="1709" t="s">
        <v>770</v>
      </c>
      <c r="BK1" s="85">
        <f>'Customer Inputs'!$G$6</f>
        <v>0</v>
      </c>
      <c r="BL1" s="573"/>
      <c r="BM1" s="1705"/>
      <c r="BN1" s="1705"/>
      <c r="BO1" s="1705"/>
      <c r="BP1" s="1705"/>
      <c r="BQ1" s="1705"/>
      <c r="BR1" s="1705"/>
      <c r="BS1" s="1705"/>
      <c r="BT1" s="1705"/>
      <c r="BU1" s="1705"/>
      <c r="BV1" s="1705"/>
      <c r="BW1" s="1705"/>
      <c r="BX1" s="1705"/>
      <c r="BY1" s="1705"/>
      <c r="BZ1" s="1705"/>
      <c r="CA1" s="1705"/>
      <c r="CB1" s="1705"/>
      <c r="CC1" s="1705"/>
      <c r="CD1" s="1705"/>
      <c r="CE1" s="1705"/>
      <c r="CF1" s="1705"/>
      <c r="CG1" s="1709" t="s">
        <v>771</v>
      </c>
      <c r="CH1" s="85">
        <f>'Customer Inputs'!$G$7</f>
        <v>0</v>
      </c>
      <c r="CI1" s="573"/>
      <c r="CJ1" s="1705"/>
      <c r="CK1" s="1705"/>
      <c r="CL1" s="1705"/>
      <c r="CM1" s="1705"/>
      <c r="CN1" s="1705"/>
      <c r="CO1" s="1705"/>
      <c r="CP1" s="1705"/>
      <c r="CQ1" s="1705"/>
      <c r="CR1" s="1705"/>
      <c r="CS1" s="1705"/>
      <c r="CT1" s="1705"/>
      <c r="CU1" s="1705"/>
      <c r="CV1" s="1705"/>
      <c r="CW1" s="1705"/>
      <c r="CX1" s="1705"/>
      <c r="CY1" s="1705"/>
      <c r="CZ1" s="1705"/>
      <c r="DA1" s="1705"/>
      <c r="DB1" s="1705"/>
      <c r="DC1" s="1705"/>
      <c r="DD1" s="1709" t="s">
        <v>772</v>
      </c>
      <c r="DE1" s="85">
        <f>'Customer Inputs'!$G$8</f>
        <v>0</v>
      </c>
      <c r="DF1" s="573"/>
      <c r="DG1" s="1705"/>
      <c r="DH1" s="1705"/>
      <c r="DI1" s="1705"/>
      <c r="DJ1" s="1705"/>
      <c r="DK1" s="1705"/>
      <c r="DL1" s="1705"/>
      <c r="DM1" s="1705"/>
      <c r="DN1" s="1705"/>
      <c r="DO1" s="1705"/>
      <c r="DP1" s="1705"/>
      <c r="DQ1" s="1705"/>
      <c r="DR1" s="1705"/>
      <c r="DS1" s="1705"/>
      <c r="DT1" s="1705"/>
      <c r="DU1" s="1705"/>
      <c r="DV1" s="1705"/>
      <c r="DW1" s="1705"/>
      <c r="DX1" s="1705"/>
      <c r="DY1" s="1705"/>
      <c r="DZ1" s="1705"/>
      <c r="EA1" s="1709" t="s">
        <v>773</v>
      </c>
      <c r="EB1" s="293">
        <f>'Customer Inputs'!$G$9</f>
        <v>0</v>
      </c>
      <c r="EC1" s="573"/>
      <c r="ED1" s="1705"/>
      <c r="EE1" s="1705"/>
      <c r="EF1" s="1705"/>
      <c r="EG1" s="1705"/>
      <c r="EH1" s="1705"/>
      <c r="EI1" s="1705"/>
      <c r="EJ1" s="1705"/>
      <c r="EK1" s="1705"/>
      <c r="EL1" s="1705"/>
      <c r="EM1" s="1705"/>
      <c r="EN1" s="1705"/>
      <c r="EO1" s="1705"/>
      <c r="EP1" s="1705"/>
      <c r="EQ1" s="1705"/>
      <c r="ER1" s="1705"/>
      <c r="ES1" s="1705"/>
      <c r="ET1" s="1705"/>
      <c r="EU1" s="1705"/>
      <c r="EV1" s="1705"/>
      <c r="EW1" s="1705"/>
      <c r="EX1" s="1709" t="s">
        <v>774</v>
      </c>
      <c r="EY1" s="85">
        <f>'Customer Inputs'!$G$10</f>
        <v>0</v>
      </c>
      <c r="EZ1" s="573"/>
      <c r="FA1" s="1705"/>
      <c r="FB1" s="1705"/>
      <c r="FC1" s="1705"/>
      <c r="FD1" s="1705"/>
      <c r="FE1" s="1705"/>
      <c r="FF1" s="1705"/>
      <c r="FG1" s="1705"/>
      <c r="FH1" s="1705"/>
      <c r="FI1" s="1705"/>
      <c r="FJ1" s="1705"/>
      <c r="FK1" s="1705"/>
      <c r="FL1" s="1705"/>
      <c r="FM1" s="1705"/>
      <c r="FN1" s="1705"/>
      <c r="FO1" s="1705"/>
      <c r="FP1" s="1705"/>
      <c r="FQ1" s="1705"/>
      <c r="FR1" s="1705"/>
      <c r="FS1" s="1705"/>
      <c r="FT1" s="1705"/>
      <c r="FU1" s="1709" t="s">
        <v>775</v>
      </c>
      <c r="FV1" s="85">
        <f>'Customer Inputs'!$G$11</f>
        <v>0</v>
      </c>
      <c r="FW1" s="573"/>
      <c r="FX1" s="1705"/>
      <c r="FY1" s="1705"/>
      <c r="FZ1" s="1705"/>
      <c r="GA1" s="1705"/>
      <c r="GB1" s="1705"/>
      <c r="GC1" s="1705"/>
      <c r="GD1" s="1705"/>
      <c r="GE1" s="1705"/>
      <c r="GF1" s="1705"/>
      <c r="GG1" s="1705"/>
      <c r="GH1" s="1705"/>
      <c r="GI1" s="1705"/>
      <c r="GJ1" s="1705"/>
      <c r="GK1" s="1705"/>
      <c r="GL1" s="1705"/>
      <c r="GM1" s="1705"/>
      <c r="GN1" s="1705"/>
      <c r="GO1" s="1705"/>
      <c r="GP1" s="1705"/>
      <c r="GQ1" s="1705"/>
      <c r="GR1" s="1709" t="s">
        <v>776</v>
      </c>
      <c r="GS1" s="85">
        <f>'Customer Inputs'!$G$12</f>
        <v>0</v>
      </c>
      <c r="GT1" s="573"/>
      <c r="GU1" s="1705"/>
      <c r="GV1" s="1705"/>
      <c r="GW1" s="1705"/>
      <c r="GX1" s="1705"/>
      <c r="GY1" s="1705"/>
      <c r="GZ1" s="1705"/>
      <c r="HA1" s="1705"/>
      <c r="HB1" s="1705"/>
      <c r="HC1" s="1705"/>
      <c r="HD1" s="1705"/>
      <c r="HE1" s="1705"/>
      <c r="HF1" s="1705"/>
      <c r="HG1" s="1705"/>
      <c r="HH1" s="1705"/>
      <c r="HI1" s="1705"/>
      <c r="HJ1" s="1705"/>
      <c r="HK1" s="1705"/>
      <c r="HL1" s="1705"/>
      <c r="HM1" s="1705"/>
      <c r="HN1" s="1705"/>
      <c r="HO1" s="1709" t="s">
        <v>777</v>
      </c>
      <c r="HP1" s="85">
        <f>'Customer Inputs'!$G$13</f>
        <v>0</v>
      </c>
      <c r="HQ1" s="573"/>
      <c r="HR1" s="1705"/>
      <c r="HS1" s="1705"/>
      <c r="HT1" s="1705"/>
      <c r="HU1" s="1705"/>
      <c r="HV1" s="1705"/>
      <c r="HW1" s="1705"/>
      <c r="HX1" s="1705"/>
      <c r="HY1" s="1705"/>
      <c r="HZ1" s="1705"/>
      <c r="IA1" s="1705"/>
      <c r="IB1" s="1705"/>
      <c r="IC1" s="1705"/>
      <c r="ID1" s="1705"/>
      <c r="IE1" s="1705"/>
      <c r="IF1" s="1705"/>
      <c r="IG1" s="1705"/>
      <c r="IH1" s="1705"/>
      <c r="II1" s="1705"/>
      <c r="IJ1" s="1705"/>
      <c r="IK1" s="1705"/>
      <c r="IL1" s="1709" t="s">
        <v>778</v>
      </c>
      <c r="IM1" s="85">
        <f>'Customer Inputs'!$G$14</f>
        <v>0</v>
      </c>
      <c r="IN1" s="573"/>
      <c r="IO1" s="1705"/>
      <c r="IP1" s="1705"/>
      <c r="IQ1" s="1705"/>
      <c r="IR1" s="1705"/>
      <c r="IS1" s="1705"/>
      <c r="IT1" s="1705"/>
      <c r="IU1" s="1705"/>
      <c r="IV1" s="1705"/>
      <c r="IW1" s="1705"/>
      <c r="IX1" s="1705"/>
      <c r="IY1" s="1705"/>
      <c r="IZ1" s="1705"/>
      <c r="JA1" s="1705"/>
      <c r="JB1" s="1705"/>
      <c r="JC1" s="1705"/>
      <c r="JD1" s="1705"/>
      <c r="JE1" s="1705"/>
      <c r="JF1" s="1705"/>
      <c r="JG1" s="1705"/>
      <c r="JH1" s="1705"/>
      <c r="JI1" s="1709" t="s">
        <v>779</v>
      </c>
      <c r="JJ1" s="85">
        <f>'Customer Inputs'!$G$15</f>
        <v>0</v>
      </c>
      <c r="JK1" s="573"/>
      <c r="JL1" s="1705"/>
      <c r="JM1" s="1705"/>
      <c r="JN1" s="1705"/>
      <c r="JO1" s="1705"/>
      <c r="JP1" s="1705"/>
      <c r="JQ1" s="1705"/>
      <c r="JR1" s="1705"/>
      <c r="JS1" s="1705"/>
      <c r="JT1" s="1705"/>
      <c r="JU1" s="1705"/>
      <c r="JV1" s="1705"/>
      <c r="JW1" s="1705"/>
      <c r="JX1" s="1705"/>
      <c r="JY1" s="1705"/>
      <c r="JZ1" s="1705"/>
      <c r="KA1" s="1705"/>
      <c r="KB1" s="1705"/>
      <c r="KC1" s="1705"/>
      <c r="KD1" s="1705"/>
      <c r="KE1" s="1705"/>
      <c r="KF1" s="1709" t="s">
        <v>2211</v>
      </c>
      <c r="KG1" s="85">
        <f>'Customer Inputs'!$G$16</f>
        <v>0</v>
      </c>
      <c r="KH1" s="573"/>
      <c r="KI1" s="1705"/>
      <c r="KJ1" s="1705"/>
      <c r="KK1" s="1705"/>
      <c r="KL1" s="1705"/>
      <c r="KM1" s="1705"/>
      <c r="KN1" s="1705"/>
      <c r="KO1" s="1705"/>
      <c r="KP1" s="1705"/>
      <c r="KQ1" s="1705"/>
      <c r="KR1" s="1705"/>
      <c r="KS1" s="1705"/>
      <c r="KT1" s="1705"/>
      <c r="KU1" s="1705"/>
      <c r="KV1" s="1705"/>
      <c r="KW1" s="1705"/>
      <c r="KX1" s="1705"/>
      <c r="KY1" s="1705"/>
      <c r="KZ1" s="1705"/>
      <c r="LA1" s="1705"/>
      <c r="LB1" s="1705"/>
      <c r="LC1" s="1709" t="s">
        <v>2212</v>
      </c>
      <c r="LD1" s="85">
        <f>'Customer Inputs'!$G$17</f>
        <v>0</v>
      </c>
      <c r="LE1" s="573"/>
      <c r="LF1" s="1705"/>
      <c r="LG1" s="1705"/>
      <c r="LH1" s="1705"/>
      <c r="LI1" s="1705"/>
      <c r="LJ1" s="1705"/>
      <c r="LK1" s="1705"/>
      <c r="LL1" s="1705"/>
      <c r="LM1" s="1705"/>
      <c r="LN1" s="1705"/>
      <c r="LO1" s="1705"/>
      <c r="LP1" s="1705"/>
      <c r="LQ1" s="1705"/>
      <c r="LR1" s="1705"/>
      <c r="LS1" s="1705"/>
      <c r="LT1" s="1705"/>
      <c r="LU1" s="1705"/>
      <c r="LV1" s="1705"/>
      <c r="LW1" s="1705"/>
      <c r="LX1" s="1705"/>
      <c r="LY1" s="1705"/>
      <c r="LZ1" s="1709" t="s">
        <v>2213</v>
      </c>
      <c r="MA1" s="85">
        <f>'Customer Inputs'!$G$18</f>
        <v>0</v>
      </c>
      <c r="MB1" s="573"/>
      <c r="MC1" s="1705"/>
      <c r="MD1" s="1705"/>
      <c r="ME1" s="1705"/>
      <c r="MF1" s="1705"/>
      <c r="MG1" s="1705"/>
      <c r="MH1" s="1705"/>
      <c r="MI1" s="1705"/>
      <c r="MJ1" s="1705"/>
      <c r="MK1" s="1705"/>
      <c r="ML1" s="1705"/>
      <c r="MM1" s="1705"/>
      <c r="MN1" s="1705"/>
      <c r="MO1" s="1705"/>
      <c r="MP1" s="1705"/>
      <c r="MQ1" s="1705"/>
      <c r="MR1" s="1705"/>
      <c r="MS1" s="1705"/>
      <c r="MT1" s="1705"/>
      <c r="MU1" s="1705"/>
      <c r="MV1" s="1705"/>
      <c r="MW1" s="1709" t="s">
        <v>2214</v>
      </c>
      <c r="MX1" s="85">
        <f>'Customer Inputs'!$G$19</f>
        <v>0</v>
      </c>
      <c r="MY1" s="573"/>
      <c r="MZ1" s="1705"/>
      <c r="NA1" s="1705"/>
      <c r="NB1" s="1705"/>
      <c r="NC1" s="1705"/>
      <c r="ND1" s="1705"/>
      <c r="NE1" s="1705"/>
      <c r="NF1" s="1705"/>
      <c r="NG1" s="1705"/>
      <c r="NH1" s="1705"/>
      <c r="NI1" s="1705"/>
      <c r="NJ1" s="1705"/>
      <c r="NK1" s="1705"/>
      <c r="NL1" s="1705"/>
      <c r="NM1" s="1705"/>
      <c r="NN1" s="1705"/>
      <c r="NO1" s="1705"/>
      <c r="NP1" s="1705"/>
      <c r="NQ1" s="1705"/>
      <c r="NR1" s="1705"/>
      <c r="NS1" s="1705"/>
      <c r="NT1" s="1709" t="s">
        <v>2215</v>
      </c>
      <c r="NU1" s="85">
        <f>'Customer Inputs'!$G$20</f>
        <v>0</v>
      </c>
      <c r="NV1" s="573"/>
      <c r="NW1" s="1705"/>
      <c r="NX1" s="1705"/>
      <c r="NY1" s="1705"/>
      <c r="NZ1" s="1705"/>
      <c r="OA1" s="1705"/>
      <c r="OB1" s="1705"/>
      <c r="OC1" s="1705"/>
      <c r="OD1" s="1705"/>
      <c r="OE1" s="1705"/>
      <c r="OF1" s="1705"/>
      <c r="OG1" s="1705"/>
      <c r="OH1" s="1705"/>
      <c r="OI1" s="1705"/>
      <c r="OJ1" s="1705"/>
      <c r="OK1" s="1705"/>
      <c r="OL1" s="1705"/>
      <c r="OM1" s="1705"/>
      <c r="ON1" s="1705"/>
      <c r="OO1" s="1705"/>
      <c r="OP1" s="1705"/>
      <c r="OQ1" s="1709" t="s">
        <v>2216</v>
      </c>
      <c r="OR1" s="85">
        <f>'Customer Inputs'!$G$21</f>
        <v>0</v>
      </c>
      <c r="OS1" s="573"/>
      <c r="OT1" s="1705"/>
      <c r="OU1" s="1705"/>
      <c r="OV1" s="1705"/>
      <c r="OW1" s="1705"/>
      <c r="OX1" s="1705"/>
      <c r="OY1" s="1705"/>
      <c r="OZ1" s="1705"/>
      <c r="PA1" s="1705"/>
      <c r="PB1" s="1705"/>
      <c r="PC1" s="1705"/>
      <c r="PD1" s="1705"/>
      <c r="PE1" s="1705"/>
      <c r="PF1" s="1705"/>
      <c r="PG1" s="1705"/>
      <c r="PH1" s="1705"/>
      <c r="PI1" s="1705"/>
      <c r="PJ1" s="1705"/>
      <c r="PK1" s="1705"/>
      <c r="PL1" s="1705"/>
      <c r="PM1" s="1705"/>
      <c r="PN1" s="1709" t="s">
        <v>2217</v>
      </c>
      <c r="PO1" s="85">
        <f>'Customer Inputs'!$G$22</f>
        <v>0</v>
      </c>
      <c r="PP1" s="573"/>
      <c r="PQ1" s="1705"/>
      <c r="PR1" s="1705"/>
      <c r="PS1" s="1705"/>
      <c r="PT1" s="1705"/>
      <c r="PU1" s="1705"/>
      <c r="PV1" s="1705"/>
      <c r="PW1" s="1705"/>
      <c r="PX1" s="1705"/>
      <c r="PY1" s="1705"/>
      <c r="PZ1" s="1705"/>
      <c r="QA1" s="1705"/>
      <c r="QB1" s="1705"/>
      <c r="QC1" s="1705"/>
      <c r="QD1" s="1705"/>
      <c r="QE1" s="1705"/>
      <c r="QF1" s="1705"/>
      <c r="QG1" s="1705"/>
      <c r="QH1" s="1705"/>
      <c r="QI1" s="1705"/>
      <c r="QJ1" s="1705"/>
      <c r="QK1" s="1709" t="s">
        <v>2218</v>
      </c>
      <c r="QL1" s="85">
        <f>'Customer Inputs'!$G$23</f>
        <v>0</v>
      </c>
      <c r="QM1" s="573"/>
      <c r="QN1" s="1705"/>
      <c r="QO1" s="1705"/>
      <c r="QP1" s="1705"/>
      <c r="QQ1" s="1705"/>
      <c r="QR1" s="1705"/>
      <c r="QS1" s="1705"/>
      <c r="QT1" s="1705"/>
      <c r="QU1" s="1705"/>
      <c r="QV1" s="1705"/>
      <c r="QW1" s="1705"/>
      <c r="QX1" s="1705"/>
      <c r="QY1" s="1705"/>
      <c r="QZ1" s="1705"/>
      <c r="RA1" s="1705"/>
      <c r="RB1" s="1705"/>
      <c r="RC1" s="1705"/>
      <c r="RD1" s="1705"/>
      <c r="RE1" s="1705"/>
      <c r="RF1" s="1705"/>
      <c r="RG1" s="1705"/>
      <c r="RH1" s="1709" t="s">
        <v>2219</v>
      </c>
      <c r="RI1" s="85">
        <f>'Customer Inputs'!$G$24</f>
        <v>0</v>
      </c>
      <c r="RJ1" s="573"/>
      <c r="RK1" s="1705"/>
      <c r="RL1" s="1705"/>
      <c r="RM1" s="1705"/>
      <c r="RN1" s="1705"/>
      <c r="RO1" s="1705"/>
      <c r="RP1" s="1705"/>
      <c r="RQ1" s="1705"/>
      <c r="RR1" s="1705"/>
      <c r="RS1" s="1705"/>
      <c r="RT1" s="1705"/>
      <c r="RU1" s="1705"/>
      <c r="RV1" s="1705"/>
      <c r="RW1" s="1705"/>
      <c r="RX1" s="1705"/>
      <c r="RY1" s="1705"/>
      <c r="RZ1" s="1705"/>
      <c r="SA1" s="1705"/>
      <c r="SB1" s="1705"/>
      <c r="SC1" s="1705"/>
      <c r="SD1" s="1705"/>
      <c r="SE1" s="1709" t="s">
        <v>2220</v>
      </c>
      <c r="SF1" s="85">
        <f>'Customer Inputs'!$G$25</f>
        <v>0</v>
      </c>
      <c r="SG1" s="573"/>
      <c r="SH1" s="1705"/>
      <c r="SI1" s="1705"/>
      <c r="SJ1" s="1705"/>
      <c r="SK1" s="1705"/>
      <c r="SL1" s="1705"/>
      <c r="SM1" s="1705"/>
      <c r="SN1" s="1705"/>
      <c r="SO1" s="1705"/>
      <c r="SP1" s="1705"/>
      <c r="SQ1" s="1705"/>
      <c r="SR1" s="1705"/>
      <c r="SS1" s="1705"/>
      <c r="ST1" s="1705"/>
      <c r="SU1" s="1705"/>
      <c r="SV1" s="1705"/>
      <c r="SW1" s="1705"/>
      <c r="SX1" s="1705"/>
      <c r="SY1" s="1705"/>
      <c r="SZ1" s="1705"/>
      <c r="TA1" s="1705"/>
      <c r="TB1" s="1705"/>
      <c r="TC1" s="1705"/>
      <c r="TD1" s="1705"/>
      <c r="TE1" s="1705"/>
      <c r="TF1" s="1705"/>
      <c r="TG1" s="1705"/>
      <c r="TH1" s="1705"/>
      <c r="TI1" s="1705"/>
      <c r="TJ1" s="1705"/>
      <c r="TK1" s="1705"/>
      <c r="TL1" s="1705"/>
      <c r="TM1" s="1705"/>
      <c r="TN1" s="1705"/>
      <c r="TO1" s="1705"/>
      <c r="TP1" s="1705"/>
      <c r="TQ1" s="1705"/>
      <c r="TR1" s="1705"/>
    </row>
    <row r="2" spans="1:538" x14ac:dyDescent="0.25">
      <c r="A2" s="1705"/>
      <c r="B2" s="1705"/>
      <c r="C2" s="1705"/>
      <c r="D2" s="1705"/>
      <c r="E2" s="1705"/>
      <c r="F2" s="1705"/>
      <c r="G2" s="1705"/>
      <c r="H2" s="1705"/>
      <c r="I2" s="1705"/>
      <c r="J2" s="1705"/>
      <c r="K2" s="1705"/>
      <c r="L2" s="1705"/>
      <c r="M2" s="1705"/>
      <c r="N2" s="1705"/>
      <c r="O2" s="1705"/>
      <c r="P2" s="1705"/>
      <c r="Q2" s="1705"/>
      <c r="R2" s="1705"/>
      <c r="S2" s="1705"/>
      <c r="T2" s="1705"/>
      <c r="U2" s="1705"/>
      <c r="V2" s="1705"/>
      <c r="W2" s="1705"/>
      <c r="X2" s="1705"/>
      <c r="Y2" s="1705"/>
      <c r="Z2" s="1705"/>
      <c r="AA2" s="1705"/>
      <c r="AB2" s="1705"/>
      <c r="AC2" s="1706"/>
      <c r="AD2" s="1706"/>
      <c r="AE2" s="1705"/>
      <c r="AF2" s="1705"/>
      <c r="AG2" s="1705"/>
      <c r="AH2" s="1705"/>
      <c r="AI2" s="1705"/>
      <c r="AJ2" s="1705"/>
      <c r="AK2" s="1705"/>
      <c r="AL2" s="1705"/>
      <c r="AM2" s="1705"/>
      <c r="AN2" s="1705"/>
      <c r="AO2" s="1705"/>
      <c r="AP2" s="1705"/>
      <c r="AQ2" s="1705"/>
      <c r="AR2" s="1705"/>
      <c r="AS2" s="1705"/>
      <c r="AT2" s="1705"/>
      <c r="AU2" s="1705"/>
      <c r="AV2" s="1705"/>
      <c r="AW2" s="1705"/>
      <c r="AX2" s="1705"/>
      <c r="AY2" s="1705"/>
      <c r="AZ2" s="1705"/>
      <c r="BA2" s="1705"/>
      <c r="BB2" s="1705"/>
      <c r="BC2" s="1705"/>
      <c r="BD2" s="1705"/>
      <c r="BE2" s="1705"/>
      <c r="BF2" s="1705"/>
      <c r="BG2" s="1705"/>
      <c r="BH2" s="1705"/>
      <c r="BI2" s="1705"/>
      <c r="BJ2" s="1706" t="s">
        <v>855</v>
      </c>
      <c r="BK2" s="85" t="str">
        <f>'Customer Inputs'!$K$6</f>
        <v/>
      </c>
      <c r="BL2" s="792">
        <f>'Customer Inputs'!$U$6</f>
        <v>0</v>
      </c>
      <c r="BM2" s="1705"/>
      <c r="BN2" s="1705"/>
      <c r="BO2" s="1705"/>
      <c r="BP2" s="1705"/>
      <c r="BQ2" s="1705"/>
      <c r="BR2" s="1705"/>
      <c r="BS2" s="1705"/>
      <c r="BT2" s="1705"/>
      <c r="BU2" s="1705"/>
      <c r="BV2" s="1705"/>
      <c r="BW2" s="1705"/>
      <c r="BX2" s="1705"/>
      <c r="BY2" s="1705"/>
      <c r="BZ2" s="1705"/>
      <c r="CA2" s="1705"/>
      <c r="CB2" s="1705"/>
      <c r="CC2" s="1705"/>
      <c r="CD2" s="1705"/>
      <c r="CE2" s="1705"/>
      <c r="CF2" s="1705"/>
      <c r="CG2" s="1706" t="s">
        <v>855</v>
      </c>
      <c r="CH2" s="85" t="str">
        <f>'Customer Inputs'!$K$7</f>
        <v/>
      </c>
      <c r="CI2" s="793">
        <f>'Customer Inputs'!$U$7</f>
        <v>0</v>
      </c>
      <c r="CJ2" s="1705"/>
      <c r="CK2" s="1705"/>
      <c r="CL2" s="1705"/>
      <c r="CM2" s="1705"/>
      <c r="CN2" s="1705"/>
      <c r="CO2" s="1705"/>
      <c r="CP2" s="1705"/>
      <c r="CQ2" s="1705"/>
      <c r="CR2" s="1705"/>
      <c r="CS2" s="1705"/>
      <c r="CT2" s="1705"/>
      <c r="CU2" s="1705"/>
      <c r="CV2" s="1705"/>
      <c r="CW2" s="1705"/>
      <c r="CX2" s="1705"/>
      <c r="CY2" s="1705"/>
      <c r="CZ2" s="1705"/>
      <c r="DA2" s="1705"/>
      <c r="DB2" s="1705"/>
      <c r="DC2" s="1705"/>
      <c r="DD2" s="1706" t="s">
        <v>855</v>
      </c>
      <c r="DE2" s="85" t="str">
        <f>'Customer Inputs'!$K$8</f>
        <v/>
      </c>
      <c r="DF2" s="793">
        <f>'Customer Inputs'!$U$8</f>
        <v>0</v>
      </c>
      <c r="DG2" s="1705"/>
      <c r="DH2" s="1705"/>
      <c r="DI2" s="1705"/>
      <c r="DJ2" s="1705"/>
      <c r="DK2" s="1705"/>
      <c r="DL2" s="1705"/>
      <c r="DM2" s="1705"/>
      <c r="DN2" s="1705"/>
      <c r="DO2" s="1705"/>
      <c r="DP2" s="1705"/>
      <c r="DQ2" s="1705"/>
      <c r="DR2" s="1705"/>
      <c r="DS2" s="1705"/>
      <c r="DT2" s="1705"/>
      <c r="DU2" s="1705"/>
      <c r="DV2" s="1705"/>
      <c r="DW2" s="1705"/>
      <c r="DX2" s="1705"/>
      <c r="DY2" s="1705"/>
      <c r="DZ2" s="1705"/>
      <c r="EA2" s="1706" t="s">
        <v>855</v>
      </c>
      <c r="EB2" s="85" t="str">
        <f>'Customer Inputs'!$K$9</f>
        <v/>
      </c>
      <c r="EC2" s="793">
        <f>'Customer Inputs'!$U$9</f>
        <v>0</v>
      </c>
      <c r="ED2" s="1705"/>
      <c r="EE2" s="1705"/>
      <c r="EF2" s="1705"/>
      <c r="EG2" s="1705"/>
      <c r="EH2" s="1705"/>
      <c r="EI2" s="1705"/>
      <c r="EJ2" s="1705"/>
      <c r="EK2" s="1705"/>
      <c r="EL2" s="1705"/>
      <c r="EM2" s="1705"/>
      <c r="EN2" s="1705"/>
      <c r="EO2" s="1705"/>
      <c r="EP2" s="1705"/>
      <c r="EQ2" s="1705"/>
      <c r="ER2" s="1705"/>
      <c r="ES2" s="1705"/>
      <c r="ET2" s="1705"/>
      <c r="EU2" s="1705"/>
      <c r="EV2" s="1705"/>
      <c r="EW2" s="1705"/>
      <c r="EX2" s="1706" t="s">
        <v>855</v>
      </c>
      <c r="EY2" s="85" t="str">
        <f>'Customer Inputs'!$K$10</f>
        <v/>
      </c>
      <c r="EZ2" s="793">
        <f>'Customer Inputs'!$U$10</f>
        <v>0</v>
      </c>
      <c r="FA2" s="1705"/>
      <c r="FB2" s="1705"/>
      <c r="FC2" s="1705"/>
      <c r="FD2" s="1705"/>
      <c r="FE2" s="1705"/>
      <c r="FF2" s="1705"/>
      <c r="FG2" s="1705"/>
      <c r="FH2" s="1705"/>
      <c r="FI2" s="1705"/>
      <c r="FJ2" s="1705"/>
      <c r="FK2" s="1705"/>
      <c r="FL2" s="1705"/>
      <c r="FM2" s="1705"/>
      <c r="FN2" s="1705"/>
      <c r="FO2" s="1705"/>
      <c r="FP2" s="1705"/>
      <c r="FQ2" s="1705"/>
      <c r="FR2" s="1705"/>
      <c r="FS2" s="1705"/>
      <c r="FT2" s="1705"/>
      <c r="FU2" s="1706" t="s">
        <v>855</v>
      </c>
      <c r="FV2" s="85" t="str">
        <f>'Customer Inputs'!$K$11</f>
        <v/>
      </c>
      <c r="FW2" s="793">
        <f>'Customer Inputs'!$U$11</f>
        <v>0</v>
      </c>
      <c r="FX2" s="1705"/>
      <c r="FY2" s="1705"/>
      <c r="FZ2" s="1705"/>
      <c r="GA2" s="1705"/>
      <c r="GB2" s="1705"/>
      <c r="GC2" s="1705"/>
      <c r="GD2" s="1705"/>
      <c r="GE2" s="1705"/>
      <c r="GF2" s="1705"/>
      <c r="GG2" s="1705"/>
      <c r="GH2" s="1705"/>
      <c r="GI2" s="1705"/>
      <c r="GJ2" s="1705"/>
      <c r="GK2" s="1705"/>
      <c r="GL2" s="1705"/>
      <c r="GM2" s="1705"/>
      <c r="GN2" s="1705"/>
      <c r="GO2" s="1705"/>
      <c r="GP2" s="1705"/>
      <c r="GQ2" s="1705"/>
      <c r="GR2" s="1706" t="s">
        <v>855</v>
      </c>
      <c r="GS2" s="85" t="str">
        <f>'Customer Inputs'!$K$12</f>
        <v/>
      </c>
      <c r="GT2" s="793">
        <f>'Customer Inputs'!$U$12</f>
        <v>0</v>
      </c>
      <c r="GU2" s="1705"/>
      <c r="GV2" s="1705"/>
      <c r="GW2" s="1705"/>
      <c r="GX2" s="1705"/>
      <c r="GY2" s="1705"/>
      <c r="GZ2" s="1705"/>
      <c r="HA2" s="1705"/>
      <c r="HB2" s="1705"/>
      <c r="HC2" s="1705"/>
      <c r="HD2" s="1705"/>
      <c r="HE2" s="1705"/>
      <c r="HF2" s="1705"/>
      <c r="HG2" s="1705"/>
      <c r="HH2" s="1705"/>
      <c r="HI2" s="1705"/>
      <c r="HJ2" s="1705"/>
      <c r="HK2" s="1705"/>
      <c r="HL2" s="1705"/>
      <c r="HM2" s="1705"/>
      <c r="HN2" s="1705"/>
      <c r="HO2" s="1706" t="s">
        <v>855</v>
      </c>
      <c r="HP2" s="85" t="str">
        <f>'Customer Inputs'!$K$13</f>
        <v/>
      </c>
      <c r="HQ2" s="793">
        <f>'Customer Inputs'!$U$13</f>
        <v>0</v>
      </c>
      <c r="HR2" s="1705"/>
      <c r="HS2" s="1705"/>
      <c r="HT2" s="1705"/>
      <c r="HU2" s="1705"/>
      <c r="HV2" s="1705"/>
      <c r="HW2" s="1705"/>
      <c r="HX2" s="1705"/>
      <c r="HY2" s="1705"/>
      <c r="HZ2" s="1705"/>
      <c r="IA2" s="1705"/>
      <c r="IB2" s="1705"/>
      <c r="IC2" s="1705"/>
      <c r="ID2" s="1705"/>
      <c r="IE2" s="1705"/>
      <c r="IF2" s="1705"/>
      <c r="IG2" s="1705"/>
      <c r="IH2" s="1705"/>
      <c r="II2" s="1705"/>
      <c r="IJ2" s="1705"/>
      <c r="IK2" s="1705"/>
      <c r="IL2" s="1706" t="s">
        <v>855</v>
      </c>
      <c r="IM2" s="85" t="str">
        <f>'Customer Inputs'!$K$14</f>
        <v/>
      </c>
      <c r="IN2" s="793">
        <f>'Customer Inputs'!$U$14</f>
        <v>0</v>
      </c>
      <c r="IO2" s="1705"/>
      <c r="IP2" s="1705"/>
      <c r="IQ2" s="1705"/>
      <c r="IR2" s="1705"/>
      <c r="IS2" s="1705"/>
      <c r="IT2" s="1705"/>
      <c r="IU2" s="1705"/>
      <c r="IV2" s="1705"/>
      <c r="IW2" s="1705"/>
      <c r="IX2" s="1705"/>
      <c r="IY2" s="1705"/>
      <c r="IZ2" s="1705"/>
      <c r="JA2" s="1705"/>
      <c r="JB2" s="1705"/>
      <c r="JC2" s="1705"/>
      <c r="JD2" s="1705"/>
      <c r="JE2" s="1705"/>
      <c r="JF2" s="1705"/>
      <c r="JG2" s="1705"/>
      <c r="JH2" s="1705"/>
      <c r="JI2" s="1706" t="s">
        <v>855</v>
      </c>
      <c r="JJ2" s="85" t="str">
        <f>'Customer Inputs'!$K$15</f>
        <v/>
      </c>
      <c r="JK2" s="792">
        <f>'Customer Inputs'!$U$15</f>
        <v>0</v>
      </c>
      <c r="JL2" s="1705"/>
      <c r="JM2" s="1705"/>
      <c r="JN2" s="1705"/>
      <c r="JO2" s="1705"/>
      <c r="JP2" s="1705"/>
      <c r="JQ2" s="1705"/>
      <c r="JR2" s="1705"/>
      <c r="JS2" s="1705"/>
      <c r="JT2" s="1705"/>
      <c r="JU2" s="1705"/>
      <c r="JV2" s="1705"/>
      <c r="JW2" s="1705"/>
      <c r="JX2" s="1705"/>
      <c r="JY2" s="1705"/>
      <c r="JZ2" s="1705"/>
      <c r="KA2" s="1705"/>
      <c r="KB2" s="1705"/>
      <c r="KC2" s="1705"/>
      <c r="KD2" s="1705"/>
      <c r="KE2" s="1705"/>
      <c r="KF2" s="1706" t="s">
        <v>855</v>
      </c>
      <c r="KG2" s="85" t="str">
        <f>'Customer Inputs'!$K$16</f>
        <v/>
      </c>
      <c r="KH2" s="792">
        <f>'Customer Inputs'!$U$16</f>
        <v>0</v>
      </c>
      <c r="KI2" s="1705"/>
      <c r="KJ2" s="1705"/>
      <c r="KK2" s="1705"/>
      <c r="KL2" s="1705"/>
      <c r="KM2" s="1705"/>
      <c r="KN2" s="1705"/>
      <c r="KO2" s="1705"/>
      <c r="KP2" s="1705"/>
      <c r="KQ2" s="1705"/>
      <c r="KR2" s="1705"/>
      <c r="KS2" s="1705"/>
      <c r="KT2" s="1705"/>
      <c r="KU2" s="1705"/>
      <c r="KV2" s="1705"/>
      <c r="KW2" s="1705"/>
      <c r="KX2" s="1705"/>
      <c r="KY2" s="1705"/>
      <c r="KZ2" s="1705"/>
      <c r="LA2" s="1705"/>
      <c r="LB2" s="1705"/>
      <c r="LC2" s="1706" t="s">
        <v>855</v>
      </c>
      <c r="LD2" s="85" t="str">
        <f>'Customer Inputs'!$K$17</f>
        <v/>
      </c>
      <c r="LE2" s="792">
        <f>'Customer Inputs'!$U$17</f>
        <v>0</v>
      </c>
      <c r="LF2" s="1705"/>
      <c r="LG2" s="1705"/>
      <c r="LH2" s="1705"/>
      <c r="LI2" s="1705"/>
      <c r="LJ2" s="1705"/>
      <c r="LK2" s="1705"/>
      <c r="LL2" s="1705"/>
      <c r="LM2" s="1705"/>
      <c r="LN2" s="1705"/>
      <c r="LO2" s="1705"/>
      <c r="LP2" s="1705"/>
      <c r="LQ2" s="1705"/>
      <c r="LR2" s="1705"/>
      <c r="LS2" s="1705"/>
      <c r="LT2" s="1705"/>
      <c r="LU2" s="1705"/>
      <c r="LV2" s="1705"/>
      <c r="LW2" s="1705"/>
      <c r="LX2" s="1705"/>
      <c r="LY2" s="1705"/>
      <c r="LZ2" s="1706" t="s">
        <v>855</v>
      </c>
      <c r="MA2" s="85" t="str">
        <f>'Customer Inputs'!$K$18</f>
        <v/>
      </c>
      <c r="MB2" s="792">
        <f>'Customer Inputs'!$U$18</f>
        <v>0</v>
      </c>
      <c r="MC2" s="1705"/>
      <c r="MD2" s="1705"/>
      <c r="ME2" s="1705"/>
      <c r="MF2" s="1705"/>
      <c r="MG2" s="1705"/>
      <c r="MH2" s="1705"/>
      <c r="MI2" s="1705"/>
      <c r="MJ2" s="1705"/>
      <c r="MK2" s="1705"/>
      <c r="ML2" s="1705"/>
      <c r="MM2" s="1705"/>
      <c r="MN2" s="1705"/>
      <c r="MO2" s="1705"/>
      <c r="MP2" s="1705"/>
      <c r="MQ2" s="1705"/>
      <c r="MR2" s="1705"/>
      <c r="MS2" s="1705"/>
      <c r="MT2" s="1705"/>
      <c r="MU2" s="1705"/>
      <c r="MV2" s="1705"/>
      <c r="MW2" s="1706" t="s">
        <v>855</v>
      </c>
      <c r="MX2" s="85" t="str">
        <f>'Customer Inputs'!$K$19</f>
        <v/>
      </c>
      <c r="MY2" s="792">
        <f>'Customer Inputs'!$U$19</f>
        <v>0</v>
      </c>
      <c r="MZ2" s="1705"/>
      <c r="NA2" s="1705"/>
      <c r="NB2" s="1705"/>
      <c r="NC2" s="1705"/>
      <c r="ND2" s="1705"/>
      <c r="NE2" s="1705"/>
      <c r="NF2" s="1705"/>
      <c r="NG2" s="1705"/>
      <c r="NH2" s="1705"/>
      <c r="NI2" s="1705"/>
      <c r="NJ2" s="1705"/>
      <c r="NK2" s="1705"/>
      <c r="NL2" s="1705"/>
      <c r="NM2" s="1705"/>
      <c r="NN2" s="1705"/>
      <c r="NO2" s="1705"/>
      <c r="NP2" s="1705"/>
      <c r="NQ2" s="1705"/>
      <c r="NR2" s="1705"/>
      <c r="NS2" s="1705"/>
      <c r="NT2" s="1706" t="s">
        <v>855</v>
      </c>
      <c r="NU2" s="85" t="str">
        <f>'Customer Inputs'!$K$20</f>
        <v/>
      </c>
      <c r="NV2" s="792">
        <f>'Customer Inputs'!$U$20</f>
        <v>0</v>
      </c>
      <c r="NW2" s="1705"/>
      <c r="NX2" s="1705"/>
      <c r="NY2" s="1705"/>
      <c r="NZ2" s="1705"/>
      <c r="OA2" s="1705"/>
      <c r="OB2" s="1705"/>
      <c r="OC2" s="1705"/>
      <c r="OD2" s="1705"/>
      <c r="OE2" s="1705"/>
      <c r="OF2" s="1705"/>
      <c r="OG2" s="1705"/>
      <c r="OH2" s="1705"/>
      <c r="OI2" s="1705"/>
      <c r="OJ2" s="1705"/>
      <c r="OK2" s="1705"/>
      <c r="OL2" s="1705"/>
      <c r="OM2" s="1705"/>
      <c r="ON2" s="1705"/>
      <c r="OO2" s="1705"/>
      <c r="OP2" s="1705"/>
      <c r="OQ2" s="1706" t="s">
        <v>855</v>
      </c>
      <c r="OR2" s="85" t="str">
        <f>'Customer Inputs'!$K$21</f>
        <v/>
      </c>
      <c r="OS2" s="792">
        <f>'Customer Inputs'!$U$21</f>
        <v>0</v>
      </c>
      <c r="OT2" s="1705"/>
      <c r="OU2" s="1705"/>
      <c r="OV2" s="1705"/>
      <c r="OW2" s="1705"/>
      <c r="OX2" s="1705"/>
      <c r="OY2" s="1705"/>
      <c r="OZ2" s="1705"/>
      <c r="PA2" s="1705"/>
      <c r="PB2" s="1705"/>
      <c r="PC2" s="1705"/>
      <c r="PD2" s="1705"/>
      <c r="PE2" s="1705"/>
      <c r="PF2" s="1705"/>
      <c r="PG2" s="1705"/>
      <c r="PH2" s="1705"/>
      <c r="PI2" s="1705"/>
      <c r="PJ2" s="1705"/>
      <c r="PK2" s="1705"/>
      <c r="PL2" s="1705"/>
      <c r="PM2" s="1705"/>
      <c r="PN2" s="1706" t="s">
        <v>855</v>
      </c>
      <c r="PO2" s="85" t="str">
        <f>'Customer Inputs'!$K$22</f>
        <v/>
      </c>
      <c r="PP2" s="792">
        <f>'Customer Inputs'!$U$22</f>
        <v>0</v>
      </c>
      <c r="PQ2" s="1705"/>
      <c r="PR2" s="1705"/>
      <c r="PS2" s="1705"/>
      <c r="PT2" s="1705"/>
      <c r="PU2" s="1705"/>
      <c r="PV2" s="1705"/>
      <c r="PW2" s="1705"/>
      <c r="PX2" s="1705"/>
      <c r="PY2" s="1705"/>
      <c r="PZ2" s="1705"/>
      <c r="QA2" s="1705"/>
      <c r="QB2" s="1705"/>
      <c r="QC2" s="1705"/>
      <c r="QD2" s="1705"/>
      <c r="QE2" s="1705"/>
      <c r="QF2" s="1705"/>
      <c r="QG2" s="1705"/>
      <c r="QH2" s="1705"/>
      <c r="QI2" s="1705"/>
      <c r="QJ2" s="1705"/>
      <c r="QK2" s="1706" t="s">
        <v>855</v>
      </c>
      <c r="QL2" s="85" t="str">
        <f>'Customer Inputs'!$K$23</f>
        <v/>
      </c>
      <c r="QM2" s="792">
        <f>'Customer Inputs'!$U$23</f>
        <v>0</v>
      </c>
      <c r="QN2" s="1705"/>
      <c r="QO2" s="1705"/>
      <c r="QP2" s="1705"/>
      <c r="QQ2" s="1705"/>
      <c r="QR2" s="1705"/>
      <c r="QS2" s="1705"/>
      <c r="QT2" s="1705"/>
      <c r="QU2" s="1705"/>
      <c r="QV2" s="1705"/>
      <c r="QW2" s="1705"/>
      <c r="QX2" s="1705"/>
      <c r="QY2" s="1705"/>
      <c r="QZ2" s="1705"/>
      <c r="RA2" s="1705"/>
      <c r="RB2" s="1705"/>
      <c r="RC2" s="1705"/>
      <c r="RD2" s="1705"/>
      <c r="RE2" s="1705"/>
      <c r="RF2" s="1705"/>
      <c r="RG2" s="1705"/>
      <c r="RH2" s="1706" t="s">
        <v>855</v>
      </c>
      <c r="RI2" s="85" t="str">
        <f>'Customer Inputs'!$K$24</f>
        <v/>
      </c>
      <c r="RJ2" s="792">
        <f>'Customer Inputs'!$U$24</f>
        <v>0</v>
      </c>
      <c r="RK2" s="1705"/>
      <c r="RL2" s="1705"/>
      <c r="RM2" s="1705"/>
      <c r="RN2" s="1705"/>
      <c r="RO2" s="1705"/>
      <c r="RP2" s="1705"/>
      <c r="RQ2" s="1705"/>
      <c r="RR2" s="1705"/>
      <c r="RS2" s="1705"/>
      <c r="RT2" s="1705"/>
      <c r="RU2" s="1705"/>
      <c r="RV2" s="1705"/>
      <c r="RW2" s="1705"/>
      <c r="RX2" s="1705"/>
      <c r="RY2" s="1705"/>
      <c r="RZ2" s="1705"/>
      <c r="SA2" s="1705"/>
      <c r="SB2" s="1705"/>
      <c r="SC2" s="1705"/>
      <c r="SD2" s="1705"/>
      <c r="SE2" s="1706" t="s">
        <v>855</v>
      </c>
      <c r="SF2" s="85" t="str">
        <f>'Customer Inputs'!$K$25</f>
        <v/>
      </c>
      <c r="SG2" s="792">
        <f>'Customer Inputs'!$U$25</f>
        <v>0</v>
      </c>
      <c r="SH2" s="1705"/>
      <c r="SI2" s="1705"/>
      <c r="SJ2" s="1705"/>
      <c r="SK2" s="1705"/>
      <c r="SL2" s="1705"/>
      <c r="SM2" s="1705"/>
      <c r="SN2" s="1705"/>
      <c r="SO2" s="1705"/>
      <c r="SP2" s="1705"/>
      <c r="SQ2" s="1705"/>
      <c r="SR2" s="1705"/>
      <c r="SS2" s="1705"/>
      <c r="ST2" s="1705"/>
      <c r="SU2" s="1705"/>
      <c r="SV2" s="1705"/>
      <c r="SW2" s="1705"/>
      <c r="SX2" s="1705"/>
      <c r="SY2" s="1705"/>
      <c r="SZ2" s="1705"/>
      <c r="TA2" s="1705"/>
      <c r="TB2" s="1705"/>
      <c r="TC2" s="1705"/>
      <c r="TD2" s="1705"/>
      <c r="TE2" s="1705"/>
      <c r="TF2" s="1705"/>
      <c r="TG2" s="1705"/>
      <c r="TH2" s="1705"/>
      <c r="TI2" s="1705"/>
      <c r="TJ2" s="1705"/>
      <c r="TK2" s="1705"/>
      <c r="TL2" s="1705"/>
      <c r="TM2" s="1705"/>
      <c r="TN2" s="1705"/>
      <c r="TO2" s="1705"/>
      <c r="TP2" s="1705"/>
      <c r="TQ2" s="1705"/>
      <c r="TR2" s="1705"/>
    </row>
    <row r="3" spans="1:538" x14ac:dyDescent="0.25">
      <c r="A3" s="1705"/>
      <c r="B3" s="1705"/>
      <c r="C3" s="1705"/>
      <c r="D3" s="1705"/>
      <c r="E3" s="1705"/>
      <c r="F3" s="1705"/>
      <c r="G3" s="1705"/>
      <c r="H3" s="1705"/>
      <c r="I3" s="1705"/>
      <c r="J3" s="1705"/>
      <c r="K3" s="1705"/>
      <c r="L3" s="1705"/>
      <c r="M3" s="1705"/>
      <c r="N3" s="1705"/>
      <c r="O3" s="1705"/>
      <c r="P3" s="1705"/>
      <c r="Q3" s="1705"/>
      <c r="R3" s="1705"/>
      <c r="S3" s="1705"/>
      <c r="T3" s="1705"/>
      <c r="U3" s="1705"/>
      <c r="V3" s="1705"/>
      <c r="W3" s="1705"/>
      <c r="X3" s="1705"/>
      <c r="Y3" s="1705"/>
      <c r="Z3" s="1705"/>
      <c r="AA3" s="1705"/>
      <c r="AB3" s="1705"/>
      <c r="AC3" s="1706"/>
      <c r="AD3" s="1706"/>
      <c r="AE3" s="1705"/>
      <c r="AF3" s="1705"/>
      <c r="AG3" s="1705"/>
      <c r="AH3" s="1705"/>
      <c r="AI3" s="1705"/>
      <c r="AJ3" s="1705"/>
      <c r="AK3" s="1705"/>
      <c r="AL3" s="1705"/>
      <c r="AM3" s="1705"/>
      <c r="AN3" s="1705"/>
      <c r="AO3" s="1705"/>
      <c r="AP3" s="1705"/>
      <c r="AQ3" s="1705"/>
      <c r="AR3" s="1705"/>
      <c r="AS3" s="1705"/>
      <c r="AT3" s="1705"/>
      <c r="AU3" s="1705"/>
      <c r="AV3" s="1705"/>
      <c r="AW3" s="1705"/>
      <c r="AX3" s="1705"/>
      <c r="AY3" s="1705"/>
      <c r="AZ3" s="1705"/>
      <c r="BA3" s="1705"/>
      <c r="BB3" s="1705"/>
      <c r="BC3" s="1705"/>
      <c r="BD3" s="1705"/>
      <c r="BE3" s="1705"/>
      <c r="BF3" s="1705"/>
      <c r="BG3" s="1705"/>
      <c r="BH3" s="1705"/>
      <c r="BI3" s="1705"/>
      <c r="BJ3" s="1706" t="s">
        <v>856</v>
      </c>
      <c r="BK3" s="85">
        <f>'Customer Inputs'!$P$6</f>
        <v>0</v>
      </c>
      <c r="BL3" s="1705"/>
      <c r="BM3" s="1705"/>
      <c r="BN3" s="1705"/>
      <c r="BO3" s="1705"/>
      <c r="BP3" s="1705"/>
      <c r="BQ3" s="1705"/>
      <c r="BR3" s="1705"/>
      <c r="BS3" s="1705"/>
      <c r="BT3" s="1705"/>
      <c r="BU3" s="1705"/>
      <c r="BV3" s="1705"/>
      <c r="BW3" s="1705"/>
      <c r="BX3" s="1705"/>
      <c r="BY3" s="1705"/>
      <c r="BZ3" s="1705"/>
      <c r="CA3" s="1705"/>
      <c r="CB3" s="1705"/>
      <c r="CC3" s="1705"/>
      <c r="CD3" s="1705"/>
      <c r="CE3" s="1705"/>
      <c r="CF3" s="1705"/>
      <c r="CG3" s="1706" t="s">
        <v>856</v>
      </c>
      <c r="CH3" s="85">
        <f>'Customer Inputs'!$P$7</f>
        <v>0</v>
      </c>
      <c r="CI3" s="1705"/>
      <c r="CJ3" s="1705"/>
      <c r="CK3" s="1705"/>
      <c r="CL3" s="1705"/>
      <c r="CM3" s="1705"/>
      <c r="CN3" s="1705"/>
      <c r="CO3" s="1705"/>
      <c r="CP3" s="1705"/>
      <c r="CQ3" s="1705"/>
      <c r="CR3" s="1705"/>
      <c r="CS3" s="1705"/>
      <c r="CT3" s="1705"/>
      <c r="CU3" s="1705"/>
      <c r="CV3" s="1705"/>
      <c r="CW3" s="1705"/>
      <c r="CX3" s="1705"/>
      <c r="CY3" s="1705"/>
      <c r="CZ3" s="1705"/>
      <c r="DA3" s="1705"/>
      <c r="DB3" s="1705"/>
      <c r="DC3" s="1705"/>
      <c r="DD3" s="1706" t="s">
        <v>856</v>
      </c>
      <c r="DE3" s="85">
        <f>'Customer Inputs'!$P$8</f>
        <v>0</v>
      </c>
      <c r="DF3" s="1705"/>
      <c r="DG3" s="1705"/>
      <c r="DH3" s="1705"/>
      <c r="DI3" s="1705"/>
      <c r="DJ3" s="1705"/>
      <c r="DK3" s="1705"/>
      <c r="DL3" s="1705"/>
      <c r="DM3" s="1705"/>
      <c r="DN3" s="1705"/>
      <c r="DO3" s="1705"/>
      <c r="DP3" s="1705"/>
      <c r="DQ3" s="1705"/>
      <c r="DR3" s="1705"/>
      <c r="DS3" s="1705"/>
      <c r="DT3" s="1705"/>
      <c r="DU3" s="1705"/>
      <c r="DV3" s="1705"/>
      <c r="DW3" s="1705"/>
      <c r="DX3" s="1705"/>
      <c r="DY3" s="1705"/>
      <c r="DZ3" s="1705"/>
      <c r="EA3" s="1706" t="s">
        <v>856</v>
      </c>
      <c r="EB3" s="85">
        <f>'Customer Inputs'!$P$9</f>
        <v>0</v>
      </c>
      <c r="EC3" s="1705"/>
      <c r="ED3" s="1705"/>
      <c r="EE3" s="1705"/>
      <c r="EF3" s="1705"/>
      <c r="EG3" s="1705"/>
      <c r="EH3" s="1705"/>
      <c r="EI3" s="1705"/>
      <c r="EJ3" s="1705"/>
      <c r="EK3" s="1705"/>
      <c r="EL3" s="1705"/>
      <c r="EM3" s="1705"/>
      <c r="EN3" s="1705"/>
      <c r="EO3" s="1705"/>
      <c r="EP3" s="1705"/>
      <c r="EQ3" s="1705"/>
      <c r="ER3" s="1705"/>
      <c r="ES3" s="1705"/>
      <c r="ET3" s="1705"/>
      <c r="EU3" s="1705"/>
      <c r="EV3" s="1705"/>
      <c r="EW3" s="1705"/>
      <c r="EX3" s="1706" t="s">
        <v>856</v>
      </c>
      <c r="EY3" s="85">
        <f>'Customer Inputs'!$P$10</f>
        <v>0</v>
      </c>
      <c r="EZ3" s="1705"/>
      <c r="FA3" s="1705"/>
      <c r="FB3" s="1705"/>
      <c r="FC3" s="1705"/>
      <c r="FD3" s="1705"/>
      <c r="FE3" s="1705"/>
      <c r="FF3" s="1705"/>
      <c r="FG3" s="1705"/>
      <c r="FH3" s="1705"/>
      <c r="FI3" s="1705"/>
      <c r="FJ3" s="1705"/>
      <c r="FK3" s="1705"/>
      <c r="FL3" s="1705"/>
      <c r="FM3" s="1705"/>
      <c r="FN3" s="1705"/>
      <c r="FO3" s="1705"/>
      <c r="FP3" s="1705"/>
      <c r="FQ3" s="1705"/>
      <c r="FR3" s="1705"/>
      <c r="FS3" s="1705"/>
      <c r="FT3" s="1705"/>
      <c r="FU3" s="1706" t="s">
        <v>856</v>
      </c>
      <c r="FV3" s="85">
        <f>'Customer Inputs'!$P$11</f>
        <v>0</v>
      </c>
      <c r="FW3" s="1705"/>
      <c r="FX3" s="1705"/>
      <c r="FY3" s="1705"/>
      <c r="FZ3" s="1705"/>
      <c r="GA3" s="1705"/>
      <c r="GB3" s="1705"/>
      <c r="GC3" s="1705"/>
      <c r="GD3" s="1705"/>
      <c r="GE3" s="1705"/>
      <c r="GF3" s="1705"/>
      <c r="GG3" s="1705"/>
      <c r="GH3" s="1705"/>
      <c r="GI3" s="1705"/>
      <c r="GJ3" s="1705"/>
      <c r="GK3" s="1705"/>
      <c r="GL3" s="1705"/>
      <c r="GM3" s="1705"/>
      <c r="GN3" s="1705"/>
      <c r="GO3" s="1705"/>
      <c r="GP3" s="1705"/>
      <c r="GQ3" s="1705"/>
      <c r="GR3" s="1706" t="s">
        <v>856</v>
      </c>
      <c r="GS3" s="85">
        <f>'Customer Inputs'!$P$12</f>
        <v>0</v>
      </c>
      <c r="GT3" s="1705"/>
      <c r="GU3" s="1705"/>
      <c r="GV3" s="1705"/>
      <c r="GW3" s="1705"/>
      <c r="GX3" s="1705"/>
      <c r="GY3" s="1705"/>
      <c r="GZ3" s="1705"/>
      <c r="HA3" s="1705"/>
      <c r="HB3" s="1705"/>
      <c r="HC3" s="1705"/>
      <c r="HD3" s="1705"/>
      <c r="HE3" s="1705"/>
      <c r="HF3" s="1705"/>
      <c r="HG3" s="1705"/>
      <c r="HH3" s="1705"/>
      <c r="HI3" s="1705"/>
      <c r="HJ3" s="1705"/>
      <c r="HK3" s="1705"/>
      <c r="HL3" s="1705"/>
      <c r="HM3" s="1705"/>
      <c r="HN3" s="1705"/>
      <c r="HO3" s="1706" t="s">
        <v>856</v>
      </c>
      <c r="HP3" s="85">
        <f>'Customer Inputs'!$P$13</f>
        <v>0</v>
      </c>
      <c r="HQ3" s="1705"/>
      <c r="HR3" s="1705"/>
      <c r="HS3" s="1705"/>
      <c r="HT3" s="1705"/>
      <c r="HU3" s="1705"/>
      <c r="HV3" s="1705"/>
      <c r="HW3" s="1705"/>
      <c r="HX3" s="1705"/>
      <c r="HY3" s="1705"/>
      <c r="HZ3" s="1705"/>
      <c r="IA3" s="1705"/>
      <c r="IB3" s="1705"/>
      <c r="IC3" s="1705"/>
      <c r="ID3" s="1705"/>
      <c r="IE3" s="1705"/>
      <c r="IF3" s="1705"/>
      <c r="IG3" s="1705"/>
      <c r="IH3" s="1705"/>
      <c r="II3" s="1705"/>
      <c r="IJ3" s="1705"/>
      <c r="IK3" s="1705"/>
      <c r="IL3" s="1706" t="s">
        <v>856</v>
      </c>
      <c r="IM3" s="85">
        <f>'Customer Inputs'!$P$14</f>
        <v>0</v>
      </c>
      <c r="IN3" s="1705"/>
      <c r="IO3" s="1705"/>
      <c r="IP3" s="1705"/>
      <c r="IQ3" s="1705"/>
      <c r="IR3" s="1705"/>
      <c r="IS3" s="1705"/>
      <c r="IT3" s="1705"/>
      <c r="IU3" s="1705"/>
      <c r="IV3" s="1705"/>
      <c r="IW3" s="1705"/>
      <c r="IX3" s="1705"/>
      <c r="IY3" s="1705"/>
      <c r="IZ3" s="1705"/>
      <c r="JA3" s="1705"/>
      <c r="JB3" s="1705"/>
      <c r="JC3" s="1705"/>
      <c r="JD3" s="1705"/>
      <c r="JE3" s="1705"/>
      <c r="JF3" s="1705"/>
      <c r="JG3" s="1705"/>
      <c r="JH3" s="1705"/>
      <c r="JI3" s="1706" t="s">
        <v>856</v>
      </c>
      <c r="JJ3" s="85">
        <f>'Customer Inputs'!$P$15</f>
        <v>0</v>
      </c>
      <c r="JK3" s="1705"/>
      <c r="JL3" s="1705"/>
      <c r="JM3" s="1705"/>
      <c r="JN3" s="1705"/>
      <c r="JO3" s="1705"/>
      <c r="JP3" s="1705"/>
      <c r="JQ3" s="1705"/>
      <c r="JR3" s="1705"/>
      <c r="JS3" s="1705"/>
      <c r="JT3" s="1705"/>
      <c r="JU3" s="1705"/>
      <c r="JV3" s="1705"/>
      <c r="JW3" s="1705"/>
      <c r="JX3" s="1705"/>
      <c r="JY3" s="1705"/>
      <c r="JZ3" s="1705"/>
      <c r="KA3" s="1705"/>
      <c r="KB3" s="1705"/>
      <c r="KC3" s="1705"/>
      <c r="KD3" s="1705"/>
      <c r="KE3" s="1705"/>
      <c r="KF3" s="1706" t="s">
        <v>856</v>
      </c>
      <c r="KG3" s="85">
        <f>'Customer Inputs'!$P$16</f>
        <v>0</v>
      </c>
      <c r="KH3" s="1705"/>
      <c r="KI3" s="1705"/>
      <c r="KJ3" s="1705"/>
      <c r="KK3" s="1705"/>
      <c r="KL3" s="1705"/>
      <c r="KM3" s="1705"/>
      <c r="KN3" s="1705"/>
      <c r="KO3" s="1705"/>
      <c r="KP3" s="1705"/>
      <c r="KQ3" s="1705"/>
      <c r="KR3" s="1705"/>
      <c r="KS3" s="1705"/>
      <c r="KT3" s="1705"/>
      <c r="KU3" s="1705"/>
      <c r="KV3" s="1705"/>
      <c r="KW3" s="1705"/>
      <c r="KX3" s="1705"/>
      <c r="KY3" s="1705"/>
      <c r="KZ3" s="1705"/>
      <c r="LA3" s="1705"/>
      <c r="LB3" s="1705"/>
      <c r="LC3" s="1706" t="s">
        <v>856</v>
      </c>
      <c r="LD3" s="85">
        <f>'Customer Inputs'!$P$17</f>
        <v>0</v>
      </c>
      <c r="LE3" s="1705"/>
      <c r="LF3" s="1705"/>
      <c r="LG3" s="1705"/>
      <c r="LH3" s="1705"/>
      <c r="LI3" s="1705"/>
      <c r="LJ3" s="1705"/>
      <c r="LK3" s="1705"/>
      <c r="LL3" s="1705"/>
      <c r="LM3" s="1705"/>
      <c r="LN3" s="1705"/>
      <c r="LO3" s="1705"/>
      <c r="LP3" s="1705"/>
      <c r="LQ3" s="1705"/>
      <c r="LR3" s="1705"/>
      <c r="LS3" s="1705"/>
      <c r="LT3" s="1705"/>
      <c r="LU3" s="1705"/>
      <c r="LV3" s="1705"/>
      <c r="LW3" s="1705"/>
      <c r="LX3" s="1705"/>
      <c r="LY3" s="1705"/>
      <c r="LZ3" s="1706" t="s">
        <v>856</v>
      </c>
      <c r="MA3" s="85">
        <f>'Customer Inputs'!$P$18</f>
        <v>0</v>
      </c>
      <c r="MB3" s="1705"/>
      <c r="MC3" s="1705"/>
      <c r="MD3" s="1705"/>
      <c r="ME3" s="1705"/>
      <c r="MF3" s="1705"/>
      <c r="MG3" s="1705"/>
      <c r="MH3" s="1705"/>
      <c r="MI3" s="1705"/>
      <c r="MJ3" s="1705"/>
      <c r="MK3" s="1705"/>
      <c r="ML3" s="1705"/>
      <c r="MM3" s="1705"/>
      <c r="MN3" s="1705"/>
      <c r="MO3" s="1705"/>
      <c r="MP3" s="1705"/>
      <c r="MQ3" s="1705"/>
      <c r="MR3" s="1705"/>
      <c r="MS3" s="1705"/>
      <c r="MT3" s="1705"/>
      <c r="MU3" s="1705"/>
      <c r="MV3" s="1705"/>
      <c r="MW3" s="1706" t="s">
        <v>856</v>
      </c>
      <c r="MX3" s="85">
        <f>'Customer Inputs'!$P$19</f>
        <v>0</v>
      </c>
      <c r="MY3" s="1705"/>
      <c r="MZ3" s="1705"/>
      <c r="NA3" s="1705"/>
      <c r="NB3" s="1705"/>
      <c r="NC3" s="1705"/>
      <c r="ND3" s="1705"/>
      <c r="NE3" s="1705"/>
      <c r="NF3" s="1705"/>
      <c r="NG3" s="1705"/>
      <c r="NH3" s="1705"/>
      <c r="NI3" s="1705"/>
      <c r="NJ3" s="1705"/>
      <c r="NK3" s="1705"/>
      <c r="NL3" s="1705"/>
      <c r="NM3" s="1705"/>
      <c r="NN3" s="1705"/>
      <c r="NO3" s="1705"/>
      <c r="NP3" s="1705"/>
      <c r="NQ3" s="1705"/>
      <c r="NR3" s="1705"/>
      <c r="NS3" s="1705"/>
      <c r="NT3" s="1706" t="s">
        <v>856</v>
      </c>
      <c r="NU3" s="85">
        <f>'Customer Inputs'!$P$20</f>
        <v>0</v>
      </c>
      <c r="NV3" s="1705"/>
      <c r="NW3" s="1705"/>
      <c r="NX3" s="1705"/>
      <c r="NY3" s="1705"/>
      <c r="NZ3" s="1705"/>
      <c r="OA3" s="1705"/>
      <c r="OB3" s="1705"/>
      <c r="OC3" s="1705"/>
      <c r="OD3" s="1705"/>
      <c r="OE3" s="1705"/>
      <c r="OF3" s="1705"/>
      <c r="OG3" s="1705"/>
      <c r="OH3" s="1705"/>
      <c r="OI3" s="1705"/>
      <c r="OJ3" s="1705"/>
      <c r="OK3" s="1705"/>
      <c r="OL3" s="1705"/>
      <c r="OM3" s="1705"/>
      <c r="ON3" s="1705"/>
      <c r="OO3" s="1705"/>
      <c r="OP3" s="1705"/>
      <c r="OQ3" s="1706" t="s">
        <v>856</v>
      </c>
      <c r="OR3" s="85">
        <f>'Customer Inputs'!$P$21</f>
        <v>0</v>
      </c>
      <c r="OS3" s="1705"/>
      <c r="OT3" s="1705"/>
      <c r="OU3" s="1705"/>
      <c r="OV3" s="1705"/>
      <c r="OW3" s="1705"/>
      <c r="OX3" s="1705"/>
      <c r="OY3" s="1705"/>
      <c r="OZ3" s="1705"/>
      <c r="PA3" s="1705"/>
      <c r="PB3" s="1705"/>
      <c r="PC3" s="1705"/>
      <c r="PD3" s="1705"/>
      <c r="PE3" s="1705"/>
      <c r="PF3" s="1705"/>
      <c r="PG3" s="1705"/>
      <c r="PH3" s="1705"/>
      <c r="PI3" s="1705"/>
      <c r="PJ3" s="1705"/>
      <c r="PK3" s="1705"/>
      <c r="PL3" s="1705"/>
      <c r="PM3" s="1705"/>
      <c r="PN3" s="1706" t="s">
        <v>856</v>
      </c>
      <c r="PO3" s="85">
        <f>'Customer Inputs'!$P$22</f>
        <v>0</v>
      </c>
      <c r="PP3" s="1705"/>
      <c r="PQ3" s="1705"/>
      <c r="PR3" s="1705"/>
      <c r="PS3" s="1705"/>
      <c r="PT3" s="1705"/>
      <c r="PU3" s="1705"/>
      <c r="PV3" s="1705"/>
      <c r="PW3" s="1705"/>
      <c r="PX3" s="1705"/>
      <c r="PY3" s="1705"/>
      <c r="PZ3" s="1705"/>
      <c r="QA3" s="1705"/>
      <c r="QB3" s="1705"/>
      <c r="QC3" s="1705"/>
      <c r="QD3" s="1705"/>
      <c r="QE3" s="1705"/>
      <c r="QF3" s="1705"/>
      <c r="QG3" s="1705"/>
      <c r="QH3" s="1705"/>
      <c r="QI3" s="1705"/>
      <c r="QJ3" s="1705"/>
      <c r="QK3" s="1706" t="s">
        <v>856</v>
      </c>
      <c r="QL3" s="85">
        <f>'Customer Inputs'!$P$23</f>
        <v>0</v>
      </c>
      <c r="QM3" s="1705"/>
      <c r="QN3" s="1705"/>
      <c r="QO3" s="1705"/>
      <c r="QP3" s="1705"/>
      <c r="QQ3" s="1705"/>
      <c r="QR3" s="1705"/>
      <c r="QS3" s="1705"/>
      <c r="QT3" s="1705"/>
      <c r="QU3" s="1705"/>
      <c r="QV3" s="1705"/>
      <c r="QW3" s="1705"/>
      <c r="QX3" s="1705"/>
      <c r="QY3" s="1705"/>
      <c r="QZ3" s="1705"/>
      <c r="RA3" s="1705"/>
      <c r="RB3" s="1705"/>
      <c r="RC3" s="1705"/>
      <c r="RD3" s="1705"/>
      <c r="RE3" s="1705"/>
      <c r="RF3" s="1705"/>
      <c r="RG3" s="1705"/>
      <c r="RH3" s="1706" t="s">
        <v>856</v>
      </c>
      <c r="RI3" s="85">
        <f>'Customer Inputs'!$P$24</f>
        <v>0</v>
      </c>
      <c r="RJ3" s="1705"/>
      <c r="RK3" s="1705"/>
      <c r="RL3" s="1705"/>
      <c r="RM3" s="1705"/>
      <c r="RN3" s="1705"/>
      <c r="RO3" s="1705"/>
      <c r="RP3" s="1705"/>
      <c r="RQ3" s="1705"/>
      <c r="RR3" s="1705"/>
      <c r="RS3" s="1705"/>
      <c r="RT3" s="1705"/>
      <c r="RU3" s="1705"/>
      <c r="RV3" s="1705"/>
      <c r="RW3" s="1705"/>
      <c r="RX3" s="1705"/>
      <c r="RY3" s="1705"/>
      <c r="RZ3" s="1705"/>
      <c r="SA3" s="1705"/>
      <c r="SB3" s="1705"/>
      <c r="SC3" s="1705"/>
      <c r="SD3" s="1705"/>
      <c r="SE3" s="1706" t="s">
        <v>856</v>
      </c>
      <c r="SF3" s="85">
        <f>'Customer Inputs'!$P$25</f>
        <v>0</v>
      </c>
      <c r="SG3" s="1705"/>
      <c r="SH3" s="1705"/>
      <c r="SI3" s="1705"/>
      <c r="SJ3" s="1705"/>
      <c r="SK3" s="1705"/>
      <c r="SL3" s="1705"/>
      <c r="SM3" s="1705"/>
      <c r="SN3" s="1705"/>
      <c r="SO3" s="1705"/>
      <c r="SP3" s="1705"/>
      <c r="SQ3" s="1705"/>
      <c r="SR3" s="1705"/>
      <c r="SS3" s="1705"/>
      <c r="ST3" s="1705"/>
      <c r="SU3" s="1705"/>
      <c r="SV3" s="1705"/>
      <c r="SW3" s="1705"/>
      <c r="SX3" s="1705"/>
      <c r="SY3" s="1705"/>
      <c r="SZ3" s="1705"/>
      <c r="TA3" s="1705"/>
      <c r="TB3" s="1705"/>
      <c r="TC3" s="1705"/>
      <c r="TD3" s="1705"/>
      <c r="TE3" s="1705"/>
      <c r="TF3" s="1705"/>
      <c r="TG3" s="1705"/>
      <c r="TH3" s="1705"/>
      <c r="TI3" s="1705"/>
      <c r="TJ3" s="1705"/>
      <c r="TK3" s="1705"/>
      <c r="TL3" s="1705"/>
      <c r="TM3" s="1705"/>
      <c r="TN3" s="1705"/>
      <c r="TO3" s="1705"/>
      <c r="TP3" s="1705"/>
      <c r="TQ3" s="1705"/>
      <c r="TR3" s="1705"/>
    </row>
    <row r="4" spans="1:538" x14ac:dyDescent="0.25">
      <c r="A4" s="1705"/>
      <c r="B4" s="1705"/>
      <c r="C4" s="1705"/>
      <c r="D4" s="1705"/>
      <c r="E4" s="1705"/>
      <c r="F4" s="1705"/>
      <c r="G4" s="1705"/>
      <c r="H4" s="1705"/>
      <c r="I4" s="1705"/>
      <c r="J4" s="1705"/>
      <c r="K4" s="1705"/>
      <c r="L4" s="1705"/>
      <c r="M4" s="1705"/>
      <c r="N4" s="1705"/>
      <c r="O4" s="1705"/>
      <c r="P4" s="1705"/>
      <c r="Q4" s="1705"/>
      <c r="R4" s="1705"/>
      <c r="S4" s="1705"/>
      <c r="T4" s="1705"/>
      <c r="U4" s="1705"/>
      <c r="V4" s="1705"/>
      <c r="W4" s="1705"/>
      <c r="X4" s="1705"/>
      <c r="Y4" s="1705"/>
      <c r="Z4" s="1705"/>
      <c r="AA4" s="1705"/>
      <c r="AB4" s="1705"/>
      <c r="AC4" s="1706"/>
      <c r="AD4" s="1706"/>
      <c r="AE4" s="1705"/>
      <c r="AF4" s="1705"/>
      <c r="AG4" s="1705"/>
      <c r="AH4" s="1705"/>
      <c r="AI4" s="1705"/>
      <c r="AJ4" s="1705"/>
      <c r="AK4" s="1705"/>
      <c r="AL4" s="1705"/>
      <c r="AM4" s="1705"/>
      <c r="AN4" s="1705"/>
      <c r="AO4" s="1705"/>
      <c r="AP4" s="1705"/>
      <c r="AQ4" s="1705"/>
      <c r="AR4" s="1705"/>
      <c r="AS4" s="1705"/>
      <c r="AT4" s="1705"/>
      <c r="AU4" s="1705"/>
      <c r="AV4" s="1705"/>
      <c r="AW4" s="1705"/>
      <c r="AX4" s="1705"/>
      <c r="AY4" s="1705"/>
      <c r="AZ4" s="1705"/>
      <c r="BA4" s="1705"/>
      <c r="BB4" s="1705"/>
      <c r="BC4" s="1705"/>
      <c r="BD4" s="1705"/>
      <c r="BE4" s="1705"/>
      <c r="BF4" s="1705"/>
      <c r="BG4" s="1705"/>
      <c r="BH4" s="1705"/>
      <c r="BI4" s="1705"/>
      <c r="BJ4" s="1706" t="s">
        <v>859</v>
      </c>
      <c r="BK4" s="294" t="e">
        <f>BK3/BK2</f>
        <v>#VALUE!</v>
      </c>
      <c r="BL4" s="1705"/>
      <c r="BM4" s="1705"/>
      <c r="BN4" s="1705"/>
      <c r="BO4" s="1705"/>
      <c r="BP4" s="1705"/>
      <c r="BQ4" s="1705"/>
      <c r="BR4" s="1705"/>
      <c r="BS4" s="1705"/>
      <c r="BT4" s="1705"/>
      <c r="BU4" s="1705"/>
      <c r="BV4" s="1705"/>
      <c r="BW4" s="1705"/>
      <c r="BX4" s="1705"/>
      <c r="BY4" s="1705"/>
      <c r="BZ4" s="1705"/>
      <c r="CA4" s="1705"/>
      <c r="CB4" s="1705"/>
      <c r="CC4" s="1705"/>
      <c r="CD4" s="1705"/>
      <c r="CE4" s="1705"/>
      <c r="CF4" s="1705"/>
      <c r="CG4" s="1706" t="s">
        <v>859</v>
      </c>
      <c r="CH4" s="294" t="e">
        <f>CH3/CH2</f>
        <v>#VALUE!</v>
      </c>
      <c r="CI4" s="1705"/>
      <c r="CJ4" s="1705"/>
      <c r="CK4" s="1705"/>
      <c r="CL4" s="1705"/>
      <c r="CM4" s="1705"/>
      <c r="CN4" s="1705"/>
      <c r="CO4" s="1705"/>
      <c r="CP4" s="1705"/>
      <c r="CQ4" s="1705"/>
      <c r="CR4" s="1705"/>
      <c r="CS4" s="1705"/>
      <c r="CT4" s="1705"/>
      <c r="CU4" s="1705"/>
      <c r="CV4" s="1705"/>
      <c r="CW4" s="1705"/>
      <c r="CX4" s="1705"/>
      <c r="CY4" s="1705"/>
      <c r="CZ4" s="1705"/>
      <c r="DA4" s="1705"/>
      <c r="DB4" s="1705"/>
      <c r="DC4" s="1705"/>
      <c r="DD4" s="1706" t="s">
        <v>859</v>
      </c>
      <c r="DE4" s="294" t="e">
        <f>DE3/DE2</f>
        <v>#VALUE!</v>
      </c>
      <c r="DF4" s="1705"/>
      <c r="DG4" s="1705"/>
      <c r="DH4" s="1705"/>
      <c r="DI4" s="1705"/>
      <c r="DJ4" s="1705"/>
      <c r="DK4" s="1705"/>
      <c r="DL4" s="1705"/>
      <c r="DM4" s="1705"/>
      <c r="DN4" s="1705"/>
      <c r="DO4" s="1705"/>
      <c r="DP4" s="1705"/>
      <c r="DQ4" s="1705"/>
      <c r="DR4" s="1705"/>
      <c r="DS4" s="1705"/>
      <c r="DT4" s="1705"/>
      <c r="DU4" s="1705"/>
      <c r="DV4" s="1705"/>
      <c r="DW4" s="1705"/>
      <c r="DX4" s="1705"/>
      <c r="DY4" s="1705"/>
      <c r="DZ4" s="1705"/>
      <c r="EA4" s="1706" t="s">
        <v>859</v>
      </c>
      <c r="EB4" s="294" t="e">
        <f>EB3/EB2</f>
        <v>#VALUE!</v>
      </c>
      <c r="EC4" s="1705"/>
      <c r="ED4" s="1705"/>
      <c r="EE4" s="1705"/>
      <c r="EF4" s="1705"/>
      <c r="EG4" s="1705"/>
      <c r="EH4" s="1705"/>
      <c r="EI4" s="1705"/>
      <c r="EJ4" s="1705"/>
      <c r="EK4" s="1705"/>
      <c r="EL4" s="1705"/>
      <c r="EM4" s="1705"/>
      <c r="EN4" s="1705"/>
      <c r="EO4" s="1705"/>
      <c r="EP4" s="1705"/>
      <c r="EQ4" s="1705"/>
      <c r="ER4" s="1705"/>
      <c r="ES4" s="1705"/>
      <c r="ET4" s="1705"/>
      <c r="EU4" s="1705"/>
      <c r="EV4" s="1705"/>
      <c r="EW4" s="1705"/>
      <c r="EX4" s="1706" t="s">
        <v>859</v>
      </c>
      <c r="EY4" s="294" t="e">
        <f>EY3/EY2</f>
        <v>#VALUE!</v>
      </c>
      <c r="EZ4" s="1705"/>
      <c r="FA4" s="1705"/>
      <c r="FB4" s="1705"/>
      <c r="FC4" s="1705"/>
      <c r="FD4" s="1705"/>
      <c r="FE4" s="1705"/>
      <c r="FF4" s="1705"/>
      <c r="FG4" s="1705"/>
      <c r="FH4" s="1705"/>
      <c r="FI4" s="1705"/>
      <c r="FJ4" s="1705"/>
      <c r="FK4" s="1705"/>
      <c r="FL4" s="1705"/>
      <c r="FM4" s="1705"/>
      <c r="FN4" s="1705"/>
      <c r="FO4" s="1705"/>
      <c r="FP4" s="1705"/>
      <c r="FQ4" s="1705"/>
      <c r="FR4" s="1705"/>
      <c r="FS4" s="1705"/>
      <c r="FT4" s="1705"/>
      <c r="FU4" s="1706" t="s">
        <v>859</v>
      </c>
      <c r="FV4" s="294" t="e">
        <f>FV3/FV2</f>
        <v>#VALUE!</v>
      </c>
      <c r="FW4" s="1705"/>
      <c r="FX4" s="1705"/>
      <c r="FY4" s="1705"/>
      <c r="FZ4" s="1705"/>
      <c r="GA4" s="1705"/>
      <c r="GB4" s="1705"/>
      <c r="GC4" s="1705"/>
      <c r="GD4" s="1705"/>
      <c r="GE4" s="1705"/>
      <c r="GF4" s="1705"/>
      <c r="GG4" s="1705"/>
      <c r="GH4" s="1705"/>
      <c r="GI4" s="1705"/>
      <c r="GJ4" s="1705"/>
      <c r="GK4" s="1705"/>
      <c r="GL4" s="1705"/>
      <c r="GM4" s="1705"/>
      <c r="GN4" s="1705"/>
      <c r="GO4" s="1705"/>
      <c r="GP4" s="1705"/>
      <c r="GQ4" s="1705"/>
      <c r="GR4" s="1706" t="s">
        <v>859</v>
      </c>
      <c r="GS4" s="294" t="e">
        <f>GS3/GS2</f>
        <v>#VALUE!</v>
      </c>
      <c r="GT4" s="1705"/>
      <c r="GU4" s="1705"/>
      <c r="GV4" s="1705"/>
      <c r="GW4" s="1705"/>
      <c r="GX4" s="1705"/>
      <c r="GY4" s="1705"/>
      <c r="GZ4" s="1705"/>
      <c r="HA4" s="1705"/>
      <c r="HB4" s="1705"/>
      <c r="HC4" s="1705"/>
      <c r="HD4" s="1705"/>
      <c r="HE4" s="1705"/>
      <c r="HF4" s="1705"/>
      <c r="HG4" s="1705"/>
      <c r="HH4" s="1705"/>
      <c r="HI4" s="1705"/>
      <c r="HJ4" s="1705"/>
      <c r="HK4" s="1705"/>
      <c r="HL4" s="1705"/>
      <c r="HM4" s="1705"/>
      <c r="HN4" s="1705"/>
      <c r="HO4" s="1706" t="s">
        <v>859</v>
      </c>
      <c r="HP4" s="294" t="e">
        <f>HP3/HP2</f>
        <v>#VALUE!</v>
      </c>
      <c r="HQ4" s="1705"/>
      <c r="HR4" s="1705"/>
      <c r="HS4" s="1705"/>
      <c r="HT4" s="1705"/>
      <c r="HU4" s="1705"/>
      <c r="HV4" s="1705"/>
      <c r="HW4" s="1705"/>
      <c r="HX4" s="1705"/>
      <c r="HY4" s="1705"/>
      <c r="HZ4" s="1705"/>
      <c r="IA4" s="1705"/>
      <c r="IB4" s="1705"/>
      <c r="IC4" s="1705"/>
      <c r="ID4" s="1705"/>
      <c r="IE4" s="1705"/>
      <c r="IF4" s="1705"/>
      <c r="IG4" s="1705"/>
      <c r="IH4" s="1705"/>
      <c r="II4" s="1705"/>
      <c r="IJ4" s="1705"/>
      <c r="IK4" s="1705"/>
      <c r="IL4" s="1706" t="s">
        <v>859</v>
      </c>
      <c r="IM4" s="294" t="e">
        <f>IM3/IM2</f>
        <v>#VALUE!</v>
      </c>
      <c r="IN4" s="1705"/>
      <c r="IO4" s="1705"/>
      <c r="IP4" s="1705"/>
      <c r="IQ4" s="1705"/>
      <c r="IR4" s="1705"/>
      <c r="IS4" s="1705"/>
      <c r="IT4" s="1705"/>
      <c r="IU4" s="1705"/>
      <c r="IV4" s="1705"/>
      <c r="IW4" s="1705"/>
      <c r="IX4" s="1705"/>
      <c r="IY4" s="1705"/>
      <c r="IZ4" s="1705"/>
      <c r="JA4" s="1705"/>
      <c r="JB4" s="1705"/>
      <c r="JC4" s="1705"/>
      <c r="JD4" s="1705"/>
      <c r="JE4" s="1705"/>
      <c r="JF4" s="1705"/>
      <c r="JG4" s="1705"/>
      <c r="JH4" s="1705"/>
      <c r="JI4" s="1706" t="s">
        <v>859</v>
      </c>
      <c r="JJ4" s="294" t="e">
        <f>JJ3/JJ2</f>
        <v>#VALUE!</v>
      </c>
      <c r="JK4" s="1705"/>
      <c r="JL4" s="1705"/>
      <c r="JM4" s="1705"/>
      <c r="JN4" s="1705"/>
      <c r="JO4" s="1705"/>
      <c r="JP4" s="1705"/>
      <c r="JQ4" s="1705"/>
      <c r="JR4" s="1705"/>
      <c r="JS4" s="1705"/>
      <c r="JT4" s="1705"/>
      <c r="JU4" s="1705"/>
      <c r="JV4" s="1705"/>
      <c r="JW4" s="1705"/>
      <c r="JX4" s="1705"/>
      <c r="JY4" s="1705"/>
      <c r="JZ4" s="1705"/>
      <c r="KA4" s="1705"/>
      <c r="KB4" s="1705"/>
      <c r="KC4" s="1705"/>
      <c r="KD4" s="1705"/>
      <c r="KE4" s="1705"/>
      <c r="KF4" s="1706" t="s">
        <v>859</v>
      </c>
      <c r="KG4" s="294" t="e">
        <f>KG3/KG2</f>
        <v>#VALUE!</v>
      </c>
      <c r="KH4" s="1705"/>
      <c r="KI4" s="1705"/>
      <c r="KJ4" s="1705"/>
      <c r="KK4" s="1705"/>
      <c r="KL4" s="1705"/>
      <c r="KM4" s="1705"/>
      <c r="KN4" s="1705"/>
      <c r="KO4" s="1705"/>
      <c r="KP4" s="1705"/>
      <c r="KQ4" s="1705"/>
      <c r="KR4" s="1705"/>
      <c r="KS4" s="1705"/>
      <c r="KT4" s="1705"/>
      <c r="KU4" s="1705"/>
      <c r="KV4" s="1705"/>
      <c r="KW4" s="1705"/>
      <c r="KX4" s="1705"/>
      <c r="KY4" s="1705"/>
      <c r="KZ4" s="1705"/>
      <c r="LA4" s="1705"/>
      <c r="LB4" s="1705"/>
      <c r="LC4" s="1706" t="s">
        <v>859</v>
      </c>
      <c r="LD4" s="294" t="e">
        <f>LD3/LD2</f>
        <v>#VALUE!</v>
      </c>
      <c r="LE4" s="1705"/>
      <c r="LF4" s="1705"/>
      <c r="LG4" s="1705"/>
      <c r="LH4" s="1705"/>
      <c r="LI4" s="1705"/>
      <c r="LJ4" s="1705"/>
      <c r="LK4" s="1705"/>
      <c r="LL4" s="1705"/>
      <c r="LM4" s="1705"/>
      <c r="LN4" s="1705"/>
      <c r="LO4" s="1705"/>
      <c r="LP4" s="1705"/>
      <c r="LQ4" s="1705"/>
      <c r="LR4" s="1705"/>
      <c r="LS4" s="1705"/>
      <c r="LT4" s="1705"/>
      <c r="LU4" s="1705"/>
      <c r="LV4" s="1705"/>
      <c r="LW4" s="1705"/>
      <c r="LX4" s="1705"/>
      <c r="LY4" s="1705"/>
      <c r="LZ4" s="1706" t="s">
        <v>859</v>
      </c>
      <c r="MA4" s="294" t="e">
        <f>MA3/MA2</f>
        <v>#VALUE!</v>
      </c>
      <c r="MB4" s="1705"/>
      <c r="MC4" s="1705"/>
      <c r="MD4" s="1705"/>
      <c r="ME4" s="1705"/>
      <c r="MF4" s="1705"/>
      <c r="MG4" s="1705"/>
      <c r="MH4" s="1705"/>
      <c r="MI4" s="1705"/>
      <c r="MJ4" s="1705"/>
      <c r="MK4" s="1705"/>
      <c r="ML4" s="1705"/>
      <c r="MM4" s="1705"/>
      <c r="MN4" s="1705"/>
      <c r="MO4" s="1705"/>
      <c r="MP4" s="1705"/>
      <c r="MQ4" s="1705"/>
      <c r="MR4" s="1705"/>
      <c r="MS4" s="1705"/>
      <c r="MT4" s="1705"/>
      <c r="MU4" s="1705"/>
      <c r="MV4" s="1705"/>
      <c r="MW4" s="1706" t="s">
        <v>859</v>
      </c>
      <c r="MX4" s="294" t="e">
        <f>MX3/MX2</f>
        <v>#VALUE!</v>
      </c>
      <c r="MY4" s="1705"/>
      <c r="MZ4" s="1705"/>
      <c r="NA4" s="1705"/>
      <c r="NB4" s="1705"/>
      <c r="NC4" s="1705"/>
      <c r="ND4" s="1705"/>
      <c r="NE4" s="1705"/>
      <c r="NF4" s="1705"/>
      <c r="NG4" s="1705"/>
      <c r="NH4" s="1705"/>
      <c r="NI4" s="1705"/>
      <c r="NJ4" s="1705"/>
      <c r="NK4" s="1705"/>
      <c r="NL4" s="1705"/>
      <c r="NM4" s="1705"/>
      <c r="NN4" s="1705"/>
      <c r="NO4" s="1705"/>
      <c r="NP4" s="1705"/>
      <c r="NQ4" s="1705"/>
      <c r="NR4" s="1705"/>
      <c r="NS4" s="1705"/>
      <c r="NT4" s="1706" t="s">
        <v>859</v>
      </c>
      <c r="NU4" s="294" t="e">
        <f>NU3/NU2</f>
        <v>#VALUE!</v>
      </c>
      <c r="NV4" s="1705"/>
      <c r="NW4" s="1705"/>
      <c r="NX4" s="1705"/>
      <c r="NY4" s="1705"/>
      <c r="NZ4" s="1705"/>
      <c r="OA4" s="1705"/>
      <c r="OB4" s="1705"/>
      <c r="OC4" s="1705"/>
      <c r="OD4" s="1705"/>
      <c r="OE4" s="1705"/>
      <c r="OF4" s="1705"/>
      <c r="OG4" s="1705"/>
      <c r="OH4" s="1705"/>
      <c r="OI4" s="1705"/>
      <c r="OJ4" s="1705"/>
      <c r="OK4" s="1705"/>
      <c r="OL4" s="1705"/>
      <c r="OM4" s="1705"/>
      <c r="ON4" s="1705"/>
      <c r="OO4" s="1705"/>
      <c r="OP4" s="1705"/>
      <c r="OQ4" s="1706" t="s">
        <v>859</v>
      </c>
      <c r="OR4" s="294" t="e">
        <f>OR3/OR2</f>
        <v>#VALUE!</v>
      </c>
      <c r="OS4" s="1705"/>
      <c r="OT4" s="1705"/>
      <c r="OU4" s="1705"/>
      <c r="OV4" s="1705"/>
      <c r="OW4" s="1705"/>
      <c r="OX4" s="1705"/>
      <c r="OY4" s="1705"/>
      <c r="OZ4" s="1705"/>
      <c r="PA4" s="1705"/>
      <c r="PB4" s="1705"/>
      <c r="PC4" s="1705"/>
      <c r="PD4" s="1705"/>
      <c r="PE4" s="1705"/>
      <c r="PF4" s="1705"/>
      <c r="PG4" s="1705"/>
      <c r="PH4" s="1705"/>
      <c r="PI4" s="1705"/>
      <c r="PJ4" s="1705"/>
      <c r="PK4" s="1705"/>
      <c r="PL4" s="1705"/>
      <c r="PM4" s="1705"/>
      <c r="PN4" s="1706" t="s">
        <v>859</v>
      </c>
      <c r="PO4" s="294" t="e">
        <f>PO3/PO2</f>
        <v>#VALUE!</v>
      </c>
      <c r="PP4" s="1705"/>
      <c r="PQ4" s="1705"/>
      <c r="PR4" s="1705"/>
      <c r="PS4" s="1705"/>
      <c r="PT4" s="1705"/>
      <c r="PU4" s="1705"/>
      <c r="PV4" s="1705"/>
      <c r="PW4" s="1705"/>
      <c r="PX4" s="1705"/>
      <c r="PY4" s="1705"/>
      <c r="PZ4" s="1705"/>
      <c r="QA4" s="1705"/>
      <c r="QB4" s="1705"/>
      <c r="QC4" s="1705"/>
      <c r="QD4" s="1705"/>
      <c r="QE4" s="1705"/>
      <c r="QF4" s="1705"/>
      <c r="QG4" s="1705"/>
      <c r="QH4" s="1705"/>
      <c r="QI4" s="1705"/>
      <c r="QJ4" s="1705"/>
      <c r="QK4" s="1706" t="s">
        <v>859</v>
      </c>
      <c r="QL4" s="294" t="e">
        <f>QL3/QL2</f>
        <v>#VALUE!</v>
      </c>
      <c r="QM4" s="1705"/>
      <c r="QN4" s="1705"/>
      <c r="QO4" s="1705"/>
      <c r="QP4" s="1705"/>
      <c r="QQ4" s="1705"/>
      <c r="QR4" s="1705"/>
      <c r="QS4" s="1705"/>
      <c r="QT4" s="1705"/>
      <c r="QU4" s="1705"/>
      <c r="QV4" s="1705"/>
      <c r="QW4" s="1705"/>
      <c r="QX4" s="1705"/>
      <c r="QY4" s="1705"/>
      <c r="QZ4" s="1705"/>
      <c r="RA4" s="1705"/>
      <c r="RB4" s="1705"/>
      <c r="RC4" s="1705"/>
      <c r="RD4" s="1705"/>
      <c r="RE4" s="1705"/>
      <c r="RF4" s="1705"/>
      <c r="RG4" s="1705"/>
      <c r="RH4" s="1706" t="s">
        <v>859</v>
      </c>
      <c r="RI4" s="294" t="e">
        <f>RI3/RI2</f>
        <v>#VALUE!</v>
      </c>
      <c r="RJ4" s="1705"/>
      <c r="RK4" s="1705"/>
      <c r="RL4" s="1705"/>
      <c r="RM4" s="1705"/>
      <c r="RN4" s="1705"/>
      <c r="RO4" s="1705"/>
      <c r="RP4" s="1705"/>
      <c r="RQ4" s="1705"/>
      <c r="RR4" s="1705"/>
      <c r="RS4" s="1705"/>
      <c r="RT4" s="1705"/>
      <c r="RU4" s="1705"/>
      <c r="RV4" s="1705"/>
      <c r="RW4" s="1705"/>
      <c r="RX4" s="1705"/>
      <c r="RY4" s="1705"/>
      <c r="RZ4" s="1705"/>
      <c r="SA4" s="1705"/>
      <c r="SB4" s="1705"/>
      <c r="SC4" s="1705"/>
      <c r="SD4" s="1705"/>
      <c r="SE4" s="1706" t="s">
        <v>859</v>
      </c>
      <c r="SF4" s="294" t="e">
        <f>SF3/SF2</f>
        <v>#VALUE!</v>
      </c>
      <c r="SG4" s="1705"/>
      <c r="SH4" s="1705"/>
      <c r="SI4" s="1705"/>
      <c r="SJ4" s="1705"/>
      <c r="SK4" s="1705"/>
      <c r="SL4" s="1705"/>
      <c r="SM4" s="1705"/>
      <c r="SN4" s="1705"/>
      <c r="SO4" s="1705"/>
      <c r="SP4" s="1705"/>
      <c r="SQ4" s="1705"/>
      <c r="SR4" s="1705"/>
      <c r="SS4" s="1705"/>
      <c r="ST4" s="1705"/>
      <c r="SU4" s="1705"/>
      <c r="SV4" s="1705"/>
      <c r="SW4" s="1705"/>
      <c r="SX4" s="1705"/>
      <c r="SY4" s="1705"/>
      <c r="SZ4" s="1705"/>
      <c r="TA4" s="1705"/>
      <c r="TB4" s="1705"/>
      <c r="TC4" s="1705"/>
      <c r="TD4" s="1705"/>
      <c r="TE4" s="1705"/>
      <c r="TF4" s="1705"/>
      <c r="TG4" s="1705"/>
      <c r="TH4" s="1705"/>
      <c r="TI4" s="1705"/>
      <c r="TJ4" s="1705"/>
      <c r="TK4" s="1705"/>
      <c r="TL4" s="1705"/>
      <c r="TM4" s="1705"/>
      <c r="TN4" s="1705"/>
      <c r="TO4" s="1705"/>
      <c r="TP4" s="1705"/>
      <c r="TQ4" s="1705"/>
      <c r="TR4" s="1705"/>
    </row>
    <row r="5" spans="1:538" x14ac:dyDescent="0.25">
      <c r="A5" s="1705"/>
      <c r="B5" s="1705"/>
      <c r="C5" s="1705"/>
      <c r="D5" s="1705"/>
      <c r="E5" s="1705"/>
      <c r="F5" s="1705"/>
      <c r="G5" s="1705"/>
      <c r="H5" s="1705"/>
      <c r="I5" s="1705"/>
      <c r="J5" s="1705"/>
      <c r="K5" s="1705"/>
      <c r="L5" s="1705"/>
      <c r="M5" s="1705"/>
      <c r="N5" s="1705"/>
      <c r="O5" s="1705"/>
      <c r="P5" s="1705"/>
      <c r="Q5" s="1705"/>
      <c r="R5" s="1705"/>
      <c r="S5" s="1705"/>
      <c r="T5" s="1705"/>
      <c r="U5" s="1705"/>
      <c r="V5" s="1705"/>
      <c r="W5" s="1705"/>
      <c r="X5" s="1705"/>
      <c r="Y5" s="1705"/>
      <c r="Z5" s="1705"/>
      <c r="AA5" s="1705"/>
      <c r="AB5" s="1705"/>
      <c r="AC5" s="2000" t="s">
        <v>805</v>
      </c>
      <c r="AD5" s="2000"/>
      <c r="AE5" s="1705">
        <f>COUNT(BK1,CH1,DE1,EB1,EY1,FV1,GS1,HP1,IM1,JJ1,KG1,LD1,MA1,MX1,NU1,OR1,PO1,QL1,RI1,SF1)</f>
        <v>20</v>
      </c>
      <c r="AF5" s="1705"/>
      <c r="AG5" s="1705"/>
      <c r="AH5" s="1705"/>
      <c r="AI5" s="1705"/>
      <c r="AJ5" s="1705"/>
      <c r="AK5" s="1705"/>
      <c r="AL5" s="1705"/>
      <c r="AM5" s="1705"/>
      <c r="AN5" s="1705"/>
      <c r="AO5" s="1705"/>
      <c r="AP5" s="1705"/>
      <c r="AQ5" s="1705"/>
      <c r="AR5" s="1705"/>
      <c r="AS5" s="1705"/>
      <c r="AT5" s="1705"/>
      <c r="AU5" s="1705"/>
      <c r="AV5" s="1705"/>
      <c r="AW5" s="1705"/>
      <c r="AX5" s="1705"/>
      <c r="AY5" s="1705"/>
      <c r="AZ5" s="1705"/>
      <c r="BA5" s="1705"/>
      <c r="BB5" s="1705"/>
      <c r="BC5" s="1705"/>
      <c r="BD5" s="1705"/>
      <c r="BE5" s="1705"/>
      <c r="BF5" s="1705"/>
      <c r="BG5" s="1705"/>
      <c r="BH5" s="1705"/>
      <c r="BI5" s="1705"/>
      <c r="BJ5" s="1706" t="s">
        <v>884</v>
      </c>
      <c r="BK5" s="1705">
        <f>IFERROR(VLOOKUP(BK$1,'Existing Customers'!$A:$AD,30,FALSE),BK6)</f>
        <v>0</v>
      </c>
      <c r="BL5" s="1705"/>
      <c r="BM5" s="1705"/>
      <c r="BN5" s="1705"/>
      <c r="BO5" s="1705"/>
      <c r="BP5" s="1705"/>
      <c r="BQ5" s="1705"/>
      <c r="BR5" s="1705"/>
      <c r="BS5" s="1705"/>
      <c r="BT5" s="1705"/>
      <c r="BU5" s="1705"/>
      <c r="BV5" s="1705"/>
      <c r="BW5" s="1705"/>
      <c r="BX5" s="1705"/>
      <c r="BY5" s="1705"/>
      <c r="BZ5" s="1705"/>
      <c r="CA5" s="1705"/>
      <c r="CB5" s="1705"/>
      <c r="CC5" s="1705"/>
      <c r="CD5" s="1705"/>
      <c r="CE5" s="1705"/>
      <c r="CF5" s="1705"/>
      <c r="CG5" s="1706" t="s">
        <v>884</v>
      </c>
      <c r="CH5" s="1705">
        <f>IFERROR(VLOOKUP(CH$1,'Existing Customers'!$A:$AD,30,FALSE),CH6)</f>
        <v>0</v>
      </c>
      <c r="CI5" s="1705"/>
      <c r="CJ5" s="1705"/>
      <c r="CK5" s="1705"/>
      <c r="CL5" s="1705"/>
      <c r="CM5" s="1705"/>
      <c r="CN5" s="1705"/>
      <c r="CO5" s="1705"/>
      <c r="CP5" s="1705"/>
      <c r="CQ5" s="1705"/>
      <c r="CR5" s="1705"/>
      <c r="CS5" s="1705"/>
      <c r="CT5" s="1705"/>
      <c r="CU5" s="1705"/>
      <c r="CV5" s="1705"/>
      <c r="CW5" s="1705"/>
      <c r="CX5" s="1705"/>
      <c r="CY5" s="1705"/>
      <c r="CZ5" s="1705"/>
      <c r="DA5" s="1705"/>
      <c r="DB5" s="1705"/>
      <c r="DC5" s="1705"/>
      <c r="DD5" s="1706" t="s">
        <v>884</v>
      </c>
      <c r="DE5" s="1705">
        <f>IFERROR(VLOOKUP(DE$1,'Existing Customers'!$A:$AD,30,FALSE),DE6)</f>
        <v>0</v>
      </c>
      <c r="DF5" s="1705"/>
      <c r="DG5" s="1705"/>
      <c r="DH5" s="1705"/>
      <c r="DI5" s="1705"/>
      <c r="DJ5" s="1705"/>
      <c r="DK5" s="1705"/>
      <c r="DL5" s="1705"/>
      <c r="DM5" s="1705"/>
      <c r="DN5" s="1705"/>
      <c r="DO5" s="1705"/>
      <c r="DP5" s="1705"/>
      <c r="DQ5" s="1705"/>
      <c r="DR5" s="1705"/>
      <c r="DS5" s="1705"/>
      <c r="DT5" s="1705"/>
      <c r="DU5" s="1705"/>
      <c r="DV5" s="1705"/>
      <c r="DW5" s="1705"/>
      <c r="DX5" s="1705"/>
      <c r="DY5" s="1705"/>
      <c r="DZ5" s="1705"/>
      <c r="EA5" s="1706" t="s">
        <v>884</v>
      </c>
      <c r="EB5" s="1705">
        <f>IFERROR(VLOOKUP(EB$1,'Existing Customers'!$A:$AD,30,FALSE),EB6)</f>
        <v>0</v>
      </c>
      <c r="EC5" s="1705"/>
      <c r="ED5" s="1705"/>
      <c r="EE5" s="1705"/>
      <c r="EF5" s="1705"/>
      <c r="EG5" s="1705"/>
      <c r="EH5" s="1705"/>
      <c r="EI5" s="1705"/>
      <c r="EJ5" s="1705"/>
      <c r="EK5" s="1705"/>
      <c r="EL5" s="1705"/>
      <c r="EM5" s="1705"/>
      <c r="EN5" s="1705"/>
      <c r="EO5" s="1705"/>
      <c r="EP5" s="1705"/>
      <c r="EQ5" s="1705"/>
      <c r="ER5" s="1705"/>
      <c r="ES5" s="1705"/>
      <c r="ET5" s="1705"/>
      <c r="EU5" s="1705"/>
      <c r="EV5" s="1705"/>
      <c r="EW5" s="1705"/>
      <c r="EX5" s="1706" t="s">
        <v>884</v>
      </c>
      <c r="EY5" s="1705">
        <f>IFERROR(VLOOKUP(EY$1,'Existing Customers'!$A:$AD,30,FALSE),EY6)</f>
        <v>0</v>
      </c>
      <c r="EZ5" s="1705"/>
      <c r="FA5" s="1705"/>
      <c r="FB5" s="1705"/>
      <c r="FC5" s="1705"/>
      <c r="FD5" s="1705"/>
      <c r="FE5" s="1705"/>
      <c r="FF5" s="1705"/>
      <c r="FG5" s="1705"/>
      <c r="FH5" s="1705"/>
      <c r="FI5" s="1705"/>
      <c r="FJ5" s="1705"/>
      <c r="FK5" s="1705"/>
      <c r="FL5" s="1705"/>
      <c r="FM5" s="1705"/>
      <c r="FN5" s="1705"/>
      <c r="FO5" s="1705"/>
      <c r="FP5" s="1705"/>
      <c r="FQ5" s="1705"/>
      <c r="FR5" s="1705"/>
      <c r="FS5" s="1705"/>
      <c r="FT5" s="1705"/>
      <c r="FU5" s="1706" t="s">
        <v>884</v>
      </c>
      <c r="FV5" s="1705">
        <f>IFERROR(VLOOKUP(FV$1,'Existing Customers'!$A:$AD,30,FALSE),FV6)</f>
        <v>0</v>
      </c>
      <c r="FW5" s="1705"/>
      <c r="FX5" s="1705"/>
      <c r="FY5" s="1705"/>
      <c r="FZ5" s="1705"/>
      <c r="GA5" s="1705"/>
      <c r="GB5" s="1705"/>
      <c r="GC5" s="1705"/>
      <c r="GD5" s="1705"/>
      <c r="GE5" s="1705"/>
      <c r="GF5" s="1705"/>
      <c r="GG5" s="1705"/>
      <c r="GH5" s="1705"/>
      <c r="GI5" s="1705"/>
      <c r="GJ5" s="1705"/>
      <c r="GK5" s="1705"/>
      <c r="GL5" s="1705"/>
      <c r="GM5" s="1705"/>
      <c r="GN5" s="1705"/>
      <c r="GO5" s="1705"/>
      <c r="GP5" s="1705"/>
      <c r="GQ5" s="1705"/>
      <c r="GR5" s="1706" t="s">
        <v>884</v>
      </c>
      <c r="GS5" s="1705">
        <f>IFERROR(VLOOKUP(GS$1,'Existing Customers'!$A:$AD,30,FALSE),GS6)</f>
        <v>0</v>
      </c>
      <c r="GT5" s="1705"/>
      <c r="GU5" s="1705"/>
      <c r="GV5" s="1705"/>
      <c r="GW5" s="1705"/>
      <c r="GX5" s="1705"/>
      <c r="GY5" s="1705"/>
      <c r="GZ5" s="1705"/>
      <c r="HA5" s="1705"/>
      <c r="HB5" s="1705"/>
      <c r="HC5" s="1705"/>
      <c r="HD5" s="1705"/>
      <c r="HE5" s="1705"/>
      <c r="HF5" s="1705"/>
      <c r="HG5" s="1705"/>
      <c r="HH5" s="1705"/>
      <c r="HI5" s="1705"/>
      <c r="HJ5" s="1705"/>
      <c r="HK5" s="1705"/>
      <c r="HL5" s="1705"/>
      <c r="HM5" s="1705"/>
      <c r="HN5" s="1705"/>
      <c r="HO5" s="1706" t="s">
        <v>884</v>
      </c>
      <c r="HP5" s="1705">
        <f>IFERROR(VLOOKUP(HP$1,'Existing Customers'!$A:$AD,30,FALSE),HP6)</f>
        <v>0</v>
      </c>
      <c r="HQ5" s="1705"/>
      <c r="HR5" s="1705"/>
      <c r="HS5" s="1705"/>
      <c r="HT5" s="1705"/>
      <c r="HU5" s="1705"/>
      <c r="HV5" s="1705"/>
      <c r="HW5" s="1705"/>
      <c r="HX5" s="1705"/>
      <c r="HY5" s="1705"/>
      <c r="HZ5" s="1705"/>
      <c r="IA5" s="1705"/>
      <c r="IB5" s="1705"/>
      <c r="IC5" s="1705"/>
      <c r="ID5" s="1705"/>
      <c r="IE5" s="1705"/>
      <c r="IF5" s="1705"/>
      <c r="IG5" s="1705"/>
      <c r="IH5" s="1705"/>
      <c r="II5" s="1705"/>
      <c r="IJ5" s="1705"/>
      <c r="IK5" s="1705"/>
      <c r="IL5" s="1706" t="s">
        <v>884</v>
      </c>
      <c r="IM5" s="1705">
        <f>IFERROR(VLOOKUP(IM$1,'Existing Customers'!$A:$AD,30,FALSE),IM6)</f>
        <v>0</v>
      </c>
      <c r="IN5" s="1705"/>
      <c r="IO5" s="1705"/>
      <c r="IP5" s="1705"/>
      <c r="IQ5" s="1705"/>
      <c r="IR5" s="1705"/>
      <c r="IS5" s="1705"/>
      <c r="IT5" s="1705"/>
      <c r="IU5" s="1705"/>
      <c r="IV5" s="1705"/>
      <c r="IW5" s="1705"/>
      <c r="IX5" s="1705"/>
      <c r="IY5" s="1705"/>
      <c r="IZ5" s="1705"/>
      <c r="JA5" s="1705"/>
      <c r="JB5" s="1705"/>
      <c r="JC5" s="1705"/>
      <c r="JD5" s="1705"/>
      <c r="JE5" s="1705"/>
      <c r="JF5" s="1705"/>
      <c r="JG5" s="1705"/>
      <c r="JH5" s="1705"/>
      <c r="JI5" s="1706" t="s">
        <v>884</v>
      </c>
      <c r="JJ5" s="1705">
        <f>IFERROR(VLOOKUP(JJ$1,'Existing Customers'!$A:$AD,30,FALSE),JJ6)</f>
        <v>0</v>
      </c>
      <c r="JK5" s="1705"/>
      <c r="JL5" s="1705"/>
      <c r="JM5" s="1705"/>
      <c r="JN5" s="1705"/>
      <c r="JO5" s="1705"/>
      <c r="JP5" s="1705"/>
      <c r="JQ5" s="1705"/>
      <c r="JR5" s="1705"/>
      <c r="JS5" s="1705"/>
      <c r="JT5" s="1705"/>
      <c r="JU5" s="1705"/>
      <c r="JV5" s="1705"/>
      <c r="JW5" s="1705"/>
      <c r="JX5" s="1705"/>
      <c r="JY5" s="1705"/>
      <c r="JZ5" s="1705"/>
      <c r="KA5" s="1705"/>
      <c r="KB5" s="1705"/>
      <c r="KC5" s="1705"/>
      <c r="KD5" s="1705"/>
      <c r="KE5" s="1705"/>
      <c r="KF5" s="1706" t="s">
        <v>884</v>
      </c>
      <c r="KG5" s="1705">
        <f>IFERROR(VLOOKUP(KG$1,'Existing Customers'!$A:$AD,30,FALSE),KG6)</f>
        <v>0</v>
      </c>
      <c r="KH5" s="1705"/>
      <c r="KI5" s="1705"/>
      <c r="KJ5" s="1705"/>
      <c r="KK5" s="1705"/>
      <c r="KL5" s="1705"/>
      <c r="KM5" s="1705"/>
      <c r="KN5" s="1705"/>
      <c r="KO5" s="1705"/>
      <c r="KP5" s="1705"/>
      <c r="KQ5" s="1705"/>
      <c r="KR5" s="1705"/>
      <c r="KS5" s="1705"/>
      <c r="KT5" s="1705"/>
      <c r="KU5" s="1705"/>
      <c r="KV5" s="1705"/>
      <c r="KW5" s="1705"/>
      <c r="KX5" s="1705"/>
      <c r="KY5" s="1705"/>
      <c r="KZ5" s="1705"/>
      <c r="LA5" s="1705"/>
      <c r="LB5" s="1705"/>
      <c r="LC5" s="1706" t="s">
        <v>884</v>
      </c>
      <c r="LD5" s="1705">
        <f>IFERROR(VLOOKUP(LD$1,'Existing Customers'!$A:$AD,30,FALSE),LD6)</f>
        <v>0</v>
      </c>
      <c r="LE5" s="1705"/>
      <c r="LF5" s="1705"/>
      <c r="LG5" s="1705"/>
      <c r="LH5" s="1705"/>
      <c r="LI5" s="1705"/>
      <c r="LJ5" s="1705"/>
      <c r="LK5" s="1705"/>
      <c r="LL5" s="1705"/>
      <c r="LM5" s="1705"/>
      <c r="LN5" s="1705"/>
      <c r="LO5" s="1705"/>
      <c r="LP5" s="1705"/>
      <c r="LQ5" s="1705"/>
      <c r="LR5" s="1705"/>
      <c r="LS5" s="1705"/>
      <c r="LT5" s="1705"/>
      <c r="LU5" s="1705"/>
      <c r="LV5" s="1705"/>
      <c r="LW5" s="1705"/>
      <c r="LX5" s="1705"/>
      <c r="LY5" s="1705"/>
      <c r="LZ5" s="1706" t="s">
        <v>884</v>
      </c>
      <c r="MA5" s="1705">
        <f>IFERROR(VLOOKUP(MA$1,'Existing Customers'!$A:$AD,30,FALSE),MA6)</f>
        <v>0</v>
      </c>
      <c r="MB5" s="1705"/>
      <c r="MC5" s="1705"/>
      <c r="MD5" s="1705"/>
      <c r="ME5" s="1705"/>
      <c r="MF5" s="1705"/>
      <c r="MG5" s="1705"/>
      <c r="MH5" s="1705"/>
      <c r="MI5" s="1705"/>
      <c r="MJ5" s="1705"/>
      <c r="MK5" s="1705"/>
      <c r="ML5" s="1705"/>
      <c r="MM5" s="1705"/>
      <c r="MN5" s="1705"/>
      <c r="MO5" s="1705"/>
      <c r="MP5" s="1705"/>
      <c r="MQ5" s="1705"/>
      <c r="MR5" s="1705"/>
      <c r="MS5" s="1705"/>
      <c r="MT5" s="1705"/>
      <c r="MU5" s="1705"/>
      <c r="MV5" s="1705"/>
      <c r="MW5" s="1706" t="s">
        <v>884</v>
      </c>
      <c r="MX5" s="1705">
        <f>IFERROR(VLOOKUP(MX$1,'Existing Customers'!$A:$AD,30,FALSE),MX6)</f>
        <v>0</v>
      </c>
      <c r="MY5" s="1705"/>
      <c r="MZ5" s="1705"/>
      <c r="NA5" s="1705"/>
      <c r="NB5" s="1705"/>
      <c r="NC5" s="1705"/>
      <c r="ND5" s="1705"/>
      <c r="NE5" s="1705"/>
      <c r="NF5" s="1705"/>
      <c r="NG5" s="1705"/>
      <c r="NH5" s="1705"/>
      <c r="NI5" s="1705"/>
      <c r="NJ5" s="1705"/>
      <c r="NK5" s="1705"/>
      <c r="NL5" s="1705"/>
      <c r="NM5" s="1705"/>
      <c r="NN5" s="1705"/>
      <c r="NO5" s="1705"/>
      <c r="NP5" s="1705"/>
      <c r="NQ5" s="1705"/>
      <c r="NR5" s="1705"/>
      <c r="NS5" s="1705"/>
      <c r="NT5" s="1706" t="s">
        <v>884</v>
      </c>
      <c r="NU5" s="1705">
        <f>IFERROR(VLOOKUP(NU$1,'Existing Customers'!$A:$AD,30,FALSE),NU6)</f>
        <v>0</v>
      </c>
      <c r="NV5" s="1705"/>
      <c r="NW5" s="1705"/>
      <c r="NX5" s="1705"/>
      <c r="NY5" s="1705"/>
      <c r="NZ5" s="1705"/>
      <c r="OA5" s="1705"/>
      <c r="OB5" s="1705"/>
      <c r="OC5" s="1705"/>
      <c r="OD5" s="1705"/>
      <c r="OE5" s="1705"/>
      <c r="OF5" s="1705"/>
      <c r="OG5" s="1705"/>
      <c r="OH5" s="1705"/>
      <c r="OI5" s="1705"/>
      <c r="OJ5" s="1705"/>
      <c r="OK5" s="1705"/>
      <c r="OL5" s="1705"/>
      <c r="OM5" s="1705"/>
      <c r="ON5" s="1705"/>
      <c r="OO5" s="1705"/>
      <c r="OP5" s="1705"/>
      <c r="OQ5" s="1706" t="s">
        <v>884</v>
      </c>
      <c r="OR5" s="1705">
        <f>IFERROR(VLOOKUP(OR$1,'Existing Customers'!$A:$AD,30,FALSE),OR6)</f>
        <v>0</v>
      </c>
      <c r="OS5" s="1705"/>
      <c r="OT5" s="1705"/>
      <c r="OU5" s="1705"/>
      <c r="OV5" s="1705"/>
      <c r="OW5" s="1705"/>
      <c r="OX5" s="1705"/>
      <c r="OY5" s="1705"/>
      <c r="OZ5" s="1705"/>
      <c r="PA5" s="1705"/>
      <c r="PB5" s="1705"/>
      <c r="PC5" s="1705"/>
      <c r="PD5" s="1705"/>
      <c r="PE5" s="1705"/>
      <c r="PF5" s="1705"/>
      <c r="PG5" s="1705"/>
      <c r="PH5" s="1705"/>
      <c r="PI5" s="1705"/>
      <c r="PJ5" s="1705"/>
      <c r="PK5" s="1705"/>
      <c r="PL5" s="1705"/>
      <c r="PM5" s="1705"/>
      <c r="PN5" s="1706" t="s">
        <v>884</v>
      </c>
      <c r="PO5" s="1705">
        <f>IFERROR(VLOOKUP(PO$1,'Existing Customers'!$A:$AD,30,FALSE),PO6)</f>
        <v>0</v>
      </c>
      <c r="PP5" s="1705"/>
      <c r="PQ5" s="1705"/>
      <c r="PR5" s="1705"/>
      <c r="PS5" s="1705"/>
      <c r="PT5" s="1705"/>
      <c r="PU5" s="1705"/>
      <c r="PV5" s="1705"/>
      <c r="PW5" s="1705"/>
      <c r="PX5" s="1705"/>
      <c r="PY5" s="1705"/>
      <c r="PZ5" s="1705"/>
      <c r="QA5" s="1705"/>
      <c r="QB5" s="1705"/>
      <c r="QC5" s="1705"/>
      <c r="QD5" s="1705"/>
      <c r="QE5" s="1705"/>
      <c r="QF5" s="1705"/>
      <c r="QG5" s="1705"/>
      <c r="QH5" s="1705"/>
      <c r="QI5" s="1705"/>
      <c r="QJ5" s="1705"/>
      <c r="QK5" s="1706" t="s">
        <v>884</v>
      </c>
      <c r="QL5" s="1705">
        <f>IFERROR(VLOOKUP(QL$1,'Existing Customers'!$A:$AD,30,FALSE),QL6)</f>
        <v>0</v>
      </c>
      <c r="QM5" s="1705"/>
      <c r="QN5" s="1705"/>
      <c r="QO5" s="1705"/>
      <c r="QP5" s="1705"/>
      <c r="QQ5" s="1705"/>
      <c r="QR5" s="1705"/>
      <c r="QS5" s="1705"/>
      <c r="QT5" s="1705"/>
      <c r="QU5" s="1705"/>
      <c r="QV5" s="1705"/>
      <c r="QW5" s="1705"/>
      <c r="QX5" s="1705"/>
      <c r="QY5" s="1705"/>
      <c r="QZ5" s="1705"/>
      <c r="RA5" s="1705"/>
      <c r="RB5" s="1705"/>
      <c r="RC5" s="1705"/>
      <c r="RD5" s="1705"/>
      <c r="RE5" s="1705"/>
      <c r="RF5" s="1705"/>
      <c r="RG5" s="1705"/>
      <c r="RH5" s="1706" t="s">
        <v>884</v>
      </c>
      <c r="RI5" s="1705">
        <f>IFERROR(VLOOKUP(RI$1,'Existing Customers'!$A:$AD,30,FALSE),RI6)</f>
        <v>0</v>
      </c>
      <c r="RJ5" s="1705"/>
      <c r="RK5" s="1705"/>
      <c r="RL5" s="1705"/>
      <c r="RM5" s="1705"/>
      <c r="RN5" s="1705"/>
      <c r="RO5" s="1705"/>
      <c r="RP5" s="1705"/>
      <c r="RQ5" s="1705"/>
      <c r="RR5" s="1705"/>
      <c r="RS5" s="1705"/>
      <c r="RT5" s="1705"/>
      <c r="RU5" s="1705"/>
      <c r="RV5" s="1705"/>
      <c r="RW5" s="1705"/>
      <c r="RX5" s="1705"/>
      <c r="RY5" s="1705"/>
      <c r="RZ5" s="1705"/>
      <c r="SA5" s="1705"/>
      <c r="SB5" s="1705"/>
      <c r="SC5" s="1705"/>
      <c r="SD5" s="1705"/>
      <c r="SE5" s="1706" t="s">
        <v>884</v>
      </c>
      <c r="SF5" s="1705">
        <f>IFERROR(VLOOKUP(SF$1,'Existing Customers'!$A:$AD,30,FALSE),SF6)</f>
        <v>0</v>
      </c>
      <c r="SG5" s="1705"/>
      <c r="SH5" s="1705"/>
      <c r="SI5" s="1705"/>
      <c r="SJ5" s="1705"/>
      <c r="SK5" s="1705"/>
      <c r="SL5" s="1705"/>
      <c r="SM5" s="1705"/>
      <c r="SN5" s="1705"/>
      <c r="SO5" s="1705"/>
      <c r="SP5" s="1705"/>
      <c r="SQ5" s="1705"/>
      <c r="SR5" s="1705"/>
      <c r="SS5" s="1705"/>
      <c r="ST5" s="1705"/>
      <c r="SU5" s="1705"/>
      <c r="SV5" s="1705"/>
      <c r="SW5" s="1705"/>
      <c r="SX5" s="1705"/>
      <c r="SY5" s="1705"/>
      <c r="SZ5" s="1705"/>
      <c r="TA5" s="1705"/>
      <c r="TB5" s="1705"/>
      <c r="TC5" s="1705"/>
      <c r="TD5" s="1705"/>
      <c r="TE5" s="1705"/>
      <c r="TF5" s="1705"/>
      <c r="TG5" s="1705"/>
      <c r="TH5" s="1705"/>
      <c r="TI5" s="1705"/>
      <c r="TJ5" s="1705"/>
      <c r="TK5" s="1705"/>
      <c r="TL5" s="1705"/>
      <c r="TM5" s="1705"/>
      <c r="TN5" s="1705"/>
      <c r="TO5" s="1705"/>
      <c r="TP5" s="1705"/>
      <c r="TQ5" s="1705"/>
      <c r="TR5" s="1705"/>
    </row>
    <row r="6" spans="1:538" x14ac:dyDescent="0.25">
      <c r="A6" s="1705"/>
      <c r="B6" s="1705"/>
      <c r="C6" s="1705"/>
      <c r="D6" s="1705"/>
      <c r="E6" s="1705"/>
      <c r="F6" s="1705"/>
      <c r="G6" s="1705"/>
      <c r="H6" s="1705"/>
      <c r="I6" s="1705"/>
      <c r="J6" s="1705"/>
      <c r="K6" s="1705"/>
      <c r="L6" s="1705"/>
      <c r="M6" s="1705"/>
      <c r="N6" s="1705"/>
      <c r="O6" s="1705"/>
      <c r="P6" s="1705"/>
      <c r="Q6" s="1705"/>
      <c r="R6" s="1705"/>
      <c r="S6" s="1705"/>
      <c r="T6" s="1705"/>
      <c r="U6" s="1705"/>
      <c r="V6" s="1705"/>
      <c r="W6" s="1705"/>
      <c r="X6" s="1705"/>
      <c r="Y6" s="1705"/>
      <c r="Z6" s="1705"/>
      <c r="AA6" s="1705"/>
      <c r="AB6" s="1705"/>
      <c r="AC6" s="2000"/>
      <c r="AD6" s="2000"/>
      <c r="AE6" s="1705"/>
      <c r="AF6" s="1705"/>
      <c r="AG6" s="1705"/>
      <c r="AH6" s="1705"/>
      <c r="AI6" s="1705"/>
      <c r="AJ6" s="1705"/>
      <c r="AK6" s="1705"/>
      <c r="AL6" s="1705"/>
      <c r="AM6" s="1705"/>
      <c r="AN6" s="1705"/>
      <c r="AO6" s="1705"/>
      <c r="AP6" s="1705"/>
      <c r="AQ6" s="1705"/>
      <c r="AR6" s="1705"/>
      <c r="AS6" s="1705"/>
      <c r="AT6" s="1705"/>
      <c r="AU6" s="1705"/>
      <c r="AV6" s="1705"/>
      <c r="AW6" s="1705"/>
      <c r="AX6" s="1705"/>
      <c r="AY6" s="1705"/>
      <c r="AZ6" s="1705"/>
      <c r="BA6" s="1705"/>
      <c r="BB6" s="1705"/>
      <c r="BC6" s="1705"/>
      <c r="BD6" s="1705"/>
      <c r="BE6" s="1705"/>
      <c r="BF6" s="1705"/>
      <c r="BG6" s="1705"/>
      <c r="BH6" s="1705"/>
      <c r="BI6" s="1705"/>
      <c r="BJ6" s="1706" t="s">
        <v>857</v>
      </c>
      <c r="BK6" s="333">
        <f>'Customer Inputs'!$R$6</f>
        <v>0</v>
      </c>
      <c r="BL6" s="1705"/>
      <c r="BM6" s="1705"/>
      <c r="BN6" s="1705"/>
      <c r="BO6" s="1705"/>
      <c r="BP6" s="1705"/>
      <c r="BQ6" s="1705"/>
      <c r="BR6" s="1705"/>
      <c r="BS6" s="1705"/>
      <c r="BT6" s="1705"/>
      <c r="BU6" s="1705"/>
      <c r="BV6" s="1705"/>
      <c r="BW6" s="1705"/>
      <c r="BX6" s="1705"/>
      <c r="BY6" s="1705"/>
      <c r="BZ6" s="1705"/>
      <c r="CA6" s="1705"/>
      <c r="CB6" s="1705"/>
      <c r="CC6" s="1705"/>
      <c r="CD6" s="1705"/>
      <c r="CE6" s="1705"/>
      <c r="CF6" s="1705"/>
      <c r="CG6" s="1706" t="s">
        <v>857</v>
      </c>
      <c r="CH6" s="85">
        <f>'Customer Inputs'!$R$7</f>
        <v>0</v>
      </c>
      <c r="CI6" s="1705"/>
      <c r="CJ6" s="1705"/>
      <c r="CK6" s="1705"/>
      <c r="CL6" s="1705"/>
      <c r="CM6" s="1705"/>
      <c r="CN6" s="1705"/>
      <c r="CO6" s="1705"/>
      <c r="CP6" s="1705"/>
      <c r="CQ6" s="1705"/>
      <c r="CR6" s="1705"/>
      <c r="CS6" s="1705"/>
      <c r="CT6" s="1705"/>
      <c r="CU6" s="1705"/>
      <c r="CV6" s="1705"/>
      <c r="CW6" s="1705"/>
      <c r="CX6" s="1705"/>
      <c r="CY6" s="1705"/>
      <c r="CZ6" s="1705"/>
      <c r="DA6" s="1705"/>
      <c r="DB6" s="1705"/>
      <c r="DC6" s="1705"/>
      <c r="DD6" s="1706" t="s">
        <v>857</v>
      </c>
      <c r="DE6" s="85">
        <f>'Customer Inputs'!$R$8</f>
        <v>0</v>
      </c>
      <c r="DF6" s="1705"/>
      <c r="DG6" s="1705"/>
      <c r="DH6" s="1705"/>
      <c r="DI6" s="1705"/>
      <c r="DJ6" s="1705"/>
      <c r="DK6" s="1705"/>
      <c r="DL6" s="1705"/>
      <c r="DM6" s="1705"/>
      <c r="DN6" s="1705"/>
      <c r="DO6" s="1705"/>
      <c r="DP6" s="1705"/>
      <c r="DQ6" s="1705"/>
      <c r="DR6" s="1705"/>
      <c r="DS6" s="1705"/>
      <c r="DT6" s="1705"/>
      <c r="DU6" s="1705"/>
      <c r="DV6" s="1705"/>
      <c r="DW6" s="1705"/>
      <c r="DX6" s="1705"/>
      <c r="DY6" s="1705"/>
      <c r="DZ6" s="1705"/>
      <c r="EA6" s="1706" t="s">
        <v>857</v>
      </c>
      <c r="EB6" s="85">
        <f>'Customer Inputs'!$R$9</f>
        <v>0</v>
      </c>
      <c r="EC6" s="1705"/>
      <c r="ED6" s="1705"/>
      <c r="EE6" s="1705"/>
      <c r="EF6" s="1705"/>
      <c r="EG6" s="1705"/>
      <c r="EH6" s="1705"/>
      <c r="EI6" s="1705"/>
      <c r="EJ6" s="1705"/>
      <c r="EK6" s="1705"/>
      <c r="EL6" s="1705"/>
      <c r="EM6" s="1705"/>
      <c r="EN6" s="1705"/>
      <c r="EO6" s="1705"/>
      <c r="EP6" s="1705"/>
      <c r="EQ6" s="1705"/>
      <c r="ER6" s="1705"/>
      <c r="ES6" s="1705"/>
      <c r="ET6" s="1705"/>
      <c r="EU6" s="1705"/>
      <c r="EV6" s="1705"/>
      <c r="EW6" s="1705"/>
      <c r="EX6" s="1706" t="s">
        <v>857</v>
      </c>
      <c r="EY6" s="85">
        <f>'Customer Inputs'!$R$10</f>
        <v>0</v>
      </c>
      <c r="EZ6" s="1705"/>
      <c r="FA6" s="1705"/>
      <c r="FB6" s="1705"/>
      <c r="FC6" s="1705"/>
      <c r="FD6" s="1705"/>
      <c r="FE6" s="1705"/>
      <c r="FF6" s="1705"/>
      <c r="FG6" s="1705"/>
      <c r="FH6" s="1705"/>
      <c r="FI6" s="1705"/>
      <c r="FJ6" s="1705"/>
      <c r="FK6" s="1705"/>
      <c r="FL6" s="1705"/>
      <c r="FM6" s="1705"/>
      <c r="FN6" s="1705"/>
      <c r="FO6" s="1705"/>
      <c r="FP6" s="1705"/>
      <c r="FQ6" s="1705"/>
      <c r="FR6" s="1705"/>
      <c r="FS6" s="1705"/>
      <c r="FT6" s="1705"/>
      <c r="FU6" s="1706" t="s">
        <v>857</v>
      </c>
      <c r="FV6" s="85">
        <f>'Customer Inputs'!$R$11</f>
        <v>0</v>
      </c>
      <c r="FW6" s="1705"/>
      <c r="FX6" s="1705"/>
      <c r="FY6" s="1705"/>
      <c r="FZ6" s="1705"/>
      <c r="GA6" s="1705"/>
      <c r="GB6" s="1705"/>
      <c r="GC6" s="1705"/>
      <c r="GD6" s="1705"/>
      <c r="GE6" s="1705"/>
      <c r="GF6" s="1705"/>
      <c r="GG6" s="1705"/>
      <c r="GH6" s="1705"/>
      <c r="GI6" s="1705"/>
      <c r="GJ6" s="1705"/>
      <c r="GK6" s="1705"/>
      <c r="GL6" s="1705"/>
      <c r="GM6" s="1705"/>
      <c r="GN6" s="1705"/>
      <c r="GO6" s="1705"/>
      <c r="GP6" s="1705"/>
      <c r="GQ6" s="1705"/>
      <c r="GR6" s="1706" t="s">
        <v>857</v>
      </c>
      <c r="GS6" s="85">
        <f>'Customer Inputs'!$R$12</f>
        <v>0</v>
      </c>
      <c r="GT6" s="1705"/>
      <c r="GU6" s="1705"/>
      <c r="GV6" s="1705"/>
      <c r="GW6" s="1705"/>
      <c r="GX6" s="1705"/>
      <c r="GY6" s="1705"/>
      <c r="GZ6" s="1705"/>
      <c r="HA6" s="1705"/>
      <c r="HB6" s="1705"/>
      <c r="HC6" s="1705"/>
      <c r="HD6" s="1705"/>
      <c r="HE6" s="1705"/>
      <c r="HF6" s="1705"/>
      <c r="HG6" s="1705"/>
      <c r="HH6" s="1705"/>
      <c r="HI6" s="1705"/>
      <c r="HJ6" s="1705"/>
      <c r="HK6" s="1705"/>
      <c r="HL6" s="1705"/>
      <c r="HM6" s="1705"/>
      <c r="HN6" s="1705"/>
      <c r="HO6" s="1706" t="s">
        <v>857</v>
      </c>
      <c r="HP6" s="85">
        <f>'Customer Inputs'!$R$13</f>
        <v>0</v>
      </c>
      <c r="HQ6" s="1705"/>
      <c r="HR6" s="1705"/>
      <c r="HS6" s="1705"/>
      <c r="HT6" s="1705"/>
      <c r="HU6" s="1705"/>
      <c r="HV6" s="1705"/>
      <c r="HW6" s="1705"/>
      <c r="HX6" s="1705"/>
      <c r="HY6" s="1705"/>
      <c r="HZ6" s="1705"/>
      <c r="IA6" s="1705"/>
      <c r="IB6" s="1705"/>
      <c r="IC6" s="1705"/>
      <c r="ID6" s="1705"/>
      <c r="IE6" s="1705"/>
      <c r="IF6" s="1705"/>
      <c r="IG6" s="1705"/>
      <c r="IH6" s="1705"/>
      <c r="II6" s="1705"/>
      <c r="IJ6" s="1705"/>
      <c r="IK6" s="1705"/>
      <c r="IL6" s="1706" t="s">
        <v>857</v>
      </c>
      <c r="IM6" s="85">
        <f>'Customer Inputs'!$R$14</f>
        <v>0</v>
      </c>
      <c r="IN6" s="1705"/>
      <c r="IO6" s="1705"/>
      <c r="IP6" s="1705"/>
      <c r="IQ6" s="1705"/>
      <c r="IR6" s="1705"/>
      <c r="IS6" s="1705"/>
      <c r="IT6" s="1705"/>
      <c r="IU6" s="1705"/>
      <c r="IV6" s="1705"/>
      <c r="IW6" s="1705"/>
      <c r="IX6" s="1705"/>
      <c r="IY6" s="1705"/>
      <c r="IZ6" s="1705"/>
      <c r="JA6" s="1705"/>
      <c r="JB6" s="1705"/>
      <c r="JC6" s="1705"/>
      <c r="JD6" s="1705"/>
      <c r="JE6" s="1705"/>
      <c r="JF6" s="1705"/>
      <c r="JG6" s="1705"/>
      <c r="JH6" s="1705"/>
      <c r="JI6" s="1706" t="s">
        <v>857</v>
      </c>
      <c r="JJ6" s="85">
        <f>'Customer Inputs'!$R$15</f>
        <v>0</v>
      </c>
      <c r="JK6" s="1705"/>
      <c r="JL6" s="1705"/>
      <c r="JM6" s="1705"/>
      <c r="JN6" s="1705"/>
      <c r="JO6" s="1705"/>
      <c r="JP6" s="1705"/>
      <c r="JQ6" s="1705"/>
      <c r="JR6" s="1705"/>
      <c r="JS6" s="1705"/>
      <c r="JT6" s="1705"/>
      <c r="JU6" s="1705"/>
      <c r="JV6" s="1705"/>
      <c r="JW6" s="1705"/>
      <c r="JX6" s="1705"/>
      <c r="JY6" s="1705"/>
      <c r="JZ6" s="1705"/>
      <c r="KA6" s="1705"/>
      <c r="KB6" s="1705"/>
      <c r="KC6" s="1705"/>
      <c r="KD6" s="1705"/>
      <c r="KE6" s="1705"/>
      <c r="KF6" s="1706" t="s">
        <v>857</v>
      </c>
      <c r="KG6" s="85">
        <f>'Customer Inputs'!$R$16</f>
        <v>0</v>
      </c>
      <c r="KH6" s="1705"/>
      <c r="KI6" s="1705"/>
      <c r="KJ6" s="1705"/>
      <c r="KK6" s="1705"/>
      <c r="KL6" s="1705"/>
      <c r="KM6" s="1705"/>
      <c r="KN6" s="1705"/>
      <c r="KO6" s="1705"/>
      <c r="KP6" s="1705"/>
      <c r="KQ6" s="1705"/>
      <c r="KR6" s="1705"/>
      <c r="KS6" s="1705"/>
      <c r="KT6" s="1705"/>
      <c r="KU6" s="1705"/>
      <c r="KV6" s="1705"/>
      <c r="KW6" s="1705"/>
      <c r="KX6" s="1705"/>
      <c r="KY6" s="1705"/>
      <c r="KZ6" s="1705"/>
      <c r="LA6" s="1705"/>
      <c r="LB6" s="1705"/>
      <c r="LC6" s="1706" t="s">
        <v>857</v>
      </c>
      <c r="LD6" s="85">
        <f>'Customer Inputs'!$R$17</f>
        <v>0</v>
      </c>
      <c r="LE6" s="1705"/>
      <c r="LF6" s="1705"/>
      <c r="LG6" s="1705"/>
      <c r="LH6" s="1705"/>
      <c r="LI6" s="1705"/>
      <c r="LJ6" s="1705"/>
      <c r="LK6" s="1705"/>
      <c r="LL6" s="1705"/>
      <c r="LM6" s="1705"/>
      <c r="LN6" s="1705"/>
      <c r="LO6" s="1705"/>
      <c r="LP6" s="1705"/>
      <c r="LQ6" s="1705"/>
      <c r="LR6" s="1705"/>
      <c r="LS6" s="1705"/>
      <c r="LT6" s="1705"/>
      <c r="LU6" s="1705"/>
      <c r="LV6" s="1705"/>
      <c r="LW6" s="1705"/>
      <c r="LX6" s="1705"/>
      <c r="LY6" s="1705"/>
      <c r="LZ6" s="1706" t="s">
        <v>857</v>
      </c>
      <c r="MA6" s="85">
        <f>'Customer Inputs'!$R$18</f>
        <v>0</v>
      </c>
      <c r="MB6" s="1705"/>
      <c r="MC6" s="1705"/>
      <c r="MD6" s="1705"/>
      <c r="ME6" s="1705"/>
      <c r="MF6" s="1705"/>
      <c r="MG6" s="1705"/>
      <c r="MH6" s="1705"/>
      <c r="MI6" s="1705"/>
      <c r="MJ6" s="1705"/>
      <c r="MK6" s="1705"/>
      <c r="ML6" s="1705"/>
      <c r="MM6" s="1705"/>
      <c r="MN6" s="1705"/>
      <c r="MO6" s="1705"/>
      <c r="MP6" s="1705"/>
      <c r="MQ6" s="1705"/>
      <c r="MR6" s="1705"/>
      <c r="MS6" s="1705"/>
      <c r="MT6" s="1705"/>
      <c r="MU6" s="1705"/>
      <c r="MV6" s="1705"/>
      <c r="MW6" s="1706" t="s">
        <v>857</v>
      </c>
      <c r="MX6" s="85">
        <f>'Customer Inputs'!$R$19</f>
        <v>0</v>
      </c>
      <c r="MY6" s="1705"/>
      <c r="MZ6" s="1705"/>
      <c r="NA6" s="1705"/>
      <c r="NB6" s="1705"/>
      <c r="NC6" s="1705"/>
      <c r="ND6" s="1705"/>
      <c r="NE6" s="1705"/>
      <c r="NF6" s="1705"/>
      <c r="NG6" s="1705"/>
      <c r="NH6" s="1705"/>
      <c r="NI6" s="1705"/>
      <c r="NJ6" s="1705"/>
      <c r="NK6" s="1705"/>
      <c r="NL6" s="1705"/>
      <c r="NM6" s="1705"/>
      <c r="NN6" s="1705"/>
      <c r="NO6" s="1705"/>
      <c r="NP6" s="1705"/>
      <c r="NQ6" s="1705"/>
      <c r="NR6" s="1705"/>
      <c r="NS6" s="1705"/>
      <c r="NT6" s="1706" t="s">
        <v>857</v>
      </c>
      <c r="NU6" s="85">
        <f>'Customer Inputs'!$R$20</f>
        <v>0</v>
      </c>
      <c r="NV6" s="1705"/>
      <c r="NW6" s="1705"/>
      <c r="NX6" s="1705"/>
      <c r="NY6" s="1705"/>
      <c r="NZ6" s="1705"/>
      <c r="OA6" s="1705"/>
      <c r="OB6" s="1705"/>
      <c r="OC6" s="1705"/>
      <c r="OD6" s="1705"/>
      <c r="OE6" s="1705"/>
      <c r="OF6" s="1705"/>
      <c r="OG6" s="1705"/>
      <c r="OH6" s="1705"/>
      <c r="OI6" s="1705"/>
      <c r="OJ6" s="1705"/>
      <c r="OK6" s="1705"/>
      <c r="OL6" s="1705"/>
      <c r="OM6" s="1705"/>
      <c r="ON6" s="1705"/>
      <c r="OO6" s="1705"/>
      <c r="OP6" s="1705"/>
      <c r="OQ6" s="1706" t="s">
        <v>857</v>
      </c>
      <c r="OR6" s="85">
        <f>'Customer Inputs'!$R$21</f>
        <v>0</v>
      </c>
      <c r="OS6" s="1705"/>
      <c r="OT6" s="1705"/>
      <c r="OU6" s="1705"/>
      <c r="OV6" s="1705"/>
      <c r="OW6" s="1705"/>
      <c r="OX6" s="1705"/>
      <c r="OY6" s="1705"/>
      <c r="OZ6" s="1705"/>
      <c r="PA6" s="1705"/>
      <c r="PB6" s="1705"/>
      <c r="PC6" s="1705"/>
      <c r="PD6" s="1705"/>
      <c r="PE6" s="1705"/>
      <c r="PF6" s="1705"/>
      <c r="PG6" s="1705"/>
      <c r="PH6" s="1705"/>
      <c r="PI6" s="1705"/>
      <c r="PJ6" s="1705"/>
      <c r="PK6" s="1705"/>
      <c r="PL6" s="1705"/>
      <c r="PM6" s="1705"/>
      <c r="PN6" s="1706" t="s">
        <v>857</v>
      </c>
      <c r="PO6" s="85">
        <f>'Customer Inputs'!$R$22</f>
        <v>0</v>
      </c>
      <c r="PP6" s="1705"/>
      <c r="PQ6" s="1705"/>
      <c r="PR6" s="1705"/>
      <c r="PS6" s="1705"/>
      <c r="PT6" s="1705"/>
      <c r="PU6" s="1705"/>
      <c r="PV6" s="1705"/>
      <c r="PW6" s="1705"/>
      <c r="PX6" s="1705"/>
      <c r="PY6" s="1705"/>
      <c r="PZ6" s="1705"/>
      <c r="QA6" s="1705"/>
      <c r="QB6" s="1705"/>
      <c r="QC6" s="1705"/>
      <c r="QD6" s="1705"/>
      <c r="QE6" s="1705"/>
      <c r="QF6" s="1705"/>
      <c r="QG6" s="1705"/>
      <c r="QH6" s="1705"/>
      <c r="QI6" s="1705"/>
      <c r="QJ6" s="1705"/>
      <c r="QK6" s="1706" t="s">
        <v>857</v>
      </c>
      <c r="QL6" s="85">
        <f>'Customer Inputs'!$R$23</f>
        <v>0</v>
      </c>
      <c r="QM6" s="1705"/>
      <c r="QN6" s="1705"/>
      <c r="QO6" s="1705"/>
      <c r="QP6" s="1705"/>
      <c r="QQ6" s="1705"/>
      <c r="QR6" s="1705"/>
      <c r="QS6" s="1705"/>
      <c r="QT6" s="1705"/>
      <c r="QU6" s="1705"/>
      <c r="QV6" s="1705"/>
      <c r="QW6" s="1705"/>
      <c r="QX6" s="1705"/>
      <c r="QY6" s="1705"/>
      <c r="QZ6" s="1705"/>
      <c r="RA6" s="1705"/>
      <c r="RB6" s="1705"/>
      <c r="RC6" s="1705"/>
      <c r="RD6" s="1705"/>
      <c r="RE6" s="1705"/>
      <c r="RF6" s="1705"/>
      <c r="RG6" s="1705"/>
      <c r="RH6" s="1706" t="s">
        <v>857</v>
      </c>
      <c r="RI6" s="85">
        <f>'Customer Inputs'!$R$24</f>
        <v>0</v>
      </c>
      <c r="RJ6" s="1705"/>
      <c r="RK6" s="1705"/>
      <c r="RL6" s="1705"/>
      <c r="RM6" s="1705"/>
      <c r="RN6" s="1705"/>
      <c r="RO6" s="1705"/>
      <c r="RP6" s="1705"/>
      <c r="RQ6" s="1705"/>
      <c r="RR6" s="1705"/>
      <c r="RS6" s="1705"/>
      <c r="RT6" s="1705"/>
      <c r="RU6" s="1705"/>
      <c r="RV6" s="1705"/>
      <c r="RW6" s="1705"/>
      <c r="RX6" s="1705"/>
      <c r="RY6" s="1705"/>
      <c r="RZ6" s="1705"/>
      <c r="SA6" s="1705"/>
      <c r="SB6" s="1705"/>
      <c r="SC6" s="1705"/>
      <c r="SD6" s="1705"/>
      <c r="SE6" s="1706" t="s">
        <v>857</v>
      </c>
      <c r="SF6" s="85">
        <f>'Customer Inputs'!$R$25</f>
        <v>0</v>
      </c>
      <c r="SG6" s="1705"/>
      <c r="SH6" s="1705"/>
      <c r="SI6" s="1705"/>
      <c r="SJ6" s="1705"/>
      <c r="SK6" s="1705"/>
      <c r="SL6" s="1705"/>
      <c r="SM6" s="1705"/>
      <c r="SN6" s="1705"/>
      <c r="SO6" s="1705"/>
      <c r="SP6" s="1705"/>
      <c r="SQ6" s="1705"/>
      <c r="SR6" s="1705"/>
      <c r="SS6" s="1705"/>
      <c r="ST6" s="1705"/>
      <c r="SU6" s="1705"/>
      <c r="SV6" s="1705"/>
      <c r="SW6" s="1705"/>
      <c r="SX6" s="1705"/>
      <c r="SY6" s="1705"/>
      <c r="SZ6" s="1705"/>
      <c r="TA6" s="1705"/>
      <c r="TB6" s="1705"/>
      <c r="TC6" s="1705"/>
      <c r="TD6" s="1705"/>
      <c r="TE6" s="1705"/>
      <c r="TF6" s="1705"/>
      <c r="TG6" s="1705"/>
      <c r="TH6" s="1705"/>
      <c r="TI6" s="1705"/>
      <c r="TJ6" s="1705"/>
      <c r="TK6" s="1705"/>
      <c r="TL6" s="1705"/>
      <c r="TM6" s="1705"/>
      <c r="TN6" s="1705"/>
      <c r="TO6" s="1705"/>
      <c r="TP6" s="1705"/>
      <c r="TQ6" s="1705"/>
      <c r="TR6" s="1705"/>
    </row>
    <row r="7" spans="1:538" x14ac:dyDescent="0.25">
      <c r="A7" s="1705"/>
      <c r="B7" s="1705"/>
      <c r="C7" s="1705"/>
      <c r="D7" s="1705"/>
      <c r="E7" s="1705"/>
      <c r="F7" s="1705"/>
      <c r="G7" s="1705"/>
      <c r="H7" s="1705"/>
      <c r="I7" s="1705"/>
      <c r="J7" s="1705"/>
      <c r="K7" s="1705"/>
      <c r="L7" s="1705"/>
      <c r="M7" s="1705"/>
      <c r="N7" s="1705"/>
      <c r="O7" s="1705"/>
      <c r="P7" s="1705"/>
      <c r="Q7" s="1705"/>
      <c r="R7" s="1705"/>
      <c r="S7" s="1705"/>
      <c r="T7" s="1705"/>
      <c r="U7" s="1705"/>
      <c r="V7" s="1705"/>
      <c r="W7" s="1705"/>
      <c r="X7" s="1705"/>
      <c r="Y7" s="1705"/>
      <c r="Z7" s="1705"/>
      <c r="AA7" s="1705"/>
      <c r="AB7" s="1705"/>
      <c r="AC7" s="1706"/>
      <c r="AD7" s="1706"/>
      <c r="AE7" s="1705"/>
      <c r="AF7" s="1705"/>
      <c r="AG7" s="1705"/>
      <c r="AH7" s="1705"/>
      <c r="AI7" s="1705"/>
      <c r="AJ7" s="1705"/>
      <c r="AK7" s="1705"/>
      <c r="AL7" s="1705"/>
      <c r="AM7" s="1705"/>
      <c r="AN7" s="1705"/>
      <c r="AO7" s="1705"/>
      <c r="AP7" s="1705"/>
      <c r="AQ7" s="1705"/>
      <c r="AR7" s="1705"/>
      <c r="AS7" s="1705"/>
      <c r="AT7" s="1705"/>
      <c r="AU7" s="1705"/>
      <c r="AV7" s="1705"/>
      <c r="AW7" s="1705"/>
      <c r="AX7" s="1705"/>
      <c r="AY7" s="1705"/>
      <c r="AZ7" s="1705"/>
      <c r="BA7" s="1705"/>
      <c r="BB7" s="1705"/>
      <c r="BC7" s="1705"/>
      <c r="BD7" s="1705"/>
      <c r="BE7" s="1705"/>
      <c r="BF7" s="1705"/>
      <c r="BG7" s="1705"/>
      <c r="BH7" s="1705"/>
      <c r="BI7" s="1705"/>
      <c r="BJ7" s="1706" t="s">
        <v>867</v>
      </c>
      <c r="BK7" s="316">
        <f>IFERROR(SUMIFS('Existing Customers'!$AC:$AC,'Existing Customers'!$A:$A,'Multi-Customer'!BK$1)/SUMIFS('Existing Customers'!$Q:$Q,'Existing Customers'!$A:$A,'Multi-Customer'!BK$1),0)</f>
        <v>0</v>
      </c>
      <c r="BL7" s="1705"/>
      <c r="BM7" s="1705"/>
      <c r="BN7" s="1705"/>
      <c r="BO7" s="1705"/>
      <c r="BP7" s="1705"/>
      <c r="BQ7" s="1705"/>
      <c r="BR7" s="1705"/>
      <c r="BS7" s="1705"/>
      <c r="BT7" s="1705"/>
      <c r="BU7" s="1705"/>
      <c r="BV7" s="1705"/>
      <c r="BW7" s="1705"/>
      <c r="BX7" s="1705"/>
      <c r="BY7" s="1705"/>
      <c r="BZ7" s="1705"/>
      <c r="CA7" s="1705"/>
      <c r="CB7" s="1705"/>
      <c r="CC7" s="1705"/>
      <c r="CD7" s="1705"/>
      <c r="CE7" s="1705"/>
      <c r="CF7" s="1705"/>
      <c r="CG7" s="1706" t="s">
        <v>867</v>
      </c>
      <c r="CH7" s="316">
        <f>IFERROR(SUMIFS('Existing Customers'!$AC:$AC,'Existing Customers'!$A:$A,'Multi-Customer'!CH$1)/SUMIFS('Existing Customers'!$Q:$Q,'Existing Customers'!$A:$A,'Multi-Customer'!CH$1),0)</f>
        <v>0</v>
      </c>
      <c r="CI7" s="1705"/>
      <c r="CJ7" s="1705"/>
      <c r="CK7" s="1705"/>
      <c r="CL7" s="1705"/>
      <c r="CM7" s="1705"/>
      <c r="CN7" s="1705"/>
      <c r="CO7" s="1705"/>
      <c r="CP7" s="1705"/>
      <c r="CQ7" s="1705"/>
      <c r="CR7" s="1705"/>
      <c r="CS7" s="1705"/>
      <c r="CT7" s="1705"/>
      <c r="CU7" s="1705"/>
      <c r="CV7" s="1705"/>
      <c r="CW7" s="1705"/>
      <c r="CX7" s="1705"/>
      <c r="CY7" s="1705"/>
      <c r="CZ7" s="1705"/>
      <c r="DA7" s="1705"/>
      <c r="DB7" s="1705"/>
      <c r="DC7" s="1705"/>
      <c r="DD7" s="1706" t="s">
        <v>867</v>
      </c>
      <c r="DE7" s="316">
        <f>IFERROR(SUMIFS('Existing Customers'!$AC:$AC,'Existing Customers'!$A:$A,'Multi-Customer'!DE$1)/SUMIFS('Existing Customers'!$Q:$Q,'Existing Customers'!$A:$A,'Multi-Customer'!DE$1),0)</f>
        <v>0</v>
      </c>
      <c r="DF7" s="1705"/>
      <c r="DG7" s="1705"/>
      <c r="DH7" s="1705"/>
      <c r="DI7" s="1705"/>
      <c r="DJ7" s="1705"/>
      <c r="DK7" s="1705"/>
      <c r="DL7" s="1705"/>
      <c r="DM7" s="1705"/>
      <c r="DN7" s="1705"/>
      <c r="DO7" s="1705"/>
      <c r="DP7" s="1705"/>
      <c r="DQ7" s="1705"/>
      <c r="DR7" s="1705"/>
      <c r="DS7" s="1705"/>
      <c r="DT7" s="1705"/>
      <c r="DU7" s="1705"/>
      <c r="DV7" s="1705"/>
      <c r="DW7" s="1705"/>
      <c r="DX7" s="1705"/>
      <c r="DY7" s="1705"/>
      <c r="DZ7" s="1705"/>
      <c r="EA7" s="1706" t="s">
        <v>867</v>
      </c>
      <c r="EB7" s="316">
        <f>IFERROR(SUMIFS('Existing Customers'!$AC:$AC,'Existing Customers'!$A:$A,'Multi-Customer'!EB$1)/SUMIFS('Existing Customers'!$Q:$Q,'Existing Customers'!$A:$A,'Multi-Customer'!EB$1),0)</f>
        <v>0</v>
      </c>
      <c r="EC7" s="1705"/>
      <c r="ED7" s="1705"/>
      <c r="EE7" s="1705"/>
      <c r="EF7" s="1705"/>
      <c r="EG7" s="1705"/>
      <c r="EH7" s="1705"/>
      <c r="EI7" s="1705"/>
      <c r="EJ7" s="1705"/>
      <c r="EK7" s="1705"/>
      <c r="EL7" s="1705"/>
      <c r="EM7" s="1705"/>
      <c r="EN7" s="1705"/>
      <c r="EO7" s="1705"/>
      <c r="EP7" s="1705"/>
      <c r="EQ7" s="1705"/>
      <c r="ER7" s="1705"/>
      <c r="ES7" s="1705"/>
      <c r="ET7" s="1705"/>
      <c r="EU7" s="1705"/>
      <c r="EV7" s="1705"/>
      <c r="EW7" s="1705"/>
      <c r="EX7" s="1706" t="s">
        <v>867</v>
      </c>
      <c r="EY7" s="316">
        <f>IFERROR(SUMIFS('Existing Customers'!$AC:$AC,'Existing Customers'!$A:$A,'Multi-Customer'!EY$1)/SUMIFS('Existing Customers'!$Q:$Q,'Existing Customers'!$A:$A,'Multi-Customer'!EY$1),0)</f>
        <v>0</v>
      </c>
      <c r="EZ7" s="1705"/>
      <c r="FA7" s="1705"/>
      <c r="FB7" s="1705"/>
      <c r="FC7" s="1705"/>
      <c r="FD7" s="1705"/>
      <c r="FE7" s="1705"/>
      <c r="FF7" s="1705"/>
      <c r="FG7" s="1705"/>
      <c r="FH7" s="1705"/>
      <c r="FI7" s="1705"/>
      <c r="FJ7" s="1705"/>
      <c r="FK7" s="1705"/>
      <c r="FL7" s="1705"/>
      <c r="FM7" s="1705"/>
      <c r="FN7" s="1705"/>
      <c r="FO7" s="1705"/>
      <c r="FP7" s="1705"/>
      <c r="FQ7" s="1705"/>
      <c r="FR7" s="1705"/>
      <c r="FS7" s="1705"/>
      <c r="FT7" s="1705"/>
      <c r="FU7" s="1706" t="s">
        <v>867</v>
      </c>
      <c r="FV7" s="316">
        <f>IFERROR(SUMIFS('Existing Customers'!$AC:$AC,'Existing Customers'!$A:$A,'Multi-Customer'!FV$1)/SUMIFS('Existing Customers'!$Q:$Q,'Existing Customers'!$A:$A,'Multi-Customer'!FV$1),0)</f>
        <v>0</v>
      </c>
      <c r="FW7" s="1705"/>
      <c r="FX7" s="1705"/>
      <c r="FY7" s="1705"/>
      <c r="FZ7" s="1705"/>
      <c r="GA7" s="1705"/>
      <c r="GB7" s="1705"/>
      <c r="GC7" s="1705"/>
      <c r="GD7" s="1705"/>
      <c r="GE7" s="1705"/>
      <c r="GF7" s="1705"/>
      <c r="GG7" s="1705"/>
      <c r="GH7" s="1705"/>
      <c r="GI7" s="1705"/>
      <c r="GJ7" s="1705"/>
      <c r="GK7" s="1705"/>
      <c r="GL7" s="1705"/>
      <c r="GM7" s="1705"/>
      <c r="GN7" s="1705"/>
      <c r="GO7" s="1705"/>
      <c r="GP7" s="1705"/>
      <c r="GQ7" s="1705"/>
      <c r="GR7" s="1706" t="s">
        <v>867</v>
      </c>
      <c r="GS7" s="316">
        <f>IFERROR(SUMIFS('Existing Customers'!$AC:$AC,'Existing Customers'!$A:$A,'Multi-Customer'!GS$1)/SUMIFS('Existing Customers'!$Q:$Q,'Existing Customers'!$A:$A,'Multi-Customer'!GS$1),0)</f>
        <v>0</v>
      </c>
      <c r="GT7" s="1705"/>
      <c r="GU7" s="1705"/>
      <c r="GV7" s="1705"/>
      <c r="GW7" s="1705"/>
      <c r="GX7" s="1705"/>
      <c r="GY7" s="1705"/>
      <c r="GZ7" s="1705"/>
      <c r="HA7" s="1705"/>
      <c r="HB7" s="1705"/>
      <c r="HC7" s="1705"/>
      <c r="HD7" s="1705"/>
      <c r="HE7" s="1705"/>
      <c r="HF7" s="1705"/>
      <c r="HG7" s="1705"/>
      <c r="HH7" s="1705"/>
      <c r="HI7" s="1705"/>
      <c r="HJ7" s="1705"/>
      <c r="HK7" s="1705"/>
      <c r="HL7" s="1705"/>
      <c r="HM7" s="1705"/>
      <c r="HN7" s="1705"/>
      <c r="HO7" s="1706" t="s">
        <v>867</v>
      </c>
      <c r="HP7" s="316">
        <f>IFERROR(SUMIFS('Existing Customers'!$AC:$AC,'Existing Customers'!$A:$A,'Multi-Customer'!HP$1)/SUMIFS('Existing Customers'!$Q:$Q,'Existing Customers'!$A:$A,'Multi-Customer'!HP$1),0)</f>
        <v>0</v>
      </c>
      <c r="HQ7" s="1705"/>
      <c r="HR7" s="1705"/>
      <c r="HS7" s="1705"/>
      <c r="HT7" s="1705"/>
      <c r="HU7" s="1705"/>
      <c r="HV7" s="1705"/>
      <c r="HW7" s="1705"/>
      <c r="HX7" s="1705"/>
      <c r="HY7" s="1705"/>
      <c r="HZ7" s="1705"/>
      <c r="IA7" s="1705"/>
      <c r="IB7" s="1705"/>
      <c r="IC7" s="1705"/>
      <c r="ID7" s="1705"/>
      <c r="IE7" s="1705"/>
      <c r="IF7" s="1705"/>
      <c r="IG7" s="1705"/>
      <c r="IH7" s="1705"/>
      <c r="II7" s="1705"/>
      <c r="IJ7" s="1705"/>
      <c r="IK7" s="1705"/>
      <c r="IL7" s="1706" t="s">
        <v>867</v>
      </c>
      <c r="IM7" s="316">
        <f>IFERROR(SUMIFS('Existing Customers'!$AC:$AC,'Existing Customers'!$A:$A,'Multi-Customer'!IM$1)/SUMIFS('Existing Customers'!$Q:$Q,'Existing Customers'!$A:$A,'Multi-Customer'!IM$1),0)</f>
        <v>0</v>
      </c>
      <c r="IN7" s="1705"/>
      <c r="IO7" s="1705"/>
      <c r="IP7" s="1705"/>
      <c r="IQ7" s="1705"/>
      <c r="IR7" s="1705"/>
      <c r="IS7" s="1705"/>
      <c r="IT7" s="1705"/>
      <c r="IU7" s="1705"/>
      <c r="IV7" s="1705"/>
      <c r="IW7" s="1705"/>
      <c r="IX7" s="1705"/>
      <c r="IY7" s="1705"/>
      <c r="IZ7" s="1705"/>
      <c r="JA7" s="1705"/>
      <c r="JB7" s="1705"/>
      <c r="JC7" s="1705"/>
      <c r="JD7" s="1705"/>
      <c r="JE7" s="1705"/>
      <c r="JF7" s="1705"/>
      <c r="JG7" s="1705"/>
      <c r="JH7" s="1705"/>
      <c r="JI7" s="1706" t="s">
        <v>867</v>
      </c>
      <c r="JJ7" s="316">
        <f>IFERROR(SUMIFS('Existing Customers'!$AC:$AC,'Existing Customers'!$A:$A,'Multi-Customer'!JJ$1)/SUMIFS('Existing Customers'!$Q:$Q,'Existing Customers'!$A:$A,'Multi-Customer'!JJ$1),0)</f>
        <v>0</v>
      </c>
      <c r="JK7" s="1705"/>
      <c r="JL7" s="1705"/>
      <c r="JM7" s="1705"/>
      <c r="JN7" s="1705"/>
      <c r="JO7" s="1705"/>
      <c r="JP7" s="1705"/>
      <c r="JQ7" s="1705"/>
      <c r="JR7" s="1705"/>
      <c r="JS7" s="1705"/>
      <c r="JT7" s="1705"/>
      <c r="JU7" s="1705"/>
      <c r="JV7" s="1705"/>
      <c r="JW7" s="1705"/>
      <c r="JX7" s="1705"/>
      <c r="JY7" s="1705"/>
      <c r="JZ7" s="1705"/>
      <c r="KA7" s="1705"/>
      <c r="KB7" s="1705"/>
      <c r="KC7" s="1705"/>
      <c r="KD7" s="1705"/>
      <c r="KE7" s="1705"/>
      <c r="KF7" s="1706" t="s">
        <v>867</v>
      </c>
      <c r="KG7" s="316">
        <f>IFERROR(SUMIFS('Existing Customers'!$AC:$AC,'Existing Customers'!$A:$A,'Multi-Customer'!KG$1)/SUMIFS('Existing Customers'!$Q:$Q,'Existing Customers'!$A:$A,'Multi-Customer'!KG$1),0)</f>
        <v>0</v>
      </c>
      <c r="KH7" s="1705"/>
      <c r="KI7" s="1705"/>
      <c r="KJ7" s="1705"/>
      <c r="KK7" s="1705"/>
      <c r="KL7" s="1705"/>
      <c r="KM7" s="1705"/>
      <c r="KN7" s="1705"/>
      <c r="KO7" s="1705"/>
      <c r="KP7" s="1705"/>
      <c r="KQ7" s="1705"/>
      <c r="KR7" s="1705"/>
      <c r="KS7" s="1705"/>
      <c r="KT7" s="1705"/>
      <c r="KU7" s="1705"/>
      <c r="KV7" s="1705"/>
      <c r="KW7" s="1705"/>
      <c r="KX7" s="1705"/>
      <c r="KY7" s="1705"/>
      <c r="KZ7" s="1705"/>
      <c r="LA7" s="1705"/>
      <c r="LB7" s="1705"/>
      <c r="LC7" s="1706" t="s">
        <v>867</v>
      </c>
      <c r="LD7" s="316">
        <f>IFERROR(SUMIFS('Existing Customers'!$AC:$AC,'Existing Customers'!$A:$A,'Multi-Customer'!LD$1)/SUMIFS('Existing Customers'!$Q:$Q,'Existing Customers'!$A:$A,'Multi-Customer'!LD$1),0)</f>
        <v>0</v>
      </c>
      <c r="LE7" s="1705"/>
      <c r="LF7" s="1705"/>
      <c r="LG7" s="1705"/>
      <c r="LH7" s="1705"/>
      <c r="LI7" s="1705"/>
      <c r="LJ7" s="1705"/>
      <c r="LK7" s="1705"/>
      <c r="LL7" s="1705"/>
      <c r="LM7" s="1705"/>
      <c r="LN7" s="1705"/>
      <c r="LO7" s="1705"/>
      <c r="LP7" s="1705"/>
      <c r="LQ7" s="1705"/>
      <c r="LR7" s="1705"/>
      <c r="LS7" s="1705"/>
      <c r="LT7" s="1705"/>
      <c r="LU7" s="1705"/>
      <c r="LV7" s="1705"/>
      <c r="LW7" s="1705"/>
      <c r="LX7" s="1705"/>
      <c r="LY7" s="1705"/>
      <c r="LZ7" s="1706" t="s">
        <v>867</v>
      </c>
      <c r="MA7" s="316">
        <f>IFERROR(SUMIFS('Existing Customers'!$AC:$AC,'Existing Customers'!$A:$A,'Multi-Customer'!MA$1)/SUMIFS('Existing Customers'!$Q:$Q,'Existing Customers'!$A:$A,'Multi-Customer'!MA$1),0)</f>
        <v>0</v>
      </c>
      <c r="MB7" s="1705"/>
      <c r="MC7" s="1705"/>
      <c r="MD7" s="1705"/>
      <c r="ME7" s="1705"/>
      <c r="MF7" s="1705"/>
      <c r="MG7" s="1705"/>
      <c r="MH7" s="1705"/>
      <c r="MI7" s="1705"/>
      <c r="MJ7" s="1705"/>
      <c r="MK7" s="1705"/>
      <c r="ML7" s="1705"/>
      <c r="MM7" s="1705"/>
      <c r="MN7" s="1705"/>
      <c r="MO7" s="1705"/>
      <c r="MP7" s="1705"/>
      <c r="MQ7" s="1705"/>
      <c r="MR7" s="1705"/>
      <c r="MS7" s="1705"/>
      <c r="MT7" s="1705"/>
      <c r="MU7" s="1705"/>
      <c r="MV7" s="1705"/>
      <c r="MW7" s="1706" t="s">
        <v>867</v>
      </c>
      <c r="MX7" s="316">
        <f>IFERROR(SUMIFS('Existing Customers'!$AC:$AC,'Existing Customers'!$A:$A,'Multi-Customer'!MX$1)/SUMIFS('Existing Customers'!$Q:$Q,'Existing Customers'!$A:$A,'Multi-Customer'!MX$1),0)</f>
        <v>0</v>
      </c>
      <c r="MY7" s="1705"/>
      <c r="MZ7" s="1705"/>
      <c r="NA7" s="1705"/>
      <c r="NB7" s="1705"/>
      <c r="NC7" s="1705"/>
      <c r="ND7" s="1705"/>
      <c r="NE7" s="1705"/>
      <c r="NF7" s="1705"/>
      <c r="NG7" s="1705"/>
      <c r="NH7" s="1705"/>
      <c r="NI7" s="1705"/>
      <c r="NJ7" s="1705"/>
      <c r="NK7" s="1705"/>
      <c r="NL7" s="1705"/>
      <c r="NM7" s="1705"/>
      <c r="NN7" s="1705"/>
      <c r="NO7" s="1705"/>
      <c r="NP7" s="1705"/>
      <c r="NQ7" s="1705"/>
      <c r="NR7" s="1705"/>
      <c r="NS7" s="1705"/>
      <c r="NT7" s="1706" t="s">
        <v>867</v>
      </c>
      <c r="NU7" s="316">
        <f>IFERROR(SUMIFS('Existing Customers'!$AC:$AC,'Existing Customers'!$A:$A,'Multi-Customer'!NU$1)/SUMIFS('Existing Customers'!$Q:$Q,'Existing Customers'!$A:$A,'Multi-Customer'!NU$1),0)</f>
        <v>0</v>
      </c>
      <c r="NV7" s="1705"/>
      <c r="NW7" s="1705"/>
      <c r="NX7" s="1705"/>
      <c r="NY7" s="1705"/>
      <c r="NZ7" s="1705"/>
      <c r="OA7" s="1705"/>
      <c r="OB7" s="1705"/>
      <c r="OC7" s="1705"/>
      <c r="OD7" s="1705"/>
      <c r="OE7" s="1705"/>
      <c r="OF7" s="1705"/>
      <c r="OG7" s="1705"/>
      <c r="OH7" s="1705"/>
      <c r="OI7" s="1705"/>
      <c r="OJ7" s="1705"/>
      <c r="OK7" s="1705"/>
      <c r="OL7" s="1705"/>
      <c r="OM7" s="1705"/>
      <c r="ON7" s="1705"/>
      <c r="OO7" s="1705"/>
      <c r="OP7" s="1705"/>
      <c r="OQ7" s="1706" t="s">
        <v>867</v>
      </c>
      <c r="OR7" s="316">
        <f>IFERROR(SUMIFS('Existing Customers'!$AC:$AC,'Existing Customers'!$A:$A,'Multi-Customer'!OR$1)/SUMIFS('Existing Customers'!$Q:$Q,'Existing Customers'!$A:$A,'Multi-Customer'!OR$1),0)</f>
        <v>0</v>
      </c>
      <c r="OS7" s="1705"/>
      <c r="OT7" s="1705"/>
      <c r="OU7" s="1705"/>
      <c r="OV7" s="1705"/>
      <c r="OW7" s="1705"/>
      <c r="OX7" s="1705"/>
      <c r="OY7" s="1705"/>
      <c r="OZ7" s="1705"/>
      <c r="PA7" s="1705"/>
      <c r="PB7" s="1705"/>
      <c r="PC7" s="1705"/>
      <c r="PD7" s="1705"/>
      <c r="PE7" s="1705"/>
      <c r="PF7" s="1705"/>
      <c r="PG7" s="1705"/>
      <c r="PH7" s="1705"/>
      <c r="PI7" s="1705"/>
      <c r="PJ7" s="1705"/>
      <c r="PK7" s="1705"/>
      <c r="PL7" s="1705"/>
      <c r="PM7" s="1705"/>
      <c r="PN7" s="1706" t="s">
        <v>867</v>
      </c>
      <c r="PO7" s="316">
        <f>IFERROR(SUMIFS('Existing Customers'!$AC:$AC,'Existing Customers'!$A:$A,'Multi-Customer'!PO$1)/SUMIFS('Existing Customers'!$Q:$Q,'Existing Customers'!$A:$A,'Multi-Customer'!PO$1),0)</f>
        <v>0</v>
      </c>
      <c r="PP7" s="1705"/>
      <c r="PQ7" s="1705"/>
      <c r="PR7" s="1705"/>
      <c r="PS7" s="1705"/>
      <c r="PT7" s="1705"/>
      <c r="PU7" s="1705"/>
      <c r="PV7" s="1705"/>
      <c r="PW7" s="1705"/>
      <c r="PX7" s="1705"/>
      <c r="PY7" s="1705"/>
      <c r="PZ7" s="1705"/>
      <c r="QA7" s="1705"/>
      <c r="QB7" s="1705"/>
      <c r="QC7" s="1705"/>
      <c r="QD7" s="1705"/>
      <c r="QE7" s="1705"/>
      <c r="QF7" s="1705"/>
      <c r="QG7" s="1705"/>
      <c r="QH7" s="1705"/>
      <c r="QI7" s="1705"/>
      <c r="QJ7" s="1705"/>
      <c r="QK7" s="1706" t="s">
        <v>867</v>
      </c>
      <c r="QL7" s="316">
        <f>IFERROR(SUMIFS('Existing Customers'!$AC:$AC,'Existing Customers'!$A:$A,'Multi-Customer'!QL$1)/SUMIFS('Existing Customers'!$Q:$Q,'Existing Customers'!$A:$A,'Multi-Customer'!QL$1),0)</f>
        <v>0</v>
      </c>
      <c r="QM7" s="1705"/>
      <c r="QN7" s="1705"/>
      <c r="QO7" s="1705"/>
      <c r="QP7" s="1705"/>
      <c r="QQ7" s="1705"/>
      <c r="QR7" s="1705"/>
      <c r="QS7" s="1705"/>
      <c r="QT7" s="1705"/>
      <c r="QU7" s="1705"/>
      <c r="QV7" s="1705"/>
      <c r="QW7" s="1705"/>
      <c r="QX7" s="1705"/>
      <c r="QY7" s="1705"/>
      <c r="QZ7" s="1705"/>
      <c r="RA7" s="1705"/>
      <c r="RB7" s="1705"/>
      <c r="RC7" s="1705"/>
      <c r="RD7" s="1705"/>
      <c r="RE7" s="1705"/>
      <c r="RF7" s="1705"/>
      <c r="RG7" s="1705"/>
      <c r="RH7" s="1706" t="s">
        <v>867</v>
      </c>
      <c r="RI7" s="316">
        <f>IFERROR(SUMIFS('Existing Customers'!$AC:$AC,'Existing Customers'!$A:$A,'Multi-Customer'!RI$1)/SUMIFS('Existing Customers'!$Q:$Q,'Existing Customers'!$A:$A,'Multi-Customer'!RI$1),0)</f>
        <v>0</v>
      </c>
      <c r="RJ7" s="1705"/>
      <c r="RK7" s="1705"/>
      <c r="RL7" s="1705"/>
      <c r="RM7" s="1705"/>
      <c r="RN7" s="1705"/>
      <c r="RO7" s="1705"/>
      <c r="RP7" s="1705"/>
      <c r="RQ7" s="1705"/>
      <c r="RR7" s="1705"/>
      <c r="RS7" s="1705"/>
      <c r="RT7" s="1705"/>
      <c r="RU7" s="1705"/>
      <c r="RV7" s="1705"/>
      <c r="RW7" s="1705"/>
      <c r="RX7" s="1705"/>
      <c r="RY7" s="1705"/>
      <c r="RZ7" s="1705"/>
      <c r="SA7" s="1705"/>
      <c r="SB7" s="1705"/>
      <c r="SC7" s="1705"/>
      <c r="SD7" s="1705"/>
      <c r="SE7" s="1706" t="s">
        <v>867</v>
      </c>
      <c r="SF7" s="316">
        <f>IFERROR(SUMIFS('Existing Customers'!$AC:$AC,'Existing Customers'!$A:$A,'Multi-Customer'!SF$1)/SUMIFS('Existing Customers'!$Q:$Q,'Existing Customers'!$A:$A,'Multi-Customer'!SF$1),0)</f>
        <v>0</v>
      </c>
      <c r="SG7" s="1705"/>
      <c r="SH7" s="1705"/>
      <c r="SI7" s="1705"/>
      <c r="SJ7" s="1705"/>
      <c r="SK7" s="1705"/>
      <c r="SL7" s="1705"/>
      <c r="SM7" s="1705"/>
      <c r="SN7" s="1705"/>
      <c r="SO7" s="1705"/>
      <c r="SP7" s="1705"/>
      <c r="SQ7" s="1705"/>
      <c r="SR7" s="1705"/>
      <c r="SS7" s="1705"/>
      <c r="ST7" s="1705"/>
      <c r="SU7" s="1705"/>
      <c r="SV7" s="1705"/>
      <c r="SW7" s="1705"/>
      <c r="SX7" s="1705"/>
      <c r="SY7" s="1705"/>
      <c r="SZ7" s="1705"/>
      <c r="TA7" s="1705"/>
      <c r="TB7" s="1705"/>
      <c r="TC7" s="1705"/>
      <c r="TD7" s="1705"/>
      <c r="TE7" s="1705"/>
      <c r="TF7" s="1705"/>
      <c r="TG7" s="1705"/>
      <c r="TH7" s="1705"/>
      <c r="TI7" s="1705"/>
      <c r="TJ7" s="1705"/>
      <c r="TK7" s="1705"/>
      <c r="TL7" s="1705"/>
      <c r="TM7" s="1705"/>
      <c r="TN7" s="1705"/>
      <c r="TO7" s="1705"/>
      <c r="TP7" s="1705"/>
      <c r="TQ7" s="1705"/>
      <c r="TR7" s="1705"/>
    </row>
    <row r="8" spans="1:538" x14ac:dyDescent="0.25">
      <c r="A8" s="1705"/>
      <c r="B8" s="1705"/>
      <c r="C8" s="1705"/>
      <c r="D8" s="1705"/>
      <c r="E8" s="1705"/>
      <c r="F8" s="1705"/>
      <c r="G8" s="1705"/>
      <c r="H8" s="1705"/>
      <c r="I8" s="1705"/>
      <c r="J8" s="1705"/>
      <c r="K8" s="1705"/>
      <c r="L8" s="1705"/>
      <c r="M8" s="1705"/>
      <c r="N8" s="1705"/>
      <c r="O8" s="1705"/>
      <c r="P8" s="1705"/>
      <c r="Q8" s="1705"/>
      <c r="R8" s="1705"/>
      <c r="S8" s="1705"/>
      <c r="T8" s="1705"/>
      <c r="U8" s="1705"/>
      <c r="V8" s="1705"/>
      <c r="W8" s="1705"/>
      <c r="X8" s="1705"/>
      <c r="Y8" s="1705"/>
      <c r="Z8" s="1705"/>
      <c r="AA8" s="1705"/>
      <c r="AB8" s="1705"/>
      <c r="AC8" s="1705"/>
      <c r="AD8" s="1705"/>
      <c r="AE8" s="1705"/>
      <c r="AF8" s="1705"/>
      <c r="AG8" s="1705"/>
      <c r="AH8" s="1705"/>
      <c r="AI8" s="1705"/>
      <c r="AJ8" s="1705"/>
      <c r="AK8" s="1705"/>
      <c r="AL8" s="1705"/>
      <c r="AM8" s="1705"/>
      <c r="AN8" s="1705"/>
      <c r="AO8" s="1705"/>
      <c r="AP8" s="1705"/>
      <c r="AQ8" s="1705"/>
      <c r="AR8" s="1705"/>
      <c r="AS8" s="1705"/>
      <c r="AT8" s="1705"/>
      <c r="AU8" s="1705"/>
      <c r="AV8" s="1705"/>
      <c r="AW8" s="1705"/>
      <c r="AX8" s="1705"/>
      <c r="AY8" s="1705"/>
      <c r="AZ8" s="1705"/>
      <c r="BA8" s="1705"/>
      <c r="BB8" s="1705"/>
      <c r="BC8" s="1705"/>
      <c r="BD8" s="1705"/>
      <c r="BE8" s="1705"/>
      <c r="BF8" s="1705"/>
      <c r="BG8" s="1705"/>
      <c r="BH8" s="1705"/>
      <c r="BI8" s="1705"/>
      <c r="BJ8" s="1706" t="s">
        <v>860</v>
      </c>
      <c r="BK8" s="296">
        <f>'Customer Inputs'!$T$6</f>
        <v>0</v>
      </c>
      <c r="BL8" s="1705"/>
      <c r="BM8" s="1705"/>
      <c r="BN8" s="1705"/>
      <c r="BO8" s="1705"/>
      <c r="BP8" s="1705"/>
      <c r="BQ8" s="1705"/>
      <c r="BR8" s="1705"/>
      <c r="BS8" s="1705"/>
      <c r="BT8" s="1705"/>
      <c r="BU8" s="1705"/>
      <c r="BV8" s="1705"/>
      <c r="BW8" s="1705"/>
      <c r="BX8" s="1705"/>
      <c r="BY8" s="1705"/>
      <c r="BZ8" s="1705"/>
      <c r="CA8" s="1705"/>
      <c r="CB8" s="1705"/>
      <c r="CC8" s="1705"/>
      <c r="CD8" s="1705"/>
      <c r="CE8" s="1705"/>
      <c r="CF8" s="1705"/>
      <c r="CG8" s="1706" t="s">
        <v>860</v>
      </c>
      <c r="CH8" s="296">
        <f>'Customer Inputs'!$T$7</f>
        <v>0</v>
      </c>
      <c r="CI8" s="1705"/>
      <c r="CJ8" s="1705"/>
      <c r="CK8" s="1705"/>
      <c r="CL8" s="1705"/>
      <c r="CM8" s="1705"/>
      <c r="CN8" s="1705"/>
      <c r="CO8" s="1705"/>
      <c r="CP8" s="1705"/>
      <c r="CQ8" s="1705"/>
      <c r="CR8" s="1705"/>
      <c r="CS8" s="1705"/>
      <c r="CT8" s="1705"/>
      <c r="CU8" s="1705"/>
      <c r="CV8" s="1705"/>
      <c r="CW8" s="1705"/>
      <c r="CX8" s="1705"/>
      <c r="CY8" s="1705"/>
      <c r="CZ8" s="1705"/>
      <c r="DA8" s="1705"/>
      <c r="DB8" s="1705"/>
      <c r="DC8" s="1705"/>
      <c r="DD8" s="1706" t="s">
        <v>860</v>
      </c>
      <c r="DE8" s="296">
        <f>'Customer Inputs'!$T$8</f>
        <v>0</v>
      </c>
      <c r="DF8" s="1705"/>
      <c r="DG8" s="1705"/>
      <c r="DH8" s="1705"/>
      <c r="DI8" s="1705"/>
      <c r="DJ8" s="1705"/>
      <c r="DK8" s="1705"/>
      <c r="DL8" s="1705"/>
      <c r="DM8" s="1705"/>
      <c r="DN8" s="1705"/>
      <c r="DO8" s="1705"/>
      <c r="DP8" s="1705"/>
      <c r="DQ8" s="1705"/>
      <c r="DR8" s="1705"/>
      <c r="DS8" s="1705"/>
      <c r="DT8" s="1705"/>
      <c r="DU8" s="1705"/>
      <c r="DV8" s="1705"/>
      <c r="DW8" s="1705"/>
      <c r="DX8" s="1705"/>
      <c r="DY8" s="1705"/>
      <c r="DZ8" s="1705"/>
      <c r="EA8" s="1706" t="s">
        <v>860</v>
      </c>
      <c r="EB8" s="296">
        <f>'Customer Inputs'!$T$9</f>
        <v>0</v>
      </c>
      <c r="EC8" s="1705"/>
      <c r="ED8" s="1705"/>
      <c r="EE8" s="1705"/>
      <c r="EF8" s="1705"/>
      <c r="EG8" s="1705"/>
      <c r="EH8" s="1705"/>
      <c r="EI8" s="1705"/>
      <c r="EJ8" s="1705"/>
      <c r="EK8" s="1705"/>
      <c r="EL8" s="1705"/>
      <c r="EM8" s="1705"/>
      <c r="EN8" s="1705"/>
      <c r="EO8" s="1705"/>
      <c r="EP8" s="1705"/>
      <c r="EQ8" s="1705"/>
      <c r="ER8" s="1705"/>
      <c r="ES8" s="1705"/>
      <c r="ET8" s="1705"/>
      <c r="EU8" s="1705"/>
      <c r="EV8" s="1705"/>
      <c r="EW8" s="1705"/>
      <c r="EX8" s="1706" t="s">
        <v>860</v>
      </c>
      <c r="EY8" s="296">
        <f>'Customer Inputs'!$T$10</f>
        <v>0</v>
      </c>
      <c r="EZ8" s="1705"/>
      <c r="FA8" s="1705"/>
      <c r="FB8" s="1705"/>
      <c r="FC8" s="1705"/>
      <c r="FD8" s="1705"/>
      <c r="FE8" s="1705"/>
      <c r="FF8" s="1705"/>
      <c r="FG8" s="1705"/>
      <c r="FH8" s="1705"/>
      <c r="FI8" s="1705"/>
      <c r="FJ8" s="1705"/>
      <c r="FK8" s="1705"/>
      <c r="FL8" s="1705"/>
      <c r="FM8" s="1705"/>
      <c r="FN8" s="1705"/>
      <c r="FO8" s="1705"/>
      <c r="FP8" s="1705"/>
      <c r="FQ8" s="1705"/>
      <c r="FR8" s="1705"/>
      <c r="FS8" s="1705"/>
      <c r="FT8" s="1705"/>
      <c r="FU8" s="1706" t="s">
        <v>860</v>
      </c>
      <c r="FV8" s="296">
        <f>'Customer Inputs'!$T$11</f>
        <v>0</v>
      </c>
      <c r="FW8" s="1705"/>
      <c r="FX8" s="1705"/>
      <c r="FY8" s="1705"/>
      <c r="FZ8" s="1705"/>
      <c r="GA8" s="1705"/>
      <c r="GB8" s="1705"/>
      <c r="GC8" s="1705"/>
      <c r="GD8" s="1705"/>
      <c r="GE8" s="1705"/>
      <c r="GF8" s="1705"/>
      <c r="GG8" s="1705"/>
      <c r="GH8" s="1705"/>
      <c r="GI8" s="1705"/>
      <c r="GJ8" s="1705"/>
      <c r="GK8" s="1705"/>
      <c r="GL8" s="1705"/>
      <c r="GM8" s="1705"/>
      <c r="GN8" s="1705"/>
      <c r="GO8" s="1705"/>
      <c r="GP8" s="1705"/>
      <c r="GQ8" s="1705"/>
      <c r="GR8" s="1706" t="s">
        <v>860</v>
      </c>
      <c r="GS8" s="296">
        <f>'Customer Inputs'!$T$12</f>
        <v>0</v>
      </c>
      <c r="GT8" s="1705"/>
      <c r="GU8" s="1705"/>
      <c r="GV8" s="1705"/>
      <c r="GW8" s="1705"/>
      <c r="GX8" s="1705"/>
      <c r="GY8" s="1705"/>
      <c r="GZ8" s="1705"/>
      <c r="HA8" s="1705"/>
      <c r="HB8" s="1705"/>
      <c r="HC8" s="1705"/>
      <c r="HD8" s="1705"/>
      <c r="HE8" s="1705"/>
      <c r="HF8" s="1705"/>
      <c r="HG8" s="1705"/>
      <c r="HH8" s="1705"/>
      <c r="HI8" s="1705"/>
      <c r="HJ8" s="1705"/>
      <c r="HK8" s="1705"/>
      <c r="HL8" s="1705"/>
      <c r="HM8" s="1705"/>
      <c r="HN8" s="1705"/>
      <c r="HO8" s="1706" t="s">
        <v>860</v>
      </c>
      <c r="HP8" s="296">
        <f>'Customer Inputs'!$T$13</f>
        <v>0</v>
      </c>
      <c r="HQ8" s="1705"/>
      <c r="HR8" s="1705"/>
      <c r="HS8" s="1705"/>
      <c r="HT8" s="1705"/>
      <c r="HU8" s="1705"/>
      <c r="HV8" s="1705"/>
      <c r="HW8" s="1705"/>
      <c r="HX8" s="1705"/>
      <c r="HY8" s="1705"/>
      <c r="HZ8" s="1705"/>
      <c r="IA8" s="1705"/>
      <c r="IB8" s="1705"/>
      <c r="IC8" s="1705"/>
      <c r="ID8" s="1705"/>
      <c r="IE8" s="1705"/>
      <c r="IF8" s="1705"/>
      <c r="IG8" s="1705"/>
      <c r="IH8" s="1705"/>
      <c r="II8" s="1705"/>
      <c r="IJ8" s="1705"/>
      <c r="IK8" s="1705"/>
      <c r="IL8" s="1706" t="s">
        <v>860</v>
      </c>
      <c r="IM8" s="296">
        <f>'Customer Inputs'!$T$14</f>
        <v>0</v>
      </c>
      <c r="IN8" s="1705"/>
      <c r="IO8" s="1705"/>
      <c r="IP8" s="1705"/>
      <c r="IQ8" s="1705"/>
      <c r="IR8" s="1705"/>
      <c r="IS8" s="1705"/>
      <c r="IT8" s="1705"/>
      <c r="IU8" s="1705"/>
      <c r="IV8" s="1705"/>
      <c r="IW8" s="1705"/>
      <c r="IX8" s="1705"/>
      <c r="IY8" s="1705"/>
      <c r="IZ8" s="1705"/>
      <c r="JA8" s="1705"/>
      <c r="JB8" s="1705"/>
      <c r="JC8" s="1705"/>
      <c r="JD8" s="1705"/>
      <c r="JE8" s="1705"/>
      <c r="JF8" s="1705"/>
      <c r="JG8" s="1705"/>
      <c r="JH8" s="1705"/>
      <c r="JI8" s="1706" t="s">
        <v>860</v>
      </c>
      <c r="JJ8" s="296">
        <f>'Customer Inputs'!$T$15</f>
        <v>0</v>
      </c>
      <c r="JK8" s="1705"/>
      <c r="JL8" s="1705"/>
      <c r="JM8" s="1705"/>
      <c r="JN8" s="1705"/>
      <c r="JO8" s="1705"/>
      <c r="JP8" s="1705"/>
      <c r="JQ8" s="1705"/>
      <c r="JR8" s="1705"/>
      <c r="JS8" s="1705"/>
      <c r="JT8" s="1705"/>
      <c r="JU8" s="1705"/>
      <c r="JV8" s="1705"/>
      <c r="JW8" s="1705"/>
      <c r="JX8" s="1705"/>
      <c r="JY8" s="1705"/>
      <c r="JZ8" s="1705"/>
      <c r="KA8" s="1705"/>
      <c r="KB8" s="1705"/>
      <c r="KC8" s="1705"/>
      <c r="KD8" s="1705"/>
      <c r="KE8" s="1705"/>
      <c r="KF8" s="1706" t="s">
        <v>860</v>
      </c>
      <c r="KG8" s="296">
        <f>'Customer Inputs'!$T$16</f>
        <v>0</v>
      </c>
      <c r="KH8" s="1705"/>
      <c r="KI8" s="1705"/>
      <c r="KJ8" s="1705"/>
      <c r="KK8" s="1705"/>
      <c r="KL8" s="1705"/>
      <c r="KM8" s="1705"/>
      <c r="KN8" s="1705"/>
      <c r="KO8" s="1705"/>
      <c r="KP8" s="1705"/>
      <c r="KQ8" s="1705"/>
      <c r="KR8" s="1705"/>
      <c r="KS8" s="1705"/>
      <c r="KT8" s="1705"/>
      <c r="KU8" s="1705"/>
      <c r="KV8" s="1705"/>
      <c r="KW8" s="1705"/>
      <c r="KX8" s="1705"/>
      <c r="KY8" s="1705"/>
      <c r="KZ8" s="1705"/>
      <c r="LA8" s="1705"/>
      <c r="LB8" s="1705"/>
      <c r="LC8" s="1706" t="s">
        <v>860</v>
      </c>
      <c r="LD8" s="296">
        <f>'Customer Inputs'!$T$17</f>
        <v>0</v>
      </c>
      <c r="LE8" s="1705"/>
      <c r="LF8" s="1705"/>
      <c r="LG8" s="1705"/>
      <c r="LH8" s="1705"/>
      <c r="LI8" s="1705"/>
      <c r="LJ8" s="1705"/>
      <c r="LK8" s="1705"/>
      <c r="LL8" s="1705"/>
      <c r="LM8" s="1705"/>
      <c r="LN8" s="1705"/>
      <c r="LO8" s="1705"/>
      <c r="LP8" s="1705"/>
      <c r="LQ8" s="1705"/>
      <c r="LR8" s="1705"/>
      <c r="LS8" s="1705"/>
      <c r="LT8" s="1705"/>
      <c r="LU8" s="1705"/>
      <c r="LV8" s="1705"/>
      <c r="LW8" s="1705"/>
      <c r="LX8" s="1705"/>
      <c r="LY8" s="1705"/>
      <c r="LZ8" s="1706" t="s">
        <v>860</v>
      </c>
      <c r="MA8" s="296">
        <f>'Customer Inputs'!$T$18</f>
        <v>0</v>
      </c>
      <c r="MB8" s="1705"/>
      <c r="MC8" s="1705"/>
      <c r="MD8" s="1705"/>
      <c r="ME8" s="1705"/>
      <c r="MF8" s="1705"/>
      <c r="MG8" s="1705"/>
      <c r="MH8" s="1705"/>
      <c r="MI8" s="1705"/>
      <c r="MJ8" s="1705"/>
      <c r="MK8" s="1705"/>
      <c r="ML8" s="1705"/>
      <c r="MM8" s="1705"/>
      <c r="MN8" s="1705"/>
      <c r="MO8" s="1705"/>
      <c r="MP8" s="1705"/>
      <c r="MQ8" s="1705"/>
      <c r="MR8" s="1705"/>
      <c r="MS8" s="1705"/>
      <c r="MT8" s="1705"/>
      <c r="MU8" s="1705"/>
      <c r="MV8" s="1705"/>
      <c r="MW8" s="1706" t="s">
        <v>860</v>
      </c>
      <c r="MX8" s="296">
        <f>'Customer Inputs'!$T$19</f>
        <v>0</v>
      </c>
      <c r="MY8" s="1705"/>
      <c r="MZ8" s="1705"/>
      <c r="NA8" s="1705"/>
      <c r="NB8" s="1705"/>
      <c r="NC8" s="1705"/>
      <c r="ND8" s="1705"/>
      <c r="NE8" s="1705"/>
      <c r="NF8" s="1705"/>
      <c r="NG8" s="1705"/>
      <c r="NH8" s="1705"/>
      <c r="NI8" s="1705"/>
      <c r="NJ8" s="1705"/>
      <c r="NK8" s="1705"/>
      <c r="NL8" s="1705"/>
      <c r="NM8" s="1705"/>
      <c r="NN8" s="1705"/>
      <c r="NO8" s="1705"/>
      <c r="NP8" s="1705"/>
      <c r="NQ8" s="1705"/>
      <c r="NR8" s="1705"/>
      <c r="NS8" s="1705"/>
      <c r="NT8" s="1706" t="s">
        <v>860</v>
      </c>
      <c r="NU8" s="296">
        <f>'Customer Inputs'!$T$20</f>
        <v>0</v>
      </c>
      <c r="NV8" s="1705"/>
      <c r="NW8" s="1705"/>
      <c r="NX8" s="1705"/>
      <c r="NY8" s="1705"/>
      <c r="NZ8" s="1705"/>
      <c r="OA8" s="1705"/>
      <c r="OB8" s="1705"/>
      <c r="OC8" s="1705"/>
      <c r="OD8" s="1705"/>
      <c r="OE8" s="1705"/>
      <c r="OF8" s="1705"/>
      <c r="OG8" s="1705"/>
      <c r="OH8" s="1705"/>
      <c r="OI8" s="1705"/>
      <c r="OJ8" s="1705"/>
      <c r="OK8" s="1705"/>
      <c r="OL8" s="1705"/>
      <c r="OM8" s="1705"/>
      <c r="ON8" s="1705"/>
      <c r="OO8" s="1705"/>
      <c r="OP8" s="1705"/>
      <c r="OQ8" s="1706" t="s">
        <v>860</v>
      </c>
      <c r="OR8" s="296">
        <f>'Customer Inputs'!$T$21</f>
        <v>0</v>
      </c>
      <c r="OS8" s="1705"/>
      <c r="OT8" s="1705"/>
      <c r="OU8" s="1705"/>
      <c r="OV8" s="1705"/>
      <c r="OW8" s="1705"/>
      <c r="OX8" s="1705"/>
      <c r="OY8" s="1705"/>
      <c r="OZ8" s="1705"/>
      <c r="PA8" s="1705"/>
      <c r="PB8" s="1705"/>
      <c r="PC8" s="1705"/>
      <c r="PD8" s="1705"/>
      <c r="PE8" s="1705"/>
      <c r="PF8" s="1705"/>
      <c r="PG8" s="1705"/>
      <c r="PH8" s="1705"/>
      <c r="PI8" s="1705"/>
      <c r="PJ8" s="1705"/>
      <c r="PK8" s="1705"/>
      <c r="PL8" s="1705"/>
      <c r="PM8" s="1705"/>
      <c r="PN8" s="1706" t="s">
        <v>860</v>
      </c>
      <c r="PO8" s="296">
        <f>'Customer Inputs'!$T$22</f>
        <v>0</v>
      </c>
      <c r="PP8" s="1705"/>
      <c r="PQ8" s="1705"/>
      <c r="PR8" s="1705"/>
      <c r="PS8" s="1705"/>
      <c r="PT8" s="1705"/>
      <c r="PU8" s="1705"/>
      <c r="PV8" s="1705"/>
      <c r="PW8" s="1705"/>
      <c r="PX8" s="1705"/>
      <c r="PY8" s="1705"/>
      <c r="PZ8" s="1705"/>
      <c r="QA8" s="1705"/>
      <c r="QB8" s="1705"/>
      <c r="QC8" s="1705"/>
      <c r="QD8" s="1705"/>
      <c r="QE8" s="1705"/>
      <c r="QF8" s="1705"/>
      <c r="QG8" s="1705"/>
      <c r="QH8" s="1705"/>
      <c r="QI8" s="1705"/>
      <c r="QJ8" s="1705"/>
      <c r="QK8" s="1706" t="s">
        <v>860</v>
      </c>
      <c r="QL8" s="296">
        <f>'Customer Inputs'!$T$23</f>
        <v>0</v>
      </c>
      <c r="QM8" s="1705"/>
      <c r="QN8" s="1705"/>
      <c r="QO8" s="1705"/>
      <c r="QP8" s="1705"/>
      <c r="QQ8" s="1705"/>
      <c r="QR8" s="1705"/>
      <c r="QS8" s="1705"/>
      <c r="QT8" s="1705"/>
      <c r="QU8" s="1705"/>
      <c r="QV8" s="1705"/>
      <c r="QW8" s="1705"/>
      <c r="QX8" s="1705"/>
      <c r="QY8" s="1705"/>
      <c r="QZ8" s="1705"/>
      <c r="RA8" s="1705"/>
      <c r="RB8" s="1705"/>
      <c r="RC8" s="1705"/>
      <c r="RD8" s="1705"/>
      <c r="RE8" s="1705"/>
      <c r="RF8" s="1705"/>
      <c r="RG8" s="1705"/>
      <c r="RH8" s="1706" t="s">
        <v>860</v>
      </c>
      <c r="RI8" s="296">
        <f>'Customer Inputs'!$T$24</f>
        <v>0</v>
      </c>
      <c r="RJ8" s="1705"/>
      <c r="RK8" s="1705"/>
      <c r="RL8" s="1705"/>
      <c r="RM8" s="1705"/>
      <c r="RN8" s="1705"/>
      <c r="RO8" s="1705"/>
      <c r="RP8" s="1705"/>
      <c r="RQ8" s="1705"/>
      <c r="RR8" s="1705"/>
      <c r="RS8" s="1705"/>
      <c r="RT8" s="1705"/>
      <c r="RU8" s="1705"/>
      <c r="RV8" s="1705"/>
      <c r="RW8" s="1705"/>
      <c r="RX8" s="1705"/>
      <c r="RY8" s="1705"/>
      <c r="RZ8" s="1705"/>
      <c r="SA8" s="1705"/>
      <c r="SB8" s="1705"/>
      <c r="SC8" s="1705"/>
      <c r="SD8" s="1705"/>
      <c r="SE8" s="1706" t="s">
        <v>860</v>
      </c>
      <c r="SF8" s="296">
        <f>'Customer Inputs'!$T$25</f>
        <v>0</v>
      </c>
      <c r="SG8" s="1705"/>
      <c r="SH8" s="1705"/>
      <c r="SI8" s="1705"/>
      <c r="SJ8" s="1705"/>
      <c r="SK8" s="1705"/>
      <c r="SL8" s="1705"/>
      <c r="SM8" s="1705"/>
      <c r="SN8" s="1705"/>
      <c r="SO8" s="1705"/>
      <c r="SP8" s="1705"/>
      <c r="SQ8" s="1705"/>
      <c r="SR8" s="1705"/>
      <c r="SS8" s="1705"/>
      <c r="ST8" s="1705"/>
      <c r="SU8" s="1705"/>
      <c r="SV8" s="1705"/>
      <c r="SW8" s="1705"/>
      <c r="SX8" s="1705"/>
      <c r="SY8" s="1705"/>
      <c r="SZ8" s="1705"/>
      <c r="TA8" s="1705"/>
      <c r="TB8" s="1705"/>
      <c r="TC8" s="1705"/>
      <c r="TD8" s="1705"/>
      <c r="TE8" s="1705"/>
      <c r="TF8" s="1705"/>
      <c r="TG8" s="1705"/>
      <c r="TH8" s="1705"/>
      <c r="TI8" s="1705"/>
      <c r="TJ8" s="1705"/>
      <c r="TK8" s="1705"/>
      <c r="TL8" s="1705"/>
      <c r="TM8" s="1705"/>
      <c r="TN8" s="1705"/>
      <c r="TO8" s="1705"/>
      <c r="TP8" s="1705"/>
      <c r="TQ8" s="1705"/>
      <c r="TR8" s="1705"/>
    </row>
    <row r="9" spans="1:538" s="775" customFormat="1" x14ac:dyDescent="0.25">
      <c r="A9" s="1705"/>
      <c r="B9" s="1705"/>
      <c r="C9" s="1705"/>
      <c r="D9" s="1705"/>
      <c r="E9" s="1705"/>
      <c r="F9" s="1705"/>
      <c r="G9" s="1705"/>
      <c r="H9" s="1705"/>
      <c r="I9" s="1705"/>
      <c r="J9" s="1705"/>
      <c r="K9" s="1705"/>
      <c r="L9" s="1705"/>
      <c r="M9" s="1705"/>
      <c r="N9" s="1705"/>
      <c r="O9" s="1705"/>
      <c r="P9" s="1705"/>
      <c r="Q9" s="1705"/>
      <c r="R9" s="1705"/>
      <c r="S9" s="1705"/>
      <c r="T9" s="1705"/>
      <c r="U9" s="1705"/>
      <c r="V9" s="1705"/>
      <c r="W9" s="1705"/>
      <c r="X9" s="1705"/>
      <c r="Y9" s="1705"/>
      <c r="Z9" s="1705"/>
      <c r="AA9" s="1705"/>
      <c r="AB9" s="1705"/>
      <c r="AC9" s="1705"/>
      <c r="AD9" s="1705"/>
      <c r="AE9" s="1705"/>
      <c r="AF9" s="1705"/>
      <c r="AG9" s="1705"/>
      <c r="AH9" s="1705"/>
      <c r="AI9" s="1705"/>
      <c r="AJ9" s="1705"/>
      <c r="AK9" s="1705"/>
      <c r="AL9" s="1705"/>
      <c r="AM9" s="1705"/>
      <c r="AN9" s="1705"/>
      <c r="AO9" s="1705"/>
      <c r="AP9" s="1705"/>
      <c r="AQ9" s="1705"/>
      <c r="AR9" s="1705"/>
      <c r="AS9" s="1705"/>
      <c r="AT9" s="1705"/>
      <c r="AU9" s="1705"/>
      <c r="AV9" s="1705"/>
      <c r="AW9" s="1705"/>
      <c r="AX9" s="1705"/>
      <c r="AY9" s="1705"/>
      <c r="AZ9" s="1705"/>
      <c r="BA9" s="1705"/>
      <c r="BB9" s="1705"/>
      <c r="BC9" s="1705"/>
      <c r="BD9" s="1705"/>
      <c r="BE9" s="1705"/>
      <c r="BF9" s="1705"/>
      <c r="BG9" s="1705"/>
      <c r="BH9" s="1705"/>
      <c r="BI9" s="1705"/>
      <c r="BJ9" s="1706" t="s">
        <v>527</v>
      </c>
      <c r="BK9" s="296">
        <f>IFERROR($BQ$35/$BK$35,0)</f>
        <v>0</v>
      </c>
      <c r="BL9" s="1705"/>
      <c r="BM9" s="1705"/>
      <c r="BN9" s="1705"/>
      <c r="BO9" s="1705"/>
      <c r="BP9" s="1705"/>
      <c r="BQ9" s="1705"/>
      <c r="BR9" s="1705"/>
      <c r="BS9" s="1705"/>
      <c r="BT9" s="1705"/>
      <c r="BU9" s="1705"/>
      <c r="BV9" s="1705"/>
      <c r="BW9" s="1705"/>
      <c r="BX9" s="1705"/>
      <c r="BY9" s="1705"/>
      <c r="BZ9" s="1705"/>
      <c r="CA9" s="1705"/>
      <c r="CB9" s="1705"/>
      <c r="CC9" s="1705"/>
      <c r="CD9" s="1705"/>
      <c r="CE9" s="1705"/>
      <c r="CF9" s="1705"/>
      <c r="CG9" s="1706" t="s">
        <v>527</v>
      </c>
      <c r="CH9" s="296">
        <f>IFERROR($CN$35/$CH$35,0)</f>
        <v>0</v>
      </c>
      <c r="CI9" s="1705"/>
      <c r="CJ9" s="1705"/>
      <c r="CK9" s="1705"/>
      <c r="CL9" s="1705"/>
      <c r="CM9" s="1705"/>
      <c r="CN9" s="1705"/>
      <c r="CO9" s="1705"/>
      <c r="CP9" s="1705"/>
      <c r="CQ9" s="1705"/>
      <c r="CR9" s="1705"/>
      <c r="CS9" s="1705"/>
      <c r="CT9" s="1705"/>
      <c r="CU9" s="1705"/>
      <c r="CV9" s="1705"/>
      <c r="CW9" s="1705"/>
      <c r="CX9" s="1705"/>
      <c r="CY9" s="1705"/>
      <c r="CZ9" s="1705"/>
      <c r="DA9" s="1705"/>
      <c r="DB9" s="1705"/>
      <c r="DC9" s="1705"/>
      <c r="DD9" s="1706" t="s">
        <v>527</v>
      </c>
      <c r="DE9" s="296">
        <f>IFERROR($DK$35/$DE$35,0)</f>
        <v>0</v>
      </c>
      <c r="DF9" s="1705"/>
      <c r="DG9" s="1705"/>
      <c r="DH9" s="1705"/>
      <c r="DI9" s="1705"/>
      <c r="DJ9" s="1705"/>
      <c r="DK9" s="1705"/>
      <c r="DL9" s="1705"/>
      <c r="DM9" s="1705"/>
      <c r="DN9" s="1705"/>
      <c r="DO9" s="1705"/>
      <c r="DP9" s="1705"/>
      <c r="DQ9" s="1705"/>
      <c r="DR9" s="1705"/>
      <c r="DS9" s="1705"/>
      <c r="DT9" s="1705"/>
      <c r="DU9" s="1705"/>
      <c r="DV9" s="1705"/>
      <c r="DW9" s="1705"/>
      <c r="DX9" s="1705"/>
      <c r="DY9" s="1705"/>
      <c r="DZ9" s="1705"/>
      <c r="EA9" s="1706" t="s">
        <v>527</v>
      </c>
      <c r="EB9" s="296">
        <f>IFERROR($EH$35/$EB$35,0)</f>
        <v>0</v>
      </c>
      <c r="EC9" s="1705"/>
      <c r="ED9" s="1705"/>
      <c r="EE9" s="1705"/>
      <c r="EF9" s="1705"/>
      <c r="EG9" s="1705"/>
      <c r="EH9" s="1705"/>
      <c r="EI9" s="1705"/>
      <c r="EJ9" s="1705"/>
      <c r="EK9" s="1705"/>
      <c r="EL9" s="1705"/>
      <c r="EM9" s="1705"/>
      <c r="EN9" s="1705"/>
      <c r="EO9" s="1705"/>
      <c r="EP9" s="1705"/>
      <c r="EQ9" s="1705"/>
      <c r="ER9" s="1705"/>
      <c r="ES9" s="1705"/>
      <c r="ET9" s="1705"/>
      <c r="EU9" s="1705"/>
      <c r="EV9" s="1705"/>
      <c r="EW9" s="1705"/>
      <c r="EX9" s="1706" t="s">
        <v>527</v>
      </c>
      <c r="EY9" s="296">
        <f>IFERROR($FE$35/$EY$35,0)</f>
        <v>0</v>
      </c>
      <c r="EZ9" s="1705"/>
      <c r="FA9" s="1705"/>
      <c r="FB9" s="1705"/>
      <c r="FC9" s="1705"/>
      <c r="FD9" s="1705"/>
      <c r="FE9" s="1705"/>
      <c r="FF9" s="1705"/>
      <c r="FG9" s="1705"/>
      <c r="FH9" s="1705"/>
      <c r="FI9" s="1705"/>
      <c r="FJ9" s="1705"/>
      <c r="FK9" s="1705"/>
      <c r="FL9" s="1705"/>
      <c r="FM9" s="1705"/>
      <c r="FN9" s="1705"/>
      <c r="FO9" s="1705"/>
      <c r="FP9" s="1705"/>
      <c r="FQ9" s="1705"/>
      <c r="FR9" s="1705"/>
      <c r="FS9" s="1705"/>
      <c r="FT9" s="1705"/>
      <c r="FU9" s="1706" t="s">
        <v>527</v>
      </c>
      <c r="FV9" s="296">
        <f>IFERROR($GB$35/$FV$35,0)</f>
        <v>0</v>
      </c>
      <c r="FW9" s="1705"/>
      <c r="FX9" s="1705"/>
      <c r="FY9" s="1705"/>
      <c r="FZ9" s="1705"/>
      <c r="GA9" s="1705"/>
      <c r="GB9" s="1705"/>
      <c r="GC9" s="1705"/>
      <c r="GD9" s="1705"/>
      <c r="GE9" s="1705"/>
      <c r="GF9" s="1705"/>
      <c r="GG9" s="1705"/>
      <c r="GH9" s="1705"/>
      <c r="GI9" s="1705"/>
      <c r="GJ9" s="1705"/>
      <c r="GK9" s="1705"/>
      <c r="GL9" s="1705"/>
      <c r="GM9" s="1705"/>
      <c r="GN9" s="1705"/>
      <c r="GO9" s="1705"/>
      <c r="GP9" s="1705"/>
      <c r="GQ9" s="1705"/>
      <c r="GR9" s="1706" t="s">
        <v>527</v>
      </c>
      <c r="GS9" s="296">
        <f>IFERROR($GY$35/$GS$35,0)</f>
        <v>0</v>
      </c>
      <c r="GT9" s="1705"/>
      <c r="GU9" s="1705"/>
      <c r="GV9" s="1705"/>
      <c r="GW9" s="1705"/>
      <c r="GX9" s="1705"/>
      <c r="GY9" s="1705"/>
      <c r="GZ9" s="1705"/>
      <c r="HA9" s="1705"/>
      <c r="HB9" s="1705"/>
      <c r="HC9" s="1705"/>
      <c r="HD9" s="1705"/>
      <c r="HE9" s="1705"/>
      <c r="HF9" s="1705"/>
      <c r="HG9" s="1705"/>
      <c r="HH9" s="1705"/>
      <c r="HI9" s="1705"/>
      <c r="HJ9" s="1705"/>
      <c r="HK9" s="1705"/>
      <c r="HL9" s="1705"/>
      <c r="HM9" s="1705"/>
      <c r="HN9" s="1705"/>
      <c r="HO9" s="1706" t="s">
        <v>527</v>
      </c>
      <c r="HP9" s="296">
        <f>IFERROR($HV$35/$HP$35,0)</f>
        <v>0</v>
      </c>
      <c r="HQ9" s="1705"/>
      <c r="HR9" s="1705"/>
      <c r="HS9" s="1705"/>
      <c r="HT9" s="1705"/>
      <c r="HU9" s="1705"/>
      <c r="HV9" s="1705"/>
      <c r="HW9" s="1705"/>
      <c r="HX9" s="1705"/>
      <c r="HY9" s="1705"/>
      <c r="HZ9" s="1705"/>
      <c r="IA9" s="1705"/>
      <c r="IB9" s="1705"/>
      <c r="IC9" s="1705"/>
      <c r="ID9" s="1705"/>
      <c r="IE9" s="1705"/>
      <c r="IF9" s="1705"/>
      <c r="IG9" s="1705"/>
      <c r="IH9" s="1705"/>
      <c r="II9" s="1705"/>
      <c r="IJ9" s="1705"/>
      <c r="IK9" s="1705"/>
      <c r="IL9" s="1706" t="s">
        <v>527</v>
      </c>
      <c r="IM9" s="296">
        <f>IFERROR($IS$35/$IM$35,0)</f>
        <v>0</v>
      </c>
      <c r="IN9" s="1705"/>
      <c r="IO9" s="1705"/>
      <c r="IP9" s="1705"/>
      <c r="IQ9" s="1705"/>
      <c r="IR9" s="1705"/>
      <c r="IS9" s="1705"/>
      <c r="IT9" s="1705"/>
      <c r="IU9" s="1705"/>
      <c r="IV9" s="1705"/>
      <c r="IW9" s="1705"/>
      <c r="IX9" s="1705"/>
      <c r="IY9" s="1705"/>
      <c r="IZ9" s="1705"/>
      <c r="JA9" s="1705"/>
      <c r="JB9" s="1705"/>
      <c r="JC9" s="1705"/>
      <c r="JD9" s="1705"/>
      <c r="JE9" s="1705"/>
      <c r="JF9" s="1705"/>
      <c r="JG9" s="1705"/>
      <c r="JH9" s="1705"/>
      <c r="JI9" s="1706" t="s">
        <v>527</v>
      </c>
      <c r="JJ9" s="296">
        <f>IFERROR($JP$35/$JJ$35,0)</f>
        <v>0</v>
      </c>
      <c r="JK9" s="1705"/>
      <c r="JL9" s="1705"/>
      <c r="JM9" s="1705"/>
      <c r="JN9" s="1705"/>
      <c r="JO9" s="1705"/>
      <c r="JP9" s="1705"/>
      <c r="JQ9" s="1705"/>
      <c r="JR9" s="1705"/>
      <c r="JS9" s="1705"/>
      <c r="JT9" s="1705"/>
      <c r="JU9" s="1705"/>
      <c r="JV9" s="1705"/>
      <c r="JW9" s="1705"/>
      <c r="JX9" s="1705"/>
      <c r="JY9" s="1705"/>
      <c r="JZ9" s="1705"/>
      <c r="KA9" s="1705"/>
      <c r="KB9" s="1705"/>
      <c r="KC9" s="1705"/>
      <c r="KD9" s="1705"/>
      <c r="KE9" s="1705"/>
      <c r="KF9" s="1706" t="s">
        <v>527</v>
      </c>
      <c r="KG9" s="296">
        <f>IFERROR($JP$35/$JJ$35,0)</f>
        <v>0</v>
      </c>
      <c r="KH9" s="1705"/>
      <c r="KI9" s="1705"/>
      <c r="KJ9" s="1705"/>
      <c r="KK9" s="1705"/>
      <c r="KL9" s="1705"/>
      <c r="KM9" s="1705"/>
      <c r="KN9" s="1705"/>
      <c r="KO9" s="1705"/>
      <c r="KP9" s="1705"/>
      <c r="KQ9" s="1705"/>
      <c r="KR9" s="1705"/>
      <c r="KS9" s="1705"/>
      <c r="KT9" s="1705"/>
      <c r="KU9" s="1705"/>
      <c r="KV9" s="1705"/>
      <c r="KW9" s="1705"/>
      <c r="KX9" s="1705"/>
      <c r="KY9" s="1705"/>
      <c r="KZ9" s="1705"/>
      <c r="LA9" s="1705"/>
      <c r="LB9" s="1705"/>
      <c r="LC9" s="1706" t="s">
        <v>527</v>
      </c>
      <c r="LD9" s="296">
        <f>IFERROR($JP$35/$JJ$35,0)</f>
        <v>0</v>
      </c>
      <c r="LE9" s="1705"/>
      <c r="LF9" s="1705"/>
      <c r="LG9" s="1705"/>
      <c r="LH9" s="1705"/>
      <c r="LI9" s="1705"/>
      <c r="LJ9" s="1705"/>
      <c r="LK9" s="1705"/>
      <c r="LL9" s="1705"/>
      <c r="LM9" s="1705"/>
      <c r="LN9" s="1705"/>
      <c r="LO9" s="1705"/>
      <c r="LP9" s="1705"/>
      <c r="LQ9" s="1705"/>
      <c r="LR9" s="1705"/>
      <c r="LS9" s="1705"/>
      <c r="LT9" s="1705"/>
      <c r="LU9" s="1705"/>
      <c r="LV9" s="1705"/>
      <c r="LW9" s="1705"/>
      <c r="LX9" s="1705"/>
      <c r="LY9" s="1705"/>
      <c r="LZ9" s="1706" t="s">
        <v>527</v>
      </c>
      <c r="MA9" s="296">
        <f>IFERROR($JP$35/$JJ$35,0)</f>
        <v>0</v>
      </c>
      <c r="MB9" s="1705"/>
      <c r="MC9" s="1705"/>
      <c r="MD9" s="1705"/>
      <c r="ME9" s="1705"/>
      <c r="MF9" s="1705"/>
      <c r="MG9" s="1705"/>
      <c r="MH9" s="1705"/>
      <c r="MI9" s="1705"/>
      <c r="MJ9" s="1705"/>
      <c r="MK9" s="1705"/>
      <c r="ML9" s="1705"/>
      <c r="MM9" s="1705"/>
      <c r="MN9" s="1705"/>
      <c r="MO9" s="1705"/>
      <c r="MP9" s="1705"/>
      <c r="MQ9" s="1705"/>
      <c r="MR9" s="1705"/>
      <c r="MS9" s="1705"/>
      <c r="MT9" s="1705"/>
      <c r="MU9" s="1705"/>
      <c r="MV9" s="1705"/>
      <c r="MW9" s="1706" t="s">
        <v>527</v>
      </c>
      <c r="MX9" s="296">
        <f>IFERROR($JP$35/$JJ$35,0)</f>
        <v>0</v>
      </c>
      <c r="MY9" s="1705"/>
      <c r="MZ9" s="1705"/>
      <c r="NA9" s="1705"/>
      <c r="NB9" s="1705"/>
      <c r="NC9" s="1705"/>
      <c r="ND9" s="1705"/>
      <c r="NE9" s="1705"/>
      <c r="NF9" s="1705"/>
      <c r="NG9" s="1705"/>
      <c r="NH9" s="1705"/>
      <c r="NI9" s="1705"/>
      <c r="NJ9" s="1705"/>
      <c r="NK9" s="1705"/>
      <c r="NL9" s="1705"/>
      <c r="NM9" s="1705"/>
      <c r="NN9" s="1705"/>
      <c r="NO9" s="1705"/>
      <c r="NP9" s="1705"/>
      <c r="NQ9" s="1705"/>
      <c r="NR9" s="1705"/>
      <c r="NS9" s="1705"/>
      <c r="NT9" s="1706" t="s">
        <v>527</v>
      </c>
      <c r="NU9" s="296">
        <f>IFERROR($JP$35/$JJ$35,0)</f>
        <v>0</v>
      </c>
      <c r="NV9" s="1705"/>
      <c r="NW9" s="1705"/>
      <c r="NX9" s="1705"/>
      <c r="NY9" s="1705"/>
      <c r="NZ9" s="1705"/>
      <c r="OA9" s="1705"/>
      <c r="OB9" s="1705"/>
      <c r="OC9" s="1705"/>
      <c r="OD9" s="1705"/>
      <c r="OE9" s="1705"/>
      <c r="OF9" s="1705"/>
      <c r="OG9" s="1705"/>
      <c r="OH9" s="1705"/>
      <c r="OI9" s="1705"/>
      <c r="OJ9" s="1705"/>
      <c r="OK9" s="1705"/>
      <c r="OL9" s="1705"/>
      <c r="OM9" s="1705"/>
      <c r="ON9" s="1705"/>
      <c r="OO9" s="1705"/>
      <c r="OP9" s="1705"/>
      <c r="OQ9" s="1706" t="s">
        <v>527</v>
      </c>
      <c r="OR9" s="296">
        <f>IFERROR($JP$35/$JJ$35,0)</f>
        <v>0</v>
      </c>
      <c r="OS9" s="1705"/>
      <c r="OT9" s="1705"/>
      <c r="OU9" s="1705"/>
      <c r="OV9" s="1705"/>
      <c r="OW9" s="1705"/>
      <c r="OX9" s="1705"/>
      <c r="OY9" s="1705"/>
      <c r="OZ9" s="1705"/>
      <c r="PA9" s="1705"/>
      <c r="PB9" s="1705"/>
      <c r="PC9" s="1705"/>
      <c r="PD9" s="1705"/>
      <c r="PE9" s="1705"/>
      <c r="PF9" s="1705"/>
      <c r="PG9" s="1705"/>
      <c r="PH9" s="1705"/>
      <c r="PI9" s="1705"/>
      <c r="PJ9" s="1705"/>
      <c r="PK9" s="1705"/>
      <c r="PL9" s="1705"/>
      <c r="PM9" s="1705"/>
      <c r="PN9" s="1706" t="s">
        <v>527</v>
      </c>
      <c r="PO9" s="296">
        <f>IFERROR($JP$35/$JJ$35,0)</f>
        <v>0</v>
      </c>
      <c r="PP9" s="1705"/>
      <c r="PQ9" s="1705"/>
      <c r="PR9" s="1705"/>
      <c r="PS9" s="1705"/>
      <c r="PT9" s="1705"/>
      <c r="PU9" s="1705"/>
      <c r="PV9" s="1705"/>
      <c r="PW9" s="1705"/>
      <c r="PX9" s="1705"/>
      <c r="PY9" s="1705"/>
      <c r="PZ9" s="1705"/>
      <c r="QA9" s="1705"/>
      <c r="QB9" s="1705"/>
      <c r="QC9" s="1705"/>
      <c r="QD9" s="1705"/>
      <c r="QE9" s="1705"/>
      <c r="QF9" s="1705"/>
      <c r="QG9" s="1705"/>
      <c r="QH9" s="1705"/>
      <c r="QI9" s="1705"/>
      <c r="QJ9" s="1705"/>
      <c r="QK9" s="1706" t="s">
        <v>527</v>
      </c>
      <c r="QL9" s="296">
        <f>IFERROR($JP$35/$JJ$35,0)</f>
        <v>0</v>
      </c>
      <c r="QM9" s="1705"/>
      <c r="QN9" s="1705"/>
      <c r="QO9" s="1705"/>
      <c r="QP9" s="1705"/>
      <c r="QQ9" s="1705"/>
      <c r="QR9" s="1705"/>
      <c r="QS9" s="1705"/>
      <c r="QT9" s="1705"/>
      <c r="QU9" s="1705"/>
      <c r="QV9" s="1705"/>
      <c r="QW9" s="1705"/>
      <c r="QX9" s="1705"/>
      <c r="QY9" s="1705"/>
      <c r="QZ9" s="1705"/>
      <c r="RA9" s="1705"/>
      <c r="RB9" s="1705"/>
      <c r="RC9" s="1705"/>
      <c r="RD9" s="1705"/>
      <c r="RE9" s="1705"/>
      <c r="RF9" s="1705"/>
      <c r="RG9" s="1705"/>
      <c r="RH9" s="1706" t="s">
        <v>527</v>
      </c>
      <c r="RI9" s="296">
        <f>IFERROR($JP$35/$JJ$35,0)</f>
        <v>0</v>
      </c>
      <c r="RJ9" s="1705"/>
      <c r="RK9" s="1705"/>
      <c r="RL9" s="1705"/>
      <c r="RM9" s="1705"/>
      <c r="RN9" s="1705"/>
      <c r="RO9" s="1705"/>
      <c r="RP9" s="1705"/>
      <c r="RQ9" s="1705"/>
      <c r="RR9" s="1705"/>
      <c r="RS9" s="1705"/>
      <c r="RT9" s="1705"/>
      <c r="RU9" s="1705"/>
      <c r="RV9" s="1705"/>
      <c r="RW9" s="1705"/>
      <c r="RX9" s="1705"/>
      <c r="RY9" s="1705"/>
      <c r="RZ9" s="1705"/>
      <c r="SA9" s="1705"/>
      <c r="SB9" s="1705"/>
      <c r="SC9" s="1705"/>
      <c r="SD9" s="1705"/>
      <c r="SE9" s="1706" t="s">
        <v>527</v>
      </c>
      <c r="SF9" s="296">
        <f>IFERROR($JP$35/$JJ$35,0)</f>
        <v>0</v>
      </c>
      <c r="SG9" s="1705"/>
      <c r="SH9" s="1705"/>
      <c r="SI9" s="1705"/>
      <c r="SJ9" s="1705"/>
      <c r="SK9" s="1705"/>
      <c r="SL9" s="1705"/>
      <c r="SM9" s="1705"/>
      <c r="SN9" s="1705"/>
      <c r="SO9" s="1705"/>
      <c r="SP9" s="1705"/>
      <c r="SQ9" s="1705"/>
      <c r="SR9" s="1705"/>
      <c r="SS9" s="1705"/>
      <c r="ST9" s="1705"/>
      <c r="SU9" s="1705"/>
      <c r="SV9" s="1705"/>
      <c r="SW9" s="1705"/>
      <c r="SX9" s="1705"/>
      <c r="SY9" s="1705"/>
      <c r="SZ9" s="1705"/>
      <c r="TA9" s="1705"/>
      <c r="TB9" s="1705"/>
      <c r="TC9" s="1705"/>
      <c r="TD9" s="1705"/>
      <c r="TE9" s="1705"/>
      <c r="TF9" s="1705"/>
      <c r="TG9" s="1705"/>
      <c r="TH9" s="1705"/>
      <c r="TI9" s="1705"/>
      <c r="TJ9" s="1705"/>
      <c r="TK9" s="1705"/>
      <c r="TL9" s="1705"/>
      <c r="TM9" s="1705"/>
      <c r="TN9" s="1705"/>
      <c r="TO9" s="1705"/>
      <c r="TP9" s="1705"/>
      <c r="TQ9" s="1705"/>
      <c r="TR9" s="1705"/>
    </row>
    <row r="10" spans="1:538" s="775" customFormat="1" x14ac:dyDescent="0.25">
      <c r="A10" s="1705"/>
      <c r="B10" s="1705"/>
      <c r="C10" s="1705"/>
      <c r="D10" s="1705"/>
      <c r="E10" s="1705"/>
      <c r="F10" s="1705"/>
      <c r="G10" s="1705"/>
      <c r="H10" s="1705"/>
      <c r="I10" s="1705"/>
      <c r="J10" s="1705"/>
      <c r="K10" s="1705"/>
      <c r="L10" s="1705"/>
      <c r="M10" s="1705"/>
      <c r="N10" s="1705"/>
      <c r="O10" s="1705"/>
      <c r="P10" s="1705"/>
      <c r="Q10" s="1705"/>
      <c r="R10" s="1705"/>
      <c r="S10" s="1705"/>
      <c r="T10" s="1705"/>
      <c r="U10" s="1705"/>
      <c r="V10" s="1705"/>
      <c r="W10" s="1705"/>
      <c r="X10" s="1705"/>
      <c r="Y10" s="1705"/>
      <c r="Z10" s="1705"/>
      <c r="AA10" s="1705"/>
      <c r="AB10" s="1705"/>
      <c r="AC10" s="1705"/>
      <c r="AD10" s="1705"/>
      <c r="AE10" s="1705"/>
      <c r="AF10" s="1705"/>
      <c r="AG10" s="1705"/>
      <c r="AH10" s="1705"/>
      <c r="AI10" s="1705"/>
      <c r="AJ10" s="1705"/>
      <c r="AK10" s="1705"/>
      <c r="AL10" s="1705"/>
      <c r="AM10" s="1705"/>
      <c r="AN10" s="1705"/>
      <c r="AO10" s="1705"/>
      <c r="AP10" s="1705"/>
      <c r="AQ10" s="1705"/>
      <c r="AR10" s="1705"/>
      <c r="AS10" s="1705"/>
      <c r="AT10" s="1705"/>
      <c r="AU10" s="1705"/>
      <c r="AV10" s="1705"/>
      <c r="AW10" s="1705"/>
      <c r="AX10" s="1705"/>
      <c r="AY10" s="1705"/>
      <c r="AZ10" s="1705"/>
      <c r="BA10" s="1705"/>
      <c r="BB10" s="1705"/>
      <c r="BC10" s="1705"/>
      <c r="BD10" s="1705"/>
      <c r="BE10" s="1705"/>
      <c r="BF10" s="1705"/>
      <c r="BG10" s="1705"/>
      <c r="BH10" s="1705"/>
      <c r="BI10" s="1705"/>
      <c r="BJ10" s="1706" t="s">
        <v>1327</v>
      </c>
      <c r="BK10" s="296">
        <f>IFERROR($BR$35/$BK$35,0)</f>
        <v>0</v>
      </c>
      <c r="BL10" s="1705"/>
      <c r="BM10" s="1705"/>
      <c r="BN10" s="1705"/>
      <c r="BO10" s="1705"/>
      <c r="BP10" s="1705"/>
      <c r="BQ10" s="1705"/>
      <c r="BR10" s="1705"/>
      <c r="BS10" s="1705"/>
      <c r="BT10" s="1705"/>
      <c r="BU10" s="1705"/>
      <c r="BV10" s="1705"/>
      <c r="BW10" s="1705"/>
      <c r="BX10" s="1705"/>
      <c r="BY10" s="1705"/>
      <c r="BZ10" s="1705"/>
      <c r="CA10" s="1705"/>
      <c r="CB10" s="1705"/>
      <c r="CC10" s="1705"/>
      <c r="CD10" s="1705"/>
      <c r="CE10" s="1705"/>
      <c r="CF10" s="1705"/>
      <c r="CG10" s="1706" t="s">
        <v>1327</v>
      </c>
      <c r="CH10" s="296">
        <f>IFERROR($CO$35/$CH$35,0)</f>
        <v>0</v>
      </c>
      <c r="CI10" s="1705"/>
      <c r="CJ10" s="1705"/>
      <c r="CK10" s="1705"/>
      <c r="CL10" s="1705"/>
      <c r="CM10" s="1705"/>
      <c r="CN10" s="1705"/>
      <c r="CO10" s="1705"/>
      <c r="CP10" s="1705"/>
      <c r="CQ10" s="1705"/>
      <c r="CR10" s="1705"/>
      <c r="CS10" s="1705"/>
      <c r="CT10" s="1705"/>
      <c r="CU10" s="1705"/>
      <c r="CV10" s="1705"/>
      <c r="CW10" s="1705"/>
      <c r="CX10" s="1705"/>
      <c r="CY10" s="1705"/>
      <c r="CZ10" s="1705"/>
      <c r="DA10" s="1705"/>
      <c r="DB10" s="1705"/>
      <c r="DC10" s="1705"/>
      <c r="DD10" s="1706" t="s">
        <v>1327</v>
      </c>
      <c r="DE10" s="296">
        <f>IFERROR($DL$35/$DE$35,0)</f>
        <v>0</v>
      </c>
      <c r="DF10" s="1705"/>
      <c r="DG10" s="1705"/>
      <c r="DH10" s="1705"/>
      <c r="DI10" s="1705"/>
      <c r="DJ10" s="1705"/>
      <c r="DK10" s="1705"/>
      <c r="DL10" s="1705"/>
      <c r="DM10" s="1705"/>
      <c r="DN10" s="1705"/>
      <c r="DO10" s="1705"/>
      <c r="DP10" s="1705"/>
      <c r="DQ10" s="1705"/>
      <c r="DR10" s="1705"/>
      <c r="DS10" s="1705"/>
      <c r="DT10" s="1705"/>
      <c r="DU10" s="1705"/>
      <c r="DV10" s="1705"/>
      <c r="DW10" s="1705"/>
      <c r="DX10" s="1705"/>
      <c r="DY10" s="1705"/>
      <c r="DZ10" s="1705"/>
      <c r="EA10" s="1706" t="s">
        <v>1327</v>
      </c>
      <c r="EB10" s="296">
        <f>IFERROR($EI$35/$EB$35,0)</f>
        <v>0</v>
      </c>
      <c r="EC10" s="1705"/>
      <c r="ED10" s="1705"/>
      <c r="EE10" s="1705"/>
      <c r="EF10" s="1705"/>
      <c r="EG10" s="1705"/>
      <c r="EH10" s="1705"/>
      <c r="EI10" s="1705"/>
      <c r="EJ10" s="1705"/>
      <c r="EK10" s="1705"/>
      <c r="EL10" s="1705"/>
      <c r="EM10" s="1705"/>
      <c r="EN10" s="1705"/>
      <c r="EO10" s="1705"/>
      <c r="EP10" s="1705"/>
      <c r="EQ10" s="1705"/>
      <c r="ER10" s="1705"/>
      <c r="ES10" s="1705"/>
      <c r="ET10" s="1705"/>
      <c r="EU10" s="1705"/>
      <c r="EV10" s="1705"/>
      <c r="EW10" s="1705"/>
      <c r="EX10" s="1706" t="s">
        <v>1327</v>
      </c>
      <c r="EY10" s="296">
        <f>IFERROR($FF$35/$EY$35,0)</f>
        <v>0</v>
      </c>
      <c r="EZ10" s="1705"/>
      <c r="FA10" s="1705"/>
      <c r="FB10" s="1705"/>
      <c r="FC10" s="1705"/>
      <c r="FD10" s="1705"/>
      <c r="FE10" s="1705"/>
      <c r="FF10" s="1705"/>
      <c r="FG10" s="1705"/>
      <c r="FH10" s="1705"/>
      <c r="FI10" s="1705"/>
      <c r="FJ10" s="1705"/>
      <c r="FK10" s="1705"/>
      <c r="FL10" s="1705"/>
      <c r="FM10" s="1705"/>
      <c r="FN10" s="1705"/>
      <c r="FO10" s="1705"/>
      <c r="FP10" s="1705"/>
      <c r="FQ10" s="1705"/>
      <c r="FR10" s="1705"/>
      <c r="FS10" s="1705"/>
      <c r="FT10" s="1705"/>
      <c r="FU10" s="1706" t="s">
        <v>1327</v>
      </c>
      <c r="FV10" s="296">
        <f>IFERROR($GC$35/$FV$35,0)</f>
        <v>0</v>
      </c>
      <c r="FW10" s="1705"/>
      <c r="FX10" s="1705"/>
      <c r="FY10" s="1705"/>
      <c r="FZ10" s="1705"/>
      <c r="GA10" s="1705"/>
      <c r="GB10" s="1705"/>
      <c r="GC10" s="1705"/>
      <c r="GD10" s="1705"/>
      <c r="GE10" s="1705"/>
      <c r="GF10" s="1705"/>
      <c r="GG10" s="1705"/>
      <c r="GH10" s="1705"/>
      <c r="GI10" s="1705"/>
      <c r="GJ10" s="1705"/>
      <c r="GK10" s="1705"/>
      <c r="GL10" s="1705"/>
      <c r="GM10" s="1705"/>
      <c r="GN10" s="1705"/>
      <c r="GO10" s="1705"/>
      <c r="GP10" s="1705"/>
      <c r="GQ10" s="1705"/>
      <c r="GR10" s="1706" t="s">
        <v>1327</v>
      </c>
      <c r="GS10" s="296">
        <f>IFERROR($GZ$35/$GS$35,0)</f>
        <v>0</v>
      </c>
      <c r="GT10" s="1705"/>
      <c r="GU10" s="1705"/>
      <c r="GV10" s="1705"/>
      <c r="GW10" s="1705"/>
      <c r="GX10" s="1705"/>
      <c r="GY10" s="1705"/>
      <c r="GZ10" s="1705"/>
      <c r="HA10" s="1705"/>
      <c r="HB10" s="1705"/>
      <c r="HC10" s="1705"/>
      <c r="HD10" s="1705"/>
      <c r="HE10" s="1705"/>
      <c r="HF10" s="1705"/>
      <c r="HG10" s="1705"/>
      <c r="HH10" s="1705"/>
      <c r="HI10" s="1705"/>
      <c r="HJ10" s="1705"/>
      <c r="HK10" s="1705"/>
      <c r="HL10" s="1705"/>
      <c r="HM10" s="1705"/>
      <c r="HN10" s="1705"/>
      <c r="HO10" s="1706" t="s">
        <v>1327</v>
      </c>
      <c r="HP10" s="296">
        <f>IFERROR($HW$35/$HP$35,0)</f>
        <v>0</v>
      </c>
      <c r="HQ10" s="1705"/>
      <c r="HR10" s="1705"/>
      <c r="HS10" s="1705"/>
      <c r="HT10" s="1705"/>
      <c r="HU10" s="1705"/>
      <c r="HV10" s="1705"/>
      <c r="HW10" s="1705"/>
      <c r="HX10" s="1705"/>
      <c r="HY10" s="1705"/>
      <c r="HZ10" s="1705"/>
      <c r="IA10" s="1705"/>
      <c r="IB10" s="1705"/>
      <c r="IC10" s="1705"/>
      <c r="ID10" s="1705"/>
      <c r="IE10" s="1705"/>
      <c r="IF10" s="1705"/>
      <c r="IG10" s="1705"/>
      <c r="IH10" s="1705"/>
      <c r="II10" s="1705"/>
      <c r="IJ10" s="1705"/>
      <c r="IK10" s="1705"/>
      <c r="IL10" s="1706" t="s">
        <v>1327</v>
      </c>
      <c r="IM10" s="296">
        <f>IFERROR($IT$35/$IM$35,0)</f>
        <v>0</v>
      </c>
      <c r="IN10" s="1705"/>
      <c r="IO10" s="1705"/>
      <c r="IP10" s="1705"/>
      <c r="IQ10" s="1705"/>
      <c r="IR10" s="1705"/>
      <c r="IS10" s="1705"/>
      <c r="IT10" s="1705"/>
      <c r="IU10" s="1705"/>
      <c r="IV10" s="1705"/>
      <c r="IW10" s="1705"/>
      <c r="IX10" s="1705"/>
      <c r="IY10" s="1705"/>
      <c r="IZ10" s="1705"/>
      <c r="JA10" s="1705"/>
      <c r="JB10" s="1705"/>
      <c r="JC10" s="1705"/>
      <c r="JD10" s="1705"/>
      <c r="JE10" s="1705"/>
      <c r="JF10" s="1705"/>
      <c r="JG10" s="1705"/>
      <c r="JH10" s="1705"/>
      <c r="JI10" s="1706" t="s">
        <v>1327</v>
      </c>
      <c r="JJ10" s="296">
        <f>IFERROR($JQ$35/$JJ$35,0)</f>
        <v>0</v>
      </c>
      <c r="JK10" s="1705"/>
      <c r="JL10" s="1705"/>
      <c r="JM10" s="1705"/>
      <c r="JN10" s="1705"/>
      <c r="JO10" s="1705"/>
      <c r="JP10" s="1705"/>
      <c r="JQ10" s="1705"/>
      <c r="JR10" s="1705"/>
      <c r="JS10" s="1705"/>
      <c r="JT10" s="1705"/>
      <c r="JU10" s="1705"/>
      <c r="JV10" s="1705"/>
      <c r="JW10" s="1705"/>
      <c r="JX10" s="1705"/>
      <c r="JY10" s="1705"/>
      <c r="JZ10" s="1705"/>
      <c r="KA10" s="1705"/>
      <c r="KB10" s="1705"/>
      <c r="KC10" s="1705"/>
      <c r="KD10" s="1705"/>
      <c r="KE10" s="1705"/>
      <c r="KF10" s="1706" t="s">
        <v>1327</v>
      </c>
      <c r="KG10" s="296">
        <f>IFERROR($JQ$35/$JJ$35,0)</f>
        <v>0</v>
      </c>
      <c r="KH10" s="1705"/>
      <c r="KI10" s="1705"/>
      <c r="KJ10" s="1705"/>
      <c r="KK10" s="1705"/>
      <c r="KL10" s="1705"/>
      <c r="KM10" s="1705"/>
      <c r="KN10" s="1705"/>
      <c r="KO10" s="1705"/>
      <c r="KP10" s="1705"/>
      <c r="KQ10" s="1705"/>
      <c r="KR10" s="1705"/>
      <c r="KS10" s="1705"/>
      <c r="KT10" s="1705"/>
      <c r="KU10" s="1705"/>
      <c r="KV10" s="1705"/>
      <c r="KW10" s="1705"/>
      <c r="KX10" s="1705"/>
      <c r="KY10" s="1705"/>
      <c r="KZ10" s="1705"/>
      <c r="LA10" s="1705"/>
      <c r="LB10" s="1705"/>
      <c r="LC10" s="1706" t="s">
        <v>1327</v>
      </c>
      <c r="LD10" s="296">
        <f>IFERROR($JQ$35/$JJ$35,0)</f>
        <v>0</v>
      </c>
      <c r="LE10" s="1705"/>
      <c r="LF10" s="1705"/>
      <c r="LG10" s="1705"/>
      <c r="LH10" s="1705"/>
      <c r="LI10" s="1705"/>
      <c r="LJ10" s="1705"/>
      <c r="LK10" s="1705"/>
      <c r="LL10" s="1705"/>
      <c r="LM10" s="1705"/>
      <c r="LN10" s="1705"/>
      <c r="LO10" s="1705"/>
      <c r="LP10" s="1705"/>
      <c r="LQ10" s="1705"/>
      <c r="LR10" s="1705"/>
      <c r="LS10" s="1705"/>
      <c r="LT10" s="1705"/>
      <c r="LU10" s="1705"/>
      <c r="LV10" s="1705"/>
      <c r="LW10" s="1705"/>
      <c r="LX10" s="1705"/>
      <c r="LY10" s="1705"/>
      <c r="LZ10" s="1706" t="s">
        <v>1327</v>
      </c>
      <c r="MA10" s="296">
        <f>IFERROR($JQ$35/$JJ$35,0)</f>
        <v>0</v>
      </c>
      <c r="MB10" s="1705"/>
      <c r="MC10" s="1705"/>
      <c r="MD10" s="1705"/>
      <c r="ME10" s="1705"/>
      <c r="MF10" s="1705"/>
      <c r="MG10" s="1705"/>
      <c r="MH10" s="1705"/>
      <c r="MI10" s="1705"/>
      <c r="MJ10" s="1705"/>
      <c r="MK10" s="1705"/>
      <c r="ML10" s="1705"/>
      <c r="MM10" s="1705"/>
      <c r="MN10" s="1705"/>
      <c r="MO10" s="1705"/>
      <c r="MP10" s="1705"/>
      <c r="MQ10" s="1705"/>
      <c r="MR10" s="1705"/>
      <c r="MS10" s="1705"/>
      <c r="MT10" s="1705"/>
      <c r="MU10" s="1705"/>
      <c r="MV10" s="1705"/>
      <c r="MW10" s="1706" t="s">
        <v>1327</v>
      </c>
      <c r="MX10" s="296">
        <f>IFERROR($JQ$35/$JJ$35,0)</f>
        <v>0</v>
      </c>
      <c r="MY10" s="1705"/>
      <c r="MZ10" s="1705"/>
      <c r="NA10" s="1705"/>
      <c r="NB10" s="1705"/>
      <c r="NC10" s="1705"/>
      <c r="ND10" s="1705"/>
      <c r="NE10" s="1705"/>
      <c r="NF10" s="1705"/>
      <c r="NG10" s="1705"/>
      <c r="NH10" s="1705"/>
      <c r="NI10" s="1705"/>
      <c r="NJ10" s="1705"/>
      <c r="NK10" s="1705"/>
      <c r="NL10" s="1705"/>
      <c r="NM10" s="1705"/>
      <c r="NN10" s="1705"/>
      <c r="NO10" s="1705"/>
      <c r="NP10" s="1705"/>
      <c r="NQ10" s="1705"/>
      <c r="NR10" s="1705"/>
      <c r="NS10" s="1705"/>
      <c r="NT10" s="1706" t="s">
        <v>1327</v>
      </c>
      <c r="NU10" s="296">
        <f>IFERROR($JQ$35/$JJ$35,0)</f>
        <v>0</v>
      </c>
      <c r="NV10" s="1705"/>
      <c r="NW10" s="1705"/>
      <c r="NX10" s="1705"/>
      <c r="NY10" s="1705"/>
      <c r="NZ10" s="1705"/>
      <c r="OA10" s="1705"/>
      <c r="OB10" s="1705"/>
      <c r="OC10" s="1705"/>
      <c r="OD10" s="1705"/>
      <c r="OE10" s="1705"/>
      <c r="OF10" s="1705"/>
      <c r="OG10" s="1705"/>
      <c r="OH10" s="1705"/>
      <c r="OI10" s="1705"/>
      <c r="OJ10" s="1705"/>
      <c r="OK10" s="1705"/>
      <c r="OL10" s="1705"/>
      <c r="OM10" s="1705"/>
      <c r="ON10" s="1705"/>
      <c r="OO10" s="1705"/>
      <c r="OP10" s="1705"/>
      <c r="OQ10" s="1706" t="s">
        <v>1327</v>
      </c>
      <c r="OR10" s="296">
        <f>IFERROR($JQ$35/$JJ$35,0)</f>
        <v>0</v>
      </c>
      <c r="OS10" s="1705"/>
      <c r="OT10" s="1705"/>
      <c r="OU10" s="1705"/>
      <c r="OV10" s="1705"/>
      <c r="OW10" s="1705"/>
      <c r="OX10" s="1705"/>
      <c r="OY10" s="1705"/>
      <c r="OZ10" s="1705"/>
      <c r="PA10" s="1705"/>
      <c r="PB10" s="1705"/>
      <c r="PC10" s="1705"/>
      <c r="PD10" s="1705"/>
      <c r="PE10" s="1705"/>
      <c r="PF10" s="1705"/>
      <c r="PG10" s="1705"/>
      <c r="PH10" s="1705"/>
      <c r="PI10" s="1705"/>
      <c r="PJ10" s="1705"/>
      <c r="PK10" s="1705"/>
      <c r="PL10" s="1705"/>
      <c r="PM10" s="1705"/>
      <c r="PN10" s="1706" t="s">
        <v>1327</v>
      </c>
      <c r="PO10" s="296">
        <f>IFERROR($JQ$35/$JJ$35,0)</f>
        <v>0</v>
      </c>
      <c r="PP10" s="1705"/>
      <c r="PQ10" s="1705"/>
      <c r="PR10" s="1705"/>
      <c r="PS10" s="1705"/>
      <c r="PT10" s="1705"/>
      <c r="PU10" s="1705"/>
      <c r="PV10" s="1705"/>
      <c r="PW10" s="1705"/>
      <c r="PX10" s="1705"/>
      <c r="PY10" s="1705"/>
      <c r="PZ10" s="1705"/>
      <c r="QA10" s="1705"/>
      <c r="QB10" s="1705"/>
      <c r="QC10" s="1705"/>
      <c r="QD10" s="1705"/>
      <c r="QE10" s="1705"/>
      <c r="QF10" s="1705"/>
      <c r="QG10" s="1705"/>
      <c r="QH10" s="1705"/>
      <c r="QI10" s="1705"/>
      <c r="QJ10" s="1705"/>
      <c r="QK10" s="1706" t="s">
        <v>1327</v>
      </c>
      <c r="QL10" s="296">
        <f>IFERROR($JQ$35/$JJ$35,0)</f>
        <v>0</v>
      </c>
      <c r="QM10" s="1705"/>
      <c r="QN10" s="1705"/>
      <c r="QO10" s="1705"/>
      <c r="QP10" s="1705"/>
      <c r="QQ10" s="1705"/>
      <c r="QR10" s="1705"/>
      <c r="QS10" s="1705"/>
      <c r="QT10" s="1705"/>
      <c r="QU10" s="1705"/>
      <c r="QV10" s="1705"/>
      <c r="QW10" s="1705"/>
      <c r="QX10" s="1705"/>
      <c r="QY10" s="1705"/>
      <c r="QZ10" s="1705"/>
      <c r="RA10" s="1705"/>
      <c r="RB10" s="1705"/>
      <c r="RC10" s="1705"/>
      <c r="RD10" s="1705"/>
      <c r="RE10" s="1705"/>
      <c r="RF10" s="1705"/>
      <c r="RG10" s="1705"/>
      <c r="RH10" s="1706" t="s">
        <v>1327</v>
      </c>
      <c r="RI10" s="296">
        <f>IFERROR($JQ$35/$JJ$35,0)</f>
        <v>0</v>
      </c>
      <c r="RJ10" s="1705"/>
      <c r="RK10" s="1705"/>
      <c r="RL10" s="1705"/>
      <c r="RM10" s="1705"/>
      <c r="RN10" s="1705"/>
      <c r="RO10" s="1705"/>
      <c r="RP10" s="1705"/>
      <c r="RQ10" s="1705"/>
      <c r="RR10" s="1705"/>
      <c r="RS10" s="1705"/>
      <c r="RT10" s="1705"/>
      <c r="RU10" s="1705"/>
      <c r="RV10" s="1705"/>
      <c r="RW10" s="1705"/>
      <c r="RX10" s="1705"/>
      <c r="RY10" s="1705"/>
      <c r="RZ10" s="1705"/>
      <c r="SA10" s="1705"/>
      <c r="SB10" s="1705"/>
      <c r="SC10" s="1705"/>
      <c r="SD10" s="1705"/>
      <c r="SE10" s="1706" t="s">
        <v>1327</v>
      </c>
      <c r="SF10" s="296">
        <f>IFERROR($JQ$35/$JJ$35,0)</f>
        <v>0</v>
      </c>
      <c r="SG10" s="1705"/>
      <c r="SH10" s="1705"/>
      <c r="SI10" s="1705"/>
      <c r="SJ10" s="1705"/>
      <c r="SK10" s="1705"/>
      <c r="SL10" s="1705"/>
      <c r="SM10" s="1705"/>
      <c r="SN10" s="1705"/>
      <c r="SO10" s="1705"/>
      <c r="SP10" s="1705"/>
      <c r="SQ10" s="1705"/>
      <c r="SR10" s="1705"/>
      <c r="SS10" s="1705"/>
      <c r="ST10" s="1705"/>
      <c r="SU10" s="1705"/>
      <c r="SV10" s="1705"/>
      <c r="SW10" s="1705"/>
      <c r="SX10" s="1705"/>
      <c r="SY10" s="1705"/>
      <c r="SZ10" s="1705"/>
      <c r="TA10" s="1705"/>
      <c r="TB10" s="1705"/>
      <c r="TC10" s="1705"/>
      <c r="TD10" s="1705"/>
      <c r="TE10" s="1705"/>
      <c r="TF10" s="1705"/>
      <c r="TG10" s="1705"/>
      <c r="TH10" s="1705"/>
      <c r="TI10" s="1705"/>
      <c r="TJ10" s="1705"/>
      <c r="TK10" s="1705"/>
      <c r="TL10" s="1705"/>
      <c r="TM10" s="1705"/>
      <c r="TN10" s="1705"/>
      <c r="TO10" s="1705"/>
      <c r="TP10" s="1705"/>
      <c r="TQ10" s="1705"/>
      <c r="TR10" s="1705"/>
    </row>
    <row r="11" spans="1:538" ht="15.75" customHeight="1" thickBot="1" x14ac:dyDescent="0.3">
      <c r="A11" s="1705"/>
      <c r="B11" s="1705"/>
      <c r="C11" s="1705"/>
      <c r="D11" s="1705"/>
      <c r="E11" s="1705"/>
      <c r="F11" s="1705"/>
      <c r="G11" s="1705"/>
      <c r="H11" s="1705"/>
      <c r="I11" s="1705"/>
      <c r="J11" s="1705"/>
      <c r="K11" s="1705"/>
      <c r="L11" s="1705"/>
      <c r="M11" s="1705"/>
      <c r="N11" s="1705"/>
      <c r="O11" s="1705"/>
      <c r="P11" s="1705"/>
      <c r="Q11" s="1705"/>
      <c r="R11" s="1705"/>
      <c r="S11" s="1705"/>
      <c r="T11" s="1705"/>
      <c r="U11" s="1705"/>
      <c r="V11" s="1705"/>
      <c r="W11" s="1705"/>
      <c r="X11" s="1705"/>
      <c r="Y11" s="1705"/>
      <c r="Z11" s="1705"/>
      <c r="AA11" s="1705"/>
      <c r="AB11" s="1706" t="s">
        <v>790</v>
      </c>
      <c r="AC11" s="1705"/>
      <c r="AD11" s="1705" t="s">
        <v>897</v>
      </c>
      <c r="AE11" s="24">
        <f>IFERROR(AE35/AD35,0)</f>
        <v>0</v>
      </c>
      <c r="AF11" s="1705"/>
      <c r="AG11" s="1705"/>
      <c r="AH11" s="1705"/>
      <c r="AI11" s="1705"/>
      <c r="AJ11" s="1705"/>
      <c r="AK11" s="1705"/>
      <c r="AL11" s="1705" t="s">
        <v>900</v>
      </c>
      <c r="AM11" s="1705"/>
      <c r="AN11" s="1705"/>
      <c r="AO11" s="1705"/>
      <c r="AP11" s="1705"/>
      <c r="AQ11" s="1705" t="s">
        <v>953</v>
      </c>
      <c r="AR11" s="1705"/>
      <c r="AS11" s="1705"/>
      <c r="AT11" s="1705"/>
      <c r="AU11" s="1705"/>
      <c r="AV11" s="1705"/>
      <c r="AW11" s="1705"/>
      <c r="AX11" s="1705"/>
      <c r="AY11" s="1705"/>
      <c r="AZ11" s="1705"/>
      <c r="BA11" s="1705"/>
      <c r="BB11" s="1705"/>
      <c r="BC11" s="1705"/>
      <c r="BD11" s="2001" t="s">
        <v>954</v>
      </c>
      <c r="BE11" s="1705"/>
      <c r="BF11" s="1705"/>
      <c r="BG11" s="1705"/>
      <c r="BH11" s="1705"/>
      <c r="BI11" s="1705"/>
      <c r="BJ11" s="1705"/>
      <c r="BK11" s="1705"/>
      <c r="BL11" s="1705"/>
      <c r="BM11" s="1705"/>
      <c r="BN11" s="1705"/>
      <c r="BO11" s="1705"/>
      <c r="BP11" s="1705"/>
      <c r="BQ11" s="1705"/>
      <c r="BR11" s="1705"/>
      <c r="BS11" s="1705"/>
      <c r="BT11" s="1705"/>
      <c r="BU11" s="1705"/>
      <c r="BV11" s="1705"/>
      <c r="BW11" s="1705"/>
      <c r="BX11" s="1705"/>
      <c r="BY11" s="1705"/>
      <c r="BZ11" s="1705"/>
      <c r="CA11" s="1705"/>
      <c r="CB11" s="1705"/>
      <c r="CC11" s="1705"/>
      <c r="CD11" s="1705"/>
      <c r="CE11" s="1705"/>
      <c r="CF11" s="1705"/>
      <c r="CG11" s="1705"/>
      <c r="CH11" s="1705"/>
      <c r="CI11" s="1705"/>
      <c r="CJ11" s="1705"/>
      <c r="CK11" s="1705"/>
      <c r="CL11" s="1705"/>
      <c r="CM11" s="1705"/>
      <c r="CN11" s="1705"/>
      <c r="CO11" s="1705"/>
      <c r="CP11" s="1705"/>
      <c r="CQ11" s="1705"/>
      <c r="CR11" s="1705"/>
      <c r="CS11" s="1705"/>
      <c r="CT11" s="1705"/>
      <c r="CU11" s="1705"/>
      <c r="CV11" s="1705"/>
      <c r="CW11" s="1705"/>
      <c r="CX11" s="1705"/>
      <c r="CY11" s="1705"/>
      <c r="CZ11" s="1705"/>
      <c r="DA11" s="1705"/>
      <c r="DB11" s="1705"/>
      <c r="DC11" s="1705"/>
      <c r="DD11" s="1705"/>
      <c r="DE11" s="1705"/>
      <c r="DF11" s="1705"/>
      <c r="DG11" s="1705"/>
      <c r="DH11" s="1705"/>
      <c r="DI11" s="1705"/>
      <c r="DJ11" s="1705"/>
      <c r="DK11" s="1705"/>
      <c r="DL11" s="1705"/>
      <c r="DM11" s="1705"/>
      <c r="DN11" s="1705"/>
      <c r="DO11" s="1705"/>
      <c r="DP11" s="1705"/>
      <c r="DQ11" s="1705"/>
      <c r="DR11" s="1705"/>
      <c r="DS11" s="1705"/>
      <c r="DT11" s="1705"/>
      <c r="DU11" s="1705"/>
      <c r="DV11" s="1705"/>
      <c r="DW11" s="1705"/>
      <c r="DX11" s="1705"/>
      <c r="DY11" s="1705"/>
      <c r="DZ11" s="1705"/>
      <c r="EA11" s="1705"/>
      <c r="EB11" s="1705"/>
      <c r="EC11" s="1705"/>
      <c r="ED11" s="1705"/>
      <c r="EE11" s="1705"/>
      <c r="EF11" s="1705"/>
      <c r="EG11" s="1705"/>
      <c r="EH11" s="1705"/>
      <c r="EI11" s="1705"/>
      <c r="EJ11" s="1705"/>
      <c r="EK11" s="1705"/>
      <c r="EL11" s="1705"/>
      <c r="EM11" s="1705"/>
      <c r="EN11" s="1705"/>
      <c r="EO11" s="1705"/>
      <c r="EP11" s="1705"/>
      <c r="EQ11" s="1705"/>
      <c r="ER11" s="1705"/>
      <c r="ES11" s="1705"/>
      <c r="ET11" s="1705"/>
      <c r="EU11" s="1705"/>
      <c r="EV11" s="1705"/>
      <c r="EW11" s="1705"/>
      <c r="EX11" s="1705"/>
      <c r="EY11" s="1705"/>
      <c r="EZ11" s="1705"/>
      <c r="FA11" s="1705"/>
      <c r="FB11" s="1705"/>
      <c r="FC11" s="1705"/>
      <c r="FD11" s="1705"/>
      <c r="FE11" s="1705"/>
      <c r="FF11" s="1705"/>
      <c r="FG11" s="1705"/>
      <c r="FH11" s="1705"/>
      <c r="FI11" s="1705"/>
      <c r="FJ11" s="1705"/>
      <c r="FK11" s="1705"/>
      <c r="FL11" s="1705"/>
      <c r="FM11" s="1705"/>
      <c r="FN11" s="1705"/>
      <c r="FO11" s="1705"/>
      <c r="FP11" s="1705"/>
      <c r="FQ11" s="1705"/>
      <c r="FR11" s="1705"/>
      <c r="FS11" s="1705"/>
      <c r="FT11" s="1705"/>
      <c r="FU11" s="1705"/>
      <c r="FV11" s="1705"/>
      <c r="FW11" s="1705"/>
      <c r="FX11" s="1705"/>
      <c r="FY11" s="1705"/>
      <c r="FZ11" s="1705"/>
      <c r="GA11" s="1705"/>
      <c r="GB11" s="1705"/>
      <c r="GC11" s="1705"/>
      <c r="GD11" s="1705"/>
      <c r="GE11" s="1705"/>
      <c r="GF11" s="1705"/>
      <c r="GG11" s="1705"/>
      <c r="GH11" s="1705"/>
      <c r="GI11" s="1705"/>
      <c r="GJ11" s="1705"/>
      <c r="GK11" s="1705"/>
      <c r="GL11" s="1705"/>
      <c r="GM11" s="1705"/>
      <c r="GN11" s="1705"/>
      <c r="GO11" s="1705"/>
      <c r="GP11" s="1705"/>
      <c r="GQ11" s="1705"/>
      <c r="GR11" s="1705"/>
      <c r="GS11" s="1705"/>
      <c r="GT11" s="1705"/>
      <c r="GU11" s="1705"/>
      <c r="GV11" s="1705"/>
      <c r="GW11" s="1705"/>
      <c r="GX11" s="1705"/>
      <c r="GY11" s="1705"/>
      <c r="GZ11" s="1705"/>
      <c r="HA11" s="1705"/>
      <c r="HB11" s="1705"/>
      <c r="HC11" s="1705"/>
      <c r="HD11" s="1705"/>
      <c r="HE11" s="1705"/>
      <c r="HF11" s="1705"/>
      <c r="HG11" s="1705"/>
      <c r="HH11" s="1705"/>
      <c r="HI11" s="1705"/>
      <c r="HJ11" s="1705"/>
      <c r="HK11" s="1705"/>
      <c r="HL11" s="1705"/>
      <c r="HM11" s="1705"/>
      <c r="HN11" s="1705"/>
      <c r="HO11" s="1705"/>
      <c r="HP11" s="1705"/>
      <c r="HQ11" s="1705"/>
      <c r="HR11" s="1705"/>
      <c r="HS11" s="1705"/>
      <c r="HT11" s="1705"/>
      <c r="HU11" s="1705"/>
      <c r="HV11" s="1705"/>
      <c r="HW11" s="1705"/>
      <c r="HX11" s="1705"/>
      <c r="HY11" s="1705"/>
      <c r="HZ11" s="1705"/>
      <c r="IA11" s="1705"/>
      <c r="IB11" s="1705"/>
      <c r="IC11" s="1705"/>
      <c r="ID11" s="1705"/>
      <c r="IE11" s="1705"/>
      <c r="IF11" s="1705"/>
      <c r="IG11" s="1705"/>
      <c r="IH11" s="1705"/>
      <c r="II11" s="1705"/>
      <c r="IJ11" s="1705"/>
      <c r="IK11" s="1705"/>
      <c r="IL11" s="1705"/>
      <c r="IM11" s="1705"/>
      <c r="IN11" s="1705"/>
      <c r="IO11" s="1705"/>
      <c r="IP11" s="1705"/>
      <c r="IQ11" s="1705"/>
      <c r="IR11" s="1705"/>
      <c r="IS11" s="1705"/>
      <c r="IT11" s="1705"/>
      <c r="IU11" s="1705"/>
      <c r="IV11" s="1705"/>
      <c r="IW11" s="1705"/>
      <c r="IX11" s="1705"/>
      <c r="IY11" s="1705"/>
      <c r="IZ11" s="1705"/>
      <c r="JA11" s="1705"/>
      <c r="JB11" s="1705"/>
      <c r="JC11" s="1705"/>
      <c r="JD11" s="1705"/>
      <c r="JE11" s="1705"/>
      <c r="JF11" s="1705"/>
      <c r="JG11" s="1705"/>
      <c r="JH11" s="1705"/>
      <c r="JI11" s="1705"/>
      <c r="JJ11" s="1705"/>
      <c r="JK11" s="1705"/>
      <c r="JL11" s="1705"/>
      <c r="JM11" s="1705"/>
      <c r="JN11" s="1705"/>
      <c r="JO11" s="1705"/>
      <c r="JP11" s="1705"/>
      <c r="JQ11" s="1705"/>
      <c r="JR11" s="1705"/>
      <c r="JS11" s="1705"/>
      <c r="JT11" s="1705"/>
      <c r="JU11" s="1705"/>
      <c r="JV11" s="1705"/>
      <c r="JW11" s="1705"/>
      <c r="JX11" s="1705"/>
      <c r="JY11" s="1705"/>
      <c r="JZ11" s="1705"/>
      <c r="KA11" s="1705"/>
      <c r="KB11" s="1705"/>
      <c r="KC11" s="1705"/>
      <c r="KD11" s="1705"/>
      <c r="KE11" s="1705"/>
      <c r="KF11" s="1705"/>
      <c r="KG11" s="1705"/>
      <c r="KH11" s="1705"/>
      <c r="KI11" s="1705"/>
      <c r="KJ11" s="1705"/>
      <c r="KK11" s="1705"/>
      <c r="KL11" s="1705"/>
      <c r="KM11" s="1705"/>
      <c r="KN11" s="1705"/>
      <c r="KO11" s="1705"/>
      <c r="KP11" s="1705"/>
      <c r="KQ11" s="1705"/>
      <c r="KR11" s="1705"/>
      <c r="KS11" s="1705"/>
      <c r="KT11" s="1705"/>
      <c r="KU11" s="1705"/>
      <c r="KV11" s="1705"/>
      <c r="KW11" s="1705"/>
      <c r="KX11" s="1705"/>
      <c r="KY11" s="1705"/>
      <c r="KZ11" s="1705"/>
      <c r="LA11" s="1705"/>
      <c r="LB11" s="1705"/>
      <c r="LC11" s="1705"/>
      <c r="LD11" s="1705"/>
      <c r="LE11" s="1705"/>
      <c r="LF11" s="1705"/>
      <c r="LG11" s="1705"/>
      <c r="LH11" s="1705"/>
      <c r="LI11" s="1705"/>
      <c r="LJ11" s="1705"/>
      <c r="LK11" s="1705"/>
      <c r="LL11" s="1705"/>
      <c r="LM11" s="1705"/>
      <c r="LN11" s="1705"/>
      <c r="LO11" s="1705"/>
      <c r="LP11" s="1705"/>
      <c r="LQ11" s="1705"/>
      <c r="LR11" s="1705"/>
      <c r="LS11" s="1705"/>
      <c r="LT11" s="1705"/>
      <c r="LU11" s="1705"/>
      <c r="LV11" s="1705"/>
      <c r="LW11" s="1705"/>
      <c r="LX11" s="1705"/>
      <c r="LY11" s="1705"/>
      <c r="LZ11" s="1705"/>
      <c r="MA11" s="1705"/>
      <c r="MB11" s="1705"/>
      <c r="MC11" s="1705"/>
      <c r="MD11" s="1705"/>
      <c r="ME11" s="1705"/>
      <c r="MF11" s="1705"/>
      <c r="MG11" s="1705"/>
      <c r="MH11" s="1705"/>
      <c r="MI11" s="1705"/>
      <c r="MJ11" s="1705"/>
      <c r="MK11" s="1705"/>
      <c r="ML11" s="1705"/>
      <c r="MM11" s="1705"/>
      <c r="MN11" s="1705"/>
      <c r="MO11" s="1705"/>
      <c r="MP11" s="1705"/>
      <c r="MQ11" s="1705"/>
      <c r="MR11" s="1705"/>
      <c r="MS11" s="1705"/>
      <c r="MT11" s="1705"/>
      <c r="MU11" s="1705"/>
      <c r="MV11" s="1705"/>
      <c r="MW11" s="1705"/>
      <c r="MX11" s="1705"/>
      <c r="MY11" s="1705"/>
      <c r="MZ11" s="1705"/>
      <c r="NA11" s="1705"/>
      <c r="NB11" s="1705"/>
      <c r="NC11" s="1705"/>
      <c r="ND11" s="1705"/>
      <c r="NE11" s="1705"/>
      <c r="NF11" s="1705"/>
      <c r="NG11" s="1705"/>
      <c r="NH11" s="1705"/>
      <c r="NI11" s="1705"/>
      <c r="NJ11" s="1705"/>
      <c r="NK11" s="1705"/>
      <c r="NL11" s="1705"/>
      <c r="NM11" s="1705"/>
      <c r="NN11" s="1705"/>
      <c r="NO11" s="1705"/>
      <c r="NP11" s="1705"/>
      <c r="NQ11" s="1705"/>
      <c r="NR11" s="1705"/>
      <c r="NS11" s="1705"/>
      <c r="NT11" s="1705"/>
      <c r="NU11" s="1705"/>
      <c r="NV11" s="1705"/>
      <c r="NW11" s="1705"/>
      <c r="NX11" s="1705"/>
      <c r="NY11" s="1705"/>
      <c r="NZ11" s="1705"/>
      <c r="OA11" s="1705"/>
      <c r="OB11" s="1705"/>
      <c r="OC11" s="1705"/>
      <c r="OD11" s="1705"/>
      <c r="OE11" s="1705"/>
      <c r="OF11" s="1705"/>
      <c r="OG11" s="1705"/>
      <c r="OH11" s="1705"/>
      <c r="OI11" s="1705"/>
      <c r="OJ11" s="1705"/>
      <c r="OK11" s="1705"/>
      <c r="OL11" s="1705"/>
      <c r="OM11" s="1705"/>
      <c r="ON11" s="1705"/>
      <c r="OO11" s="1705"/>
      <c r="OP11" s="1705"/>
      <c r="OQ11" s="1705"/>
      <c r="OR11" s="1705"/>
      <c r="OS11" s="1705"/>
      <c r="OT11" s="1705"/>
      <c r="OU11" s="1705"/>
      <c r="OV11" s="1705"/>
      <c r="OW11" s="1705"/>
      <c r="OX11" s="1705"/>
      <c r="OY11" s="1705"/>
      <c r="OZ11" s="1705"/>
      <c r="PA11" s="1705"/>
      <c r="PB11" s="1705"/>
      <c r="PC11" s="1705"/>
      <c r="PD11" s="1705"/>
      <c r="PE11" s="1705"/>
      <c r="PF11" s="1705"/>
      <c r="PG11" s="1705"/>
      <c r="PH11" s="1705"/>
      <c r="PI11" s="1705"/>
      <c r="PJ11" s="1705"/>
      <c r="PK11" s="1705"/>
      <c r="PL11" s="1705"/>
      <c r="PM11" s="1705"/>
      <c r="PN11" s="1705"/>
      <c r="PO11" s="1705"/>
      <c r="PP11" s="1705"/>
      <c r="PQ11" s="1705"/>
      <c r="PR11" s="1705"/>
      <c r="PS11" s="1705"/>
      <c r="PT11" s="1705"/>
      <c r="PU11" s="1705"/>
      <c r="PV11" s="1705"/>
      <c r="PW11" s="1705"/>
      <c r="PX11" s="1705"/>
      <c r="PY11" s="1705"/>
      <c r="PZ11" s="1705"/>
      <c r="QA11" s="1705"/>
      <c r="QB11" s="1705"/>
      <c r="QC11" s="1705"/>
      <c r="QD11" s="1705"/>
      <c r="QE11" s="1705"/>
      <c r="QF11" s="1705"/>
      <c r="QG11" s="1705"/>
      <c r="QH11" s="1705"/>
      <c r="QI11" s="1705"/>
      <c r="QJ11" s="1705"/>
      <c r="QK11" s="1705"/>
      <c r="QL11" s="1705"/>
      <c r="QM11" s="1705"/>
      <c r="QN11" s="1705"/>
      <c r="QO11" s="1705"/>
      <c r="QP11" s="1705"/>
      <c r="QQ11" s="1705"/>
      <c r="QR11" s="1705"/>
      <c r="QS11" s="1705"/>
      <c r="QT11" s="1705"/>
      <c r="QU11" s="1705"/>
      <c r="QV11" s="1705"/>
      <c r="QW11" s="1705"/>
      <c r="QX11" s="1705"/>
      <c r="QY11" s="1705"/>
      <c r="QZ11" s="1705"/>
      <c r="RA11" s="1705"/>
      <c r="RB11" s="1705"/>
      <c r="RC11" s="1705"/>
      <c r="RD11" s="1705"/>
      <c r="RE11" s="1705"/>
      <c r="RF11" s="1705"/>
      <c r="RG11" s="1705"/>
      <c r="RH11" s="1705"/>
      <c r="RI11" s="1705"/>
      <c r="RJ11" s="1705"/>
      <c r="RK11" s="1705"/>
      <c r="RL11" s="1705"/>
      <c r="RM11" s="1705"/>
      <c r="RN11" s="1705"/>
      <c r="RO11" s="1705"/>
      <c r="RP11" s="1705"/>
      <c r="RQ11" s="1705"/>
      <c r="RR11" s="1705"/>
      <c r="RS11" s="1705"/>
      <c r="RT11" s="1705"/>
      <c r="RU11" s="1705"/>
      <c r="RV11" s="1705"/>
      <c r="RW11" s="1705"/>
      <c r="RX11" s="1705"/>
      <c r="RY11" s="1705"/>
      <c r="RZ11" s="1705"/>
      <c r="SA11" s="1705"/>
      <c r="SB11" s="1705"/>
      <c r="SC11" s="1705"/>
      <c r="SD11" s="1705"/>
      <c r="SE11" s="1705"/>
      <c r="SF11" s="1705"/>
      <c r="SG11" s="1705"/>
      <c r="SH11" s="1705"/>
      <c r="SI11" s="1705"/>
      <c r="SJ11" s="1705"/>
      <c r="SK11" s="1705"/>
      <c r="SL11" s="1705"/>
      <c r="SM11" s="1705"/>
      <c r="SN11" s="1705"/>
      <c r="SO11" s="1705"/>
      <c r="SP11" s="1705"/>
      <c r="SQ11" s="1705"/>
      <c r="SR11" s="1705"/>
      <c r="SS11" s="1705"/>
      <c r="ST11" s="1705"/>
      <c r="SU11" s="1705"/>
      <c r="SV11" s="1705"/>
      <c r="SW11" s="1705"/>
      <c r="SX11" s="1705"/>
      <c r="SY11" s="1705"/>
      <c r="SZ11" s="1705"/>
      <c r="TA11" s="1705" t="s">
        <v>950</v>
      </c>
      <c r="TB11" s="1705"/>
      <c r="TC11" s="1705"/>
      <c r="TD11" s="1705"/>
      <c r="TE11" s="1705"/>
      <c r="TF11" s="1705"/>
      <c r="TG11" s="1705"/>
      <c r="TH11" s="1705"/>
      <c r="TI11" s="1705"/>
      <c r="TJ11" s="1705" t="s">
        <v>951</v>
      </c>
      <c r="TK11" s="1705"/>
      <c r="TL11" s="1705"/>
      <c r="TM11" s="1705"/>
      <c r="TN11" s="1705"/>
      <c r="TO11" s="1705"/>
      <c r="TP11" s="1705"/>
      <c r="TQ11" s="1705"/>
      <c r="TR11" s="1705"/>
    </row>
    <row r="12" spans="1:538" ht="13.9" customHeight="1" thickBot="1" x14ac:dyDescent="0.3">
      <c r="A12" s="1705"/>
      <c r="B12" s="1705"/>
      <c r="C12" s="1705" t="s">
        <v>901</v>
      </c>
      <c r="D12" s="1705"/>
      <c r="E12" s="1705"/>
      <c r="F12" s="1705"/>
      <c r="G12" s="1705"/>
      <c r="H12" s="1705"/>
      <c r="I12" s="1705"/>
      <c r="J12" s="1705"/>
      <c r="K12" s="1705"/>
      <c r="L12" s="1705"/>
      <c r="M12" s="1705"/>
      <c r="N12" s="1705"/>
      <c r="O12" s="1705"/>
      <c r="P12" s="1705"/>
      <c r="Q12" s="1705"/>
      <c r="R12" s="1705"/>
      <c r="S12" s="1705"/>
      <c r="T12" s="1507" t="s">
        <v>2089</v>
      </c>
      <c r="U12" s="1508" t="s">
        <v>2090</v>
      </c>
      <c r="V12" s="1507" t="s">
        <v>2089</v>
      </c>
      <c r="W12" s="1508" t="s">
        <v>2090</v>
      </c>
      <c r="X12" s="1705"/>
      <c r="Y12" s="1705"/>
      <c r="Z12" s="1705"/>
      <c r="AA12" s="1705"/>
      <c r="AB12" s="1706"/>
      <c r="AC12" s="1705"/>
      <c r="AD12" s="1705"/>
      <c r="AE12" s="1705"/>
      <c r="AF12" s="1705"/>
      <c r="AG12" s="1705"/>
      <c r="AH12" s="1705"/>
      <c r="AI12" s="1705"/>
      <c r="AJ12" s="1705"/>
      <c r="AK12" s="339" t="s">
        <v>862</v>
      </c>
      <c r="AL12" s="340" t="s">
        <v>863</v>
      </c>
      <c r="AM12" s="341" t="s">
        <v>864</v>
      </c>
      <c r="AN12" s="342"/>
      <c r="AO12" s="342"/>
      <c r="AP12" s="1705"/>
      <c r="AQ12" s="1705"/>
      <c r="AR12" s="339" t="s">
        <v>952</v>
      </c>
      <c r="AS12" s="342"/>
      <c r="AT12" s="342"/>
      <c r="AU12" s="1705"/>
      <c r="AV12" s="1705"/>
      <c r="AW12" s="1705"/>
      <c r="AX12" s="1705"/>
      <c r="AY12" s="1705"/>
      <c r="AZ12" s="1705"/>
      <c r="BA12" s="1705"/>
      <c r="BB12" s="1705"/>
      <c r="BC12" s="1705"/>
      <c r="BD12" s="2001"/>
      <c r="BE12" s="1705"/>
      <c r="BF12" s="1705"/>
      <c r="BG12" s="1705"/>
      <c r="BH12" s="1705"/>
      <c r="BI12" s="1705"/>
      <c r="BJ12" s="1706"/>
      <c r="BK12" s="785" t="str">
        <f>IF(AND($BK$2="Enter Spend&gt;&gt;&gt;",BL2="PROSPECT"),"Spec"&amp;"Sales","Exist"&amp;"Sales")</f>
        <v>ExistSales</v>
      </c>
      <c r="BL12" s="311" t="str">
        <f>IF(AND($BK$2="Enter Spend&gt;&gt;&gt;",BL2="PROSPECT"),"Spec"&amp;"Cases","Exist"&amp;"Cases")</f>
        <v>ExistCases</v>
      </c>
      <c r="BM12" s="311" t="str">
        <f>IF(AND($BK$2="Enter Spend&gt;&gt;&gt;",BL2="PROSPECT"),"Spec"&amp;"Ebcases","Exist"&amp;"Ebcases")</f>
        <v>ExistEbcases</v>
      </c>
      <c r="BN12" s="311" t="str">
        <f>IF(AND($BK$2="Enter Spend&gt;&gt;&gt;",BL2="PROSPECT"),"Spec"&amp;"Weight","Exist"&amp;"Weight")</f>
        <v>ExistWeight</v>
      </c>
      <c r="BO12" s="311" t="str">
        <f>IF(AND($BK$2="Enter Spend&gt;&gt;&gt;",BL2="PROSPECT"),"Spec"&amp;"TAGP","Exist"&amp;"TAGP")</f>
        <v>ExistTAGP</v>
      </c>
      <c r="BP12" s="312" t="str">
        <f>IF(AND($BK$2="Enter Spend&gt;&gt;&gt;",BL2="PROSPECT"),"Spec"&amp;"TGP","Exist"&amp;"TGP")</f>
        <v>ExistTGP</v>
      </c>
      <c r="BQ12" s="312" t="str">
        <f>IF(AND($BK$2="Enter Spend&gt;&gt;&gt;",BL2="PROSPECT"),"Spec"&amp;"PA $","Exist"&amp;"PA $")</f>
        <v>ExistPA $</v>
      </c>
      <c r="BR12" s="312" t="str">
        <f>IF(AND($BK$2="Enter Spend&gt;&gt;&gt;",BL2="PROSPECT"),"Spec"&amp;"SFD $","Exist"&amp;"SFD $")</f>
        <v>ExistSFD $</v>
      </c>
      <c r="BS12" s="305"/>
      <c r="BT12" s="305"/>
      <c r="BU12" s="305"/>
      <c r="BV12" s="305"/>
      <c r="BW12" s="305"/>
      <c r="BX12" s="305"/>
      <c r="BY12" s="305"/>
      <c r="BZ12" s="305"/>
      <c r="CA12" s="305"/>
      <c r="CB12" s="305"/>
      <c r="CC12" s="305"/>
      <c r="CD12" s="305"/>
      <c r="CE12" s="305"/>
      <c r="CF12" s="305"/>
      <c r="CG12" s="305"/>
      <c r="CH12" s="311" t="str">
        <f>IF(AND($CH$2="Enter Spend&gt;&gt;&gt;",CI2="PROSPECT"),"Spec"&amp;"Sales","Exist"&amp;"Sales")</f>
        <v>ExistSales</v>
      </c>
      <c r="CI12" s="311" t="str">
        <f>IF(AND($CH$2="Enter Spend&gt;&gt;&gt;",CI2="PROSPECT"),"Spec"&amp;"Cases","Exist"&amp;"Cases")</f>
        <v>ExistCases</v>
      </c>
      <c r="CJ12" s="311" t="str">
        <f>IF(AND($CH$2="Enter Spend&gt;&gt;&gt;",CI2="PROSPECT"),"Spec"&amp;"Ebcases","Exist"&amp;"Ebcases")</f>
        <v>ExistEbcases</v>
      </c>
      <c r="CK12" s="311" t="str">
        <f>IF(AND($CH$2="Enter Spend&gt;&gt;&gt;",CI2="PROSPECT"),"Spec"&amp;"Weight","Exist"&amp;"Weight")</f>
        <v>ExistWeight</v>
      </c>
      <c r="CL12" s="311" t="str">
        <f>IF(AND($CH$2="Enter Spend&gt;&gt;&gt;",CI2="PROSPECT"),"Spec"&amp;"TAGP","Exist"&amp;"TAGP")</f>
        <v>ExistTAGP</v>
      </c>
      <c r="CM12" s="311" t="str">
        <f>IF(AND($CH$2="Enter Spend&gt;&gt;&gt;",CI2="PROSPECT"),"Spec"&amp;"TGP","Exist"&amp;"TGP")</f>
        <v>ExistTGP</v>
      </c>
      <c r="CN12" s="311" t="str">
        <f>IF(AND($CH$2="Enter Spend&gt;&gt;&gt;",CI2="PROSPECT"),"Spec"&amp;"PA $","Exist"&amp;"PA $")</f>
        <v>ExistPA $</v>
      </c>
      <c r="CO12" s="311" t="str">
        <f>IF(AND($CH$2="Enter Spend&gt;&gt;&gt;",CI2="PROSPECT"),"Spec"&amp;"SFD $","Exist"&amp;"SFD $")</f>
        <v>ExistSFD $</v>
      </c>
      <c r="CP12" s="305"/>
      <c r="CQ12" s="305"/>
      <c r="CR12" s="305"/>
      <c r="CS12" s="305"/>
      <c r="CT12" s="305"/>
      <c r="CU12" s="305"/>
      <c r="CV12" s="305"/>
      <c r="CW12" s="305"/>
      <c r="CX12" s="305"/>
      <c r="CY12" s="305"/>
      <c r="CZ12" s="305"/>
      <c r="DA12" s="305"/>
      <c r="DB12" s="305"/>
      <c r="DC12" s="305"/>
      <c r="DD12" s="305"/>
      <c r="DE12" s="310" t="str">
        <f>IF(AND($DE$2="Enter Spend&gt;&gt;&gt;",DF2="PROSPECT"),"Spec"&amp;"Sales","Exist"&amp;"Sales")</f>
        <v>ExistSales</v>
      </c>
      <c r="DF12" s="311" t="str">
        <f>IF(AND($DE$2="Enter Spend&gt;&gt;&gt;",DF2="PROSPECT"),"Spec"&amp;"Cases","Exist"&amp;"Cases")</f>
        <v>ExistCases</v>
      </c>
      <c r="DG12" s="311" t="str">
        <f>IF(AND($DE$2="Enter Spend&gt;&gt;&gt;",DF2="PROSPECT"),"Spec"&amp;"Ebcases","Exist"&amp;"Ebcases")</f>
        <v>ExistEbcases</v>
      </c>
      <c r="DH12" s="311" t="str">
        <f>IF(AND($DE$2="Enter Spend&gt;&gt;&gt;",DF2="PROSPECT"),"Spec"&amp;"Weight","Exist"&amp;"Weight")</f>
        <v>ExistWeight</v>
      </c>
      <c r="DI12" s="311" t="str">
        <f>IF(AND($DE$2="Enter Spend&gt;&gt;&gt;",DF2="PROSPECT"),"Spec"&amp;"TAGP","Exist"&amp;"TAGP")</f>
        <v>ExistTAGP</v>
      </c>
      <c r="DJ12" s="312" t="str">
        <f>IF(AND($DE$2="Enter Spend&gt;&gt;&gt;",DF2="PROSPECT"),"Spec"&amp;"TGP","Exist"&amp;"TGP")</f>
        <v>ExistTGP</v>
      </c>
      <c r="DK12" s="312" t="str">
        <f>IF(AND($DE$2="Enter Spend&gt;&gt;&gt;",DF2="PROSPECT"),"Spec"&amp;"PA $","Exist"&amp;"PA $")</f>
        <v>ExistPA $</v>
      </c>
      <c r="DL12" s="312" t="str">
        <f>IF(AND($DE$2="Enter Spend&gt;&gt;&gt;",DF2="PROSPECT"),"Spec"&amp;"SFD $","Exist"&amp;"SFD $")</f>
        <v>ExistSFD $</v>
      </c>
      <c r="DM12" s="305"/>
      <c r="DN12" s="305"/>
      <c r="DO12" s="305"/>
      <c r="DP12" s="305"/>
      <c r="DQ12" s="305"/>
      <c r="DR12" s="305"/>
      <c r="DS12" s="305"/>
      <c r="DT12" s="305"/>
      <c r="DU12" s="305"/>
      <c r="DV12" s="305"/>
      <c r="DW12" s="305"/>
      <c r="DX12" s="305"/>
      <c r="DY12" s="305"/>
      <c r="DZ12" s="305"/>
      <c r="EA12" s="305"/>
      <c r="EB12" s="310" t="str">
        <f>IF(AND($EB$2="Enter Spend&gt;&gt;&gt;",EC2="PROSPECT"),"Spec"&amp;"Sales","Exist"&amp;"Sales")</f>
        <v>ExistSales</v>
      </c>
      <c r="EC12" s="311" t="str">
        <f>IF(AND($EB$2="Enter Spend&gt;&gt;&gt;",EC2="PROSPECT"),"Spec"&amp;"Cases","Exist"&amp;"Cases")</f>
        <v>ExistCases</v>
      </c>
      <c r="ED12" s="311" t="str">
        <f>IF(AND($EB$2="Enter Spend&gt;&gt;&gt;",EC2="PROSPECT"),"Spec"&amp;"Ebcases","Exist"&amp;"Ebcases")</f>
        <v>ExistEbcases</v>
      </c>
      <c r="EE12" s="311" t="str">
        <f>IF(AND($EB$2="Enter Spend&gt;&gt;&gt;",EC2="PROSPECT"),"Spec"&amp;"Weight","Exist"&amp;"Weight")</f>
        <v>ExistWeight</v>
      </c>
      <c r="EF12" s="311" t="str">
        <f>IF(AND($EB$2="Enter Spend&gt;&gt;&gt;",EC2="PROSPECT"),"Spec"&amp;"TAGP","Exist"&amp;"TAGP")</f>
        <v>ExistTAGP</v>
      </c>
      <c r="EG12" s="312" t="str">
        <f>IF(AND($EB$2="Enter Spend&gt;&gt;&gt;",EC2="PROSPECT"),"Spec"&amp;"TGP","Exist"&amp;"TGP")</f>
        <v>ExistTGP</v>
      </c>
      <c r="EH12" s="312" t="str">
        <f>IF(AND($EB$2="Enter Spend&gt;&gt;&gt;",EC2="PROSPECT"),"Spec"&amp;"PA $","Exist"&amp;"PA $")</f>
        <v>ExistPA $</v>
      </c>
      <c r="EI12" s="312" t="str">
        <f>IF(AND($EB$2="Enter Spend&gt;&gt;&gt;",EC2="PROSPECT"),"Spec"&amp;"SFD $","Exist"&amp;"SFD $")</f>
        <v>ExistSFD $</v>
      </c>
      <c r="EJ12" s="305"/>
      <c r="EK12" s="305"/>
      <c r="EL12" s="305"/>
      <c r="EM12" s="305"/>
      <c r="EN12" s="305"/>
      <c r="EO12" s="305"/>
      <c r="EP12" s="305"/>
      <c r="EQ12" s="305"/>
      <c r="ER12" s="305"/>
      <c r="ES12" s="305"/>
      <c r="ET12" s="305"/>
      <c r="EU12" s="305"/>
      <c r="EV12" s="305"/>
      <c r="EW12" s="305"/>
      <c r="EX12" s="305"/>
      <c r="EY12" s="310" t="str">
        <f>IF(AND($EY$2="Enter Spend&gt;&gt;&gt;",EZ2="PROSPECT"),"Spec"&amp;"Sales","Exist"&amp;"Sales")</f>
        <v>ExistSales</v>
      </c>
      <c r="EZ12" s="311" t="str">
        <f>IF(AND($EY$2="Enter Spend&gt;&gt;&gt;",EZ2="PROSPECT"),"Spec"&amp;"Cases","Exist"&amp;"Cases")</f>
        <v>ExistCases</v>
      </c>
      <c r="FA12" s="311" t="str">
        <f>IF(AND($EY$2="Enter Spend&gt;&gt;&gt;",EZ2="PROSPECT"),"Spec"&amp;"Ebcases","Exist"&amp;"Ebcases")</f>
        <v>ExistEbcases</v>
      </c>
      <c r="FB12" s="311" t="str">
        <f>IF(AND($EY$2="Enter Spend&gt;&gt;&gt;",EZ2="PROSPECT"),"Spec"&amp;"Weight","Exist"&amp;"Weight")</f>
        <v>ExistWeight</v>
      </c>
      <c r="FC12" s="311" t="str">
        <f>IF(AND($EY$2="Enter Spend&gt;&gt;&gt;",EZ2="PROSPECT"),"Spec"&amp;"TAGP","Exist"&amp;"TAGP")</f>
        <v>ExistTAGP</v>
      </c>
      <c r="FD12" s="312" t="str">
        <f>IF(AND($EY$2="Enter Spend&gt;&gt;&gt;",EZ2="PROSPECT"),"Spec"&amp;"TGP","Exist"&amp;"TGP")</f>
        <v>ExistTGP</v>
      </c>
      <c r="FE12" s="312" t="str">
        <f>IF(AND($EY$2="Enter Spend&gt;&gt;&gt;",EZ2="PROSPECT"),"Spec"&amp;"PA $","Exist"&amp;"PA $")</f>
        <v>ExistPA $</v>
      </c>
      <c r="FF12" s="312" t="str">
        <f>IF(AND($EY$2="Enter Spend&gt;&gt;&gt;",EZ2="PROSPECT"),"Spec"&amp;"SFD $","Exist"&amp;"SFD $")</f>
        <v>ExistSFD $</v>
      </c>
      <c r="FG12" s="305"/>
      <c r="FH12" s="305"/>
      <c r="FI12" s="305"/>
      <c r="FJ12" s="305"/>
      <c r="FK12" s="305"/>
      <c r="FL12" s="305"/>
      <c r="FM12" s="305"/>
      <c r="FN12" s="305"/>
      <c r="FO12" s="305"/>
      <c r="FP12" s="305"/>
      <c r="FQ12" s="305"/>
      <c r="FR12" s="305"/>
      <c r="FS12" s="305"/>
      <c r="FT12" s="305"/>
      <c r="FU12" s="305"/>
      <c r="FV12" s="310" t="str">
        <f>IF(AND($FV$2="Enter Spend&gt;&gt;&gt;",FW2="PROSPECT"),"Spec"&amp;"Sales","Exist"&amp;"Sales")</f>
        <v>ExistSales</v>
      </c>
      <c r="FW12" s="311" t="str">
        <f>IF(AND($FV$2="Enter Spend&gt;&gt;&gt;",FW2="PROSPECT"),"Spec"&amp;"Cases","Exist"&amp;"Cases")</f>
        <v>ExistCases</v>
      </c>
      <c r="FX12" s="311" t="str">
        <f>IF(AND($FV$2="Enter Spend&gt;&gt;&gt;",FW2="PROSPECT"),"Spec"&amp;"Ebcases","Exist"&amp;"Ebcases")</f>
        <v>ExistEbcases</v>
      </c>
      <c r="FY12" s="311" t="str">
        <f>IF(AND($FV$2="Enter Spend&gt;&gt;&gt;",FW2="PROSPECT"),"Spec"&amp;"Weight","Exist"&amp;"Weight")</f>
        <v>ExistWeight</v>
      </c>
      <c r="FZ12" s="311" t="str">
        <f>IF(AND($FV$2="Enter Spend&gt;&gt;&gt;",FW2="PROSPECT"),"Spec"&amp;"TAGP","Exist"&amp;"TAGP")</f>
        <v>ExistTAGP</v>
      </c>
      <c r="GA12" s="312" t="str">
        <f>IF(AND($FV$2="Enter Spend&gt;&gt;&gt;",FW2="PROSPECT"),"Spec"&amp;"TGP","Exist"&amp;"TGP")</f>
        <v>ExistTGP</v>
      </c>
      <c r="GB12" s="312" t="str">
        <f>IF(AND($FV$2="Enter Spend&gt;&gt;&gt;",FW2="PROSPECT"),"Spec"&amp;"PA $","Exist"&amp;"PA $")</f>
        <v>ExistPA $</v>
      </c>
      <c r="GC12" s="312" t="str">
        <f>IF(AND($FV$2="Enter Spend&gt;&gt;&gt;",FW2="PROSPECT"),"Spec"&amp;"SFD $","Exist"&amp;"SFD $")</f>
        <v>ExistSFD $</v>
      </c>
      <c r="GD12" s="305"/>
      <c r="GE12" s="305"/>
      <c r="GF12" s="305"/>
      <c r="GG12" s="305"/>
      <c r="GH12" s="305"/>
      <c r="GI12" s="305"/>
      <c r="GJ12" s="305"/>
      <c r="GK12" s="305"/>
      <c r="GL12" s="305"/>
      <c r="GM12" s="305"/>
      <c r="GN12" s="305"/>
      <c r="GO12" s="305"/>
      <c r="GP12" s="305"/>
      <c r="GQ12" s="305"/>
      <c r="GR12" s="305"/>
      <c r="GS12" s="310" t="str">
        <f>IF(AND($GS$2="Enter Spend&gt;&gt;&gt;",GT2="PROSPECT"),"Spec"&amp;"Sales","Exist"&amp;"Sales")</f>
        <v>ExistSales</v>
      </c>
      <c r="GT12" s="311" t="str">
        <f>IF(AND($GS$2="Enter Spend&gt;&gt;&gt;",GT2="PROSPECT"),"Spec"&amp;"Cases","Exist"&amp;"Cases")</f>
        <v>ExistCases</v>
      </c>
      <c r="GU12" s="311" t="str">
        <f>IF(AND($GS$2="Enter Spend&gt;&gt;&gt;",GT2="PROSPECT"),"Spec"&amp;"Ebcases","Exist"&amp;"Ebcases")</f>
        <v>ExistEbcases</v>
      </c>
      <c r="GV12" s="311" t="str">
        <f>IF(AND($GS$2="Enter Spend&gt;&gt;&gt;",GT2="PROSPECT"),"Spec"&amp;"Weight","Exist"&amp;"Weight")</f>
        <v>ExistWeight</v>
      </c>
      <c r="GW12" s="311" t="str">
        <f>IF(AND($GS$2="Enter Spend&gt;&gt;&gt;",GT2="PROSPECT"),"Spec"&amp;"TAGP","Exist"&amp;"TAGP")</f>
        <v>ExistTAGP</v>
      </c>
      <c r="GX12" s="312" t="str">
        <f>IF(AND($GS$2="Enter Spend&gt;&gt;&gt;",GT2="PROSPECT"),"Spec"&amp;"TGP","Exist"&amp;"TGP")</f>
        <v>ExistTGP</v>
      </c>
      <c r="GY12" s="312" t="str">
        <f>IF(AND($GS$2="Enter Spend&gt;&gt;&gt;",GT2="PROSPECT"),"Spec"&amp;"PA $","Exist"&amp;"PA $")</f>
        <v>ExistPA $</v>
      </c>
      <c r="GZ12" s="312" t="str">
        <f>IF(AND($GS$2="Enter Spend&gt;&gt;&gt;",GT2="PROSPECT"),"Spec"&amp;"SFD $","Exist"&amp;"SFD $")</f>
        <v>ExistSFD $</v>
      </c>
      <c r="HA12" s="305"/>
      <c r="HB12" s="305"/>
      <c r="HC12" s="305"/>
      <c r="HD12" s="305"/>
      <c r="HE12" s="305"/>
      <c r="HF12" s="305"/>
      <c r="HG12" s="305"/>
      <c r="HH12" s="305"/>
      <c r="HI12" s="305"/>
      <c r="HJ12" s="305"/>
      <c r="HK12" s="305"/>
      <c r="HL12" s="305"/>
      <c r="HM12" s="305"/>
      <c r="HN12" s="305"/>
      <c r="HO12" s="305"/>
      <c r="HP12" s="310" t="str">
        <f>IF(AND($HP$2="Enter Spend&gt;&gt;&gt;",HQ2="PROSPECT"),"Spec"&amp;"Sales","Exist"&amp;"Sales")</f>
        <v>ExistSales</v>
      </c>
      <c r="HQ12" s="311" t="str">
        <f>IF(AND($HP$2="Enter Spend&gt;&gt;&gt;",HQ2="PROSPECT"),"Spec"&amp;"Cases","Exist"&amp;"Cases")</f>
        <v>ExistCases</v>
      </c>
      <c r="HR12" s="311" t="str">
        <f>IF(AND($HP$2="Enter Spend&gt;&gt;&gt;",HQ2="PROSPECT"),"Spec"&amp;"Ebcases","Exist"&amp;"Ebcases")</f>
        <v>ExistEbcases</v>
      </c>
      <c r="HS12" s="311" t="str">
        <f>IF(AND($HP$2="Enter Spend&gt;&gt;&gt;",HQ2="PROSPECT"),"Spec"&amp;"Weight","Exist"&amp;"Weight")</f>
        <v>ExistWeight</v>
      </c>
      <c r="HT12" s="311" t="str">
        <f>IF(AND($HP$2="Enter Spend&gt;&gt;&gt;",HQ2="PROSPECT"),"Spec"&amp;"TAGP","Exist"&amp;"TAGP")</f>
        <v>ExistTAGP</v>
      </c>
      <c r="HU12" s="312" t="str">
        <f>IF(AND($HP$2="Enter Spend&gt;&gt;&gt;",HQ2="PROSPECT"),"Spec"&amp;"TGP","Exist"&amp;"TGP")</f>
        <v>ExistTGP</v>
      </c>
      <c r="HV12" s="312" t="str">
        <f>IF(AND($HP$2="Enter Spend&gt;&gt;&gt;",HQ2="PROSPECT"),"Spec"&amp;"PA $","Exist"&amp;"PA $")</f>
        <v>ExistPA $</v>
      </c>
      <c r="HW12" s="312" t="str">
        <f>IF(AND($HP$2="Enter Spend&gt;&gt;&gt;",HQ2="PROSPECT"),"Spec"&amp;"SFD $","Exist"&amp;"SFD $")</f>
        <v>ExistSFD $</v>
      </c>
      <c r="HX12" s="305"/>
      <c r="HY12" s="305"/>
      <c r="HZ12" s="305"/>
      <c r="IA12" s="305"/>
      <c r="IB12" s="305"/>
      <c r="IC12" s="305"/>
      <c r="ID12" s="305"/>
      <c r="IE12" s="305"/>
      <c r="IF12" s="305"/>
      <c r="IG12" s="305"/>
      <c r="IH12" s="305"/>
      <c r="II12" s="305"/>
      <c r="IJ12" s="305"/>
      <c r="IK12" s="305"/>
      <c r="IL12" s="305"/>
      <c r="IM12" s="310" t="str">
        <f>IF(AND($IM$2="Enter Spend&gt;&gt;&gt;",IN2="PROSPECT"),"Spec"&amp;"Sales","Exist"&amp;"Sales")</f>
        <v>ExistSales</v>
      </c>
      <c r="IN12" s="311" t="str">
        <f>IF(AND($IM$2="Enter Spend&gt;&gt;&gt;",IN2="PROSPECT"),"Spec"&amp;"Cases","Exist"&amp;"Cases")</f>
        <v>ExistCases</v>
      </c>
      <c r="IO12" s="311" t="str">
        <f>IF(AND($IM$2="Enter Spend&gt;&gt;&gt;",IN2="PROSPECT"),"Spec"&amp;"Ebcases","Exist"&amp;"Ebcases")</f>
        <v>ExistEbcases</v>
      </c>
      <c r="IP12" s="311" t="str">
        <f>IF(AND($IM$2="Enter Spend&gt;&gt;&gt;",IN2="PROSPECT"),"Spec"&amp;"Weight","Exist"&amp;"Weight")</f>
        <v>ExistWeight</v>
      </c>
      <c r="IQ12" s="311" t="str">
        <f>IF(AND($IM$2="Enter Spend&gt;&gt;&gt;",IN2="PROSPECT"),"Spec"&amp;"TAGP","Exist"&amp;"TAGP")</f>
        <v>ExistTAGP</v>
      </c>
      <c r="IR12" s="312" t="str">
        <f>IF(AND($IM$2="Enter Spend&gt;&gt;&gt;",IN2="PROSPECT"),"Spec"&amp;"TGP","Exist"&amp;"TGP")</f>
        <v>ExistTGP</v>
      </c>
      <c r="IS12" s="312" t="str">
        <f>IF(AND($IM$2="Enter Spend&gt;&gt;&gt;",IN2="PROSPECT"),"Spec"&amp;"PA $","Exist"&amp;"PA $")</f>
        <v>ExistPA $</v>
      </c>
      <c r="IT12" s="312" t="str">
        <f>IF(AND($IM$2="Enter Spend&gt;&gt;&gt;",IN2="PROSPECT"),"Spec"&amp;"SFD $","Exist"&amp;"SFD $")</f>
        <v>ExistSFD $</v>
      </c>
      <c r="IU12" s="305"/>
      <c r="IV12" s="305"/>
      <c r="IW12" s="305"/>
      <c r="IX12" s="305"/>
      <c r="IY12" s="305"/>
      <c r="IZ12" s="305"/>
      <c r="JA12" s="305"/>
      <c r="JB12" s="305"/>
      <c r="JC12" s="305"/>
      <c r="JD12" s="305"/>
      <c r="JE12" s="305"/>
      <c r="JF12" s="305"/>
      <c r="JG12" s="305"/>
      <c r="JH12" s="305"/>
      <c r="JI12" s="305"/>
      <c r="JJ12" s="310" t="str">
        <f>IF(AND($JJ$2="Enter Spend&gt;&gt;&gt;",JK2="PROSPECT"),"Spec"&amp;"Sales","Exist"&amp;"Sales")</f>
        <v>ExistSales</v>
      </c>
      <c r="JK12" s="311" t="str">
        <f>IF(AND($JJ$2="Enter Spend&gt;&gt;&gt;",JK2="PROSPECT"),"Spec"&amp;"Cases","Exist"&amp;"Cases")</f>
        <v>ExistCases</v>
      </c>
      <c r="JL12" s="311" t="str">
        <f>IF(AND($JJ$2="Enter Spend&gt;&gt;&gt;",JK2="PROSPECT"),"Spec"&amp;"Ebcases","Exist"&amp;"Ebcases")</f>
        <v>ExistEbcases</v>
      </c>
      <c r="JM12" s="311" t="str">
        <f>IF(AND($JJ$2="Enter Spend&gt;&gt;&gt;",JK2="PROSPECT"),"Spec"&amp;"Weight","Exist"&amp;"Weight")</f>
        <v>ExistWeight</v>
      </c>
      <c r="JN12" s="311" t="str">
        <f>IF(AND($JJ$2="Enter Spend&gt;&gt;&gt;",JK2="PROSPECT"),"Spec"&amp;"TAGP","Exist"&amp;"TAGP")</f>
        <v>ExistTAGP</v>
      </c>
      <c r="JO12" s="312" t="str">
        <f>IF(AND($JJ$2="Enter Spend&gt;&gt;&gt;",JK2="PROSPECT"),"Spec"&amp;"TGP","Exist"&amp;"TGP")</f>
        <v>ExistTGP</v>
      </c>
      <c r="JP12" s="312" t="str">
        <f>IF(AND($JJ$2="Enter Spend&gt;&gt;&gt;",JK2="PROSPECT"),"Spec"&amp;"PA $","Exist"&amp;"PA $")</f>
        <v>ExistPA $</v>
      </c>
      <c r="JQ12" s="312" t="str">
        <f>IF(AND($JJ$2="Enter Spend&gt;&gt;&gt;",JK2="PROSPECT"),"Spec"&amp;"SFD $","Exist"&amp;"SFD $")</f>
        <v>ExistSFD $</v>
      </c>
      <c r="JR12" s="305"/>
      <c r="JS12" s="305"/>
      <c r="JT12" s="305"/>
      <c r="JU12" s="305"/>
      <c r="JV12" s="305"/>
      <c r="JW12" s="305"/>
      <c r="JX12" s="305"/>
      <c r="JY12" s="305"/>
      <c r="JZ12" s="305"/>
      <c r="KA12" s="305"/>
      <c r="KB12" s="305"/>
      <c r="KC12" s="305"/>
      <c r="KD12" s="305"/>
      <c r="KE12" s="305"/>
      <c r="KF12" s="305"/>
      <c r="KG12" s="310" t="str">
        <f>IF(AND($KG$2="Enter Spend&gt;&gt;&gt;",KH2="PROSPECT"),"Spec"&amp;"Sales","Exist"&amp;"Sales")</f>
        <v>ExistSales</v>
      </c>
      <c r="KH12" s="311" t="str">
        <f>IF(AND($KG$2="Enter Spend&gt;&gt;&gt;",KH2="PROSPECT"),"Spec"&amp;"Cases","Exist"&amp;"Cases")</f>
        <v>ExistCases</v>
      </c>
      <c r="KI12" s="311" t="str">
        <f>IF(AND($KG$2="Enter Spend&gt;&gt;&gt;",KH2="PROSPECT"),"Spec"&amp;"Ebcases","Exist"&amp;"Ebcases")</f>
        <v>ExistEbcases</v>
      </c>
      <c r="KJ12" s="311" t="str">
        <f>IF(AND($KG$2="Enter Spend&gt;&gt;&gt;",KH2="PROSPECT"),"Spec"&amp;"Weight","Exist"&amp;"Weight")</f>
        <v>ExistWeight</v>
      </c>
      <c r="KK12" s="311" t="str">
        <f>IF(AND($KG$2="Enter Spend&gt;&gt;&gt;",KH2="PROSPECT"),"Spec"&amp;"TAGP","Exist"&amp;"TAGP")</f>
        <v>ExistTAGP</v>
      </c>
      <c r="KL12" s="312" t="str">
        <f>IF(AND($KG$2="Enter Spend&gt;&gt;&gt;",KH2="PROSPECT"),"Spec"&amp;"TGP","Exist"&amp;"TGP")</f>
        <v>ExistTGP</v>
      </c>
      <c r="KM12" s="312" t="str">
        <f>IF(AND($KG$2="Enter Spend&gt;&gt;&gt;",KH2="PROSPECT"),"Spec"&amp;"PA $","Exist"&amp;"PA $")</f>
        <v>ExistPA $</v>
      </c>
      <c r="KN12" s="312" t="str">
        <f>IF(AND($KG$2="Enter Spend&gt;&gt;&gt;",KH2="PROSPECT"),"Spec"&amp;"SFD $","Exist"&amp;"SFD $")</f>
        <v>ExistSFD $</v>
      </c>
      <c r="KO12" s="305"/>
      <c r="KP12" s="305"/>
      <c r="KQ12" s="305"/>
      <c r="KR12" s="305"/>
      <c r="KS12" s="305"/>
      <c r="KT12" s="305"/>
      <c r="KU12" s="305"/>
      <c r="KV12" s="305"/>
      <c r="KW12" s="305"/>
      <c r="KX12" s="305"/>
      <c r="KY12" s="305"/>
      <c r="KZ12" s="305"/>
      <c r="LA12" s="305"/>
      <c r="LB12" s="305"/>
      <c r="LC12" s="305"/>
      <c r="LD12" s="310" t="str">
        <f>IF(AND($LD$2="Enter Spend&gt;&gt;&gt;",LE2="PROSPECT"),"Spec"&amp;"Sales","Exist"&amp;"Sales")</f>
        <v>ExistSales</v>
      </c>
      <c r="LE12" s="311" t="str">
        <f>IF(AND($LD$2="Enter Spend&gt;&gt;&gt;",LE2="PROSPECT"),"Spec"&amp;"Cases","Exist"&amp;"Cases")</f>
        <v>ExistCases</v>
      </c>
      <c r="LF12" s="311" t="str">
        <f>IF(AND($LD$2="Enter Spend&gt;&gt;&gt;",LE2="PROSPECT"),"Spec"&amp;"Ebcases","Exist"&amp;"Ebcases")</f>
        <v>ExistEbcases</v>
      </c>
      <c r="LG12" s="311" t="str">
        <f>IF(AND($LD$2="Enter Spend&gt;&gt;&gt;",LE2="PROSPECT"),"Spec"&amp;"Weight","Exist"&amp;"Weight")</f>
        <v>ExistWeight</v>
      </c>
      <c r="LH12" s="311" t="str">
        <f>IF(AND($LD$2="Enter Spend&gt;&gt;&gt;",LE2="PROSPECT"),"Spec"&amp;"TAGP","Exist"&amp;"TAGP")</f>
        <v>ExistTAGP</v>
      </c>
      <c r="LI12" s="312" t="str">
        <f>IF(AND($LD$2="Enter Spend&gt;&gt;&gt;",LE2="PROSPECT"),"Spec"&amp;"TGP","Exist"&amp;"TGP")</f>
        <v>ExistTGP</v>
      </c>
      <c r="LJ12" s="312" t="str">
        <f>IF(AND($LD$2="Enter Spend&gt;&gt;&gt;",LE2="PROSPECT"),"Spec"&amp;"PA $","Exist"&amp;"PA $")</f>
        <v>ExistPA $</v>
      </c>
      <c r="LK12" s="312" t="str">
        <f>IF(AND($LD$2="Enter Spend&gt;&gt;&gt;",LE2="PROSPECT"),"Spec"&amp;"SFD $","Exist"&amp;"SFD $")</f>
        <v>ExistSFD $</v>
      </c>
      <c r="LL12" s="305"/>
      <c r="LM12" s="305"/>
      <c r="LN12" s="305"/>
      <c r="LO12" s="305"/>
      <c r="LP12" s="305"/>
      <c r="LQ12" s="305"/>
      <c r="LR12" s="305"/>
      <c r="LS12" s="305"/>
      <c r="LT12" s="305"/>
      <c r="LU12" s="305"/>
      <c r="LV12" s="305"/>
      <c r="LW12" s="305"/>
      <c r="LX12" s="305"/>
      <c r="LY12" s="305"/>
      <c r="LZ12" s="305"/>
      <c r="MA12" s="310" t="str">
        <f>IF(AND($MA$2="Enter Spend&gt;&gt;&gt;",MB2="PROSPECT"),"Spec"&amp;"Sales","Exist"&amp;"Sales")</f>
        <v>ExistSales</v>
      </c>
      <c r="MB12" s="311" t="str">
        <f>IF(AND($MA$2="Enter Spend&gt;&gt;&gt;",MB2="PROSPECT"),"Spec"&amp;"Cases","Exist"&amp;"Cases")</f>
        <v>ExistCases</v>
      </c>
      <c r="MC12" s="311" t="str">
        <f>IF(AND($MA$2="Enter Spend&gt;&gt;&gt;",MB2="PROSPECT"),"Spec"&amp;"Ebcases","Exist"&amp;"Ebcases")</f>
        <v>ExistEbcases</v>
      </c>
      <c r="MD12" s="311" t="str">
        <f>IF(AND($MA$2="Enter Spend&gt;&gt;&gt;",MB2="PROSPECT"),"Spec"&amp;"Weight","Exist"&amp;"Weight")</f>
        <v>ExistWeight</v>
      </c>
      <c r="ME12" s="311" t="str">
        <f>IF(AND($MA$2="Enter Spend&gt;&gt;&gt;",MB2="PROSPECT"),"Spec"&amp;"TAGP","Exist"&amp;"TAGP")</f>
        <v>ExistTAGP</v>
      </c>
      <c r="MF12" s="312" t="str">
        <f>IF(AND($MA$2="Enter Spend&gt;&gt;&gt;",MB2="PROSPECT"),"Spec"&amp;"TGP","Exist"&amp;"TGP")</f>
        <v>ExistTGP</v>
      </c>
      <c r="MG12" s="312" t="str">
        <f>IF(AND($MA$2="Enter Spend&gt;&gt;&gt;",MB2="PROSPECT"),"Spec"&amp;"PA $","Exist"&amp;"PA $")</f>
        <v>ExistPA $</v>
      </c>
      <c r="MH12" s="312" t="str">
        <f>IF(AND($MA$2="Enter Spend&gt;&gt;&gt;",MB2="PROSPECT"),"Spec"&amp;"SFD $","Exist"&amp;"SFD $")</f>
        <v>ExistSFD $</v>
      </c>
      <c r="MI12" s="305"/>
      <c r="MJ12" s="305"/>
      <c r="MK12" s="305"/>
      <c r="ML12" s="305"/>
      <c r="MM12" s="305"/>
      <c r="MN12" s="305"/>
      <c r="MO12" s="305"/>
      <c r="MP12" s="305"/>
      <c r="MQ12" s="305"/>
      <c r="MR12" s="305"/>
      <c r="MS12" s="305"/>
      <c r="MT12" s="305"/>
      <c r="MU12" s="305"/>
      <c r="MV12" s="305"/>
      <c r="MW12" s="305"/>
      <c r="MX12" s="310" t="str">
        <f>IF(AND($MX$2="Enter Spend&gt;&gt;&gt;",MY2="PROSPECT"),"Spec"&amp;"Sales","Exist"&amp;"Sales")</f>
        <v>ExistSales</v>
      </c>
      <c r="MY12" s="311" t="str">
        <f>IF(AND($MX$2="Enter Spend&gt;&gt;&gt;",MY2="PROSPECT"),"Spec"&amp;"Cases","Exist"&amp;"Cases")</f>
        <v>ExistCases</v>
      </c>
      <c r="MZ12" s="311" t="str">
        <f>IF(AND($MX$2="Enter Spend&gt;&gt;&gt;",MY2="PROSPECT"),"Spec"&amp;"Ebcases","Exist"&amp;"Ebcases")</f>
        <v>ExistEbcases</v>
      </c>
      <c r="NA12" s="311" t="str">
        <f>IF(AND($MX$2="Enter Spend&gt;&gt;&gt;",MY2="PROSPECT"),"Spec"&amp;"Weight","Exist"&amp;"Weight")</f>
        <v>ExistWeight</v>
      </c>
      <c r="NB12" s="311" t="str">
        <f>IF(AND($MX$2="Enter Spend&gt;&gt;&gt;",MY2="PROSPECT"),"Spec"&amp;"TAGP","Exist"&amp;"TAGP")</f>
        <v>ExistTAGP</v>
      </c>
      <c r="NC12" s="312" t="str">
        <f>IF(AND($MX$2="Enter Spend&gt;&gt;&gt;",MY2="PROSPECT"),"Spec"&amp;"TGP","Exist"&amp;"TGP")</f>
        <v>ExistTGP</v>
      </c>
      <c r="ND12" s="312" t="str">
        <f>IF(AND($MX$2="Enter Spend&gt;&gt;&gt;",MY2="PROSPECT"),"Spec"&amp;"PA $","Exist"&amp;"PA $")</f>
        <v>ExistPA $</v>
      </c>
      <c r="NE12" s="312" t="str">
        <f>IF(AND($MX$2="Enter Spend&gt;&gt;&gt;",MY2="PROSPECT"),"Spec"&amp;"SFD $","Exist"&amp;"SFD $")</f>
        <v>ExistSFD $</v>
      </c>
      <c r="NF12" s="305"/>
      <c r="NG12" s="305"/>
      <c r="NH12" s="305"/>
      <c r="NI12" s="305"/>
      <c r="NJ12" s="305"/>
      <c r="NK12" s="305"/>
      <c r="NL12" s="305"/>
      <c r="NM12" s="305"/>
      <c r="NN12" s="305"/>
      <c r="NO12" s="305"/>
      <c r="NP12" s="305"/>
      <c r="NQ12" s="305"/>
      <c r="NR12" s="305"/>
      <c r="NS12" s="305"/>
      <c r="NT12" s="305"/>
      <c r="NU12" s="310" t="str">
        <f>IF(AND($NU$2="Enter Spend&gt;&gt;&gt;",NV2="PROSPECT"),"Spec"&amp;"Sales","Exist"&amp;"Sales")</f>
        <v>ExistSales</v>
      </c>
      <c r="NV12" s="311" t="str">
        <f>IF(AND($NU$2="Enter Spend&gt;&gt;&gt;",NV2="PROSPECT"),"Spec"&amp;"Cases","Exist"&amp;"Cases")</f>
        <v>ExistCases</v>
      </c>
      <c r="NW12" s="311" t="str">
        <f>IF(AND($NU$2="Enter Spend&gt;&gt;&gt;",NV2="PROSPECT"),"Spec"&amp;"Ebcases","Exist"&amp;"Ebcases")</f>
        <v>ExistEbcases</v>
      </c>
      <c r="NX12" s="311" t="str">
        <f>IF(AND($NU$2="Enter Spend&gt;&gt;&gt;",NV2="PROSPECT"),"Spec"&amp;"Weight","Exist"&amp;"Weight")</f>
        <v>ExistWeight</v>
      </c>
      <c r="NY12" s="311" t="str">
        <f>IF(AND($NU$2="Enter Spend&gt;&gt;&gt;",NV2="PROSPECT"),"Spec"&amp;"TAGP","Exist"&amp;"TAGP")</f>
        <v>ExistTAGP</v>
      </c>
      <c r="NZ12" s="312" t="str">
        <f>IF(AND($NU$2="Enter Spend&gt;&gt;&gt;",NV2="PROSPECT"),"Spec"&amp;"TGP","Exist"&amp;"TGP")</f>
        <v>ExistTGP</v>
      </c>
      <c r="OA12" s="312" t="str">
        <f>IF(AND($NU$2="Enter Spend&gt;&gt;&gt;",NV2="PROSPECT"),"Spec"&amp;"PA $","Exist"&amp;"PA $")</f>
        <v>ExistPA $</v>
      </c>
      <c r="OB12" s="312" t="str">
        <f>IF(AND($NU$2="Enter Spend&gt;&gt;&gt;",NV2="PROSPECT"),"Spec"&amp;"SFD $","Exist"&amp;"SFD $")</f>
        <v>ExistSFD $</v>
      </c>
      <c r="OC12" s="305"/>
      <c r="OD12" s="305"/>
      <c r="OE12" s="305"/>
      <c r="OF12" s="305"/>
      <c r="OG12" s="305"/>
      <c r="OH12" s="305"/>
      <c r="OI12" s="305"/>
      <c r="OJ12" s="305"/>
      <c r="OK12" s="305"/>
      <c r="OL12" s="305"/>
      <c r="OM12" s="305"/>
      <c r="ON12" s="305"/>
      <c r="OO12" s="305"/>
      <c r="OP12" s="305"/>
      <c r="OQ12" s="305"/>
      <c r="OR12" s="310" t="str">
        <f>IF(AND($OR$2="Enter Spend&gt;&gt;&gt;",OS2="PROSPECT"),"Spec"&amp;"Sales","Exist"&amp;"Sales")</f>
        <v>ExistSales</v>
      </c>
      <c r="OS12" s="311" t="str">
        <f>IF(AND($OR$2="Enter Spend&gt;&gt;&gt;",OS2="PROSPECT"),"Spec"&amp;"Cases","Exist"&amp;"Cases")</f>
        <v>ExistCases</v>
      </c>
      <c r="OT12" s="311" t="str">
        <f>IF(AND($OR$2="Enter Spend&gt;&gt;&gt;",OS2="PROSPECT"),"Spec"&amp;"Ebcases","Exist"&amp;"Ebcases")</f>
        <v>ExistEbcases</v>
      </c>
      <c r="OU12" s="311" t="str">
        <f>IF(AND($OR$2="Enter Spend&gt;&gt;&gt;",OS2="PROSPECT"),"Spec"&amp;"Weight","Exist"&amp;"Weight")</f>
        <v>ExistWeight</v>
      </c>
      <c r="OV12" s="311" t="str">
        <f>IF(AND($OR$2="Enter Spend&gt;&gt;&gt;",OS2="PROSPECT"),"Spec"&amp;"TAGP","Exist"&amp;"TAGP")</f>
        <v>ExistTAGP</v>
      </c>
      <c r="OW12" s="312" t="str">
        <f>IF(AND($OR$2="Enter Spend&gt;&gt;&gt;",OS2="PROSPECT"),"Spec"&amp;"TGP","Exist"&amp;"TGP")</f>
        <v>ExistTGP</v>
      </c>
      <c r="OX12" s="312" t="str">
        <f>IF(AND($OR$2="Enter Spend&gt;&gt;&gt;",OS2="PROSPECT"),"Spec"&amp;"PA $","Exist"&amp;"PA $")</f>
        <v>ExistPA $</v>
      </c>
      <c r="OY12" s="312" t="str">
        <f>IF(AND($OR$2="Enter Spend&gt;&gt;&gt;",OS2="PROSPECT"),"Spec"&amp;"SFD $","Exist"&amp;"SFD $")</f>
        <v>ExistSFD $</v>
      </c>
      <c r="OZ12" s="305"/>
      <c r="PA12" s="305"/>
      <c r="PB12" s="305"/>
      <c r="PC12" s="305"/>
      <c r="PD12" s="305"/>
      <c r="PE12" s="305"/>
      <c r="PF12" s="305"/>
      <c r="PG12" s="305"/>
      <c r="PH12" s="305"/>
      <c r="PI12" s="305"/>
      <c r="PJ12" s="305"/>
      <c r="PK12" s="305"/>
      <c r="PL12" s="305"/>
      <c r="PM12" s="305"/>
      <c r="PN12" s="305"/>
      <c r="PO12" s="310" t="str">
        <f>IF(AND($PO$2="Enter Spend&gt;&gt;&gt;",PP2="PROSPECT"),"Spec"&amp;"Sales","Exist"&amp;"Sales")</f>
        <v>ExistSales</v>
      </c>
      <c r="PP12" s="311" t="str">
        <f>IF(AND($PO$2="Enter Spend&gt;&gt;&gt;",PP2="PROSPECT"),"Spec"&amp;"Cases","Exist"&amp;"Cases")</f>
        <v>ExistCases</v>
      </c>
      <c r="PQ12" s="311" t="str">
        <f>IF(AND($PO$2="Enter Spend&gt;&gt;&gt;",PP2="PROSPECT"),"Spec"&amp;"Ebcases","Exist"&amp;"Ebcases")</f>
        <v>ExistEbcases</v>
      </c>
      <c r="PR12" s="311" t="str">
        <f>IF(AND($PO$2="Enter Spend&gt;&gt;&gt;",PP2="PROSPECT"),"Spec"&amp;"Weight","Exist"&amp;"Weight")</f>
        <v>ExistWeight</v>
      </c>
      <c r="PS12" s="311" t="str">
        <f>IF(AND($PO$2="Enter Spend&gt;&gt;&gt;",PP2="PROSPECT"),"Spec"&amp;"TAGP","Exist"&amp;"TAGP")</f>
        <v>ExistTAGP</v>
      </c>
      <c r="PT12" s="312" t="str">
        <f>IF(AND($PO$2="Enter Spend&gt;&gt;&gt;",PP2="PROSPECT"),"Spec"&amp;"TGP","Exist"&amp;"TGP")</f>
        <v>ExistTGP</v>
      </c>
      <c r="PU12" s="312" t="str">
        <f>IF(AND($PO$2="Enter Spend&gt;&gt;&gt;",PP2="PROSPECT"),"Spec"&amp;"PA $","Exist"&amp;"PA $")</f>
        <v>ExistPA $</v>
      </c>
      <c r="PV12" s="312" t="str">
        <f>IF(AND($PO$2="Enter Spend&gt;&gt;&gt;",PP2="PROSPECT"),"Spec"&amp;"SFD $","Exist"&amp;"SFD $")</f>
        <v>ExistSFD $</v>
      </c>
      <c r="PW12" s="305"/>
      <c r="PX12" s="305"/>
      <c r="PY12" s="305"/>
      <c r="PZ12" s="305"/>
      <c r="QA12" s="305"/>
      <c r="QB12" s="305"/>
      <c r="QC12" s="305"/>
      <c r="QD12" s="305"/>
      <c r="QE12" s="305"/>
      <c r="QF12" s="305"/>
      <c r="QG12" s="305"/>
      <c r="QH12" s="305"/>
      <c r="QI12" s="305"/>
      <c r="QJ12" s="305"/>
      <c r="QK12" s="305"/>
      <c r="QL12" s="310" t="str">
        <f>IF(AND($QL$2="Enter Spend&gt;&gt;&gt;",QM2="PROSPECT"),"Spec"&amp;"Sales","Exist"&amp;"Sales")</f>
        <v>ExistSales</v>
      </c>
      <c r="QM12" s="311" t="str">
        <f>IF(AND($QL$2="Enter Spend&gt;&gt;&gt;",QM2="PROSPECT"),"Spec"&amp;"Cases","Exist"&amp;"Cases")</f>
        <v>ExistCases</v>
      </c>
      <c r="QN12" s="311" t="str">
        <f>IF(AND($QL$2="Enter Spend&gt;&gt;&gt;",QM2="PROSPECT"),"Spec"&amp;"Ebcases","Exist"&amp;"Ebcases")</f>
        <v>ExistEbcases</v>
      </c>
      <c r="QO12" s="311" t="str">
        <f>IF(AND($QL$2="Enter Spend&gt;&gt;&gt;",QM2="PROSPECT"),"Spec"&amp;"Weight","Exist"&amp;"Weight")</f>
        <v>ExistWeight</v>
      </c>
      <c r="QP12" s="311" t="str">
        <f>IF(AND($QL$2="Enter Spend&gt;&gt;&gt;",QM2="PROSPECT"),"Spec"&amp;"TAGP","Exist"&amp;"TAGP")</f>
        <v>ExistTAGP</v>
      </c>
      <c r="QQ12" s="312" t="str">
        <f>IF(AND($QL$2="Enter Spend&gt;&gt;&gt;",QM2="PROSPECT"),"Spec"&amp;"TGP","Exist"&amp;"TGP")</f>
        <v>ExistTGP</v>
      </c>
      <c r="QR12" s="312" t="str">
        <f>IF(AND($QL$2="Enter Spend&gt;&gt;&gt;",QM2="PROSPECT"),"Spec"&amp;"PA $","Exist"&amp;"PA $")</f>
        <v>ExistPA $</v>
      </c>
      <c r="QS12" s="312" t="str">
        <f>IF(AND($QL$2="Enter Spend&gt;&gt;&gt;",QM2="PROSPECT"),"Spec"&amp;"SFD $","Exist"&amp;"SFD $")</f>
        <v>ExistSFD $</v>
      </c>
      <c r="QT12" s="305"/>
      <c r="QU12" s="305"/>
      <c r="QV12" s="305"/>
      <c r="QW12" s="305"/>
      <c r="QX12" s="305"/>
      <c r="QY12" s="305"/>
      <c r="QZ12" s="305"/>
      <c r="RA12" s="305"/>
      <c r="RB12" s="305"/>
      <c r="RC12" s="305"/>
      <c r="RD12" s="305"/>
      <c r="RE12" s="305"/>
      <c r="RF12" s="305"/>
      <c r="RG12" s="305"/>
      <c r="RH12" s="305"/>
      <c r="RI12" s="310" t="str">
        <f>IF(AND($RI$2="Enter Spend&gt;&gt;&gt;",RJ2="PROSPECT"),"Spec"&amp;"Sales","Exist"&amp;"Sales")</f>
        <v>ExistSales</v>
      </c>
      <c r="RJ12" s="311" t="str">
        <f>IF(AND($RI$2="Enter Spend&gt;&gt;&gt;",RJ2="PROSPECT"),"Spec"&amp;"Cases","Exist"&amp;"Cases")</f>
        <v>ExistCases</v>
      </c>
      <c r="RK12" s="311" t="str">
        <f>IF(AND($RI$2="Enter Spend&gt;&gt;&gt;",RJ2="PROSPECT"),"Spec"&amp;"Ebcases","Exist"&amp;"Ebcases")</f>
        <v>ExistEbcases</v>
      </c>
      <c r="RL12" s="311" t="str">
        <f>IF(AND($RI$2="Enter Spend&gt;&gt;&gt;",RJ2="PROSPECT"),"Spec"&amp;"Weight","Exist"&amp;"Weight")</f>
        <v>ExistWeight</v>
      </c>
      <c r="RM12" s="311" t="str">
        <f>IF(AND($RI$2="Enter Spend&gt;&gt;&gt;",RJ2="PROSPECT"),"Spec"&amp;"TAGP","Exist"&amp;"TAGP")</f>
        <v>ExistTAGP</v>
      </c>
      <c r="RN12" s="312" t="str">
        <f>IF(AND($RI$2="Enter Spend&gt;&gt;&gt;",RJ2="PROSPECT"),"Spec"&amp;"TGP","Exist"&amp;"TGP")</f>
        <v>ExistTGP</v>
      </c>
      <c r="RO12" s="312" t="str">
        <f>IF(AND($RI$2="Enter Spend&gt;&gt;&gt;",RJ2="PROSPECT"),"Spec"&amp;"PA $","Exist"&amp;"PA $")</f>
        <v>ExistPA $</v>
      </c>
      <c r="RP12" s="312" t="str">
        <f>IF(AND($RI$2="Enter Spend&gt;&gt;&gt;",RJ2="PROSPECT"),"Spec"&amp;"SFD $","Exist"&amp;"SFD $")</f>
        <v>ExistSFD $</v>
      </c>
      <c r="RQ12" s="305"/>
      <c r="RR12" s="305"/>
      <c r="RS12" s="305"/>
      <c r="RT12" s="305"/>
      <c r="RU12" s="305"/>
      <c r="RV12" s="305"/>
      <c r="RW12" s="305"/>
      <c r="RX12" s="305"/>
      <c r="RY12" s="305"/>
      <c r="RZ12" s="305"/>
      <c r="SA12" s="305"/>
      <c r="SB12" s="305"/>
      <c r="SC12" s="305"/>
      <c r="SD12" s="305"/>
      <c r="SE12" s="305"/>
      <c r="SF12" s="310" t="str">
        <f>IF(AND($SF$2="Enter Spend&gt;&gt;&gt;",SG2="PROSPECT"),"Spec"&amp;"Sales","Exist"&amp;"Sales")</f>
        <v>ExistSales</v>
      </c>
      <c r="SG12" s="311" t="str">
        <f>IF(AND($SF$2="Enter Spend&gt;&gt;&gt;",SG2="PROSPECT"),"Spec"&amp;"Cases","Exist"&amp;"Cases")</f>
        <v>ExistCases</v>
      </c>
      <c r="SH12" s="311" t="str">
        <f>IF(AND($SF$2="Enter Spend&gt;&gt;&gt;",SG2="PROSPECT"),"Spec"&amp;"Ebcases","Exist"&amp;"Ebcases")</f>
        <v>ExistEbcases</v>
      </c>
      <c r="SI12" s="311" t="str">
        <f>IF(AND($SF$2="Enter Spend&gt;&gt;&gt;",SG2="PROSPECT"),"Spec"&amp;"Weight","Exist"&amp;"Weight")</f>
        <v>ExistWeight</v>
      </c>
      <c r="SJ12" s="311" t="str">
        <f>IF(AND($SF$2="Enter Spend&gt;&gt;&gt;",SG2="PROSPECT"),"Spec"&amp;"TAGP","Exist"&amp;"TAGP")</f>
        <v>ExistTAGP</v>
      </c>
      <c r="SK12" s="312" t="str">
        <f>IF(AND($SF$2="Enter Spend&gt;&gt;&gt;",SG2="PROSPECT"),"Spec"&amp;"TGP","Exist"&amp;"TGP")</f>
        <v>ExistTGP</v>
      </c>
      <c r="SL12" s="312" t="str">
        <f>IF(AND($SF$2="Enter Spend&gt;&gt;&gt;",SG2="PROSPECT"),"Spec"&amp;"PA $","Exist"&amp;"PA $")</f>
        <v>ExistPA $</v>
      </c>
      <c r="SM12" s="312" t="str">
        <f>IF(AND($SF$2="Enter Spend&gt;&gt;&gt;",SG2="PROSPECT"),"Spec"&amp;"SFD $","Exist"&amp;"SFD $")</f>
        <v>ExistSFD $</v>
      </c>
      <c r="SN12" s="305"/>
      <c r="SO12" s="305"/>
      <c r="SP12" s="305"/>
      <c r="SQ12" s="305"/>
      <c r="SR12" s="305"/>
      <c r="SS12" s="305"/>
      <c r="ST12" s="305"/>
      <c r="SU12" s="305"/>
      <c r="SV12" s="305"/>
      <c r="SW12" s="305"/>
      <c r="SX12" s="305"/>
      <c r="SY12" s="305"/>
      <c r="SZ12" s="1705"/>
      <c r="TA12" s="305"/>
      <c r="TB12" s="310" t="str">
        <f>IF(TB2="Enter Spend&gt;&gt;&gt;","Spec"&amp;"Sales","Exist"&amp;"Sales")</f>
        <v>ExistSales</v>
      </c>
      <c r="TC12" s="311" t="str">
        <f>IF(TB2="Enter Spend&gt;&gt;&gt;","Spec"&amp;"Cases","Exist"&amp;"Cases")</f>
        <v>ExistCases</v>
      </c>
      <c r="TD12" s="311" t="str">
        <f>IF(TB2="Enter Spend&gt;&gt;&gt;","Spec"&amp;"Ebcases","Exist"&amp;"Ebcases")</f>
        <v>ExistEbcases</v>
      </c>
      <c r="TE12" s="311" t="str">
        <f>IF(TB2="Enter Spend&gt;&gt;&gt;","Spec"&amp;"Weight","Exist"&amp;"Weight")</f>
        <v>ExistWeight</v>
      </c>
      <c r="TF12" s="311" t="str">
        <f>IF(TB2="Enter Spend&gt;&gt;&gt;","Spec"&amp;"TAGP","Exist"&amp;"TAGP")</f>
        <v>ExistTAGP</v>
      </c>
      <c r="TG12" s="312" t="str">
        <f>IF(TB2="Enter Spend&gt;&gt;&gt;","Spec"&amp;"TGP","Exist"&amp;"TGP")</f>
        <v>ExistTGP</v>
      </c>
      <c r="TH12" s="305"/>
      <c r="TI12" s="305"/>
      <c r="TJ12" s="305"/>
      <c r="TK12" s="310" t="str">
        <f>IF(TK2="Enter Spend&gt;&gt;&gt;","Spec"&amp;"Sales","Exist"&amp;"Sales")</f>
        <v>ExistSales</v>
      </c>
      <c r="TL12" s="311" t="str">
        <f>IF(TK2="Enter Spend&gt;&gt;&gt;","Spec"&amp;"Cases","Exist"&amp;"Cases")</f>
        <v>ExistCases</v>
      </c>
      <c r="TM12" s="311" t="str">
        <f>IF(TK2="Enter Spend&gt;&gt;&gt;","Spec"&amp;"Ebcases","Exist"&amp;"Ebcases")</f>
        <v>ExistEbcases</v>
      </c>
      <c r="TN12" s="311" t="str">
        <f>IF(TK2="Enter Spend&gt;&gt;&gt;","Spec"&amp;"Weight","Exist"&amp;"Weight")</f>
        <v>ExistWeight</v>
      </c>
      <c r="TO12" s="311" t="str">
        <f>IF(TK2="Enter Spend&gt;&gt;&gt;","Spec"&amp;"TAGP","Exist"&amp;"TAGP")</f>
        <v>ExistTAGP</v>
      </c>
      <c r="TP12" s="312" t="str">
        <f>IF(TK2="Enter Spend&gt;&gt;&gt;","Spec"&amp;"TGP","Exist"&amp;"TGP")</f>
        <v>ExistTGP</v>
      </c>
      <c r="TQ12" s="1705"/>
      <c r="TR12" s="1705"/>
    </row>
    <row r="13" spans="1:538" ht="34.5" thickBot="1" x14ac:dyDescent="0.3">
      <c r="A13" s="1705"/>
      <c r="B13" s="87" t="s">
        <v>108</v>
      </c>
      <c r="C13" s="343" t="s">
        <v>82</v>
      </c>
      <c r="D13" s="344" t="s">
        <v>83</v>
      </c>
      <c r="E13" s="344" t="s">
        <v>396</v>
      </c>
      <c r="F13" s="344" t="s">
        <v>498</v>
      </c>
      <c r="G13" s="343" t="s">
        <v>1323</v>
      </c>
      <c r="H13" s="343" t="s">
        <v>1324</v>
      </c>
      <c r="I13" s="345" t="s">
        <v>397</v>
      </c>
      <c r="J13" s="345" t="s">
        <v>200</v>
      </c>
      <c r="K13" s="343" t="s">
        <v>216</v>
      </c>
      <c r="L13" s="343" t="s">
        <v>1315</v>
      </c>
      <c r="M13" s="343" t="s">
        <v>202</v>
      </c>
      <c r="N13" s="343" t="s">
        <v>216</v>
      </c>
      <c r="O13" s="343" t="s">
        <v>1315</v>
      </c>
      <c r="P13" s="343" t="s">
        <v>202</v>
      </c>
      <c r="Q13" s="343" t="s">
        <v>1316</v>
      </c>
      <c r="R13" s="343" t="s">
        <v>1317</v>
      </c>
      <c r="S13" s="777" t="s">
        <v>1318</v>
      </c>
      <c r="T13" s="1509" t="s">
        <v>527</v>
      </c>
      <c r="U13" s="1509" t="s">
        <v>527</v>
      </c>
      <c r="V13" s="1509" t="s">
        <v>1327</v>
      </c>
      <c r="W13" s="1509" t="s">
        <v>1327</v>
      </c>
      <c r="X13" s="1705"/>
      <c r="Y13" s="1705"/>
      <c r="Z13" s="1705"/>
      <c r="AA13" s="1705"/>
      <c r="AB13" s="87" t="s">
        <v>108</v>
      </c>
      <c r="AC13" s="109" t="s">
        <v>82</v>
      </c>
      <c r="AD13" s="89" t="s">
        <v>83</v>
      </c>
      <c r="AE13" s="89" t="s">
        <v>396</v>
      </c>
      <c r="AF13" s="89" t="s">
        <v>498</v>
      </c>
      <c r="AG13" s="90" t="s">
        <v>397</v>
      </c>
      <c r="AH13" s="106" t="s">
        <v>519</v>
      </c>
      <c r="AI13" s="295"/>
      <c r="AJ13" s="295"/>
      <c r="AK13" s="343" t="s">
        <v>395</v>
      </c>
      <c r="AL13" s="344" t="s">
        <v>397</v>
      </c>
      <c r="AM13" s="344" t="s">
        <v>200</v>
      </c>
      <c r="AN13" s="344" t="s">
        <v>519</v>
      </c>
      <c r="AO13" s="345" t="s">
        <v>861</v>
      </c>
      <c r="AP13" s="295"/>
      <c r="AQ13" s="295"/>
      <c r="AR13" s="343" t="s">
        <v>395</v>
      </c>
      <c r="AS13" s="344" t="s">
        <v>397</v>
      </c>
      <c r="AT13" s="345" t="s">
        <v>861</v>
      </c>
      <c r="AU13" s="295"/>
      <c r="AV13" s="295"/>
      <c r="AW13" s="295"/>
      <c r="AX13" s="295"/>
      <c r="AY13" s="1707" t="s">
        <v>941</v>
      </c>
      <c r="AZ13" s="1707"/>
      <c r="BA13" s="1707" t="s">
        <v>992</v>
      </c>
      <c r="BB13" s="295"/>
      <c r="BC13" s="295"/>
      <c r="BD13" s="2001"/>
      <c r="BE13" s="295"/>
      <c r="BF13" s="295"/>
      <c r="BG13" s="295"/>
      <c r="BH13" s="63" t="s">
        <v>858</v>
      </c>
      <c r="BI13" s="799" t="s">
        <v>1378</v>
      </c>
      <c r="BJ13" s="87" t="s">
        <v>108</v>
      </c>
      <c r="BK13" s="88" t="s">
        <v>82</v>
      </c>
      <c r="BL13" s="89" t="s">
        <v>83</v>
      </c>
      <c r="BM13" s="89" t="s">
        <v>396</v>
      </c>
      <c r="BN13" s="89" t="s">
        <v>498</v>
      </c>
      <c r="BO13" s="302" t="s">
        <v>397</v>
      </c>
      <c r="BP13" s="90" t="s">
        <v>200</v>
      </c>
      <c r="BQ13" s="90" t="s">
        <v>886</v>
      </c>
      <c r="BR13" s="781" t="s">
        <v>1319</v>
      </c>
      <c r="BS13" s="90" t="s">
        <v>1320</v>
      </c>
      <c r="BT13" s="90" t="s">
        <v>1321</v>
      </c>
      <c r="BU13" s="90" t="s">
        <v>1322</v>
      </c>
      <c r="BV13" s="90" t="s">
        <v>1323</v>
      </c>
      <c r="BW13" s="786" t="s">
        <v>1324</v>
      </c>
      <c r="BX13" s="786" t="s">
        <v>216</v>
      </c>
      <c r="BY13" s="90" t="s">
        <v>1315</v>
      </c>
      <c r="BZ13" s="90" t="s">
        <v>202</v>
      </c>
      <c r="CA13" s="786" t="s">
        <v>1325</v>
      </c>
      <c r="CB13" s="786" t="s">
        <v>1326</v>
      </c>
      <c r="CC13" s="786" t="s">
        <v>1318</v>
      </c>
      <c r="CD13" s="295"/>
      <c r="CE13" s="63" t="s">
        <v>858</v>
      </c>
      <c r="CF13" s="799" t="s">
        <v>1378</v>
      </c>
      <c r="CG13" s="87" t="s">
        <v>108</v>
      </c>
      <c r="CH13" s="88" t="s">
        <v>82</v>
      </c>
      <c r="CI13" s="89" t="s">
        <v>83</v>
      </c>
      <c r="CJ13" s="89" t="s">
        <v>396</v>
      </c>
      <c r="CK13" s="89" t="s">
        <v>498</v>
      </c>
      <c r="CL13" s="90" t="s">
        <v>397</v>
      </c>
      <c r="CM13" s="90" t="s">
        <v>200</v>
      </c>
      <c r="CN13" s="90" t="s">
        <v>886</v>
      </c>
      <c r="CO13" s="781" t="s">
        <v>1319</v>
      </c>
      <c r="CP13" s="90" t="s">
        <v>1320</v>
      </c>
      <c r="CQ13" s="90" t="s">
        <v>1321</v>
      </c>
      <c r="CR13" s="90" t="s">
        <v>1322</v>
      </c>
      <c r="CS13" s="786" t="s">
        <v>1323</v>
      </c>
      <c r="CT13" s="786" t="s">
        <v>1324</v>
      </c>
      <c r="CU13" s="90" t="s">
        <v>216</v>
      </c>
      <c r="CV13" s="90" t="s">
        <v>1315</v>
      </c>
      <c r="CW13" s="90" t="s">
        <v>202</v>
      </c>
      <c r="CX13" s="786" t="s">
        <v>1325</v>
      </c>
      <c r="CY13" s="786" t="s">
        <v>1326</v>
      </c>
      <c r="CZ13" s="786" t="s">
        <v>1318</v>
      </c>
      <c r="DA13" s="295"/>
      <c r="DB13" s="63" t="s">
        <v>858</v>
      </c>
      <c r="DC13" s="799" t="s">
        <v>1378</v>
      </c>
      <c r="DD13" s="87" t="s">
        <v>108</v>
      </c>
      <c r="DE13" s="88" t="s">
        <v>82</v>
      </c>
      <c r="DF13" s="89" t="s">
        <v>83</v>
      </c>
      <c r="DG13" s="89" t="s">
        <v>396</v>
      </c>
      <c r="DH13" s="89" t="s">
        <v>498</v>
      </c>
      <c r="DI13" s="90" t="s">
        <v>397</v>
      </c>
      <c r="DJ13" s="90" t="s">
        <v>200</v>
      </c>
      <c r="DK13" s="90" t="s">
        <v>886</v>
      </c>
      <c r="DL13" s="90" t="s">
        <v>1319</v>
      </c>
      <c r="DM13" s="90" t="s">
        <v>1320</v>
      </c>
      <c r="DN13" s="90" t="s">
        <v>1321</v>
      </c>
      <c r="DO13" s="90" t="s">
        <v>1322</v>
      </c>
      <c r="DP13" s="786" t="s">
        <v>1323</v>
      </c>
      <c r="DQ13" s="786" t="s">
        <v>1324</v>
      </c>
      <c r="DR13" s="90" t="s">
        <v>216</v>
      </c>
      <c r="DS13" s="90" t="s">
        <v>1315</v>
      </c>
      <c r="DT13" s="90" t="s">
        <v>202</v>
      </c>
      <c r="DU13" s="786" t="s">
        <v>1325</v>
      </c>
      <c r="DV13" s="786" t="s">
        <v>1326</v>
      </c>
      <c r="DW13" s="786" t="s">
        <v>1318</v>
      </c>
      <c r="DX13" s="295"/>
      <c r="DY13" s="63" t="s">
        <v>858</v>
      </c>
      <c r="DZ13" s="799" t="s">
        <v>1378</v>
      </c>
      <c r="EA13" s="87" t="s">
        <v>108</v>
      </c>
      <c r="EB13" s="88" t="s">
        <v>82</v>
      </c>
      <c r="EC13" s="89" t="s">
        <v>83</v>
      </c>
      <c r="ED13" s="89" t="s">
        <v>396</v>
      </c>
      <c r="EE13" s="89" t="s">
        <v>498</v>
      </c>
      <c r="EF13" s="90" t="s">
        <v>397</v>
      </c>
      <c r="EG13" s="90" t="s">
        <v>200</v>
      </c>
      <c r="EH13" s="90" t="s">
        <v>886</v>
      </c>
      <c r="EI13" s="90" t="s">
        <v>1319</v>
      </c>
      <c r="EJ13" s="90" t="s">
        <v>1320</v>
      </c>
      <c r="EK13" s="90" t="s">
        <v>1321</v>
      </c>
      <c r="EL13" s="90" t="s">
        <v>1322</v>
      </c>
      <c r="EM13" s="786" t="s">
        <v>1323</v>
      </c>
      <c r="EN13" s="786" t="s">
        <v>1324</v>
      </c>
      <c r="EO13" s="90" t="s">
        <v>216</v>
      </c>
      <c r="EP13" s="90" t="s">
        <v>1315</v>
      </c>
      <c r="EQ13" s="90" t="s">
        <v>202</v>
      </c>
      <c r="ER13" s="786" t="s">
        <v>1325</v>
      </c>
      <c r="ES13" s="786" t="s">
        <v>1326</v>
      </c>
      <c r="ET13" s="786" t="s">
        <v>1318</v>
      </c>
      <c r="EU13" s="295"/>
      <c r="EV13" s="63" t="s">
        <v>858</v>
      </c>
      <c r="EW13" s="799" t="s">
        <v>1378</v>
      </c>
      <c r="EX13" s="87" t="s">
        <v>108</v>
      </c>
      <c r="EY13" s="88" t="s">
        <v>82</v>
      </c>
      <c r="EZ13" s="89" t="s">
        <v>83</v>
      </c>
      <c r="FA13" s="89" t="s">
        <v>396</v>
      </c>
      <c r="FB13" s="89" t="s">
        <v>498</v>
      </c>
      <c r="FC13" s="90" t="s">
        <v>397</v>
      </c>
      <c r="FD13" s="90" t="s">
        <v>200</v>
      </c>
      <c r="FE13" s="90" t="s">
        <v>886</v>
      </c>
      <c r="FF13" s="90" t="s">
        <v>1319</v>
      </c>
      <c r="FG13" s="90" t="s">
        <v>1320</v>
      </c>
      <c r="FH13" s="90" t="s">
        <v>1321</v>
      </c>
      <c r="FI13" s="90" t="s">
        <v>1322</v>
      </c>
      <c r="FJ13" s="786" t="s">
        <v>1323</v>
      </c>
      <c r="FK13" s="786" t="s">
        <v>1324</v>
      </c>
      <c r="FL13" s="90" t="s">
        <v>216</v>
      </c>
      <c r="FM13" s="90" t="s">
        <v>1315</v>
      </c>
      <c r="FN13" s="90" t="s">
        <v>202</v>
      </c>
      <c r="FO13" s="786" t="s">
        <v>1325</v>
      </c>
      <c r="FP13" s="786" t="s">
        <v>1326</v>
      </c>
      <c r="FQ13" s="786" t="s">
        <v>1318</v>
      </c>
      <c r="FR13" s="295"/>
      <c r="FS13" s="63" t="s">
        <v>858</v>
      </c>
      <c r="FT13" s="799" t="s">
        <v>1378</v>
      </c>
      <c r="FU13" s="87" t="s">
        <v>108</v>
      </c>
      <c r="FV13" s="88" t="s">
        <v>82</v>
      </c>
      <c r="FW13" s="89" t="s">
        <v>83</v>
      </c>
      <c r="FX13" s="89" t="s">
        <v>396</v>
      </c>
      <c r="FY13" s="89" t="s">
        <v>498</v>
      </c>
      <c r="FZ13" s="90" t="s">
        <v>397</v>
      </c>
      <c r="GA13" s="90" t="s">
        <v>200</v>
      </c>
      <c r="GB13" s="90" t="s">
        <v>886</v>
      </c>
      <c r="GC13" s="90" t="s">
        <v>1319</v>
      </c>
      <c r="GD13" s="90" t="s">
        <v>1320</v>
      </c>
      <c r="GE13" s="90" t="s">
        <v>1321</v>
      </c>
      <c r="GF13" s="90" t="s">
        <v>1322</v>
      </c>
      <c r="GG13" s="786" t="s">
        <v>1323</v>
      </c>
      <c r="GH13" s="786" t="s">
        <v>1324</v>
      </c>
      <c r="GI13" s="90" t="s">
        <v>216</v>
      </c>
      <c r="GJ13" s="90" t="s">
        <v>1315</v>
      </c>
      <c r="GK13" s="90" t="s">
        <v>202</v>
      </c>
      <c r="GL13" s="786" t="s">
        <v>1325</v>
      </c>
      <c r="GM13" s="786" t="s">
        <v>1326</v>
      </c>
      <c r="GN13" s="786" t="s">
        <v>1318</v>
      </c>
      <c r="GO13" s="295"/>
      <c r="GP13" s="63" t="s">
        <v>858</v>
      </c>
      <c r="GQ13" s="799" t="s">
        <v>1378</v>
      </c>
      <c r="GR13" s="87" t="s">
        <v>108</v>
      </c>
      <c r="GS13" s="88" t="s">
        <v>82</v>
      </c>
      <c r="GT13" s="89" t="s">
        <v>83</v>
      </c>
      <c r="GU13" s="89" t="s">
        <v>396</v>
      </c>
      <c r="GV13" s="89" t="s">
        <v>498</v>
      </c>
      <c r="GW13" s="90" t="s">
        <v>397</v>
      </c>
      <c r="GX13" s="90" t="s">
        <v>200</v>
      </c>
      <c r="GY13" s="90" t="s">
        <v>886</v>
      </c>
      <c r="GZ13" s="90" t="s">
        <v>1319</v>
      </c>
      <c r="HA13" s="90" t="s">
        <v>1320</v>
      </c>
      <c r="HB13" s="90" t="s">
        <v>1321</v>
      </c>
      <c r="HC13" s="90" t="s">
        <v>1322</v>
      </c>
      <c r="HD13" s="786" t="s">
        <v>1323</v>
      </c>
      <c r="HE13" s="786" t="s">
        <v>1324</v>
      </c>
      <c r="HF13" s="90" t="s">
        <v>216</v>
      </c>
      <c r="HG13" s="90" t="s">
        <v>1315</v>
      </c>
      <c r="HH13" s="90" t="s">
        <v>202</v>
      </c>
      <c r="HI13" s="786" t="s">
        <v>1325</v>
      </c>
      <c r="HJ13" s="786" t="s">
        <v>1326</v>
      </c>
      <c r="HK13" s="786" t="s">
        <v>1318</v>
      </c>
      <c r="HL13" s="295"/>
      <c r="HM13" s="63" t="s">
        <v>858</v>
      </c>
      <c r="HN13" s="799" t="s">
        <v>1378</v>
      </c>
      <c r="HO13" s="87" t="s">
        <v>108</v>
      </c>
      <c r="HP13" s="88" t="s">
        <v>82</v>
      </c>
      <c r="HQ13" s="89" t="s">
        <v>83</v>
      </c>
      <c r="HR13" s="89" t="s">
        <v>396</v>
      </c>
      <c r="HS13" s="89" t="s">
        <v>498</v>
      </c>
      <c r="HT13" s="90" t="s">
        <v>397</v>
      </c>
      <c r="HU13" s="90" t="s">
        <v>200</v>
      </c>
      <c r="HV13" s="90" t="s">
        <v>886</v>
      </c>
      <c r="HW13" s="90" t="s">
        <v>1319</v>
      </c>
      <c r="HX13" s="90" t="s">
        <v>1320</v>
      </c>
      <c r="HY13" s="90" t="s">
        <v>1321</v>
      </c>
      <c r="HZ13" s="90" t="s">
        <v>1322</v>
      </c>
      <c r="IA13" s="786" t="s">
        <v>1323</v>
      </c>
      <c r="IB13" s="786" t="s">
        <v>1324</v>
      </c>
      <c r="IC13" s="90" t="s">
        <v>216</v>
      </c>
      <c r="ID13" s="90" t="s">
        <v>1315</v>
      </c>
      <c r="IE13" s="90" t="s">
        <v>202</v>
      </c>
      <c r="IF13" s="786" t="s">
        <v>1325</v>
      </c>
      <c r="IG13" s="786" t="s">
        <v>1326</v>
      </c>
      <c r="IH13" s="786" t="s">
        <v>1318</v>
      </c>
      <c r="II13" s="295"/>
      <c r="IJ13" s="63" t="s">
        <v>858</v>
      </c>
      <c r="IK13" s="799" t="s">
        <v>1378</v>
      </c>
      <c r="IL13" s="87" t="s">
        <v>108</v>
      </c>
      <c r="IM13" s="88" t="s">
        <v>82</v>
      </c>
      <c r="IN13" s="89" t="s">
        <v>83</v>
      </c>
      <c r="IO13" s="89" t="s">
        <v>396</v>
      </c>
      <c r="IP13" s="89" t="s">
        <v>498</v>
      </c>
      <c r="IQ13" s="302" t="s">
        <v>397</v>
      </c>
      <c r="IR13" s="90" t="s">
        <v>200</v>
      </c>
      <c r="IS13" s="90" t="s">
        <v>886</v>
      </c>
      <c r="IT13" s="90" t="s">
        <v>1319</v>
      </c>
      <c r="IU13" s="90" t="s">
        <v>1320</v>
      </c>
      <c r="IV13" s="90" t="s">
        <v>1321</v>
      </c>
      <c r="IW13" s="90" t="s">
        <v>1322</v>
      </c>
      <c r="IX13" s="786" t="s">
        <v>1323</v>
      </c>
      <c r="IY13" s="786" t="s">
        <v>1324</v>
      </c>
      <c r="IZ13" s="90" t="s">
        <v>216</v>
      </c>
      <c r="JA13" s="90" t="s">
        <v>1315</v>
      </c>
      <c r="JB13" s="90" t="s">
        <v>202</v>
      </c>
      <c r="JC13" s="786" t="s">
        <v>1325</v>
      </c>
      <c r="JD13" s="786" t="s">
        <v>1326</v>
      </c>
      <c r="JE13" s="786" t="s">
        <v>1318</v>
      </c>
      <c r="JF13" s="295"/>
      <c r="JG13" s="63" t="s">
        <v>858</v>
      </c>
      <c r="JH13" s="799" t="s">
        <v>1378</v>
      </c>
      <c r="JI13" s="87" t="s">
        <v>108</v>
      </c>
      <c r="JJ13" s="306" t="s">
        <v>82</v>
      </c>
      <c r="JK13" s="307" t="s">
        <v>83</v>
      </c>
      <c r="JL13" s="307" t="s">
        <v>396</v>
      </c>
      <c r="JM13" s="307" t="s">
        <v>498</v>
      </c>
      <c r="JN13" s="308" t="s">
        <v>397</v>
      </c>
      <c r="JO13" s="309" t="s">
        <v>200</v>
      </c>
      <c r="JP13" s="90" t="s">
        <v>886</v>
      </c>
      <c r="JQ13" s="90" t="s">
        <v>1319</v>
      </c>
      <c r="JR13" s="90" t="s">
        <v>1320</v>
      </c>
      <c r="JS13" s="90" t="s">
        <v>1321</v>
      </c>
      <c r="JT13" s="90" t="s">
        <v>1322</v>
      </c>
      <c r="JU13" s="786" t="s">
        <v>1323</v>
      </c>
      <c r="JV13" s="786" t="s">
        <v>1324</v>
      </c>
      <c r="JW13" s="90" t="s">
        <v>216</v>
      </c>
      <c r="JX13" s="90" t="s">
        <v>1315</v>
      </c>
      <c r="JY13" s="90" t="s">
        <v>202</v>
      </c>
      <c r="JZ13" s="786" t="s">
        <v>1325</v>
      </c>
      <c r="KA13" s="786" t="s">
        <v>1326</v>
      </c>
      <c r="KB13" s="786" t="s">
        <v>1318</v>
      </c>
      <c r="KC13" s="799"/>
      <c r="KD13" s="63" t="s">
        <v>858</v>
      </c>
      <c r="KE13" s="799" t="s">
        <v>1378</v>
      </c>
      <c r="KF13" s="87" t="s">
        <v>108</v>
      </c>
      <c r="KG13" s="306" t="s">
        <v>82</v>
      </c>
      <c r="KH13" s="307" t="s">
        <v>83</v>
      </c>
      <c r="KI13" s="307" t="s">
        <v>396</v>
      </c>
      <c r="KJ13" s="307" t="s">
        <v>498</v>
      </c>
      <c r="KK13" s="308" t="s">
        <v>397</v>
      </c>
      <c r="KL13" s="309" t="s">
        <v>200</v>
      </c>
      <c r="KM13" s="90" t="s">
        <v>886</v>
      </c>
      <c r="KN13" s="90" t="s">
        <v>1319</v>
      </c>
      <c r="KO13" s="90" t="s">
        <v>1320</v>
      </c>
      <c r="KP13" s="90" t="s">
        <v>1321</v>
      </c>
      <c r="KQ13" s="90" t="s">
        <v>1322</v>
      </c>
      <c r="KR13" s="786" t="s">
        <v>1323</v>
      </c>
      <c r="KS13" s="786" t="s">
        <v>1324</v>
      </c>
      <c r="KT13" s="90" t="s">
        <v>216</v>
      </c>
      <c r="KU13" s="90" t="s">
        <v>1315</v>
      </c>
      <c r="KV13" s="90" t="s">
        <v>202</v>
      </c>
      <c r="KW13" s="786" t="s">
        <v>1325</v>
      </c>
      <c r="KX13" s="786" t="s">
        <v>1326</v>
      </c>
      <c r="KY13" s="786" t="s">
        <v>1318</v>
      </c>
      <c r="KZ13" s="799"/>
      <c r="LA13" s="63" t="s">
        <v>858</v>
      </c>
      <c r="LB13" s="799" t="s">
        <v>1378</v>
      </c>
      <c r="LC13" s="87" t="s">
        <v>108</v>
      </c>
      <c r="LD13" s="306" t="s">
        <v>82</v>
      </c>
      <c r="LE13" s="307" t="s">
        <v>83</v>
      </c>
      <c r="LF13" s="307" t="s">
        <v>396</v>
      </c>
      <c r="LG13" s="307" t="s">
        <v>498</v>
      </c>
      <c r="LH13" s="308" t="s">
        <v>397</v>
      </c>
      <c r="LI13" s="309" t="s">
        <v>200</v>
      </c>
      <c r="LJ13" s="90" t="s">
        <v>886</v>
      </c>
      <c r="LK13" s="90" t="s">
        <v>1319</v>
      </c>
      <c r="LL13" s="90" t="s">
        <v>1320</v>
      </c>
      <c r="LM13" s="90" t="s">
        <v>1321</v>
      </c>
      <c r="LN13" s="90" t="s">
        <v>1322</v>
      </c>
      <c r="LO13" s="786" t="s">
        <v>1323</v>
      </c>
      <c r="LP13" s="786" t="s">
        <v>1324</v>
      </c>
      <c r="LQ13" s="90" t="s">
        <v>216</v>
      </c>
      <c r="LR13" s="90" t="s">
        <v>1315</v>
      </c>
      <c r="LS13" s="90" t="s">
        <v>202</v>
      </c>
      <c r="LT13" s="786" t="s">
        <v>1325</v>
      </c>
      <c r="LU13" s="786" t="s">
        <v>1326</v>
      </c>
      <c r="LV13" s="786" t="s">
        <v>1318</v>
      </c>
      <c r="LW13" s="799"/>
      <c r="LX13" s="63" t="s">
        <v>858</v>
      </c>
      <c r="LY13" s="799" t="s">
        <v>1378</v>
      </c>
      <c r="LZ13" s="87" t="s">
        <v>108</v>
      </c>
      <c r="MA13" s="306" t="s">
        <v>82</v>
      </c>
      <c r="MB13" s="307" t="s">
        <v>83</v>
      </c>
      <c r="MC13" s="307" t="s">
        <v>396</v>
      </c>
      <c r="MD13" s="307" t="s">
        <v>498</v>
      </c>
      <c r="ME13" s="308" t="s">
        <v>397</v>
      </c>
      <c r="MF13" s="309" t="s">
        <v>200</v>
      </c>
      <c r="MG13" s="90" t="s">
        <v>886</v>
      </c>
      <c r="MH13" s="90" t="s">
        <v>1319</v>
      </c>
      <c r="MI13" s="90" t="s">
        <v>1320</v>
      </c>
      <c r="MJ13" s="90" t="s">
        <v>1321</v>
      </c>
      <c r="MK13" s="90" t="s">
        <v>1322</v>
      </c>
      <c r="ML13" s="786" t="s">
        <v>1323</v>
      </c>
      <c r="MM13" s="786" t="s">
        <v>1324</v>
      </c>
      <c r="MN13" s="90" t="s">
        <v>216</v>
      </c>
      <c r="MO13" s="90" t="s">
        <v>1315</v>
      </c>
      <c r="MP13" s="90" t="s">
        <v>202</v>
      </c>
      <c r="MQ13" s="786" t="s">
        <v>1325</v>
      </c>
      <c r="MR13" s="786" t="s">
        <v>1326</v>
      </c>
      <c r="MS13" s="786" t="s">
        <v>1318</v>
      </c>
      <c r="MT13" s="799"/>
      <c r="MU13" s="63" t="s">
        <v>858</v>
      </c>
      <c r="MV13" s="799" t="s">
        <v>1378</v>
      </c>
      <c r="MW13" s="87" t="s">
        <v>108</v>
      </c>
      <c r="MX13" s="306" t="s">
        <v>82</v>
      </c>
      <c r="MY13" s="307" t="s">
        <v>83</v>
      </c>
      <c r="MZ13" s="307" t="s">
        <v>396</v>
      </c>
      <c r="NA13" s="307" t="s">
        <v>498</v>
      </c>
      <c r="NB13" s="308" t="s">
        <v>397</v>
      </c>
      <c r="NC13" s="309" t="s">
        <v>200</v>
      </c>
      <c r="ND13" s="90" t="s">
        <v>886</v>
      </c>
      <c r="NE13" s="90" t="s">
        <v>1319</v>
      </c>
      <c r="NF13" s="90" t="s">
        <v>1320</v>
      </c>
      <c r="NG13" s="90" t="s">
        <v>1321</v>
      </c>
      <c r="NH13" s="90" t="s">
        <v>1322</v>
      </c>
      <c r="NI13" s="786" t="s">
        <v>1323</v>
      </c>
      <c r="NJ13" s="786" t="s">
        <v>1324</v>
      </c>
      <c r="NK13" s="90" t="s">
        <v>216</v>
      </c>
      <c r="NL13" s="90" t="s">
        <v>1315</v>
      </c>
      <c r="NM13" s="90" t="s">
        <v>202</v>
      </c>
      <c r="NN13" s="786" t="s">
        <v>1325</v>
      </c>
      <c r="NO13" s="786" t="s">
        <v>1326</v>
      </c>
      <c r="NP13" s="786" t="s">
        <v>1318</v>
      </c>
      <c r="NQ13" s="799"/>
      <c r="NR13" s="63" t="s">
        <v>858</v>
      </c>
      <c r="NS13" s="799" t="s">
        <v>1378</v>
      </c>
      <c r="NT13" s="87" t="s">
        <v>108</v>
      </c>
      <c r="NU13" s="306" t="s">
        <v>82</v>
      </c>
      <c r="NV13" s="307" t="s">
        <v>83</v>
      </c>
      <c r="NW13" s="307" t="s">
        <v>396</v>
      </c>
      <c r="NX13" s="307" t="s">
        <v>498</v>
      </c>
      <c r="NY13" s="308" t="s">
        <v>397</v>
      </c>
      <c r="NZ13" s="309" t="s">
        <v>200</v>
      </c>
      <c r="OA13" s="90" t="s">
        <v>886</v>
      </c>
      <c r="OB13" s="90" t="s">
        <v>1319</v>
      </c>
      <c r="OC13" s="90" t="s">
        <v>1320</v>
      </c>
      <c r="OD13" s="90" t="s">
        <v>1321</v>
      </c>
      <c r="OE13" s="90" t="s">
        <v>1322</v>
      </c>
      <c r="OF13" s="786" t="s">
        <v>1323</v>
      </c>
      <c r="OG13" s="786" t="s">
        <v>1324</v>
      </c>
      <c r="OH13" s="90" t="s">
        <v>216</v>
      </c>
      <c r="OI13" s="90" t="s">
        <v>1315</v>
      </c>
      <c r="OJ13" s="90" t="s">
        <v>202</v>
      </c>
      <c r="OK13" s="786" t="s">
        <v>1325</v>
      </c>
      <c r="OL13" s="786" t="s">
        <v>1326</v>
      </c>
      <c r="OM13" s="786" t="s">
        <v>1318</v>
      </c>
      <c r="ON13" s="799"/>
      <c r="OO13" s="63" t="s">
        <v>858</v>
      </c>
      <c r="OP13" s="799" t="s">
        <v>1378</v>
      </c>
      <c r="OQ13" s="87" t="s">
        <v>108</v>
      </c>
      <c r="OR13" s="306" t="s">
        <v>82</v>
      </c>
      <c r="OS13" s="307" t="s">
        <v>83</v>
      </c>
      <c r="OT13" s="307" t="s">
        <v>396</v>
      </c>
      <c r="OU13" s="307" t="s">
        <v>498</v>
      </c>
      <c r="OV13" s="308" t="s">
        <v>397</v>
      </c>
      <c r="OW13" s="309" t="s">
        <v>200</v>
      </c>
      <c r="OX13" s="90" t="s">
        <v>886</v>
      </c>
      <c r="OY13" s="90" t="s">
        <v>1319</v>
      </c>
      <c r="OZ13" s="90" t="s">
        <v>1320</v>
      </c>
      <c r="PA13" s="90" t="s">
        <v>1321</v>
      </c>
      <c r="PB13" s="90" t="s">
        <v>1322</v>
      </c>
      <c r="PC13" s="786" t="s">
        <v>1323</v>
      </c>
      <c r="PD13" s="786" t="s">
        <v>1324</v>
      </c>
      <c r="PE13" s="90" t="s">
        <v>216</v>
      </c>
      <c r="PF13" s="90" t="s">
        <v>1315</v>
      </c>
      <c r="PG13" s="90" t="s">
        <v>202</v>
      </c>
      <c r="PH13" s="786" t="s">
        <v>1325</v>
      </c>
      <c r="PI13" s="786" t="s">
        <v>1326</v>
      </c>
      <c r="PJ13" s="786" t="s">
        <v>1318</v>
      </c>
      <c r="PK13" s="799"/>
      <c r="PL13" s="63" t="s">
        <v>858</v>
      </c>
      <c r="PM13" s="799" t="s">
        <v>1378</v>
      </c>
      <c r="PN13" s="87" t="s">
        <v>108</v>
      </c>
      <c r="PO13" s="306" t="s">
        <v>82</v>
      </c>
      <c r="PP13" s="307" t="s">
        <v>83</v>
      </c>
      <c r="PQ13" s="307" t="s">
        <v>396</v>
      </c>
      <c r="PR13" s="307" t="s">
        <v>498</v>
      </c>
      <c r="PS13" s="308" t="s">
        <v>397</v>
      </c>
      <c r="PT13" s="309" t="s">
        <v>200</v>
      </c>
      <c r="PU13" s="90" t="s">
        <v>886</v>
      </c>
      <c r="PV13" s="90" t="s">
        <v>1319</v>
      </c>
      <c r="PW13" s="90" t="s">
        <v>1320</v>
      </c>
      <c r="PX13" s="90" t="s">
        <v>1321</v>
      </c>
      <c r="PY13" s="90" t="s">
        <v>1322</v>
      </c>
      <c r="PZ13" s="786" t="s">
        <v>1323</v>
      </c>
      <c r="QA13" s="786" t="s">
        <v>1324</v>
      </c>
      <c r="QB13" s="90" t="s">
        <v>216</v>
      </c>
      <c r="QC13" s="90" t="s">
        <v>1315</v>
      </c>
      <c r="QD13" s="90" t="s">
        <v>202</v>
      </c>
      <c r="QE13" s="786" t="s">
        <v>1325</v>
      </c>
      <c r="QF13" s="786" t="s">
        <v>1326</v>
      </c>
      <c r="QG13" s="786" t="s">
        <v>1318</v>
      </c>
      <c r="QH13" s="799"/>
      <c r="QI13" s="63" t="s">
        <v>858</v>
      </c>
      <c r="QJ13" s="799" t="s">
        <v>1378</v>
      </c>
      <c r="QK13" s="87" t="s">
        <v>108</v>
      </c>
      <c r="QL13" s="306" t="s">
        <v>82</v>
      </c>
      <c r="QM13" s="307" t="s">
        <v>83</v>
      </c>
      <c r="QN13" s="307" t="s">
        <v>396</v>
      </c>
      <c r="QO13" s="307" t="s">
        <v>498</v>
      </c>
      <c r="QP13" s="308" t="s">
        <v>397</v>
      </c>
      <c r="QQ13" s="309" t="s">
        <v>200</v>
      </c>
      <c r="QR13" s="90" t="s">
        <v>886</v>
      </c>
      <c r="QS13" s="90" t="s">
        <v>1319</v>
      </c>
      <c r="QT13" s="90" t="s">
        <v>1320</v>
      </c>
      <c r="QU13" s="90" t="s">
        <v>1321</v>
      </c>
      <c r="QV13" s="90" t="s">
        <v>1322</v>
      </c>
      <c r="QW13" s="786" t="s">
        <v>1323</v>
      </c>
      <c r="QX13" s="786" t="s">
        <v>1324</v>
      </c>
      <c r="QY13" s="90" t="s">
        <v>216</v>
      </c>
      <c r="QZ13" s="90" t="s">
        <v>1315</v>
      </c>
      <c r="RA13" s="90" t="s">
        <v>202</v>
      </c>
      <c r="RB13" s="786" t="s">
        <v>1325</v>
      </c>
      <c r="RC13" s="786" t="s">
        <v>1326</v>
      </c>
      <c r="RD13" s="786" t="s">
        <v>1318</v>
      </c>
      <c r="RE13" s="799"/>
      <c r="RF13" s="63" t="s">
        <v>858</v>
      </c>
      <c r="RG13" s="799" t="s">
        <v>1378</v>
      </c>
      <c r="RH13" s="87" t="s">
        <v>108</v>
      </c>
      <c r="RI13" s="306" t="s">
        <v>82</v>
      </c>
      <c r="RJ13" s="307" t="s">
        <v>83</v>
      </c>
      <c r="RK13" s="307" t="s">
        <v>396</v>
      </c>
      <c r="RL13" s="307" t="s">
        <v>498</v>
      </c>
      <c r="RM13" s="308" t="s">
        <v>397</v>
      </c>
      <c r="RN13" s="309" t="s">
        <v>200</v>
      </c>
      <c r="RO13" s="90" t="s">
        <v>886</v>
      </c>
      <c r="RP13" s="90" t="s">
        <v>1319</v>
      </c>
      <c r="RQ13" s="90" t="s">
        <v>1320</v>
      </c>
      <c r="RR13" s="90" t="s">
        <v>1321</v>
      </c>
      <c r="RS13" s="90" t="s">
        <v>1322</v>
      </c>
      <c r="RT13" s="786" t="s">
        <v>1323</v>
      </c>
      <c r="RU13" s="786" t="s">
        <v>1324</v>
      </c>
      <c r="RV13" s="90" t="s">
        <v>216</v>
      </c>
      <c r="RW13" s="90" t="s">
        <v>1315</v>
      </c>
      <c r="RX13" s="90" t="s">
        <v>202</v>
      </c>
      <c r="RY13" s="786" t="s">
        <v>1325</v>
      </c>
      <c r="RZ13" s="786" t="s">
        <v>1326</v>
      </c>
      <c r="SA13" s="786" t="s">
        <v>1318</v>
      </c>
      <c r="SB13" s="799"/>
      <c r="SC13" s="63" t="s">
        <v>858</v>
      </c>
      <c r="SD13" s="799" t="s">
        <v>1378</v>
      </c>
      <c r="SE13" s="87" t="s">
        <v>108</v>
      </c>
      <c r="SF13" s="306" t="s">
        <v>82</v>
      </c>
      <c r="SG13" s="307" t="s">
        <v>83</v>
      </c>
      <c r="SH13" s="307" t="s">
        <v>396</v>
      </c>
      <c r="SI13" s="307" t="s">
        <v>498</v>
      </c>
      <c r="SJ13" s="308" t="s">
        <v>397</v>
      </c>
      <c r="SK13" s="309" t="s">
        <v>200</v>
      </c>
      <c r="SL13" s="90" t="s">
        <v>886</v>
      </c>
      <c r="SM13" s="90" t="s">
        <v>1319</v>
      </c>
      <c r="SN13" s="90" t="s">
        <v>1320</v>
      </c>
      <c r="SO13" s="90" t="s">
        <v>1321</v>
      </c>
      <c r="SP13" s="90" t="s">
        <v>1322</v>
      </c>
      <c r="SQ13" s="786" t="s">
        <v>1323</v>
      </c>
      <c r="SR13" s="786" t="s">
        <v>1324</v>
      </c>
      <c r="SS13" s="90" t="s">
        <v>216</v>
      </c>
      <c r="ST13" s="90" t="s">
        <v>1315</v>
      </c>
      <c r="SU13" s="90" t="s">
        <v>202</v>
      </c>
      <c r="SV13" s="786" t="s">
        <v>1325</v>
      </c>
      <c r="SW13" s="786" t="s">
        <v>1326</v>
      </c>
      <c r="SX13" s="786" t="s">
        <v>1318</v>
      </c>
      <c r="SY13" s="799"/>
      <c r="SZ13" s="1705"/>
      <c r="TA13" s="87" t="s">
        <v>108</v>
      </c>
      <c r="TB13" s="88" t="s">
        <v>82</v>
      </c>
      <c r="TC13" s="89" t="s">
        <v>83</v>
      </c>
      <c r="TD13" s="89" t="s">
        <v>396</v>
      </c>
      <c r="TE13" s="89" t="s">
        <v>498</v>
      </c>
      <c r="TF13" s="302" t="s">
        <v>397</v>
      </c>
      <c r="TG13" s="90" t="s">
        <v>200</v>
      </c>
      <c r="TH13" s="295"/>
      <c r="TI13" s="63" t="s">
        <v>858</v>
      </c>
      <c r="TJ13" s="87" t="s">
        <v>108</v>
      </c>
      <c r="TK13" s="306" t="s">
        <v>82</v>
      </c>
      <c r="TL13" s="307" t="s">
        <v>83</v>
      </c>
      <c r="TM13" s="307" t="s">
        <v>396</v>
      </c>
      <c r="TN13" s="307" t="s">
        <v>498</v>
      </c>
      <c r="TO13" s="308" t="s">
        <v>397</v>
      </c>
      <c r="TP13" s="309" t="s">
        <v>200</v>
      </c>
      <c r="TQ13" s="1705"/>
      <c r="TR13" s="1705"/>
    </row>
    <row r="14" spans="1:538" ht="15.75" thickBot="1" x14ac:dyDescent="0.3">
      <c r="A14" s="1705"/>
      <c r="B14" s="99" t="s">
        <v>99</v>
      </c>
      <c r="C14" s="346">
        <f>($BK14+$CH14+$DE14+$EB14+$EY14+$FV14+$GS14+$HP14+$IM14+$JJ14+$KG14+$LD14+$MA14+$MX14+$NU14+$OR14+$PO14+$QL14+$RI14+$SF14)</f>
        <v>0</v>
      </c>
      <c r="D14" s="358">
        <f>($BL14+$CI14+$DF14+$EC14+$EZ14+$FW14+$GT14+$HQ14+$IN14+$JK14+$KH14+$LE14+$MB14+$MY14+$NV14+$OS14+$PP14+$QM14+$RJ14+$SG14)</f>
        <v>0</v>
      </c>
      <c r="E14" s="358">
        <f>($BM14+$CJ14+$DG14+$ED14+$FA14+$FX14+$GU14+$HR14+$IO14+$JL14+$KI14+$LF14+$MC14+$MZ14+$NW14+$OT14+$PQ14+$QN14+$RK14+$SH14)</f>
        <v>0</v>
      </c>
      <c r="F14" s="358">
        <f>($BN14+$CK14+$DH14+$EE14+$FB14+$FY14+$GV14+$HS14+$IP14+$JM14+$KJ14+$LG14+$MD14+$NA14+$NX14+$OU14+$PR14+$QO14+$RL14+$SI14)</f>
        <v>0</v>
      </c>
      <c r="G14" s="1428">
        <f>$BV14+$CS14+$DP14+$EM14+$FJ14+$GG14+$HD14+$IA14+$IX14+$JU14+$KR14+$LO14+$ML14+$NI14+$OF14+$PC14+$PZ14+$QW14+$RT14+$SQ14</f>
        <v>0</v>
      </c>
      <c r="H14" s="1428">
        <f>$BW14+$CT14+$DQ14+$EN14+$FK14+$GH14+$HE14+$IB14+$IY14+$JV14+$KS14+$LP14+$MM14+$NJ14+$OG14+$PD14+$QA14+$QX14+$RU14+$SR14</f>
        <v>0</v>
      </c>
      <c r="I14" s="359">
        <f>($BO14+$CL14+$DI14+$EF14+$FC14+$FZ14+$GW14+$HT14+$IQ14+$JN14+$KK14+$LH14+$ME14+$NB14+$NY14+$OV14+$PS14+$QP14+$RM14+$SJ14)</f>
        <v>0</v>
      </c>
      <c r="J14" s="358">
        <f>($BP14+$CM14+$DJ14+$EG14+$FD14+$GA14+$GX14+$HU14+$IR14+$JO14+$KL14+$LI14+$MF14+$NC14+$NZ14+$OW14+$PT14+$QQ14+$RN14+$SK14)</f>
        <v>0</v>
      </c>
      <c r="K14" s="778">
        <f>IF(C14&gt;0,IFERROR(ROUND(SUM($BK14*BX14+$CH14*CU14+$DE14*DR14+$EB14*EO14+$EY14*FL14+$FV14*GI14+$GS14*HF14+$HP14*IC14+$IM14*IZ14+$JJ14*JW14+$KG14*KT14+$LD14*LQ14+$MA14*MN14+$MX14*NK14+$NU14*OH14+$OR14*PE14+$PO14*QB14+$QL14*QY14+$RI14*RV14+$SF14*SS14)/$C14,2),0),IFERROR(ROUND(SUM($BK$3*BX14+$CH$3*CU14+$DE$3*DR14+$EB$3*EO14+$EY$3*FL14+$FV$3*GI14+$GS$3*HF14+$HP$3*IC14+$IM$3*IZ14+$JJ$3*JW14+$KG$3*KT14+$LD$3*LQ14+$MA$3*MN14+$MX$3*NK14+$NU$3*OH14+$OR$3*PE14+$PO$3*QB14+$QL$3*QY14+$RI$3*RV14+$SF$3*SS14)/$C$35,2),0))</f>
        <v>0</v>
      </c>
      <c r="L14" s="778">
        <f>IF(C14&gt;0,IFERROR(ROUND(SUM($BK14*BY14+$CH14*CV14+$DE14*DS14+$EB14*EP14+$EY14*FM14+$FV14*GJ14+$GS14*HG14+$HP14*ID14+$IM14*JA14+$JJ14*JX14+$KG14*KU14+$LD14*LR14+$MA14*MO14+$MX14*NL14+$NU14*OI14+$OR14*PF14+$PO14*QC14+$QL14*QZ14+$RI14*RW14+$SF14*ST14)/$C14,2),0),IFERROR(ROUND(SUM($BK$3*BY14+$CH$3*CV14+$DE$3*DS14+$EB$3*EP14+$EY$3*FM14+$FV$3*GJ14+$GS$3*HG14+$HP$3*ID14+$IM$3*JA14+$JJ$3*JX14+$KG$3*KU14+$LD$3*LR14+$MA$3*MO14+$MX$3*NL14+$NU$3*OI14+$OR$3*PF14+$PO$3*QC14+$QL$3*QZ14+$RI$3*RW14+$SF$3*ST14)/$C$35,2),0))</f>
        <v>0</v>
      </c>
      <c r="M14" s="778">
        <f>IF(C14&gt;0,IFERROR(ROUND(SUM($BK14*BZ14+$CH14*CW14+$DE14*DT14+$EB14*EQ14+$EY14*FN14+$FV14*GK14+$GS14*HH14+$HP14*IE14+$IM14*JB14+$JJ14*JY14+$KG14*KV14+$LD14*LS14+$MA14*MP14+$MX14*NM14+$NU14*OJ14+$OR14*PG14+$PO14*QD14+$QL14*RA14+$RI14*RX14+$SF14*SU14)/$C14,2),0),IFERROR(ROUND(SUM($BK$3*BZ14+$CH$3*CW14+$DE$3*DT14+$EB$3*EQ14+$EY$3*FN14+$FV$3*GK14+$GS$3*HH14+$HP$3*IE14+$IM$3*JB14+$JJ$3*JY14+$KG$3*KV14+$LD$3*LS14+$MA$3*MP14+$MX$3*NM14+$NU$3*OJ14+$OR$3*PG14+$PO$3*QD14+$QL$3*RA14+$RI$3*RX14+$SF$3*SU14)/$C$35,2),0))</f>
        <v>0</v>
      </c>
      <c r="N14" s="1428">
        <f>IF('PIM Model'!D10="$/CS",IFERROR(ROUND(SUM(BX14*$BV$35+CU14*$CS$35+DR14*$DP$35+EO14*$EM$35+FL14*$FJ$35+GI14*$GG$35+HF14*$HD$35+IC14*$IA$35+IZ14*$IX$35+JW14*$JU$35+KT14*$KR$35+LQ14*$LO$35+MN14*$ML$35+NK14*$NI$35+OH14*$OF$35+PE14*$PC$35+QB14*$PZ$35+QY14*$QW$35+RV14*$RT$35+SS14*$SQ$35)/$G$35,2),0),IF('PIM Model'!D10="$/LB",IFERROR(ROUND(SUM(BX14*$BW$35+CU14*$CT$35+DR14*$DQ$35+EO14*$EN$35+FL14*$FK$35+GI14*$GH$35+HF14*$HE$35+IC14*$IB$35+IZ14*$IY$35+JW14*$JV$35+KT14*$KS$35+LQ14*$LP$35+MN14*$MM$35+NK14*$NJ$35+OH14*$OG$35+PE14*$PD$35+QB14*$QA$35+QY14*$QX$35+RV14*$RU$35+SS14*$SR$35)/$H$35,2),0),0))</f>
        <v>0</v>
      </c>
      <c r="O14" s="1428">
        <f>IF('PIM Model'!D10="$/CS",IFERROR(ROUND(SUM(BY14*$BV$35+CV14*$CS$35+DS14*$DP$35+EP14*$EM$35+FM14*$FJ$35+GJ14*$GG$35+HG14*$HD$35+ID14*$IA$35+JA14*$IX$35+JX14*$JU$35+KU14*$KR$35+LR14*$LO$35+MO14*$ML$35+NL14*$NI$35+OI14*$OF$35+PF14*$PC$35+QC14*$PZ$35+QZ14*$QW$35+RW14*$RT$35+ST14*$SQ$35)/$G$35,2),0),IF('PIM Model'!D10="$/LB",IFERROR(ROUND(SUM(BY14*$BW$35+CV14*$CT$35+DS14*$DQ$35+EP14*$EN$35+FM14*$FK$35+GJ14*$GH$35+HG14*$HE$35+ID14*$IB$35+JA14*$IY$35+JX14*$JV$35+KU14*$KS$35+LR14*$LP$35+MO14*$MM$35+NL14*$NJ$35+OI14*$OG$35+PF14*$PD$35+QC14*$QA$35+QZ14*$QX$35+RW14*$RU$35+ST14*$SR$35)/$H$35,2),0),0))</f>
        <v>0</v>
      </c>
      <c r="P14" s="1428">
        <f>IF('PIM Model'!D10="$/CS",IFERROR(ROUND(SUM(BZ14*$BV$35+CW14*$CS$35+DT14*$DP$35+EQ14*$EM$35+FN14*$FJ$35+GK14*$GG$35+HH14*$HD$35+IE14*$IA$35+JB14*$IX$35+JY14*$JU$35+KV14*$KR$35+LS14*$LO$35+MP14*$ML$35+NM14*$NI$35+OJ14*$OF$35+PG14*$PC$35+QD14*$PZ$35+RA14*$QW$35+RX14*$RT$35+SU14*$SQ$35)/$G$35,2),0),IF('PIM Model'!D10="$/LB",IFERROR(ROUND(SUM(BZ14*$BW$35+CW14*$CT$35+DT14*$DQ$35+EQ14*$EN$35+FN14*$FK$35+GK14*$GH$35+HH14*$HE$35+IE14*$IB$35+JB14*$IY$35+JY14*$JV$35+KV14*$KS$35+LS14*$LP$35+MP14*$MM$35+NM14*$NJ$35+OJ14*$OG$35+PG14*$PD$35+QD14*$QA$35+RA14*$QX$35+RX14*$RU$35+SU14*$SR$35)/$H$35,2),0),0))</f>
        <v>0</v>
      </c>
      <c r="Q14" s="358">
        <f>IF(C14&gt;0,IFERROR(SUM(BH14*BK14,CE14*CH14,DB14*DE14,DY14*EB14,EV14*EY14,FS14*FV14,GP14*GS14,HM14*HP14,IJ14*IM14,JG14*JJ14,KD14*KG14,LA14*LD14,LX14*MA14,MU14*MX14,NR14*NU14,OO14*OR14,PL14*PO14,QI14*QL14,RF14*RI14,SC14*SF14)/C14,0),IFERROR(SUM($BH14*$BK$3,$CE14*$CH$3,$DB14*$DE$3,$DY14*$EB$3,$EV14*$EY$3,$FS14*$FV$3,$GP14*$GS$3,$HM14*$HP$3,$IJ14*$IM$3,$PL14*$PO$3,$KD14*$KG$3,$LA14*$LD$3,$LX14*$MA$3,$MU14*$MX$3,$NR14*$NU$3,$OO14*$OR$3,$QI14*$QL$3,$RF14*$RI$3,$SC14*$SF$3)/$C$35,0))</f>
        <v>0</v>
      </c>
      <c r="R14" s="358">
        <f>IFERROR(Q14/$Q$35,0)</f>
        <v>0</v>
      </c>
      <c r="S14" s="779">
        <f>IF(C14&gt;0,IFERROR(ROUND(SUM($BK14*CC14+$CH14*CZ14+$DE14*DW14+$EB14*ET14+$EY14*FQ14+$FV14*GN14+$GS14*HK14+$HP14*IH14+$IM14*JE14+$JJ14*KB14,+$KG14*KY14+$LD14*LV14+$MA14*MS14+$MX14*NP14+$NU14*OM14+$OR14*PJ14+$PO14*QG14+$QL14*RD14+$RI14*SA14+$SF14*SX14)/$C14,2),0),IFERROR(ROUND(SUM($BK$3*CC14+$CH$3*CZ14+$DE$3*DW14+$EB$3*ET14+$EY$3*FQ14+$FV$3*GN14+$GS$3*HK14+$HP$3*IH14+$IM$3*JE14+$JJ$3*KB14+$KG$3*KY14+$LD$3*LV14+$MA$3*MS14+$MX$3*NP14+$MU$3*OM14+$OR$3*PJ14+$PO$3*QG14+$QL$3*RD14+$RI$3*SA14+$SF$3*SX14)/$C$35,2),0))</f>
        <v>0</v>
      </c>
      <c r="T14" s="779">
        <f>IFERROR(((BQ14*BK14)+(CN14*CH14)+(DK14*DE14)+(EH14*EB14)+(FE14*EY14)+(GB14*FV14)+(GY14*GS14)+(HV14*HP14)+(IS14*IM14)+(JP14*JJ14)+(KM14*KG14)+(LJ14*LD14)+(MG14*MA14)+(ND14*MX14)+(OA14*NU14)+(OX14*OR14)+(PU14*PO14)+(QR14*QL14)+(RO14*RI14)+(SL14*SF14))/C14,0)</f>
        <v>0</v>
      </c>
      <c r="U14" s="779">
        <f>IFERROR(((CA14*$BK$3)+(CX14*$CH$3)+(DU14*$DE$3)+(ER14*$EB$3)+(FO14*$EY$3)+(GL14*$FV$3)+(HI14*$GS$3)+(IF14*$HP$3)+(JC14*$IM$3)+(JZ14*$JJ$3)+(KW14*$KG$3)+(LT14*$LD$3)+(MQ14*$MA$3)+(NN14*$MX$3)+(OK14*$NU$3)+(PH14*$OR$3)+(QE14*$PO$3)+(RB14*$QL$3)+(RY14*$RI$3)+(SV14*$SF$3))/$C$35,0)</f>
        <v>0</v>
      </c>
      <c r="V14" s="779">
        <f>IFERROR(((BR14*BK14)+(CO14*CH14)+(DL14*DE14)+(EI14*EB14)+(FF14*EY14)+(GC14*FV14)+(GZ14*GS14)+(HW14*HP14)+(IT14*IM14)+(JQ14*JJ14)+(KN14*KG14)+(LK14*LD14)+(MH14*MA14)+(NE14*MX14)+(OB14*NU14)+(OY14*OR14)+(PV14*PO14)+(QS14*QL14)+(RP14*RI14)+(SM14*SF14))/C14,0)</f>
        <v>0</v>
      </c>
      <c r="W14" s="779">
        <f>IFERROR(((CB14*$BK$3)+(CY14*$CH$3)+(DV14*$DE$3)+(ES14*$EB$3)+(FP14*$EY$3)+(GM14*$FV$3)+(HJ14*$GS$3)+(IG14*$HP$3)+(JD14*$IM$3)+(KA14*$JJ$3)+(KX14*$KG$3)+(LU14*$LD$3)+(MR14*$MA$3)+(NO14*$MX$3)+(OL14*$NU$3)+(PI14*$OR$3)+(QF14*$PO$3)+(RC14*$QL$3)+(RZ14*$RI$3)+(SW14*$SF$3))/$C$35,0)</f>
        <v>0</v>
      </c>
      <c r="X14" s="1705"/>
      <c r="Y14" s="1705" t="str">
        <f>'PIM Model'!E10</f>
        <v>INCLUDE</v>
      </c>
      <c r="Z14" s="1705">
        <f>IFERROR(AC14/$AC$35,0)</f>
        <v>0</v>
      </c>
      <c r="AA14" s="1705">
        <f>IF(Y14="Include",Z14,0)</f>
        <v>0</v>
      </c>
      <c r="AB14" s="99" t="s">
        <v>99</v>
      </c>
      <c r="AC14" s="107">
        <f>($BK14+$CH14+$DE14+$EB14+$EY14+$FV14+$GS14+$HP14+$IM14+$JJ14+$KG14+$LD14+$MA14+$MX14+$NU14+$OR14+$PO14+$QL14+$RI14+$SF14)*(1+($AE$1/$AE$5))</f>
        <v>0</v>
      </c>
      <c r="AD14" s="108">
        <f>($BL14+$CI14+$DF14+$EC14+$EZ14+$FW14+$GT14+$HQ14+$IN14+$JK14+$KH14+$LE14+$MB14+$MY14+$NV14+$OS14+$PP14+$QM14+$RJ14+$SG14)*(1+($AE$1/$AE$5))</f>
        <v>0</v>
      </c>
      <c r="AE14" s="108">
        <f>($BM14+$CJ14+$DG14+$ED14+$FA14+$FX14+$GU14+$HR14+$IO14+$JL14+$KI14+$LF14+$MC14+$MZ14+$NW14+$OT14+$PQ14+$QN14+$RK14+$SH14)*(1+($AE$1/$AE$5))</f>
        <v>0</v>
      </c>
      <c r="AF14" s="108">
        <f>($BN14+$CK14+$DH14+$EE14+$FB14+$FY14+$GV14+$HS14+$IP14+$JM14+$KJ14+$LG14+$MD14+$NA14+$NX14+$OU14+$PR14+$QO14+$RL14+$SI14)*(1+($AE$1/$AE$5))</f>
        <v>0</v>
      </c>
      <c r="AG14" s="110">
        <f>($BO14+$CL14+$DI14+$EF14+$FC14+$FZ14+$GW14+$HT14+$IQ14+$JN14+$KK14+$LH14+$ME14+$NB14+$NY14+$OV14+$PS14+$QP14+$RM14+$SJ14)*(1+($AE$1/$AE$5))</f>
        <v>0</v>
      </c>
      <c r="AH14" s="113">
        <f>IFERROR(AG14/AC14,0)</f>
        <v>0</v>
      </c>
      <c r="AI14" s="301"/>
      <c r="AJ14" s="99" t="s">
        <v>99</v>
      </c>
      <c r="AK14" s="346">
        <f>SUMIFS($BK14:$SK14,$BK$12:$SK$12,AK$12)</f>
        <v>0</v>
      </c>
      <c r="AL14" s="347">
        <f>SUMIFS($BK14:$SK14,$BK$12:$SK$12,AL$12)</f>
        <v>0</v>
      </c>
      <c r="AM14" s="347">
        <f>SUMIFS($BK14:$SK14,$BK$12:$SK$12,AM$12)</f>
        <v>0</v>
      </c>
      <c r="AN14" s="348">
        <f>IFERROR(AL14/AK14,0)</f>
        <v>0</v>
      </c>
      <c r="AO14" s="349">
        <f>IFERROR(AM14/AK14,0)</f>
        <v>0</v>
      </c>
      <c r="AP14" s="301"/>
      <c r="AQ14" s="99" t="s">
        <v>99</v>
      </c>
      <c r="AR14" s="346">
        <f>SUMIFS($BK14:$SK14,$BK$12:$SK$12,AR$12)</f>
        <v>0</v>
      </c>
      <c r="AS14" s="347">
        <f>AW14*AR14</f>
        <v>0</v>
      </c>
      <c r="AT14" s="349"/>
      <c r="AU14" s="301"/>
      <c r="AV14" s="1708" t="str">
        <f>IF('PIM Ranges'!$AK12='PIM Ranges'!$AY$11,IF($AR14&lt;'PIM Ranges'!$AZ$11,"Q1",IF($AR14&lt;'PIM Ranges'!$BA$11,"Q2",IF($AR14&lt;'PIM Ranges'!$BB$11,"Q3",IF($AR14&lt;'PIM Ranges'!$BC$11,"Q4","Q5")))),IF('PIM Ranges'!$AK12='PIM Ranges'!$AY$12,IF($AR14&lt;'PIM Ranges'!$AZ$12,"Q1",IF($AR14&lt;'PIM Ranges'!$BA$12,"Q2",IF($AR14&lt;'PIM Ranges'!$BB$12,"Q3",IF($AR14&lt;'PIM Ranges'!$BC$12,"Q4","Q5")))),IF('PIM Ranges'!$AK12='PIM Ranges'!$AY$13,IF($AR14&lt;'PIM Ranges'!$AZ$13,"Q1",IF($AR14&lt;'PIM Ranges'!$BA$13,"Q2",IF($AR14&lt;'PIM Ranges'!$BB$13,"Q3",IF($AR14&lt;'PIM Ranges'!$BC$13,"Q4","Q5")))),IF('PIM Ranges'!$AK12='PIM Ranges'!$AY$14,IF($AR14&lt;'PIM Ranges'!$AZ$14,"Q1",IF($AR14&lt;'PIM Ranges'!$BA$14,"Q2",IF($AR14&lt;'PIM Ranges'!$BB$14,"Q3",IF($AR14&lt;'PIM Ranges'!$BC$14,"Q4","Q5")))),IF('PIM Ranges'!$AK12='PIM Ranges'!$AY$15,IF($AR14&lt;'PIM Ranges'!$AZ$15,"Q1",IF($AR14&lt;'PIM Ranges'!$BA$15,"Q2",IF($AR14&lt;'PIM Ranges'!$BB$15,"Q3",IF($AR14&lt;'PIM Ranges'!$BC$15,"Q4","Q5")))),IF('PIM Ranges'!$AK12='PIM Ranges'!$AY$16,IF($AR14&lt;'PIM Ranges'!$AZ$16,"Q1",IF($AR14&lt;'PIM Ranges'!$BA$16,"Q2",IF($AR14&lt;'PIM Ranges'!$BB$16,"Q3",IF($AR14&lt;'PIM Ranges'!$BC$16,"Q4","Q5")))),IF('PIM Ranges'!$AK12='PIM Ranges'!$AY$17,IF($AR14&lt;'PIM Ranges'!$AZ$17,"Q1",IF($AR14&lt;'PIM Ranges'!$BA$17,"Q2",IF($AR14&lt;'PIM Ranges'!$BB$17,"Q3",IF($AR14&lt;'PIM Ranges'!$BC$17,"Q4","Q5")))),IF('PIM Ranges'!$AK12='PIM Ranges'!$AY$18,IF($AR14&lt;'PIM Ranges'!$AZ$18,"Q1",IF($AR14&lt;'PIM Ranges'!$BA$18,"Q2",IF($AR14&lt;'PIM Ranges'!$BB$18,"Q3",IF($AR14&lt;'PIM Ranges'!$BC$18,"Q4","Q5")))),IF('PIM Ranges'!$AK12='PIM Ranges'!$AY$19,IF($AR14&lt;'PIM Ranges'!$AZ$19,"Q1",IF($AR14&lt;'PIM Ranges'!$BA$19,"Q2",IF($AR14&lt;'PIM Ranges'!$BB$19,"Q3",IF($AR14&lt;'PIM Ranges'!$BC$19,"Q4","Q5")))),IF('PIM Ranges'!$AK12='PIM Ranges'!$AY$20,IF($AR14&lt;'PIM Ranges'!$AZ$20,"Q1",IF($AR14&lt;'PIM Ranges'!$BA$20,"Q2",IF($AR14&lt;'PIM Ranges'!$BB$20,"Q3",IF($AR14&lt;'PIM Ranges'!$BC$20,"Q4","Q5")))),IF('PIM Ranges'!$AK12='PIM Ranges'!$AY$21,IF($AR14&lt;'PIM Ranges'!$AZ$21,"Q1",IF($AR14&lt;'PIM Ranges'!$BA$21,"Q2",IF($AR14&lt;'PIM Ranges'!$BB$21,"Q3",IF($AR14&lt;'PIM Ranges'!$BC$21,"Q4","Q5")))),IF('PIM Ranges'!$AK12='PIM Ranges'!$AY$22,IF($AR14&lt;'PIM Ranges'!$AZ$22,"Q1",IF($AR14&lt;'PIM Ranges'!$BA$22,"Q2",IF($AR14&lt;'PIM Ranges'!$BB$22,"Q3",IF($AR14&lt;'PIM Ranges'!$BC$22,"Q4","Q5")))),IF('PIM Ranges'!$AK12='PIM Ranges'!$AY$23,IF($AR14&lt;'PIM Ranges'!$AZ$23,"Q1",IF($AR14&lt;'PIM Ranges'!$BA$23,"Q2",IF($AR14&lt;'PIM Ranges'!$BB$23,"Q3",IF($AR14&lt;'PIM Ranges'!$BC$23,"Q4","Q5")))),IF('PIM Ranges'!$AK12='PIM Ranges'!$AY$24,IF($AR14&lt;'PIM Ranges'!$AZ$24,"Q1",IF($AR14&lt;'PIM Ranges'!$BA$24,"Q2",IF($AR14&lt;'PIM Ranges'!$BB$24,"Q3",IF($AR14&lt;'PIM Ranges'!$BC$24,"Q4","Q5")))),IF('PIM Ranges'!$AK12='PIM Ranges'!$AY$25,IF($AR14&lt;'PIM Ranges'!$AZ$25,"Q1",IF($AR14&lt;'PIM Ranges'!$BA$25,"Q2",IF($AR14&lt;'PIM Ranges'!$BB$25,"Q3",IF($AR14&lt;'PIM Ranges'!$BC$25,"Q4","Q5")))),IF('PIM Ranges'!$AK12='PIM Ranges'!$AY$26,IF($AR14&lt;'PIM Ranges'!$AZ$26,"Q1",IF($AR14&lt;'PIM Ranges'!$BA$26,"Q2",IF($AR14&lt;'PIM Ranges'!$BB$26,"Q3",IF($AR14&lt;'PIM Ranges'!$BC$26,"Q4","Q5")))),IF('PIM Ranges'!$AK12='PIM Ranges'!$AY$27,IF($AR14&lt;'PIM Ranges'!$AZ$27,"Q1",IF($AR14&lt;'PIM Ranges'!$BA$27,"Q2",IF($AR14&lt;'PIM Ranges'!$BB$27,"Q3",IF($AR14&lt;'PIM Ranges'!$BC$27,"Q4","Q5")))),IF('PIM Ranges'!$AK12='PIM Ranges'!$AY$28,IF($AR14&lt;'PIM Ranges'!$AZ$28,"Q1",IF($AR14&lt;'PIM Ranges'!$BA$28,"Q2",IF($AR14&lt;'PIM Ranges'!$BB$28,"Q3",IF($AR14&lt;'PIM Ranges'!$BC$28,"Q4","Q5")))),IF('PIM Ranges'!$AK12='PIM Ranges'!$AY$29,IF($AR14&lt;'PIM Ranges'!$AZ$29,"Q1",IF($AR14&lt;'PIM Ranges'!$BA$29,"Q2",IF($AR14&lt;'PIM Ranges'!$BB$29,"Q3",IF($AR14&lt;'PIM Ranges'!$BC$29,"Q4","Q5")))),IF('PIM Ranges'!$AK12='PIM Ranges'!$AY$30,IF($AR14&lt;'PIM Ranges'!$AZ$30,"Q1",IF($AR14&lt;'PIM Ranges'!$BA$30,"Q2",IF($AR14&lt;'PIM Ranges'!$BB$30,"Q3",IF($AR14&lt;'PIM Ranges'!$BC$30,"Q4","Q5")))),IF('PIM Ranges'!$AK12='PIM Ranges'!$AY$31,IF($AR14&lt;'PIM Ranges'!$AZ$31,"Q1",IF($AR14&lt;'PIM Ranges'!$BA$31,"Q2",IF($AR14&lt;'PIM Ranges'!$BB$31,"Q3",IF($AR14&lt;'PIM Ranges'!$BC$31,"Q4","Q5")))),IF('PIM Ranges'!$AK12='PIM Ranges'!$AY$32,IF($AR14&lt;'PIM Ranges'!$AZ$32,"Q1",IF($AR14&lt;'PIM Ranges'!$BA$32,"Q2",IF($AR14&lt;'PIM Ranges'!$BB$32,"Q3",IF($AR14&lt;'PIM Ranges'!$BC$32,"Q4","Q5"))))))))))))))))))))))))))</f>
        <v>Q1</v>
      </c>
      <c r="AW14" s="301">
        <f>VLOOKUP($AQ14&amp;$AV14,'IMargin Quartiles'!$A:$F,6,FALSE)</f>
        <v>0.14000000000000001</v>
      </c>
      <c r="AX14" s="301"/>
      <c r="AY14" s="1708" t="str">
        <f>IF('PIM Ranges'!$AK12='PIM Ranges'!$AY$11,IF('PIM Ranges'!$AL12&lt;'PIM Ranges'!$AZ$11,"Q1",IF('PIM Ranges'!$AL12&lt;'PIM Ranges'!$BA$11,"Q2",IF('PIM Ranges'!$AL12&lt;'PIM Ranges'!$BB$11,"Q3",IF('PIM Ranges'!$AL12&lt;'PIM Ranges'!$BC$11,"Q4","Q5")))),IF('PIM Ranges'!$AK12='PIM Ranges'!$AY$12,IF('PIM Ranges'!$AL12&lt;'PIM Ranges'!$AZ$12,"Q1",IF('PIM Ranges'!$AL12&lt;'PIM Ranges'!$BA$12,"Q2",IF('PIM Ranges'!$AL12&lt;'PIM Ranges'!$BB$12,"Q3",IF('PIM Ranges'!$AL12&lt;'PIM Ranges'!$BC$12,"Q4","Q5")))),IF('PIM Ranges'!$AK12='PIM Ranges'!$AY$13,IF('PIM Ranges'!$AL12&lt;'PIM Ranges'!$AZ$13,"Q1",IF('PIM Ranges'!$AL12&lt;'PIM Ranges'!$BA$13,"Q2",IF('PIM Ranges'!$AL12&lt;'PIM Ranges'!$BB$13,"Q3",IF('PIM Ranges'!$AL12&lt;'PIM Ranges'!$BC$13,"Q4","Q5")))),IF('PIM Ranges'!$AK12='PIM Ranges'!$AY$14,IF('PIM Ranges'!$AL12&lt;'PIM Ranges'!$AZ$14,"Q1",IF('PIM Ranges'!$AL12&lt;'PIM Ranges'!$BA$14,"Q2",IF('PIM Ranges'!$AL12&lt;'PIM Ranges'!$BB$14,"Q3",IF('PIM Ranges'!$AL12&lt;'PIM Ranges'!$BC$14,"Q4","Q5")))),IF('PIM Ranges'!$AK12='PIM Ranges'!$AY$15,IF('PIM Ranges'!$AL12&lt;'PIM Ranges'!$AZ$15,"Q1",IF('PIM Ranges'!$AL12&lt;'PIM Ranges'!$BA$15,"Q2",IF('PIM Ranges'!$AL12&lt;'PIM Ranges'!$BB$15,"Q3",IF('PIM Ranges'!$AL12&lt;'PIM Ranges'!$BC$15,"Q4","Q5")))),IF('PIM Ranges'!$AK12='PIM Ranges'!$AY$16,IF('PIM Ranges'!$AL12&lt;'PIM Ranges'!$AZ$16,"Q1",IF('PIM Ranges'!$AL12&lt;'PIM Ranges'!$BA$16,"Q2",IF('PIM Ranges'!$AL12&lt;'PIM Ranges'!$BB$16,"Q3",IF('PIM Ranges'!$AL12&lt;'PIM Ranges'!$BC$16,"Q4","Q5")))),IF('PIM Ranges'!$AK12='PIM Ranges'!$AY$17,IF('PIM Ranges'!$AL12&lt;'PIM Ranges'!$AZ$17,"Q1",IF('PIM Ranges'!$AL12&lt;'PIM Ranges'!$BA$17,"Q2",IF('PIM Ranges'!$AL12&lt;'PIM Ranges'!$BB$17,"Q3",IF('PIM Ranges'!$AL12&lt;'PIM Ranges'!$BC$17,"Q4","Q5")))),IF('PIM Ranges'!$AK12='PIM Ranges'!$AY$18,IF('PIM Ranges'!$AL12&lt;'PIM Ranges'!$AZ$18,"Q1",IF('PIM Ranges'!$AL12&lt;'PIM Ranges'!$BA$18,"Q2",IF('PIM Ranges'!$AL12&lt;'PIM Ranges'!$BB$18,"Q3",IF('PIM Ranges'!$AL12&lt;'PIM Ranges'!$BC$18,"Q4","Q5")))),IF('PIM Ranges'!$AK12='PIM Ranges'!$AY$19,IF('PIM Ranges'!$AL12&lt;'PIM Ranges'!$AZ$19,"Q1",IF('PIM Ranges'!$AL12&lt;'PIM Ranges'!$BA$19,"Q2",IF('PIM Ranges'!$AL12&lt;'PIM Ranges'!$BB$19,"Q3",IF('PIM Ranges'!$AL12&lt;'PIM Ranges'!$BC$19,"Q4","Q5")))),IF('PIM Ranges'!$AK12='PIM Ranges'!$AY$20,IF('PIM Ranges'!$AL12&lt;'PIM Ranges'!$AZ$20,"Q1",IF('PIM Ranges'!$AL12&lt;'PIM Ranges'!$BA$20,"Q2",IF('PIM Ranges'!$AL12&lt;'PIM Ranges'!$BB$20,"Q3",IF('PIM Ranges'!$AL12&lt;'PIM Ranges'!$BC$20,"Q4","Q5")))),IF('PIM Ranges'!$AK12='PIM Ranges'!$AY$21,IF('PIM Ranges'!$AL12&lt;'PIM Ranges'!$AZ$21,"Q1",IF('PIM Ranges'!$AL12&lt;'PIM Ranges'!$BA$21,"Q2",IF('PIM Ranges'!$AL12&lt;'PIM Ranges'!$BB$21,"Q3",IF('PIM Ranges'!$AL12&lt;'PIM Ranges'!$BC$21,"Q4","Q5")))),IF('PIM Ranges'!$AK12='PIM Ranges'!$AY$22,IF('PIM Ranges'!$AL12&lt;'PIM Ranges'!$AZ$22,"Q1",IF('PIM Ranges'!$AL12&lt;'PIM Ranges'!$BA$22,"Q2",IF('PIM Ranges'!$AL12&lt;'PIM Ranges'!$BB$22,"Q3",IF('PIM Ranges'!$AL12&lt;'PIM Ranges'!$BC$22,"Q4","Q5")))),IF('PIM Ranges'!$AK12='PIM Ranges'!$AY$23,IF('PIM Ranges'!$AL12&lt;'PIM Ranges'!$AZ$23,"Q1",IF('PIM Ranges'!$AL12&lt;'PIM Ranges'!$BA$23,"Q2",IF('PIM Ranges'!$AL12&lt;'PIM Ranges'!$BB$23,"Q3",IF('PIM Ranges'!$AL12&lt;'PIM Ranges'!$BC$23,"Q4","Q5")))),IF('PIM Ranges'!$AK12='PIM Ranges'!$AY$24,IF('PIM Ranges'!$AL12&lt;'PIM Ranges'!$AZ$24,"Q1",IF('PIM Ranges'!$AL12&lt;'PIM Ranges'!$BA$24,"Q2",IF('PIM Ranges'!$AL12&lt;'PIM Ranges'!$BB$24,"Q3",IF('PIM Ranges'!$AL12&lt;'PIM Ranges'!$BC$24,"Q4","Q5")))),IF('PIM Ranges'!$AK12='PIM Ranges'!$AY$25,IF('PIM Ranges'!$AL12&lt;'PIM Ranges'!$AZ$25,"Q1",IF('PIM Ranges'!$AL12&lt;'PIM Ranges'!$BA$25,"Q2",IF('PIM Ranges'!$AL12&lt;'PIM Ranges'!$BB$25,"Q3",IF('PIM Ranges'!$AL12&lt;'PIM Ranges'!$BC$25,"Q4","Q5")))),IF('PIM Ranges'!$AK12='PIM Ranges'!$AY$26,IF('PIM Ranges'!$AL12&lt;'PIM Ranges'!$AZ$26,"Q1",IF('PIM Ranges'!$AL12&lt;'PIM Ranges'!$BA$26,"Q2",IF('PIM Ranges'!$AL12&lt;'PIM Ranges'!$BB$26,"Q3",IF('PIM Ranges'!$AL12&lt;'PIM Ranges'!$BC$26,"Q4","Q5")))),IF('PIM Ranges'!$AK12='PIM Ranges'!$AY$27,IF('PIM Ranges'!$AL12&lt;'PIM Ranges'!$AZ$27,"Q1",IF('PIM Ranges'!$AL12&lt;'PIM Ranges'!$BA$27,"Q2",IF('PIM Ranges'!$AL12&lt;'PIM Ranges'!$BB$27,"Q3",IF('PIM Ranges'!$AL12&lt;'PIM Ranges'!$BC$27,"Q4","Q5")))),IF('PIM Ranges'!$AK12='PIM Ranges'!$AY$28,IF('PIM Ranges'!$AL12&lt;'PIM Ranges'!$AZ$28,"Q1",IF('PIM Ranges'!$AL12&lt;'PIM Ranges'!$BA$28,"Q2",IF('PIM Ranges'!$AL12&lt;'PIM Ranges'!$BB$28,"Q3",IF('PIM Ranges'!$AL12&lt;'PIM Ranges'!$BC$28,"Q4","Q5")))),IF('PIM Ranges'!$AK12='PIM Ranges'!$AY$29,IF('PIM Ranges'!$AL12&lt;'PIM Ranges'!$AZ$29,"Q1",IF('PIM Ranges'!$AL12&lt;'PIM Ranges'!$BA$29,"Q2",IF('PIM Ranges'!$AL12&lt;'PIM Ranges'!$BB$29,"Q3",IF('PIM Ranges'!$AL12&lt;'PIM Ranges'!$BC$29,"Q4","Q5")))),IF('PIM Ranges'!$AK12='PIM Ranges'!$AY$30,IF('PIM Ranges'!$AL12&lt;'PIM Ranges'!$AZ$30,"Q1",IF('PIM Ranges'!$AL12&lt;'PIM Ranges'!$BA$30,"Q2",IF('PIM Ranges'!$AL12&lt;'PIM Ranges'!$BB$30,"Q3",IF('PIM Ranges'!$AL12&lt;'PIM Ranges'!$BC$30,"Q4","Q5")))),IF('PIM Ranges'!$AK12='PIM Ranges'!$AY$31,IF('PIM Ranges'!$AL12&lt;'PIM Ranges'!$AZ$31,"Q1",IF('PIM Ranges'!$AL12&lt;'PIM Ranges'!$BA$31,"Q2",IF('PIM Ranges'!$AL12&lt;'PIM Ranges'!$BB$31,"Q3",IF('PIM Ranges'!$AL12&lt;'PIM Ranges'!$BC$31,"Q4","Q5")))),IF('PIM Ranges'!$AK12='PIM Ranges'!$AY$32,IF('PIM Ranges'!$AL12&lt;'PIM Ranges'!$AZ$32,"Q1",IF('PIM Ranges'!$AL12&lt;'PIM Ranges'!$BA$32,"Q2",IF('PIM Ranges'!$AL12&lt;'PIM Ranges'!$BB$32,"Q3",IF('PIM Ranges'!$AL12&lt;'PIM Ranges'!$BC$32,"Q4","Q5"))))))))))))))))))))))))))</f>
        <v>Q1</v>
      </c>
      <c r="AZ14" s="301">
        <f>$S14</f>
        <v>0</v>
      </c>
      <c r="BA14" s="39">
        <f>'PIM Model'!C10</f>
        <v>0</v>
      </c>
      <c r="BB14" s="301"/>
      <c r="BC14" s="301"/>
      <c r="BD14" s="301" t="e">
        <f>IF($BA14="AVG",IFERROR((AL14+AS14)/(AK14+AR14),AZ14),(AL14+AS14)/(AK14+AR14))</f>
        <v>#DIV/0!</v>
      </c>
      <c r="BE14" s="301"/>
      <c r="BF14" s="301"/>
      <c r="BG14" s="105">
        <v>3</v>
      </c>
      <c r="BH14" s="18">
        <f t="array" ref="BH14">IF('Customer Inputs'!$W$6="End",0,IFERROR(IF($BU14="SEGMENT",INDEX('Margin Guidence Table'!$A$1:$AG$10000,MATCH(1,('Margin Guidence Table'!$A$1:$A$10000=$BS14)*('Margin Guidence Table'!$I$1:$I$10000&lt;=ROUND($BK$3,0))*('Margin Guidence Table'!$J$1:$J$10000&gt;=ROUND($BK$3,0)),0),MATCH("PCT_SALES",'Margin Guidence Table'!$A$1:$AG$1,0)),INDEX('Margin Guidence Table'!$A$1:$AG$10000,MATCH(1,('Margin Guidence Table'!$A$1:$A$10000=$BS14)*('Margin Guidence Table'!$I$1:$I$10000&lt;=ROUND($BK$3,0))*('Margin Guidence Table'!$J$1:$J$10000&gt;=ROUND($BK$3,0)),0),MATCH("DEFAULT_PCT_SALES",'Margin Guidence Table'!$A$1:$AG$1,0))),0))</f>
        <v>0</v>
      </c>
      <c r="BI14" s="297" t="e">
        <f>BH14/$BH$35</f>
        <v>#DIV/0!</v>
      </c>
      <c r="BJ14" s="99" t="s">
        <v>99</v>
      </c>
      <c r="BK14" s="91">
        <f>IF('Customer Inputs'!$W$6="End",0,IFERROR(IF(AND($BK$2&lt;&gt;"Enter Spend&gt;&gt;&gt;",$BL$2="EXISTING"),SUMIFS('Existing Customers'!$Q:$Q,'Existing Customers'!$A:$A,$BK$1,'Existing Customers'!$H:$H,$BJ14)*$BK$4,$BK$3*$BI14),0))</f>
        <v>0</v>
      </c>
      <c r="BL14" s="92">
        <f>IF('Customer Inputs'!$W$6="End",0,IFERROR(IF(AND($BK$2&lt;&gt;"Enter Spend&gt;&gt;&gt;",$BL$2="EXISTING"),SUMIFS('Existing Customers'!$N:$N,'Existing Customers'!$A:$A,$BK$1,'Existing Customers'!$H:$H,$BJ14)*$BK$4,$BK14/$BV14),0))</f>
        <v>0</v>
      </c>
      <c r="BM14" s="92">
        <f>IF('Customer Inputs'!$W$6="End",0,IFERROR(IF(AND($BK$2&lt;&gt;"Enter Spend&gt;&gt;&gt;",$BL$2="EXISTING"),SUMIFS('Existing Customers'!$O:$O,'Existing Customers'!$H:$H,$BJ14,'Existing Customers'!$A:$A,$BK$1)*$BK$4,$BL14*$BK$8),0))</f>
        <v>0</v>
      </c>
      <c r="BN14" s="92">
        <f>IF('Customer Inputs'!$W$6="End",0,IFERROR(IF(AND($BK$2&lt;&gt;"Enter Spend&gt;&gt;&gt;",$BL$2="EXISTING"),SUMIFS('Existing Customers'!$P:$P,'Existing Customers'!$A:$A,$BK$1,'Existing Customers'!$H:$H,$BJ14)*$BK$4,$BK14/$BW14),0))</f>
        <v>0</v>
      </c>
      <c r="BO14" s="303">
        <f>IF('Customer Inputs'!$W$6="End",0,IFERROR(IF(AND($BK$2&lt;&gt;"Enter Spend&gt;&gt;&gt;",$BL$2="EXISTING"),SUMIFS('Existing Customers'!$V:$V,'Existing Customers'!$H:$H,$BJ14,'Existing Customers'!$A:$A,$BK$1)*$BK$4,0),0))</f>
        <v>0</v>
      </c>
      <c r="BP14" s="93">
        <f>IF('Customer Inputs'!$W$6="End",0,IFERROR(IF(AND($BK$2&lt;&gt;"Enter Spend&gt;&gt;&gt;",$BL$2="EXISTING"),SUMIFS('Existing Customers'!$R:$R,'Existing Customers'!$H:$H,$BJ14,'Existing Customers'!$A:$A,$BK$1)*$BK$4,0),0))</f>
        <v>0</v>
      </c>
      <c r="BQ14" s="93">
        <f>IF('Customer Inputs'!$W$6="End",0,IFERROR(IF(AND($BK$2&lt;&gt;"Enter Spend&gt;&gt;&gt;",$BL$2="EXISTING"),SUMIFS('Existing Customers'!$S:$S,'Existing Customers'!$H:$H,$BJ14,'Existing Customers'!$A:$A,$BK$1)/SUMIFS('Existing Customers'!$Q:$Q,'Existing Customers'!$A:$A,$BK$1,'Existing Customers'!$H:$H,$BJ14),CA14),0))</f>
        <v>0</v>
      </c>
      <c r="BR14" s="93">
        <f>IF('Customer Inputs'!$W$6="End",0,IFERROR(IF(AND($BK$2&lt;&gt;"Enter Spend&gt;&gt;&gt;",$BL$2="EXISTING"),SUMIFS('Existing Customers'!$U:$U,'Existing Customers'!$H:$H,$BJ14,'Existing Customers'!$A:$A,$BK$1)/SUMIFS('Existing Customers'!$Q:$Q,'Existing Customers'!$A:$A,$BK$1,'Existing Customers'!$H:$H,$BJ14),CB14),0))</f>
        <v>0</v>
      </c>
      <c r="BS14" s="782" t="e">
        <f>_xlfn.CONCAT('Customer Inputs'!$AH$6,"_",BJ14)</f>
        <v>#N/A</v>
      </c>
      <c r="BT14" s="783">
        <f t="array" ref="BT14">IF('Customer Inputs'!$W$6="End",0,IFERROR(INDEX('Margin Guidence Table'!$A$1:$AG$10000,MATCH(1,('Margin Guidence Table'!$A$1:$A$10000=$BS14)*('Margin Guidence Table'!$I$1:$I$10000&lt;=ROUND($BK$3,0))*('Margin Guidence Table'!$J$1:$J$10000&gt;=ROUND($BK$3,0)),0),MATCH("DATA_POINTS",'Margin Guidence Table'!$A$1:$AG$1,0)),0))</f>
        <v>0</v>
      </c>
      <c r="BU14" s="780" t="str">
        <f>IF(BT14&gt;15,"SEGMENT","DEFAULT")</f>
        <v>DEFAULT</v>
      </c>
      <c r="BV14" s="780">
        <f t="array" ref="BV14">IF('Customer Inputs'!$W$6="End",0,IFERROR(IF($BU14="SEGMENT",INDEX('Margin Guidence Table'!$A$1:$AG$10000,MATCH(1,('Margin Guidence Table'!$A$1:$A$10000=$BS14)*('Margin Guidence Table'!$I$1:$I$10000&lt;=ROUND($BK$3,0))*('Margin Guidence Table'!$J$1:$J$10000&gt;=ROUND($BK$3,0)),0),MATCH("SALES_CASE",'Margin Guidence Table'!$A$1:$AG$1,0)),INDEX('Margin Guidence Table'!$A$1:$AG$10000,MATCH(1,('Margin Guidence Table'!$A$1:$A$10000=$BS14)*('Margin Guidence Table'!$I$1:$I$10000&lt;=ROUND($BK$3,0))*('Margin Guidence Table'!$J$1:$J$10000&gt;=ROUND($BK$3,0)),0),MATCH("DEFAULT_SALES_CASE",'Margin Guidence Table'!$A$1:$AG$1,0))),0))</f>
        <v>0</v>
      </c>
      <c r="BW14" s="780">
        <f t="array" ref="BW14">IF('Customer Inputs'!$W$6="End",0,IFERROR(IF($BU14="SEGMENT",INDEX('Margin Guidence Table'!$A$1:$AG$10000,MATCH(1,('Margin Guidence Table'!$A$1:$A$10000=$BS14)*('Margin Guidence Table'!$I$1:$I$10000&lt;=ROUND($BK$3,0))*('Margin Guidence Table'!$J$1:$J$10000&gt;=ROUND($BK$3,0)),0),MATCH("SALES_LBS",'Margin Guidence Table'!$A$1:$AG$1,0)),INDEX('Margin Guidence Table'!$A$1:$AG$10000,MATCH(1,('Margin Guidence Table'!$A$1:$A$10000=$BS14)*('Margin Guidence Table'!$I$1:$I$10000&lt;=ROUND($BK$3,0))*('Margin Guidence Table'!$J$1:$J$10000&gt;=ROUND($BK$3,0)),0),MATCH("DEFAULT_SALES_LBS",'Margin Guidence Table'!$A$1:$AG$1,0))),0))</f>
        <v>0</v>
      </c>
      <c r="BX14" s="784">
        <f t="array" ref="BX14">IF('Customer Inputs'!$W$6="End",0,IFERROR(IF($BU14="SEGMENT",INDEX('Margin Guidence Table'!$A$1:$AG$10000,MATCH(1,('Margin Guidence Table'!$A$1:$A$10000=$BS14)*('Margin Guidence Table'!$I$1:$I$10000&lt;=ROUND($BK$3,0))*('Margin Guidence Table'!$J$1:$J$10000&gt;=ROUND($BK$3,0)),0),MATCH("MDA_MIN_MARGIN_GUIDENCE",'Margin Guidence Table'!$A$1:$AG$1,0)),INDEX('Margin Guidence Table'!$A$1:$AG$10000,MATCH(1,('Margin Guidence Table'!$A$1:$A$10000=$BS14)*('Margin Guidence Table'!$I$1:$I$10000&lt;=ROUND($BK$3,0))*('Margin Guidence Table'!$J$1:$J$10000&gt;=ROUND($BK$3,0)),0),MATCH("DEFAULT_MDA_MIN_MARGIN_GUIDENCE",'Margin Guidence Table'!$A$1:$AG$1,0))),0))</f>
        <v>0</v>
      </c>
      <c r="BY14" s="784">
        <f t="array" ref="BY14">IF('Customer Inputs'!$W$6="End",0,IFERROR(IF($BU14="SEGMENT",INDEX('Margin Guidence Table'!$A$1:$AG$10000,MATCH(1,('Margin Guidence Table'!$A$1:$A$10000=$BS14)*('Margin Guidence Table'!$I$1:$I$10000&lt;=ROUND($BK$3,0))*('Margin Guidence Table'!$J$1:$J$10000&gt;=ROUND($BK$3,0)),0),MATCH("MDA_MEDIAN_MARGIN_GUIDENCE",'Margin Guidence Table'!$A$1:$AG$1,0)),INDEX('Margin Guidence Table'!$A$1:$AG$10000,MATCH(1,('Margin Guidence Table'!$A$1:$A$10000=$BS14)*('Margin Guidence Table'!$I$1:$I$10000&lt;=ROUND($BK$3,0))*('Margin Guidence Table'!$J$1:$J$10000&gt;=ROUND($BK$3,0)),0),MATCH("DEFAULT_MDA_MEDIAN_MARGIN_GUIDENCE",'Margin Guidence Table'!$A$1:$AG$1,0))),0))</f>
        <v>0</v>
      </c>
      <c r="BZ14" s="784">
        <f t="array" ref="BZ14">IF('Customer Inputs'!$W$6="End",0,IFERROR(IF($BU14="SEGMENT",INDEX('Margin Guidence Table'!$A$1:$AG$10000,MATCH(1,('Margin Guidence Table'!$A$1:$A$10000=$BS14)*('Margin Guidence Table'!$I$1:$I$10000&lt;=ROUND($BK$3,0))*('Margin Guidence Table'!$J$1:$J$10000&gt;=ROUND($BK$3,0)),0),MATCH("MDA_MAX_MARGIN_GUIDENCE",'Margin Guidence Table'!$A$1:$AG$1,0)),INDEX('Margin Guidence Table'!$A$1:$AG$10000,MATCH(1,('Margin Guidence Table'!$A$1:$A$10000=$BS14)*('Margin Guidence Table'!$I$1:$I$10000&lt;=ROUND($BK$3,0))*('Margin Guidence Table'!$J$1:$J$10000&gt;=ROUND($BK$3,0)),0),MATCH("DEFAULT_MDA_MAX_MARGIN_GUIDENCE",'Margin Guidence Table'!$A$1:$AG$1,0))),0))</f>
        <v>0</v>
      </c>
      <c r="CA14" s="784">
        <f t="array" ref="CA14">IF('Customer Inputs'!$W$6="End",0,IFERROR(IF($BU14="SEGMENT",INDEX('Margin Guidence Table'!$A$1:$AG$10000,MATCH(1,('Margin Guidence Table'!$A$1:$A$10000=$BS14)*('Margin Guidence Table'!$I$1:$I$10000&lt;=ROUND($BK$3,0))*('Margin Guidence Table'!$J$1:$J$10000&gt;=ROUND($BK$3,0)),0),MATCH("PA_PCT_SALES",'Margin Guidence Table'!$A$1:$AG$1,0)),INDEX('Margin Guidence Table'!$A$1:$AG$10000,MATCH(1,('Margin Guidence Table'!$A$1:$A$10000=$BS14)*('Margin Guidence Table'!$I$1:$I$10000&lt;=ROUND($BK$3,0))*('Margin Guidence Table'!$J$1:$J$10000&gt;=ROUND($BK$3,0)),0),MATCH("DEFAULT_PA_PCT_SALES",'Margin Guidence Table'!$A$1:$AG$1,0))),0))</f>
        <v>0</v>
      </c>
      <c r="CB14" s="784">
        <f t="array" ref="CB14">IF('Customer Inputs'!$W$6="End",0,IFERROR(IF($BU14="SEGMENT",INDEX('Margin Guidence Table'!$A$1:$AG$10000,MATCH(1,('Margin Guidence Table'!$A$1:$A$10000=$BS14)*('Margin Guidence Table'!$I$1:$I$10000&lt;=ROUND($BK$3,0))*('Margin Guidence Table'!$J$1:$J$10000&gt;=ROUND($BK$3,0)),0),MATCH("SELF_FUND_PCT_SALES",'Margin Guidence Table'!$A$1:$AG$1,0)),INDEX('Margin Guidence Table'!$A$1:$AG$10000,MATCH(1,('Margin Guidence Table'!$A$1:$A$10000=$BS14)*('Margin Guidence Table'!$I$1:$I$10000&lt;=ROUND($BK$3,0))*('Margin Guidence Table'!$J$1:$J$10000&gt;=ROUND($BK$3,0)),0),MATCH("DEFAULT_SELF_FUND_PCT_SALES",'Margin Guidence Table'!$A$1:$AG$1,0))),0))</f>
        <v>0</v>
      </c>
      <c r="CC14" s="784">
        <f t="array" ref="CC14">IF('Customer Inputs'!$W$6="End",0,IF($BL$2="Existing",IFERROR(SUMIFS('Existing Customers'!$V:$V,'Existing Customers'!$H:$H,$BJ14,'Existing Customers'!$A:$A,$BK$1)/SUMIFS('Existing Customers'!$Q:$Q,'Existing Customers'!$H:$H,$BJ14,'Existing Customers'!$A:$A,$BK$1),0),IFERROR(IF($BU14="SEGMENT",INDEX('Margin Guidence Table'!$A$1:$AG$10000,MATCH(1,('Margin Guidence Table'!$A$1:$A$10000=$BS14)*('Margin Guidence Table'!$I$1:$I$10000&lt;=ROUND($BK$3,0))*('Margin Guidence Table'!$J$1:$J$10000&gt;=ROUND($BK$3,0)),0),MATCH("CIA_MEDIAN_MARGIN_GUIDENCE",'Margin Guidence Table'!$A$1:$AG$1,0)),INDEX('Margin Guidence Table'!$A$1:$AG$10000,MATCH(1,('Margin Guidence Table'!$A$1:$A$10000=$BS14)*('Margin Guidence Table'!$I$1:$I$10000&lt;=ROUND($BK$3,0))*('Margin Guidence Table'!$J$1:$J$10000&gt;=ROUND($BK$3,0)),0),MATCH("DEFAULT_CIA_MEDIAN_MARGIN_GUIDENCE",'Margin Guidence Table'!$A$1:$AG$1,0))),0)))</f>
        <v>0</v>
      </c>
      <c r="CD14" s="126"/>
      <c r="CE14" s="18">
        <f t="array" ref="CE14">IF('Customer Inputs'!$W$7="End",0,IFERROR(IF($CR14="SEGMENT",INDEX('Margin Guidence Table'!$A$1:$AG$10000,MATCH(1,('Margin Guidence Table'!$A$1:$A$10000=$CP14)*('Margin Guidence Table'!$I$1:$I$10000&lt;=ROUND($CH$3,0))*('Margin Guidence Table'!$J$1:$J$10000&gt;=ROUND($CH$3,0)),0),MATCH("PCT_SALES",'Margin Guidence Table'!$A$1:$AG$1,0)),INDEX('Margin Guidence Table'!$A$1:$AG$10000,MATCH(1,('Margin Guidence Table'!$A$1:$A$10000=$CP14)*('Margin Guidence Table'!$I$1:$I$10000&lt;=ROUND($CH$3,0))*('Margin Guidence Table'!$J$1:$J$10000&gt;=ROUND($CH$3,0)),0),MATCH("DEFAULT_PCT_SALES",'Margin Guidence Table'!$A$1:$AG$1,0))),0))</f>
        <v>0</v>
      </c>
      <c r="CF14" s="297" t="e">
        <f>CE14/$CE$35</f>
        <v>#DIV/0!</v>
      </c>
      <c r="CG14" s="99" t="s">
        <v>99</v>
      </c>
      <c r="CH14" s="91">
        <f>IF('Customer Inputs'!$W$7="End",0,IFERROR(IF(AND($CH$2&lt;&gt;"Enter Spend&gt;&gt;&gt;",$CI$2="EXISTING"),SUMIFS('Existing Customers'!$Q:$Q,'Existing Customers'!$A:$A,$CH$1,'Existing Customers'!$H:$H,$CG14)*$CH$4,$CH$3*$CF14),0))</f>
        <v>0</v>
      </c>
      <c r="CI14" s="86">
        <f>IF('Customer Inputs'!$W$7="End",0,IFERROR(IF(AND($CH$2&lt;&gt;"Enter Spend&gt;&gt;&gt;",$CI$2="EXISTING"),SUMIFS('Existing Customers'!$N:$N,'Existing Customers'!$A:$A,$CH$1,'Existing Customers'!$H:$H,$CG14)*$CH$4,$CH14/$CS14),0))</f>
        <v>0</v>
      </c>
      <c r="CJ14" s="92">
        <f>IF('Customer Inputs'!$W$7="End",0,IFERROR(IF(AND($CH$2&lt;&gt;"Enter Spend&gt;&gt;&gt;",$CI$2="EXISTING"),SUMIFS('Existing Customers'!$O:$O,'Existing Customers'!$H:$H,$CG14,'Existing Customers'!$A:$A,$CH$1)*$CH$4,$CI14*$CH$8),0))</f>
        <v>0</v>
      </c>
      <c r="CK14" s="92">
        <f>IF('Customer Inputs'!$W$7="End",0,IFERROR(IF(AND($CH$2&lt;&gt;"Enter Spend&gt;&gt;&gt;",$CI$2="EXISTING"),SUMIFS('Existing Customers'!$P:$P,'Existing Customers'!$A:$A,$CH$1,'Existing Customers'!$H:$H,$CG14)*$CH$4,$CH14/$CT14),0))</f>
        <v>0</v>
      </c>
      <c r="CL14" s="93">
        <f>IF('Customer Inputs'!$W$7="End",0,IFERROR(IF(AND($CH$2&lt;&gt;"Enter Spend&gt;&gt;&gt;",$CI$2="EXISTING"),SUMIFS('Existing Customers'!$V:$V,'Existing Customers'!$H:$H,$CG14,'Existing Customers'!$A:$A,$CH$1)*$CH$4,0),0))</f>
        <v>0</v>
      </c>
      <c r="CM14" s="93">
        <f>IF('Customer Inputs'!$W$7="End",0,IFERROR(IF(AND($CH$2&lt;&gt;"Enter Spend&gt;&gt;&gt;",$CI$2="EXISTING"),SUMIFS('Existing Customers'!$R:$R,'Existing Customers'!$H:$H,$CG14,'Existing Customers'!$A:$A,$CH$1)*$CH$4,0),0))</f>
        <v>0</v>
      </c>
      <c r="CN14" s="780">
        <f>IF('Customer Inputs'!$W$7="End",0,IFERROR(IF(AND($CH$2&lt;&gt;"Enter Spend&gt;&gt;&gt;",$CI$2="EXISTING"),SUMIFS('Existing Customers'!$S:$S,'Existing Customers'!$H:$H,$CG14,'Existing Customers'!$A:$A,$CH$1)/SUMIFS('Existing Customers'!$Q:$Q,'Existing Customers'!$A:$A,$CH$1,'Existing Customers'!$H:$H,$CG14),CX14),0))</f>
        <v>0</v>
      </c>
      <c r="CO14" s="780">
        <f>IF('Customer Inputs'!$W$7="End",0,IFERROR(IF(AND($CH$2&lt;&gt;"Enter Spend&gt;&gt;&gt;",$CI$2="EXISTING"),SUMIFS('Existing Customers'!$U:$U,'Existing Customers'!$H:$H,$CG14,'Existing Customers'!$A:$A,$CH$1)/SUMIFS('Existing Customers'!$Q:$Q,'Existing Customers'!$A:$A,$CH$1,'Existing Customers'!$H:$H,$CG14),CY14),0))</f>
        <v>0</v>
      </c>
      <c r="CP14" s="783" t="e">
        <f>_xlfn.CONCAT('Customer Inputs'!$AH$7,"_",CG14)</f>
        <v>#N/A</v>
      </c>
      <c r="CQ14" s="783">
        <f t="array" ref="CQ14">IFERROR(INDEX('Margin Guidence Table'!$A$1:$AG$10000,MATCH(1,('Margin Guidence Table'!$A$1:$A$10000=$CP14)*('Margin Guidence Table'!$I$1:$I$10000&lt;=ROUND($CH$3,0))*('Margin Guidence Table'!$J$1:$J$10000&gt;=ROUND($CH$3,0)),0),MATCH("DATA_POINTS",'Margin Guidence Table'!$A$1:$AG$1,0)),0)</f>
        <v>0</v>
      </c>
      <c r="CR14" s="780" t="str">
        <f>IF(CQ14&gt;15,"SEGMENT","DEFAULT")</f>
        <v>DEFAULT</v>
      </c>
      <c r="CS14" s="780">
        <f t="array" ref="CS14">IF('Customer Inputs'!$W$7="End",0,IFERROR(IF($CR14="SEGMENT",INDEX('Margin Guidence Table'!$A$1:$AG$10000,MATCH(1,('Margin Guidence Table'!$A$1:$A$10000=$CP14)*('Margin Guidence Table'!$I$1:$I$10000&lt;=ROUND($CH$3,0))*('Margin Guidence Table'!$J$1:$J$10000&gt;=ROUND($CH$3,0)),0),MATCH("SALES_CASE",'Margin Guidence Table'!$A$1:$AG$1,0)),INDEX('Margin Guidence Table'!$A$1:$AG$10000,MATCH(1,('Margin Guidence Table'!$A$1:$A$10000=$CP14)*('Margin Guidence Table'!$I$1:$I$10000&lt;=ROUND($CH$3,0))*('Margin Guidence Table'!$J$1:$J$10000&gt;=ROUND($CH$3,0)),0),MATCH("DEFAULT_SALES_CASE",'Margin Guidence Table'!$A$1:$AG$1,0))),0))</f>
        <v>0</v>
      </c>
      <c r="CT14" s="780">
        <f t="array" ref="CT14">IF('Customer Inputs'!$W$7="End",0,IFERROR(IF($CR14="SEGMENT",INDEX('Margin Guidence Table'!$A$1:$AG$10000,MATCH(1,('Margin Guidence Table'!$A$1:$A$10000=$CP14)*('Margin Guidence Table'!$I$1:$I$10000&lt;=ROUND($CH$3,0))*('Margin Guidence Table'!$J$1:$J$10000&gt;=ROUND($CH$3,0)),0),MATCH("SALES_LBS",'Margin Guidence Table'!$A$1:$AG$1,0)),INDEX('Margin Guidence Table'!$A$1:$AG$10000,MATCH(1,('Margin Guidence Table'!$A$1:$A$10000=$CP14)*('Margin Guidence Table'!$I$1:$I$10000&lt;=ROUND($CH$3,0))*('Margin Guidence Table'!$J$1:$J$10000&gt;=ROUND($CH$3,0)),0),MATCH("DEFAULT_SALES_LBS",'Margin Guidence Table'!$A$1:$AG$1,0))),0))</f>
        <v>0</v>
      </c>
      <c r="CU14" s="784">
        <f t="array" ref="CU14">IF('Customer Inputs'!$W$7="End",0,IFERROR(IF($CR14="SEGMENT",INDEX('Margin Guidence Table'!$A$1:$AG$10000,MATCH(1,('Margin Guidence Table'!$A$1:$A$10000=$CP14)*('Margin Guidence Table'!$I$1:$I$10000&lt;=ROUND($CH$3,0))*('Margin Guidence Table'!$J$1:$J$10000&gt;=ROUND($CH$3,0)),0),MATCH("MDA_MIN_MARGIN_GUIDENCE",'Margin Guidence Table'!$A$1:$AG$1,0)),INDEX('Margin Guidence Table'!$A$1:$AG$10000,MATCH(1,('Margin Guidence Table'!$A$1:$A$10000=$CP14)*('Margin Guidence Table'!$I$1:$I$10000&lt;=ROUND($CH$3,0))*('Margin Guidence Table'!$J$1:$J$10000&gt;=ROUND($CH$3,0)),0),MATCH("DEFAULT_MDA_MIN_MARGIN_GUIDENCE",'Margin Guidence Table'!$A$1:$AG$1,0))),0))</f>
        <v>0</v>
      </c>
      <c r="CV14" s="784">
        <f t="array" ref="CV14">IF('Customer Inputs'!$W$7="End",0,IFERROR(IF($CR14="SEGMENT",INDEX('Margin Guidence Table'!$A$1:$AG$10000,MATCH(1,('Margin Guidence Table'!$A$1:$A$10000=$CP14)*('Margin Guidence Table'!$I$1:$I$10000&lt;=ROUND($CH$3,0))*('Margin Guidence Table'!$J$1:$J$10000&gt;=ROUND($CH$3,0)),0),MATCH("MDA_MEDIAN_MARGIN_GUIDENCE",'Margin Guidence Table'!$A$1:$AG$1,0)),INDEX('Margin Guidence Table'!$A$1:$AG$10000,MATCH(1,('Margin Guidence Table'!$A$1:$A$10000=$CP14)*('Margin Guidence Table'!$I$1:$I$10000&lt;=ROUND($CH$3,0))*('Margin Guidence Table'!$J$1:$J$10000&gt;=ROUND($CH$3,0)),0),MATCH("DEFAULT_MDA_MEDIAN_MARGIN_GUIDENCE",'Margin Guidence Table'!$A$1:$AG$1,0))),0))</f>
        <v>0</v>
      </c>
      <c r="CW14" s="784">
        <f t="array" ref="CW14">IF('Customer Inputs'!$W$7="End",0,IFERROR(IF($CR14="SEGMENT",INDEX('Margin Guidence Table'!$A$1:$AG$10000,MATCH(1,('Margin Guidence Table'!$A$1:$A$10000=$CP14)*('Margin Guidence Table'!$I$1:$I$10000&lt;=ROUND($CH$3,0))*('Margin Guidence Table'!$J$1:$J$10000&gt;=ROUND($CH$3,0)),0),MATCH("MDA_MAX_MARGIN_GUIDENCE",'Margin Guidence Table'!$A$1:$AG$1,0)),INDEX('Margin Guidence Table'!$A$1:$AG$10000,MATCH(1,('Margin Guidence Table'!$A$1:$A$10000=$CP14)*('Margin Guidence Table'!$I$1:$I$10000&lt;=ROUND($CH$3,0))*('Margin Guidence Table'!$J$1:$J$10000&gt;=ROUND($CH$3,0)),0),MATCH("DEFAULT_MDA_MAX_MARGIN_GUIDENCE",'Margin Guidence Table'!$A$1:$AG$1,0))),0))</f>
        <v>0</v>
      </c>
      <c r="CX14" s="784">
        <f t="array" ref="CX14">IF('Customer Inputs'!$W$7="End",0,IFERROR(IF($CR14="SEGMENT",INDEX('Margin Guidence Table'!$A$1:$AG$10000,MATCH(1,('Margin Guidence Table'!$A$1:$A$10000=$CP14)*('Margin Guidence Table'!$I$1:$I$10000&lt;=ROUND($CH$3,0))*('Margin Guidence Table'!$J$1:$J$10000&gt;=ROUND($CH$3,0)),0),MATCH("PA_PCT_SALES",'Margin Guidence Table'!$A$1:$AG$1,0)),INDEX('Margin Guidence Table'!$A$1:$AG$10000,MATCH(1,('Margin Guidence Table'!$A$1:$A$10000=$CP14)*('Margin Guidence Table'!$I$1:$I$10000&lt;=ROUND($CH$3,0))*('Margin Guidence Table'!$J$1:$J$10000&gt;=ROUND($CH$3,0)),0),MATCH("DEFAULT_PA_PCT_SALES",'Margin Guidence Table'!$A$1:$AG$1,0))),0))</f>
        <v>0</v>
      </c>
      <c r="CY14" s="784">
        <f t="array" ref="CY14">IF('Customer Inputs'!$W$7="End",0,IFERROR(IF($CR14="SEGMENT",INDEX('Margin Guidence Table'!$A$1:$AG$10000,MATCH(1,('Margin Guidence Table'!$A$1:$A$10000=$CP14)*('Margin Guidence Table'!$I$1:$I$10000&lt;=ROUND($CH$3,0))*('Margin Guidence Table'!$J$1:$J$10000&gt;=ROUND($CH$3,0)),0),MATCH("SELF_FUND_PCT_SALES",'Margin Guidence Table'!$A$1:$AG$1,0)),INDEX('Margin Guidence Table'!$A$1:$AG$10000,MATCH(1,('Margin Guidence Table'!$A$1:$A$10000=$CP14)*('Margin Guidence Table'!$I$1:$I$10000&lt;=ROUND($CH$3,0))*('Margin Guidence Table'!$J$1:$J$10000&gt;=ROUND($CH$3,0)),0),MATCH("DEFAULT_SELF_FUND_PCT_SALES",'Margin Guidence Table'!$A$1:$AG$1,0))),0))</f>
        <v>0</v>
      </c>
      <c r="CZ14" s="784">
        <f t="array" ref="CZ14">IF('Customer Inputs'!$W$7="End",0,IF($CI$2="Existing",IFERROR(SUMIFS('Existing Customers'!$V:$V,'Existing Customers'!$H:$H,$CG14,'Existing Customers'!$A:$A,$CH$1)/SUMIFS('Existing Customers'!$Q:$Q,'Existing Customers'!$H:$H,$CG14,'Existing Customers'!$A:$A,$CH$1),0),IFERROR(IF($CR14="SEGMENT",INDEX('Margin Guidence Table'!$A$1:$AG$10000,MATCH(1,('Margin Guidence Table'!$A$1:$A$10000=$CP14)*('Margin Guidence Table'!$I$1:$I$10000&lt;=ROUND($CH$3,0))*('Margin Guidence Table'!$J$1:$J$10000&gt;=ROUND($CH$3,0)),0),MATCH("CIA_MEDIAN_MARGIN_GUIDENCE",'Margin Guidence Table'!$A$1:$AG$1,0)),INDEX('Margin Guidence Table'!$A$1:$AG$10000,MATCH(1,('Margin Guidence Table'!$A$1:$A$10000=$CP14)*('Margin Guidence Table'!$I$1:$I$10000&lt;=ROUND($CH$3,0))*('Margin Guidence Table'!$J$1:$J$10000&gt;=ROUND($CH$3,0)),0),MATCH("DEFAULT_CIA_MEDIAN_MARGIN_GUIDENCE",'Margin Guidence Table'!$A$1:$AG$1,0))),0)))</f>
        <v>0</v>
      </c>
      <c r="DA14" s="126"/>
      <c r="DB14" s="18">
        <f t="array" ref="DB14">IF('Customer Inputs'!$W$8="End",0,IFERROR(IF($DO14="SEGMENT",INDEX('Margin Guidence Table'!$A$1:$AG$10000,MATCH(1,('Margin Guidence Table'!$A$1:$A$10000=$DM14)*('Margin Guidence Table'!$I$1:$I$10000&lt;=ROUND($DE$3,0))*('Margin Guidence Table'!$J$1:$J$10000&gt;=ROUND($DE$3,0)),0),MATCH("PCT_SALES",'Margin Guidence Table'!$A$1:$AG$1,0)),INDEX('Margin Guidence Table'!$A$1:$AG$10000,MATCH(1,('Margin Guidence Table'!$A$1:$A$10000=$DM14)*('Margin Guidence Table'!$I$1:$I$10000&lt;=ROUND($DE$3,0))*('Margin Guidence Table'!$J$1:$J$10000&gt;=ROUND($DE$3,0)),0),MATCH("DEFAULT_PCT_SALES",'Margin Guidence Table'!$A$1:$AG$1,0))),0))</f>
        <v>0</v>
      </c>
      <c r="DC14" s="297" t="e">
        <f>DB14/$DB$35</f>
        <v>#DIV/0!</v>
      </c>
      <c r="DD14" s="99" t="s">
        <v>99</v>
      </c>
      <c r="DE14" s="91">
        <f>IF('Customer Inputs'!$W$8="End",0,IFERROR(IF(AND($DE$2&lt;&gt;"Enter Spend&gt;&gt;&gt;",$DF$2="EXISTING"),SUMIFS('Existing Customers'!$Q:$Q,'Existing Customers'!$A:$A,$DE$1,'Existing Customers'!$H:$H,$DD14)*$DE$4,$DE$3*$DC14),0))</f>
        <v>0</v>
      </c>
      <c r="DF14" s="86">
        <f>IF('Customer Inputs'!$W$8="End",0,IFERROR(IF(AND($DE$2&lt;&gt;"Enter Spend&gt;&gt;&gt;",$DF$2="EXISTING"),SUMIFS('Existing Customers'!$N:$N,'Existing Customers'!$A:$A,$DE$1,'Existing Customers'!$H:$H,$DD14)*$DE$4,$DE14/$DP14),0))</f>
        <v>0</v>
      </c>
      <c r="DG14" s="92">
        <f>IF('Customer Inputs'!$W$8="End",0,IFERROR(IF(AND($DE$2&lt;&gt;"Enter Spend&gt;&gt;&gt;",$DF$2="EXISTING"),SUMIFS('Existing Customers'!$O:$O,'Existing Customers'!$H:$H,$DD14,'Existing Customers'!$A:$A,$DE$1)*$DE$4,$DF14*$DE$8),0))</f>
        <v>0</v>
      </c>
      <c r="DH14" s="92">
        <f>IF('Customer Inputs'!$W$8="End",0,IFERROR(IF(AND($DE$2&lt;&gt;"Enter Spend&gt;&gt;&gt;",$DF$2="EXISTING"),SUMIFS('Existing Customers'!$P:$P,'Existing Customers'!$A:$A,$DE$1,'Existing Customers'!$H:$H,$DD14)*$DE$4,$DE14/$DQ14),0))</f>
        <v>0</v>
      </c>
      <c r="DI14" s="93">
        <f>IF('Customer Inputs'!$W$8="End",0,IFERROR(IF(AND($DE$2&lt;&gt;"Enter Spend&gt;&gt;&gt;",$DF$2="EXISTING"),SUMIFS('Existing Customers'!$V:$V,'Existing Customers'!$H:$H,$DD14,'Existing Customers'!$A:$A,$DE$1)*$DE$4,0),0))</f>
        <v>0</v>
      </c>
      <c r="DJ14" s="93">
        <f>IF('Customer Inputs'!$W$8="End",0,IFERROR(IF(AND($DE$2&lt;&gt;"Enter Spend&gt;&gt;&gt;",$DF$2="EXISTING"),SUMIFS('Existing Customers'!$R:$R,'Existing Customers'!$H:$H,$DD14,'Existing Customers'!$A:$A,$DE$1)*$DE$4,0),0))</f>
        <v>0</v>
      </c>
      <c r="DK14" s="780">
        <f>IF('Customer Inputs'!$W$8="End",0,IFERROR(IF(AND($DE$2&lt;&gt;"Enter Spend&gt;&gt;&gt;",$DF$2="EXISTING"),SUMIFS('Existing Customers'!$S:$S,'Existing Customers'!$H:$H,$DD14,'Existing Customers'!$A:$A,$DE$1)/SUMIFS('Existing Customers'!$Q:$Q,'Existing Customers'!$A:$A,$DE$1,'Existing Customers'!$H:$H,$DD14),DU14),0))</f>
        <v>0</v>
      </c>
      <c r="DL14" s="780">
        <f>IF('Customer Inputs'!$W$8="End",0,IFERROR(IF(AND($DE$2&lt;&gt;"Enter Spend&gt;&gt;&gt;",$DF$2="EXISTING"),SUMIFS('Existing Customers'!$U:$U,'Existing Customers'!$H:$H,$DD14,'Existing Customers'!$A:$A,$DE$1)/SUMIFS('Existing Customers'!$Q:$Q,'Existing Customers'!$A:$A,$DE$1,'Existing Customers'!$H:$H,$DD14),DV14),0))</f>
        <v>0</v>
      </c>
      <c r="DM14" s="783" t="e">
        <f>_xlfn.CONCAT('Customer Inputs'!$AH$8,"_",DD14)</f>
        <v>#N/A</v>
      </c>
      <c r="DN14" s="783">
        <f t="array" ref="DN14">IF('Customer Inputs'!$W$8="End",0,IFERROR(INDEX('Margin Guidence Table'!$A$1:$AG$10000,MATCH(1,('Margin Guidence Table'!$A$1:$A$10000=DM14)*('Margin Guidence Table'!$I$1:$I$10000&lt;=ROUND($DE$3,0))*('Margin Guidence Table'!$J$1:$J$10000&gt;=ROUND($DE$3,0)),0),MATCH("DATA_POINTS",'Margin Guidence Table'!$A$1:$AG$1,0)),0))</f>
        <v>0</v>
      </c>
      <c r="DO14" s="780" t="str">
        <f>IF(DN14&gt;15,"SEGMENT","DEFAULT")</f>
        <v>DEFAULT</v>
      </c>
      <c r="DP14" s="780">
        <f t="array" ref="DP14">IF('Customer Inputs'!$W$8="End",0,IFERROR(IF($DO14="SEGMENT",INDEX('Margin Guidence Table'!$A$1:$AG$10000,MATCH(1,('Margin Guidence Table'!$A$1:$A$10000=DM14)*('Margin Guidence Table'!$I$1:$I$10000&lt;=ROUND($DE$3,0))*('Margin Guidence Table'!$J$1:$J$10000&gt;=ROUND($DE$3,0)),0),MATCH("SALES_CASE",'Margin Guidence Table'!$A$1:$AG$1,0)),INDEX('Margin Guidence Table'!$A$1:$AG$10000,MATCH(1,('Margin Guidence Table'!$A$1:$A$10000=DM14)*('Margin Guidence Table'!$I$1:$I$10000&lt;=ROUND($DE$3,0))*('Margin Guidence Table'!$J$1:$J$10000&gt;=ROUND($DE$3,0)),0),MATCH("DEFAULT_SALES_CASE",'Margin Guidence Table'!$A$1:$AG$1,0))),0))</f>
        <v>0</v>
      </c>
      <c r="DQ14" s="780">
        <f t="array" ref="DQ14">IF('Customer Inputs'!$W$8="End",0,IFERROR(IF($DO14="SEGMENT",INDEX('Margin Guidence Table'!$A$1:$AG$10000,MATCH(1,('Margin Guidence Table'!$A$1:$A$10000=DM14)*('Margin Guidence Table'!$I$1:$I$10000&lt;=ROUND($DE$3,0))*('Margin Guidence Table'!$J$1:$J$10000&gt;=ROUND($DE$3,0)),0),MATCH("SALES_LBS",'Margin Guidence Table'!$A$1:$AG$1,0)),INDEX('Margin Guidence Table'!$A$1:$AG$10000,MATCH(1,('Margin Guidence Table'!$A$1:$A$10000=DM14)*('Margin Guidence Table'!$I$1:$I$10000&lt;=ROUND($DE$3,0))*('Margin Guidence Table'!$J$1:$J$10000&gt;=ROUND($DE$3,0)),0),MATCH("DEFAULT_SALES_LBS",'Margin Guidence Table'!$A$1:$AG$1,0))),0))</f>
        <v>0</v>
      </c>
      <c r="DR14" s="784">
        <f t="array" ref="DR14">IF('Customer Inputs'!$W$8="End",0,IFERROR(IF($DO14="SEGMENT",INDEX('Margin Guidence Table'!$A$1:$AG$10000,MATCH(1,('Margin Guidence Table'!$A$1:$A$10000=DM14)*('Margin Guidence Table'!$I$1:$I$10000&lt;=ROUND($DE$3,0))*('Margin Guidence Table'!$J$1:$J$10000&gt;=ROUND($DE$3,0)),0),MATCH("MDA_MIN_MARGIN_GUIDENCE",'Margin Guidence Table'!$A$1:$AG$1,0)),INDEX('Margin Guidence Table'!$A$1:$AG$10000,MATCH(1,('Margin Guidence Table'!$A$1:$A$10000=DM14)*('Margin Guidence Table'!$I$1:$I$10000&lt;=ROUND($DE$3,0))*('Margin Guidence Table'!$J$1:$J$10000&gt;=ROUND($DE$3,0)),0),MATCH("DEFAULT_MDA_MIN_MARGIN_GUIDENCE",'Margin Guidence Table'!$A$1:$AG$1,0))),0))</f>
        <v>0</v>
      </c>
      <c r="DS14" s="784">
        <f t="array" ref="DS14">IF('Customer Inputs'!$W$8="End",0,IFERROR(IF($DO14="SEGMENT",INDEX('Margin Guidence Table'!$A$1:$AG$10000,MATCH(1,('Margin Guidence Table'!$A$1:$A$10000=DM14)*('Margin Guidence Table'!$I$1:$I$10000&lt;=ROUND($DE$3,0))*('Margin Guidence Table'!$J$1:$J$10000&gt;=ROUND($DE$3,0)),0),MATCH("MDA_MEDIAN_MARGIN_GUIDENCE",'Margin Guidence Table'!$A$1:$AG$1,0)),INDEX('Margin Guidence Table'!$A$1:$AG$10000,MATCH(1,('Margin Guidence Table'!$A$1:$A$10000=DM14)*('Margin Guidence Table'!$I$1:$I$10000&lt;=ROUND($DE$3,0))*('Margin Guidence Table'!$J$1:$J$10000&gt;=ROUND($DE$3,0)),0),MATCH("DEFAULT_MDA_MEDIAN_MARGIN_GUIDENCE",'Margin Guidence Table'!$A$1:$AG$1,0))),0))</f>
        <v>0</v>
      </c>
      <c r="DT14" s="784">
        <f t="array" ref="DT14">IF('Customer Inputs'!$W$8="End",0,IFERROR(IF($DO14="SEGMENT",INDEX('Margin Guidence Table'!$A$1:$AG$10000,MATCH(1,('Margin Guidence Table'!$A$1:$A$10000=DM14)*('Margin Guidence Table'!$I$1:$I$10000&lt;=ROUND($DE$3,0))*('Margin Guidence Table'!$J$1:$J$10000&gt;=ROUND($DE$3,0)),0),MATCH("MDA_MAX_MARGIN_GUIDENCE",'Margin Guidence Table'!$A$1:$AG$1,0)),INDEX('Margin Guidence Table'!$A$1:$AG$10000,MATCH(1,('Margin Guidence Table'!$A$1:$A$10000=DM14)*('Margin Guidence Table'!$I$1:$I$10000&lt;=ROUND($DE$3,0))*('Margin Guidence Table'!$J$1:$J$10000&gt;=ROUND($DE$3,0)),0),MATCH("DEFAULT_MDA_MAX_MARGIN_GUIDENCE",'Margin Guidence Table'!$A$1:$AG$1,0))),0))</f>
        <v>0</v>
      </c>
      <c r="DU14" s="784">
        <f t="array" ref="DU14">IF('Customer Inputs'!$W$8="End",0,IFERROR(IF($DO14="SEGMENT",INDEX('Margin Guidence Table'!$A$1:$AG$10000,MATCH(1,('Margin Guidence Table'!$A$1:$A$10000=DM14)*('Margin Guidence Table'!$I$1:$I$10000&lt;=ROUND($DE$3,0))*('Margin Guidence Table'!$J$1:$J$10000&gt;=ROUND($DE$3,0)),0),MATCH("PA_PCT_SALES",'Margin Guidence Table'!$A$1:$AG$1,0)),INDEX('Margin Guidence Table'!$A$1:$AG$10000,MATCH(1,('Margin Guidence Table'!$A$1:$A$10000=DM14)*('Margin Guidence Table'!$I$1:$I$10000&lt;=ROUND($DE$3,0))*('Margin Guidence Table'!$J$1:$J$10000&gt;=ROUND($DE$3,0)),0),MATCH("DEFAULT_PA_PCT_SALES",'Margin Guidence Table'!$A$1:$AG$1,0))),0))</f>
        <v>0</v>
      </c>
      <c r="DV14" s="784">
        <f t="array" ref="DV14">IF('Customer Inputs'!$W$8="End",0,IFERROR(IF($DO14="SEGMENT",INDEX('Margin Guidence Table'!$A$1:$AG$10000,MATCH(1,('Margin Guidence Table'!$A$1:$A$10000=DM14)*('Margin Guidence Table'!$I$1:$I$10000&lt;=ROUND($DE$3,0))*('Margin Guidence Table'!$J$1:$J$10000&gt;=ROUND($DE$3,0)),0),MATCH("SELF_FUND_PCT_SALES",'Margin Guidence Table'!$A$1:$AG$1,0)),INDEX('Margin Guidence Table'!$A$1:$AG$10000,MATCH(1,('Margin Guidence Table'!$A$1:$A$10000=DM14)*('Margin Guidence Table'!$I$1:$I$10000&lt;=ROUND($DE$3,0))*('Margin Guidence Table'!$J$1:$J$10000&gt;=ROUND($DE$3,0)),0),MATCH("DEFAULT_SELF_FUND_PCT_SALES",'Margin Guidence Table'!$A$1:$AG$1,0))),0))</f>
        <v>0</v>
      </c>
      <c r="DW14" s="784">
        <f t="array" ref="DW14">IF('Customer Inputs'!$W$8="End",0,IF($DF$2="Existing",IFERROR(SUMIFS('Existing Customers'!$V:$V,'Existing Customers'!$H:$H,$DD14,'Existing Customers'!$A:$A,$DE$1)/SUMIFS('Existing Customers'!$Q:$Q,'Existing Customers'!$H:$H,$DD14,'Existing Customers'!$A:$A,$DE$1),0),IFERROR(IF($DO14="SEGMENT",INDEX('Margin Guidence Table'!$A$1:$AG$10000,MATCH(1,('Margin Guidence Table'!$A$1:$A$10000=DM14)*('Margin Guidence Table'!$I$1:$I$10000&lt;=ROUND($DE$3,0))*('Margin Guidence Table'!$J$1:$J$10000&gt;=ROUND($DE$3,0)),0),MATCH("CIA_MEDIAN_MARGIN_GUIDENCE",'Margin Guidence Table'!$A$1:$AG$1,0)),INDEX('Margin Guidence Table'!$A$1:$AG$10000,MATCH(1,('Margin Guidence Table'!$A$1:$A$10000=DM14)*('Margin Guidence Table'!$I$1:$I$10000&lt;=ROUND($DE$3,0))*('Margin Guidence Table'!$J$1:$J$10000&gt;=ROUND($DE$3,0)),0),MATCH("DEFAULT_CIA_MEDIAN_MARGIN_GUIDENCE",'Margin Guidence Table'!$A$1:$AG$1,0))),0)))</f>
        <v>0</v>
      </c>
      <c r="DX14" s="126"/>
      <c r="DY14" s="18">
        <f t="array" ref="DY14">IF('Customer Inputs'!$W$9="End",0,IFERROR(IF($EL14="SEGMENT",INDEX('Margin Guidence Table'!$A$1:$AG$10000,MATCH(1,('Margin Guidence Table'!$A$1:$A$10000=$EJ14)*('Margin Guidence Table'!$I$1:$I$10000&lt;=ROUND($EB$3,0))*('Margin Guidence Table'!$J$1:$J$10000&gt;=ROUND($EB$3,0)),0),MATCH("PCT_SALES",'Margin Guidence Table'!$A$1:$AG$1,0)),INDEX('Margin Guidence Table'!$A$1:$AG$10000,MATCH(1,('Margin Guidence Table'!$A$1:$A$10000=$EJ14)*('Margin Guidence Table'!$I$1:$I$10000&lt;=ROUND($EB$3,0))*('Margin Guidence Table'!$J$1:$J$10000&gt;=ROUND($EB$3,0)),0),MATCH("DEFAULT_PCT_SALES",'Margin Guidence Table'!$A$1:$AG$1,0))),0))</f>
        <v>0</v>
      </c>
      <c r="DZ14" s="297" t="e">
        <f>DY14/$DY$35</f>
        <v>#DIV/0!</v>
      </c>
      <c r="EA14" s="99" t="s">
        <v>99</v>
      </c>
      <c r="EB14" s="91">
        <f>IF('Customer Inputs'!$W$9="End",0,IFERROR(IF(AND($EB$2&lt;&gt;"Enter Spend&gt;&gt;&gt;",$EC$2="EXISTING"),SUMIFS('Existing Customers'!$Q:$Q,'Existing Customers'!$A:$A,$EB$1,'Existing Customers'!$H:$H,$EA14)*$EB$4,$EB$3*$DZ14),0))</f>
        <v>0</v>
      </c>
      <c r="EC14" s="86">
        <f>IF('Customer Inputs'!$W$9="End",0,IFERROR(IF(AND($EB$2&lt;&gt;"Enter Spend&gt;&gt;&gt;",$EC$2="EXISTING"),SUMIFS('Existing Customers'!$N:$N,'Existing Customers'!$A:$A,$EB$1,'Existing Customers'!$H:$H,$EA14)*$EB$4,$EB14/$EM14),0))</f>
        <v>0</v>
      </c>
      <c r="ED14" s="92">
        <f>IF('Customer Inputs'!$W$9="End",0,IFERROR(IF(AND($EB$2&lt;&gt;"Enter Spend&gt;&gt;&gt;",$EC$2="EXISTING"),SUMIFS('Existing Customers'!$O:$O,'Existing Customers'!$H:$H,$EA14,'Existing Customers'!$A:$A,$EB$1)*$EB$4,$EC14*$EB$8),0))</f>
        <v>0</v>
      </c>
      <c r="EE14" s="92">
        <f>IF('Customer Inputs'!$W$9="End",0,IFERROR(IF(AND($EB$2&lt;&gt;"Enter Spend&gt;&gt;&gt;",$EC$2="EXISTING"),SUMIFS('Existing Customers'!$P:$P,'Existing Customers'!$A:$A,$EB$1,'Existing Customers'!$H:$H,$EA14)*$EB$4,$EB14/$EN14),0))</f>
        <v>0</v>
      </c>
      <c r="EF14" s="93">
        <f>IF('Customer Inputs'!$W$9="End",0,IFERROR(IF(AND($EB$2&lt;&gt;"Enter Spend&gt;&gt;&gt;",$EC$2="EXISTING"),SUMIFS('Existing Customers'!$V:$V,'Existing Customers'!$H:$H,$EA14,'Existing Customers'!$A:$A,$EB$1)*$EB$4,0),0))</f>
        <v>0</v>
      </c>
      <c r="EG14" s="93">
        <f>IF('Customer Inputs'!$W$9="End",0,IFERROR(IF(AND($EB$2&lt;&gt;"Enter Spend&gt;&gt;&gt;",$EC$2="EXISTING"),SUMIFS('Existing Customers'!$R:$R,'Existing Customers'!$H:$H,$EA14,'Existing Customers'!$A:$A,$EB$1)*$EB$4,0),0))</f>
        <v>0</v>
      </c>
      <c r="EH14" s="780">
        <f>IF('Customer Inputs'!$W$9="End",0,IFERROR(IF(AND($EB$2&lt;&gt;"Enter Spend&gt;&gt;&gt;",$EC$2="EXISTING"),SUMIFS('Existing Customers'!$S:$S,'Existing Customers'!$H:$H,$EA14,'Existing Customers'!$A:$A,$EB$1)/SUMIFS('Existing Customers'!$Q:$Q,'Existing Customers'!$A:$A,$EB$1,'Existing Customers'!$H:$H,$EA14),ER14),0))</f>
        <v>0</v>
      </c>
      <c r="EI14" s="780">
        <f>IF('Customer Inputs'!$W$9="End",0,IFERROR(IF(AND($EB$2&lt;&gt;"Enter Spend&gt;&gt;&gt;",$EC$2="EXISTING"),SUMIFS('Existing Customers'!$U:$U,'Existing Customers'!$H:$H,$EA14,'Existing Customers'!$A:$A,$EB$1)/SUMIFS('Existing Customers'!$Q:$Q,'Existing Customers'!$A:$A,$EB$1,'Existing Customers'!$H:$H,$EA14),ES14),0))</f>
        <v>0</v>
      </c>
      <c r="EJ14" s="783" t="e">
        <f>_xlfn.CONCAT('Customer Inputs'!$AH$9,"_",EA14)</f>
        <v>#N/A</v>
      </c>
      <c r="EK14" s="783">
        <f t="array" ref="EK14">IF('Customer Inputs'!$W$9="End",0,IFERROR(INDEX('Margin Guidence Table'!$A$1:$AG$10000,MATCH(1,('Margin Guidence Table'!$A$1:$A$10000=EJ14)*('Margin Guidence Table'!$I$1:$I$10000&lt;=ROUND($EB$3,0))*('Margin Guidence Table'!$J$1:$J$10000&gt;=ROUND($EB$3,0)),0),MATCH("DATA_POINTS",'Margin Guidence Table'!$A$1:$AG$1,0)),0))</f>
        <v>0</v>
      </c>
      <c r="EL14" s="780" t="str">
        <f>IF(EK14&gt;15,"SEGMENT","DEFAULT")</f>
        <v>DEFAULT</v>
      </c>
      <c r="EM14" s="780">
        <f t="array" ref="EM14">IF('Customer Inputs'!$W$9="End",0,IFERROR(IF($EL14="SEGMENT",INDEX('Margin Guidence Table'!$A$1:$AG$10000,MATCH(1,('Margin Guidence Table'!$A$1:$A$10000=EJ14)*('Margin Guidence Table'!$I$1:$I$10000&lt;=ROUND($EB$3,0))*('Margin Guidence Table'!$J$1:$J$10000&gt;=ROUND($EB$3,0)),0),MATCH("SALES_CASE",'Margin Guidence Table'!$A$1:$AG$1,0)),INDEX('Margin Guidence Table'!$A$1:$AG$10000,MATCH(1,('Margin Guidence Table'!$A$1:$A$10000=EJ14)*('Margin Guidence Table'!$I$1:$I$10000&lt;=ROUND($EB$3,0))*('Margin Guidence Table'!$J$1:$J$10000&gt;=ROUND($EB$3,0)),0),MATCH("DEFAULT_SALES_CASE",'Margin Guidence Table'!$A$1:$AG$1,0))),0))</f>
        <v>0</v>
      </c>
      <c r="EN14" s="780">
        <f t="array" ref="EN14">IF('Customer Inputs'!$W$9="End",0,IFERROR(IF($EL14="SEGMENT",INDEX('Margin Guidence Table'!$A$1:$AG$10000,MATCH(1,('Margin Guidence Table'!$A$1:$A$10000=EJ14)*('Margin Guidence Table'!$I$1:$I$10000&lt;=ROUND($EB$3,0))*('Margin Guidence Table'!$J$1:$J$10000&gt;=ROUND($EB$3,0)),0),MATCH("SALES_LBS",'Margin Guidence Table'!$A$1:$AG$1,0)),INDEX('Margin Guidence Table'!$A$1:$AG$10000,MATCH(1,('Margin Guidence Table'!$A$1:$A$10000=EJ14)*('Margin Guidence Table'!$I$1:$I$10000&lt;=ROUND($EB$3,0))*('Margin Guidence Table'!$J$1:$J$10000&gt;=ROUND($EB$3,0)),0),MATCH("DEFAULT_SALES_LBS",'Margin Guidence Table'!$A$1:$AG$1,0))),0))</f>
        <v>0</v>
      </c>
      <c r="EO14" s="784">
        <f t="array" ref="EO14">IF('Customer Inputs'!$W$9="End",0,IFERROR(IF($EL14="SEGMENT",INDEX('Margin Guidence Table'!$A$1:$AG$10000,MATCH(1,('Margin Guidence Table'!$A$1:$A$10000=EJ14)*('Margin Guidence Table'!$I$1:$I$10000&lt;=ROUND($EB$3,0))*('Margin Guidence Table'!$J$1:$J$10000&gt;=ROUND($EB$3,0)),0),MATCH("MDA_MIN_MARGIN_GUIDENCE",'Margin Guidence Table'!$A$1:$AG$1,0)),INDEX('Margin Guidence Table'!$A$1:$AG$10000,MATCH(1,('Margin Guidence Table'!$A$1:$A$10000=EJ14)*('Margin Guidence Table'!$I$1:$I$10000&lt;=ROUND($EB$3,0))*('Margin Guidence Table'!$J$1:$J$10000&gt;=ROUND($EB$3,0)),0),MATCH("DEFAULT_MDA_MIN_MARGIN_GUIDENCE",'Margin Guidence Table'!$A$1:$AG$1,0))),0))</f>
        <v>0</v>
      </c>
      <c r="EP14" s="784">
        <f t="array" ref="EP14">IF('Customer Inputs'!$W$9="End",0,IFERROR(IF($EL14="SEGMENT",INDEX('Margin Guidence Table'!$A$1:$AG$10000,MATCH(1,('Margin Guidence Table'!$A$1:$A$10000=EJ14)*('Margin Guidence Table'!$I$1:$I$10000&lt;=ROUND($EB$3,0))*('Margin Guidence Table'!$J$1:$J$10000&gt;=ROUND($EB$3,0)),0),MATCH("MDA_MEDIAN_MARGIN_GUIDENCE",'Margin Guidence Table'!$A$1:$AG$1,0)),INDEX('Margin Guidence Table'!$A$1:$AG$10000,MATCH(1,('Margin Guidence Table'!$A$1:$A$10000=EJ14)*('Margin Guidence Table'!$I$1:$I$10000&lt;=ROUND($EB$3,0))*('Margin Guidence Table'!$J$1:$J$10000&gt;=ROUND($EB$3,0)),0),MATCH("DEFAULT_MDA_MEDIAN_MARGIN_GUIDENCE",'Margin Guidence Table'!$A$1:$AG$1,0))),0))</f>
        <v>0</v>
      </c>
      <c r="EQ14" s="784">
        <f t="array" ref="EQ14">IF('Customer Inputs'!$W$9="End",0,IFERROR(IF($EL14="SEGMENT",INDEX('Margin Guidence Table'!$A$1:$AG$10000,MATCH(1,('Margin Guidence Table'!$A$1:$A$10000=EJ14)*('Margin Guidence Table'!$I$1:$I$10000&lt;=ROUND($EB$3,0))*('Margin Guidence Table'!$J$1:$J$10000&gt;=ROUND($EB$3,0)),0),MATCH("MDA_MAX_MARGIN_GUIDENCE",'Margin Guidence Table'!$A$1:$AG$1,0)),INDEX('Margin Guidence Table'!$A$1:$AG$10000,MATCH(1,('Margin Guidence Table'!$A$1:$A$10000=EJ14)*('Margin Guidence Table'!$I$1:$I$10000&lt;=ROUND($EB$3,0))*('Margin Guidence Table'!$J$1:$J$10000&gt;=ROUND($EB$3,0)),0),MATCH("DEFAULT_MDA_MAX_MARGIN_GUIDENCE",'Margin Guidence Table'!$A$1:$AG$1,0))),0))</f>
        <v>0</v>
      </c>
      <c r="ER14" s="784">
        <f t="array" ref="ER14">IF('Customer Inputs'!$W$9="End",0,IFERROR(IF($EL14="SEGMENT",INDEX('Margin Guidence Table'!$A$1:$AG$10000,MATCH(1,('Margin Guidence Table'!$A$1:$A$10000=EJ14)*('Margin Guidence Table'!$I$1:$I$10000&lt;=ROUND($EB$3,0))*('Margin Guidence Table'!$J$1:$J$10000&gt;=ROUND($EB$3,0)),0),MATCH("PA_PCT_SALES",'Margin Guidence Table'!$A$1:$AG$1,0)),INDEX('Margin Guidence Table'!$A$1:$AG$10000,MATCH(1,('Margin Guidence Table'!$A$1:$A$10000=EJ14)*('Margin Guidence Table'!$I$1:$I$10000&lt;=ROUND($EB$3,0))*('Margin Guidence Table'!$J$1:$J$10000&gt;=ROUND($EB$3,0)),0),MATCH("DEFAULT_PA_PCT_SALES",'Margin Guidence Table'!$A$1:$AG$1,0))),0))</f>
        <v>0</v>
      </c>
      <c r="ES14" s="784">
        <f t="array" ref="ES14">IF('Customer Inputs'!$W$9="End",0,IFERROR(IF($EL14="SEGMENT",INDEX('Margin Guidence Table'!$A$1:$AG$10000,MATCH(1,('Margin Guidence Table'!$A$1:$A$10000=EJ14)*('Margin Guidence Table'!$I$1:$I$10000&lt;=ROUND($EB$3,0))*('Margin Guidence Table'!$J$1:$J$10000&gt;=ROUND($EB$3,0)),0),MATCH("SELF_FUND_PCT_SALES",'Margin Guidence Table'!$A$1:$AG$1,0)),INDEX('Margin Guidence Table'!$A$1:$AG$10000,MATCH(1,('Margin Guidence Table'!$A$1:$A$10000=EJ14)*('Margin Guidence Table'!$I$1:$I$10000&lt;=ROUND($EB$3,0))*('Margin Guidence Table'!$J$1:$J$10000&gt;=ROUND($EB$3,0)),0),MATCH("DEFAULT_SELF_FUND_PCT_SALES",'Margin Guidence Table'!$A$1:$AG$1,0))),0))</f>
        <v>0</v>
      </c>
      <c r="ET14" s="784">
        <f t="array" ref="ET14">IF('Customer Inputs'!$W$9="End",0,IF($EC$2="Existing",IFERROR(SUMIFS('Existing Customers'!$V:$V,'Existing Customers'!$H:$H,$EA14,'Existing Customers'!$A:$A,$EB$1)/SUMIFS('Existing Customers'!$Q:$Q,'Existing Customers'!$H:$H,$EA14,'Existing Customers'!$A:$A,$EB$1),0),IFERROR(IF($EL14="SEGMENT",INDEX('Margin Guidence Table'!$A$1:$AG$10000,MATCH(1,('Margin Guidence Table'!$A$1:$A$10000=EJ14)*('Margin Guidence Table'!$I$1:$I$10000&lt;=ROUND($EB$3,0))*('Margin Guidence Table'!$J$1:$J$10000&gt;=ROUND($EB$3,0)),0),MATCH("CIA_MEDIAN_MARGIN_GUIDENCE",'Margin Guidence Table'!$A$1:$AG$1,0)),INDEX('Margin Guidence Table'!$A$1:$AG$10000,MATCH(1,('Margin Guidence Table'!$A$1:$A$10000=EJ14)*('Margin Guidence Table'!$I$1:$I$10000&lt;=ROUND($EB$3,0))*('Margin Guidence Table'!$J$1:$J$10000&gt;=ROUND($EB$3,0)),0),MATCH("DEFAULT_CIA_MEDIAN_MARGIN_GUIDENCE",'Margin Guidence Table'!$A$1:$AG$1,0))),0)))</f>
        <v>0</v>
      </c>
      <c r="EU14" s="126"/>
      <c r="EV14" s="18">
        <f t="array" ref="EV14">IF('Customer Inputs'!$W$10="End",0,IFERROR(IF($FI14="SEGMENT",INDEX('Margin Guidence Table'!$A$1:$AG$10000,MATCH(1,('Margin Guidence Table'!$A$1:$A$10000=$FG14)*('Margin Guidence Table'!$I$1:$I$10000&lt;=ROUND($EY$3,0))*('Margin Guidence Table'!$J$1:$J$10000&gt;=ROUND($EY$3,0)),0),MATCH("PCT_SALES",'Margin Guidence Table'!$A$1:$AG$1,0)),INDEX('Margin Guidence Table'!$A$1:$AG$10000,MATCH(1,('Margin Guidence Table'!$A$1:$A$10000=$FG14)*('Margin Guidence Table'!$I$1:$I$10000&lt;=ROUND($EY$3,0))*('Margin Guidence Table'!$J$1:$J$10000&gt;=ROUND($EY$3,0)),0),MATCH("DEFAULT_PCT_SALES",'Margin Guidence Table'!$A$1:$AG$1,0))),0))</f>
        <v>0</v>
      </c>
      <c r="EW14" s="297" t="e">
        <f>EV14/$EV$35</f>
        <v>#DIV/0!</v>
      </c>
      <c r="EX14" s="99" t="s">
        <v>99</v>
      </c>
      <c r="EY14" s="91">
        <f>IF('Customer Inputs'!$W$10="End",0,IFERROR(IF(AND($EY$2&lt;&gt;"Enter Spend&gt;&gt;&gt;",$EZ$2="EXISTING"),SUMIFS('Existing Customers'!$Q:$Q,'Existing Customers'!$A:$A,$EY$1,'Existing Customers'!$H:$H,$EX14)*$EY$4,$EY$3*$EW14),0))</f>
        <v>0</v>
      </c>
      <c r="EZ14" s="86">
        <f>IF('Customer Inputs'!$W$10="End",0,IFERROR(IF(AND($EY$2&lt;&gt;"Enter Spend&gt;&gt;&gt;",$EZ$2="EXISTING"),SUMIFS('Existing Customers'!$N:$N,'Existing Customers'!$A:$A,$EY$1,'Existing Customers'!$H:$H,$EX14)*$EY$4,$EY14/$FJ14),0))</f>
        <v>0</v>
      </c>
      <c r="FA14" s="92">
        <f>IF('Customer Inputs'!$W$10="End",0,IFERROR(IF(AND($EY$2&lt;&gt;"Enter Spend&gt;&gt;&gt;",$EZ$2="EXISTING"),SUMIFS('Existing Customers'!$O:$O,'Existing Customers'!$H:$H,$EX14,'Existing Customers'!$A:$A,$EY$1)*$EY$4,$EZ14*$EY$8),0))</f>
        <v>0</v>
      </c>
      <c r="FB14" s="92">
        <f>IF('Customer Inputs'!$W$10="End",0,IFERROR(IF(AND($EY$2&lt;&gt;"Enter Spend&gt;&gt;&gt;",$EZ$2="EXISTING"),SUMIFS('Existing Customers'!$P:$P,'Existing Customers'!$A:$A,$EY$1,'Existing Customers'!$H:$H,$EX14)*$EY$4,$EY14/$FK14),0))</f>
        <v>0</v>
      </c>
      <c r="FC14" s="93">
        <f>IF('Customer Inputs'!$W$10="End",0,IFERROR(IF(AND($EY$2&lt;&gt;"Enter Spend&gt;&gt;&gt;",$EZ$2="EXISTING"),SUMIFS('Existing Customers'!$V:$V,'Existing Customers'!$H:$H,$EX14,'Existing Customers'!$A:$A,$EY$1)*$EY$4,0),0))</f>
        <v>0</v>
      </c>
      <c r="FD14" s="93">
        <f>IF('Customer Inputs'!$W$10="End",0,IFERROR(IF(AND($EY$2&lt;&gt;"Enter Spend&gt;&gt;&gt;",$EZ$2="EXISTING"),SUMIFS('Existing Customers'!$R:$R,'Existing Customers'!$H:$H,$EX14,'Existing Customers'!$A:$A,$EY$1)*$EY$4,0),0))</f>
        <v>0</v>
      </c>
      <c r="FE14" s="780">
        <f>IF('Customer Inputs'!$W$10="End",0,IFERROR(IF(AND($EY$2&lt;&gt;"Enter Spend&gt;&gt;&gt;",$EZ$2="EXISTING"),SUMIFS('Existing Customers'!$S:$S,'Existing Customers'!$H:$H,$EX14,'Existing Customers'!$A:$A,$EY$1)/SUMIFS('Existing Customers'!$Q:$Q,'Existing Customers'!$A:$A,$EY$1,'Existing Customers'!$H:$H,$EX14),FO14),0))</f>
        <v>0</v>
      </c>
      <c r="FF14" s="780">
        <f>IF('Customer Inputs'!$W$10="End",0,IFERROR(IF(AND($EY$2&lt;&gt;"Enter Spend&gt;&gt;&gt;",$EZ$2="EXISTING"),SUMIFS('Existing Customers'!$U:$U,'Existing Customers'!$H:$H,$EX14,'Existing Customers'!$A:$A,$EY$1)/SUMIFS('Existing Customers'!$Q:$Q,'Existing Customers'!$A:$A,$EY$1,'Existing Customers'!$H:$H,$EX14),FP14),0))</f>
        <v>0</v>
      </c>
      <c r="FG14" s="783" t="e">
        <f>_xlfn.CONCAT('Customer Inputs'!$AH$10,"_",EX14)</f>
        <v>#N/A</v>
      </c>
      <c r="FH14" s="783">
        <f t="array" ref="FH14">IF('Customer Inputs'!$W$10="End",0,IFERROR(INDEX('Margin Guidence Table'!$A$1:$AG$10000,MATCH(1,('Margin Guidence Table'!$A$1:$A$10000=FG14)*('Margin Guidence Table'!$I$1:$I$10000&lt;=ROUND($EY$3,0))*('Margin Guidence Table'!$J$1:$J$10000&gt;=ROUND($EY$3,0)),0),MATCH("DATA_POINTS",'Margin Guidence Table'!$A$1:$AG$1,0)),0))</f>
        <v>0</v>
      </c>
      <c r="FI14" s="780" t="str">
        <f>IF(FH14&gt;15,"SEGMENT","DEFAULT")</f>
        <v>DEFAULT</v>
      </c>
      <c r="FJ14" s="780">
        <f t="array" ref="FJ14">IF('Customer Inputs'!$W$10="End",0,IFERROR(IF($FI14="SEGMENT",INDEX('Margin Guidence Table'!$A$1:$AG$10000,MATCH(1,('Margin Guidence Table'!$A$1:$A$10000=FG14)*('Margin Guidence Table'!$I$1:$I$10000&lt;=ROUND($EY$3,0))*('Margin Guidence Table'!$J$1:$J$10000&gt;=ROUND($EY$3,0)),0),MATCH("SALES_CASE",'Margin Guidence Table'!$A$1:$AG$1,0)),INDEX('Margin Guidence Table'!$A$1:$AG$10000,MATCH(1,('Margin Guidence Table'!$A$1:$A$10000=FG14)*('Margin Guidence Table'!$I$1:$I$10000&lt;=ROUND($EY$3,0))*('Margin Guidence Table'!$J$1:$J$10000&gt;=ROUND($EY$3,0)),0),MATCH("DEFAULT_SALES_CASE",'Margin Guidence Table'!$A$1:$AG$1,0))),0))</f>
        <v>0</v>
      </c>
      <c r="FK14" s="780">
        <f t="array" ref="FK14">IF('Customer Inputs'!$W$10="End",0,IFERROR(IF($FI14="SEGMENT",INDEX('Margin Guidence Table'!$A$1:$AG$10000,MATCH(1,('Margin Guidence Table'!$A$1:$A$10000=FG14)*('Margin Guidence Table'!$I$1:$I$10000&lt;=ROUND($EY$3,0))*('Margin Guidence Table'!$J$1:$J$10000&gt;=ROUND($EY$3,0)),0),MATCH("SALES_LBS",'Margin Guidence Table'!$A$1:$AG$1,0)),INDEX('Margin Guidence Table'!$A$1:$AG$10000,MATCH(1,('Margin Guidence Table'!$A$1:$A$10000=FG14)*('Margin Guidence Table'!$I$1:$I$10000&lt;=ROUND($EY$3,0))*('Margin Guidence Table'!$J$1:$J$10000&gt;=ROUND($EY$3,0)),0),MATCH("DEFAULT_SALES_LBS",'Margin Guidence Table'!$A$1:$AG$1,0))),0))</f>
        <v>0</v>
      </c>
      <c r="FL14" s="784">
        <f t="array" ref="FL14">IF('Customer Inputs'!$W$10="End",0,IFERROR(IF($FI14="SEGMENT",INDEX('Margin Guidence Table'!$A$1:$AG$10000,MATCH(1,('Margin Guidence Table'!$A$1:$A$10000=FG14)*('Margin Guidence Table'!$I$1:$I$10000&lt;=ROUND($EY$3,0))*('Margin Guidence Table'!$J$1:$J$10000&gt;=ROUND($EY$3,0)),0),MATCH("MDA_MIN_MARGIN_GUIDENCE",'Margin Guidence Table'!$A$1:$AG$1,0)),INDEX('Margin Guidence Table'!$A$1:$AG$10000,MATCH(1,('Margin Guidence Table'!$A$1:$A$10000=FG14)*('Margin Guidence Table'!$I$1:$I$10000&lt;=ROUND($EY$3,0))*('Margin Guidence Table'!$J$1:$J$10000&gt;=ROUND($EY$3,0)),0),MATCH("DEFAULT_MDA_MIN_MARGIN_GUIDENCE",'Margin Guidence Table'!$A$1:$AG$1,0))),0))</f>
        <v>0</v>
      </c>
      <c r="FM14" s="784">
        <f t="array" ref="FM14">IF('Customer Inputs'!$W$10="End",0,IFERROR(IF($FI14="SEGMENT",INDEX('Margin Guidence Table'!$A$1:$AG$10000,MATCH(1,('Margin Guidence Table'!$A$1:$A$10000=FG14)*('Margin Guidence Table'!$I$1:$I$10000&lt;=ROUND($EY$3,0))*('Margin Guidence Table'!$J$1:$J$10000&gt;=ROUND($EY$3,0)),0),MATCH("MDA_MEDIAN_MARGIN_GUIDENCE",'Margin Guidence Table'!$A$1:$AG$1,0)),INDEX('Margin Guidence Table'!$A$1:$AG$10000,MATCH(1,('Margin Guidence Table'!$A$1:$A$10000=FG14)*('Margin Guidence Table'!$I$1:$I$10000&lt;=ROUND($EY$3,0))*('Margin Guidence Table'!$J$1:$J$10000&gt;=ROUND($EY$3,0)),0),MATCH("DEFAULT_MDA_MEDIAN_MARGIN_GUIDENCE",'Margin Guidence Table'!$A$1:$AG$1,0))),0))</f>
        <v>0</v>
      </c>
      <c r="FN14" s="784">
        <f t="array" ref="FN14">IF('Customer Inputs'!$W$10="End",0,IFERROR(IF($FI14="SEGMENT",INDEX('Margin Guidence Table'!$A$1:$AG$10000,MATCH(1,('Margin Guidence Table'!$A$1:$A$10000=FG14)*('Margin Guidence Table'!$I$1:$I$10000&lt;=ROUND($EY$3,0))*('Margin Guidence Table'!$J$1:$J$10000&gt;=ROUND($EY$3,0)),0),MATCH("MDA_MAX_MARGIN_GUIDENCE",'Margin Guidence Table'!$A$1:$AG$1,0)),INDEX('Margin Guidence Table'!$A$1:$AG$10000,MATCH(1,('Margin Guidence Table'!$A$1:$A$10000=FG14)*('Margin Guidence Table'!$I$1:$I$10000&lt;=ROUND($EY$3,0))*('Margin Guidence Table'!$J$1:$J$10000&gt;=ROUND($EY$3,0)),0),MATCH("DEFAULT_MDA_MAX_MARGIN_GUIDENCE",'Margin Guidence Table'!$A$1:$AG$1,0))),0))</f>
        <v>0</v>
      </c>
      <c r="FO14" s="784">
        <f t="array" ref="FO14">IF('Customer Inputs'!$W$10="End",0,IFERROR(IF($FI14="SEGMENT",INDEX('Margin Guidence Table'!$A$1:$AG$10000,MATCH(1,('Margin Guidence Table'!$A$1:$A$10000=FG14)*('Margin Guidence Table'!$I$1:$I$10000&lt;=ROUND($EY$3,0))*('Margin Guidence Table'!$J$1:$J$10000&gt;=ROUND($EY$3,0)),0),MATCH("PA_PCT_SALES",'Margin Guidence Table'!$A$1:$AG$1,0)),INDEX('Margin Guidence Table'!$A$1:$AG$10000,MATCH(1,('Margin Guidence Table'!$A$1:$A$10000=FG14)*('Margin Guidence Table'!$I$1:$I$10000&lt;=ROUND($EY$3,0))*('Margin Guidence Table'!$J$1:$J$10000&gt;=ROUND($EY$3,0)),0),MATCH("DEFAULT_PA_PCT_SALES",'Margin Guidence Table'!$A$1:$AG$1,0))),0))</f>
        <v>0</v>
      </c>
      <c r="FP14" s="784">
        <f t="array" ref="FP14">IF('Customer Inputs'!$W$10="End",0,IFERROR(IF($FI14="SEGMENT",INDEX('Margin Guidence Table'!$A$1:$AG$10000,MATCH(1,('Margin Guidence Table'!$A$1:$A$10000=FG14)*('Margin Guidence Table'!$I$1:$I$10000&lt;=ROUND($EY$3,0))*('Margin Guidence Table'!$J$1:$J$10000&gt;=ROUND($EY$3,0)),0),MATCH("SELF_FUND_PCT_SALES",'Margin Guidence Table'!$A$1:$AG$1,0)),INDEX('Margin Guidence Table'!$A$1:$AG$10000,MATCH(1,('Margin Guidence Table'!$A$1:$A$10000=FG14)*('Margin Guidence Table'!$I$1:$I$10000&lt;=ROUND($EY$3,0))*('Margin Guidence Table'!$J$1:$J$10000&gt;=ROUND($EY$3,0)),0),MATCH("DEFAULT_SELF_FUND_PCT_SALES",'Margin Guidence Table'!$A$1:$AG$1,0))),0))</f>
        <v>0</v>
      </c>
      <c r="FQ14" s="784">
        <f t="array" ref="FQ14">IF('Customer Inputs'!$W$10="End",0,IF($EZ$2="Existing",IFERROR(SUMIFS('Existing Customers'!$V:$V,'Existing Customers'!$H:$H,$EX14,'Existing Customers'!$A:$A,$EY$1)/SUMIFS('Existing Customers'!$Q:$Q,'Existing Customers'!$H:$H,$EX14,'Existing Customers'!$A:$A,$EY$1),0),IFERROR(IF($FI14="SEGMENT",INDEX('Margin Guidence Table'!$A$1:$AG$10000,MATCH(1,('Margin Guidence Table'!$A$1:$A$10000=FG14)*('Margin Guidence Table'!$I$1:$I$10000&lt;=ROUND($EY$3,0))*('Margin Guidence Table'!$J$1:$J$10000&gt;=ROUND($EY$3,0)),0),MATCH("CIA_MEDIAN_MARGIN_GUIDENCE",'Margin Guidence Table'!$A$1:$AG$1,0)),INDEX('Margin Guidence Table'!$A$1:$AG$10000,MATCH(1,('Margin Guidence Table'!$A$1:$A$10000=FG14)*('Margin Guidence Table'!$I$1:$I$10000&lt;=ROUND($EY$3,0))*('Margin Guidence Table'!$J$1:$J$10000&gt;=ROUND($EY$3,0)),0),MATCH("DEFAULT_CIA_MEDIAN_MARGIN_GUIDENCE",'Margin Guidence Table'!$A$1:$AG$1,0))),0)))</f>
        <v>0</v>
      </c>
      <c r="FR14" s="126"/>
      <c r="FS14" s="18">
        <f t="array" ref="FS14">IF('Customer Inputs'!$W$11="End",0,IFERROR(IF($GF14="SEGMENT",INDEX('Margin Guidence Table'!$A$1:$AG$10000,MATCH(1,('Margin Guidence Table'!$A$1:$A$10000=$GD14)*('Margin Guidence Table'!$I$1:$I$10000&lt;=ROUND($FV$3,0))*('Margin Guidence Table'!$J$1:$J$10000&gt;=ROUND($FV$3,0)),0),MATCH("PCT_SALES",'Margin Guidence Table'!$A$1:$AG$1,0)),INDEX('Margin Guidence Table'!$A$1:$AG$10000,MATCH(1,('Margin Guidence Table'!$A$1:$A$10000=$GD14)*('Margin Guidence Table'!$I$1:$I$10000&lt;=ROUND($FV$3,0))*('Margin Guidence Table'!$J$1:$J$10000&gt;=ROUND($FV$3,0)),0),MATCH("DEFAULT_PCT_SALES",'Margin Guidence Table'!$A$1:$AG$1,0))),0))</f>
        <v>0</v>
      </c>
      <c r="FT14" s="297" t="e">
        <f>FS14/$FS$35</f>
        <v>#DIV/0!</v>
      </c>
      <c r="FU14" s="99" t="s">
        <v>99</v>
      </c>
      <c r="FV14" s="91">
        <f>IF('Customer Inputs'!$W$11="End",0,IFERROR(IF(AND($FV$2&lt;&gt;"Enter Spend&gt;&gt;&gt;",$FW$2="EXISTING"),SUMIFS('Existing Customers'!$Q:$Q,'Existing Customers'!$A:$A,$FV$1,'Existing Customers'!$H:$H,$FU14)*$FV$4,$FV$3*$FT14),0))</f>
        <v>0</v>
      </c>
      <c r="FW14" s="86">
        <f>IF('Customer Inputs'!$W$11="End",0,IFERROR(IF(AND($FV$2&lt;&gt;"Enter Spend&gt;&gt;&gt;",$FW$2="EXISTING"),SUMIFS('Existing Customers'!$N:$N,'Existing Customers'!$A:$A,$FV$1,'Existing Customers'!$H:$H,$FU14)*$FV$4,$FV14/$GG14),0))</f>
        <v>0</v>
      </c>
      <c r="FX14" s="92">
        <f>IF('Customer Inputs'!$W$11="End",0,IFERROR(IF(AND($FV$2&lt;&gt;"Enter Spend&gt;&gt;&gt;",$FW$2="EXISTING"),SUMIFS('Existing Customers'!$O:$O,'Existing Customers'!$H:$H,$FU14,'Existing Customers'!$A:$A,$FV$1)*$FV$4,$FW14*$FV$8),0))</f>
        <v>0</v>
      </c>
      <c r="FY14" s="92">
        <f>IF('Customer Inputs'!$W$11="End",0,IFERROR(IF(AND($FV$2&lt;&gt;"Enter Spend&gt;&gt;&gt;",$FW$2="EXISTING"),SUMIFS('Existing Customers'!$P:$P,'Existing Customers'!$A:$A,$FV$1,'Existing Customers'!$H:$H,$FU14)*$FV$4,$FV14/$GH14),0))</f>
        <v>0</v>
      </c>
      <c r="FZ14" s="93">
        <f>IF('Customer Inputs'!$W$11="End",0,IFERROR(IF(AND($FV$2&lt;&gt;"Enter Spend&gt;&gt;&gt;",$FW$2="EXISTING"),SUMIFS('Existing Customers'!$V:$V,'Existing Customers'!$H:$H,$FU14,'Existing Customers'!$A:$A,$FV$1)*$FV$4,0),0))</f>
        <v>0</v>
      </c>
      <c r="GA14" s="93">
        <f>IF('Customer Inputs'!$W$11="End",0,IFERROR(IF(AND($FV$2&lt;&gt;"Enter Spend&gt;&gt;&gt;",$FW$2="EXISTING"),SUMIFS('Existing Customers'!$R:$R,'Existing Customers'!$H:$H,$FU14,'Existing Customers'!$A:$A,$FV$1)*$FV$4,0),0))</f>
        <v>0</v>
      </c>
      <c r="GB14" s="780">
        <f>IF('Customer Inputs'!$W$11="End",0,IFERROR(IF(AND($FV$2&lt;&gt;"Enter Spend&gt;&gt;&gt;",$FW$2="EXISTING"),SUMIFS('Existing Customers'!$S:$S,'Existing Customers'!$H:$H,$FU14,'Existing Customers'!$A:$A,$FV$1)/SUMIFS('Existing Customers'!$Q:$Q,'Existing Customers'!$A:$A,$FV$1,'Existing Customers'!$H:$H,$FU14),GL14),0))</f>
        <v>0</v>
      </c>
      <c r="GC14" s="780">
        <f>IF('Customer Inputs'!$W$11="End",0,IFERROR(IF(AND($FV$2&lt;&gt;"Enter Spend&gt;&gt;&gt;",$FW$2="EXISTING"),SUMIFS('Existing Customers'!$U:$U,'Existing Customers'!$H:$H,$FU14,'Existing Customers'!$A:$A,$FV$1)/SUMIFS('Existing Customers'!$Q:$Q,'Existing Customers'!$A:$A,$FV$1,'Existing Customers'!$H:$H,$FU14),GM14),0))</f>
        <v>0</v>
      </c>
      <c r="GD14" s="783" t="e">
        <f>_xlfn.CONCAT('Customer Inputs'!$AH$11,"_",FU14)</f>
        <v>#N/A</v>
      </c>
      <c r="GE14" s="783">
        <f t="array" ref="GE14">IF('Customer Inputs'!$W$11="End",0,IFERROR(INDEX('Margin Guidence Table'!$A$1:$AG$10000,MATCH(1,('Margin Guidence Table'!$A$1:$A$10000=GD14)*('Margin Guidence Table'!$I$1:$I$10000&lt;=ROUND($FV$3,0))*('Margin Guidence Table'!$J$1:$J$10000&gt;=ROUND($FV$3,0)),0),MATCH("DATA_POINTS",'Margin Guidence Table'!$A$1:$AG$1,0)),0))</f>
        <v>0</v>
      </c>
      <c r="GF14" s="780" t="str">
        <f>IF(GE14&gt;15,"SEGMENT","DEFAULT")</f>
        <v>DEFAULT</v>
      </c>
      <c r="GG14" s="780">
        <f t="array" ref="GG14">IF('Customer Inputs'!$W$11="End",0,IFERROR(IF($GF14="SEGMENT",INDEX('Margin Guidence Table'!$A$1:$AG$10000,MATCH(1,('Margin Guidence Table'!$A$1:$A$10000=GD14)*('Margin Guidence Table'!$I$1:$I$10000&lt;=ROUND($FV$3,0))*('Margin Guidence Table'!$J$1:$J$10000&gt;=ROUND($FV$3,0)),0),MATCH("SALES_CASE",'Margin Guidence Table'!$A$1:$AG$1,0)),INDEX('Margin Guidence Table'!$A$1:$AG$10000,MATCH(1,('Margin Guidence Table'!$A$1:$A$10000=GD14)*('Margin Guidence Table'!$I$1:$I$10000&lt;=ROUND($FV$3,0))*('Margin Guidence Table'!$J$1:$J$10000&gt;=ROUND($FV$3,0)),0),MATCH("DEFAULT_SALES_CASE",'Margin Guidence Table'!$A$1:$AG$1,0))),0))</f>
        <v>0</v>
      </c>
      <c r="GH14" s="780">
        <f t="array" ref="GH14">IF('Customer Inputs'!$W$11="End",0,IFERROR(IF($GF14="SEGMENT",INDEX('Margin Guidence Table'!$A$1:$AG$10000,MATCH(1,('Margin Guidence Table'!$A$1:$A$10000=GD14)*('Margin Guidence Table'!$I$1:$I$10000&lt;=ROUND($FV$3,0))*('Margin Guidence Table'!$J$1:$J$10000&gt;=ROUND($FV$3,0)),0),MATCH("SALES_LBS",'Margin Guidence Table'!$A$1:$AG$1,0)),INDEX('Margin Guidence Table'!$A$1:$AG$10000,MATCH(1,('Margin Guidence Table'!$A$1:$A$10000=GD14)*('Margin Guidence Table'!$I$1:$I$10000&lt;=ROUND($FV$3,0))*('Margin Guidence Table'!$J$1:$J$10000&gt;=ROUND($FV$3,0)),0),MATCH("DEFAULT_SALES_LBS",'Margin Guidence Table'!$A$1:$AG$1,0))),0))</f>
        <v>0</v>
      </c>
      <c r="GI14" s="784">
        <f t="array" ref="GI14">IF('Customer Inputs'!$W$11="End",0,IFERROR(IF($GF14="SEGMENT",INDEX('Margin Guidence Table'!$A$1:$AG$10000,MATCH(1,('Margin Guidence Table'!$A$1:$A$10000=GD14)*('Margin Guidence Table'!$I$1:$I$10000&lt;=ROUND($FV$3,0))*('Margin Guidence Table'!$J$1:$J$10000&gt;=ROUND($FV$3,0)),0),MATCH("MDA_MIN_MARGIN_GUIDENCE",'Margin Guidence Table'!$A$1:$AG$1,0)),INDEX('Margin Guidence Table'!$A$1:$AG$10000,MATCH(1,('Margin Guidence Table'!$A$1:$A$10000=GD14)*('Margin Guidence Table'!$I$1:$I$10000&lt;=ROUND($FV$3,0))*('Margin Guidence Table'!$J$1:$J$10000&gt;=ROUND($FV$3,0)),0),MATCH("DEFAULT_MDA_MIN_MARGIN_GUIDENCE",'Margin Guidence Table'!$A$1:$AG$1,0))),0))</f>
        <v>0</v>
      </c>
      <c r="GJ14" s="784">
        <f t="array" ref="GJ14">IF('Customer Inputs'!$W$11="End",0,IFERROR(IF($GF14="SEGMENT",INDEX('Margin Guidence Table'!$A$1:$AG$10000,MATCH(1,('Margin Guidence Table'!$A$1:$A$10000=GD14)*('Margin Guidence Table'!$I$1:$I$10000&lt;=ROUND($FV$3,0))*('Margin Guidence Table'!$J$1:$J$10000&gt;=ROUND($FV$3,0)),0),MATCH("MDA_MEDIAN_MARGIN_GUIDENCE",'Margin Guidence Table'!$A$1:$AG$1,0)),INDEX('Margin Guidence Table'!$A$1:$AG$10000,MATCH(1,('Margin Guidence Table'!$A$1:$A$10000=GD14)*('Margin Guidence Table'!$I$1:$I$10000&lt;=ROUND($FV$3,0))*('Margin Guidence Table'!$J$1:$J$10000&gt;=ROUND($FV$3,0)),0),MATCH("DEFAULT_MDA_MEDIAN_MARGIN_GUIDENCE",'Margin Guidence Table'!$A$1:$AG$1,0))),0))</f>
        <v>0</v>
      </c>
      <c r="GK14" s="784">
        <f t="array" ref="GK14">IF('Customer Inputs'!$W$11="End",0,IFERROR(IF($GF14="SEGMENT",INDEX('Margin Guidence Table'!$A$1:$AG$10000,MATCH(1,('Margin Guidence Table'!$A$1:$A$10000=GD14)*('Margin Guidence Table'!$I$1:$I$10000&lt;=ROUND($FV$3,0))*('Margin Guidence Table'!$J$1:$J$10000&gt;=ROUND($FV$3,0)),0),MATCH("MDA_MAX_MARGIN_GUIDENCE",'Margin Guidence Table'!$A$1:$AG$1,0)),INDEX('Margin Guidence Table'!$A$1:$AG$10000,MATCH(1,('Margin Guidence Table'!$A$1:$A$10000=GD14)*('Margin Guidence Table'!$I$1:$I$10000&lt;=ROUND($FV$3,0))*('Margin Guidence Table'!$J$1:$J$10000&gt;=ROUND($FV$3,0)),0),MATCH("DEFAULT_MDA_MAX_MARGIN_GUIDENCE",'Margin Guidence Table'!$A$1:$AG$1,0))),0))</f>
        <v>0</v>
      </c>
      <c r="GL14" s="784">
        <f t="array" ref="GL14">IF('Customer Inputs'!$W$11="End",0,IFERROR(IF($GF14="SEGMENT",INDEX('Margin Guidence Table'!$A$1:$AG$10000,MATCH(1,('Margin Guidence Table'!$A$1:$A$10000=GD14)*('Margin Guidence Table'!$I$1:$I$10000&lt;=ROUND($FV$3,0))*('Margin Guidence Table'!$J$1:$J$10000&gt;=ROUND($FV$3,0)),0),MATCH("PA_PCT_SALES",'Margin Guidence Table'!$A$1:$AG$1,0)),INDEX('Margin Guidence Table'!$A$1:$AG$10000,MATCH(1,('Margin Guidence Table'!$A$1:$A$10000=GD14)*('Margin Guidence Table'!$I$1:$I$10000&lt;=ROUND($FV$3,0))*('Margin Guidence Table'!$J$1:$J$10000&gt;=ROUND($FV$3,0)),0),MATCH("DEFAULT_PA_PCT_SALES",'Margin Guidence Table'!$A$1:$AG$1,0))),0))</f>
        <v>0</v>
      </c>
      <c r="GM14" s="784">
        <f t="array" ref="GM14">IF('Customer Inputs'!$W$11="End",0,IFERROR(IF($GF14="SEGMENT",INDEX('Margin Guidence Table'!$A$1:$AG$10000,MATCH(1,('Margin Guidence Table'!$A$1:$A$10000=GD14)*('Margin Guidence Table'!$I$1:$I$10000&lt;=ROUND($FV$3,0))*('Margin Guidence Table'!$J$1:$J$10000&gt;=ROUND($FV$3,0)),0),MATCH("SELF_FUND_PCT_SALES",'Margin Guidence Table'!$A$1:$AG$1,0)),INDEX('Margin Guidence Table'!$A$1:$AG$10000,MATCH(1,('Margin Guidence Table'!$A$1:$A$10000=GD14)*('Margin Guidence Table'!$I$1:$I$10000&lt;=ROUND($FV$3,0))*('Margin Guidence Table'!$J$1:$J$10000&gt;=ROUND($FV$3,0)),0),MATCH("DEFAULT_SELF_FUND_PCT_SALES",'Margin Guidence Table'!$A$1:$AG$1,0))),0))</f>
        <v>0</v>
      </c>
      <c r="GN14" s="784">
        <f t="array" ref="GN14">IF('Customer Inputs'!$W$11="End",0,IF($FW$2="Existing",IFERROR(SUMIFS('Existing Customers'!$V:$V,'Existing Customers'!$H:$H,$FU14,'Existing Customers'!$A:$A,$FV$1)/SUMIFS('Existing Customers'!$Q:$Q,'Existing Customers'!$H:$H,$FU14,'Existing Customers'!$A:$A,$FV$1),0),IFERROR(IF($GF14="SEGMENT",INDEX('Margin Guidence Table'!$A$1:$AG$10000,MATCH(1,('Margin Guidence Table'!$A$1:$A$10000=GD14)*('Margin Guidence Table'!$I$1:$I$10000&lt;=ROUND($FV$3,0))*('Margin Guidence Table'!$J$1:$J$10000&gt;=ROUND($FV$3,0)),0),MATCH("CIA_MEDIAN_MARGIN_GUIDENCE",'Margin Guidence Table'!$A$1:$AG$1,0)),INDEX('Margin Guidence Table'!$A$1:$AG$10000,MATCH(1,('Margin Guidence Table'!$A$1:$A$10000=GD14)*('Margin Guidence Table'!$I$1:$I$10000&lt;=ROUND($FV$3,0))*('Margin Guidence Table'!$J$1:$J$10000&gt;=ROUND($FV$3,0)),0),MATCH("DEFAULT_CIA_MEDIAN_MARGIN_GUIDENCE",'Margin Guidence Table'!$A$1:$AG$1,0))),0)))</f>
        <v>0</v>
      </c>
      <c r="GO14" s="126"/>
      <c r="GP14" s="18">
        <f t="array" ref="GP14">IF('Customer Inputs'!$W$12="End",0,IFERROR(IF($HC14="SEGMENT",INDEX('Margin Guidence Table'!$A$1:$AG$10000,MATCH(1,('Margin Guidence Table'!$A$1:$A$10000=$HA14)*('Margin Guidence Table'!$I$1:$I$10000&lt;=ROUND($GS$3,0))*('Margin Guidence Table'!$J$1:$J$10000&gt;=ROUND($GS$3,0)),0),MATCH("PCT_SALES",'Margin Guidence Table'!$A$1:$AG$1,0)),INDEX('Margin Guidence Table'!$A$1:$AG$10000,MATCH(1,('Margin Guidence Table'!$A$1:$A$10000=$HA14)*('Margin Guidence Table'!$I$1:$I$10000&lt;=ROUND($GS$3,0))*('Margin Guidence Table'!$J$1:$J$10000&gt;=ROUND($GS$3,0)),0),MATCH("DEFAULT_PCT_SALES",'Margin Guidence Table'!$A$1:$AG$1,0))),0))</f>
        <v>0</v>
      </c>
      <c r="GQ14" s="297" t="e">
        <f>GP14/$GP$35</f>
        <v>#DIV/0!</v>
      </c>
      <c r="GR14" s="99" t="s">
        <v>99</v>
      </c>
      <c r="GS14" s="91">
        <f>IF('Customer Inputs'!$W$12="End",0,IFERROR(IF(AND($GS$2&lt;&gt;"Enter Spend&gt;&gt;&gt;",$GT$2="EXISTING"),SUMIFS('Existing Customers'!$Q:$Q,'Existing Customers'!$A:$A,$GS$1,'Existing Customers'!$H:$H,$GR14)*$GS$4,$GS$3*$GQ14),0))</f>
        <v>0</v>
      </c>
      <c r="GT14" s="86">
        <f>IF('Customer Inputs'!$W$12="End",0,IFERROR(IF(AND($GS$2&lt;&gt;"Enter Spend&gt;&gt;&gt;",$GT$2="EXISTING"),SUMIFS('Existing Customers'!$N:$N,'Existing Customers'!$A:$A,$GS$1,'Existing Customers'!$H:$H,$GR14)*$GS$4,$GS14/$HD14),0))</f>
        <v>0</v>
      </c>
      <c r="GU14" s="92">
        <f>IF('Customer Inputs'!$W$12="End",0,IFERROR(IF(AND($GS$2&lt;&gt;"Enter Spend&gt;&gt;&gt;",$GT$2="EXISTING"),SUMIFS('Existing Customers'!$O:$O,'Existing Customers'!$H:$H,$GR14,'Existing Customers'!$A:$A,$GS$1)*$GS$4,$GT14*$GS$8),0))</f>
        <v>0</v>
      </c>
      <c r="GV14" s="92">
        <f>IF('Customer Inputs'!$W$12="End",0,IFERROR(IF(AND($GS$2&lt;&gt;"Enter Spend&gt;&gt;&gt;",$GT$2="EXISTING"),SUMIFS('Existing Customers'!$P:$P,'Existing Customers'!$A:$A,$GS$1,'Existing Customers'!$H:$H,$GR14)*$GS$4,$GS14/$HE14),0))</f>
        <v>0</v>
      </c>
      <c r="GW14" s="93">
        <f>IF('Customer Inputs'!$W$12="End",0,IFERROR(IF(AND($GS$2&lt;&gt;"Enter Spend&gt;&gt;&gt;",$GT$2="EXISTING"),SUMIFS('Existing Customers'!$V:$V,'Existing Customers'!$H:$H,$GR14,'Existing Customers'!$A:$A,$GS$1)*$GS$4,0),0))</f>
        <v>0</v>
      </c>
      <c r="GX14" s="93">
        <f>IF('Customer Inputs'!$W$12="End",0,IFERROR(IF(AND($GS$2&lt;&gt;"Enter Spend&gt;&gt;&gt;",$GT$2="EXISTING"),SUMIFS('Existing Customers'!$R:$R,'Existing Customers'!$H:$H,$GR14,'Existing Customers'!$A:$A,$GS$1)*$GS$4,0),0))</f>
        <v>0</v>
      </c>
      <c r="GY14" s="780">
        <f>IF('Customer Inputs'!$W$12="End",0,IFERROR(IF(AND($GS$2&lt;&gt;"Enter Spend&gt;&gt;&gt;",$GT$2="EXISTING"),SUMIFS('Existing Customers'!$S:$S,'Existing Customers'!$H:$H,$GR14,'Existing Customers'!$A:$A,$GS$1)/SUMIFS('Existing Customers'!$Q:$Q,'Existing Customers'!$A:$A,$GS$1,'Existing Customers'!$H:$H,$GR14),HI14),0))</f>
        <v>0</v>
      </c>
      <c r="GZ14" s="780">
        <f>IF('Customer Inputs'!$W$12="End",0,IFERROR(IF(AND($GS$2&lt;&gt;"Enter Spend&gt;&gt;&gt;",$GT$2="EXISTING"),SUMIFS('Existing Customers'!$U:$U,'Existing Customers'!$H:$H,$GR14,'Existing Customers'!$A:$A,$GS$1)/SUMIFS('Existing Customers'!$Q:$Q,'Existing Customers'!$A:$A,$GS$1,'Existing Customers'!$H:$H,$GR14),HJ14),0))</f>
        <v>0</v>
      </c>
      <c r="HA14" s="783" t="e">
        <f>_xlfn.CONCAT('Customer Inputs'!$AH$12,"_",GR14)</f>
        <v>#N/A</v>
      </c>
      <c r="HB14" s="783">
        <f t="array" ref="HB14">IF('Customer Inputs'!$W$12="End",0,IFERROR(INDEX('Margin Guidence Table'!$A$1:$AG$10000,MATCH(1,('Margin Guidence Table'!$A$1:$A$10000=HA14)*('Margin Guidence Table'!$I$1:$I$10000&lt;=ROUND($GS$3,0))*('Margin Guidence Table'!$J$1:$J$10000&gt;=ROUND($GS$3,0)),0),MATCH("DATA_POINTS",'Margin Guidence Table'!$A$1:$AG$1,0)),0))</f>
        <v>0</v>
      </c>
      <c r="HC14" s="780" t="str">
        <f>IF(HB14&gt;15,"SEGMENT","DEFAULT")</f>
        <v>DEFAULT</v>
      </c>
      <c r="HD14" s="780">
        <f t="array" ref="HD14">IF('Customer Inputs'!$W$12="End",0,IFERROR(IF($HC14="SEGMENT",INDEX('Margin Guidence Table'!$A$1:$AG$10000,MATCH(1,('Margin Guidence Table'!$A$1:$A$10000=HA14)*('Margin Guidence Table'!$I$1:$I$10000&lt;=ROUND($GS$3,0))*('Margin Guidence Table'!$J$1:$J$10000&gt;=ROUND($GS$3,0)),0),MATCH("SALES_CASE",'Margin Guidence Table'!$A$1:$AG$1,0)),INDEX('Margin Guidence Table'!$A$1:$AG$10000,MATCH(1,('Margin Guidence Table'!$A$1:$A$10000=HA14)*('Margin Guidence Table'!$I$1:$I$10000&lt;=ROUND($GS$3,0))*('Margin Guidence Table'!$J$1:$J$10000&gt;=ROUND($GS$3,0)),0),MATCH("DEFAULT_SALES_CASE",'Margin Guidence Table'!$A$1:$AG$1,0))),0))</f>
        <v>0</v>
      </c>
      <c r="HE14" s="780">
        <f t="array" ref="HE14">IF('Customer Inputs'!$W$12="End",0,IFERROR(IF($HC14="SEGMENT",INDEX('Margin Guidence Table'!$A$1:$AG$10000,MATCH(1,('Margin Guidence Table'!$A$1:$A$10000=HA14)*('Margin Guidence Table'!$I$1:$I$10000&lt;=ROUND($GS$3,0))*('Margin Guidence Table'!$J$1:$J$10000&gt;=ROUND($GS$3,0)),0),MATCH("SALES_LBS",'Margin Guidence Table'!$A$1:$AG$1,0)),INDEX('Margin Guidence Table'!$A$1:$AG$10000,MATCH(1,('Margin Guidence Table'!$A$1:$A$10000=HA14)*('Margin Guidence Table'!$I$1:$I$10000&lt;=ROUND($GS$3,0))*('Margin Guidence Table'!$J$1:$J$10000&gt;=ROUND($GS$3,0)),0),MATCH("DEFAULT_SALES_LBS",'Margin Guidence Table'!$A$1:$AG$1,0))),0))</f>
        <v>0</v>
      </c>
      <c r="HF14" s="784">
        <f t="array" ref="HF14">IF('Customer Inputs'!$W$12="End",0,IFERROR(IF($HC14="SEGMENT",INDEX('Margin Guidence Table'!$A$1:$AG$10000,MATCH(1,('Margin Guidence Table'!$A$1:$A$10000=HA14)*('Margin Guidence Table'!$I$1:$I$10000&lt;=ROUND($GS$3,0))*('Margin Guidence Table'!$J$1:$J$10000&gt;=ROUND($GS$3,0)),0),MATCH("MDA_MIN_MARGIN_GUIDENCE",'Margin Guidence Table'!$A$1:$AG$1,0)),INDEX('Margin Guidence Table'!$A$1:$AG$10000,MATCH(1,('Margin Guidence Table'!$A$1:$A$10000=HA14)*('Margin Guidence Table'!$I$1:$I$10000&lt;=ROUND($GS$3,0))*('Margin Guidence Table'!$J$1:$J$10000&gt;=ROUND($GS$3,0)),0),MATCH("DEFAULT_MDA_MIN_MARGIN_GUIDENCE",'Margin Guidence Table'!$A$1:$AG$1,0))),0))</f>
        <v>0</v>
      </c>
      <c r="HG14" s="784">
        <f t="array" ref="HG14">IF('Customer Inputs'!$W$12="End",0,IFERROR(IF($HC14="SEGMENT",INDEX('Margin Guidence Table'!$A$1:$AG$10000,MATCH(1,('Margin Guidence Table'!$A$1:$A$10000=HA14)*('Margin Guidence Table'!$I$1:$I$10000&lt;=ROUND($GS$3,0))*('Margin Guidence Table'!$J$1:$J$10000&gt;=ROUND($GS$3,0)),0),MATCH("MDA_MEDIAN_MARGIN_GUIDENCE",'Margin Guidence Table'!$A$1:$AG$1,0)),INDEX('Margin Guidence Table'!$A$1:$AG$10000,MATCH(1,('Margin Guidence Table'!$A$1:$A$10000=HA14)*('Margin Guidence Table'!$I$1:$I$10000&lt;=ROUND($GS$3,0))*('Margin Guidence Table'!$J$1:$J$10000&gt;=ROUND($GS$3,0)),0),MATCH("DEFAULT_MDA_MEDIAN_MARGIN_GUIDENCE",'Margin Guidence Table'!$A$1:$AG$1,0))),0))</f>
        <v>0</v>
      </c>
      <c r="HH14" s="784">
        <f t="array" ref="HH14">IF('Customer Inputs'!$W$12="End",0,IFERROR(IF($HC14="SEGMENT",INDEX('Margin Guidence Table'!$A$1:$AG$10000,MATCH(1,('Margin Guidence Table'!$A$1:$A$10000=HA14)*('Margin Guidence Table'!$I$1:$I$10000&lt;=ROUND($GS$3,0))*('Margin Guidence Table'!$J$1:$J$10000&gt;=ROUND($GS$3,0)),0),MATCH("MDA_MAX_MARGIN_GUIDENCE",'Margin Guidence Table'!$A$1:$AG$1,0)),INDEX('Margin Guidence Table'!$A$1:$AG$10000,MATCH(1,('Margin Guidence Table'!$A$1:$A$10000=HA14)*('Margin Guidence Table'!$I$1:$I$10000&lt;=ROUND($GS$3,0))*('Margin Guidence Table'!$J$1:$J$10000&gt;=ROUND($GS$3,0)),0),MATCH("DEFAULT_MDA_MAX_MARGIN_GUIDENCE",'Margin Guidence Table'!$A$1:$AG$1,0))),0))</f>
        <v>0</v>
      </c>
      <c r="HI14" s="784">
        <f t="array" ref="HI14">IF('Customer Inputs'!$W$12="End",0,IFERROR(IF($HC14="SEGMENT",INDEX('Margin Guidence Table'!$A$1:$AG$10000,MATCH(1,('Margin Guidence Table'!$A$1:$A$10000=HA14)*('Margin Guidence Table'!$I$1:$I$10000&lt;=ROUND($GS$3,0))*('Margin Guidence Table'!$J$1:$J$10000&gt;=ROUND($GS$3,0)),0),MATCH("PA_PCT_SALES",'Margin Guidence Table'!$A$1:$AG$1,0)),INDEX('Margin Guidence Table'!$A$1:$AG$10000,MATCH(1,('Margin Guidence Table'!$A$1:$A$10000=HA14)*('Margin Guidence Table'!$I$1:$I$10000&lt;=ROUND($GS$3,0))*('Margin Guidence Table'!$J$1:$J$10000&gt;=ROUND($GS$3,0)),0),MATCH("DEFAULT_PA_PCT_SALES",'Margin Guidence Table'!$A$1:$AG$1,0))),0))</f>
        <v>0</v>
      </c>
      <c r="HJ14" s="784">
        <f t="array" ref="HJ14">IF('Customer Inputs'!$W$12="End",0,IFERROR(IF($HC14="SEGMENT",INDEX('Margin Guidence Table'!$A$1:$AG$10000,MATCH(1,('Margin Guidence Table'!$A$1:$A$10000=HA14)*('Margin Guidence Table'!$I$1:$I$10000&lt;=ROUND($GS$3,0))*('Margin Guidence Table'!$J$1:$J$10000&gt;=ROUND($GS$3,0)),0),MATCH("SELF_FUND_PCT_SALES",'Margin Guidence Table'!$A$1:$AG$1,0)),INDEX('Margin Guidence Table'!$A$1:$AG$10000,MATCH(1,('Margin Guidence Table'!$A$1:$A$10000=HA14)*('Margin Guidence Table'!$I$1:$I$10000&lt;=ROUND($GS$3,0))*('Margin Guidence Table'!$J$1:$J$10000&gt;=ROUND($GS$3,0)),0),MATCH("DEFAULT_SELF_FUND_PCT_SALES",'Margin Guidence Table'!$A$1:$AG$1,0))),0))</f>
        <v>0</v>
      </c>
      <c r="HK14" s="784">
        <f t="array" ref="HK14">IF('Customer Inputs'!$W$12="End",0,IF($GT$2="Existing",IFERROR(SUMIFS('Existing Customers'!$V:$V,'Existing Customers'!$H:$H,$GR14,'Existing Customers'!$A:$A,$GS$1)/SUMIFS('Existing Customers'!$Q:$Q,'Existing Customers'!$H:$H,$GR14,'Existing Customers'!$A:$A,$GS$1),0),IFERROR(IF($HC14="SEGMENT",INDEX('Margin Guidence Table'!$A$1:$AG$10000,MATCH(1,('Margin Guidence Table'!$A$1:$A$10000=HA14)*('Margin Guidence Table'!$I$1:$I$10000&lt;=ROUND($GS$3,0))*('Margin Guidence Table'!$J$1:$J$10000&gt;=ROUND($GS$3,0)),0),MATCH("CIA_MEDIAN_MARGIN_GUIDENCE",'Margin Guidence Table'!$A$1:$AG$1,0)),INDEX('Margin Guidence Table'!$A$1:$AG$10000,MATCH(1,('Margin Guidence Table'!$A$1:$A$10000=HA14)*('Margin Guidence Table'!$I$1:$I$10000&lt;=ROUND($GS$3,0))*('Margin Guidence Table'!$J$1:$J$10000&gt;=ROUND($GS$3,0)),0),MATCH("DEFAULT_CIA_MEDIAN_MARGIN_GUIDENCE",'Margin Guidence Table'!$A$1:$AG$1,0))),0)))</f>
        <v>0</v>
      </c>
      <c r="HL14" s="126"/>
      <c r="HM14" s="18">
        <f t="array" ref="HM14">IF('Customer Inputs'!$W$13="End",0,IFERROR(IF($HZ14="SEGMENT",INDEX('Margin Guidence Table'!$A$1:$AG$10000,MATCH(1,('Margin Guidence Table'!$A$1:$A$10000=$HX14)*('Margin Guidence Table'!$I$1:$I$10000&lt;=ROUND($HP$3,0))*('Margin Guidence Table'!$J$1:$J$10000&gt;=ROUND($HP$3,0)),0),MATCH("PCT_SALES",'Margin Guidence Table'!$A$1:$AG$1,0)),INDEX('Margin Guidence Table'!$A$1:$AG$10000,MATCH(1,('Margin Guidence Table'!$A$1:$A$10000=$HX14)*('Margin Guidence Table'!$I$1:$I$10000&lt;=ROUND($HP$3,0))*('Margin Guidence Table'!$J$1:$J$10000&gt;=ROUND($HP$3,0)),0),MATCH("DEFAULT_PCT_SALES",'Margin Guidence Table'!$A$1:$AG$1,0))),0))</f>
        <v>0</v>
      </c>
      <c r="HN14" s="297" t="e">
        <f>HM14/$HM$35</f>
        <v>#DIV/0!</v>
      </c>
      <c r="HO14" s="99" t="s">
        <v>99</v>
      </c>
      <c r="HP14" s="91">
        <f>IF('Customer Inputs'!$W$13="End",0,IFERROR(IF(AND($HP$2&lt;&gt;"Enter Spend&gt;&gt;&gt;",$HQ$2="EXISTING"),SUMIFS('Existing Customers'!$Q:$Q,'Existing Customers'!$A:$A,$HP$1,'Existing Customers'!$H:$H,$HO14)*$HP$4,$HP$3*$HN14),0))</f>
        <v>0</v>
      </c>
      <c r="HQ14" s="86">
        <f>IF('Customer Inputs'!$W$13="End",0,IFERROR(IF(AND($HP$2&lt;&gt;"Enter Spend&gt;&gt;&gt;",$HQ$2="EXISTING"),SUMIFS('Existing Customers'!$N:$N,'Existing Customers'!$A:$A,$HP$1,'Existing Customers'!$H:$H,$HO14)*$HP$4,$HP14/$IA14),0))</f>
        <v>0</v>
      </c>
      <c r="HR14" s="92">
        <f>IF('Customer Inputs'!$W$13="End",0,IFERROR(IF(AND($HP$2&lt;&gt;"Enter Spend&gt;&gt;&gt;",$HQ$2="EXISTING"),SUMIFS('Existing Customers'!$O:$O,'Existing Customers'!$H:$H,$HO14,'Existing Customers'!$A:$A,$HP$1)*$HP$4,$HQ14*$HP$8),0))</f>
        <v>0</v>
      </c>
      <c r="HS14" s="92">
        <f>IF('Customer Inputs'!$W$13="End",0,IFERROR(IF(AND($HP$2&lt;&gt;"Enter Spend&gt;&gt;&gt;",$HQ$2="EXISTING"),SUMIFS('Existing Customers'!$P:$P,'Existing Customers'!$A:$A,$HP$1,'Existing Customers'!$H:$H,$HO14)*$HP$4,$HP14/$IB14),0))</f>
        <v>0</v>
      </c>
      <c r="HT14" s="93">
        <f>IF('Customer Inputs'!$W$13="End",0,IFERROR(IF(AND($HP$2&lt;&gt;"Enter Spend&gt;&gt;&gt;",$HQ$2="EXISTING"),SUMIFS('Existing Customers'!$V:$V,'Existing Customers'!$H:$H,$HO14,'Existing Customers'!$A:$A,$HP$1)*$HP$4,0),0))</f>
        <v>0</v>
      </c>
      <c r="HU14" s="93">
        <f>IF('Customer Inputs'!$W$13="End",0,IFERROR(IF(AND($HP$2&lt;&gt;"Enter Spend&gt;&gt;&gt;",$HQ$2="EXISTING"),SUMIFS('Existing Customers'!$R:$R,'Existing Customers'!$H:$H,$HO14,'Existing Customers'!$A:$A,$HP$1)*$HP$4,0),0))</f>
        <v>0</v>
      </c>
      <c r="HV14" s="780">
        <f>IF('Customer Inputs'!$W$13="End",0,IFERROR(IF(AND($HP$2&lt;&gt;"Enter Spend&gt;&gt;&gt;",$HQ$2="EXISTING"),SUMIFS('Existing Customers'!$S:$S,'Existing Customers'!$H:$H,$HO14,'Existing Customers'!$A:$A,$HP$1)/SUMIFS('Existing Customers'!$Q:$Q,'Existing Customers'!$A:$A,$HP$1,'Existing Customers'!$H:$H,$HO14),IF14),0))</f>
        <v>0</v>
      </c>
      <c r="HW14" s="780">
        <f>IF('Customer Inputs'!$W$13="End",0,IFERROR(IF(AND($HP$2&lt;&gt;"Enter Spend&gt;&gt;&gt;",$HQ$2="EXISTING"),SUMIFS('Existing Customers'!$U:$U,'Existing Customers'!$H:$H,$HO14,'Existing Customers'!$A:$A,$HP$1)/SUMIFS('Existing Customers'!$Q:$Q,'Existing Customers'!$A:$A,$HP$1,'Existing Customers'!$H:$H,$HO14),IG14),0))</f>
        <v>0</v>
      </c>
      <c r="HX14" s="783" t="e">
        <f>_xlfn.CONCAT('Customer Inputs'!$AH$13,"_",HO14)</f>
        <v>#N/A</v>
      </c>
      <c r="HY14" s="783">
        <f t="array" ref="HY14">IF('Customer Inputs'!$W$13="End",0,IFERROR(INDEX('Margin Guidence Table'!$A$1:$AG$10000,MATCH(1,('Margin Guidence Table'!$A$1:$A$10000=HX14)*('Margin Guidence Table'!$I$1:$I$10000&lt;=ROUND($HP$3,0))*('Margin Guidence Table'!$J$1:$J$10000&gt;=ROUND($HP$3,0)),0),MATCH("DATA_POINTS",'Margin Guidence Table'!$A$1:$AG$1,0)),0))</f>
        <v>0</v>
      </c>
      <c r="HZ14" s="780" t="str">
        <f>IF(HY14&gt;15,"SEGMENT","DEFAULT")</f>
        <v>DEFAULT</v>
      </c>
      <c r="IA14" s="780">
        <f t="array" ref="IA14">IF('Customer Inputs'!$W$13="End",0,IFERROR(IF($HZ14="SEGMENT",INDEX('Margin Guidence Table'!$A$1:$AG$10000,MATCH(1,('Margin Guidence Table'!$A$1:$A$10000=HX14)*('Margin Guidence Table'!$I$1:$I$10000&lt;=ROUND($HP$3,0))*('Margin Guidence Table'!$J$1:$J$10000&gt;=ROUND($HP$3,0)),0),MATCH("SALES_CASE",'Margin Guidence Table'!$A$1:$AG$1,0)),INDEX('Margin Guidence Table'!$A$1:$AG$10000,MATCH(1,('Margin Guidence Table'!$A$1:$A$10000=HX14)*('Margin Guidence Table'!$I$1:$I$10000&lt;=ROUND($HP$3,0))*('Margin Guidence Table'!$J$1:$J$10000&gt;=ROUND($HP$3,0)),0),MATCH("DEFAULT_SALES_CASE",'Margin Guidence Table'!$A$1:$AG$1,0))),0))</f>
        <v>0</v>
      </c>
      <c r="IB14" s="780">
        <f t="array" ref="IB14">IF('Customer Inputs'!$W$13="End",0,IFERROR(IF($HZ14="SEGMENT",INDEX('Margin Guidence Table'!$A$1:$AG$10000,MATCH(1,('Margin Guidence Table'!$A$1:$A$10000=HX14)*('Margin Guidence Table'!$I$1:$I$10000&lt;=ROUND($HP$3,0))*('Margin Guidence Table'!$J$1:$J$10000&gt;=ROUND($HP$3,0)),0),MATCH("SALES_LBS",'Margin Guidence Table'!$A$1:$AG$1,0)),INDEX('Margin Guidence Table'!$A$1:$AG$10000,MATCH(1,('Margin Guidence Table'!$A$1:$A$10000=HX14)*('Margin Guidence Table'!$I$1:$I$10000&lt;=ROUND($HP$3,0))*('Margin Guidence Table'!$J$1:$J$10000&gt;=ROUND($HP$3,0)),0),MATCH("DEFAULT_SALES_LBS",'Margin Guidence Table'!$A$1:$AG$1,0))),0))</f>
        <v>0</v>
      </c>
      <c r="IC14" s="784">
        <f t="array" ref="IC14">IF('Customer Inputs'!$W$13="End",0,IFERROR(IF($HZ14="SEGMENT",INDEX('Margin Guidence Table'!$A$1:$AG$10000,MATCH(1,('Margin Guidence Table'!$A$1:$A$10000=HX14)*('Margin Guidence Table'!$I$1:$I$10000&lt;=ROUND($HP$3,0))*('Margin Guidence Table'!$J$1:$J$10000&gt;=ROUND($HP$3,0)),0),MATCH("MDA_MIN_MARGIN_GUIDENCE",'Margin Guidence Table'!$A$1:$AG$1,0)),INDEX('Margin Guidence Table'!$A$1:$AG$10000,MATCH(1,('Margin Guidence Table'!$A$1:$A$10000=HX14)*('Margin Guidence Table'!$I$1:$I$10000&lt;=ROUND($HP$3,0))*('Margin Guidence Table'!$J$1:$J$10000&gt;=ROUND($HP$3,0)),0),MATCH("DEFAULT_MDA_MIN_MARGIN_GUIDENCE",'Margin Guidence Table'!$A$1:$AG$1,0))),0))</f>
        <v>0</v>
      </c>
      <c r="ID14" s="784">
        <f t="array" ref="ID14">IF('Customer Inputs'!$W$13="End",0,IFERROR(IF($HZ14="SEGMENT",INDEX('Margin Guidence Table'!$A$1:$AG$10000,MATCH(1,('Margin Guidence Table'!$A$1:$A$10000=HX14)*('Margin Guidence Table'!$I$1:$I$10000&lt;=ROUND($HP$3,0))*('Margin Guidence Table'!$J$1:$J$10000&gt;=ROUND($HP$3,0)),0),MATCH("MDA_MEDIAN_MARGIN_GUIDENCE",'Margin Guidence Table'!$A$1:$AG$1,0)),INDEX('Margin Guidence Table'!$A$1:$AG$10000,MATCH(1,('Margin Guidence Table'!$A$1:$A$10000=HX14)*('Margin Guidence Table'!$I$1:$I$10000&lt;=ROUND($HP$3,0))*('Margin Guidence Table'!$J$1:$J$10000&gt;=ROUND($HP$3,0)),0),MATCH("DEFAULT_MDA_MEDIAN_MARGIN_GUIDENCE",'Margin Guidence Table'!$A$1:$AG$1,0))),0))</f>
        <v>0</v>
      </c>
      <c r="IE14" s="784">
        <f t="array" ref="IE14">IF('Customer Inputs'!$W$13="End",0,IFERROR(IF($HZ14="SEGMENT",INDEX('Margin Guidence Table'!$A$1:$AG$10000,MATCH(1,('Margin Guidence Table'!$A$1:$A$10000=HX14)*('Margin Guidence Table'!$I$1:$I$10000&lt;=ROUND($HP$3,0))*('Margin Guidence Table'!$J$1:$J$10000&gt;=ROUND($HP$3,0)),0),MATCH("MDA_MAX_MARGIN_GUIDENCE",'Margin Guidence Table'!$A$1:$AG$1,0)),INDEX('Margin Guidence Table'!$A$1:$AG$10000,MATCH(1,('Margin Guidence Table'!$A$1:$A$10000=HX14)*('Margin Guidence Table'!$I$1:$I$10000&lt;=ROUND($HP$3,0))*('Margin Guidence Table'!$J$1:$J$10000&gt;=ROUND($HP$3,0)),0),MATCH("DEFAULT_MDA_MAX_MARGIN_GUIDENCE",'Margin Guidence Table'!$A$1:$AG$1,0))),0))</f>
        <v>0</v>
      </c>
      <c r="IF14" s="784">
        <f t="array" ref="IF14">IF('Customer Inputs'!$W$13="End",0,IFERROR(IF($HZ14="SEGMENT",INDEX('Margin Guidence Table'!$A$1:$AG$10000,MATCH(1,('Margin Guidence Table'!$A$1:$A$10000=HX14)*('Margin Guidence Table'!$I$1:$I$10000&lt;=ROUND($HP$3,0))*('Margin Guidence Table'!$J$1:$J$10000&gt;=ROUND($HP$3,0)),0),MATCH("PA_PCT_SALES",'Margin Guidence Table'!$A$1:$AG$1,0)),INDEX('Margin Guidence Table'!$A$1:$AG$10000,MATCH(1,('Margin Guidence Table'!$A$1:$A$10000=HX14)*('Margin Guidence Table'!$I$1:$I$10000&lt;=ROUND($HP$3,0))*('Margin Guidence Table'!$J$1:$J$10000&gt;=ROUND($HP$3,0)),0),MATCH("DEFAULT_PA_PCT_SALES",'Margin Guidence Table'!$A$1:$AG$1,0))),0))</f>
        <v>0</v>
      </c>
      <c r="IG14" s="784">
        <f t="array" ref="IG14">IF('Customer Inputs'!$W$13="End",0,IFERROR(IF($HZ14="SEGMENT",INDEX('Margin Guidence Table'!$A$1:$AG$10000,MATCH(1,('Margin Guidence Table'!$A$1:$A$10000=HX14)*('Margin Guidence Table'!$I$1:$I$10000&lt;=ROUND($HP$3,0))*('Margin Guidence Table'!$J$1:$J$10000&gt;=ROUND($HP$3,0)),0),MATCH("SELF_FUND_PCT_SALES",'Margin Guidence Table'!$A$1:$AG$1,0)),INDEX('Margin Guidence Table'!$A$1:$AG$10000,MATCH(1,('Margin Guidence Table'!$A$1:$A$10000=HX14)*('Margin Guidence Table'!$I$1:$I$10000&lt;=ROUND($HP$3,0))*('Margin Guidence Table'!$J$1:$J$10000&gt;=ROUND($HP$3,0)),0),MATCH("DEFAULT_SELF_FUND_PCT_SALES",'Margin Guidence Table'!$A$1:$AG$1,0))),0))</f>
        <v>0</v>
      </c>
      <c r="IH14" s="784">
        <f t="array" ref="IH14">IF('Customer Inputs'!$W$13="End",0,IF($HQ$2="Existing",IFERROR(SUMIFS('Existing Customers'!$V:$V,'Existing Customers'!$H:$H,$HO14,'Existing Customers'!$A:$A,$HP$1)/SUMIFS('Existing Customers'!$Q:$Q,'Existing Customers'!$H:$H,$HO14,'Existing Customers'!$A:$A,$HP$1),0),IFERROR(IF($HZ14="SEGMENT",INDEX('Margin Guidence Table'!$A$1:$AG$10000,MATCH(1,('Margin Guidence Table'!$A$1:$A$10000=HX14)*('Margin Guidence Table'!$I$1:$I$10000&lt;=ROUND($HP$3,0))*('Margin Guidence Table'!$J$1:$J$10000&gt;=ROUND($HP$3,0)),0),MATCH("CIA_MEDIAN_MARGIN_GUIDENCE",'Margin Guidence Table'!$A$1:$AG$1,0)),INDEX('Margin Guidence Table'!$A$1:$AG$10000,MATCH(1,('Margin Guidence Table'!$A$1:$A$10000=HX14)*('Margin Guidence Table'!$I$1:$I$10000&lt;=ROUND($HP$3,0))*('Margin Guidence Table'!$J$1:$J$10000&gt;=ROUND($HP$3,0)),0),MATCH("DEFAULT_CIA_MEDIAN_MARGIN_GUIDENCE",'Margin Guidence Table'!$A$1:$AG$1,0))),0)))</f>
        <v>0</v>
      </c>
      <c r="II14" s="126"/>
      <c r="IJ14" s="18">
        <f t="array" ref="IJ14">IF('Customer Inputs'!$W$14="End",0,IFERROR(IF($IW14="SEGMENT",INDEX('Margin Guidence Table'!$A:$AC,MATCH(1,('Margin Guidence Table'!$A:$A=$IU14)*('Margin Guidence Table'!$H:$H&lt;=ROUND($IM$3,0))*('Margin Guidence Table'!$G:$G&gt;=ROUND($IM$3,0)),0),MATCH("PCT_SALES",'Margin Guidence Table'!$A$1:$AG$1,0)),INDEX('Margin Guidence Table'!$A:$AC,MATCH(1,('Margin Guidence Table'!$A:$A=$IU14)*('Margin Guidence Table'!$H:$H&lt;=ROUND($IM$3,0))*('Margin Guidence Table'!$G:$G&gt;=ROUND($IM$3,0)),0),MATCH("DEFAULT_PCT_SALES",'Margin Guidence Table'!$A$1:$AG$1,0))),0))</f>
        <v>0</v>
      </c>
      <c r="IK14" s="297" t="e">
        <f>IJ14/$IJ$35</f>
        <v>#DIV/0!</v>
      </c>
      <c r="IL14" s="99" t="s">
        <v>99</v>
      </c>
      <c r="IM14" s="91">
        <f>IF('Customer Inputs'!$W$14="End",0,IFERROR(IF(AND($IM$2&lt;&gt;"Enter Spend&gt;&gt;&gt;",$IN$2="EXISTING"),SUMIFS('Existing Customers'!$Q:$Q,'Existing Customers'!$A:$A,$IM$1,'Existing Customers'!$H:$H,$IL14)*$IM$4,$IM$3*$IK14),0))</f>
        <v>0</v>
      </c>
      <c r="IN14" s="86">
        <f>IF('Customer Inputs'!$W$14="End",0,IFERROR(IF(AND($IM$2&lt;&gt;"Enter Spend&gt;&gt;&gt;",$IN$2="EXISTING"),SUMIFS('Existing Customers'!$N:$N,'Existing Customers'!$A:$A,$IM$1,'Existing Customers'!$H:$H,$IL14)*$IM$4,$IM14/$IX14),0))</f>
        <v>0</v>
      </c>
      <c r="IO14" s="92">
        <f>IF('Customer Inputs'!$W$14="End",0,IFERROR(IF(AND($IM$2&lt;&gt;"Enter Spend&gt;&gt;&gt;",$IN$2="EXISTING"),SUMIFS('Existing Customers'!$O:$O,'Existing Customers'!$H:$H,$IL14,'Existing Customers'!$A:$A,$IM$1)*$IM$4,$IN14*$IM$8),0))</f>
        <v>0</v>
      </c>
      <c r="IP14" s="92">
        <f>IF('Customer Inputs'!$W$14="End",0,IFERROR(IF(AND($IM$2&lt;&gt;"Enter Spend&gt;&gt;&gt;",$IN$2="EXISTING"),SUMIFS('Existing Customers'!$P:$P,'Existing Customers'!$A:$A,$IM$1,'Existing Customers'!$H:$H,$IL14)*$IM$4,$IM14/$IY14),0))</f>
        <v>0</v>
      </c>
      <c r="IQ14" s="303">
        <f>IF('Customer Inputs'!$W$14="End",0,IFERROR(IF(AND($IM$2&lt;&gt;"Enter Spend&gt;&gt;&gt;",$IN$2="EXISTING"),SUMIFS('Existing Customers'!$V:$V,'Existing Customers'!$H:$H,$IL14,'Existing Customers'!$A:$A,$IM$1)*$IM$4,0),0))</f>
        <v>0</v>
      </c>
      <c r="IR14" s="93">
        <f>IF('Customer Inputs'!$W$14="End",0,IFERROR(IF(AND($IM$2&lt;&gt;"Enter Spend&gt;&gt;&gt;",$IN$2="EXISTING"),SUMIFS('Existing Customers'!$R:$R,'Existing Customers'!$H:$H,$IL14,'Existing Customers'!$A:$A,$IM$1)*$IM$4,0),0))</f>
        <v>0</v>
      </c>
      <c r="IS14" s="780">
        <f>IF('Customer Inputs'!$W$14="End",0,IFERROR(IF(AND($IM$2&lt;&gt;"Enter Spend&gt;&gt;&gt;",$IN$2="EXISTING"),SUMIFS('Existing Customers'!$S:$S,'Existing Customers'!$H:$H,$IL14,'Existing Customers'!$A:$A,$IM$1)/SUMIFS('Existing Customers'!$Q:$Q,'Existing Customers'!$A:$A,$IM$1,'Existing Customers'!$H:$H,$IL14),JC14),0))</f>
        <v>0</v>
      </c>
      <c r="IT14" s="780">
        <f>IF('Customer Inputs'!$W$14="End",0,IFERROR(IF(AND($IM$2&lt;&gt;"Enter Spend&gt;&gt;&gt;",$IN$2="EXISTING"),SUMIFS('Existing Customers'!$U:$U,'Existing Customers'!$H:$H,$IL14,'Existing Customers'!$A:$A,$IM$1)/SUMIFS('Existing Customers'!$Q:$Q,'Existing Customers'!$A:$A,$IM$1,'Existing Customers'!$H:$H,$IL14),JD14),0))</f>
        <v>0</v>
      </c>
      <c r="IU14" s="783" t="e">
        <f>_xlfn.CONCAT('Customer Inputs'!$AH$14,"_",IL14)</f>
        <v>#N/A</v>
      </c>
      <c r="IV14" s="783">
        <f t="array" ref="IV14">IF('Customer Inputs'!$W$14="End",0,IFERROR(INDEX('Margin Guidence Table'!$A$1:$AG$10000,MATCH(1,('Margin Guidence Table'!$A$1:$A$10000=IU14)*('Margin Guidence Table'!$I$1:$I$10000&lt;=ROUND($IM$3,0))*('Margin Guidence Table'!$J$1:$J$10000&gt;=ROUND($IM$3,0)),0),MATCH("DATA_POINTS",'Margin Guidence Table'!$A$1:$AG$1,0)),0))</f>
        <v>0</v>
      </c>
      <c r="IW14" s="780" t="str">
        <f>IF(IV14&gt;15,"SEGMENT","DEFAULT")</f>
        <v>DEFAULT</v>
      </c>
      <c r="IX14" s="780">
        <f t="array" ref="IX14">IF('Customer Inputs'!$W$14="End",0,IFERROR(IF($IW14="SEGMENT",INDEX('Margin Guidence Table'!$A$1:$AG$10000,MATCH(1,('Margin Guidence Table'!$A$1:$A$10000=IU14)*('Margin Guidence Table'!$I$1:$I$10000&lt;=ROUND($IM$3,0))*('Margin Guidence Table'!$J$1:$J$10000&gt;=ROUND($IM$3,0)),0),MATCH("SALES_CASE",'Margin Guidence Table'!$A$1:$AG$1,0)),INDEX('Margin Guidence Table'!$A$1:$AG$10000,MATCH(1,('Margin Guidence Table'!$A$1:$A$10000=IU14)*('Margin Guidence Table'!$I$1:$I$10000&lt;=ROUND($IM$3,0))*('Margin Guidence Table'!$J$1:$J$10000&gt;=ROUND($IM$3,0)),0),MATCH("DEFAULT_SALES_CASE",'Margin Guidence Table'!$A$1:$AG$1,0))),0))</f>
        <v>0</v>
      </c>
      <c r="IY14" s="780">
        <f t="array" ref="IY14">IF('Customer Inputs'!$W$14="End",0,IFERROR(IF($IW14="SEGMENT",INDEX('Margin Guidence Table'!$A$1:$AG$10000,MATCH(1,('Margin Guidence Table'!$A$1:$A$10000=IU14)*('Margin Guidence Table'!$I$1:$I$10000&lt;=ROUND($IM$3,0))*('Margin Guidence Table'!$J$1:$J$10000&gt;=ROUND($IM$3,0)),0),MATCH("SALES_LBS",'Margin Guidence Table'!$A$1:$AG$1,0)),INDEX('Margin Guidence Table'!$A$1:$AG$10000,MATCH(1,('Margin Guidence Table'!$A$1:$A$10000=IU14)*('Margin Guidence Table'!$I$1:$I$10000&lt;=ROUND($IM$3,0))*('Margin Guidence Table'!$J$1:$J$10000&gt;=ROUND($IM$3,0)),0),MATCH("DEFAULT_SALES_LBS",'Margin Guidence Table'!$A$1:$AG$1,0))),0))</f>
        <v>0</v>
      </c>
      <c r="IZ14" s="784">
        <f t="array" ref="IZ14">IF('Customer Inputs'!$W$14="End",0,IFERROR(IF($IW14="SEGMENT",INDEX('Margin Guidence Table'!$A$1:$AG$10000,MATCH(1,('Margin Guidence Table'!$A$1:$A$10000=IU14)*('Margin Guidence Table'!$I$1:$I$10000&lt;=ROUND($IM$3,0))*('Margin Guidence Table'!$J$1:$J$10000&gt;=ROUND($IM$3,0)),0),MATCH("MDA_MIN_MARGIN_GUIDENCE",'Margin Guidence Table'!$A$1:$AG$1,0)),INDEX('Margin Guidence Table'!$A$1:$AG$10000,MATCH(1,('Margin Guidence Table'!$A$1:$A$10000=IU14)*('Margin Guidence Table'!$I$1:$I$10000&lt;=ROUND($IM$3,0))*('Margin Guidence Table'!$J$1:$J$10000&gt;=ROUND($IM$3,0)),0),MATCH("DEFAULT_MDA_MIN_MARGIN_GUIDENCE",'Margin Guidence Table'!$A$1:$AG$1,0))),0))</f>
        <v>0</v>
      </c>
      <c r="JA14" s="784">
        <f t="array" ref="JA14">IF('Customer Inputs'!$W$14="End",0,IFERROR(IF($IW14="SEGMENT",INDEX('Margin Guidence Table'!$A$1:$AG$10000,MATCH(1,('Margin Guidence Table'!$A$1:$A$10000=IU14)*('Margin Guidence Table'!$I$1:$I$10000&lt;=ROUND($IM$3,0))*('Margin Guidence Table'!$J$1:$J$10000&gt;=ROUND($IM$3,0)),0),MATCH("MDA_MEDIAN_MARGIN_GUIDENCE",'Margin Guidence Table'!$A$1:$AG$1,0)),INDEX('Margin Guidence Table'!$A$1:$AG$10000,MATCH(1,('Margin Guidence Table'!$A$1:$A$10000=IU14)*('Margin Guidence Table'!$I$1:$I$10000&lt;=ROUND($IM$3,0))*('Margin Guidence Table'!$J$1:$J$10000&gt;=ROUND($IM$3,0)),0),MATCH("DEFAULT_MDA_MEDIAN_MARGIN_GUIDENCE",'Margin Guidence Table'!$A$1:$AG$1,0))),0))</f>
        <v>0</v>
      </c>
      <c r="JB14" s="784">
        <f t="array" ref="JB14">IF('Customer Inputs'!$W$14="End",0,IFERROR(IF($IW14="SEGMENT",INDEX('Margin Guidence Table'!$A$1:$AG$10000,MATCH(1,('Margin Guidence Table'!$A$1:$A$10000=IU14)*('Margin Guidence Table'!$I$1:$I$10000&lt;=ROUND($IM$3,0))*('Margin Guidence Table'!$J$1:$J$10000&gt;=ROUND($IM$3,0)),0),MATCH("MDA_MAX_MARGIN_GUIDENCE",'Margin Guidence Table'!$A$1:$AG$1,0)),INDEX('Margin Guidence Table'!$A$1:$AG$10000,MATCH(1,('Margin Guidence Table'!$A$1:$A$10000=IU14)*('Margin Guidence Table'!$I$1:$I$10000&lt;=ROUND($IM$3,0))*('Margin Guidence Table'!$J$1:$J$10000&gt;=ROUND($IM$3,0)),0),MATCH("DEFAULT_MDA_MAX_MARGIN_GUIDENCE",'Margin Guidence Table'!$A$1:$AG$1,0))),0))</f>
        <v>0</v>
      </c>
      <c r="JC14" s="784">
        <f t="array" ref="JC14">IF('Customer Inputs'!$W$14="End",0,IFERROR(IF($IW14="SEGMENT",INDEX('Margin Guidence Table'!$A$1:$AG$10000,MATCH(1,('Margin Guidence Table'!$A$1:$A$10000=IU14)*('Margin Guidence Table'!$I$1:$I$10000&lt;=ROUND($IM$3,0))*('Margin Guidence Table'!$J$1:$J$10000&gt;=ROUND($IM$3,0)),0),MATCH("PA_PCT_SALES",'Margin Guidence Table'!$A$1:$AG$1,0)),INDEX('Margin Guidence Table'!$A$1:$AG$10000,MATCH(1,('Margin Guidence Table'!$A$1:$A$10000=IU14)*('Margin Guidence Table'!$I$1:$I$10000&lt;=ROUND($IM$3,0))*('Margin Guidence Table'!$J$1:$J$10000&gt;=ROUND($IM$3,0)),0),MATCH("DEFAULT_PA_PCT_SALES",'Margin Guidence Table'!$A$1:$AG$1,0))),0))</f>
        <v>0</v>
      </c>
      <c r="JD14" s="784">
        <f t="array" ref="JD14">IF('Customer Inputs'!$W$14="End",0,IFERROR(IF($IW14="SEGMENT",INDEX('Margin Guidence Table'!$A$1:$AG$10000,MATCH(1,('Margin Guidence Table'!$A$1:$A$10000=IU14)*('Margin Guidence Table'!$I$1:$I$10000&lt;=ROUND($IM$3,0))*('Margin Guidence Table'!$J$1:$J$10000&gt;=ROUND($IM$3,0)),0),MATCH("SELF_FUND_PCT_SALES",'Margin Guidence Table'!$A$1:$AG$1,0)),INDEX('Margin Guidence Table'!$A$1:$AG$10000,MATCH(1,('Margin Guidence Table'!$A$1:$A$10000=IU14)*('Margin Guidence Table'!$I$1:$I$10000&lt;=ROUND($IM$3,0))*('Margin Guidence Table'!$J$1:$J$10000&gt;=ROUND($IM$3,0)),0),MATCH("DEFAULT_SELF_FUND_PCT_SALES",'Margin Guidence Table'!$A$1:$AG$1,0))),0))</f>
        <v>0</v>
      </c>
      <c r="JE14" s="784">
        <f t="array" ref="JE14">IF('Customer Inputs'!$W$14="End",0,IF($IN$2="Existing",IFERROR(SUMIFS('Existing Customers'!$V:$V,'Existing Customers'!$H:$H,$IL14,'Existing Customers'!$A:$A,$IM$1)/SUMIFS('Existing Customers'!$Q:$Q,'Existing Customers'!$H:$H,$IL14,'Existing Customers'!$A:$A,$IM$1),0),IFERROR(IF($IW14="SEGMENT",INDEX('Margin Guidence Table'!$A$1:$AG$10000,MATCH(1,('Margin Guidence Table'!$A$1:$A$10000=IU14)*('Margin Guidence Table'!$I$1:$I$10000&lt;=ROUND($IM$3,0))*('Margin Guidence Table'!$J$1:$J$10000&gt;=ROUND($IM$3,0)),0),MATCH("CIA_MEDIAN_MARGIN_GUIDENCE",'Margin Guidence Table'!$A$1:$AG$1,0)),INDEX('Margin Guidence Table'!$A$1:$AG$10000,MATCH(1,('Margin Guidence Table'!$A$1:$A$10000=IU14)*('Margin Guidence Table'!$I$1:$I$10000&lt;=ROUND($IM$3,0))*('Margin Guidence Table'!$J$1:$J$10000&gt;=ROUND($IM$3,0)),0),MATCH("DEFAULT_CIA_MEDIAN_MARGIN_GUIDENCE",'Margin Guidence Table'!$A$1:$AG$1,0))),0)))</f>
        <v>0</v>
      </c>
      <c r="JF14" s="126"/>
      <c r="JG14" s="18">
        <f t="array" ref="JG14">IF('Customer Inputs'!$W$15="End",0,IFERROR(IF($JT14="SEGMENT",INDEX('Margin Guidence Table'!$A$1:$AG$10000,MATCH(1,('Margin Guidence Table'!$A$1:$A$10000=$JR14)*('Margin Guidence Table'!$I$1:$I$10000&lt;=ROUND($JJ$3,0))*('Margin Guidence Table'!$J$1:$J$10000&gt;=ROUND($JJ$3,0)),0),MATCH("PCT_SALES",'Margin Guidence Table'!$A$1:$AG$1,0)),INDEX('Margin Guidence Table'!$A$1:$AG$10000,MATCH(1,('Margin Guidence Table'!$A$1:$A$10000=$JR14)*('Margin Guidence Table'!$I$1:$I$10000&lt;=ROUND($JJ$3,0))*('Margin Guidence Table'!$J$1:$J$10000&gt;=ROUND($JJ$3,0)),0),MATCH("DEFAULT_PCT_SALES",'Margin Guidence Table'!$A$1:$AG$1,0))),0))</f>
        <v>0</v>
      </c>
      <c r="JH14" s="297" t="e">
        <f>JG14/$JG$35</f>
        <v>#DIV/0!</v>
      </c>
      <c r="JI14" s="99" t="s">
        <v>99</v>
      </c>
      <c r="JJ14" s="91">
        <f>IF('Customer Inputs'!$W$15="End",0,IFERROR(IF(AND($JJ$2&lt;&gt;"Enter Spend&gt;&gt;&gt;",$JK$2="EXISTING"),SUMIFS('Existing Customers'!$Q:$Q,'Existing Customers'!$A:$A,$JJ$1,'Existing Customers'!$H:$H,$JI14)*$JJ$4,$JJ$3*$JH14),0))</f>
        <v>0</v>
      </c>
      <c r="JK14" s="86">
        <f>IF('Customer Inputs'!$W$15="End",0,IFERROR(IF(AND($JJ$2&lt;&gt;"Enter Spend&gt;&gt;&gt;",$JK$2="EXISTING"),SUMIFS('Existing Customers'!$N:$N,'Existing Customers'!$A:$A,$JJ$1,'Existing Customers'!$H:$H,$JI14)*$JJ$4,$JJ14/$JU14),0))</f>
        <v>0</v>
      </c>
      <c r="JL14" s="92">
        <f>IF('Customer Inputs'!$W$15="End",0,IFERROR(IF(AND($JJ$2&lt;&gt;"Enter Spend&gt;&gt;&gt;",$JK$2="EXISTING"),SUMIFS('Existing Customers'!$O:$O,'Existing Customers'!$H:$H,$JI14,'Existing Customers'!$A:$A,$JJ$1)*$JJ$4,$JK14*$JJ$8),0))</f>
        <v>0</v>
      </c>
      <c r="JM14" s="92">
        <f>IF('Customer Inputs'!$W$15="End",0,IFERROR(IF(AND($JJ$2&lt;&gt;"Enter Spend&gt;&gt;&gt;",$JK$2="EXISTING"),SUMIFS('Existing Customers'!$P:$P,'Existing Customers'!$A:$A,$JJ$1,'Existing Customers'!$H:$H,$JI14)*$JJ$4,$JJ14/$JV14),0))</f>
        <v>0</v>
      </c>
      <c r="JN14" s="303">
        <f>IF('Customer Inputs'!$W$15="End",0,IFERROR(IF(AND($JJ$2&lt;&gt;"Enter Spend&gt;&gt;&gt;",$JK$2="EXISTING"),SUMIFS('Existing Customers'!$V:$V,'Existing Customers'!$H:$H,$JI14,'Existing Customers'!$A:$A,$JJ$1)*$JJ$4,0),0))</f>
        <v>0</v>
      </c>
      <c r="JO14" s="93">
        <f>IF('Customer Inputs'!$W$15="End",0,IFERROR(IF(AND($JJ$2&lt;&gt;"Enter Spend&gt;&gt;&gt;",$JK$2="EXISTING"),SUMIFS('Existing Customers'!$R:$R,'Existing Customers'!$H:$H,$JI14,'Existing Customers'!$A:$A,$JJ$1)*$JJ$4,0),0))</f>
        <v>0</v>
      </c>
      <c r="JP14" s="780">
        <f>IF('Customer Inputs'!$W$15="End",0,IFERROR(IF(AND($JJ$2&lt;&gt;"Enter Spend&gt;&gt;&gt;",$JK$2="EXISTING"),SUMIFS('Existing Customers'!$S:$S,'Existing Customers'!$H:$H,$JI14,'Existing Customers'!$A:$A,$JJ$1)/SUMIFS('Existing Customers'!$Q:$Q,'Existing Customers'!$A:$A,$JJ$1,'Existing Customers'!$H:$H,$JI14),JZ14),0))</f>
        <v>0</v>
      </c>
      <c r="JQ14" s="780">
        <f>IF('Customer Inputs'!$W$15="End",0,IFERROR(IF(AND($JJ$2&lt;&gt;"Enter Spend&gt;&gt;&gt;",$JK$2="EXISTING"),SUMIFS('Existing Customers'!$U:$U,'Existing Customers'!$H:$H,$JI14,'Existing Customers'!$A:$A,$JJ$1)/SUMIFS('Existing Customers'!$Q:$Q,'Existing Customers'!$A:$A,$JJ$1,'Existing Customers'!$H:$H,$JI14),KA14),0))</f>
        <v>0</v>
      </c>
      <c r="JR14" s="783" t="e">
        <f>_xlfn.CONCAT('Customer Inputs'!$AH$15,"_",JI14)</f>
        <v>#N/A</v>
      </c>
      <c r="JS14" s="783">
        <f t="array" ref="JS14">IF('Customer Inputs'!$W$15="End",0,IFERROR(INDEX('Margin Guidence Table'!$A$1:$AG$10000,MATCH(1,('Margin Guidence Table'!$A$1:$A$10000=JR14)*('Margin Guidence Table'!$I$1:$I$10000&lt;=ROUND($JJ$3,0))*('Margin Guidence Table'!$J$1:$J$10000&gt;=ROUND($JJ$3,0)),0),MATCH("DATA_POINTS",'Margin Guidence Table'!$A$1:$AG$1,0)),0))</f>
        <v>0</v>
      </c>
      <c r="JT14" s="780" t="str">
        <f>IF(JS14&gt;15,"SEGMENT","DEFAULT")</f>
        <v>DEFAULT</v>
      </c>
      <c r="JU14" s="780">
        <f t="array" ref="JU14">IF('Customer Inputs'!$W$15="End",0,IFERROR(IF($JT14="SEGMENT",INDEX('Margin Guidence Table'!$A$1:$AG$10000,MATCH(1,('Margin Guidence Table'!$A$1:$A$10000=JR14)*('Margin Guidence Table'!$I$1:$I$10000&lt;=ROUND($JJ$3,0))*('Margin Guidence Table'!$J$1:$J$10000&gt;=ROUND($JJ$3,0)),0),MATCH("SALES_CASE",'Margin Guidence Table'!$A$1:$AG$1,0)),INDEX('Margin Guidence Table'!$A$1:$AG$10000,MATCH(1,('Margin Guidence Table'!$A$1:$A$10000=JR14)*('Margin Guidence Table'!$I$1:$I$10000&lt;=ROUND($JJ$3,0))*('Margin Guidence Table'!$J$1:$J$10000&gt;=ROUND($JJ$3,0)),0),MATCH("DEFAULT_SALES_CASE",'Margin Guidence Table'!$A$1:$AG$1,0))),0))</f>
        <v>0</v>
      </c>
      <c r="JV14" s="780">
        <f t="array" ref="JV14">IF('Customer Inputs'!$W$15="End",0,IFERROR(IF($JT14="SEGMENT",INDEX('Margin Guidence Table'!$A$1:$AG$10000,MATCH(1,('Margin Guidence Table'!$A$1:$A$10000=JR14)*('Margin Guidence Table'!$I$1:$I$10000&lt;=ROUND($JJ$3,0))*('Margin Guidence Table'!$J$1:$J$10000&gt;=ROUND($JJ$3,0)),0),MATCH("SALES_LBS",'Margin Guidence Table'!$A$1:$AG$1,0)),INDEX('Margin Guidence Table'!$A$1:$AG$10000,MATCH(1,('Margin Guidence Table'!$A$1:$A$10000=JR14)*('Margin Guidence Table'!$I$1:$I$10000&lt;=ROUND($JJ$3,0))*('Margin Guidence Table'!$J$1:$J$10000&gt;=ROUND($JJ$3,0)),0),MATCH("DEFAULT_SALES_LBS",'Margin Guidence Table'!$A$1:$AG$1,0))),0))</f>
        <v>0</v>
      </c>
      <c r="JW14" s="784">
        <f t="array" ref="JW14">IF('Customer Inputs'!$W$15="End",0,IFERROR(IF($JT14="SEGMENT",INDEX('Margin Guidence Table'!$A$1:$AG$10000,MATCH(1,('Margin Guidence Table'!$A$1:$A$10000=JR14)*('Margin Guidence Table'!$I$1:$I$10000&lt;=ROUND($JJ$3,0))*('Margin Guidence Table'!$J$1:$J$10000&gt;=ROUND($JJ$3,0)),0),MATCH("MDA_MIN_MARGIN_GUIDENCE",'Margin Guidence Table'!$A$1:$AG$1,0)),INDEX('Margin Guidence Table'!$A$1:$AG$10000,MATCH(1,('Margin Guidence Table'!$A$1:$A$10000=JR14)*('Margin Guidence Table'!$I$1:$I$10000&lt;=ROUND($JJ$3,0))*('Margin Guidence Table'!$J$1:$J$10000&gt;=ROUND($JJ$3,0)),0),MATCH("DEFAULT_MDA_MIN_MARGIN_GUIDENCE",'Margin Guidence Table'!$A$1:$AG$1,0))),0))</f>
        <v>0</v>
      </c>
      <c r="JX14" s="784">
        <f t="array" ref="JX14">IF('Customer Inputs'!$W$15="End",0,IFERROR(IF($JT14="SEGMENT",INDEX('Margin Guidence Table'!$A$1:$AG$10000,MATCH(1,('Margin Guidence Table'!$A$1:$A$10000=JR14)*('Margin Guidence Table'!$I$1:$I$10000&lt;=ROUND($JJ$3,0))*('Margin Guidence Table'!$J$1:$J$10000&gt;=ROUND($JJ$3,0)),0),MATCH("MDA_MEDIAN_MARGIN_GUIDENCE",'Margin Guidence Table'!$A$1:$AG$1,0)),INDEX('Margin Guidence Table'!$A$1:$AG$10000,MATCH(1,('Margin Guidence Table'!$A$1:$A$10000=JR14)*('Margin Guidence Table'!$I$1:$I$10000&lt;=ROUND($JJ$3,0))*('Margin Guidence Table'!$J$1:$J$10000&gt;=ROUND($JJ$3,0)),0),MATCH("DEFAULT_MDA_MEDIAN_MARGIN_GUIDENCE",'Margin Guidence Table'!$A$1:$AG$1,0))),0))</f>
        <v>0</v>
      </c>
      <c r="JY14" s="784">
        <f t="array" ref="JY14">IF('Customer Inputs'!$W$15="End",0,IFERROR(IF($JT14="SEGMENT",INDEX('Margin Guidence Table'!$A$1:$AG$10000,MATCH(1,('Margin Guidence Table'!$A$1:$A$10000=JR14)*('Margin Guidence Table'!$I$1:$I$10000&lt;=ROUND($JJ$3,0))*('Margin Guidence Table'!$J$1:$J$10000&gt;=ROUND($JJ$3,0)),0),MATCH("MDA_MAX_MARGIN_GUIDENCE",'Margin Guidence Table'!$A$1:$AG$1,0)),INDEX('Margin Guidence Table'!$A$1:$AG$10000,MATCH(1,('Margin Guidence Table'!$A$1:$A$10000=JR14)*('Margin Guidence Table'!$I$1:$I$10000&lt;=ROUND($JJ$3,0))*('Margin Guidence Table'!$J$1:$J$10000&gt;=ROUND($JJ$3,0)),0),MATCH("DEFAULT_MDA_MAX_MARGIN_GUIDENCE",'Margin Guidence Table'!$A$1:$AG$1,0))),0))</f>
        <v>0</v>
      </c>
      <c r="JZ14" s="784">
        <f t="array" ref="JZ14">IF('Customer Inputs'!$W$15="End",0,IFERROR(IF($JT14="SEGMENT",INDEX('Margin Guidence Table'!$A$1:$AG$10000,MATCH(1,('Margin Guidence Table'!$A$1:$A$10000=JR14)*('Margin Guidence Table'!$I$1:$I$10000&lt;=ROUND($JJ$3,0))*('Margin Guidence Table'!$J$1:$J$10000&gt;=ROUND($JJ$3,0)),0),MATCH("PA_PCT_SALES",'Margin Guidence Table'!$A$1:$AG$1,0)),INDEX('Margin Guidence Table'!$A$1:$AG$10000,MATCH(1,('Margin Guidence Table'!$A$1:$A$10000=JR14)*('Margin Guidence Table'!$I$1:$I$10000&lt;=ROUND($JJ$3,0))*('Margin Guidence Table'!$J$1:$J$10000&gt;=ROUND($JJ$3,0)),0),MATCH("DEFAULT_PA_PCT_SALES",'Margin Guidence Table'!$A$1:$AG$1,0))),0))</f>
        <v>0</v>
      </c>
      <c r="KA14" s="784" cm="1">
        <f t="array" ref="KA14">IF('Customer Inputs'!$W$15="End",0,IFERROR(IF($JT14="SEGMENT",INDEX('Margin Guidence Table'!$A$1:$AG$10000,MATCH(1,('Margin Guidence Table'!$A$1:$A$10000=JR14)*('Margin Guidence Table'!$I$1:$I$10000&lt;=ROUND($JJ$3,0))*('Margin Guidence Table'!$J$1:$J$10000&gt;=ROUND($JJ$3,0)),0),MATCH("SELF_FUND_PCT_SALES",'Margin Guidence Table'!$A$1:$AG$1,0)),INDEX('Margin Guidence Table'!$A$1:$AG$10000,MATCH(1,('Margin Guidence Table'!$A$1:$A$10000=JR14)*('Margin Guidence Table'!$I$1:$I$10000&lt;=ROUND($JJ$3,0))*('Margin Guidence Table'!$J$1:$J$10000&gt;=ROUND($JJ$3,0)),0),MATCH("DEFAULT_SELF_FUND_PCT_SALES",'Margin Guidence Table'!$A$1:$AG$1,0))),0))</f>
        <v>0</v>
      </c>
      <c r="KB14" s="784">
        <f t="array" ref="KB14">IF('Customer Inputs'!$W$15="End",0,IF($JK$2="Existing",IFERROR(SUMIFS('Existing Customers'!$V:$V,'Existing Customers'!$H:$H,$JI14,'Existing Customers'!$A:$A,$JJ$1)/SUMIFS('Existing Customers'!$Q:$Q,'Existing Customers'!$H:$H,$JI14,'Existing Customers'!$A:$A,$JJ$1),0),IFERROR(IF($JT14="SEGMENT",INDEX('Margin Guidence Table'!$A$1:$AG$10000,MATCH(1,('Margin Guidence Table'!$A$1:$A$10000=JR14)*('Margin Guidence Table'!$I$1:$I$10000&lt;=ROUND($JJ$3,0))*('Margin Guidence Table'!$J$1:$J$10000&gt;=ROUND($JJ$3,0)),0),MATCH("CIA_MEDIAN_MARGIN_GUIDENCE",'Margin Guidence Table'!$A$1:$AG$1,0)),INDEX('Margin Guidence Table'!$A$1:$AG$10000,MATCH(1,('Margin Guidence Table'!$A$1:$A$10000=JR14)*('Margin Guidence Table'!$I$1:$I$10000&lt;=ROUND($JJ$3,0))*('Margin Guidence Table'!$J$1:$J$10000&gt;=ROUND($JJ$3,0)),0),MATCH("DEFAULT_CIA_MEDIAN_MARGIN_GUIDENCE",'Margin Guidence Table'!$A$1:$AG$1,0))),0)))</f>
        <v>0</v>
      </c>
      <c r="KC14" s="784"/>
      <c r="KD14" s="18">
        <f t="array" ref="KD14">IF('Customer Inputs'!$W$16="End",0,IFERROR(IF($KQ14="SEGMENT",INDEX('Margin Guidence Table'!$A$1:$AG$10000,MATCH(1,('Margin Guidence Table'!$A$1:$A$10000=$KO14)*('Margin Guidence Table'!$I$1:$I$10000&lt;=ROUND($KG$3,0))*('Margin Guidence Table'!$J$1:$J$10000&gt;=ROUND($KG$3,0)),0),MATCH("PCT_SALES",'Margin Guidence Table'!$A$1:$AG$1,0)),INDEX('Margin Guidence Table'!$A$1:$AG$10000,MATCH(1,('Margin Guidence Table'!$A$1:$A$10000=$KO14)*('Margin Guidence Table'!$I$1:$I$10000&lt;=ROUND($KG$3,0))*('Margin Guidence Table'!$J$1:$J$10000&gt;=ROUND($KG$3,0)),0),MATCH("DEFAULT_PCT_SALES",'Margin Guidence Table'!$A$1:$AG$1,0))),0))</f>
        <v>0</v>
      </c>
      <c r="KE14" s="1713" t="e">
        <f>KD14/$KD$35</f>
        <v>#DIV/0!</v>
      </c>
      <c r="KF14" s="99" t="s">
        <v>99</v>
      </c>
      <c r="KG14" s="91">
        <f>IF('Customer Inputs'!$W$16="End",0,IFERROR(IF(AND($KG$2&lt;&gt;"Enter Spend&gt;&gt;&gt;",$KH$2="EXISTING"),SUMIFS('Existing Customers'!$Q:$Q,'Existing Customers'!$A:$A,$KG$1,'Existing Customers'!$H:$H,$KF14)*$KG$4,$KG$3*$KE14),0))</f>
        <v>0</v>
      </c>
      <c r="KH14" s="86">
        <f>IF('Customer Inputs'!$W$16="End",0,IFERROR(IF(AND($KG$2&lt;&gt;"Enter Spend&gt;&gt;&gt;",$KH$2="EXISTING"),SUMIFS('Existing Customers'!$N:$N,'Existing Customers'!$A:$A,$KG$1,'Existing Customers'!$H:$H,$KF14)*$KG$4,$KG14/$KR14),0))</f>
        <v>0</v>
      </c>
      <c r="KI14" s="92">
        <f>IF('Customer Inputs'!$W$16="End",0,IFERROR(IF(AND($KG$2&lt;&gt;"Enter Spend&gt;&gt;&gt;",$KH$2="EXISTING"),SUMIFS('Existing Customers'!$O:$O,'Existing Customers'!$H:$H,$KF14,'Existing Customers'!$A:$A,$KG$1)*$KG$4,$KH14*$KG$8),0))</f>
        <v>0</v>
      </c>
      <c r="KJ14" s="92">
        <f>IF('Customer Inputs'!$W$16="End",0,IFERROR(IF(AND($KG$2&lt;&gt;"Enter Spend&gt;&gt;&gt;",$KH$2="EXISTING"),SUMIFS('Existing Customers'!$P:$P,'Existing Customers'!$A:$A,$KG$1,'Existing Customers'!$H:$H,$KF14)*$KG$4,$KG14/$KS14),0))</f>
        <v>0</v>
      </c>
      <c r="KK14" s="303">
        <f>IF('Customer Inputs'!$W$16="End",0,IFERROR(IF(AND($KG$2&lt;&gt;"Enter Spend&gt;&gt;&gt;",$KH$2="EXISTING"),SUMIFS('Existing Customers'!$V:$V,'Existing Customers'!$H:$H,$KF14,'Existing Customers'!$A:$A,$KG$1)*$KG$4,0),0))</f>
        <v>0</v>
      </c>
      <c r="KL14" s="93">
        <f>IF('Customer Inputs'!$W$16="End",0,IFERROR(IF(AND($KG$2&lt;&gt;"Enter Spend&gt;&gt;&gt;",$KH$2="EXISTING"),SUMIFS('Existing Customers'!$R:$R,'Existing Customers'!$H:$H,$KF14,'Existing Customers'!$A:$A,$KG$1)*$KG$4,0),0))</f>
        <v>0</v>
      </c>
      <c r="KM14" s="780">
        <f>IF('Customer Inputs'!$W$16="End",0,IFERROR(IF(AND($KG$2&lt;&gt;"Enter Spend&gt;&gt;&gt;",$KH$2="EXISTING"),SUMIFS('Existing Customers'!$S:$S,'Existing Customers'!$H:$H,$KF14,'Existing Customers'!$A:$A,$KG$1)/SUMIFS('Existing Customers'!$Q:$Q,'Existing Customers'!$A:$A,$KG$1,'Existing Customers'!$H:$H,$KF14),KW14),0))</f>
        <v>0</v>
      </c>
      <c r="KN14" s="780">
        <f>IF('Customer Inputs'!$W$16="End",0,IFERROR(IF(AND($KG$2&lt;&gt;"Enter Spend&gt;&gt;&gt;",$KH$2="EXISTING"),SUMIFS('Existing Customers'!$U:$U,'Existing Customers'!$H:$H,$KF14,'Existing Customers'!$A:$A,$KG$1)/SUMIFS('Existing Customers'!$Q:$Q,'Existing Customers'!$A:$A,$KG$1,'Existing Customers'!$H:$H,$KF14),KX14),0))</f>
        <v>0</v>
      </c>
      <c r="KO14" s="783" t="e">
        <f>_xlfn.CONCAT('Customer Inputs'!$AH$16,"_",KF14)</f>
        <v>#N/A</v>
      </c>
      <c r="KP14" s="783">
        <f t="array" ref="KP14">IF('Customer Inputs'!$W$16="End",0,IFERROR(INDEX('Margin Guidence Table'!$A$1:$AG$10000,MATCH(1,('Margin Guidence Table'!$A$1:$A$10000=KO14)*('Margin Guidence Table'!$I$1:$I$10000&lt;=ROUND($KG$3,0))*('Margin Guidence Table'!$J$1:$J$10000&gt;=ROUND($KG$3,0)),0),MATCH("DATA_POINTS",'Margin Guidence Table'!$A$1:$AG$1,0)),0))</f>
        <v>0</v>
      </c>
      <c r="KQ14" s="780" t="str">
        <f>IF(KP14&gt;15,"SEGMENT","DEFAULT")</f>
        <v>DEFAULT</v>
      </c>
      <c r="KR14" s="780">
        <f t="array" ref="KR14">IF('Customer Inputs'!$W$16="End",0,IFERROR(IF($KQ14="SEGMENT",INDEX('Margin Guidence Table'!$A$1:$AG$10000,MATCH(1,('Margin Guidence Table'!$A$1:$A$10000=KO14)*('Margin Guidence Table'!$I$1:$I$10000&lt;=ROUND($KG$3,0))*('Margin Guidence Table'!$J$1:$J$10000&gt;=ROUND($KG$3,0)),0),MATCH("SALES_CASE",'Margin Guidence Table'!$A$1:$AG$1,0)),INDEX('Margin Guidence Table'!$A$1:$AG$10000,MATCH(1,('Margin Guidence Table'!$A$1:$A$10000=KO14)*('Margin Guidence Table'!$I$1:$I$10000&lt;=ROUND($KG$3,0))*('Margin Guidence Table'!$J$1:$J$10000&gt;=ROUND($KG$3,0)),0),MATCH("DEFAULT_SALES_CASE",'Margin Guidence Table'!$A$1:$AG$1,0))),0))</f>
        <v>0</v>
      </c>
      <c r="KS14" s="780">
        <f t="array" ref="KS14">IF('Customer Inputs'!$W$16="End",0,IFERROR(IF($KQ14="SEGMENT",INDEX('Margin Guidence Table'!$A$1:$AG$10000,MATCH(1,('Margin Guidence Table'!$A$1:$A$10000=KO14)*('Margin Guidence Table'!$I$1:$I$10000&lt;=ROUND($KG$3,0))*('Margin Guidence Table'!$J$1:$J$10000&gt;=ROUND($KG$3,0)),0),MATCH("SALES_LBS",'Margin Guidence Table'!$A$1:$AG$1,0)),INDEX('Margin Guidence Table'!$A$1:$AG$10000,MATCH(1,('Margin Guidence Table'!$A$1:$A$10000=KO14)*('Margin Guidence Table'!$I$1:$I$10000&lt;=ROUND($KG$3,0))*('Margin Guidence Table'!$J$1:$J$10000&gt;=ROUND($KG$3,0)),0),MATCH("DEFAULT_SALES_LBS",'Margin Guidence Table'!$A$1:$AG$1,0))),0))</f>
        <v>0</v>
      </c>
      <c r="KT14" s="784">
        <f t="array" ref="KT14">IF('Customer Inputs'!$W$16="End",0,IFERROR(IF($KQ14="SEGMENT",INDEX('Margin Guidence Table'!$A$1:$AG$10000,MATCH(1,('Margin Guidence Table'!$A$1:$A$10000=KO14)*('Margin Guidence Table'!$I$1:$I$10000&lt;=ROUND($KG$3,0))*('Margin Guidence Table'!$J$1:$J$10000&gt;=ROUND($KG$3,0)),0),MATCH("MDA_MIN_MARGIN_GUIDENCE",'Margin Guidence Table'!$A$1:$AG$1,0)),INDEX('Margin Guidence Table'!$A$1:$AG$10000,MATCH(1,('Margin Guidence Table'!$A$1:$A$10000=KO14)*('Margin Guidence Table'!$I$1:$I$10000&lt;=ROUND($KG$3,0))*('Margin Guidence Table'!$J$1:$J$10000&gt;=ROUND($KG$3,0)),0),MATCH("DEFAULT_MDA_MIN_MARGIN_GUIDENCE",'Margin Guidence Table'!$A$1:$AG$1,0))),0))</f>
        <v>0</v>
      </c>
      <c r="KU14" s="784">
        <f t="array" ref="KU14">IF('Customer Inputs'!$W$16="End",0,IFERROR(IF($KQ14="SEGMENT",INDEX('Margin Guidence Table'!$A$1:$AG$10000,MATCH(1,('Margin Guidence Table'!$A$1:$A$10000=KO14)*('Margin Guidence Table'!$I$1:$I$10000&lt;=ROUND($KG$3,0))*('Margin Guidence Table'!$J$1:$J$10000&gt;=ROUND($KG$3,0)),0),MATCH("MDA_MEDIAN_MARGIN_GUIDENCE",'Margin Guidence Table'!$A$1:$AG$1,0)),INDEX('Margin Guidence Table'!$A$1:$AG$10000,MATCH(1,('Margin Guidence Table'!$A$1:$A$10000=KO14)*('Margin Guidence Table'!$I$1:$I$10000&lt;=ROUND($KG$3,0))*('Margin Guidence Table'!$J$1:$J$10000&gt;=ROUND($KG$3,0)),0),MATCH("DEFAULT_MDA_MEDIAN_MARGIN_GUIDENCE",'Margin Guidence Table'!$A$1:$AG$1,0))),0))</f>
        <v>0</v>
      </c>
      <c r="KV14" s="784">
        <f t="array" ref="KV14">IF('Customer Inputs'!$W$16="End",0,IFERROR(IF($KQ14="SEGMENT",INDEX('Margin Guidence Table'!$A$1:$AG$10000,MATCH(1,('Margin Guidence Table'!$A$1:$A$10000=KO14)*('Margin Guidence Table'!$I$1:$I$10000&lt;=ROUND($KG$3,0))*('Margin Guidence Table'!$J$1:$J$10000&gt;=ROUND($KG$3,0)),0),MATCH("MDA_MAX_MARGIN_GUIDENCE",'Margin Guidence Table'!$A$1:$AG$1,0)),INDEX('Margin Guidence Table'!$A$1:$AG$10000,MATCH(1,('Margin Guidence Table'!$A$1:$A$10000=KO14)*('Margin Guidence Table'!$I$1:$I$10000&lt;=ROUND($KG$3,0))*('Margin Guidence Table'!$J$1:$J$10000&gt;=ROUND($KG$3,0)),0),MATCH("DEFAULT_MDA_MAX_MARGIN_GUIDENCE",'Margin Guidence Table'!$A$1:$AG$1,0))),0))</f>
        <v>0</v>
      </c>
      <c r="KW14" s="784">
        <f t="array" ref="KW14">IF('Customer Inputs'!$W$16="End",0,IFERROR(IF($KQ14="SEGMENT",INDEX('Margin Guidence Table'!$A$1:$AG$10000,MATCH(1,('Margin Guidence Table'!$A$1:$A$10000=KO14)*('Margin Guidence Table'!$I$1:$I$10000&lt;=ROUND($KG$3,0))*('Margin Guidence Table'!$J$1:$J$10000&gt;=ROUND($KG$3,0)),0),MATCH("PA_PCT_SALES",'Margin Guidence Table'!$A$1:$AG$1,0)),INDEX('Margin Guidence Table'!$A$1:$AG$10000,MATCH(1,('Margin Guidence Table'!$A$1:$A$10000=KO14)*('Margin Guidence Table'!$I$1:$I$10000&lt;=ROUND($KG$3,0))*('Margin Guidence Table'!$J$1:$J$10000&gt;=ROUND($KG$3,0)),0),MATCH("DEFAULT_PA_PCT_SALES",'Margin Guidence Table'!$A$1:$AG$1,0))),0))</f>
        <v>0</v>
      </c>
      <c r="KX14" s="784">
        <f t="array" ref="KX14">IF('Customer Inputs'!$W$16="End",0,IFERROR(IF($KQ14="SEGMENT",INDEX('Margin Guidence Table'!$A$1:$AG$10000,MATCH(1,('Margin Guidence Table'!$A$1:$A$10000=KO14)*('Margin Guidence Table'!$I$1:$I$10000&lt;=ROUND($KG$3,0))*('Margin Guidence Table'!$J$1:$J$10000&gt;=ROUND($KG$3,0)),0),MATCH("SELF_FUND_PCT_SALES",'Margin Guidence Table'!$A$1:$AG$1,0)),INDEX('Margin Guidence Table'!$A$1:$AG$10000,MATCH(1,('Margin Guidence Table'!$A$1:$A$10000=KO14)*('Margin Guidence Table'!$I$1:$I$10000&lt;=ROUND($KG$3,0))*('Margin Guidence Table'!$J$1:$J$10000&gt;=ROUND($KG$3,0)),0),MATCH("DEFAULT_SELF_FUND_PCT_SALES",'Margin Guidence Table'!$A$1:$AG$1,0))),0))</f>
        <v>0</v>
      </c>
      <c r="KY14" s="784">
        <f t="array" ref="KY14">IF('Customer Inputs'!$W$16="End",0,IF($KH$2="Existing",IFERROR(SUMIFS('Existing Customers'!$V:$V,'Existing Customers'!$H:$H,$KF14,'Existing Customers'!$A:$A,$KG$1)/SUMIFS('Existing Customers'!$Q:$Q,'Existing Customers'!$H:$H,$KF14,'Existing Customers'!$A:$A,$KG$1),0),IFERROR(IF($KQ14="SEGMENT",INDEX('Margin Guidence Table'!$A$1:$AG$10000,MATCH(1,('Margin Guidence Table'!$A$1:$A$10000=KO14)*('Margin Guidence Table'!$I$1:$I$10000&lt;=ROUND($KG$3,0))*('Margin Guidence Table'!$J$1:$J$10000&gt;=ROUND($KG$3,0)),0),MATCH("CIA_MEDIAN_MARGIN_GUIDENCE",'Margin Guidence Table'!$A$1:$AG$1,0)),INDEX('Margin Guidence Table'!$A$1:$AG$10000,MATCH(1,('Margin Guidence Table'!$A$1:$A$10000=KO14)*('Margin Guidence Table'!$I$1:$I$10000&lt;=ROUND($KG$3,0))*('Margin Guidence Table'!$J$1:$J$10000&gt;=ROUND($KG$3,0)),0),MATCH("DEFAULT_CIA_MEDIAN_MARGIN_GUIDENCE",'Margin Guidence Table'!$A$1:$AG$1,0))),0)))</f>
        <v>0</v>
      </c>
      <c r="KZ14" s="784"/>
      <c r="LA14" s="18">
        <f t="array" ref="LA14">IF('Customer Inputs'!$W$17="End",0,IFERROR(IF($LN14="SEGMENT",INDEX('Margin Guidence Table'!$A$1:$AG$10000,MATCH(1,('Margin Guidence Table'!$A$1:$A$10000=$LL14)*('Margin Guidence Table'!$I$1:$I$10000&lt;=ROUND($LD$3,0))*('Margin Guidence Table'!$J$1:$J$10000&gt;=ROUND($LD$3,0)),0),MATCH("PCT_SALES",'Margin Guidence Table'!$A$1:$AG$1,0)),INDEX('Margin Guidence Table'!$A$1:$AG$10000,MATCH(1,('Margin Guidence Table'!$A$1:$A$10000=$LL14)*('Margin Guidence Table'!$I$1:$I$10000&lt;=ROUND($LD$3,0))*('Margin Guidence Table'!$J$1:$J$10000&gt;=ROUND($LD$3,0)),0),MATCH("DEFAULT_PCT_SALES",'Margin Guidence Table'!$A$1:$AG$1,0))),0))</f>
        <v>0</v>
      </c>
      <c r="LB14" s="1713" t="e">
        <f>LA14/$LA$35</f>
        <v>#DIV/0!</v>
      </c>
      <c r="LC14" s="99" t="s">
        <v>99</v>
      </c>
      <c r="LD14" s="91">
        <f>IF('Customer Inputs'!$W$17="End",0,IFERROR(IF(AND($LD$2&lt;&gt;"Enter Spend&gt;&gt;&gt;",$LE$2="EXISTING"),SUMIFS('Existing Customers'!$Q:$Q,'Existing Customers'!$A:$A,$LD$1,'Existing Customers'!$H:$H,$LC14)*$LD$4,$LD$3*$LB14),0))</f>
        <v>0</v>
      </c>
      <c r="LE14" s="86">
        <f>IF('Customer Inputs'!$W$17="End",0,IFERROR(IF(AND($LD$2&lt;&gt;"Enter Spend&gt;&gt;&gt;",$LE$2="EXISTING"),SUMIFS('Existing Customers'!$N:$N,'Existing Customers'!$A:$A,$LD$1,'Existing Customers'!$H:$H,$LC14)*$LD$4,$LD14/$LO14),0))</f>
        <v>0</v>
      </c>
      <c r="LF14" s="92">
        <f>IF('Customer Inputs'!$W$17="End",0,IFERROR(IF(AND($LD$2&lt;&gt;"Enter Spend&gt;&gt;&gt;",$LE$2="EXISTING"),SUMIFS('Existing Customers'!$O:$O,'Existing Customers'!$H:$H,$LC14,'Existing Customers'!$A:$A,$LD$1)*$LD$4,$LE14*$LD$8),0))</f>
        <v>0</v>
      </c>
      <c r="LG14" s="92">
        <f>IF('Customer Inputs'!$W$17="End",0,IFERROR(IF(AND($LD$2&lt;&gt;"Enter Spend&gt;&gt;&gt;",$LE$2="EXISTING"),SUMIFS('Existing Customers'!$P:$P,'Existing Customers'!$A:$A,$LD$1,'Existing Customers'!$H:$H,$LC14)*$LD$4,$LD14/$LP14),0))</f>
        <v>0</v>
      </c>
      <c r="LH14" s="303">
        <f>IF('Customer Inputs'!$W$17="End",0,IFERROR(IF(AND($LD$2&lt;&gt;"Enter Spend&gt;&gt;&gt;",$LE$2="EXISTING"),SUMIFS('Existing Customers'!$V:$V,'Existing Customers'!$H:$H,$LC14,'Existing Customers'!$A:$A,$LD$1)*$LD$4,0),0))</f>
        <v>0</v>
      </c>
      <c r="LI14" s="93">
        <f>IF('Customer Inputs'!$W$17="End",0,IFERROR(IF(AND($LD$2&lt;&gt;"Enter Spend&gt;&gt;&gt;",$LE$2="EXISTING"),SUMIFS('Existing Customers'!$R:$R,'Existing Customers'!$H:$H,$LC14,'Existing Customers'!$A:$A,$LD$1)*$LD$4,0),0))</f>
        <v>0</v>
      </c>
      <c r="LJ14" s="780">
        <f>IF('Customer Inputs'!$W$17="End",0,IFERROR(IF(AND($LD$2&lt;&gt;"Enter Spend&gt;&gt;&gt;",$LE$2="EXISTING"),SUMIFS('Existing Customers'!$S:$S,'Existing Customers'!$H:$H,$LC14,'Existing Customers'!$A:$A,$LD$1)/SUMIFS('Existing Customers'!$Q:$Q,'Existing Customers'!$A:$A,$LD$1,'Existing Customers'!$H:$H,$LC14),LT14),0))</f>
        <v>0</v>
      </c>
      <c r="LK14" s="780">
        <f>IF('Customer Inputs'!$W$17="End",0,IFERROR(IF(AND($LD$2&lt;&gt;"Enter Spend&gt;&gt;&gt;",$LE$2="EXISTING"),SUMIFS('Existing Customers'!$U:$U,'Existing Customers'!$H:$H,$LC14,'Existing Customers'!$A:$A,$LD$1)/SUMIFS('Existing Customers'!$Q:$Q,'Existing Customers'!$A:$A,$LD$1,'Existing Customers'!$H:$H,$LC14),LU14),0))</f>
        <v>0</v>
      </c>
      <c r="LL14" s="783" t="e">
        <f>_xlfn.CONCAT('Customer Inputs'!$AH$17,"_",LC14)</f>
        <v>#N/A</v>
      </c>
      <c r="LM14" s="783">
        <f t="array" ref="LM14">IF('Customer Inputs'!$W$17="End",0,IFERROR(INDEX('Margin Guidence Table'!$A$1:$AG$10000,MATCH(1,('Margin Guidence Table'!$A$1:$A$10000=LL14)*('Margin Guidence Table'!$I$1:$I$10000&lt;=ROUND($LD$3,0))*('Margin Guidence Table'!$J$1:$J$10000&gt;=ROUND($LD$3,0)),0),MATCH("DATA_POINTS",'Margin Guidence Table'!$A$1:$AG$1,0)),0))</f>
        <v>0</v>
      </c>
      <c r="LN14" s="780" t="str">
        <f>IF(LM14&gt;15,"SEGMENT","DEFAULT")</f>
        <v>DEFAULT</v>
      </c>
      <c r="LO14" s="780">
        <f t="array" ref="LO14">IF('Customer Inputs'!$W$17="End",0,IFERROR(IF($LN14="SEGMENT",INDEX('Margin Guidence Table'!$A$1:$AG$10000,MATCH(1,('Margin Guidence Table'!$A$1:$A$10000=LL14)*('Margin Guidence Table'!$I$1:$I$10000&lt;=ROUND($LD$3,0))*('Margin Guidence Table'!$J$1:$J$10000&gt;=ROUND($LD$3,0)),0),MATCH("SALES_CASE",'Margin Guidence Table'!$A$1:$AG$1,0)),INDEX('Margin Guidence Table'!$A$1:$AG$10000,MATCH(1,('Margin Guidence Table'!$A$1:$A$10000=LL14)*('Margin Guidence Table'!$I$1:$I$10000&lt;=ROUND($LD$3,0))*('Margin Guidence Table'!$J$1:$J$10000&gt;=ROUND($LD$3,0)),0),MATCH("DEFAULT_SALES_CASE",'Margin Guidence Table'!$A$1:$AG$1,0))),0))</f>
        <v>0</v>
      </c>
      <c r="LP14" s="780">
        <f t="array" ref="LP14">IF('Customer Inputs'!$W$17="End",0,IFERROR(IF($LN14="SEGMENT",INDEX('Margin Guidence Table'!$A$1:$AG$10000,MATCH(1,('Margin Guidence Table'!$A$1:$A$10000=LL14)*('Margin Guidence Table'!$I$1:$I$10000&lt;=ROUND($LD$3,0))*('Margin Guidence Table'!$J$1:$J$10000&gt;=ROUND($LD$3,0)),0),MATCH("SALES_LBS",'Margin Guidence Table'!$A$1:$AG$1,0)),INDEX('Margin Guidence Table'!$A$1:$AG$10000,MATCH(1,('Margin Guidence Table'!$A$1:$A$10000=LL14)*('Margin Guidence Table'!$I$1:$I$10000&lt;=ROUND($LD$3,0))*('Margin Guidence Table'!$J$1:$J$10000&gt;=ROUND($LD$3,0)),0),MATCH("DEFAULT_SALES_LBS",'Margin Guidence Table'!$A$1:$AG$1,0))),0))</f>
        <v>0</v>
      </c>
      <c r="LQ14" s="784">
        <f t="array" ref="LQ14">IF('Customer Inputs'!$W$17="End",0,IFERROR(IF($LN14="SEGMENT",INDEX('Margin Guidence Table'!$A$1:$AG$10000,MATCH(1,('Margin Guidence Table'!$A$1:$A$10000=LL14)*('Margin Guidence Table'!$I$1:$I$10000&lt;=ROUND($LD$3,0))*('Margin Guidence Table'!$J$1:$J$10000&gt;=ROUND($LD$3,0)),0),MATCH("MDA_MIN_MARGIN_GUIDENCE",'Margin Guidence Table'!$A$1:$AG$1,0)),INDEX('Margin Guidence Table'!$A$1:$AG$10000,MATCH(1,('Margin Guidence Table'!$A$1:$A$10000=LL14)*('Margin Guidence Table'!$I$1:$I$10000&lt;=ROUND($LD$3,0))*('Margin Guidence Table'!$J$1:$J$10000&gt;=ROUND($LD$3,0)),0),MATCH("DEFAULT_MDA_MIN_MARGIN_GUIDENCE",'Margin Guidence Table'!$A$1:$AG$1,0))),0))</f>
        <v>0</v>
      </c>
      <c r="LR14" s="784">
        <f t="array" ref="LR14">IF('Customer Inputs'!$W$17="End",0,IFERROR(IF($LN14="SEGMENT",INDEX('Margin Guidence Table'!$A$1:$AG$10000,MATCH(1,('Margin Guidence Table'!$A$1:$A$10000=LL14)*('Margin Guidence Table'!$I$1:$I$10000&lt;=ROUND($LD$3,0))*('Margin Guidence Table'!$J$1:$J$10000&gt;=ROUND($LD$3,0)),0),MATCH("MDA_MEDIAN_MARGIN_GUIDENCE",'Margin Guidence Table'!$A$1:$AG$1,0)),INDEX('Margin Guidence Table'!$A$1:$AG$10000,MATCH(1,('Margin Guidence Table'!$A$1:$A$10000=LL14)*('Margin Guidence Table'!$I$1:$I$10000&lt;=ROUND($LD$3,0))*('Margin Guidence Table'!$J$1:$J$10000&gt;=ROUND($LD$3,0)),0),MATCH("DEFAULT_MDA_MEDIAN_MARGIN_GUIDENCE",'Margin Guidence Table'!$A$1:$AG$1,0))),0))</f>
        <v>0</v>
      </c>
      <c r="LS14" s="784">
        <f t="array" ref="LS14">IF('Customer Inputs'!$W$17="End",0,IFERROR(IF($LN14="SEGMENT",INDEX('Margin Guidence Table'!$A$1:$AG$10000,MATCH(1,('Margin Guidence Table'!$A$1:$A$10000=LL14)*('Margin Guidence Table'!$I$1:$I$10000&lt;=ROUND($LD$3,0))*('Margin Guidence Table'!$J$1:$J$10000&gt;=ROUND($LD$3,0)),0),MATCH("MDA_MAX_MARGIN_GUIDENCE",'Margin Guidence Table'!$A$1:$AG$1,0)),INDEX('Margin Guidence Table'!$A$1:$AG$10000,MATCH(1,('Margin Guidence Table'!$A$1:$A$10000=LL14)*('Margin Guidence Table'!$I$1:$I$10000&lt;=ROUND($LD$3,0))*('Margin Guidence Table'!$J$1:$J$10000&gt;=ROUND($LD$3,0)),0),MATCH("DEFAULT_MDA_MAX_MARGIN_GUIDENCE",'Margin Guidence Table'!$A$1:$AG$1,0))),0))</f>
        <v>0</v>
      </c>
      <c r="LT14" s="784">
        <f t="array" ref="LT14">IF('Customer Inputs'!$W$17="End",0,IFERROR(IF($LN14="SEGMENT",INDEX('Margin Guidence Table'!$A$1:$AG$10000,MATCH(1,('Margin Guidence Table'!$A$1:$A$10000=LL14)*('Margin Guidence Table'!$I$1:$I$10000&lt;=ROUND($LD$3,0))*('Margin Guidence Table'!$J$1:$J$10000&gt;=ROUND($LD$3,0)),0),MATCH("PA_PCT_SALES",'Margin Guidence Table'!$A$1:$AG$1,0)),INDEX('Margin Guidence Table'!$A$1:$AG$10000,MATCH(1,('Margin Guidence Table'!$A$1:$A$10000=LL14)*('Margin Guidence Table'!$I$1:$I$10000&lt;=ROUND($LD$3,0))*('Margin Guidence Table'!$J$1:$J$10000&gt;=ROUND($LD$3,0)),0),MATCH("DEFAULT_PA_PCT_SALES",'Margin Guidence Table'!$A$1:$AG$1,0))),0))</f>
        <v>0</v>
      </c>
      <c r="LU14" s="784">
        <f t="array" ref="LU14">IF('Customer Inputs'!$W$17="End",0,IFERROR(IF($LN14="SEGMENT",INDEX('Margin Guidence Table'!$A$1:$AG$10000,MATCH(1,('Margin Guidence Table'!$A$1:$A$10000=LL14)*('Margin Guidence Table'!$I$1:$I$10000&lt;=ROUND($LD$3,0))*('Margin Guidence Table'!$J$1:$J$10000&gt;=ROUND($LD$3,0)),0),MATCH("SELF_FUND_PCT_SALES",'Margin Guidence Table'!$A$1:$AG$1,0)),INDEX('Margin Guidence Table'!$A$1:$AG$10000,MATCH(1,('Margin Guidence Table'!$A$1:$A$10000=LL14)*('Margin Guidence Table'!$I$1:$I$10000&lt;=ROUND($LD$3,0))*('Margin Guidence Table'!$J$1:$J$10000&gt;=ROUND($LD$3,0)),0),MATCH("DEFAULT_SELF_FUND_PCT_SALES",'Margin Guidence Table'!$A$1:$AG$1,0))),0))</f>
        <v>0</v>
      </c>
      <c r="LV14" s="784">
        <f t="array" ref="LV14">IF('Customer Inputs'!$W$17="End",0,IF($LE$2="Existing",IFERROR(SUMIFS('Existing Customers'!$V:$V,'Existing Customers'!$H:$H,$LC14,'Existing Customers'!$A:$A,$LD$1)/SUMIFS('Existing Customers'!$Q:$Q,'Existing Customers'!$H:$H,$LC14,'Existing Customers'!$A:$A,$LD$1),0),IFERROR(IF($LN14="SEGMENT",INDEX('Margin Guidence Table'!$A$1:$AG$10000,MATCH(1,('Margin Guidence Table'!$A$1:$A$10000=LL14)*('Margin Guidence Table'!$I$1:$I$10000&lt;=ROUND($LD$3,0))*('Margin Guidence Table'!$J$1:$J$10000&gt;=ROUND($LD$3,0)),0),MATCH("CIA_MEDIAN_MARGIN_GUIDENCE",'Margin Guidence Table'!$A$1:$AG$1,0)),INDEX('Margin Guidence Table'!$A$1:$AG$10000,MATCH(1,('Margin Guidence Table'!$A$1:$A$10000=LL14)*('Margin Guidence Table'!$I$1:$I$10000&lt;=ROUND($LD$3,0))*('Margin Guidence Table'!$J$1:$J$10000&gt;=ROUND($LD$3,0)),0),MATCH("DEFAULT_CIA_MEDIAN_MARGIN_GUIDENCE",'Margin Guidence Table'!$A$1:$AG$1,0))),0)))</f>
        <v>0</v>
      </c>
      <c r="LW14" s="784"/>
      <c r="LX14" s="18">
        <f t="array" ref="LX14">IF('Customer Inputs'!$W$18="End",0,IFERROR(IF($MK14="SEGMENT",INDEX('Margin Guidence Table'!$A$1:$AG$10000,MATCH(1,('Margin Guidence Table'!$A$1:$A$10000=$MI14)*('Margin Guidence Table'!$I$1:$I$10000&lt;=ROUND($MA$3,0))*('Margin Guidence Table'!$J$1:$J$10000&gt;=ROUND($MA$3,0)),0),MATCH("PCT_SALES",'Margin Guidence Table'!$A$1:$AG$1,0)),INDEX('Margin Guidence Table'!$A$1:$AG$10000,MATCH(1,('Margin Guidence Table'!$A$1:$A$10000=$MI14)*('Margin Guidence Table'!$I$1:$I$10000&lt;=ROUND($MA$3,0))*('Margin Guidence Table'!$J$1:$J$10000&gt;=ROUND($MA$3,0)),0),MATCH("DEFAULT_PCT_SALES",'Margin Guidence Table'!$A$1:$AG$1,0))),0))</f>
        <v>0</v>
      </c>
      <c r="LY14" s="1713" t="e">
        <f>LX14/$LX$35</f>
        <v>#DIV/0!</v>
      </c>
      <c r="LZ14" s="99" t="s">
        <v>99</v>
      </c>
      <c r="MA14" s="91">
        <f>IF('Customer Inputs'!$W$18="End",0,IFERROR(IF(AND($MA$2&lt;&gt;"Enter Spend&gt;&gt;&gt;",$MB$2="EXISTING"),SUMIFS('Existing Customers'!$Q:$Q,'Existing Customers'!$A:$A,$MA$1,'Existing Customers'!$H:$H,$LZ14)*$MA$4,$MA$3*$LY14),0))</f>
        <v>0</v>
      </c>
      <c r="MB14" s="86">
        <f>IF('Customer Inputs'!$W$18="End",0,IFERROR(IF(AND($MA$2&lt;&gt;"Enter Spend&gt;&gt;&gt;",$MB$2="EXISTING"),SUMIFS('Existing Customers'!$N:$N,'Existing Customers'!$A:$A,$MA$1,'Existing Customers'!$H:$H,$LZ14)*$MA$4,$MA14/$ML14),0))</f>
        <v>0</v>
      </c>
      <c r="MC14" s="92">
        <f>IF('Customer Inputs'!$W$18="End",0,IFERROR(IF(AND($MA$2&lt;&gt;"Enter Spend&gt;&gt;&gt;",$MB$2="EXISTING"),SUMIFS('Existing Customers'!$O:$O,'Existing Customers'!$H:$H,$LZ14,'Existing Customers'!$A:$A,$MA$1)*$MA$4,$MB14*$MA$8),0))</f>
        <v>0</v>
      </c>
      <c r="MD14" s="92">
        <f>IF('Customer Inputs'!$W$18="End",0,IFERROR(IF(AND($MA$2&lt;&gt;"Enter Spend&gt;&gt;&gt;",$MB$2="EXISTING"),SUMIFS('Existing Customers'!$P:$P,'Existing Customers'!$A:$A,$MA$1,'Existing Customers'!$H:$H,$LZ14)*$MA$4,$MA14/$MM14),0))</f>
        <v>0</v>
      </c>
      <c r="ME14" s="303">
        <f>IF('Customer Inputs'!$W$18="End",0,IFERROR(IF(AND($MA$2&lt;&gt;"Enter Spend&gt;&gt;&gt;",$MB$2="EXISTING"),SUMIFS('Existing Customers'!$V:$V,'Existing Customers'!$H:$H,$LZ14,'Existing Customers'!$A:$A,$MA$1)*$MA$4,0),0))</f>
        <v>0</v>
      </c>
      <c r="MF14" s="93">
        <f>IF('Customer Inputs'!$W$18="End",0,IFERROR(IF(AND($MA$2&lt;&gt;"Enter Spend&gt;&gt;&gt;",$MB$2="EXISTING"),SUMIFS('Existing Customers'!$R:$R,'Existing Customers'!$H:$H,$LZ14,'Existing Customers'!$A:$A,$MA$1)*$MA$4,0),0))</f>
        <v>0</v>
      </c>
      <c r="MG14" s="780">
        <f>IF('Customer Inputs'!$W$18="End",0,IFERROR(IF(AND($MA$2&lt;&gt;"Enter Spend&gt;&gt;&gt;",$MB$2="EXISTING"),SUMIFS('Existing Customers'!$S:$S,'Existing Customers'!$H:$H,$LZ14,'Existing Customers'!$A:$A,$MA$1)/SUMIFS('Existing Customers'!$Q:$Q,'Existing Customers'!$A:$A,$MA$1,'Existing Customers'!$H:$H,$LZ14),MQ14),0))</f>
        <v>0</v>
      </c>
      <c r="MH14" s="780">
        <f>IF('Customer Inputs'!$W$18="End",0,IFERROR(IF(AND($MA$2&lt;&gt;"Enter Spend&gt;&gt;&gt;",$MB$2="EXISTING"),SUMIFS('Existing Customers'!$U:$U,'Existing Customers'!$H:$H,$LZ14,'Existing Customers'!$A:$A,$MA$1)/SUMIFS('Existing Customers'!$Q:$Q,'Existing Customers'!$A:$A,$MA$1,'Existing Customers'!$H:$H,$LZ14),MR14),0))</f>
        <v>0</v>
      </c>
      <c r="MI14" s="783" t="e">
        <f>_xlfn.CONCAT('Customer Inputs'!$AH$18,"_",LZ14)</f>
        <v>#N/A</v>
      </c>
      <c r="MJ14" s="783">
        <f t="array" ref="MJ14">IF('Customer Inputs'!$W$18="End",0,IFERROR(INDEX('Margin Guidence Table'!$A$1:$AG$10000,MATCH(1,('Margin Guidence Table'!$A$1:$A$10000=MI14)*('Margin Guidence Table'!$I$1:$I$10000&lt;=ROUND($MA$3,0))*('Margin Guidence Table'!$J$1:$J$10000&gt;=ROUND($MA$3,0)),0),MATCH("DATA_POINTS",'Margin Guidence Table'!$A$1:$AG$1,0)),0))</f>
        <v>0</v>
      </c>
      <c r="MK14" s="780" t="str">
        <f>IF(MJ14&gt;15,"SEGMENT","DEFAULT")</f>
        <v>DEFAULT</v>
      </c>
      <c r="ML14" s="780">
        <f t="array" ref="ML14">IF('Customer Inputs'!$W$18="End",0,IFERROR(IF($MK14="SEGMENT",INDEX('Margin Guidence Table'!$A$1:$AG$10000,MATCH(1,('Margin Guidence Table'!$A$1:$A$10000=MI14)*('Margin Guidence Table'!$I$1:$I$10000&lt;=ROUND($MA$3,0))*('Margin Guidence Table'!$J$1:$J$10000&gt;=ROUND($MA$3,0)),0),MATCH("SALES_CASE",'Margin Guidence Table'!$A$1:$AG$1,0)),INDEX('Margin Guidence Table'!$A$1:$AG$10000,MATCH(1,('Margin Guidence Table'!$A$1:$A$10000=MI14)*('Margin Guidence Table'!$I$1:$I$10000&lt;=ROUND($MA$3,0))*('Margin Guidence Table'!$J$1:$J$10000&gt;=ROUND($MA$3,0)),0),MATCH("DEFAULT_SALES_CASE",'Margin Guidence Table'!$A$1:$AG$1,0))),0))</f>
        <v>0</v>
      </c>
      <c r="MM14" s="780">
        <f t="array" ref="MM14">IF('Customer Inputs'!$W$18="End",0,IFERROR(IF($MK14="SEGMENT",INDEX('Margin Guidence Table'!$A$1:$AG$10000,MATCH(1,('Margin Guidence Table'!$A$1:$A$10000=MI14)*('Margin Guidence Table'!$I$1:$I$10000&lt;=ROUND($MA$3,0))*('Margin Guidence Table'!$J$1:$J$10000&gt;=ROUND($MA$3,0)),0),MATCH("SALES_LBS",'Margin Guidence Table'!$A$1:$AG$1,0)),INDEX('Margin Guidence Table'!$A$1:$AG$10000,MATCH(1,('Margin Guidence Table'!$A$1:$A$10000=MI14)*('Margin Guidence Table'!$I$1:$I$10000&lt;=ROUND($MA$3,0))*('Margin Guidence Table'!$J$1:$J$10000&gt;=ROUND($MA$3,0)),0),MATCH("DEFAULT_SALES_LBS",'Margin Guidence Table'!$A$1:$AG$1,0))),0))</f>
        <v>0</v>
      </c>
      <c r="MN14" s="784">
        <f t="array" ref="MN14">IF('Customer Inputs'!$W$18="End",0,IFERROR(IF($MK14="SEGMENT",INDEX('Margin Guidence Table'!$A$1:$AG$10000,MATCH(1,('Margin Guidence Table'!$A$1:$A$10000=MI14)*('Margin Guidence Table'!$I$1:$I$10000&lt;=ROUND($MA$3,0))*('Margin Guidence Table'!$J$1:$J$10000&gt;=ROUND($MA$3,0)),0),MATCH("MDA_MIN_MARGIN_GUIDENCE",'Margin Guidence Table'!$A$1:$AG$1,0)),INDEX('Margin Guidence Table'!$A$1:$AG$10000,MATCH(1,('Margin Guidence Table'!$A$1:$A$10000=MI14)*('Margin Guidence Table'!$I$1:$I$10000&lt;=ROUND($MA$3,0))*('Margin Guidence Table'!$J$1:$J$10000&gt;=ROUND($MA$3,0)),0),MATCH("DEFAULT_MDA_MIN_MARGIN_GUIDENCE",'Margin Guidence Table'!$A$1:$AG$1,0))),0))</f>
        <v>0</v>
      </c>
      <c r="MO14" s="784">
        <f t="array" ref="MO14">IF('Customer Inputs'!$W$18="End",0,IFERROR(IF($MK14="SEGMENT",INDEX('Margin Guidence Table'!$A$1:$AG$10000,MATCH(1,('Margin Guidence Table'!$A$1:$A$10000=MI14)*('Margin Guidence Table'!$I$1:$I$10000&lt;=ROUND($MA$3,0))*('Margin Guidence Table'!$J$1:$J$10000&gt;=ROUND($MA$3,0)),0),MATCH("MDA_MEDIAN_MARGIN_GUIDENCE",'Margin Guidence Table'!$A$1:$AG$1,0)),INDEX('Margin Guidence Table'!$A$1:$AG$10000,MATCH(1,('Margin Guidence Table'!$A$1:$A$10000=MI14)*('Margin Guidence Table'!$I$1:$I$10000&lt;=ROUND($MA$3,0))*('Margin Guidence Table'!$J$1:$J$10000&gt;=ROUND($MA$3,0)),0),MATCH("DEFAULT_MDA_MEDIAN_MARGIN_GUIDENCE",'Margin Guidence Table'!$A$1:$AG$1,0))),0))</f>
        <v>0</v>
      </c>
      <c r="MP14" s="784">
        <f t="array" ref="MP14">IF('Customer Inputs'!$W$18="End",0,IFERROR(IF($MK14="SEGMENT",INDEX('Margin Guidence Table'!$A$1:$AG$10000,MATCH(1,('Margin Guidence Table'!$A$1:$A$10000=MI14)*('Margin Guidence Table'!$I$1:$I$10000&lt;=ROUND($MA$3,0))*('Margin Guidence Table'!$J$1:$J$10000&gt;=ROUND($MA$3,0)),0),MATCH("MDA_MAX_MARGIN_GUIDENCE",'Margin Guidence Table'!$A$1:$AG$1,0)),INDEX('Margin Guidence Table'!$A$1:$AG$10000,MATCH(1,('Margin Guidence Table'!$A$1:$A$10000=MI14)*('Margin Guidence Table'!$I$1:$I$10000&lt;=ROUND($MA$3,0))*('Margin Guidence Table'!$J$1:$J$10000&gt;=ROUND($MA$3,0)),0),MATCH("DEFAULT_MDA_MAX_MARGIN_GUIDENCE",'Margin Guidence Table'!$A$1:$AG$1,0))),0))</f>
        <v>0</v>
      </c>
      <c r="MQ14" s="784">
        <f t="array" ref="MQ14">IF('Customer Inputs'!$W$18="End",0,IFERROR(IF($MK14="SEGMENT",INDEX('Margin Guidence Table'!$A$1:$AG$10000,MATCH(1,('Margin Guidence Table'!$A$1:$A$10000=MI14)*('Margin Guidence Table'!$I$1:$I$10000&lt;=ROUND($MA$3,0))*('Margin Guidence Table'!$J$1:$J$10000&gt;=ROUND($MA$3,0)),0),MATCH("PA_PCT_SALES",'Margin Guidence Table'!$A$1:$AG$1,0)),INDEX('Margin Guidence Table'!$A$1:$AG$10000,MATCH(1,('Margin Guidence Table'!$A$1:$A$10000=MI14)*('Margin Guidence Table'!$I$1:$I$10000&lt;=ROUND($MA$3,0))*('Margin Guidence Table'!$J$1:$J$10000&gt;=ROUND($MA$3,0)),0),MATCH("DEFAULT_PA_PCT_SALES",'Margin Guidence Table'!$A$1:$AG$1,0))),0))</f>
        <v>0</v>
      </c>
      <c r="MR14" s="784">
        <f t="array" ref="MR14">IF('Customer Inputs'!$W$18="End",0,IFERROR(IF($MK14="SEGMENT",INDEX('Margin Guidence Table'!$A$1:$AG$10000,MATCH(1,('Margin Guidence Table'!$A$1:$A$10000=MI14)*('Margin Guidence Table'!$I$1:$I$10000&lt;=ROUND($MA$3,0))*('Margin Guidence Table'!$J$1:$J$10000&gt;=ROUND($MA$3,0)),0),MATCH("SELF_FUND_PCT_SALES",'Margin Guidence Table'!$A$1:$AG$1,0)),INDEX('Margin Guidence Table'!$A$1:$AG$10000,MATCH(1,('Margin Guidence Table'!$A$1:$A$10000=MI14)*('Margin Guidence Table'!$I$1:$I$10000&lt;=ROUND($MA$3,0))*('Margin Guidence Table'!$J$1:$J$10000&gt;=ROUND($MA$3,0)),0),MATCH("DEFAULT_SELF_FUND_PCT_SALES",'Margin Guidence Table'!$A$1:$AG$1,0))),0))</f>
        <v>0</v>
      </c>
      <c r="MS14" s="784">
        <f t="array" ref="MS14">IF('Customer Inputs'!$W$18="End",0,IF($MB$2="Existing",IFERROR(SUMIFS('Existing Customers'!$V:$V,'Existing Customers'!$H:$H,$LZ14,'Existing Customers'!$A:$A,$MA$1)/SUMIFS('Existing Customers'!$Q:$Q,'Existing Customers'!$H:$H,$LZ14,'Existing Customers'!$A:$A,$MA$1),0),IFERROR(IF($MK14="SEGMENT",INDEX('Margin Guidence Table'!$A$1:$AG$10000,MATCH(1,('Margin Guidence Table'!$A$1:$A$10000=MI14)*('Margin Guidence Table'!$I$1:$I$10000&lt;=ROUND($MA$3,0))*('Margin Guidence Table'!$J$1:$J$10000&gt;=ROUND($MA$3,0)),0),MATCH("CIA_MEDIAN_MARGIN_GUIDENCE",'Margin Guidence Table'!$A$1:$AG$1,0)),INDEX('Margin Guidence Table'!$A$1:$AG$10000,MATCH(1,('Margin Guidence Table'!$A$1:$A$10000=MI14)*('Margin Guidence Table'!$I$1:$I$10000&lt;=ROUND($MA$3,0))*('Margin Guidence Table'!$J$1:$J$10000&gt;=ROUND($MA$3,0)),0),MATCH("DEFAULT_CIA_MEDIAN_MARGIN_GUIDENCE",'Margin Guidence Table'!$A$1:$AG$1,0))),0)))</f>
        <v>0</v>
      </c>
      <c r="MT14" s="784"/>
      <c r="MU14" s="18">
        <f t="array" ref="MU14">IF('Customer Inputs'!$W$19="End",0,IFERROR(IF($NH14="SEGMENT",INDEX('Margin Guidence Table'!$A$1:$AG$10000,MATCH(1,('Margin Guidence Table'!$A$1:$A$10000=$NF14)*('Margin Guidence Table'!$I$1:$I$10000&lt;=ROUND($MX$3,0))*('Margin Guidence Table'!$J$1:$J$10000&gt;=ROUND($MX$3,0)),0),MATCH("PCT_SALES",'Margin Guidence Table'!$A$1:$AG$1,0)),INDEX('Margin Guidence Table'!$A$1:$AG$10000,MATCH(1,('Margin Guidence Table'!$A$1:$A$10000=$NF14)*('Margin Guidence Table'!$I$1:$I$10000&lt;=ROUND($MX$3,0))*('Margin Guidence Table'!$J$1:$J$10000&gt;=ROUND($MX$3,0)),0),MATCH("DEFAULT_PCT_SALES",'Margin Guidence Table'!$A$1:$AG$1,0))),0))</f>
        <v>0</v>
      </c>
      <c r="MV14" s="1713" t="e">
        <f>MU14/$MU$35</f>
        <v>#DIV/0!</v>
      </c>
      <c r="MW14" s="99" t="s">
        <v>99</v>
      </c>
      <c r="MX14" s="91">
        <f>IF('Customer Inputs'!$W$19="End",0,IFERROR(IF(AND($MX$2&lt;&gt;"Enter Spend&gt;&gt;&gt;",$MY$2="EXISTING"),SUMIFS('Existing Customers'!$Q:$Q,'Existing Customers'!$A:$A,$MX$1,'Existing Customers'!$H:$H,$MW14)*$MX$4,$MX$3*$MV14),0))</f>
        <v>0</v>
      </c>
      <c r="MY14" s="86">
        <f>IF('Customer Inputs'!$W$19="End",0,IFERROR(IF(AND($MX$2&lt;&gt;"Enter Spend&gt;&gt;&gt;",$MY$2="EXISTING"),SUMIFS('Existing Customers'!$N:$N,'Existing Customers'!$A:$A,$MX$1,'Existing Customers'!$H:$H,$MW14)*$MX$4,$MX14/$NI14),0))</f>
        <v>0</v>
      </c>
      <c r="MZ14" s="92">
        <f>IF('Customer Inputs'!$W$19="End",0,IFERROR(IF(AND($MX$2&lt;&gt;"Enter Spend&gt;&gt;&gt;",$MY$2="EXISTING"),SUMIFS('Existing Customers'!$O:$O,'Existing Customers'!$H:$H,$MW14,'Existing Customers'!$A:$A,$MX$1)*$MX$4,$MY14*$MX$8),0))</f>
        <v>0</v>
      </c>
      <c r="NA14" s="92">
        <f>IF('Customer Inputs'!$W$19="End",0,IFERROR(IF(AND($MX$2&lt;&gt;"Enter Spend&gt;&gt;&gt;",$MY$2="EXISTING"),SUMIFS('Existing Customers'!$P:$P,'Existing Customers'!$A:$A,$MX$1,'Existing Customers'!$H:$H,$MW14)*$MX$4,$MX14/$NJ14),0))</f>
        <v>0</v>
      </c>
      <c r="NB14" s="303">
        <f>IF('Customer Inputs'!$W$19="End",0,IFERROR(IF(AND($MX$2&lt;&gt;"Enter Spend&gt;&gt;&gt;",$MY$2="EXISTING"),SUMIFS('Existing Customers'!$V:$V,'Existing Customers'!$H:$H,$MW14,'Existing Customers'!$A:$A,$MX$1)*$MX$4,0),0))</f>
        <v>0</v>
      </c>
      <c r="NC14" s="93">
        <f>IF('Customer Inputs'!$W$19="End",0,IFERROR(IF(AND($MX$2&lt;&gt;"Enter Spend&gt;&gt;&gt;",$MY$2="EXISTING"),SUMIFS('Existing Customers'!$R:$R,'Existing Customers'!$H:$H,$MW14,'Existing Customers'!$A:$A,$MX$1)*$MX$4,0),0))</f>
        <v>0</v>
      </c>
      <c r="ND14" s="780">
        <f>IF('Customer Inputs'!$W$19="End",0,IFERROR(IF(AND($MX$2&lt;&gt;"Enter Spend&gt;&gt;&gt;",$MY$2="EXISTING"),SUMIFS('Existing Customers'!$S:$S,'Existing Customers'!$H:$H,$MW14,'Existing Customers'!$A:$A,$MX$1)/SUMIFS('Existing Customers'!$Q:$Q,'Existing Customers'!$A:$A,$MX$1,'Existing Customers'!$H:$H,$MW14),NN14),0))</f>
        <v>0</v>
      </c>
      <c r="NE14" s="780">
        <f>IF('Customer Inputs'!$W$19="End",0,IFERROR(IF(AND($MX$2&lt;&gt;"Enter Spend&gt;&gt;&gt;",$MY$2="EXISTING"),SUMIFS('Existing Customers'!$U:$U,'Existing Customers'!$H:$H,$MW14,'Existing Customers'!$A:$A,$MX$1)/SUMIFS('Existing Customers'!$Q:$Q,'Existing Customers'!$A:$A,$MX$1,'Existing Customers'!$H:$H,$MW14),NO14),0))</f>
        <v>0</v>
      </c>
      <c r="NF14" s="783" t="e">
        <f>_xlfn.CONCAT('Customer Inputs'!$AH$19,"_",MW14)</f>
        <v>#N/A</v>
      </c>
      <c r="NG14" s="783">
        <f t="array" ref="NG14">IF('Customer Inputs'!$W$19="End",0,IFERROR(INDEX('Margin Guidence Table'!$A$1:$AG$10000,MATCH(1,('Margin Guidence Table'!$A$1:$A$10000=NF14)*('Margin Guidence Table'!$I$1:$I$10000&lt;=ROUND($MX$3,0))*('Margin Guidence Table'!$J$1:$J$10000&gt;=ROUND($MX$3,0)),0),MATCH("DATA_POINTS",'Margin Guidence Table'!$A$1:$AG$1,0)),0))</f>
        <v>0</v>
      </c>
      <c r="NH14" s="780" t="str">
        <f>IF(NG14&gt;15,"SEGMENT","DEFAULT")</f>
        <v>DEFAULT</v>
      </c>
      <c r="NI14" s="780">
        <f t="array" ref="NI14">IF('Customer Inputs'!$W$19="End",0,IFERROR(IF($NH14="SEGMENT",INDEX('Margin Guidence Table'!$A$1:$AG$10000,MATCH(1,('Margin Guidence Table'!$A$1:$A$10000=NF14)*('Margin Guidence Table'!$I$1:$I$10000&lt;=ROUND($MX$3,0))*('Margin Guidence Table'!$J$1:$J$10000&gt;=ROUND($MX$3,0)),0),MATCH("SALES_CASE",'Margin Guidence Table'!$A$1:$AG$1,0)),INDEX('Margin Guidence Table'!$A$1:$AG$10000,MATCH(1,('Margin Guidence Table'!$A$1:$A$10000=NF14)*('Margin Guidence Table'!$I$1:$I$10000&lt;=ROUND($MX$3,0))*('Margin Guidence Table'!$J$1:$J$10000&gt;=ROUND($MX$3,0)),0),MATCH("DEFAULT_SALES_CASE",'Margin Guidence Table'!$A$1:$AG$1,0))),0))</f>
        <v>0</v>
      </c>
      <c r="NJ14" s="780">
        <f t="array" ref="NJ14">IF('Customer Inputs'!$W$19="End",0,IFERROR(IF($NH14="SEGMENT",INDEX('Margin Guidence Table'!$A$1:$AG$10000,MATCH(1,('Margin Guidence Table'!$A$1:$A$10000=NF14)*('Margin Guidence Table'!$I$1:$I$10000&lt;=ROUND($MX$3,0))*('Margin Guidence Table'!$J$1:$J$10000&gt;=ROUND($MX$3,0)),0),MATCH("SALES_LBS",'Margin Guidence Table'!$A$1:$AG$1,0)),INDEX('Margin Guidence Table'!$A$1:$AG$10000,MATCH(1,('Margin Guidence Table'!$A$1:$A$10000=NF14)*('Margin Guidence Table'!$I$1:$I$10000&lt;=ROUND($MX$3,0))*('Margin Guidence Table'!$J$1:$J$10000&gt;=ROUND($MX$3,0)),0),MATCH("DEFAULT_SALES_LBS",'Margin Guidence Table'!$A$1:$AG$1,0))),0))</f>
        <v>0</v>
      </c>
      <c r="NK14" s="784">
        <f t="array" ref="NK14">IF('Customer Inputs'!$W$19="End",0,IFERROR(IF($NH14="SEGMENT",INDEX('Margin Guidence Table'!$A$1:$AG$10000,MATCH(1,('Margin Guidence Table'!$A$1:$A$10000=NF14)*('Margin Guidence Table'!$I$1:$I$10000&lt;=ROUND($MX$3,0))*('Margin Guidence Table'!$J$1:$J$10000&gt;=ROUND($MX$3,0)),0),MATCH("MDA_MIN_MARGIN_GUIDENCE",'Margin Guidence Table'!$A$1:$AG$1,0)),INDEX('Margin Guidence Table'!$A$1:$AG$10000,MATCH(1,('Margin Guidence Table'!$A$1:$A$10000=NF14)*('Margin Guidence Table'!$I$1:$I$10000&lt;=ROUND($MX$3,0))*('Margin Guidence Table'!$J$1:$J$10000&gt;=ROUND($MX$3,0)),0),MATCH("DEFAULT_MDA_MIN_MARGIN_GUIDENCE",'Margin Guidence Table'!$A$1:$AG$1,0))),0))</f>
        <v>0</v>
      </c>
      <c r="NL14" s="784">
        <f t="array" ref="NL14">IF('Customer Inputs'!$W$19="End",0,IFERROR(IF($NH14="SEGMENT",INDEX('Margin Guidence Table'!$A$1:$AG$10000,MATCH(1,('Margin Guidence Table'!$A$1:$A$10000=NF14)*('Margin Guidence Table'!$I$1:$I$10000&lt;=ROUND($MX$3,0))*('Margin Guidence Table'!$J$1:$J$10000&gt;=ROUND($MX$3,0)),0),MATCH("MDA_MEDIAN_MARGIN_GUIDENCE",'Margin Guidence Table'!$A$1:$AG$1,0)),INDEX('Margin Guidence Table'!$A$1:$AG$10000,MATCH(1,('Margin Guidence Table'!$A$1:$A$10000=NF14)*('Margin Guidence Table'!$I$1:$I$10000&lt;=ROUND($MX$3,0))*('Margin Guidence Table'!$J$1:$J$10000&gt;=ROUND($MX$3,0)),0),MATCH("DEFAULT_MDA_MEDIAN_MARGIN_GUIDENCE",'Margin Guidence Table'!$A$1:$AG$1,0))),0))</f>
        <v>0</v>
      </c>
      <c r="NM14" s="784">
        <f t="array" ref="NM14">IF('Customer Inputs'!$W$19="End",0,IFERROR(IF($NH14="SEGMENT",INDEX('Margin Guidence Table'!$A$1:$AG$10000,MATCH(1,('Margin Guidence Table'!$A$1:$A$10000=NF14)*('Margin Guidence Table'!$I$1:$I$10000&lt;=ROUND($MX$3,0))*('Margin Guidence Table'!$J$1:$J$10000&gt;=ROUND($MX$3,0)),0),MATCH("MDA_MAX_MARGIN_GUIDENCE",'Margin Guidence Table'!$A$1:$AG$1,0)),INDEX('Margin Guidence Table'!$A$1:$AG$10000,MATCH(1,('Margin Guidence Table'!$A$1:$A$10000=NF14)*('Margin Guidence Table'!$I$1:$I$10000&lt;=ROUND($MX$3,0))*('Margin Guidence Table'!$J$1:$J$10000&gt;=ROUND($MX$3,0)),0),MATCH("DEFAULT_MDA_MAX_MARGIN_GUIDENCE",'Margin Guidence Table'!$A$1:$AG$1,0))),0))</f>
        <v>0</v>
      </c>
      <c r="NN14" s="784">
        <f t="array" ref="NN14">IF('Customer Inputs'!$W$19="End",0,IFERROR(IF($NH14="SEGMENT",INDEX('Margin Guidence Table'!$A$1:$AG$10000,MATCH(1,('Margin Guidence Table'!$A$1:$A$10000=NF14)*('Margin Guidence Table'!$I$1:$I$10000&lt;=ROUND($MX$3,0))*('Margin Guidence Table'!$J$1:$J$10000&gt;=ROUND($MX$3,0)),0),MATCH("PA_PCT_SALES",'Margin Guidence Table'!$A$1:$AG$1,0)),INDEX('Margin Guidence Table'!$A$1:$AG$10000,MATCH(1,('Margin Guidence Table'!$A$1:$A$10000=NF14)*('Margin Guidence Table'!$I$1:$I$10000&lt;=ROUND($MX$3,0))*('Margin Guidence Table'!$J$1:$J$10000&gt;=ROUND($MX$3,0)),0),MATCH("DEFAULT_PA_PCT_SALES",'Margin Guidence Table'!$A$1:$AG$1,0))),0))</f>
        <v>0</v>
      </c>
      <c r="NO14" s="784">
        <f t="array" ref="NO14">IF('Customer Inputs'!$W$19="End",0,IFERROR(IF($NH14="SEGMENT",INDEX('Margin Guidence Table'!$A$1:$AG$10000,MATCH(1,('Margin Guidence Table'!$A$1:$A$10000=NF14)*('Margin Guidence Table'!$I$1:$I$10000&lt;=ROUND($MX$3,0))*('Margin Guidence Table'!$J$1:$J$10000&gt;=ROUND($MX$3,0)),0),MATCH("SELF_FUND_PCT_SALES",'Margin Guidence Table'!$A$1:$AG$1,0)),INDEX('Margin Guidence Table'!$A$1:$AG$10000,MATCH(1,('Margin Guidence Table'!$A$1:$A$10000=NF14)*('Margin Guidence Table'!$I$1:$I$10000&lt;=ROUND($MX$3,0))*('Margin Guidence Table'!$J$1:$J$10000&gt;=ROUND($MX$3,0)),0),MATCH("DEFAULT_SELF_FUND_PCT_SALES",'Margin Guidence Table'!$A$1:$AG$1,0))),0))</f>
        <v>0</v>
      </c>
      <c r="NP14" s="784">
        <f t="array" ref="NP14">IF('Customer Inputs'!$W$19="End",0,IF($MY$2="Existing",IFERROR(SUMIFS('Existing Customers'!$V:$V,'Existing Customers'!$H:$H,$MW14,'Existing Customers'!$A:$A,$MX$1)/SUMIFS('Existing Customers'!$Q:$Q,'Existing Customers'!$H:$H,$MW14,'Existing Customers'!$A:$A,$MX$1),0),IFERROR(IF($NH14="SEGMENT",INDEX('Margin Guidence Table'!$A$1:$AG$10000,MATCH(1,('Margin Guidence Table'!$A$1:$A$10000=NF14)*('Margin Guidence Table'!$I$1:$I$10000&lt;=ROUND($MX$3,0))*('Margin Guidence Table'!$J$1:$J$10000&gt;=ROUND($MX$3,0)),0),MATCH("CIA_MEDIAN_MARGIN_GUIDENCE",'Margin Guidence Table'!$A$1:$AG$1,0)),INDEX('Margin Guidence Table'!$A$1:$AG$10000,MATCH(1,('Margin Guidence Table'!$A$1:$A$10000=NF14)*('Margin Guidence Table'!$I$1:$I$10000&lt;=ROUND($MX$3,0))*('Margin Guidence Table'!$J$1:$J$10000&gt;=ROUND($MX$3,0)),0),MATCH("DEFAULT_CIA_MEDIAN_MARGIN_GUIDENCE",'Margin Guidence Table'!$A$1:$AG$1,0))),0)))</f>
        <v>0</v>
      </c>
      <c r="NQ14" s="784"/>
      <c r="NR14" s="18">
        <f t="array" ref="NR14">IF('Customer Inputs'!$W$20="End",0,IFERROR(IF($OE14="SEGMENT",INDEX('Margin Guidence Table'!$A$1:$AG$10000,MATCH(1,('Margin Guidence Table'!$A$1:$A$10000=$OC14)*('Margin Guidence Table'!$I$1:$I$10000&lt;=ROUND($NU$3,0))*('Margin Guidence Table'!$J$1:$J$10000&gt;=ROUND($NU$3,0)),0),MATCH("PCT_SALES",'Margin Guidence Table'!$A$1:$AG$1,0)),INDEX('Margin Guidence Table'!$A$1:$AG$10000,MATCH(1,('Margin Guidence Table'!$A$1:$A$10000=$OC14)*('Margin Guidence Table'!$I$1:$I$10000&lt;=ROUND($NU$3,0))*('Margin Guidence Table'!$J$1:$J$10000&gt;=ROUND($NU$3,0)),0),MATCH("DEFAULT_PCT_SALES",'Margin Guidence Table'!$A$1:$AG$1,0))),0))</f>
        <v>0</v>
      </c>
      <c r="NS14" s="1713" t="e">
        <f>NR14/$NR$35</f>
        <v>#DIV/0!</v>
      </c>
      <c r="NT14" s="99" t="s">
        <v>99</v>
      </c>
      <c r="NU14" s="91">
        <f>IF('Customer Inputs'!$W$20="End",0,IFERROR(IF(AND($NU$2&lt;&gt;"Enter Spend&gt;&gt;&gt;",$NV$2="EXISTING"),SUMIFS('Existing Customers'!$Q:$Q,'Existing Customers'!$A:$A,$NU$1,'Existing Customers'!$H:$H,$NT14)*$NU$4,$NU$3*$NS14),0))</f>
        <v>0</v>
      </c>
      <c r="NV14" s="86">
        <f>IF('Customer Inputs'!$W$20="End",0,IFERROR(IF(AND($NU$2&lt;&gt;"Enter Spend&gt;&gt;&gt;",$NV$2="EXISTING"),SUMIFS('Existing Customers'!$N:$N,'Existing Customers'!$A:$A,$NU$1,'Existing Customers'!$H:$H,$NT14)*$NU$4,$NU14/$OF14),0))</f>
        <v>0</v>
      </c>
      <c r="NW14" s="92">
        <f>IF('Customer Inputs'!$W$20="End",0,IFERROR(IF(AND($NU$2&lt;&gt;"Enter Spend&gt;&gt;&gt;",$NV$2="EXISTING"),SUMIFS('Existing Customers'!$O:$O,'Existing Customers'!$H:$H,$NT14,'Existing Customers'!$A:$A,$NU$1)*$NU$4,$NV14*$NU$8),0))</f>
        <v>0</v>
      </c>
      <c r="NX14" s="92">
        <f>IF('Customer Inputs'!$W$20="End",0,IFERROR(IF(AND($NU$2&lt;&gt;"Enter Spend&gt;&gt;&gt;",$NV$2="EXISTING"),SUMIFS('Existing Customers'!$P:$P,'Existing Customers'!$A:$A,$NU$1,'Existing Customers'!$H:$H,$NT14)*$NU$4,$NU14/$OG14),0))</f>
        <v>0</v>
      </c>
      <c r="NY14" s="303">
        <f>IF('Customer Inputs'!$W$20="End",0,IFERROR(IF(AND($NU$2&lt;&gt;"Enter Spend&gt;&gt;&gt;",$NV$2="EXISTING"),SUMIFS('Existing Customers'!$V:$V,'Existing Customers'!$H:$H,$NT14,'Existing Customers'!$A:$A,$NU$1)*$NU$4,0),0))</f>
        <v>0</v>
      </c>
      <c r="NZ14" s="93">
        <f>IF('Customer Inputs'!$W$20="End",0,IFERROR(IF(AND($NU$2&lt;&gt;"Enter Spend&gt;&gt;&gt;",$NV$2="EXISTING"),SUMIFS('Existing Customers'!$R:$R,'Existing Customers'!$H:$H,$NT14,'Existing Customers'!$A:$A,$NU$1)*$NU$4,0),0))</f>
        <v>0</v>
      </c>
      <c r="OA14" s="780">
        <f>IF('Customer Inputs'!$W$20="End",0,IFERROR(IF(AND($NU$2&lt;&gt;"Enter Spend&gt;&gt;&gt;",$NV$2="EXISTING"),SUMIFS('Existing Customers'!$S:$S,'Existing Customers'!$H:$H,$NT14,'Existing Customers'!$A:$A,$NU$1)/SUMIFS('Existing Customers'!$Q:$Q,'Existing Customers'!$A:$A,$NU$1,'Existing Customers'!$H:$H,$NT14),OK14),0))</f>
        <v>0</v>
      </c>
      <c r="OB14" s="780">
        <f>IF('Customer Inputs'!$W$20="End",0,IFERROR(IF(AND($NU$2&lt;&gt;"Enter Spend&gt;&gt;&gt;",$NV$2="EXISTING"),SUMIFS('Existing Customers'!$U:$U,'Existing Customers'!$H:$H,$NT14,'Existing Customers'!$A:$A,$NU$1)/SUMIFS('Existing Customers'!$Q:$Q,'Existing Customers'!$A:$A,$NU$1,'Existing Customers'!$H:$H,$NT14),OL14),0))</f>
        <v>0</v>
      </c>
      <c r="OC14" s="783" t="e">
        <f>_xlfn.CONCAT('Customer Inputs'!$AH$20,"_",NT14)</f>
        <v>#N/A</v>
      </c>
      <c r="OD14" s="783">
        <f t="array" ref="OD14">IF('Customer Inputs'!$W$20="End",0,IFERROR(INDEX('Margin Guidence Table'!$A$1:$AG$10000,MATCH(1,('Margin Guidence Table'!$A$1:$A$10000=OC14)*('Margin Guidence Table'!$I$1:$I$10000&lt;=ROUND($NU$3,0))*('Margin Guidence Table'!$J$1:$J$10000&gt;=ROUND($NU$3,0)),0),MATCH("DATA_POINTS",'Margin Guidence Table'!$A$1:$AG$1,0)),0))</f>
        <v>0</v>
      </c>
      <c r="OE14" s="780" t="str">
        <f>IF(OD14&gt;15,"SEGMENT","DEFAULT")</f>
        <v>DEFAULT</v>
      </c>
      <c r="OF14" s="780">
        <f t="array" ref="OF14">IF('Customer Inputs'!$W$20="End",0,IFERROR(IF($OE14="SEGMENT",INDEX('Margin Guidence Table'!$A$1:$AG$10000,MATCH(1,('Margin Guidence Table'!$A$1:$A$10000=OC14)*('Margin Guidence Table'!$I$1:$I$10000&lt;=ROUND($NU$3,0))*('Margin Guidence Table'!$J$1:$J$10000&gt;=ROUND($NU$3,0)),0),MATCH("SALES_CASE",'Margin Guidence Table'!$A$1:$AG$1,0)),INDEX('Margin Guidence Table'!$A$1:$AG$10000,MATCH(1,('Margin Guidence Table'!$A$1:$A$10000=OC14)*('Margin Guidence Table'!$I$1:$I$10000&lt;=ROUND($NU$3,0))*('Margin Guidence Table'!$J$1:$J$10000&gt;=ROUND($NU$3,0)),0),MATCH("DEFAULT_SALES_CASE",'Margin Guidence Table'!$A$1:$AG$1,0))),0))</f>
        <v>0</v>
      </c>
      <c r="OG14" s="780">
        <f t="array" ref="OG14">IF('Customer Inputs'!$W$20="End",0,IFERROR(IF($OE14="SEGMENT",INDEX('Margin Guidence Table'!$A$1:$AG$10000,MATCH(1,('Margin Guidence Table'!$A$1:$A$10000=OC14)*('Margin Guidence Table'!$I$1:$I$10000&lt;=ROUND($NU$3,0))*('Margin Guidence Table'!$J$1:$J$10000&gt;=ROUND($NU$3,0)),0),MATCH("SALES_LBS",'Margin Guidence Table'!$A$1:$AG$1,0)),INDEX('Margin Guidence Table'!$A$1:$AG$10000,MATCH(1,('Margin Guidence Table'!$A$1:$A$10000=OC14)*('Margin Guidence Table'!$I$1:$I$10000&lt;=ROUND($NU$3,0))*('Margin Guidence Table'!$J$1:$J$10000&gt;=ROUND($NU$3,0)),0),MATCH("DEFAULT_SALES_LBS",'Margin Guidence Table'!$A$1:$AG$1,0))),0))</f>
        <v>0</v>
      </c>
      <c r="OH14" s="784">
        <f t="array" ref="OH14">IF('Customer Inputs'!$W$20="End",0,IFERROR(IF($OE14="SEGMENT",INDEX('Margin Guidence Table'!$A$1:$AG$10000,MATCH(1,('Margin Guidence Table'!$A$1:$A$10000=OC14)*('Margin Guidence Table'!$I$1:$I$10000&lt;=ROUND($NU$3,0))*('Margin Guidence Table'!$J$1:$J$10000&gt;=ROUND($NU$3,0)),0),MATCH("MDA_MIN_MARGIN_GUIDENCE",'Margin Guidence Table'!$A$1:$AG$1,0)),INDEX('Margin Guidence Table'!$A$1:$AG$10000,MATCH(1,('Margin Guidence Table'!$A$1:$A$10000=OC14)*('Margin Guidence Table'!$I$1:$I$10000&lt;=ROUND($NU$3,0))*('Margin Guidence Table'!$J$1:$J$10000&gt;=ROUND($NU$3,0)),0),MATCH("DEFAULT_MDA_MIN_MARGIN_GUIDENCE",'Margin Guidence Table'!$A$1:$AG$1,0))),0))</f>
        <v>0</v>
      </c>
      <c r="OI14" s="784">
        <f t="array" ref="OI14">IF('Customer Inputs'!$W$20="End",0,IFERROR(IF($OE14="SEGMENT",INDEX('Margin Guidence Table'!$A$1:$AG$10000,MATCH(1,('Margin Guidence Table'!$A$1:$A$10000=OC14)*('Margin Guidence Table'!$I$1:$I$10000&lt;=ROUND($NU$3,0))*('Margin Guidence Table'!$J$1:$J$10000&gt;=ROUND($NU$3,0)),0),MATCH("MDA_MEDIAN_MARGIN_GUIDENCE",'Margin Guidence Table'!$A$1:$AG$1,0)),INDEX('Margin Guidence Table'!$A$1:$AG$10000,MATCH(1,('Margin Guidence Table'!$A$1:$A$10000=OC14)*('Margin Guidence Table'!$I$1:$I$10000&lt;=ROUND($NU$3,0))*('Margin Guidence Table'!$J$1:$J$10000&gt;=ROUND($NU$3,0)),0),MATCH("DEFAULT_MDA_MEDIAN_MARGIN_GUIDENCE",'Margin Guidence Table'!$A$1:$AG$1,0))),0))</f>
        <v>0</v>
      </c>
      <c r="OJ14" s="784">
        <f t="array" ref="OJ14">IF('Customer Inputs'!$W$20="End",0,IFERROR(IF($OE14="SEGMENT",INDEX('Margin Guidence Table'!$A$1:$AG$10000,MATCH(1,('Margin Guidence Table'!$A$1:$A$10000=OC14)*('Margin Guidence Table'!$I$1:$I$10000&lt;=ROUND($NU$3,0))*('Margin Guidence Table'!$J$1:$J$10000&gt;=ROUND($NU$3,0)),0),MATCH("MDA_MAX_MARGIN_GUIDENCE",'Margin Guidence Table'!$A$1:$AG$1,0)),INDEX('Margin Guidence Table'!$A$1:$AG$10000,MATCH(1,('Margin Guidence Table'!$A$1:$A$10000=OC14)*('Margin Guidence Table'!$I$1:$I$10000&lt;=ROUND($NU$3,0))*('Margin Guidence Table'!$J$1:$J$10000&gt;=ROUND($NU$3,0)),0),MATCH("DEFAULT_MDA_MAX_MARGIN_GUIDENCE",'Margin Guidence Table'!$A$1:$AG$1,0))),0))</f>
        <v>0</v>
      </c>
      <c r="OK14" s="784">
        <f t="array" ref="OK14">IF('Customer Inputs'!$W$20="End",0,IFERROR(IF($OE14="SEGMENT",INDEX('Margin Guidence Table'!$A$1:$AG$10000,MATCH(1,('Margin Guidence Table'!$A$1:$A$10000=OC14)*('Margin Guidence Table'!$I$1:$I$10000&lt;=ROUND($NU$3,0))*('Margin Guidence Table'!$J$1:$J$10000&gt;=ROUND($NU$3,0)),0),MATCH("PA_PCT_SALES",'Margin Guidence Table'!$A$1:$AG$1,0)),INDEX('Margin Guidence Table'!$A$1:$AG$10000,MATCH(1,('Margin Guidence Table'!$A$1:$A$10000=OC14)*('Margin Guidence Table'!$I$1:$I$10000&lt;=ROUND($NU$3,0))*('Margin Guidence Table'!$J$1:$J$10000&gt;=ROUND($NU$3,0)),0),MATCH("DEFAULT_PA_PCT_SALES",'Margin Guidence Table'!$A$1:$AG$1,0))),0))</f>
        <v>0</v>
      </c>
      <c r="OL14" s="784">
        <f t="array" ref="OL14">IF('Customer Inputs'!$W$20="End",0,IFERROR(IF($OE14="SEGMENT",INDEX('Margin Guidence Table'!$A$1:$AG$10000,MATCH(1,('Margin Guidence Table'!$A$1:$A$10000=OC14)*('Margin Guidence Table'!$I$1:$I$10000&lt;=ROUND($NU$3,0))*('Margin Guidence Table'!$J$1:$J$10000&gt;=ROUND($NU$3,0)),0),MATCH("SELF_FUND_PCT_SALES",'Margin Guidence Table'!$A$1:$AG$1,0)),INDEX('Margin Guidence Table'!$A$1:$AG$10000,MATCH(1,('Margin Guidence Table'!$A$1:$A$10000=OC14)*('Margin Guidence Table'!$I$1:$I$10000&lt;=ROUND($NU$3,0))*('Margin Guidence Table'!$J$1:$J$10000&gt;=ROUND($NU$3,0)),0),MATCH("DEFAULT_SELF_FUND_PCT_SALES",'Margin Guidence Table'!$A$1:$AG$1,0))),0))</f>
        <v>0</v>
      </c>
      <c r="OM14" s="784">
        <f t="array" ref="OM14">IF('Customer Inputs'!$W$20="End",0,IF($NV$2="Existing",IFERROR(SUMIFS('Existing Customers'!$V:$V,'Existing Customers'!$H:$H,$NT14,'Existing Customers'!$A:$A,$NU$1)/SUMIFS('Existing Customers'!$Q:$Q,'Existing Customers'!$H:$H,$NT14,'Existing Customers'!$A:$A,$NU$1),0),IFERROR(IF($OE14="SEGMENT",INDEX('Margin Guidence Table'!$A$1:$AG$10000,MATCH(1,('Margin Guidence Table'!$A$1:$A$10000=OC14)*('Margin Guidence Table'!$I$1:$I$10000&lt;=ROUND($NU$3,0))*('Margin Guidence Table'!$J$1:$J$10000&gt;=ROUND($NU$3,0)),0),MATCH("CIA_MEDIAN_MARGIN_GUIDENCE",'Margin Guidence Table'!$A$1:$AG$1,0)),INDEX('Margin Guidence Table'!$A$1:$AG$10000,MATCH(1,('Margin Guidence Table'!$A$1:$A$10000=OC14)*('Margin Guidence Table'!$I$1:$I$10000&lt;=ROUND($NU$3,0))*('Margin Guidence Table'!$J$1:$J$10000&gt;=ROUND($NU$3,0)),0),MATCH("DEFAULT_CIA_MEDIAN_MARGIN_GUIDENCE",'Margin Guidence Table'!$A$1:$AG$1,0))),0)))</f>
        <v>0</v>
      </c>
      <c r="ON14" s="784"/>
      <c r="OO14" s="18">
        <f t="array" ref="OO14">IF('Customer Inputs'!$W$21="End",0,IFERROR(IF($PB14="SEGMENT",INDEX('Margin Guidence Table'!$A$1:$AG$10000,MATCH(1,('Margin Guidence Table'!$A$1:$A$10000=$OZ14)*('Margin Guidence Table'!$I$1:$I$10000&lt;=ROUND($OR$3,0))*('Margin Guidence Table'!$J$1:$J$10000&gt;=ROUND($OR$3,0)),0),MATCH("PCT_SALES",'Margin Guidence Table'!$A$1:$AG$1,0)),INDEX('Margin Guidence Table'!$A$1:$AG$10000,MATCH(1,('Margin Guidence Table'!$A$1:$A$10000=$OZ14)*('Margin Guidence Table'!$I$1:$I$10000&lt;=ROUND($OR$3,0))*('Margin Guidence Table'!$J$1:$J$10000&gt;=ROUND($OR$3,0)),0),MATCH("DEFAULT_PCT_SALES",'Margin Guidence Table'!$A$1:$AG$1,0))),0))</f>
        <v>0</v>
      </c>
      <c r="OP14" s="1713" t="e">
        <f>OO14/$OO$35</f>
        <v>#DIV/0!</v>
      </c>
      <c r="OQ14" s="99" t="s">
        <v>99</v>
      </c>
      <c r="OR14" s="91">
        <f>IF('Customer Inputs'!$W$21="End",0,IFERROR(IF(AND($OR$2&lt;&gt;"Enter Spend&gt;&gt;&gt;",$OS$2="EXISTING"),SUMIFS('Existing Customers'!$Q:$Q,'Existing Customers'!$A:$A,$OR$1,'Existing Customers'!$H:$H,$OQ14)*$OR$4,$OR$3*$OP14),0))</f>
        <v>0</v>
      </c>
      <c r="OS14" s="86">
        <f>IF('Customer Inputs'!$W$21="End",0,IFERROR(IF(AND($OR$2&lt;&gt;"Enter Spend&gt;&gt;&gt;",$OS$2="EXISTING"),SUMIFS('Existing Customers'!$N:$N,'Existing Customers'!$A:$A,$OR$1,'Existing Customers'!$H:$H,$OQ14)*$OR$4,$OR14/$PC14),0))</f>
        <v>0</v>
      </c>
      <c r="OT14" s="92">
        <f>IF('Customer Inputs'!$W$21="End",0,IFERROR(IF(AND($OR$2&lt;&gt;"Enter Spend&gt;&gt;&gt;",$OS$2="EXISTING"),SUMIFS('Existing Customers'!$O:$O,'Existing Customers'!$H:$H,$OQ14,'Existing Customers'!$A:$A,$OR$1)*$OR$4,$OS14*$OR$8),0))</f>
        <v>0</v>
      </c>
      <c r="OU14" s="92">
        <f>IF('Customer Inputs'!$W$21="End",0,IFERROR(IF(AND($OR$2&lt;&gt;"Enter Spend&gt;&gt;&gt;",$OS$2="EXISTING"),SUMIFS('Existing Customers'!$P:$P,'Existing Customers'!$A:$A,$OR$1,'Existing Customers'!$H:$H,$OQ14)*$OR$4,$OR14/$PD14),0))</f>
        <v>0</v>
      </c>
      <c r="OV14" s="303">
        <f>IF('Customer Inputs'!$W$21="End",0,IFERROR(IF(AND($OR$2&lt;&gt;"Enter Spend&gt;&gt;&gt;",$OS$2="EXISTING"),SUMIFS('Existing Customers'!$V:$V,'Existing Customers'!$H:$H,$OQ14,'Existing Customers'!$A:$A,$OR$1)*$OR$4,0),0))</f>
        <v>0</v>
      </c>
      <c r="OW14" s="93">
        <f>IF('Customer Inputs'!$W$21="End",0,IFERROR(IF(AND($OR$2&lt;&gt;"Enter Spend&gt;&gt;&gt;",$OS$2="EXISTING"),SUMIFS('Existing Customers'!$R:$R,'Existing Customers'!$H:$H,$OP14,'Existing Customers'!$A:$A,$OR$1)*$OR$4,0),0))</f>
        <v>0</v>
      </c>
      <c r="OX14" s="780">
        <f>IF('Customer Inputs'!$W$21="End",0,IFERROR(IF(AND($OR$2&lt;&gt;"Enter Spend&gt;&gt;&gt;",$OS$2="EXISTING"),SUMIFS('Existing Customers'!$S:$S,'Existing Customers'!$H:$H,$OQ14,'Existing Customers'!$A:$A,$OR$1)/SUMIFS('Existing Customers'!$Q:$Q,'Existing Customers'!$A:$A,$OR$1,'Existing Customers'!$H:$H,$OQ14),PH14),0))</f>
        <v>0</v>
      </c>
      <c r="OY14" s="780">
        <f>IF('Customer Inputs'!$W$21="End",0,IFERROR(IF(AND($OR$2&lt;&gt;"Enter Spend&gt;&gt;&gt;",$OS$2="EXISTING"),SUMIFS('Existing Customers'!$U:$U,'Existing Customers'!$H:$H,$OQ14,'Existing Customers'!$A:$A,$OR$1)/SUMIFS('Existing Customers'!$Q:$Q,'Existing Customers'!$A:$A,$OR$1,'Existing Customers'!$H:$H,$OQ14),PI14),0))</f>
        <v>0</v>
      </c>
      <c r="OZ14" s="783" t="e">
        <f>_xlfn.CONCAT('Customer Inputs'!$AH$21,"_",OQ14)</f>
        <v>#N/A</v>
      </c>
      <c r="PA14" s="783">
        <f t="array" ref="PA14">IF('Customer Inputs'!$W$22="End",0,IFERROR(INDEX('Margin Guidence Table'!$A$1:$AG$10000,MATCH(1,('Margin Guidence Table'!$A$1:$A$10000=OZ14)*('Margin Guidence Table'!$I$1:$I$10000&lt;=ROUND($OR$3,0))*('Margin Guidence Table'!$J$1:$J$10000&gt;=ROUND($OR$3,0)),0),MATCH("DATA_POINTS",'Margin Guidence Table'!$A$1:$AG$1,0)),0))</f>
        <v>0</v>
      </c>
      <c r="PB14" s="780" t="str">
        <f>IF(PA14&gt;15,"SEGMENT","DEFAULT")</f>
        <v>DEFAULT</v>
      </c>
      <c r="PC14" s="780">
        <f t="array" ref="PC14">IF('Customer Inputs'!$W$21="End",0,IFERROR(IF($PB14="SEGMENT",INDEX('Margin Guidence Table'!$A$1:$AG$10000,MATCH(1,('Margin Guidence Table'!$A$1:$A$10000=OZ14)*('Margin Guidence Table'!$I$1:$I$10000&lt;=ROUND($OR$3,0))*('Margin Guidence Table'!$J$1:$J$10000&gt;=ROUND($OR$3,0)),0),MATCH("SALES_CASE",'Margin Guidence Table'!$A$1:$AG$1,0)),INDEX('Margin Guidence Table'!$A$1:$AG$10000,MATCH(1,('Margin Guidence Table'!$A$1:$A$10000=OZ14)*('Margin Guidence Table'!$I$1:$I$10000&lt;=ROUND($OR$3,0))*('Margin Guidence Table'!$J$1:$J$10000&gt;=ROUND($OR$3,0)),0),MATCH("DEFAULT_SALES_CASE",'Margin Guidence Table'!$A$1:$AG$1,0))),0))</f>
        <v>0</v>
      </c>
      <c r="PD14" s="780">
        <f t="array" ref="PD14">IF('Customer Inputs'!$W$21="End",0,IFERROR(IF($PB14="SEGMENT",INDEX('Margin Guidence Table'!$A$1:$AG$10000,MATCH(1,('Margin Guidence Table'!$A$1:$A$10000=OZ14)*('Margin Guidence Table'!$I$1:$I$10000&lt;=ROUND($OR$3,0))*('Margin Guidence Table'!$J$1:$J$10000&gt;=ROUND($OR$3,0)),0),MATCH("SALES_LBS",'Margin Guidence Table'!$A$1:$AG$1,0)),INDEX('Margin Guidence Table'!$A$1:$AG$10000,MATCH(1,('Margin Guidence Table'!$A$1:$A$10000=OZ14)*('Margin Guidence Table'!$I$1:$I$10000&lt;=ROUND($OR$3,0))*('Margin Guidence Table'!$J$1:$J$10000&gt;=ROUND($OR$3,0)),0),MATCH("DEFAULT_SALES_LBS",'Margin Guidence Table'!$A$1:$AG$1,0))),0))</f>
        <v>0</v>
      </c>
      <c r="PE14" s="784">
        <f t="array" ref="PE14">IF('Customer Inputs'!$W$21="End",0,IFERROR(IF($PB14="SEGMENT",INDEX('Margin Guidence Table'!$A$1:$AG$10000,MATCH(1,('Margin Guidence Table'!$A$1:$A$10000=OZ14)*('Margin Guidence Table'!$I$1:$I$10000&lt;=ROUND($OR$3,0))*('Margin Guidence Table'!$J$1:$J$10000&gt;=ROUND($OR$3,0)),0),MATCH("MDA_MIN_MARGIN_GUIDENCE",'Margin Guidence Table'!$A$1:$AG$1,0)),INDEX('Margin Guidence Table'!$A$1:$AG$10000,MATCH(1,('Margin Guidence Table'!$A$1:$A$10000=OZ14)*('Margin Guidence Table'!$I$1:$I$10000&lt;=ROUND($OR$3,0))*('Margin Guidence Table'!$J$1:$J$10000&gt;=ROUND($OR$3,0)),0),MATCH("DEFAULT_MDA_MIN_MARGIN_GUIDENCE",'Margin Guidence Table'!$A$1:$AG$1,0))),0))</f>
        <v>0</v>
      </c>
      <c r="PF14" s="784">
        <f t="array" ref="PF14">IF('Customer Inputs'!$W$21="End",0,IFERROR(IF($PB14="SEGMENT",INDEX('Margin Guidence Table'!$A$1:$AG$10000,MATCH(1,('Margin Guidence Table'!$A$1:$A$10000=OZ14)*('Margin Guidence Table'!$I$1:$I$10000&lt;=ROUND($OR$3,0))*('Margin Guidence Table'!$J$1:$J$10000&gt;=ROUND($OR$3,0)),0),MATCH("MDA_MEDIAN_MARGIN_GUIDENCE",'Margin Guidence Table'!$A$1:$AG$1,0)),INDEX('Margin Guidence Table'!$A$1:$AG$10000,MATCH(1,('Margin Guidence Table'!$A$1:$A$10000=OZ14)*('Margin Guidence Table'!$I$1:$I$10000&lt;=ROUND($OR$3,0))*('Margin Guidence Table'!$J$1:$J$10000&gt;=ROUND($OR$3,0)),0),MATCH("DEFAULT_MDA_MEDIAN_MARGIN_GUIDENCE",'Margin Guidence Table'!$A$1:$AG$1,0))),0))</f>
        <v>0</v>
      </c>
      <c r="PG14" s="784">
        <f t="array" ref="PG14">IF('Customer Inputs'!$W$21="End",0,IFERROR(IF($PB14="SEGMENT",INDEX('Margin Guidence Table'!$A$1:$AG$10000,MATCH(1,('Margin Guidence Table'!$A$1:$A$10000=OZ14)*('Margin Guidence Table'!$I$1:$I$10000&lt;=ROUND($OR$3,0))*('Margin Guidence Table'!$J$1:$J$10000&gt;=ROUND($OR$3,0)),0),MATCH("MDA_MAX_MARGIN_GUIDENCE",'Margin Guidence Table'!$A$1:$AG$1,0)),INDEX('Margin Guidence Table'!$A$1:$AG$10000,MATCH(1,('Margin Guidence Table'!$A$1:$A$10000=OZ14)*('Margin Guidence Table'!$I$1:$I$10000&lt;=ROUND($OR$3,0))*('Margin Guidence Table'!$J$1:$J$10000&gt;=ROUND($OR$3,0)),0),MATCH("DEFAULT_MDA_MAX_MARGIN_GUIDENCE",'Margin Guidence Table'!$A$1:$AG$1,0))),0))</f>
        <v>0</v>
      </c>
      <c r="PH14" s="784">
        <f t="array" ref="PH14">IF('Customer Inputs'!$W$21="End",0,IFERROR(IF($PB14="SEGMENT",INDEX('Margin Guidence Table'!$A$1:$AG$10000,MATCH(1,('Margin Guidence Table'!$A$1:$A$10000=OZ14)*('Margin Guidence Table'!$I$1:$I$10000&lt;=ROUND($OR$3,0))*('Margin Guidence Table'!$J$1:$J$10000&gt;=ROUND($OR$3,0)),0),MATCH("PA_PCT_SALES",'Margin Guidence Table'!$A$1:$AG$1,0)),INDEX('Margin Guidence Table'!$A$1:$AG$10000,MATCH(1,('Margin Guidence Table'!$A$1:$A$10000=OZ14)*('Margin Guidence Table'!$I$1:$I$10000&lt;=ROUND($OR$3,0))*('Margin Guidence Table'!$J$1:$J$10000&gt;=ROUND($OR$3,0)),0),MATCH("DEFAULT_PA_PCT_SALES",'Margin Guidence Table'!$A$1:$AG$1,0))),0))</f>
        <v>0</v>
      </c>
      <c r="PI14" s="784">
        <f t="array" ref="PI14">IF('Customer Inputs'!$W$21="End",0,IFERROR(IF($PB14="SEGMENT",INDEX('Margin Guidence Table'!$A$1:$AG$10000,MATCH(1,('Margin Guidence Table'!$A$1:$A$10000=OZ14)*('Margin Guidence Table'!$I$1:$I$10000&lt;=ROUND($OR$3,0))*('Margin Guidence Table'!$J$1:$J$10000&gt;=ROUND($OR$3,0)),0),MATCH("SELF_FUND_PCT_SALES",'Margin Guidence Table'!$A$1:$AG$1,0)),INDEX('Margin Guidence Table'!$A$1:$AG$10000,MATCH(1,('Margin Guidence Table'!$A$1:$A$10000=OZ14)*('Margin Guidence Table'!$I$1:$I$10000&lt;=ROUND($OR$3,0))*('Margin Guidence Table'!$J$1:$J$10000&gt;=ROUND($OR$3,0)),0),MATCH("DEFAULT_SELF_FUND_PCT_SALES",'Margin Guidence Table'!$A$1:$AG$1,0))),0))</f>
        <v>0</v>
      </c>
      <c r="PJ14" s="784">
        <f t="array" ref="PJ14">IF('Customer Inputs'!$W$21="End",0,IF($OS$2="Existing",IFERROR(SUMIFS('Existing Customers'!$V:$V,'Existing Customers'!$H:$H,$OQ14,'Existing Customers'!$A:$A,$OR$1)/SUMIFS('Existing Customers'!$Q:$Q,'Existing Customers'!$H:$H,$OQ14,'Existing Customers'!$A:$A,$OR$1),0),IFERROR(IF($PB14="SEGMENT",INDEX('Margin Guidence Table'!$A$1:$AG$10000,MATCH(1,('Margin Guidence Table'!$A$1:$A$10000=OZ14)*('Margin Guidence Table'!$I$1:$I$10000&lt;=ROUND($OR$3,0))*('Margin Guidence Table'!$J$1:$J$10000&gt;=ROUND($OR$3,0)),0),MATCH("CIA_MEDIAN_MARGIN_GUIDENCE",'Margin Guidence Table'!$A$1:$AG$1,0)),INDEX('Margin Guidence Table'!$A$1:$AG$10000,MATCH(1,('Margin Guidence Table'!$A$1:$A$10000=OZ14)*('Margin Guidence Table'!$I$1:$I$10000&lt;=ROUND($OR$3,0))*('Margin Guidence Table'!$J$1:$J$10000&gt;=ROUND($OR$3,0)),0),MATCH("DEFAULT_CIA_MEDIAN_MARGIN_GUIDENCE",'Margin Guidence Table'!$A$1:$AG$1,0))),0)))</f>
        <v>0</v>
      </c>
      <c r="PK14" s="784"/>
      <c r="PL14" s="18">
        <f t="array" ref="PL14">IF('Customer Inputs'!$W$22="End",0,IFERROR(IF($PY14="SEGMENT",INDEX('Margin Guidence Table'!$A$1:$AG$10000,MATCH(1,('Margin Guidence Table'!$A$1:$A$10000=$PW14)*('Margin Guidence Table'!$I$1:$I$10000&lt;=ROUND($PO$3,0))*('Margin Guidence Table'!$J$1:$J$10000&gt;=ROUND($PO$3,0)),0),MATCH("PCT_SALES",'Margin Guidence Table'!$A$1:$AG$1,0)),INDEX('Margin Guidence Table'!$A$1:$AG$10000,MATCH(1,('Margin Guidence Table'!$A$1:$A$10000=$PW14)*('Margin Guidence Table'!$I$1:$I$10000&lt;=ROUND($PO$3,0))*('Margin Guidence Table'!$J$1:$J$10000&gt;=ROUND($PO$3,0)),0),MATCH("DEFAULT_PCT_SALES",'Margin Guidence Table'!$A$1:$AG$1,0))),0))</f>
        <v>0</v>
      </c>
      <c r="PM14" s="1713" t="e">
        <f>PL14/$PL$35</f>
        <v>#DIV/0!</v>
      </c>
      <c r="PN14" s="99" t="s">
        <v>99</v>
      </c>
      <c r="PO14" s="91">
        <f>IF('Customer Inputs'!$W$22="End",0,IFERROR(IF(AND($PO$2&lt;&gt;"Enter Spend&gt;&gt;&gt;",$PP$2="EXISTING"),SUMIFS('Existing Customers'!$Q:$Q,'Existing Customers'!$A:$A,$PO$1,'Existing Customers'!$H:$H,$PN14)*$PO$4,$PO$3*$PM14),0))</f>
        <v>0</v>
      </c>
      <c r="PP14" s="86">
        <f>IF('Customer Inputs'!$W$22="End",0,IFERROR(IF(AND($PO$2&lt;&gt;"Enter Spend&gt;&gt;&gt;",$PP$2="EXISTING"),SUMIFS('Existing Customers'!$N:$N,'Existing Customers'!$A:$A,$PO$1,'Existing Customers'!$H:$H,$PN14)*$PO$4,$PO14/$PZ14),0))</f>
        <v>0</v>
      </c>
      <c r="PQ14" s="92">
        <f>IF('Customer Inputs'!$W$22="End",0,IFERROR(IF(AND($PO$2&lt;&gt;"Enter Spend&gt;&gt;&gt;",$PP$2="EXISTING"),SUMIFS('Existing Customers'!$O:$O,'Existing Customers'!$H:$H,$PN14,'Existing Customers'!$A:$A,$PO$1)*$PO$4,$PP14*$PO$8),0))</f>
        <v>0</v>
      </c>
      <c r="PR14" s="92">
        <f>IF('Customer Inputs'!$W$22="End",0,IFERROR(IF(AND($PO$2&lt;&gt;"Enter Spend&gt;&gt;&gt;",$PP$2="EXISTING"),SUMIFS('Existing Customers'!$P:$P,'Existing Customers'!$A:$A,$PO$1,'Existing Customers'!$H:$H,$PN14)*$PO$4,$PO14/$QA14),0))</f>
        <v>0</v>
      </c>
      <c r="PS14" s="303">
        <f>IF('Customer Inputs'!$W$22="End",0,IFERROR(IF(AND($PO$2&lt;&gt;"Enter Spend&gt;&gt;&gt;",$PP$2="EXISTING"),SUMIFS('Existing Customers'!$V:$V,'Existing Customers'!$H:$H,$PN14,'Existing Customers'!$A:$A,$PO$1)*$PO$4,0),0))</f>
        <v>0</v>
      </c>
      <c r="PT14" s="93">
        <f>IF('Customer Inputs'!$W$22="End",0,IFERROR(IF(AND($PO$2&lt;&gt;"Enter Spend&gt;&gt;&gt;",$PP$2="EXISTING"),SUMIFS('Existing Customers'!$R:$R,'Existing Customers'!$H:$H,$PN14,'Existing Customers'!$A:$A,$PO$1)*$PO$4,0),0))</f>
        <v>0</v>
      </c>
      <c r="PU14" s="780">
        <f>IF('Customer Inputs'!$W$22="End",0,IFERROR(IF(AND($PO$2&lt;&gt;"Enter Spend&gt;&gt;&gt;",$PP$2="EXISTING"),SUMIFS('Existing Customers'!$S:$S,'Existing Customers'!$H:$H,$PN14,'Existing Customers'!$A:$A,$PO$1)/SUMIFS('Existing Customers'!$Q:$Q,'Existing Customers'!$A:$A,$PO$1,'Existing Customers'!$H:$H,$PN14),QE14),0))</f>
        <v>0</v>
      </c>
      <c r="PV14" s="780">
        <f>IF('Customer Inputs'!$W$22="End",0,IFERROR(IF(AND($PO$2&lt;&gt;"Enter Spend&gt;&gt;&gt;",$PP$2="EXISTING"),SUMIFS('Existing Customers'!$U:$U,'Existing Customers'!$H:$H,$PN14,'Existing Customers'!$A:$A,$PO$1)/SUMIFS('Existing Customers'!$Q:$Q,'Existing Customers'!$A:$A,$PO$1,'Existing Customers'!$H:$H,$PN14),QF14),0))</f>
        <v>0</v>
      </c>
      <c r="PW14" s="783" t="e">
        <f>_xlfn.CONCAT('Customer Inputs'!$AH$22,"_",PN14)</f>
        <v>#N/A</v>
      </c>
      <c r="PX14" s="783">
        <f t="array" ref="PX14">IF('Customer Inputs'!$W$22="End",0,IFERROR(INDEX('Margin Guidence Table'!$A$1:$AG$10000,MATCH(1,('Margin Guidence Table'!$A$1:$A$10000=PW14)*('Margin Guidence Table'!$I$1:$I$10000&lt;=ROUND($PO$3,0))*('Margin Guidence Table'!$J$1:$J$10000&gt;=ROUND($PO$3,0)),0),MATCH("DATA_POINTS",'Margin Guidence Table'!$A$1:$AG$1,0)),0))</f>
        <v>0</v>
      </c>
      <c r="PY14" s="780" t="str">
        <f>IF(PX14&gt;15,"SEGMENT","DEFAULT")</f>
        <v>DEFAULT</v>
      </c>
      <c r="PZ14" s="780">
        <f t="array" ref="PZ14">IF('Customer Inputs'!$W$22="End",0,IFERROR(IF($PY14="SEGMENT",INDEX('Margin Guidence Table'!$A$1:$AG$10000,MATCH(1,('Margin Guidence Table'!$A$1:$A$10000=PW14)*('Margin Guidence Table'!$I$1:$I$10000&lt;=ROUND($PO$3,0))*('Margin Guidence Table'!$J$1:$J$10000&gt;=ROUND($PO$3,0)),0),MATCH("SALES_CASE",'Margin Guidence Table'!$A$1:$AG$1,0)),INDEX('Margin Guidence Table'!$A$1:$AG$10000,MATCH(1,('Margin Guidence Table'!$A$1:$A$10000=PW14)*('Margin Guidence Table'!$I$1:$I$10000&lt;=ROUND($PO$3,0))*('Margin Guidence Table'!$J$1:$J$10000&gt;=ROUND($PO$3,0)),0),MATCH("DEFAULT_SALES_CASE",'Margin Guidence Table'!$A$1:$AG$1,0))),0))</f>
        <v>0</v>
      </c>
      <c r="QA14" s="780">
        <f t="array" ref="QA14">IF('Customer Inputs'!$W$22="End",0,IFERROR(IF($PY14="SEGMENT",INDEX('Margin Guidence Table'!$A$1:$AG$10000,MATCH(1,('Margin Guidence Table'!$A$1:$A$10000=PW14)*('Margin Guidence Table'!$I$1:$I$10000&lt;=ROUND($PO$3,0))*('Margin Guidence Table'!$J$1:$J$10000&gt;=ROUND($PO$3,0)),0),MATCH("SALES_LBS",'Margin Guidence Table'!$A$1:$AG$1,0)),INDEX('Margin Guidence Table'!$A$1:$AG$10000,MATCH(1,('Margin Guidence Table'!$A$1:$A$10000=PW14)*('Margin Guidence Table'!$I$1:$I$10000&lt;=ROUND($PO$3,0))*('Margin Guidence Table'!$J$1:$J$10000&gt;=ROUND($PO$3,0)),0),MATCH("DEFAULT_SALES_LBS",'Margin Guidence Table'!$A$1:$AG$1,0))),0))</f>
        <v>0</v>
      </c>
      <c r="QB14" s="784">
        <f t="array" ref="QB14">IF('Customer Inputs'!$W$22="End",0,IFERROR(IF($PY14="SEGMENT",INDEX('Margin Guidence Table'!$A$1:$AG$10000,MATCH(1,('Margin Guidence Table'!$A$1:$A$10000=PW14)*('Margin Guidence Table'!$I$1:$I$10000&lt;=ROUND($PO$3,0))*('Margin Guidence Table'!$J$1:$J$10000&gt;=ROUND($PO$3,0)),0),MATCH("MDA_MIN_MARGIN_GUIDENCE",'Margin Guidence Table'!$A$1:$AG$1,0)),INDEX('Margin Guidence Table'!$A$1:$AG$10000,MATCH(1,('Margin Guidence Table'!$A$1:$A$10000=PW14)*('Margin Guidence Table'!$I$1:$I$10000&lt;=ROUND($PO$3,0))*('Margin Guidence Table'!$J$1:$J$10000&gt;=ROUND($PO$3,0)),0),MATCH("DEFAULT_MDA_MIN_MARGIN_GUIDENCE",'Margin Guidence Table'!$A$1:$AG$1,0))),0))</f>
        <v>0</v>
      </c>
      <c r="QC14" s="784">
        <f t="array" ref="QC14">IF('Customer Inputs'!$W$22="End",0,IFERROR(IF($PY14="SEGMENT",INDEX('Margin Guidence Table'!$A$1:$AG$10000,MATCH(1,('Margin Guidence Table'!$A$1:$A$10000=PW14)*('Margin Guidence Table'!$I$1:$I$10000&lt;=ROUND($PO$3,0))*('Margin Guidence Table'!$J$1:$J$10000&gt;=ROUND($PO$3,0)),0),MATCH("MDA_MEDIAN_MARGIN_GUIDENCE",'Margin Guidence Table'!$A$1:$AG$1,0)),INDEX('Margin Guidence Table'!$A$1:$AG$10000,MATCH(1,('Margin Guidence Table'!$A$1:$A$10000=PW14)*('Margin Guidence Table'!$I$1:$I$10000&lt;=ROUND($PO$3,0))*('Margin Guidence Table'!$J$1:$J$10000&gt;=ROUND($PO$3,0)),0),MATCH("DEFAULT_MDA_MEDIAN_MARGIN_GUIDENCE",'Margin Guidence Table'!$A$1:$AG$1,0))),0))</f>
        <v>0</v>
      </c>
      <c r="QD14" s="784">
        <f t="array" ref="QD14">IF('Customer Inputs'!$W$22="End",0,IFERROR(IF($PY14="SEGMENT",INDEX('Margin Guidence Table'!$A$1:$AG$10000,MATCH(1,('Margin Guidence Table'!$A$1:$A$10000=PW14)*('Margin Guidence Table'!$I$1:$I$10000&lt;=ROUND($PO$3,0))*('Margin Guidence Table'!$J$1:$J$10000&gt;=ROUND($PO$3,0)),0),MATCH("MDA_MAX_MARGIN_GUIDENCE",'Margin Guidence Table'!$A$1:$AG$1,0)),INDEX('Margin Guidence Table'!$A$1:$AG$10000,MATCH(1,('Margin Guidence Table'!$A$1:$A$10000=PW14)*('Margin Guidence Table'!$I$1:$I$10000&lt;=ROUND($PO$3,0))*('Margin Guidence Table'!$J$1:$J$10000&gt;=ROUND($PO$3,0)),0),MATCH("DEFAULT_MDA_MAX_MARGIN_GUIDENCE",'Margin Guidence Table'!$A$1:$AG$1,0))),0))</f>
        <v>0</v>
      </c>
      <c r="QE14" s="784">
        <f t="array" ref="QE14">IF('Customer Inputs'!$W$22="End",0,IFERROR(IF($PY14="SEGMENT",INDEX('Margin Guidence Table'!$A$1:$AG$10000,MATCH(1,('Margin Guidence Table'!$A$1:$A$10000=PW14)*('Margin Guidence Table'!$I$1:$I$10000&lt;=ROUND($PO$3,0))*('Margin Guidence Table'!$J$1:$J$10000&gt;=ROUND($PO$3,0)),0),MATCH("PA_PCT_SALES",'Margin Guidence Table'!$A$1:$AG$1,0)),INDEX('Margin Guidence Table'!$A$1:$AG$10000,MATCH(1,('Margin Guidence Table'!$A$1:$A$10000=PW14)*('Margin Guidence Table'!$I$1:$I$10000&lt;=ROUND($PO$3,0))*('Margin Guidence Table'!$J$1:$J$10000&gt;=ROUND($PO$3,0)),0),MATCH("DEFAULT_PA_PCT_SALES",'Margin Guidence Table'!$A$1:$AG$1,0))),0))</f>
        <v>0</v>
      </c>
      <c r="QF14" s="784">
        <f t="array" ref="QF14">IF('Customer Inputs'!$W$22="End",0,IFERROR(IF($PY14="SEGMENT",INDEX('Margin Guidence Table'!$A$1:$AG$10000,MATCH(1,('Margin Guidence Table'!$A$1:$A$10000=PW14)*('Margin Guidence Table'!$I$1:$I$10000&lt;=ROUND($PO$3,0))*('Margin Guidence Table'!$J$1:$J$10000&gt;=ROUND($PO$3,0)),0),MATCH("SELF_FUND_PCT_SALES",'Margin Guidence Table'!$A$1:$AG$1,0)),INDEX('Margin Guidence Table'!$A$1:$AG$10000,MATCH(1,('Margin Guidence Table'!$A$1:$A$10000=PW14)*('Margin Guidence Table'!$I$1:$I$10000&lt;=ROUND($PO$3,0))*('Margin Guidence Table'!$J$1:$J$10000&gt;=ROUND($PO$3,0)),0),MATCH("DEFAULT_SELF_FUND_PCT_SALES",'Margin Guidence Table'!$A$1:$AG$1,0))),0))</f>
        <v>0</v>
      </c>
      <c r="QG14" s="784">
        <f t="array" ref="QG14">IF('Customer Inputs'!$W$22="End",0,IF($PP$2="Existing",IFERROR(SUMIFS('Existing Customers'!$V:$V,'Existing Customers'!$H:$H,$PN14,'Existing Customers'!$A:$A,$PO$1)/SUMIFS('Existing Customers'!$Q:$Q,'Existing Customers'!$H:$H,$PN14,'Existing Customers'!$A:$A,$PO$1),0),IFERROR(IF($PY14="SEGMENT",INDEX('Margin Guidence Table'!$A$1:$AG$10000,MATCH(1,('Margin Guidence Table'!$A$1:$A$10000=PW14)*('Margin Guidence Table'!$I$1:$I$10000&lt;=ROUND($PO$3,0))*('Margin Guidence Table'!$J$1:$J$10000&gt;=ROUND($PO$3,0)),0),MATCH("CIA_MEDIAN_MARGIN_GUIDENCE",'Margin Guidence Table'!$A$1:$AG$1,0)),INDEX('Margin Guidence Table'!$A$1:$AG$10000,MATCH(1,('Margin Guidence Table'!$A$1:$A$10000=PW14)*('Margin Guidence Table'!$I$1:$I$10000&lt;=ROUND($PO$3,0))*('Margin Guidence Table'!$J$1:$J$10000&gt;=ROUND($PO$3,0)),0),MATCH("DEFAULT_CIA_MEDIAN_MARGIN_GUIDENCE",'Margin Guidence Table'!$A$1:$AG$1,0))),0)))</f>
        <v>0</v>
      </c>
      <c r="QH14" s="784"/>
      <c r="QI14" s="18">
        <f t="array" ref="QI14">IF('Customer Inputs'!$W$23="End",0,IFERROR(IF($QV14="SEGMENT",INDEX('Margin Guidence Table'!$A$1:$AG$10000,MATCH(1,('Margin Guidence Table'!$A$1:$A$10000=$QT14)*('Margin Guidence Table'!$I$1:$I$10000&lt;=ROUND($QL$3,0))*('Margin Guidence Table'!$J$1:$J$10000&gt;=ROUND($QL$3,0)),0),MATCH("PCT_SALES",'Margin Guidence Table'!$A$1:$AG$1,0)),INDEX('Margin Guidence Table'!$A$1:$AG$10000,MATCH(1,('Margin Guidence Table'!$A$1:$A$10000=$QT14)*('Margin Guidence Table'!$I$1:$I$10000&lt;=ROUND($QL$3,0))*('Margin Guidence Table'!$J$1:$J$10000&gt;=ROUND($QL$3,0)),0),MATCH("DEFAULT_PCT_SALES",'Margin Guidence Table'!$A$1:$AG$1,0))),0))</f>
        <v>0</v>
      </c>
      <c r="QJ14" s="1713" t="e">
        <f>QI14/$QI$35</f>
        <v>#DIV/0!</v>
      </c>
      <c r="QK14" s="99" t="s">
        <v>99</v>
      </c>
      <c r="QL14" s="91">
        <f>IF('Customer Inputs'!$W$23="End",0,IFERROR(IF(AND($QL$2&lt;&gt;"Enter Spend&gt;&gt;&gt;",$QM$2="EXISTING"),SUMIFS('Existing Customers'!$Q:$Q,'Existing Customers'!$A:$A,$QL$1,'Existing Customers'!$H:$H,$QK14)*$QL$4,$QL$3*$QJ14),0))</f>
        <v>0</v>
      </c>
      <c r="QM14" s="86">
        <f>IF('Customer Inputs'!$W$23="End",0,IFERROR(IF(AND($QL$2&lt;&gt;"Enter Spend&gt;&gt;&gt;",$QM$2="EXISTING"),SUMIFS('Existing Customers'!$N:$N,'Existing Customers'!$A:$A,$QL$1,'Existing Customers'!$H:$H,$QK14)*$QL$4,$QL14/$QW14),0))</f>
        <v>0</v>
      </c>
      <c r="QN14" s="92">
        <f>IF('Customer Inputs'!$W$23="End",0,IFERROR(IF(AND($QL$2&lt;&gt;"Enter Spend&gt;&gt;&gt;",$QM$2="EXISTING"),SUMIFS('Existing Customers'!$O:$O,'Existing Customers'!$H:$H,$QK14,'Existing Customers'!$A:$A,$QL$1)*$QL$4,$QM14*$QL$8),0))</f>
        <v>0</v>
      </c>
      <c r="QO14" s="92">
        <f>IF('Customer Inputs'!$W$23="End",0,IFERROR(IF(AND($QL$2&lt;&gt;"Enter Spend&gt;&gt;&gt;",$QM$2="EXISTING"),SUMIFS('Existing Customers'!$P:$P,'Existing Customers'!$A:$A,$QL$1,'Existing Customers'!$H:$H,$QK14)*$QL$4,$QL14/$QX14),0))</f>
        <v>0</v>
      </c>
      <c r="QP14" s="303">
        <f>IF('Customer Inputs'!$W$23="End",0,IFERROR(IF(AND($QL$2&lt;&gt;"Enter Spend&gt;&gt;&gt;",$QM$2="EXISTING"),SUMIFS('Existing Customers'!$V:$V,'Existing Customers'!$H:$H,$QK14,'Existing Customers'!$A:$A,$QL$1)*$QL$4,0),0))</f>
        <v>0</v>
      </c>
      <c r="QQ14" s="93">
        <f>IF('Customer Inputs'!$W$23="End",0,IFERROR(IF(AND($QL$2&lt;&gt;"Enter Spend&gt;&gt;&gt;",$QM$2="EXISTING"),SUMIFS('Existing Customers'!$R:$R,'Existing Customers'!$H:$H,$QK14,'Existing Customers'!$A:$A,$QL$1)*$QL$4,0),0))</f>
        <v>0</v>
      </c>
      <c r="QR14" s="780">
        <f>IF('Customer Inputs'!$W$23="End",0,IFERROR(IF(AND($QL$2&lt;&gt;"Enter Spend&gt;&gt;&gt;",$QM$2="EXISTING"),SUMIFS('Existing Customers'!$S:$S,'Existing Customers'!$H:$H,$QK14,'Existing Customers'!$A:$A,$QL$1)/SUMIFS('Existing Customers'!$Q:$Q,'Existing Customers'!$A:$A,$QL$1,'Existing Customers'!$H:$H,$QK14),RB14),0))</f>
        <v>0</v>
      </c>
      <c r="QS14" s="780">
        <f>IF('Customer Inputs'!$W$23="End",0,IFERROR(IF(AND($QL$2&lt;&gt;"Enter Spend&gt;&gt;&gt;",$QM$2="EXISTING"),SUMIFS('Existing Customers'!$U:$U,'Existing Customers'!$H:$H,$QK14,'Existing Customers'!$A:$A,$QL$1)/SUMIFS('Existing Customers'!$Q:$Q,'Existing Customers'!$A:$A,$QL$1,'Existing Customers'!$H:$H,$QK14),RC14),0))</f>
        <v>0</v>
      </c>
      <c r="QT14" s="783" t="e">
        <f>_xlfn.CONCAT('Customer Inputs'!$AH$23,"_",QK14)</f>
        <v>#N/A</v>
      </c>
      <c r="QU14" s="783">
        <f t="array" ref="QU14">IF('Customer Inputs'!$W$23="End",0,IFERROR(INDEX('Margin Guidence Table'!$A$1:$AG$10000,MATCH(1,('Margin Guidence Table'!$A$1:$A$10000=QT14)*('Margin Guidence Table'!$I$1:$I$10000&lt;=ROUND($QL$3,0))*('Margin Guidence Table'!$J$1:$J$10000&gt;=ROUND($QL$3,0)),0),MATCH("DATA_POINTS",'Margin Guidence Table'!$A$1:$AG$1,0)),0))</f>
        <v>0</v>
      </c>
      <c r="QV14" s="780" t="str">
        <f>IF(QU14&gt;15,"SEGMENT","DEFAULT")</f>
        <v>DEFAULT</v>
      </c>
      <c r="QW14" s="780">
        <f t="array" ref="QW14">IF('Customer Inputs'!$W$23="End",0,IFERROR(IF($QV14="SEGMENT",INDEX('Margin Guidence Table'!$A$1:$AG$10000,MATCH(1,('Margin Guidence Table'!$A$1:$A$10000=QT14)*('Margin Guidence Table'!$I$1:$I$10000&lt;=ROUND($QL$3,0))*('Margin Guidence Table'!$J$1:$J$10000&gt;=ROUND($QL$3,0)),0),MATCH("SALES_CASE",'Margin Guidence Table'!$A$1:$AG$1,0)),INDEX('Margin Guidence Table'!$A$1:$AG$10000,MATCH(1,('Margin Guidence Table'!$A$1:$A$10000=QT14)*('Margin Guidence Table'!$I$1:$I$10000&lt;=ROUND($QL$3,0))*('Margin Guidence Table'!$J$1:$J$10000&gt;=ROUND($QL$3,0)),0),MATCH("DEFAULT_SALES_CASE",'Margin Guidence Table'!$A$1:$AG$1,0))),0))</f>
        <v>0</v>
      </c>
      <c r="QX14" s="780">
        <f t="array" ref="QX14">IF('Customer Inputs'!$W$23="End",0,IFERROR(IF($QV14="SEGMENT",INDEX('Margin Guidence Table'!$A$1:$AG$10000,MATCH(1,('Margin Guidence Table'!$A$1:$A$10000=QT14)*('Margin Guidence Table'!$I$1:$I$10000&lt;=ROUND($QL$3,0))*('Margin Guidence Table'!$J$1:$J$10000&gt;=ROUND($QL$3,0)),0),MATCH("SALES_LBS",'Margin Guidence Table'!$A$1:$AG$1,0)),INDEX('Margin Guidence Table'!$A$1:$AG$10000,MATCH(1,('Margin Guidence Table'!$A$1:$A$10000=QT14)*('Margin Guidence Table'!$I$1:$I$10000&lt;=ROUND($QL$3,0))*('Margin Guidence Table'!$J$1:$J$10000&gt;=ROUND($QL$3,0)),0),MATCH("DEFAULT_SALES_LBS",'Margin Guidence Table'!$A$1:$AG$1,0))),0))</f>
        <v>0</v>
      </c>
      <c r="QY14" s="784">
        <f t="array" ref="QY14">IF('Customer Inputs'!$W$23="End",0,IFERROR(IF($QV14="SEGMENT",INDEX('Margin Guidence Table'!$A$1:$AG$10000,MATCH(1,('Margin Guidence Table'!$A$1:$A$10000=QT14)*('Margin Guidence Table'!$I$1:$I$10000&lt;=ROUND($QL$3,0))*('Margin Guidence Table'!$J$1:$J$10000&gt;=ROUND($QL$3,0)),0),MATCH("MDA_MIN_MARGIN_GUIDENCE",'Margin Guidence Table'!$A$1:$AG$1,0)),INDEX('Margin Guidence Table'!$A$1:$AG$10000,MATCH(1,('Margin Guidence Table'!$A$1:$A$10000=QT14)*('Margin Guidence Table'!$I$1:$I$10000&lt;=ROUND($QL$3,0))*('Margin Guidence Table'!$J$1:$J$10000&gt;=ROUND($QL$3,0)),0),MATCH("DEFAULT_MDA_MIN_MARGIN_GUIDENCE",'Margin Guidence Table'!$A$1:$AG$1,0))),0))</f>
        <v>0</v>
      </c>
      <c r="QZ14" s="784">
        <f t="array" ref="QZ14">IF('Customer Inputs'!$W$23="End",0,IFERROR(IF($QV14="SEGMENT",INDEX('Margin Guidence Table'!$A$1:$AG$10000,MATCH(1,('Margin Guidence Table'!$A$1:$A$10000=QT14)*('Margin Guidence Table'!$I$1:$I$10000&lt;=ROUND($QL$3,0))*('Margin Guidence Table'!$J$1:$J$10000&gt;=ROUND($QL$3,0)),0),MATCH("MDA_MEDIAN_MARGIN_GUIDENCE",'Margin Guidence Table'!$A$1:$AG$1,0)),INDEX('Margin Guidence Table'!$A$1:$AG$10000,MATCH(1,('Margin Guidence Table'!$A$1:$A$10000=QT14)*('Margin Guidence Table'!$I$1:$I$10000&lt;=ROUND($QL$3,0))*('Margin Guidence Table'!$J$1:$J$10000&gt;=ROUND($QL$3,0)),0),MATCH("DEFAULT_MDA_MEDIAN_MARGIN_GUIDENCE",'Margin Guidence Table'!$A$1:$AG$1,0))),0))</f>
        <v>0</v>
      </c>
      <c r="RA14" s="784">
        <f t="array" ref="RA14">IF('Customer Inputs'!$W$23="End",0,IFERROR(IF($QV14="SEGMENT",INDEX('Margin Guidence Table'!$A$1:$AG$10000,MATCH(1,('Margin Guidence Table'!$A$1:$A$10000=QT14)*('Margin Guidence Table'!$I$1:$I$10000&lt;=ROUND($QL$3,0))*('Margin Guidence Table'!$J$1:$J$10000&gt;=ROUND($QL$3,0)),0),MATCH("MDA_MAX_MARGIN_GUIDENCE",'Margin Guidence Table'!$A$1:$AG$1,0)),INDEX('Margin Guidence Table'!$A$1:$AG$10000,MATCH(1,('Margin Guidence Table'!$A$1:$A$10000=QT14)*('Margin Guidence Table'!$I$1:$I$10000&lt;=ROUND($QL$3,0))*('Margin Guidence Table'!$J$1:$J$10000&gt;=ROUND($QL$3,0)),0),MATCH("DEFAULT_MDA_MAX_MARGIN_GUIDENCE",'Margin Guidence Table'!$A$1:$AG$1,0))),0))</f>
        <v>0</v>
      </c>
      <c r="RB14" s="784">
        <f t="array" ref="RB14">IF('Customer Inputs'!$W$23="End",0,IFERROR(IF($QV14="SEGMENT",INDEX('Margin Guidence Table'!$A$1:$AG$10000,MATCH(1,('Margin Guidence Table'!$A$1:$A$10000=QT14)*('Margin Guidence Table'!$I$1:$I$10000&lt;=ROUND($QL$3,0))*('Margin Guidence Table'!$J$1:$J$10000&gt;=ROUND($QL$3,0)),0),MATCH("PA_PCT_SALES",'Margin Guidence Table'!$A$1:$AG$1,0)),INDEX('Margin Guidence Table'!$A$1:$AG$10000,MATCH(1,('Margin Guidence Table'!$A$1:$A$10000=QT14)*('Margin Guidence Table'!$I$1:$I$10000&lt;=ROUND($QL$3,0))*('Margin Guidence Table'!$J$1:$J$10000&gt;=ROUND($QL$3,0)),0),MATCH("DEFAULT_PA_PCT_SALES",'Margin Guidence Table'!$A$1:$AG$1,0))),0))</f>
        <v>0</v>
      </c>
      <c r="RC14" s="784">
        <f t="array" ref="RC14">IF('Customer Inputs'!$W$23="End",0,IFERROR(IF($QV14="SEGMENT",INDEX('Margin Guidence Table'!$A$1:$AG$10000,MATCH(1,('Margin Guidence Table'!$A$1:$A$10000=QT14)*('Margin Guidence Table'!$I$1:$I$10000&lt;=ROUND($QL$3,0))*('Margin Guidence Table'!$J$1:$J$10000&gt;=ROUND($QL$3,0)),0),MATCH("SELF_FUND_PCT_SALES",'Margin Guidence Table'!$A$1:$AG$1,0)),INDEX('Margin Guidence Table'!$A$1:$AG$10000,MATCH(1,('Margin Guidence Table'!$A$1:$A$10000=QT14)*('Margin Guidence Table'!$I$1:$I$10000&lt;=ROUND($QL$3,0))*('Margin Guidence Table'!$J$1:$J$10000&gt;=ROUND($QL$3,0)),0),MATCH("DEFAULT_SELF_FUND_PCT_SALES",'Margin Guidence Table'!$A$1:$AG$1,0))),0))</f>
        <v>0</v>
      </c>
      <c r="RD14" s="784">
        <f t="array" ref="RD14">IF('Customer Inputs'!$W$23="End",0,IF($QM$2="Existing",IFERROR(SUMIFS('Existing Customers'!$V:$V,'Existing Customers'!$H:$H,$QK14,'Existing Customers'!$A:$A,$QL$1)/SUMIFS('Existing Customers'!$Q:$Q,'Existing Customers'!$H:$H,$QK14,'Existing Customers'!$A:$A,$QL$1),0),IFERROR(IF($QV14="SEGMENT",INDEX('Margin Guidence Table'!$A$1:$AG$10000,MATCH(1,('Margin Guidence Table'!$A$1:$A$10000=QT14)*('Margin Guidence Table'!$I$1:$I$10000&lt;=ROUND($QL$3,0))*('Margin Guidence Table'!$J$1:$J$10000&gt;=ROUND($QL$3,0)),0),MATCH("CIA_MEDIAN_MARGIN_GUIDENCE",'Margin Guidence Table'!$A$1:$AG$1,0)),INDEX('Margin Guidence Table'!$A$1:$AG$10000,MATCH(1,('Margin Guidence Table'!$A$1:$A$10000=QT14)*('Margin Guidence Table'!$I$1:$I$10000&lt;=ROUND($QL$3,0))*('Margin Guidence Table'!$J$1:$J$10000&gt;=ROUND($QL$3,0)),0),MATCH("DEFAULT_CIA_MEDIAN_MARGIN_GUIDENCE",'Margin Guidence Table'!$A$1:$AG$1,0))),0)))</f>
        <v>0</v>
      </c>
      <c r="RE14" s="784"/>
      <c r="RF14" s="18">
        <f t="array" ref="RF14">IF('Customer Inputs'!$W$24="End",0,IFERROR(IF($RS14="SEGMENT",INDEX('Margin Guidence Table'!$A$1:$AG$10000,MATCH(1,('Margin Guidence Table'!$A$1:$A$10000=$RQ14)*('Margin Guidence Table'!$I$1:$I$10000&lt;=ROUND($RI$3,0))*('Margin Guidence Table'!$J$1:$J$10000&gt;=ROUND($RI$3,0)),0),MATCH("PCT_SALES",'Margin Guidence Table'!$A$1:$AG$1,0)),INDEX('Margin Guidence Table'!$A$1:$AG$10000,MATCH(1,('Margin Guidence Table'!$A$1:$A$10000=$RQ14)*('Margin Guidence Table'!$I$1:$I$10000&lt;=ROUND($RI$3,0))*('Margin Guidence Table'!$J$1:$J$10000&gt;=ROUND($RI$3,0)),0),MATCH("DEFAULT_PCT_SALES",'Margin Guidence Table'!$A$1:$AG$1,0))),0))</f>
        <v>0</v>
      </c>
      <c r="RG14" s="1713" t="e">
        <f>RF14/$RF$35</f>
        <v>#DIV/0!</v>
      </c>
      <c r="RH14" s="99" t="s">
        <v>99</v>
      </c>
      <c r="RI14" s="91">
        <f>IF('Customer Inputs'!$W$24="End",0,IFERROR(IF(AND($RI$2&lt;&gt;"Enter Spend&gt;&gt;&gt;",$RJ$2="EXISTING"),SUMIFS('Existing Customers'!$Q:$Q,'Existing Customers'!$A:$A,$RI$1,'Existing Customers'!$H:$H,$RH14)*$RI$4,$RI$3*$RG14),0))</f>
        <v>0</v>
      </c>
      <c r="RJ14" s="86">
        <f>IF('Customer Inputs'!$W$24="End",0,IFERROR(IF(AND($RI$2&lt;&gt;"Enter Spend&gt;&gt;&gt;",$RJ$2="EXISTING"),SUMIFS('Existing Customers'!$N:$N,'Existing Customers'!$A:$A,$RI$1,'Existing Customers'!$H:$H,$RH14)*$RI$4,$RI14/$RT14),0))</f>
        <v>0</v>
      </c>
      <c r="RK14" s="92">
        <f>IF('Customer Inputs'!$W$24="End",0,IFERROR(IF(AND($RI$2&lt;&gt;"Enter Spend&gt;&gt;&gt;",$RJ$2="EXISTING"),SUMIFS('Existing Customers'!$O:$O,'Existing Customers'!$H:$H,$RH14,'Existing Customers'!$A:$A,$RI$1)*$RI$4,$RJ14*$RI$8),0))</f>
        <v>0</v>
      </c>
      <c r="RL14" s="92">
        <f>IF('Customer Inputs'!$W$24="End",0,IFERROR(IF(AND($RI$2&lt;&gt;"Enter Spend&gt;&gt;&gt;",$RJ$2="EXISTING"),SUMIFS('Existing Customers'!$P:$P,'Existing Customers'!$A:$A,$RI$1,'Existing Customers'!$H:$H,$RH14)*$RI$4,$RI14/$RU14),0))</f>
        <v>0</v>
      </c>
      <c r="RM14" s="303">
        <f>IF('Customer Inputs'!$W$24="End",0,IFERROR(IF(AND($RI$2&lt;&gt;"Enter Spend&gt;&gt;&gt;",$RJ$2="EXISTING"),SUMIFS('Existing Customers'!$V:$V,'Existing Customers'!$H:$H,$RH14,'Existing Customers'!$A:$A,$RI$1)*$RI$4,0),0))</f>
        <v>0</v>
      </c>
      <c r="RN14" s="93">
        <f>IF('Customer Inputs'!$W$24="End",0,IFERROR(IF(AND($RI$2&lt;&gt;"Enter Spend&gt;&gt;&gt;",$RJ$2="EXISTING"),SUMIFS('Existing Customers'!$R:$R,'Existing Customers'!$H:$H,$RH14,'Existing Customers'!$A:$A,$RI$1)*$RI$4,0),0))</f>
        <v>0</v>
      </c>
      <c r="RO14" s="780">
        <f>IF('Customer Inputs'!$W$24="End",0,IFERROR(IF(AND($RI$2&lt;&gt;"Enter Spend&gt;&gt;&gt;",$RJ$2="EXISTING"),SUMIFS('Existing Customers'!$S:$S,'Existing Customers'!$H:$H,$RH14,'Existing Customers'!$A:$A,$RI$1)/SUMIFS('Existing Customers'!$Q:$Q,'Existing Customers'!$A:$A,$RI$1,'Existing Customers'!$H:$H,$RH14),RY14),0))</f>
        <v>0</v>
      </c>
      <c r="RP14" s="780">
        <f>IF('Customer Inputs'!$W$24="End",0,IFERROR(IF(AND($RI$2&lt;&gt;"Enter Spend&gt;&gt;&gt;",$RJ$2="EXISTING"),SUMIFS('Existing Customers'!$U:$U,'Existing Customers'!$H:$H,$RH14,'Existing Customers'!$A:$A,$RI$1)/SUMIFS('Existing Customers'!$Q:$Q,'Existing Customers'!$A:$A,$RI$1,'Existing Customers'!$H:$H,$RH14),RZ14),0))</f>
        <v>0</v>
      </c>
      <c r="RQ14" s="783" t="e">
        <f>_xlfn.CONCAT('Customer Inputs'!$AH$24,"_",RH14)</f>
        <v>#N/A</v>
      </c>
      <c r="RR14" s="783">
        <f t="array" ref="RR14">IF('Customer Inputs'!$W$24="End",0,IFERROR(INDEX('Margin Guidence Table'!$A$1:$AG$10000,MATCH(1,('Margin Guidence Table'!$A$1:$A$10000=RQ14)*('Margin Guidence Table'!$I$1:$I$10000&lt;=ROUND($RI$3,0))*('Margin Guidence Table'!$J$1:$J$10000&gt;=ROUND($RI$3,0)),0),MATCH("DATA_POINTS",'Margin Guidence Table'!$A$1:$AG$1,0)),0))</f>
        <v>0</v>
      </c>
      <c r="RS14" s="780" t="str">
        <f>IF(RR14&gt;15,"SEGMENT","DEFAULT")</f>
        <v>DEFAULT</v>
      </c>
      <c r="RT14" s="780">
        <f t="array" ref="RT14">IF('Customer Inputs'!$W$24="End",0,IFERROR(IF($RS14="SEGMENT",INDEX('Margin Guidence Table'!$A$1:$AG$10000,MATCH(1,('Margin Guidence Table'!$A$1:$A$10000=RQ14)*('Margin Guidence Table'!$I$1:$I$10000&lt;=ROUND($RI$3,0))*('Margin Guidence Table'!$J$1:$J$10000&gt;=ROUND($RI$3,0)),0),MATCH("SALES_CASE",'Margin Guidence Table'!$A$1:$AG$1,0)),INDEX('Margin Guidence Table'!$A$1:$AG$10000,MATCH(1,('Margin Guidence Table'!$A$1:$A$10000=RQ14)*('Margin Guidence Table'!$I$1:$I$10000&lt;=ROUND($RI$3,0))*('Margin Guidence Table'!$J$1:$J$10000&gt;=ROUND($RI$3,0)),0),MATCH("DEFAULT_SALES_CASE",'Margin Guidence Table'!$A$1:$AG$1,0))),0))</f>
        <v>0</v>
      </c>
      <c r="RU14" s="780">
        <f t="array" ref="RU14">IF('Customer Inputs'!$W$24="End",0,IFERROR(IF($RS14="SEGMENT",INDEX('Margin Guidence Table'!$A$1:$AG$10000,MATCH(1,('Margin Guidence Table'!$A$1:$A$10000=RQ14)*('Margin Guidence Table'!$I$1:$I$10000&lt;=ROUND($RI$3,0))*('Margin Guidence Table'!$J$1:$J$10000&gt;=ROUND($RI$3,0)),0),MATCH("SALES_LBS",'Margin Guidence Table'!$A$1:$AG$1,0)),INDEX('Margin Guidence Table'!$A$1:$AG$10000,MATCH(1,('Margin Guidence Table'!$A$1:$A$10000=RQ14)*('Margin Guidence Table'!$I$1:$I$10000&lt;=ROUND($RI$3,0))*('Margin Guidence Table'!$J$1:$J$10000&gt;=ROUND($RI$3,0)),0),MATCH("DEFAULT_SALES_LBS",'Margin Guidence Table'!$A$1:$AG$1,0))),0))</f>
        <v>0</v>
      </c>
      <c r="RV14" s="784">
        <f t="array" ref="RV14">IF('Customer Inputs'!$W$24="End",0,IFERROR(IF($RS14="SEGMENT",INDEX('Margin Guidence Table'!$A$1:$AG$10000,MATCH(1,('Margin Guidence Table'!$A$1:$A$10000=RQ14)*('Margin Guidence Table'!$I$1:$I$10000&lt;=ROUND($RI$3,0))*('Margin Guidence Table'!$J$1:$J$10000&gt;=ROUND($RI$3,0)),0),MATCH("MDA_MIN_MARGIN_GUIDENCE",'Margin Guidence Table'!$A$1:$AG$1,0)),INDEX('Margin Guidence Table'!$A$1:$AG$10000,MATCH(1,('Margin Guidence Table'!$A$1:$A$10000=RQ14)*('Margin Guidence Table'!$I$1:$I$10000&lt;=ROUND($RI$3,0))*('Margin Guidence Table'!$J$1:$J$10000&gt;=ROUND($RI$3,0)),0),MATCH("DEFAULT_MDA_MIN_MARGIN_GUIDENCE",'Margin Guidence Table'!$A$1:$AG$1,0))),0))</f>
        <v>0</v>
      </c>
      <c r="RW14" s="784">
        <f t="array" ref="RW14">IF('Customer Inputs'!$W$24="End",0,IFERROR(IF($RS14="SEGMENT",INDEX('Margin Guidence Table'!$A$1:$AG$10000,MATCH(1,('Margin Guidence Table'!$A$1:$A$10000=RQ14)*('Margin Guidence Table'!$I$1:$I$10000&lt;=ROUND($RI$3,0))*('Margin Guidence Table'!$J$1:$J$10000&gt;=ROUND($RI$3,0)),0),MATCH("MDA_MEDIAN_MARGIN_GUIDENCE",'Margin Guidence Table'!$A$1:$AG$1,0)),INDEX('Margin Guidence Table'!$A$1:$AG$10000,MATCH(1,('Margin Guidence Table'!$A$1:$A$10000=RQ14)*('Margin Guidence Table'!$I$1:$I$10000&lt;=ROUND($RI$3,0))*('Margin Guidence Table'!$J$1:$J$10000&gt;=ROUND($RI$3,0)),0),MATCH("DEFAULT_MDA_MEDIAN_MARGIN_GUIDENCE",'Margin Guidence Table'!$A$1:$AG$1,0))),0))</f>
        <v>0</v>
      </c>
      <c r="RX14" s="784">
        <f t="array" ref="RX14">IF('Customer Inputs'!$W$24="End",0,IFERROR(IF($RS14="SEGMENT",INDEX('Margin Guidence Table'!$A$1:$AG$10000,MATCH(1,('Margin Guidence Table'!$A$1:$A$10000=RQ14)*('Margin Guidence Table'!$I$1:$I$10000&lt;=ROUND($RI$3,0))*('Margin Guidence Table'!$J$1:$J$10000&gt;=ROUND($RI$3,0)),0),MATCH("MDA_MAX_MARGIN_GUIDENCE",'Margin Guidence Table'!$A$1:$AG$1,0)),INDEX('Margin Guidence Table'!$A$1:$AG$10000,MATCH(1,('Margin Guidence Table'!$A$1:$A$10000=RQ14)*('Margin Guidence Table'!$I$1:$I$10000&lt;=ROUND($RI$3,0))*('Margin Guidence Table'!$J$1:$J$10000&gt;=ROUND($RI$3,0)),0),MATCH("DEFAULT_MDA_MAX_MARGIN_GUIDENCE",'Margin Guidence Table'!$A$1:$AG$1,0))),0))</f>
        <v>0</v>
      </c>
      <c r="RY14" s="784">
        <f t="array" ref="RY14">IF('Customer Inputs'!$W$24="End",0,IFERROR(IF($RS14="SEGMENT",INDEX('Margin Guidence Table'!$A$1:$AG$10000,MATCH(1,('Margin Guidence Table'!$A$1:$A$10000=RQ14)*('Margin Guidence Table'!$I$1:$I$10000&lt;=ROUND($RI$3,0))*('Margin Guidence Table'!$J$1:$J$10000&gt;=ROUND($RI$3,0)),0),MATCH("PA_PCT_SALES",'Margin Guidence Table'!$A$1:$AG$1,0)),INDEX('Margin Guidence Table'!$A$1:$AG$10000,MATCH(1,('Margin Guidence Table'!$A$1:$A$10000=RQ14)*('Margin Guidence Table'!$I$1:$I$10000&lt;=ROUND($RI$3,0))*('Margin Guidence Table'!$J$1:$J$10000&gt;=ROUND($RI$3,0)),0),MATCH("DEFAULT_PA_PCT_SALES",'Margin Guidence Table'!$A$1:$AG$1,0))),0))</f>
        <v>0</v>
      </c>
      <c r="RZ14" s="784">
        <f t="array" ref="RZ14">IF('Customer Inputs'!$W$24="End",0,IFERROR(IF($RS14="SEGMENT",INDEX('Margin Guidence Table'!$A$1:$AG$10000,MATCH(1,('Margin Guidence Table'!$A$1:$A$10000=RQ14)*('Margin Guidence Table'!$I$1:$I$10000&lt;=ROUND($RI$3,0))*('Margin Guidence Table'!$J$1:$J$10000&gt;=ROUND($RI$3,0)),0),MATCH("SELF_FUND_PCT_SALES",'Margin Guidence Table'!$A$1:$AG$1,0)),INDEX('Margin Guidence Table'!$A$1:$AG$10000,MATCH(1,('Margin Guidence Table'!$A$1:$A$10000=RQ14)*('Margin Guidence Table'!$I$1:$I$10000&lt;=ROUND($RI$3,0))*('Margin Guidence Table'!$J$1:$J$10000&gt;=ROUND($RI$3,0)),0),MATCH("DEFAULT_SELF_FUND_PCT_SALES",'Margin Guidence Table'!$A$1:$AG$1,0))),0))</f>
        <v>0</v>
      </c>
      <c r="SA14" s="784">
        <f t="array" ref="SA14">IF('Customer Inputs'!$W$24="End",0,IF($RJ$2="Existing",IFERROR(SUMIFS('Existing Customers'!$V:$V,'Existing Customers'!$H:$H,$RH14,'Existing Customers'!$A:$A,$RI$1)/SUMIFS('Existing Customers'!$Q:$Q,'Existing Customers'!$H:$H,$RH14,'Existing Customers'!$A:$A,$RI$1),0),IFERROR(IF($RS14="SEGMENT",INDEX('Margin Guidence Table'!$A$1:$AG$10000,MATCH(1,('Margin Guidence Table'!$A$1:$A$10000=RQ14)*('Margin Guidence Table'!$I$1:$I$10000&lt;=ROUND($RI$3,0))*('Margin Guidence Table'!$J$1:$J$10000&gt;=ROUND($RI$3,0)),0),MATCH("CIA_MEDIAN_MARGIN_GUIDENCE",'Margin Guidence Table'!$A$1:$AG$1,0)),INDEX('Margin Guidence Table'!$A$1:$AG$10000,MATCH(1,('Margin Guidence Table'!$A$1:$A$10000=RQ14)*('Margin Guidence Table'!$I$1:$I$10000&lt;=ROUND($RI$3,0))*('Margin Guidence Table'!$J$1:$J$10000&gt;=ROUND($RI$3,0)),0),MATCH("DEFAULT_CIA_MEDIAN_MARGIN_GUIDENCE",'Margin Guidence Table'!$A$1:$AG$1,0))),0)))</f>
        <v>0</v>
      </c>
      <c r="SB14" s="784"/>
      <c r="SC14" s="18">
        <f t="array" ref="SC14">IF('Customer Inputs'!$W$25="End",0,IFERROR(IF($SP14="SEGMENT",INDEX('Margin Guidence Table'!$A$1:$AG$10000,MATCH(1,('Margin Guidence Table'!$A$1:$A$10000=$SN14)*('Margin Guidence Table'!$I$1:$I$10000&lt;=ROUND($SF$3,0))*('Margin Guidence Table'!$J$1:$J$10000&gt;=ROUND($SF$3,0)),0),MATCH("PCT_SALES",'Margin Guidence Table'!$A$1:$AG$1,0)),INDEX('Margin Guidence Table'!$A$1:$AG$10000,MATCH(1,('Margin Guidence Table'!$A$1:$A$10000=$SN14)*('Margin Guidence Table'!$I$1:$I$10000&lt;=ROUND($SF$3,0))*('Margin Guidence Table'!$J$1:$J$10000&gt;=ROUND($SF$3,0)),0),MATCH("DEFAULT_PCT_SALES",'Margin Guidence Table'!$A$1:$AG$1,0))),0))</f>
        <v>0</v>
      </c>
      <c r="SD14" s="1713" t="e">
        <f>SC14/$SC$35</f>
        <v>#DIV/0!</v>
      </c>
      <c r="SE14" s="99" t="s">
        <v>99</v>
      </c>
      <c r="SF14" s="91">
        <f>IF('Customer Inputs'!$W$25="End",0,IFERROR(IF(AND($SF$2&lt;&gt;"Enter Spend&gt;&gt;&gt;",$SG$2="EXISTING"),SUMIFS('Existing Customers'!$Q:$Q,'Existing Customers'!$A:$A,$SF$1,'Existing Customers'!$H:$H,$SE14)*$SF$4,$SF$3*$SD14),0))</f>
        <v>0</v>
      </c>
      <c r="SG14" s="86">
        <f>IF('Customer Inputs'!$W$25="End",0,IFERROR(IF(AND($SF$2&lt;&gt;"Enter Spend&gt;&gt;&gt;",$SG$2="EXISTING"),SUMIFS('Existing Customers'!$N:$N,'Existing Customers'!$A:$A,$SF$1,'Existing Customers'!$H:$H,$SE14)*$SF$4,$SF14/$SQ14),0))</f>
        <v>0</v>
      </c>
      <c r="SH14" s="92">
        <f>IF('Customer Inputs'!$W$25="End",0,IFERROR(IF(AND($SF$2&lt;&gt;"Enter Spend&gt;&gt;&gt;",$SG$2="EXISTING"),SUMIFS('Existing Customers'!$O:$O,'Existing Customers'!$H:$H,$SE14,'Existing Customers'!$A:$A,$SF$1)*$SF$4,$SG14*$SF$8),0))</f>
        <v>0</v>
      </c>
      <c r="SI14" s="92">
        <f>IF('Customer Inputs'!$W$25="End",0,IFERROR(IF(AND($SF$2&lt;&gt;"Enter Spend&gt;&gt;&gt;",$SG$2="EXISTING"),SUMIFS('Existing Customers'!$P:$P,'Existing Customers'!$A:$A,$SF$1,'Existing Customers'!$H:$H,$SE14)*$SF$4,$SF14/$SR14),0))</f>
        <v>0</v>
      </c>
      <c r="SJ14" s="303">
        <f>IF('Customer Inputs'!$W$25="End",0,IFERROR(IF(AND($SF$2&lt;&gt;"Enter Spend&gt;&gt;&gt;",$SG$2="EXISTING"),SUMIFS('Existing Customers'!$V:$V,'Existing Customers'!$H:$H,$SE14,'Existing Customers'!$A:$A,$SF$1)*$SF$4,0),0))</f>
        <v>0</v>
      </c>
      <c r="SK14" s="93">
        <f>IF('Customer Inputs'!$W$25="End",0,IFERROR(IF(AND($SF$2&lt;&gt;"Enter Spend&gt;&gt;&gt;",$SG$2="EXISTING"),SUMIFS('Existing Customers'!$R:$R,'Existing Customers'!$H:$H,$SE14,'Existing Customers'!$A:$A,$SF$1)*$SF$4,0),0))</f>
        <v>0</v>
      </c>
      <c r="SL14" s="780">
        <f>IF('Customer Inputs'!$W$25="End",0,IFERROR(IF(AND($SF$2&lt;&gt;"Enter Spend&gt;&gt;&gt;",$SG$2="EXISTING"),SUMIFS('Existing Customers'!$S:$S,'Existing Customers'!$H:$H,$SE14,'Existing Customers'!$A:$A,$SF$1)/SUMIFS('Existing Customers'!$Q:$Q,'Existing Customers'!$A:$A,$SF$1,'Existing Customers'!$H:$H,$SE14),SV14),0))</f>
        <v>0</v>
      </c>
      <c r="SM14" s="780">
        <f>IF('Customer Inputs'!$W$25="End",0,IFERROR(IF(AND($SF$2&lt;&gt;"Enter Spend&gt;&gt;&gt;",$SG$2="EXISTING"),SUMIFS('Existing Customers'!$U:$U,'Existing Customers'!$H:$H,$SE14,'Existing Customers'!$A:$A,$SF$1)/SUMIFS('Existing Customers'!$Q:$Q,'Existing Customers'!$A:$A,$SF$1,'Existing Customers'!$H:$H,$SE14),SW14),0))</f>
        <v>0</v>
      </c>
      <c r="SN14" s="783" t="e">
        <f>_xlfn.CONCAT('Customer Inputs'!$AH$25,"_",SE14)</f>
        <v>#N/A</v>
      </c>
      <c r="SO14" s="783">
        <f t="array" ref="SO14">IF('Customer Inputs'!$W$25="End",0,IFERROR(INDEX('Margin Guidence Table'!$A$1:$AG$10000,MATCH(1,('Margin Guidence Table'!$A$1:$A$10000=SN14)*('Margin Guidence Table'!$I$1:$I$10000&lt;=ROUND($SF$3,0))*('Margin Guidence Table'!$J$1:$J$10000&gt;=ROUND($SF$3,0)),0),MATCH("DATA_POINTS",'Margin Guidence Table'!$A$1:$AG$1,0)),0))</f>
        <v>0</v>
      </c>
      <c r="SP14" s="780" t="str">
        <f>IF(SO14&gt;15,"SEGMENT","DEFAULT")</f>
        <v>DEFAULT</v>
      </c>
      <c r="SQ14" s="780">
        <f t="array" ref="SQ14">IF('Customer Inputs'!$W$25="End",0,IFERROR(IF($SP14="SEGMENT",INDEX('Margin Guidence Table'!$A$1:$AG$10000,MATCH(1,('Margin Guidence Table'!$A$1:$A$10000=SN14)*('Margin Guidence Table'!$I$1:$I$10000&lt;=ROUND($SF$3,0))*('Margin Guidence Table'!$J$1:$J$10000&gt;=ROUND($SF$3,0)),0),MATCH("SALES_CASE",'Margin Guidence Table'!$A$1:$AG$1,0)),INDEX('Margin Guidence Table'!$A$1:$AG$10000,MATCH(1,('Margin Guidence Table'!$A$1:$A$10000=SN14)*('Margin Guidence Table'!$I$1:$I$10000&lt;=ROUND($SF$3,0))*('Margin Guidence Table'!$J$1:$J$10000&gt;=ROUND($SF$3,0)),0),MATCH("DEFAULT_SALES_CASE",'Margin Guidence Table'!$A$1:$AG$1,0))),0))</f>
        <v>0</v>
      </c>
      <c r="SR14" s="780">
        <f t="array" ref="SR14">IF('Customer Inputs'!$W$25="End",0,IFERROR(IF($SP14="SEGMENT",INDEX('Margin Guidence Table'!$A$1:$AG$10000,MATCH(1,('Margin Guidence Table'!$A$1:$A$10000=SN14)*('Margin Guidence Table'!$I$1:$I$10000&lt;=ROUND($SF$3,0))*('Margin Guidence Table'!$J$1:$J$10000&gt;=ROUND($SF$3,0)),0),MATCH("SALES_LBS",'Margin Guidence Table'!$A$1:$AG$1,0)),INDEX('Margin Guidence Table'!$A$1:$AG$10000,MATCH(1,('Margin Guidence Table'!$A$1:$A$10000=SN14)*('Margin Guidence Table'!$I$1:$I$10000&lt;=ROUND($SF$3,0))*('Margin Guidence Table'!$J$1:$J$10000&gt;=ROUND($SF$3,0)),0),MATCH("DEFAULT_SALES_LBS",'Margin Guidence Table'!$A$1:$AG$1,0))),0))</f>
        <v>0</v>
      </c>
      <c r="SS14" s="784">
        <f t="array" ref="SS14">IF('Customer Inputs'!$W$25="End",0,IFERROR(IF($SP14="SEGMENT",INDEX('Margin Guidence Table'!$A$1:$AG$10000,MATCH(1,('Margin Guidence Table'!$A$1:$A$10000=SN14)*('Margin Guidence Table'!$I$1:$I$10000&lt;=ROUND($SF$3,0))*('Margin Guidence Table'!$J$1:$J$10000&gt;=ROUND($SF$3,0)),0),MATCH("MDA_MIN_MARGIN_GUIDENCE",'Margin Guidence Table'!$A$1:$AG$1,0)),INDEX('Margin Guidence Table'!$A$1:$AG$10000,MATCH(1,('Margin Guidence Table'!$A$1:$A$10000=SN14)*('Margin Guidence Table'!$I$1:$I$10000&lt;=ROUND($SF$3,0))*('Margin Guidence Table'!$J$1:$J$10000&gt;=ROUND($SF$3,0)),0),MATCH("DEFAULT_MDA_MIN_MARGIN_GUIDENCE",'Margin Guidence Table'!$A$1:$AG$1,0))),0))</f>
        <v>0</v>
      </c>
      <c r="ST14" s="784">
        <f t="array" ref="ST14">IF('Customer Inputs'!$W$25="End",0,IFERROR(IF($SP14="SEGMENT",INDEX('Margin Guidence Table'!$A$1:$AG$10000,MATCH(1,('Margin Guidence Table'!$A$1:$A$10000=SN14)*('Margin Guidence Table'!$I$1:$I$10000&lt;=ROUND($SF$3,0))*('Margin Guidence Table'!$J$1:$J$10000&gt;=ROUND($SF$3,0)),0),MATCH("MDA_MEDIAN_MARGIN_GUIDENCE",'Margin Guidence Table'!$A$1:$AG$1,0)),INDEX('Margin Guidence Table'!$A$1:$AG$10000,MATCH(1,('Margin Guidence Table'!$A$1:$A$10000=SN14)*('Margin Guidence Table'!$I$1:$I$10000&lt;=ROUND($SF$3,0))*('Margin Guidence Table'!$J$1:$J$10000&gt;=ROUND($SF$3,0)),0),MATCH("DEFAULT_MDA_MEDIAN_MARGIN_GUIDENCE",'Margin Guidence Table'!$A$1:$AG$1,0))),0))</f>
        <v>0</v>
      </c>
      <c r="SU14" s="784">
        <f t="array" ref="SU14">IF('Customer Inputs'!$W$25="End",0,IFERROR(IF($SP14="SEGMENT",INDEX('Margin Guidence Table'!$A$1:$AG$10000,MATCH(1,('Margin Guidence Table'!$A$1:$A$10000=SN14)*('Margin Guidence Table'!$I$1:$I$10000&lt;=ROUND($SF$3,0))*('Margin Guidence Table'!$J$1:$J$10000&gt;=ROUND($SF$3,0)),0),MATCH("MDA_MAX_MARGIN_GUIDENCE",'Margin Guidence Table'!$A$1:$AG$1,0)),INDEX('Margin Guidence Table'!$A$1:$AG$10000,MATCH(1,('Margin Guidence Table'!$A$1:$A$10000=SN14)*('Margin Guidence Table'!$I$1:$I$10000&lt;=ROUND($SF$3,0))*('Margin Guidence Table'!$J$1:$J$10000&gt;=ROUND($SF$3,0)),0),MATCH("DEFAULT_MDA_MAX_MARGIN_GUIDENCE",'Margin Guidence Table'!$A$1:$AG$1,0))),0))</f>
        <v>0</v>
      </c>
      <c r="SV14" s="784">
        <f t="array" ref="SV14">IF('Customer Inputs'!$W$25="End",0,IFERROR(IF($SP14="SEGMENT",INDEX('Margin Guidence Table'!$A$1:$AG$10000,MATCH(1,('Margin Guidence Table'!$A$1:$A$10000=SN14)*('Margin Guidence Table'!$I$1:$I$10000&lt;=ROUND($SF$3,0))*('Margin Guidence Table'!$J$1:$J$10000&gt;=ROUND($SF$3,0)),0),MATCH("PA_PCT_SALES",'Margin Guidence Table'!$A$1:$AG$1,0)),INDEX('Margin Guidence Table'!$A$1:$AG$10000,MATCH(1,('Margin Guidence Table'!$A$1:$A$10000=SN14)*('Margin Guidence Table'!$I$1:$I$10000&lt;=ROUND($SF$3,0))*('Margin Guidence Table'!$J$1:$J$10000&gt;=ROUND($SF$3,0)),0),MATCH("DEFAULT_PA_PCT_SALES",'Margin Guidence Table'!$A$1:$AG$1,0))),0))</f>
        <v>0</v>
      </c>
      <c r="SW14" s="784">
        <f t="array" ref="SW14">IF('Customer Inputs'!$W$25="End",0,IFERROR(IF($SP14="SEGMENT",INDEX('Margin Guidence Table'!$A$1:$AG$10000,MATCH(1,('Margin Guidence Table'!$A$1:$A$10000=SN14)*('Margin Guidence Table'!$I$1:$I$10000&lt;=ROUND($SF$3,0))*('Margin Guidence Table'!$J$1:$J$10000&gt;=ROUND($SF$3,0)),0),MATCH("SELF_FUND_PCT_SALES",'Margin Guidence Table'!$A$1:$AG$1,0)),INDEX('Margin Guidence Table'!$A$1:$AG$10000,MATCH(1,('Margin Guidence Table'!$A$1:$A$10000=SN14)*('Margin Guidence Table'!$I$1:$I$10000&lt;=ROUND($SF$3,0))*('Margin Guidence Table'!$J$1:$J$10000&gt;=ROUND($SF$3,0)),0),MATCH("DEFAULT_SELF_FUND_PCT_SALES",'Margin Guidence Table'!$A$1:$AG$1,0))),0))</f>
        <v>0</v>
      </c>
      <c r="SX14" s="784">
        <f t="array" ref="SX14">IF('Customer Inputs'!$W$25="End",0,IF($SG$2="Existing",IFERROR(SUMIFS('Existing Customers'!$V:$V,'Existing Customers'!$H:$H,$SE14,'Existing Customers'!$A:$A,$SF$1)/SUMIFS('Existing Customers'!$Q:$Q,'Existing Customers'!$H:$H,$SE14,'Existing Customers'!$A:$A,$SF$1),0),IFERROR(IF($SP14="SEGMENT",INDEX('Margin Guidence Table'!$A$1:$AG$10000,MATCH(1,('Margin Guidence Table'!$A$1:$A$10000=SN14)*('Margin Guidence Table'!$I$1:$I$10000&lt;=ROUND($SF$3,0))*('Margin Guidence Table'!$J$1:$J$10000&gt;=ROUND($SF$3,0)),0),MATCH("CIA_MEDIAN_MARGIN_GUIDENCE",'Margin Guidence Table'!$A$1:$AG$1,0)),INDEX('Margin Guidence Table'!$A$1:$AG$10000,MATCH(1,('Margin Guidence Table'!$A$1:$A$10000=SN14)*('Margin Guidence Table'!$I$1:$I$10000&lt;=ROUND($SF$3,0))*('Margin Guidence Table'!$J$1:$J$10000&gt;=ROUND($SF$3,0)),0),MATCH("DEFAULT_CIA_MEDIAN_MARGIN_GUIDENCE",'Margin Guidence Table'!$A$1:$AG$1,0))),0)))</f>
        <v>0</v>
      </c>
      <c r="SY14" s="784"/>
      <c r="SZ14" s="1705"/>
      <c r="TA14" s="99" t="s">
        <v>99</v>
      </c>
      <c r="TB14" s="91"/>
      <c r="TC14" s="86"/>
      <c r="TD14" s="92"/>
      <c r="TE14" s="92"/>
      <c r="TF14" s="303"/>
      <c r="TG14" s="93"/>
      <c r="TH14" s="126"/>
      <c r="TI14" s="1705"/>
      <c r="TJ14" s="99" t="s">
        <v>99</v>
      </c>
      <c r="TK14" s="91"/>
      <c r="TL14" s="86"/>
      <c r="TM14" s="92"/>
      <c r="TN14" s="92"/>
      <c r="TO14" s="303"/>
      <c r="TP14" s="93"/>
      <c r="TQ14" s="1705"/>
      <c r="TR14" s="1705"/>
    </row>
    <row r="15" spans="1:538" ht="15.75" thickBot="1" x14ac:dyDescent="0.3">
      <c r="A15" s="1705"/>
      <c r="B15" s="99" t="s">
        <v>103</v>
      </c>
      <c r="C15" s="346">
        <f t="shared" ref="C15:C34" si="0">($BK15+$CH15+$DE15+$EB15+$EY15+$FV15+$GS15+$HP15+$IM15+$JJ15+$KG15+$LD15+$MA15+$MX15+$NU15+$OR15+$PO15+$QL15+$RI15+$SF15)</f>
        <v>0</v>
      </c>
      <c r="D15" s="358">
        <f t="shared" ref="D15:D34" si="1">($BL15+$CI15+$DF15+$EC15+$EZ15+$FW15+$GT15+$HQ15+$IN15+$JK15+$KH15+$LE15+$MB15+$MY15+$NV15+$OS15+$PP15+$QM15+$RJ15+$SG15)</f>
        <v>0</v>
      </c>
      <c r="E15" s="358">
        <f t="shared" ref="E15:E34" si="2">($BM15+$CJ15+$DG15+$ED15+$FA15+$FX15+$GU15+$HR15+$IO15+$JL15+$KI15+$LF15+$MC15+$MZ15+$NW15+$OT15+$PQ15+$QN15+$RK15+$SH15)</f>
        <v>0</v>
      </c>
      <c r="F15" s="358">
        <f t="shared" ref="F15:F34" si="3">($BN15+$CK15+$DH15+$EE15+$FB15+$FY15+$GV15+$HS15+$IP15+$JM15+$KJ15+$LG15+$MD15+$NA15+$NX15+$OU15+$PR15+$QO15+$RL15+$SI15)</f>
        <v>0</v>
      </c>
      <c r="G15" s="1428">
        <f t="shared" ref="G15:G34" si="4">$BV15+$CS15+$DP15+$EM15+$FJ15+$GG15+$HD15+$IA15+$IX15+$JU15+$KR15+$LO15+$ML15+$NI15+$OF15+$PC15+$PZ15+$QW15+$RT15+$SQ15</f>
        <v>0</v>
      </c>
      <c r="H15" s="1428">
        <f t="shared" ref="H15:H34" si="5">$BW15+$CT15+$DQ15+$EN15+$FK15+$GH15+$HE15+$IB15+$IY15+$JV15+$KS15+$LP15+$MM15+$NJ15+$OG15+$PD15+$QA15+$QX15+$RU15+$SR15</f>
        <v>0</v>
      </c>
      <c r="I15" s="359">
        <f t="shared" ref="I15:I34" si="6">($BO15+$CL15+$DI15+$EF15+$FC15+$FZ15+$GW15+$HT15+$IQ15+$JN15+$KK15+$LH15+$ME15+$NB15+$NY15+$OV15+$PS15+$QP15+$RM15+$SJ15)</f>
        <v>0</v>
      </c>
      <c r="J15" s="358">
        <f t="shared" ref="J15:J34" si="7">($BP15+$CM15+$DJ15+$EG15+$FD15+$GA15+$GX15+$HU15+$IR15+$JO15+$KL15+$LI15+$MF15+$NC15+$NZ15+$OW15+$PT15+$QQ15+$RN15+$SK15)</f>
        <v>0</v>
      </c>
      <c r="K15" s="778">
        <f t="shared" ref="K15:K34" si="8">IF(C15&gt;0,IFERROR(ROUND(SUM($BK15*BX15+$CH15*CU15+$DE15*DR15+$EB15*EO15+$EY15*FL15+$FV15*GI15+$GS15*HF15+$HP15*IC15+$IM15*IZ15+$JJ15*JW15+$KG15*KT15+$LD15*LQ15+$MA15*MN15+$MX15*NK15+$NU15*OH15+$OR15*PE15+$PO15*QB15+$QL15*QY15+$RI15*RV15+$SF15*SS15)/$C15,2),0),IFERROR(ROUND(SUM($BK$3*BX15+$CH$3*CU15+$DE$3*DR15+$EB$3*EO15+$EY$3*FL15+$FV$3*GI15+$GS$3*HF15+$HP$3*IC15+$IM$3*IZ15+$JJ$3*JW15+$KG$3*KT15+$LD$3*LQ15+$MA$3*MN15+$MX$3*NK15+$NU$3*OH15+$OR$3*PE15+$PO$3*QB15+$QL$3*QY15+$RI$3*RV15+$SF$3*SS15)/$C$35,2),0))</f>
        <v>0</v>
      </c>
      <c r="L15" s="778">
        <f t="shared" ref="L15:L34" si="9">IF(C15&gt;0,IFERROR(ROUND(SUM($BK15*BY15+$CH15*CV15+$DE15*DS15+$EB15*EP15+$EY15*FM15+$FV15*GJ15+$GS15*HG15+$HP15*ID15+$IM15*JA15+$JJ15*JX15+$KG15*KU15+$LD15*LR15+$MA15*MO15+$MX15*NL15+$NU15*OI15+$OR15*PF15+$PO15*QC15+$QL15*QZ15+$RI15*RW15+$SF15*ST15)/$C15,2),0),IFERROR(ROUND(SUM($BK$3*BY15+$CH$3*CV15+$DE$3*DS15+$EB$3*EP15+$EY$3*FM15+$FV$3*GJ15+$GS$3*HG15+$HP$3*ID15+$IM$3*JA15+$JJ$3*JX15+$KG$3*KU15+$LD$3*LR15+$MA$3*MO15+$MX$3*NL15+$NU$3*OI15+$OR$3*PF15+$PO$3*QC15+$QL$3*QZ15+$RI$3*RW15+$SF$3*ST15)/$C$35,2),0))</f>
        <v>0</v>
      </c>
      <c r="M15" s="778">
        <f t="shared" ref="M15:M34" si="10">IF(C15&gt;0,IFERROR(ROUND(SUM($BK15*BZ15+$CH15*CW15+$DE15*DT15+$EB15*EQ15+$EY15*FN15+$FV15*GK15+$GS15*HH15+$HP15*IE15+$IM15*JB15+$JJ15*JY15+$KG15*KV15+$LD15*LS15+$MA15*MP15+$MX15*NM15+$NU15*OJ15+$OR15*PG15+$PO15*QD15+$QL15*RA15+$RI15*RX15+$SF15*SU15)/$C15,2),0),IFERROR(ROUND(SUM($BK$3*BZ15+$CH$3*CW15+$DE$3*DT15+$EB$3*EQ15+$EY$3*FN15+$FV$3*GK15+$GS$3*HH15+$HP$3*IE15+$IM$3*JB15+$JJ$3*JY15+$KG$3*KV15+$LD$3*LS15+$MA$3*MP15+$MX$3*NM15+$NU$3*OJ15+$OR$3*PG15+$PO$3*QD15+$QL$3*RA15+$RI$3*RX15+$SF$3*SU15)/$C$35,2),0))</f>
        <v>0</v>
      </c>
      <c r="N15" s="1428">
        <f>IF('PIM Model'!D11="$/CS",IFERROR(ROUND(SUM(BX15*$BV$35+CU15*$CS$35+DR15*$DP$35+EO15*$EM$35+FL15*$FJ$35+GI15*$GG$35+HF15*$HD$35+IC15*$IA$35+IZ15*$IX$35+JW15*$JU$35+KT15*$KR$35+LQ15*$LO$35+MN15*$ML$35+NK15*$NI$35+OH15*$OF$35+PE15*$PC$35+QB15*$PZ$35+QY15*$QW$35+RV15*$RT$35+SS15*$SQ$35)/$G$35,2),0),IF('PIM Model'!D11="$/LB",IFERROR(ROUND(SUM(BX15*$BW$35+CU15*$CT$35+DR15*$DQ$35+EO15*$EN$35+FL15*$FK$35+GI15*$GH$35+HF15*$HE$35+IC15*$IB$35+IZ15*$IY$35+JW15*$JV$35+KT15*$KS$35+LQ15*$LP$35+MN15*$MM$35+NK15*$NJ$35+OH15*$OG$35+PE15*$PD$35+QB15*$QA$35+QY15*$QX$35+RV15*$RU$35+SS15*$SR$35)/$H$35,2),0),0))</f>
        <v>0</v>
      </c>
      <c r="O15" s="1428">
        <f>IF('PIM Model'!D11="$/CS",IFERROR(ROUND(SUM(BY15*$BV$35+CV15*$CS$35+DS15*$DP$35+EP15*$EM$35+FM15*$FJ$35+GJ15*$GG$35+HG15*$HD$35+ID15*$IA$35+JA15*$IX$35+JX15*$JU$35+KU15*$KR$35+LR15*$LO$35+MO15*$ML$35+NL15*$NI$35+OI15*$OF$35+PF15*$PC$35+QC15*$PZ$35+QZ15*$QW$35+RW15*$RT$35+ST15*$SQ$35)/$G$35,2),0),IF('PIM Model'!D11="$/LB",IFERROR(ROUND(SUM(BY15*$BW$35+CV15*$CT$35+DS15*$DQ$35+EP15*$EN$35+FM15*$FK$35+GJ15*$GH$35+HG15*$HE$35+ID15*$IB$35+JA15*$IY$35+JX15*$JV$35+KU15*$KS$35+LR15*$LP$35+MO15*$MM$35+NL15*$NJ$35+OI15*$OG$35+PF15*$PD$35+QC15*$QA$35+QZ15*$QX$35+RW15*$RU$35+ST15*$SR$35)/$H$35,2),0),0))</f>
        <v>0</v>
      </c>
      <c r="P15" s="1428">
        <f>IF('PIM Model'!D11="$/CS",IFERROR(ROUND(SUM(BZ15*$BV$35+CW15*$CS$35+DT15*$DP$35+EQ15*$EM$35+FN15*$FJ$35+GK15*$GG$35+HH15*$HD$35+IE15*$IA$35+JB15*$IX$35+JY15*$JU$35+KV15*$KR$35+LS15*$LO$35+MP15*$ML$35+NM15*$NI$35+OJ15*$OF$35+PG15*$PC$35+QD15*$PZ$35+RA15*$QW$35+RX15*$RT$35+SU15*$SQ$35)/$G$35,2),0),IF('PIM Model'!D11="$/LB",IFERROR(ROUND(SUM(BZ15*$BW$35+CW15*$CT$35+DT15*$DQ$35+EQ15*$EN$35+FN15*$FK$35+GK15*$GH$35+HH15*$HE$35+IE15*$IB$35+JB15*$IY$35+JY15*$JV$35+KV15*$KS$35+LS15*$LP$35+MP15*$MM$35+NM15*$NJ$35+OJ15*$OG$35+PG15*$PD$35+QD15*$QA$35+RA15*$QX$35+RX15*$RU$35+SU15*$SR$35)/$H$35,2),0),0))</f>
        <v>0</v>
      </c>
      <c r="Q15" s="358">
        <f t="shared" ref="Q15:Q35" si="11">IF(C15&gt;0,IFERROR(SUM(BH15*BK15,CE15*CH15,DB15*DE15,DY15*EB15,EV15*EY15,FS15*FV15,GP15*GS15,HM15*HP15,IJ15*IM15,JG15*JJ15,KD15*KG15,LA15*LD15,LX15*MA15,MU15*MX15,NR15*NU15,OO15*OR15,PL15*PO15,QI15*QL15,RF15*RI15,SC15*SF15)/C15,0),IFERROR(SUM($BH15*$BK$3,$CE15*$CH$3,$DB15*$DE$3,$DY15*$EB$3,$EV15*$EY$3,$FS15*$FV$3,$GP15*$GS$3,$HM15*$HP$3,$IJ15*$IM$3,$PL15*$PO$3,$KD15*$KG$3,$LA15*$LD$3,$LX15*$MA$3,$MU15*$MX$3,$NR15*$NU$3,$OO15*$OR$3,$QI15*$QL$3,$RF15*$RI$3,$SC15*$SF$3)/$C$35,0))</f>
        <v>0</v>
      </c>
      <c r="R15" s="358">
        <f t="shared" ref="R15:R35" si="12">IFERROR(Q15/$Q$35,0)</f>
        <v>0</v>
      </c>
      <c r="S15" s="779">
        <f t="shared" ref="S15:S35" si="13">IF(C15&gt;0,IFERROR(ROUND(SUM($BK15*CC15+$CH15*CZ15+$DE15*DW15+$EB15*ET15+$EY15*FQ15+$FV15*GN15+$GS15*HK15+$HP15*IH15+$IM15*JE15+$JJ15*KB15,+$KG15*KY15+$LD15*LV15+$MA15*MS15+$MX15*NP15+$NU15*OM15+$OR15*PJ15+$PO15*QG15+$QL15*RD15+$RI15*SA15+$SF15*SX15)/$C15,2),0),IFERROR(ROUND(SUM($BK$3*CC15+$CH$3*CZ15+$DE$3*DW15+$EB$3*ET15+$EY$3*FQ15+$FV$3*GN15+$GS$3*HK15+$HP$3*IH15+$IM$3*JE15+$JJ$3*KB15+$KG$3*KY15+$LD$3*LV15+$MA$3*MS15+$MX$3*NP15+$MU$3*OM15+$OR$3*PJ15+$PO$3*QG15+$QL$3*RD15+$RI$3*SA15+$SF$3*SX15)/$C$35,2),0))</f>
        <v>0</v>
      </c>
      <c r="T15" s="779">
        <f t="shared" ref="T15:T34" si="14">IFERROR(((BQ15*BK15)+(CN15*CH15)+(DK15*DE15)+(EH15*EB15)+(FE15*EY15)+(GB15*FV15)+(GY15*GS15)+(HV15*HP15)+(IS15*IM15)+(JP15*JJ15)+(KM15*KG15)+(LJ15*LD15)+(MG15*MA15)+(ND15*MX15)+(OA15*NU15)+(OX15*OR15)+(PU15*PO15)+(QR15*QL15)+(RO15*RI15)+(SL15*SF15))/C15,0)</f>
        <v>0</v>
      </c>
      <c r="U15" s="779">
        <f t="shared" ref="U15:U34" si="15">IFERROR(((CA15*$BK$3)+(CX15*$CH$3)+(DU15*$DE$3)+(ER15*$EB$3)+(FO15*$EY$3)+(GL15*$FV$3)+(HI15*$GS$3)+(IF15*$HP$3)+(JC15*$IM$3)+(JZ15*$JJ$3)+(KW15*$KG$3)+(LT15*$LD$3)+(MQ15*$MA$3)+(NN15*$MX$3)+(OK15*$NU$3)+(PH15*$OR$3)+(QE15*$PO$3)+(RB15*$QL$3)+(RY15*$RI$3)+(SV15*$SF$3))/$C$35,0)</f>
        <v>0</v>
      </c>
      <c r="V15" s="779">
        <f t="shared" ref="V15:V34" si="16">IFERROR(((BR15*BK15)+(CO15*CH15)+(DL15*DE15)+(EI15*EB15)+(FF15*EY15)+(GC15*FV15)+(GZ15*GS15)+(HW15*HP15)+(IT15*IM15)+(JQ15*JJ15)+(KN15*KG15)+(LK15*LD15)+(MH15*MA15)+(NE15*MX15)+(OB15*NU15)+(OY15*OR15)+(PV15*PO15)+(QS15*QL15)+(RP15*RI15)+(SM15*SF15))/C15,0)</f>
        <v>0</v>
      </c>
      <c r="W15" s="779">
        <f t="shared" ref="W15:W34" si="17">IFERROR(((CB15*$BK$3)+(CY15*$CH$3)+(DV15*$DE$3)+(ES15*$EB$3)+(FP15*$EY$3)+(GM15*$FV$3)+(HJ15*$GS$3)+(IG15*$HP$3)+(JD15*$IM$3)+(KA15*$JJ$3)+(KX15*$KG$3)+(LU15*$LD$3)+(MR15*$MA$3)+(NO15*$MX$3)+(OL15*$NU$3)+(PI15*$OR$3)+(QF15*$PO$3)+(RC15*$QL$3)+(RZ15*$RI$3)+(SW15*$SF$3))/$C$35,0)</f>
        <v>0</v>
      </c>
      <c r="X15" s="1705"/>
      <c r="Y15" s="1705" t="str">
        <f>'PIM Model'!E11</f>
        <v>INCLUDE</v>
      </c>
      <c r="Z15" s="1705">
        <f t="shared" ref="Z15:Z34" si="18">IFERROR(AC15/$AC$35,0)</f>
        <v>0</v>
      </c>
      <c r="AA15" s="1705">
        <f t="shared" ref="AA15:AA34" si="19">IF(Y15="Include",Z15,0)</f>
        <v>0</v>
      </c>
      <c r="AB15" s="99" t="s">
        <v>103</v>
      </c>
      <c r="AC15" s="107">
        <f t="shared" ref="AC15:AC34" si="20">($BK15+$CH15+$DE15+$EB15+$EY15+$FV15+$GS15+$HP15+$IM15+$JJ15+$KG15+$LD15+$MA15+$MX15+$NU15+$OR15+$PO15+$QL15+$RI15+$SF15)*(1+($AE$1/$AE$5))</f>
        <v>0</v>
      </c>
      <c r="AD15" s="108">
        <f t="shared" ref="AD15:AD34" si="21">($BL15+$CI15+$DF15+$EC15+$EZ15+$FW15+$GT15+$HQ15+$IN15+$JK15+$KH15+$LE15+$MB15+$MY15+$NV15+$OS15+$PP15+$QM15+$RJ15+$SG15)*(1+($AE$1/$AE$5))</f>
        <v>0</v>
      </c>
      <c r="AE15" s="108">
        <f t="shared" ref="AE15:AE34" si="22">($BM15+$CJ15+$DG15+$ED15+$FA15+$FX15+$GU15+$HR15+$IO15+$JL15+$KI15+$LF15+$MC15+$MZ15+$NW15+$OT15+$PQ15+$QN15+$RK15+$SH15)*(1+($AE$1/$AE$5))</f>
        <v>0</v>
      </c>
      <c r="AF15" s="108">
        <f t="shared" ref="AF15:AF34" si="23">($BN15+$CK15+$DH15+$EE15+$FB15+$FY15+$GV15+$HS15+$IP15+$JM15+$KJ15+$LG15+$MD15+$NA15+$NX15+$OU15+$PR15+$QO15+$RL15+$SI15)*(1+($AE$1/$AE$5))</f>
        <v>0</v>
      </c>
      <c r="AG15" s="110">
        <f t="shared" ref="AG15:AG34" si="24">($BO15+$CL15+$DI15+$EF15+$FC15+$FZ15+$GW15+$HT15+$IQ15+$JN15+$KK15+$LH15+$ME15+$NB15+$NY15+$OV15+$PS15+$QP15+$RM15+$SJ15)*(1+($AE$1/$AE$5))</f>
        <v>0</v>
      </c>
      <c r="AH15" s="114">
        <f t="shared" ref="AH15:AH34" si="25">IFERROR(AG15/AC15,0)</f>
        <v>0</v>
      </c>
      <c r="AI15" s="301"/>
      <c r="AJ15" s="99" t="s">
        <v>103</v>
      </c>
      <c r="AK15" s="346">
        <f t="shared" ref="AK15:AM34" si="26">SUMIFS($BK15:$SK15,$BK$12:$SK$12,AK$12)</f>
        <v>0</v>
      </c>
      <c r="AL15" s="347">
        <f t="shared" si="26"/>
        <v>0</v>
      </c>
      <c r="AM15" s="347">
        <f t="shared" si="26"/>
        <v>0</v>
      </c>
      <c r="AN15" s="350">
        <f t="shared" ref="AN15:AN34" si="27">IFERROR(AL15/AK15,0)</f>
        <v>0</v>
      </c>
      <c r="AO15" s="351">
        <f t="shared" ref="AO15:AO34" si="28">IFERROR(AM15/AK15,0)</f>
        <v>0</v>
      </c>
      <c r="AP15" s="301"/>
      <c r="AQ15" s="99" t="s">
        <v>103</v>
      </c>
      <c r="AR15" s="346">
        <f t="shared" ref="AR15:AR34" si="29">SUMIFS($BK15:$SK15,$BK$12:$SK$12,AR$12)</f>
        <v>0</v>
      </c>
      <c r="AS15" s="347">
        <f t="shared" ref="AS15:AS34" si="30">AW15*AR15</f>
        <v>0</v>
      </c>
      <c r="AT15" s="351"/>
      <c r="AU15" s="301"/>
      <c r="AV15" s="1708" t="str">
        <f>IF('PIM Ranges'!$AK13='PIM Ranges'!$AY$11,IF($AR15&lt;'PIM Ranges'!$AZ$11,"Q1",IF($AR15&lt;'PIM Ranges'!$BA$11,"Q2",IF($AR15&lt;'PIM Ranges'!$BB$11,"Q3",IF($AR15&lt;'PIM Ranges'!$BC$11,"Q4","Q5")))),IF('PIM Ranges'!$AK13='PIM Ranges'!$AY$12,IF($AR15&lt;'PIM Ranges'!$AZ$12,"Q1",IF($AR15&lt;'PIM Ranges'!$BA$12,"Q2",IF($AR15&lt;'PIM Ranges'!$BB$12,"Q3",IF($AR15&lt;'PIM Ranges'!$BC$12,"Q4","Q5")))),IF('PIM Ranges'!$AK13='PIM Ranges'!$AY$13,IF($AR15&lt;'PIM Ranges'!$AZ$13,"Q1",IF($AR15&lt;'PIM Ranges'!$BA$13,"Q2",IF($AR15&lt;'PIM Ranges'!$BB$13,"Q3",IF($AR15&lt;'PIM Ranges'!$BC$13,"Q4","Q5")))),IF('PIM Ranges'!$AK13='PIM Ranges'!$AY$14,IF($AR15&lt;'PIM Ranges'!$AZ$14,"Q1",IF($AR15&lt;'PIM Ranges'!$BA$14,"Q2",IF($AR15&lt;'PIM Ranges'!$BB$14,"Q3",IF($AR15&lt;'PIM Ranges'!$BC$14,"Q4","Q5")))),IF('PIM Ranges'!$AK13='PIM Ranges'!$AY$15,IF($AR15&lt;'PIM Ranges'!$AZ$15,"Q1",IF($AR15&lt;'PIM Ranges'!$BA$15,"Q2",IF($AR15&lt;'PIM Ranges'!$BB$15,"Q3",IF($AR15&lt;'PIM Ranges'!$BC$15,"Q4","Q5")))),IF('PIM Ranges'!$AK13='PIM Ranges'!$AY$16,IF($AR15&lt;'PIM Ranges'!$AZ$16,"Q1",IF($AR15&lt;'PIM Ranges'!$BA$16,"Q2",IF($AR15&lt;'PIM Ranges'!$BB$16,"Q3",IF($AR15&lt;'PIM Ranges'!$BC$16,"Q4","Q5")))),IF('PIM Ranges'!$AK13='PIM Ranges'!$AY$17,IF($AR15&lt;'PIM Ranges'!$AZ$17,"Q1",IF($AR15&lt;'PIM Ranges'!$BA$17,"Q2",IF($AR15&lt;'PIM Ranges'!$BB$17,"Q3",IF($AR15&lt;'PIM Ranges'!$BC$17,"Q4","Q5")))),IF('PIM Ranges'!$AK13='PIM Ranges'!$AY$18,IF($AR15&lt;'PIM Ranges'!$AZ$18,"Q1",IF($AR15&lt;'PIM Ranges'!$BA$18,"Q2",IF($AR15&lt;'PIM Ranges'!$BB$18,"Q3",IF($AR15&lt;'PIM Ranges'!$BC$18,"Q4","Q5")))),IF('PIM Ranges'!$AK13='PIM Ranges'!$AY$19,IF($AR15&lt;'PIM Ranges'!$AZ$19,"Q1",IF($AR15&lt;'PIM Ranges'!$BA$19,"Q2",IF($AR15&lt;'PIM Ranges'!$BB$19,"Q3",IF($AR15&lt;'PIM Ranges'!$BC$19,"Q4","Q5")))),IF('PIM Ranges'!$AK13='PIM Ranges'!$AY$20,IF($AR15&lt;'PIM Ranges'!$AZ$20,"Q1",IF($AR15&lt;'PIM Ranges'!$BA$20,"Q2",IF($AR15&lt;'PIM Ranges'!$BB$20,"Q3",IF($AR15&lt;'PIM Ranges'!$BC$20,"Q4","Q5")))),IF('PIM Ranges'!$AK13='PIM Ranges'!$AY$21,IF($AR15&lt;'PIM Ranges'!$AZ$21,"Q1",IF($AR15&lt;'PIM Ranges'!$BA$21,"Q2",IF($AR15&lt;'PIM Ranges'!$BB$21,"Q3",IF($AR15&lt;'PIM Ranges'!$BC$21,"Q4","Q5")))),IF('PIM Ranges'!$AK13='PIM Ranges'!$AY$22,IF($AR15&lt;'PIM Ranges'!$AZ$22,"Q1",IF($AR15&lt;'PIM Ranges'!$BA$22,"Q2",IF($AR15&lt;'PIM Ranges'!$BB$22,"Q3",IF($AR15&lt;'PIM Ranges'!$BC$22,"Q4","Q5")))),IF('PIM Ranges'!$AK13='PIM Ranges'!$AY$23,IF($AR15&lt;'PIM Ranges'!$AZ$23,"Q1",IF($AR15&lt;'PIM Ranges'!$BA$23,"Q2",IF($AR15&lt;'PIM Ranges'!$BB$23,"Q3",IF($AR15&lt;'PIM Ranges'!$BC$23,"Q4","Q5")))),IF('PIM Ranges'!$AK13='PIM Ranges'!$AY$24,IF($AR15&lt;'PIM Ranges'!$AZ$24,"Q1",IF($AR15&lt;'PIM Ranges'!$BA$24,"Q2",IF($AR15&lt;'PIM Ranges'!$BB$24,"Q3",IF($AR15&lt;'PIM Ranges'!$BC$24,"Q4","Q5")))),IF('PIM Ranges'!$AK13='PIM Ranges'!$AY$25,IF($AR15&lt;'PIM Ranges'!$AZ$25,"Q1",IF($AR15&lt;'PIM Ranges'!$BA$25,"Q2",IF($AR15&lt;'PIM Ranges'!$BB$25,"Q3",IF($AR15&lt;'PIM Ranges'!$BC$25,"Q4","Q5")))),IF('PIM Ranges'!$AK13='PIM Ranges'!$AY$26,IF($AR15&lt;'PIM Ranges'!$AZ$26,"Q1",IF($AR15&lt;'PIM Ranges'!$BA$26,"Q2",IF($AR15&lt;'PIM Ranges'!$BB$26,"Q3",IF($AR15&lt;'PIM Ranges'!$BC$26,"Q4","Q5")))),IF('PIM Ranges'!$AK13='PIM Ranges'!$AY$27,IF($AR15&lt;'PIM Ranges'!$AZ$27,"Q1",IF($AR15&lt;'PIM Ranges'!$BA$27,"Q2",IF($AR15&lt;'PIM Ranges'!$BB$27,"Q3",IF($AR15&lt;'PIM Ranges'!$BC$27,"Q4","Q5")))),IF('PIM Ranges'!$AK13='PIM Ranges'!$AY$28,IF($AR15&lt;'PIM Ranges'!$AZ$28,"Q1",IF($AR15&lt;'PIM Ranges'!$BA$28,"Q2",IF($AR15&lt;'PIM Ranges'!$BB$28,"Q3",IF($AR15&lt;'PIM Ranges'!$BC$28,"Q4","Q5")))),IF('PIM Ranges'!$AK13='PIM Ranges'!$AY$29,IF($AR15&lt;'PIM Ranges'!$AZ$29,"Q1",IF($AR15&lt;'PIM Ranges'!$BA$29,"Q2",IF($AR15&lt;'PIM Ranges'!$BB$29,"Q3",IF($AR15&lt;'PIM Ranges'!$BC$29,"Q4","Q5")))),IF('PIM Ranges'!$AK13='PIM Ranges'!$AY$30,IF($AR15&lt;'PIM Ranges'!$AZ$30,"Q1",IF($AR15&lt;'PIM Ranges'!$BA$30,"Q2",IF($AR15&lt;'PIM Ranges'!$BB$30,"Q3",IF($AR15&lt;'PIM Ranges'!$BC$30,"Q4","Q5")))),IF('PIM Ranges'!$AK13='PIM Ranges'!$AY$31,IF($AR15&lt;'PIM Ranges'!$AZ$31,"Q1",IF($AR15&lt;'PIM Ranges'!$BA$31,"Q2",IF($AR15&lt;'PIM Ranges'!$BB$31,"Q3",IF($AR15&lt;'PIM Ranges'!$BC$31,"Q4","Q5")))),IF('PIM Ranges'!$AK13='PIM Ranges'!$AY$32,IF($AR15&lt;'PIM Ranges'!$AZ$32,"Q1",IF($AR15&lt;'PIM Ranges'!$BA$32,"Q2",IF($AR15&lt;'PIM Ranges'!$BB$32,"Q3",IF($AR15&lt;'PIM Ranges'!$BC$32,"Q4","Q5"))))))))))))))))))))))))))</f>
        <v>Q1</v>
      </c>
      <c r="AW15" s="301">
        <f>VLOOKUP($AQ15&amp;$AV15,'IMargin Quartiles'!$A:$F,6,FALSE)</f>
        <v>0.1</v>
      </c>
      <c r="AX15" s="301"/>
      <c r="AY15" s="1708" t="str">
        <f>IF('PIM Ranges'!$AK13='PIM Ranges'!$AY$11,IF('PIM Ranges'!$AL13&lt;'PIM Ranges'!$AZ$11,"Q1",IF('PIM Ranges'!$AL13&lt;'PIM Ranges'!$BA$11,"Q2",IF('PIM Ranges'!$AL13&lt;'PIM Ranges'!$BB$11,"Q3",IF('PIM Ranges'!$AL13&lt;'PIM Ranges'!$BC$11,"Q4","Q5")))),IF('PIM Ranges'!$AK13='PIM Ranges'!$AY$12,IF('PIM Ranges'!$AL13&lt;'PIM Ranges'!$AZ$12,"Q1",IF('PIM Ranges'!$AL13&lt;'PIM Ranges'!$BA$12,"Q2",IF('PIM Ranges'!$AL13&lt;'PIM Ranges'!$BB$12,"Q3",IF('PIM Ranges'!$AL13&lt;'PIM Ranges'!$BC$12,"Q4","Q5")))),IF('PIM Ranges'!$AK13='PIM Ranges'!$AY$13,IF('PIM Ranges'!$AL13&lt;'PIM Ranges'!$AZ$13,"Q1",IF('PIM Ranges'!$AL13&lt;'PIM Ranges'!$BA$13,"Q2",IF('PIM Ranges'!$AL13&lt;'PIM Ranges'!$BB$13,"Q3",IF('PIM Ranges'!$AL13&lt;'PIM Ranges'!$BC$13,"Q4","Q5")))),IF('PIM Ranges'!$AK13='PIM Ranges'!$AY$14,IF('PIM Ranges'!$AL13&lt;'PIM Ranges'!$AZ$14,"Q1",IF('PIM Ranges'!$AL13&lt;'PIM Ranges'!$BA$14,"Q2",IF('PIM Ranges'!$AL13&lt;'PIM Ranges'!$BB$14,"Q3",IF('PIM Ranges'!$AL13&lt;'PIM Ranges'!$BC$14,"Q4","Q5")))),IF('PIM Ranges'!$AK13='PIM Ranges'!$AY$15,IF('PIM Ranges'!$AL13&lt;'PIM Ranges'!$AZ$15,"Q1",IF('PIM Ranges'!$AL13&lt;'PIM Ranges'!$BA$15,"Q2",IF('PIM Ranges'!$AL13&lt;'PIM Ranges'!$BB$15,"Q3",IF('PIM Ranges'!$AL13&lt;'PIM Ranges'!$BC$15,"Q4","Q5")))),IF('PIM Ranges'!$AK13='PIM Ranges'!$AY$16,IF('PIM Ranges'!$AL13&lt;'PIM Ranges'!$AZ$16,"Q1",IF('PIM Ranges'!$AL13&lt;'PIM Ranges'!$BA$16,"Q2",IF('PIM Ranges'!$AL13&lt;'PIM Ranges'!$BB$16,"Q3",IF('PIM Ranges'!$AL13&lt;'PIM Ranges'!$BC$16,"Q4","Q5")))),IF('PIM Ranges'!$AK13='PIM Ranges'!$AY$17,IF('PIM Ranges'!$AL13&lt;'PIM Ranges'!$AZ$17,"Q1",IF('PIM Ranges'!$AL13&lt;'PIM Ranges'!$BA$17,"Q2",IF('PIM Ranges'!$AL13&lt;'PIM Ranges'!$BB$17,"Q3",IF('PIM Ranges'!$AL13&lt;'PIM Ranges'!$BC$17,"Q4","Q5")))),IF('PIM Ranges'!$AK13='PIM Ranges'!$AY$18,IF('PIM Ranges'!$AL13&lt;'PIM Ranges'!$AZ$18,"Q1",IF('PIM Ranges'!$AL13&lt;'PIM Ranges'!$BA$18,"Q2",IF('PIM Ranges'!$AL13&lt;'PIM Ranges'!$BB$18,"Q3",IF('PIM Ranges'!$AL13&lt;'PIM Ranges'!$BC$18,"Q4","Q5")))),IF('PIM Ranges'!$AK13='PIM Ranges'!$AY$19,IF('PIM Ranges'!$AL13&lt;'PIM Ranges'!$AZ$19,"Q1",IF('PIM Ranges'!$AL13&lt;'PIM Ranges'!$BA$19,"Q2",IF('PIM Ranges'!$AL13&lt;'PIM Ranges'!$BB$19,"Q3",IF('PIM Ranges'!$AL13&lt;'PIM Ranges'!$BC$19,"Q4","Q5")))),IF('PIM Ranges'!$AK13='PIM Ranges'!$AY$20,IF('PIM Ranges'!$AL13&lt;'PIM Ranges'!$AZ$20,"Q1",IF('PIM Ranges'!$AL13&lt;'PIM Ranges'!$BA$20,"Q2",IF('PIM Ranges'!$AL13&lt;'PIM Ranges'!$BB$20,"Q3",IF('PIM Ranges'!$AL13&lt;'PIM Ranges'!$BC$20,"Q4","Q5")))),IF('PIM Ranges'!$AK13='PIM Ranges'!$AY$21,IF('PIM Ranges'!$AL13&lt;'PIM Ranges'!$AZ$21,"Q1",IF('PIM Ranges'!$AL13&lt;'PIM Ranges'!$BA$21,"Q2",IF('PIM Ranges'!$AL13&lt;'PIM Ranges'!$BB$21,"Q3",IF('PIM Ranges'!$AL13&lt;'PIM Ranges'!$BC$21,"Q4","Q5")))),IF('PIM Ranges'!$AK13='PIM Ranges'!$AY$22,IF('PIM Ranges'!$AL13&lt;'PIM Ranges'!$AZ$22,"Q1",IF('PIM Ranges'!$AL13&lt;'PIM Ranges'!$BA$22,"Q2",IF('PIM Ranges'!$AL13&lt;'PIM Ranges'!$BB$22,"Q3",IF('PIM Ranges'!$AL13&lt;'PIM Ranges'!$BC$22,"Q4","Q5")))),IF('PIM Ranges'!$AK13='PIM Ranges'!$AY$23,IF('PIM Ranges'!$AL13&lt;'PIM Ranges'!$AZ$23,"Q1",IF('PIM Ranges'!$AL13&lt;'PIM Ranges'!$BA$23,"Q2",IF('PIM Ranges'!$AL13&lt;'PIM Ranges'!$BB$23,"Q3",IF('PIM Ranges'!$AL13&lt;'PIM Ranges'!$BC$23,"Q4","Q5")))),IF('PIM Ranges'!$AK13='PIM Ranges'!$AY$24,IF('PIM Ranges'!$AL13&lt;'PIM Ranges'!$AZ$24,"Q1",IF('PIM Ranges'!$AL13&lt;'PIM Ranges'!$BA$24,"Q2",IF('PIM Ranges'!$AL13&lt;'PIM Ranges'!$BB$24,"Q3",IF('PIM Ranges'!$AL13&lt;'PIM Ranges'!$BC$24,"Q4","Q5")))),IF('PIM Ranges'!$AK13='PIM Ranges'!$AY$25,IF('PIM Ranges'!$AL13&lt;'PIM Ranges'!$AZ$25,"Q1",IF('PIM Ranges'!$AL13&lt;'PIM Ranges'!$BA$25,"Q2",IF('PIM Ranges'!$AL13&lt;'PIM Ranges'!$BB$25,"Q3",IF('PIM Ranges'!$AL13&lt;'PIM Ranges'!$BC$25,"Q4","Q5")))),IF('PIM Ranges'!$AK13='PIM Ranges'!$AY$26,IF('PIM Ranges'!$AL13&lt;'PIM Ranges'!$AZ$26,"Q1",IF('PIM Ranges'!$AL13&lt;'PIM Ranges'!$BA$26,"Q2",IF('PIM Ranges'!$AL13&lt;'PIM Ranges'!$BB$26,"Q3",IF('PIM Ranges'!$AL13&lt;'PIM Ranges'!$BC$26,"Q4","Q5")))),IF('PIM Ranges'!$AK13='PIM Ranges'!$AY$27,IF('PIM Ranges'!$AL13&lt;'PIM Ranges'!$AZ$27,"Q1",IF('PIM Ranges'!$AL13&lt;'PIM Ranges'!$BA$27,"Q2",IF('PIM Ranges'!$AL13&lt;'PIM Ranges'!$BB$27,"Q3",IF('PIM Ranges'!$AL13&lt;'PIM Ranges'!$BC$27,"Q4","Q5")))),IF('PIM Ranges'!$AK13='PIM Ranges'!$AY$28,IF('PIM Ranges'!$AL13&lt;'PIM Ranges'!$AZ$28,"Q1",IF('PIM Ranges'!$AL13&lt;'PIM Ranges'!$BA$28,"Q2",IF('PIM Ranges'!$AL13&lt;'PIM Ranges'!$BB$28,"Q3",IF('PIM Ranges'!$AL13&lt;'PIM Ranges'!$BC$28,"Q4","Q5")))),IF('PIM Ranges'!$AK13='PIM Ranges'!$AY$29,IF('PIM Ranges'!$AL13&lt;'PIM Ranges'!$AZ$29,"Q1",IF('PIM Ranges'!$AL13&lt;'PIM Ranges'!$BA$29,"Q2",IF('PIM Ranges'!$AL13&lt;'PIM Ranges'!$BB$29,"Q3",IF('PIM Ranges'!$AL13&lt;'PIM Ranges'!$BC$29,"Q4","Q5")))),IF('PIM Ranges'!$AK13='PIM Ranges'!$AY$30,IF('PIM Ranges'!$AL13&lt;'PIM Ranges'!$AZ$30,"Q1",IF('PIM Ranges'!$AL13&lt;'PIM Ranges'!$BA$30,"Q2",IF('PIM Ranges'!$AL13&lt;'PIM Ranges'!$BB$30,"Q3",IF('PIM Ranges'!$AL13&lt;'PIM Ranges'!$BC$30,"Q4","Q5")))),IF('PIM Ranges'!$AK13='PIM Ranges'!$AY$31,IF('PIM Ranges'!$AL13&lt;'PIM Ranges'!$AZ$31,"Q1",IF('PIM Ranges'!$AL13&lt;'PIM Ranges'!$BA$31,"Q2",IF('PIM Ranges'!$AL13&lt;'PIM Ranges'!$BB$31,"Q3",IF('PIM Ranges'!$AL13&lt;'PIM Ranges'!$BC$31,"Q4","Q5")))),IF('PIM Ranges'!$AK13='PIM Ranges'!$AY$32,IF('PIM Ranges'!$AL13&lt;'PIM Ranges'!$AZ$32,"Q1",IF('PIM Ranges'!$AL13&lt;'PIM Ranges'!$BA$32,"Q2",IF('PIM Ranges'!$AL13&lt;'PIM Ranges'!$BB$32,"Q3",IF('PIM Ranges'!$AL13&lt;'PIM Ranges'!$BC$32,"Q4","Q5"))))))))))))))))))))))))))</f>
        <v>Q1</v>
      </c>
      <c r="AZ15" s="301">
        <f t="shared" ref="AZ15:AZ34" si="31">$S15</f>
        <v>0</v>
      </c>
      <c r="BA15" s="39">
        <f>'PIM Model'!C11</f>
        <v>0</v>
      </c>
      <c r="BB15" s="301"/>
      <c r="BC15" s="301"/>
      <c r="BD15" s="301" t="e">
        <f>IF($BA15="AVG",IFERROR((AL15+AS15)/(AK15+AR15),AZ15),(AL15+AS15)/(AK15+AR15))</f>
        <v>#DIV/0!</v>
      </c>
      <c r="BE15" s="301"/>
      <c r="BF15" s="301"/>
      <c r="BG15" s="105">
        <v>4</v>
      </c>
      <c r="BH15" s="18">
        <f t="array" ref="BH15">IF('Customer Inputs'!$W$6="End",0,IFERROR(IF($BU15="SEGMENT",INDEX('Margin Guidence Table'!$A$1:$AG$10000,MATCH(1,('Margin Guidence Table'!$A$1:$A$10000=$BS15)*('Margin Guidence Table'!$I$1:$I$10000&lt;=ROUND($BK$3,0))*('Margin Guidence Table'!$J$1:$J$10000&gt;=ROUND($BK$3,0)),0),MATCH("PCT_SALES",'Margin Guidence Table'!$A$1:$AG$1,0)),INDEX('Margin Guidence Table'!$A$1:$AG$10000,MATCH(1,('Margin Guidence Table'!$A$1:$A$10000=$BS15)*('Margin Guidence Table'!$I$1:$I$10000&lt;=ROUND($BK$3,0))*('Margin Guidence Table'!$J$1:$J$10000&gt;=ROUND($BK$3,0)),0),MATCH("DEFAULT_PCT_SALES",'Margin Guidence Table'!$A$1:$AG$1,0))),0))</f>
        <v>0</v>
      </c>
      <c r="BI15" s="297" t="e">
        <f t="shared" ref="BI15:BI34" si="32">BH15/$BH$35</f>
        <v>#DIV/0!</v>
      </c>
      <c r="BJ15" s="99" t="s">
        <v>103</v>
      </c>
      <c r="BK15" s="91">
        <f>IF('Customer Inputs'!$W$6="End",0,IFERROR(IF(AND($BK$2&lt;&gt;"Enter Spend&gt;&gt;&gt;",$BL$2="EXISTING"),SUMIFS('Existing Customers'!$Q:$Q,'Existing Customers'!$A:$A,$BK$1,'Existing Customers'!$H:$H,$BJ15)*$BK$4,$BK$3*$BI15),0))</f>
        <v>0</v>
      </c>
      <c r="BL15" s="92">
        <f>IF('Customer Inputs'!$W$6="End",0,IFERROR(IF(AND($BK$2&lt;&gt;"Enter Spend&gt;&gt;&gt;",$BL$2="EXISTING"),SUMIFS('Existing Customers'!$N:$N,'Existing Customers'!$A:$A,$BK$1,'Existing Customers'!$H:$H,$BJ15)*$BK$4,$BK15/$BV15),0))</f>
        <v>0</v>
      </c>
      <c r="BM15" s="92">
        <f>IF('Customer Inputs'!$W$6="End",0,IFERROR(IF(AND($BK$2&lt;&gt;"Enter Spend&gt;&gt;&gt;",$BL$2="EXISTING"),SUMIFS('Existing Customers'!$O:$O,'Existing Customers'!$H:$H,$BJ15,'Existing Customers'!$A:$A,$BK$1)*$BK$4,$BL15*$BK$8),0))</f>
        <v>0</v>
      </c>
      <c r="BN15" s="92">
        <f>IF('Customer Inputs'!$W$6="End",0,IFERROR(IF(AND($BK$2&lt;&gt;"Enter Spend&gt;&gt;&gt;",$BL$2="EXISTING"),SUMIFS('Existing Customers'!$P:$P,'Existing Customers'!$A:$A,$BK$1,'Existing Customers'!$H:$H,$BJ15)*$BK$4,$BK15/$BW15),0))</f>
        <v>0</v>
      </c>
      <c r="BO15" s="303">
        <f>IF('Customer Inputs'!$W$6="End",0,IFERROR(IF(AND($BK$2&lt;&gt;"Enter Spend&gt;&gt;&gt;",$BL$2="EXISTING"),SUMIFS('Existing Customers'!$V:$V,'Existing Customers'!$H:$H,$BJ15,'Existing Customers'!$A:$A,$BK$1)*$BK$4,0),0))</f>
        <v>0</v>
      </c>
      <c r="BP15" s="93">
        <f>IF('Customer Inputs'!$W$6="End",0,IFERROR(IF(AND($BK$2&lt;&gt;"Enter Spend&gt;&gt;&gt;",$BL$2="EXISTING"),SUMIFS('Existing Customers'!$R:$R,'Existing Customers'!$H:$H,$BJ15,'Existing Customers'!$A:$A,$BK$1)*$BK$4,0),0))</f>
        <v>0</v>
      </c>
      <c r="BQ15" s="93">
        <f>IF('Customer Inputs'!$W$6="End",0,IFERROR(IF(AND($BK$2&lt;&gt;"Enter Spend&gt;&gt;&gt;",$BL$2="EXISTING"),SUMIFS('Existing Customers'!$S:$S,'Existing Customers'!$H:$H,$BJ15,'Existing Customers'!$A:$A,$BK$1)/SUMIFS('Existing Customers'!$Q:$Q,'Existing Customers'!$A:$A,$BK$1,'Existing Customers'!$H:$H,$BJ15),CA15),0))</f>
        <v>0</v>
      </c>
      <c r="BR15" s="93">
        <f>IF('Customer Inputs'!$W$6="End",0,IFERROR(IF(AND($BK$2&lt;&gt;"Enter Spend&gt;&gt;&gt;",$BL$2="EXISTING"),SUMIFS('Existing Customers'!$U:$U,'Existing Customers'!$H:$H,$BJ15,'Existing Customers'!$A:$A,$BK$1)/SUMIFS('Existing Customers'!$Q:$Q,'Existing Customers'!$A:$A,$BK$1,'Existing Customers'!$H:$H,$BJ15),CB15),0))</f>
        <v>0</v>
      </c>
      <c r="BS15" s="782" t="e">
        <f>_xlfn.CONCAT('Customer Inputs'!$AH$6,"_",BJ15)</f>
        <v>#N/A</v>
      </c>
      <c r="BT15" s="783">
        <f t="array" ref="BT15">IF('Customer Inputs'!$W$6="End",0,IFERROR(INDEX('Margin Guidence Table'!$A$1:$AG$10000,MATCH(1,('Margin Guidence Table'!$A$1:$A$10000=$BS15)*('Margin Guidence Table'!$I$1:$I$10000&lt;=ROUND($BK$3,0))*('Margin Guidence Table'!$J$1:$J$10000&gt;=ROUND($BK$3,0)),0),MATCH("DATA_POINTS",'Margin Guidence Table'!$A$1:$AG$1,0)),0))</f>
        <v>0</v>
      </c>
      <c r="BU15" s="780" t="str">
        <f t="shared" ref="BU15:BU34" si="33">IF(BT15&gt;15,"SEGMENT","DEFAULT")</f>
        <v>DEFAULT</v>
      </c>
      <c r="BV15" s="780">
        <f t="array" ref="BV15">IF('Customer Inputs'!$W$6="End",0,IFERROR(IF($BU15="SEGMENT",INDEX('Margin Guidence Table'!$A$1:$AG$10000,MATCH(1,('Margin Guidence Table'!$A$1:$A$10000=$BS15)*('Margin Guidence Table'!$I$1:$I$10000&lt;=ROUND($BK$3,0))*('Margin Guidence Table'!$J$1:$J$10000&gt;=ROUND($BK$3,0)),0),MATCH("SALES_CASE",'Margin Guidence Table'!$A$1:$AG$1,0)),INDEX('Margin Guidence Table'!$A$1:$AG$10000,MATCH(1,('Margin Guidence Table'!$A$1:$A$10000=$BS15)*('Margin Guidence Table'!$I$1:$I$10000&lt;=ROUND($BK$3,0))*('Margin Guidence Table'!$J$1:$J$10000&gt;=ROUND($BK$3,0)),0),MATCH("DEFAULT_SALES_CASE",'Margin Guidence Table'!$A$1:$AG$1,0))),0))</f>
        <v>0</v>
      </c>
      <c r="BW15" s="780">
        <f t="array" ref="BW15">IF('Customer Inputs'!$W$6="End",0,IFERROR(IF($BU15="SEGMENT",INDEX('Margin Guidence Table'!$A$1:$AG$10000,MATCH(1,('Margin Guidence Table'!$A$1:$A$10000=$BS15)*('Margin Guidence Table'!$I$1:$I$10000&lt;=ROUND($BK$3,0))*('Margin Guidence Table'!$J$1:$J$10000&gt;=ROUND($BK$3,0)),0),MATCH("SALES_LBS",'Margin Guidence Table'!$A$1:$AG$1,0)),INDEX('Margin Guidence Table'!$A$1:$AG$10000,MATCH(1,('Margin Guidence Table'!$A$1:$A$10000=$BS15)*('Margin Guidence Table'!$I$1:$I$10000&lt;=ROUND($BK$3,0))*('Margin Guidence Table'!$J$1:$J$10000&gt;=ROUND($BK$3,0)),0),MATCH("DEFAULT_SALES_LBS",'Margin Guidence Table'!$A$1:$AG$1,0))),0))</f>
        <v>0</v>
      </c>
      <c r="BX15" s="784">
        <f t="array" ref="BX15">IF('Customer Inputs'!$W$6="End",0,IFERROR(IF($BU15="SEGMENT",INDEX('Margin Guidence Table'!$A$1:$AG$10000,MATCH(1,('Margin Guidence Table'!$A$1:$A$10000=$BS15)*('Margin Guidence Table'!$I$1:$I$10000&lt;=ROUND($BK$3,0))*('Margin Guidence Table'!$J$1:$J$10000&gt;=ROUND($BK$3,0)),0),MATCH("MDA_MIN_MARGIN_GUIDENCE",'Margin Guidence Table'!$A$1:$AG$1,0)),INDEX('Margin Guidence Table'!$A$1:$AG$10000,MATCH(1,('Margin Guidence Table'!$A$1:$A$10000=$BS15)*('Margin Guidence Table'!$I$1:$I$10000&lt;=ROUND($BK$3,0))*('Margin Guidence Table'!$J$1:$J$10000&gt;=ROUND($BK$3,0)),0),MATCH("DEFAULT_MDA_MIN_MARGIN_GUIDENCE",'Margin Guidence Table'!$A$1:$AG$1,0))),0))</f>
        <v>0</v>
      </c>
      <c r="BY15" s="784">
        <f t="array" ref="BY15">IF('Customer Inputs'!$W$6="End",0,IFERROR(IF($BU15="SEGMENT",INDEX('Margin Guidence Table'!$A$1:$AG$10000,MATCH(1,('Margin Guidence Table'!$A$1:$A$10000=$BS15)*('Margin Guidence Table'!$I$1:$I$10000&lt;=ROUND($BK$3,0))*('Margin Guidence Table'!$J$1:$J$10000&gt;=ROUND($BK$3,0)),0),MATCH("MDA_MEDIAN_MARGIN_GUIDENCE",'Margin Guidence Table'!$A$1:$AG$1,0)),INDEX('Margin Guidence Table'!$A$1:$AG$10000,MATCH(1,('Margin Guidence Table'!$A$1:$A$10000=$BS15)*('Margin Guidence Table'!$I$1:$I$10000&lt;=ROUND($BK$3,0))*('Margin Guidence Table'!$J$1:$J$10000&gt;=ROUND($BK$3,0)),0),MATCH("DEFAULT_MDA_MEDIAN_MARGIN_GUIDENCE",'Margin Guidence Table'!$A$1:$AG$1,0))),0))</f>
        <v>0</v>
      </c>
      <c r="BZ15" s="784">
        <f t="array" ref="BZ15">IF('Customer Inputs'!$W$6="End",0,IFERROR(IF($BU15="SEGMENT",INDEX('Margin Guidence Table'!$A$1:$AG$10000,MATCH(1,('Margin Guidence Table'!$A$1:$A$10000=$BS15)*('Margin Guidence Table'!$I$1:$I$10000&lt;=ROUND($BK$3,0))*('Margin Guidence Table'!$J$1:$J$10000&gt;=ROUND($BK$3,0)),0),MATCH("MDA_MAX_MARGIN_GUIDENCE",'Margin Guidence Table'!$A$1:$AG$1,0)),INDEX('Margin Guidence Table'!$A$1:$AG$10000,MATCH(1,('Margin Guidence Table'!$A$1:$A$10000=$BS15)*('Margin Guidence Table'!$I$1:$I$10000&lt;=ROUND($BK$3,0))*('Margin Guidence Table'!$J$1:$J$10000&gt;=ROUND($BK$3,0)),0),MATCH("DEFAULT_MDA_MAX_MARGIN_GUIDENCE",'Margin Guidence Table'!$A$1:$AG$1,0))),0))</f>
        <v>0</v>
      </c>
      <c r="CA15" s="784">
        <f t="array" ref="CA15">IF('Customer Inputs'!$W$6="End",0,IFERROR(IF($BU15="SEGMENT",INDEX('Margin Guidence Table'!$A$1:$AG$10000,MATCH(1,('Margin Guidence Table'!$A$1:$A$10000=$BS15)*('Margin Guidence Table'!$I$1:$I$10000&lt;=ROUND($BK$3,0))*('Margin Guidence Table'!$J$1:$J$10000&gt;=ROUND($BK$3,0)),0),MATCH("PA_PCT_SALES",'Margin Guidence Table'!$A$1:$AG$1,0)),INDEX('Margin Guidence Table'!$A$1:$AG$10000,MATCH(1,('Margin Guidence Table'!$A$1:$A$10000=$BS15)*('Margin Guidence Table'!$I$1:$I$10000&lt;=ROUND($BK$3,0))*('Margin Guidence Table'!$J$1:$J$10000&gt;=ROUND($BK$3,0)),0),MATCH("DEFAULT_PA_PCT_SALES",'Margin Guidence Table'!$A$1:$AG$1,0))),0))</f>
        <v>0</v>
      </c>
      <c r="CB15" s="784">
        <f t="array" ref="CB15">IF('Customer Inputs'!$W$6="End",0,IFERROR(IF($BU15="SEGMENT",INDEX('Margin Guidence Table'!$A$1:$AG$10000,MATCH(1,('Margin Guidence Table'!$A$1:$A$10000=$BS15)*('Margin Guidence Table'!$I$1:$I$10000&lt;=ROUND($BK$3,0))*('Margin Guidence Table'!$J$1:$J$10000&gt;=ROUND($BK$3,0)),0),MATCH("SELF_FUND_PCT_SALES",'Margin Guidence Table'!$A$1:$AG$1,0)),INDEX('Margin Guidence Table'!$A$1:$AG$10000,MATCH(1,('Margin Guidence Table'!$A$1:$A$10000=$BS15)*('Margin Guidence Table'!$I$1:$I$10000&lt;=ROUND($BK$3,0))*('Margin Guidence Table'!$J$1:$J$10000&gt;=ROUND($BK$3,0)),0),MATCH("DEFAULT_SELF_FUND_PCT_SALES",'Margin Guidence Table'!$A$1:$AG$1,0))),0))</f>
        <v>0</v>
      </c>
      <c r="CC15" s="784">
        <f t="array" ref="CC15">IF('Customer Inputs'!$W$6="End",0,IF($BL$2="Existing",IFERROR(SUMIFS('Existing Customers'!$V:$V,'Existing Customers'!$H:$H,$BJ15,'Existing Customers'!$A:$A,$BK$1)/SUMIFS('Existing Customers'!$Q:$Q,'Existing Customers'!$H:$H,$BJ15,'Existing Customers'!$A:$A,$BK$1),0),IFERROR(IF($BU15="SEGMENT",INDEX('Margin Guidence Table'!$A$1:$AG$10000,MATCH(1,('Margin Guidence Table'!$A$1:$A$10000=$BS15)*('Margin Guidence Table'!$I$1:$I$10000&lt;=ROUND($BK$3,0))*('Margin Guidence Table'!$J$1:$J$10000&gt;=ROUND($BK$3,0)),0),MATCH("CIA_MEDIAN_MARGIN_GUIDENCE",'Margin Guidence Table'!$A$1:$AG$1,0)),INDEX('Margin Guidence Table'!$A$1:$AG$10000,MATCH(1,('Margin Guidence Table'!$A$1:$A$10000=$BS15)*('Margin Guidence Table'!$I$1:$I$10000&lt;=ROUND($BK$3,0))*('Margin Guidence Table'!$J$1:$J$10000&gt;=ROUND($BK$3,0)),0),MATCH("DEFAULT_CIA_MEDIAN_MARGIN_GUIDENCE",'Margin Guidence Table'!$A$1:$AG$1,0))),0)))</f>
        <v>0</v>
      </c>
      <c r="CD15" s="126"/>
      <c r="CE15" s="18">
        <f t="array" ref="CE15">IF('Customer Inputs'!$W$7="End",0,IFERROR(IF($CR15="SEGMENT",INDEX('Margin Guidence Table'!$A$1:$AG$10000,MATCH(1,('Margin Guidence Table'!$A$1:$A$10000=$CP15)*('Margin Guidence Table'!$I$1:$I$10000&lt;=ROUND($CH$3,0))*('Margin Guidence Table'!$J$1:$J$10000&gt;=ROUND($CH$3,0)),0),MATCH("PCT_SALES",'Margin Guidence Table'!$A$1:$AG$1,0)),INDEX('Margin Guidence Table'!$A$1:$AG$10000,MATCH(1,('Margin Guidence Table'!$A$1:$A$10000=$CP15)*('Margin Guidence Table'!$I$1:$I$10000&lt;=ROUND($CH$3,0))*('Margin Guidence Table'!$J$1:$J$10000&gt;=ROUND($CH$3,0)),0),MATCH("DEFAULT_PCT_SALES",'Margin Guidence Table'!$A$1:$AG$1,0))),0))</f>
        <v>0</v>
      </c>
      <c r="CF15" s="297" t="e">
        <f t="shared" ref="CF15:CF34" si="34">CE15/$CE$35</f>
        <v>#DIV/0!</v>
      </c>
      <c r="CG15" s="99" t="s">
        <v>103</v>
      </c>
      <c r="CH15" s="91">
        <f>IF('Customer Inputs'!$W$7="End",0,IFERROR(IF(AND($CH$2&lt;&gt;"Enter Spend&gt;&gt;&gt;",$CI$2="EXISTING"),SUMIFS('Existing Customers'!$Q:$Q,'Existing Customers'!$A:$A,$CH$1,'Existing Customers'!$H:$H,$CG15)*$CH$4,$CH$3*$CF15),0))</f>
        <v>0</v>
      </c>
      <c r="CI15" s="86">
        <f>IF('Customer Inputs'!$W$7="End",0,IFERROR(IF(AND($CH$2&lt;&gt;"Enter Spend&gt;&gt;&gt;",$CI$2="EXISTING"),SUMIFS('Existing Customers'!$N:$N,'Existing Customers'!$A:$A,$CH$1,'Existing Customers'!$H:$H,$CG15)*$CH$4,$CH15/$CS15),0))</f>
        <v>0</v>
      </c>
      <c r="CJ15" s="92">
        <f>IF('Customer Inputs'!$W$7="End",0,IFERROR(IF(AND($CH$2&lt;&gt;"Enter Spend&gt;&gt;&gt;",$CI$2="EXISTING"),SUMIFS('Existing Customers'!$O:$O,'Existing Customers'!$H:$H,$CG15,'Existing Customers'!$A:$A,$CH$1)*$CH$4,$CI15*$CH$8),0))</f>
        <v>0</v>
      </c>
      <c r="CK15" s="92">
        <f>IF('Customer Inputs'!$W$7="End",0,IFERROR(IF(AND($CH$2&lt;&gt;"Enter Spend&gt;&gt;&gt;",$CI$2="EXISTING"),SUMIFS('Existing Customers'!$P:$P,'Existing Customers'!$A:$A,$CH$1,'Existing Customers'!$H:$H,$CG15)*$CH$4,$CH15/$CT15),0))</f>
        <v>0</v>
      </c>
      <c r="CL15" s="93">
        <f>IF('Customer Inputs'!$W$7="End",0,IFERROR(IF(AND($CH$2&lt;&gt;"Enter Spend&gt;&gt;&gt;",$CI$2="EXISTING"),SUMIFS('Existing Customers'!$V:$V,'Existing Customers'!$H:$H,$CG15,'Existing Customers'!$A:$A,$CH$1)*$CH$4,0),0))</f>
        <v>0</v>
      </c>
      <c r="CM15" s="93">
        <f>IF('Customer Inputs'!$W$7="End",0,IFERROR(IF(AND($CH$2&lt;&gt;"Enter Spend&gt;&gt;&gt;",$CI$2="EXISTING"),SUMIFS('Existing Customers'!$R:$R,'Existing Customers'!$H:$H,$CG15,'Existing Customers'!$A:$A,$CH$1)*$CH$4,0),0))</f>
        <v>0</v>
      </c>
      <c r="CN15" s="780">
        <f>IF('Customer Inputs'!$W$7="End",0,IFERROR(IF(AND($CH$2&lt;&gt;"Enter Spend&gt;&gt;&gt;",$CI$2="EXISTING"),SUMIFS('Existing Customers'!$S:$S,'Existing Customers'!$H:$H,$CG15,'Existing Customers'!$A:$A,$CH$1)/SUMIFS('Existing Customers'!$Q:$Q,'Existing Customers'!$A:$A,$CH$1,'Existing Customers'!$H:$H,$CG15),CX15),0))</f>
        <v>0</v>
      </c>
      <c r="CO15" s="780">
        <f>IF('Customer Inputs'!$W$7="End",0,IFERROR(IF(AND($CH$2&lt;&gt;"Enter Spend&gt;&gt;&gt;",$CI$2="EXISTING"),SUMIFS('Existing Customers'!$U:$U,'Existing Customers'!$H:$H,$CG15,'Existing Customers'!$A:$A,$CH$1)/SUMIFS('Existing Customers'!$Q:$Q,'Existing Customers'!$A:$A,$CH$1,'Existing Customers'!$H:$H,$CG15),CY15),0))</f>
        <v>0</v>
      </c>
      <c r="CP15" s="783" t="e">
        <f>_xlfn.CONCAT('Customer Inputs'!$AH$7,"_",CG15)</f>
        <v>#N/A</v>
      </c>
      <c r="CQ15" s="783">
        <f t="array" ref="CQ15">IFERROR(INDEX('Margin Guidence Table'!$A$1:$AG$10000,MATCH(1,('Margin Guidence Table'!$A$1:$A$10000=$CP15)*('Margin Guidence Table'!$I$1:$I$10000&lt;=ROUND($CH$3,0))*('Margin Guidence Table'!$J$1:$J$10000&gt;=ROUND($CH$3,0)),0),MATCH("DATA_POINTS",'Margin Guidence Table'!$A$1:$AG$1,0)),0)</f>
        <v>0</v>
      </c>
      <c r="CR15" s="780" t="str">
        <f t="shared" ref="CR15:CR34" si="35">IF(CQ15&gt;15,"SEGMENT","DEFAULT")</f>
        <v>DEFAULT</v>
      </c>
      <c r="CS15" s="780">
        <f t="array" ref="CS15">IF('Customer Inputs'!$W$7="End",0,IFERROR(IF($CR15="SEGMENT",INDEX('Margin Guidence Table'!$A$1:$AG$10000,MATCH(1,('Margin Guidence Table'!$A$1:$A$10000=$CP15)*('Margin Guidence Table'!$I$1:$I$10000&lt;=ROUND($CH$3,0))*('Margin Guidence Table'!$J$1:$J$10000&gt;=ROUND($CH$3,0)),0),MATCH("SALES_CASE",'Margin Guidence Table'!$A$1:$AG$1,0)),INDEX('Margin Guidence Table'!$A$1:$AG$10000,MATCH(1,('Margin Guidence Table'!$A$1:$A$10000=$CP15)*('Margin Guidence Table'!$I$1:$I$10000&lt;=ROUND($CH$3,0))*('Margin Guidence Table'!$J$1:$J$10000&gt;=ROUND($CH$3,0)),0),MATCH("DEFAULT_SALES_CASE",'Margin Guidence Table'!$A$1:$AG$1,0))),0))</f>
        <v>0</v>
      </c>
      <c r="CT15" s="780">
        <f t="array" ref="CT15">IF('Customer Inputs'!$W$7="End",0,IFERROR(IF($CR15="SEGMENT",INDEX('Margin Guidence Table'!$A$1:$AG$10000,MATCH(1,('Margin Guidence Table'!$A$1:$A$10000=$CP15)*('Margin Guidence Table'!$I$1:$I$10000&lt;=ROUND($CH$3,0))*('Margin Guidence Table'!$J$1:$J$10000&gt;=ROUND($CH$3,0)),0),MATCH("SALES_LBS",'Margin Guidence Table'!$A$1:$AG$1,0)),INDEX('Margin Guidence Table'!$A$1:$AG$10000,MATCH(1,('Margin Guidence Table'!$A$1:$A$10000=$CP15)*('Margin Guidence Table'!$I$1:$I$10000&lt;=ROUND($CH$3,0))*('Margin Guidence Table'!$J$1:$J$10000&gt;=ROUND($CH$3,0)),0),MATCH("DEFAULT_SALES_LBS",'Margin Guidence Table'!$A$1:$AG$1,0))),0))</f>
        <v>0</v>
      </c>
      <c r="CU15" s="784">
        <f t="array" ref="CU15">IF('Customer Inputs'!$W$7="End",0,IFERROR(IF($CR15="SEGMENT",INDEX('Margin Guidence Table'!$A$1:$AG$10000,MATCH(1,('Margin Guidence Table'!$A$1:$A$10000=$CP15)*('Margin Guidence Table'!$I$1:$I$10000&lt;=ROUND($CH$3,0))*('Margin Guidence Table'!$J$1:$J$10000&gt;=ROUND($CH$3,0)),0),MATCH("MDA_MIN_MARGIN_GUIDENCE",'Margin Guidence Table'!$A$1:$AG$1,0)),INDEX('Margin Guidence Table'!$A$1:$AG$10000,MATCH(1,('Margin Guidence Table'!$A$1:$A$10000=$CP15)*('Margin Guidence Table'!$I$1:$I$10000&lt;=ROUND($CH$3,0))*('Margin Guidence Table'!$J$1:$J$10000&gt;=ROUND($CH$3,0)),0),MATCH("DEFAULT_MDA_MIN_MARGIN_GUIDENCE",'Margin Guidence Table'!$A$1:$AG$1,0))),0))</f>
        <v>0</v>
      </c>
      <c r="CV15" s="784">
        <f t="array" ref="CV15">IF('Customer Inputs'!$W$7="End",0,IFERROR(IF($CR15="SEGMENT",INDEX('Margin Guidence Table'!$A$1:$AG$10000,MATCH(1,('Margin Guidence Table'!$A$1:$A$10000=$CP15)*('Margin Guidence Table'!$I$1:$I$10000&lt;=ROUND($CH$3,0))*('Margin Guidence Table'!$J$1:$J$10000&gt;=ROUND($CH$3,0)),0),MATCH("MDA_MEDIAN_MARGIN_GUIDENCE",'Margin Guidence Table'!$A$1:$AG$1,0)),INDEX('Margin Guidence Table'!$A$1:$AG$10000,MATCH(1,('Margin Guidence Table'!$A$1:$A$10000=$CP15)*('Margin Guidence Table'!$I$1:$I$10000&lt;=ROUND($CH$3,0))*('Margin Guidence Table'!$J$1:$J$10000&gt;=ROUND($CH$3,0)),0),MATCH("DEFAULT_MDA_MEDIAN_MARGIN_GUIDENCE",'Margin Guidence Table'!$A$1:$AG$1,0))),0))</f>
        <v>0</v>
      </c>
      <c r="CW15" s="784">
        <f t="array" ref="CW15">IF('Customer Inputs'!$W$7="End",0,IFERROR(IF($CR15="SEGMENT",INDEX('Margin Guidence Table'!$A$1:$AG$10000,MATCH(1,('Margin Guidence Table'!$A$1:$A$10000=$CP15)*('Margin Guidence Table'!$I$1:$I$10000&lt;=ROUND($CH$3,0))*('Margin Guidence Table'!$J$1:$J$10000&gt;=ROUND($CH$3,0)),0),MATCH("MDA_MAX_MARGIN_GUIDENCE",'Margin Guidence Table'!$A$1:$AG$1,0)),INDEX('Margin Guidence Table'!$A$1:$AG$10000,MATCH(1,('Margin Guidence Table'!$A$1:$A$10000=$CP15)*('Margin Guidence Table'!$I$1:$I$10000&lt;=ROUND($CH$3,0))*('Margin Guidence Table'!$J$1:$J$10000&gt;=ROUND($CH$3,0)),0),MATCH("DEFAULT_MDA_MAX_MARGIN_GUIDENCE",'Margin Guidence Table'!$A$1:$AG$1,0))),0))</f>
        <v>0</v>
      </c>
      <c r="CX15" s="784">
        <f t="array" ref="CX15">IF('Customer Inputs'!$W$7="End",0,IFERROR(IF($CR15="SEGMENT",INDEX('Margin Guidence Table'!$A$1:$AG$10000,MATCH(1,('Margin Guidence Table'!$A$1:$A$10000=$CP15)*('Margin Guidence Table'!$I$1:$I$10000&lt;=ROUND($CH$3,0))*('Margin Guidence Table'!$J$1:$J$10000&gt;=ROUND($CH$3,0)),0),MATCH("PA_PCT_SALES",'Margin Guidence Table'!$A$1:$AG$1,0)),INDEX('Margin Guidence Table'!$A$1:$AG$10000,MATCH(1,('Margin Guidence Table'!$A$1:$A$10000=$CP15)*('Margin Guidence Table'!$I$1:$I$10000&lt;=ROUND($CH$3,0))*('Margin Guidence Table'!$J$1:$J$10000&gt;=ROUND($CH$3,0)),0),MATCH("DEFAULT_PA_PCT_SALES",'Margin Guidence Table'!$A$1:$AG$1,0))),0))</f>
        <v>0</v>
      </c>
      <c r="CY15" s="784">
        <f t="array" ref="CY15">IF('Customer Inputs'!$W$7="End",0,IFERROR(IF($CR15="SEGMENT",INDEX('Margin Guidence Table'!$A$1:$AG$10000,MATCH(1,('Margin Guidence Table'!$A$1:$A$10000=$CP15)*('Margin Guidence Table'!$I$1:$I$10000&lt;=ROUND($CH$3,0))*('Margin Guidence Table'!$J$1:$J$10000&gt;=ROUND($CH$3,0)),0),MATCH("SELF_FUND_PCT_SALES",'Margin Guidence Table'!$A$1:$AG$1,0)),INDEX('Margin Guidence Table'!$A$1:$AG$10000,MATCH(1,('Margin Guidence Table'!$A$1:$A$10000=$CP15)*('Margin Guidence Table'!$I$1:$I$10000&lt;=ROUND($CH$3,0))*('Margin Guidence Table'!$J$1:$J$10000&gt;=ROUND($CH$3,0)),0),MATCH("DEFAULT_SELF_FUND_PCT_SALES",'Margin Guidence Table'!$A$1:$AG$1,0))),0))</f>
        <v>0</v>
      </c>
      <c r="CZ15" s="784">
        <f t="array" ref="CZ15">IF('Customer Inputs'!$W$7="End",0,IF($CI$2="Existing",IFERROR(SUMIFS('Existing Customers'!$V:$V,'Existing Customers'!$H:$H,$CG15,'Existing Customers'!$A:$A,$CH$1)/SUMIFS('Existing Customers'!$Q:$Q,'Existing Customers'!$H:$H,$CG15,'Existing Customers'!$A:$A,$CH$1),0),IFERROR(IF($CR15="SEGMENT",INDEX('Margin Guidence Table'!$A$1:$AG$10000,MATCH(1,('Margin Guidence Table'!$A$1:$A$10000=$CP15)*('Margin Guidence Table'!$I$1:$I$10000&lt;=ROUND($CH$3,0))*('Margin Guidence Table'!$J$1:$J$10000&gt;=ROUND($CH$3,0)),0),MATCH("CIA_MEDIAN_MARGIN_GUIDENCE",'Margin Guidence Table'!$A$1:$AG$1,0)),INDEX('Margin Guidence Table'!$A$1:$AG$10000,MATCH(1,('Margin Guidence Table'!$A$1:$A$10000=$CP15)*('Margin Guidence Table'!$I$1:$I$10000&lt;=ROUND($CH$3,0))*('Margin Guidence Table'!$J$1:$J$10000&gt;=ROUND($CH$3,0)),0),MATCH("DEFAULT_CIA_MEDIAN_MARGIN_GUIDENCE",'Margin Guidence Table'!$A$1:$AG$1,0))),0)))</f>
        <v>0</v>
      </c>
      <c r="DA15" s="126"/>
      <c r="DB15" s="18">
        <f t="array" ref="DB15">IF('Customer Inputs'!$W$8="End",0,IFERROR(IF($DO15="SEGMENT",INDEX('Margin Guidence Table'!$A$1:$AG$10000,MATCH(1,('Margin Guidence Table'!$A$1:$A$10000=$DM15)*('Margin Guidence Table'!$I$1:$I$10000&lt;=ROUND($DE$3,0))*('Margin Guidence Table'!$J$1:$J$10000&gt;=ROUND($DE$3,0)),0),MATCH("PCT_SALES",'Margin Guidence Table'!$A$1:$AG$1,0)),INDEX('Margin Guidence Table'!$A$1:$AG$10000,MATCH(1,('Margin Guidence Table'!$A$1:$A$10000=$DM15)*('Margin Guidence Table'!$I$1:$I$10000&lt;=ROUND($DE$3,0))*('Margin Guidence Table'!$J$1:$J$10000&gt;=ROUND($DE$3,0)),0),MATCH("DEFAULT_PCT_SALES",'Margin Guidence Table'!$A$1:$AG$1,0))),0))</f>
        <v>0</v>
      </c>
      <c r="DC15" s="297" t="e">
        <f t="shared" ref="DC15:DC34" si="36">DB15/$DB$35</f>
        <v>#DIV/0!</v>
      </c>
      <c r="DD15" s="99" t="s">
        <v>103</v>
      </c>
      <c r="DE15" s="91">
        <f>IF('Customer Inputs'!$W$8="End",0,IFERROR(IF(AND($DE$2&lt;&gt;"Enter Spend&gt;&gt;&gt;",$DF$2="EXISTING"),SUMIFS('Existing Customers'!$Q:$Q,'Existing Customers'!$A:$A,$DE$1,'Existing Customers'!$H:$H,$DD15)*$DE$4,$DE$3*$DC15),0))</f>
        <v>0</v>
      </c>
      <c r="DF15" s="86">
        <f>IF('Customer Inputs'!$W$8="End",0,IFERROR(IF(AND($DE$2&lt;&gt;"Enter Spend&gt;&gt;&gt;",$DF$2="EXISTING"),SUMIFS('Existing Customers'!$N:$N,'Existing Customers'!$A:$A,$DE$1,'Existing Customers'!$H:$H,$DD15)*$DE$4,$DE15/$DP15),0))</f>
        <v>0</v>
      </c>
      <c r="DG15" s="92">
        <f>IF('Customer Inputs'!$W$8="End",0,IFERROR(IF(AND($DE$2&lt;&gt;"Enter Spend&gt;&gt;&gt;",$DF$2="EXISTING"),SUMIFS('Existing Customers'!$O:$O,'Existing Customers'!$H:$H,$DD15,'Existing Customers'!$A:$A,$DE$1)*$DE$4,$DF15*$DE$8),0))</f>
        <v>0</v>
      </c>
      <c r="DH15" s="92">
        <f>IF('Customer Inputs'!$W$8="End",0,IFERROR(IF(AND($DE$2&lt;&gt;"Enter Spend&gt;&gt;&gt;",$DF$2="EXISTING"),SUMIFS('Existing Customers'!$P:$P,'Existing Customers'!$A:$A,$DE$1,'Existing Customers'!$H:$H,$DD15)*$DE$4,$DE15/$DQ15),0))</f>
        <v>0</v>
      </c>
      <c r="DI15" s="93">
        <f>IF('Customer Inputs'!$W$8="End",0,IFERROR(IF(AND($DE$2&lt;&gt;"Enter Spend&gt;&gt;&gt;",$DF$2="EXISTING"),SUMIFS('Existing Customers'!$V:$V,'Existing Customers'!$H:$H,$DD15,'Existing Customers'!$A:$A,$DE$1)*$DE$4,0),0))</f>
        <v>0</v>
      </c>
      <c r="DJ15" s="93">
        <f>IF('Customer Inputs'!$W$8="End",0,IFERROR(IF(AND($DE$2&lt;&gt;"Enter Spend&gt;&gt;&gt;",$DF$2="EXISTING"),SUMIFS('Existing Customers'!$R:$R,'Existing Customers'!$H:$H,$DD15,'Existing Customers'!$A:$A,$DE$1)*$DE$4,0),0))</f>
        <v>0</v>
      </c>
      <c r="DK15" s="780">
        <f>IF('Customer Inputs'!$W$8="End",0,IFERROR(IF(AND($DE$2&lt;&gt;"Enter Spend&gt;&gt;&gt;",$DF$2="EXISTING"),SUMIFS('Existing Customers'!$S:$S,'Existing Customers'!$H:$H,$DD15,'Existing Customers'!$A:$A,$DE$1)/SUMIFS('Existing Customers'!$Q:$Q,'Existing Customers'!$A:$A,$DE$1,'Existing Customers'!$H:$H,$DD15),DU15),0))</f>
        <v>0</v>
      </c>
      <c r="DL15" s="780">
        <f>IF('Customer Inputs'!$W$8="End",0,IFERROR(IF(AND($DE$2&lt;&gt;"Enter Spend&gt;&gt;&gt;",$DF$2="EXISTING"),SUMIFS('Existing Customers'!$U:$U,'Existing Customers'!$H:$H,$DD15,'Existing Customers'!$A:$A,$DE$1)/SUMIFS('Existing Customers'!$Q:$Q,'Existing Customers'!$A:$A,$DE$1,'Existing Customers'!$H:$H,$DD15),DV15),0))</f>
        <v>0</v>
      </c>
      <c r="DM15" s="783" t="e">
        <f>_xlfn.CONCAT('Customer Inputs'!$AH$8,"_",DD15)</f>
        <v>#N/A</v>
      </c>
      <c r="DN15" s="783">
        <f t="array" ref="DN15">IF('Customer Inputs'!$W$8="End",0,IFERROR(INDEX('Margin Guidence Table'!$A$1:$AG$10000,MATCH(1,('Margin Guidence Table'!$A$1:$A$10000=DM15)*('Margin Guidence Table'!$I$1:$I$10000&lt;=ROUND($DE$3,0))*('Margin Guidence Table'!$J$1:$J$10000&gt;=ROUND($DE$3,0)),0),MATCH("DATA_POINTS",'Margin Guidence Table'!$A$1:$AG$1,0)),0))</f>
        <v>0</v>
      </c>
      <c r="DO15" s="780" t="str">
        <f t="shared" ref="DO15:DO34" si="37">IF(DN15&gt;15,"SEGMENT","DEFAULT")</f>
        <v>DEFAULT</v>
      </c>
      <c r="DP15" s="780">
        <f t="array" ref="DP15">IF('Customer Inputs'!$W$8="End",0,IFERROR(IF($DO15="SEGMENT",INDEX('Margin Guidence Table'!$A$1:$AG$10000,MATCH(1,('Margin Guidence Table'!$A$1:$A$10000=DM15)*('Margin Guidence Table'!$I$1:$I$10000&lt;=ROUND($DE$3,0))*('Margin Guidence Table'!$J$1:$J$10000&gt;=ROUND($DE$3,0)),0),MATCH("SALES_CASE",'Margin Guidence Table'!$A$1:$AG$1,0)),INDEX('Margin Guidence Table'!$A$1:$AG$10000,MATCH(1,('Margin Guidence Table'!$A$1:$A$10000=DM15)*('Margin Guidence Table'!$I$1:$I$10000&lt;=ROUND($DE$3,0))*('Margin Guidence Table'!$J$1:$J$10000&gt;=ROUND($DE$3,0)),0),MATCH("DEFAULT_SALES_CASE",'Margin Guidence Table'!$A$1:$AG$1,0))),0))</f>
        <v>0</v>
      </c>
      <c r="DQ15" s="780">
        <f t="array" ref="DQ15">IF('Customer Inputs'!$W$8="End",0,IFERROR(IF($DO15="SEGMENT",INDEX('Margin Guidence Table'!$A$1:$AG$10000,MATCH(1,('Margin Guidence Table'!$A$1:$A$10000=DM15)*('Margin Guidence Table'!$I$1:$I$10000&lt;=ROUND($DE$3,0))*('Margin Guidence Table'!$J$1:$J$10000&gt;=ROUND($DE$3,0)),0),MATCH("SALES_LBS",'Margin Guidence Table'!$A$1:$AG$1,0)),INDEX('Margin Guidence Table'!$A$1:$AG$10000,MATCH(1,('Margin Guidence Table'!$A$1:$A$10000=DM15)*('Margin Guidence Table'!$I$1:$I$10000&lt;=ROUND($DE$3,0))*('Margin Guidence Table'!$J$1:$J$10000&gt;=ROUND($DE$3,0)),0),MATCH("DEFAULT_SALES_LBS",'Margin Guidence Table'!$A$1:$AG$1,0))),0))</f>
        <v>0</v>
      </c>
      <c r="DR15" s="784">
        <f t="array" ref="DR15">IF('Customer Inputs'!$W$8="End",0,IFERROR(IF($DO15="SEGMENT",INDEX('Margin Guidence Table'!$A$1:$AG$10000,MATCH(1,('Margin Guidence Table'!$A$1:$A$10000=DM15)*('Margin Guidence Table'!$I$1:$I$10000&lt;=ROUND($DE$3,0))*('Margin Guidence Table'!$J$1:$J$10000&gt;=ROUND($DE$3,0)),0),MATCH("MDA_MIN_MARGIN_GUIDENCE",'Margin Guidence Table'!$A$1:$AG$1,0)),INDEX('Margin Guidence Table'!$A$1:$AG$10000,MATCH(1,('Margin Guidence Table'!$A$1:$A$10000=DM15)*('Margin Guidence Table'!$I$1:$I$10000&lt;=ROUND($DE$3,0))*('Margin Guidence Table'!$J$1:$J$10000&gt;=ROUND($DE$3,0)),0),MATCH("DEFAULT_MDA_MIN_MARGIN_GUIDENCE",'Margin Guidence Table'!$A$1:$AG$1,0))),0))</f>
        <v>0</v>
      </c>
      <c r="DS15" s="784">
        <f t="array" ref="DS15">IF('Customer Inputs'!$W$8="End",0,IFERROR(IF($DO15="SEGMENT",INDEX('Margin Guidence Table'!$A$1:$AG$10000,MATCH(1,('Margin Guidence Table'!$A$1:$A$10000=DM15)*('Margin Guidence Table'!$I$1:$I$10000&lt;=ROUND($DE$3,0))*('Margin Guidence Table'!$J$1:$J$10000&gt;=ROUND($DE$3,0)),0),MATCH("MDA_MEDIAN_MARGIN_GUIDENCE",'Margin Guidence Table'!$A$1:$AG$1,0)),INDEX('Margin Guidence Table'!$A$1:$AG$10000,MATCH(1,('Margin Guidence Table'!$A$1:$A$10000=DM15)*('Margin Guidence Table'!$I$1:$I$10000&lt;=ROUND($DE$3,0))*('Margin Guidence Table'!$J$1:$J$10000&gt;=ROUND($DE$3,0)),0),MATCH("DEFAULT_MDA_MEDIAN_MARGIN_GUIDENCE",'Margin Guidence Table'!$A$1:$AG$1,0))),0))</f>
        <v>0</v>
      </c>
      <c r="DT15" s="784">
        <f t="array" ref="DT15">IF('Customer Inputs'!$W$8="End",0,IFERROR(IF($DO15="SEGMENT",INDEX('Margin Guidence Table'!$A$1:$AG$10000,MATCH(1,('Margin Guidence Table'!$A$1:$A$10000=DM15)*('Margin Guidence Table'!$I$1:$I$10000&lt;=ROUND($DE$3,0))*('Margin Guidence Table'!$J$1:$J$10000&gt;=ROUND($DE$3,0)),0),MATCH("MDA_MAX_MARGIN_GUIDENCE",'Margin Guidence Table'!$A$1:$AG$1,0)),INDEX('Margin Guidence Table'!$A$1:$AG$10000,MATCH(1,('Margin Guidence Table'!$A$1:$A$10000=DM15)*('Margin Guidence Table'!$I$1:$I$10000&lt;=ROUND($DE$3,0))*('Margin Guidence Table'!$J$1:$J$10000&gt;=ROUND($DE$3,0)),0),MATCH("DEFAULT_MDA_MAX_MARGIN_GUIDENCE",'Margin Guidence Table'!$A$1:$AG$1,0))),0))</f>
        <v>0</v>
      </c>
      <c r="DU15" s="784">
        <f t="array" ref="DU15">IF('Customer Inputs'!$W$8="End",0,IFERROR(IF($DO15="SEGMENT",INDEX('Margin Guidence Table'!$A$1:$AG$10000,MATCH(1,('Margin Guidence Table'!$A$1:$A$10000=DM15)*('Margin Guidence Table'!$I$1:$I$10000&lt;=ROUND($DE$3,0))*('Margin Guidence Table'!$J$1:$J$10000&gt;=ROUND($DE$3,0)),0),MATCH("PA_PCT_SALES",'Margin Guidence Table'!$A$1:$AG$1,0)),INDEX('Margin Guidence Table'!$A$1:$AG$10000,MATCH(1,('Margin Guidence Table'!$A$1:$A$10000=DM15)*('Margin Guidence Table'!$I$1:$I$10000&lt;=ROUND($DE$3,0))*('Margin Guidence Table'!$J$1:$J$10000&gt;=ROUND($DE$3,0)),0),MATCH("DEFAULT_PA_PCT_SALES",'Margin Guidence Table'!$A$1:$AG$1,0))),0))</f>
        <v>0</v>
      </c>
      <c r="DV15" s="784">
        <f t="array" ref="DV15">IF('Customer Inputs'!$W$8="End",0,IFERROR(IF($DO15="SEGMENT",INDEX('Margin Guidence Table'!$A$1:$AG$10000,MATCH(1,('Margin Guidence Table'!$A$1:$A$10000=DM15)*('Margin Guidence Table'!$I$1:$I$10000&lt;=ROUND($DE$3,0))*('Margin Guidence Table'!$J$1:$J$10000&gt;=ROUND($DE$3,0)),0),MATCH("SELF_FUND_PCT_SALES",'Margin Guidence Table'!$A$1:$AG$1,0)),INDEX('Margin Guidence Table'!$A$1:$AG$10000,MATCH(1,('Margin Guidence Table'!$A$1:$A$10000=DM15)*('Margin Guidence Table'!$I$1:$I$10000&lt;=ROUND($DE$3,0))*('Margin Guidence Table'!$J$1:$J$10000&gt;=ROUND($DE$3,0)),0),MATCH("DEFAULT_SELF_FUND_PCT_SALES",'Margin Guidence Table'!$A$1:$AG$1,0))),0))</f>
        <v>0</v>
      </c>
      <c r="DW15" s="784">
        <f t="array" ref="DW15">IF('Customer Inputs'!$W$8="End",0,IF($DF$2="Existing",IFERROR(SUMIFS('Existing Customers'!$V:$V,'Existing Customers'!$H:$H,$DD15,'Existing Customers'!$A:$A,$DE$1)/SUMIFS('Existing Customers'!$Q:$Q,'Existing Customers'!$H:$H,$DD15,'Existing Customers'!$A:$A,$DE$1),0),IFERROR(IF($DO15="SEGMENT",INDEX('Margin Guidence Table'!$A$1:$AG$10000,MATCH(1,('Margin Guidence Table'!$A$1:$A$10000=DM15)*('Margin Guidence Table'!$I$1:$I$10000&lt;=ROUND($DE$3,0))*('Margin Guidence Table'!$J$1:$J$10000&gt;=ROUND($DE$3,0)),0),MATCH("CIA_MEDIAN_MARGIN_GUIDENCE",'Margin Guidence Table'!$A$1:$AG$1,0)),INDEX('Margin Guidence Table'!$A$1:$AG$10000,MATCH(1,('Margin Guidence Table'!$A$1:$A$10000=DM15)*('Margin Guidence Table'!$I$1:$I$10000&lt;=ROUND($DE$3,0))*('Margin Guidence Table'!$J$1:$J$10000&gt;=ROUND($DE$3,0)),0),MATCH("DEFAULT_CIA_MEDIAN_MARGIN_GUIDENCE",'Margin Guidence Table'!$A$1:$AG$1,0))),0)))</f>
        <v>0</v>
      </c>
      <c r="DX15" s="126"/>
      <c r="DY15" s="18">
        <f t="array" ref="DY15">IF('Customer Inputs'!$W$9="End",0,IFERROR(IF($EL15="SEGMENT",INDEX('Margin Guidence Table'!$A$1:$AG$10000,MATCH(1,('Margin Guidence Table'!$A$1:$A$10000=$EJ15)*('Margin Guidence Table'!$I$1:$I$10000&lt;=ROUND($EB$3,0))*('Margin Guidence Table'!$J$1:$J$10000&gt;=ROUND($EB$3,0)),0),MATCH("PCT_SALES",'Margin Guidence Table'!$A$1:$AG$1,0)),INDEX('Margin Guidence Table'!$A$1:$AG$10000,MATCH(1,('Margin Guidence Table'!$A$1:$A$10000=$EJ15)*('Margin Guidence Table'!$I$1:$I$10000&lt;=ROUND($EB$3,0))*('Margin Guidence Table'!$J$1:$J$10000&gt;=ROUND($EB$3,0)),0),MATCH("DEFAULT_PCT_SALES",'Margin Guidence Table'!$A$1:$AG$1,0))),0))</f>
        <v>0</v>
      </c>
      <c r="DZ15" s="297" t="e">
        <f t="shared" ref="DZ15:DZ34" si="38">DY15/$DY$35</f>
        <v>#DIV/0!</v>
      </c>
      <c r="EA15" s="99" t="s">
        <v>103</v>
      </c>
      <c r="EB15" s="91">
        <f>IF('Customer Inputs'!$W$9="End",0,IFERROR(IF(AND($EB$2&lt;&gt;"Enter Spend&gt;&gt;&gt;",$EC$2="EXISTING"),SUMIFS('Existing Customers'!$Q:$Q,'Existing Customers'!$A:$A,$EB$1,'Existing Customers'!$H:$H,$EA15)*$EB$4,$EB$3*$DZ15),0))</f>
        <v>0</v>
      </c>
      <c r="EC15" s="86">
        <f>IF('Customer Inputs'!$W$9="End",0,IFERROR(IF(AND($EB$2&lt;&gt;"Enter Spend&gt;&gt;&gt;",$EC$2="EXISTING"),SUMIFS('Existing Customers'!$N:$N,'Existing Customers'!$A:$A,$EB$1,'Existing Customers'!$H:$H,$EA15)*$EB$4,$EB15/$EM15),0))</f>
        <v>0</v>
      </c>
      <c r="ED15" s="92">
        <f>IF('Customer Inputs'!$W$9="End",0,IFERROR(IF(AND($EB$2&lt;&gt;"Enter Spend&gt;&gt;&gt;",$EC$2="EXISTING"),SUMIFS('Existing Customers'!$O:$O,'Existing Customers'!$H:$H,$EA15,'Existing Customers'!$A:$A,$EB$1)*$EB$4,$EC15*$EB$8),0))</f>
        <v>0</v>
      </c>
      <c r="EE15" s="92">
        <f>IF('Customer Inputs'!$W$9="End",0,IFERROR(IF(AND($EB$2&lt;&gt;"Enter Spend&gt;&gt;&gt;",$EC$2="EXISTING"),SUMIFS('Existing Customers'!$P:$P,'Existing Customers'!$A:$A,$EB$1,'Existing Customers'!$H:$H,$EA15)*$EB$4,$EB15/$EN15),0))</f>
        <v>0</v>
      </c>
      <c r="EF15" s="93">
        <f>IF('Customer Inputs'!$W$9="End",0,IFERROR(IF(AND($EB$2&lt;&gt;"Enter Spend&gt;&gt;&gt;",$EC$2="EXISTING"),SUMIFS('Existing Customers'!$V:$V,'Existing Customers'!$H:$H,$EA15,'Existing Customers'!$A:$A,$EB$1)*$EB$4,0),0))</f>
        <v>0</v>
      </c>
      <c r="EG15" s="93">
        <f>IF('Customer Inputs'!$W$9="End",0,IFERROR(IF(AND($EB$2&lt;&gt;"Enter Spend&gt;&gt;&gt;",$EC$2="EXISTING"),SUMIFS('Existing Customers'!$R:$R,'Existing Customers'!$H:$H,$EA15,'Existing Customers'!$A:$A,$EB$1)*$EB$4,0),0))</f>
        <v>0</v>
      </c>
      <c r="EH15" s="780">
        <f>IF('Customer Inputs'!$W$9="End",0,IFERROR(IF(AND($EB$2&lt;&gt;"Enter Spend&gt;&gt;&gt;",$EC$2="EXISTING"),SUMIFS('Existing Customers'!$S:$S,'Existing Customers'!$H:$H,$EA15,'Existing Customers'!$A:$A,$EB$1)/SUMIFS('Existing Customers'!$Q:$Q,'Existing Customers'!$A:$A,$EB$1,'Existing Customers'!$H:$H,$EA15),ER15),0))</f>
        <v>0</v>
      </c>
      <c r="EI15" s="780">
        <f>IF('Customer Inputs'!$W$9="End",0,IFERROR(IF(AND($EB$2&lt;&gt;"Enter Spend&gt;&gt;&gt;",$EC$2="EXISTING"),SUMIFS('Existing Customers'!$U:$U,'Existing Customers'!$H:$H,$EA15,'Existing Customers'!$A:$A,$EB$1)/SUMIFS('Existing Customers'!$Q:$Q,'Existing Customers'!$A:$A,$EB$1,'Existing Customers'!$H:$H,$EA15),ES15),0))</f>
        <v>0</v>
      </c>
      <c r="EJ15" s="783" t="e">
        <f>_xlfn.CONCAT('Customer Inputs'!$AH$9,"_",EA15)</f>
        <v>#N/A</v>
      </c>
      <c r="EK15" s="783">
        <f t="array" ref="EK15">IF('Customer Inputs'!$W$9="End",0,IFERROR(INDEX('Margin Guidence Table'!$A$1:$AG$10000,MATCH(1,('Margin Guidence Table'!$A$1:$A$10000=EJ15)*('Margin Guidence Table'!$I$1:$I$10000&lt;=ROUND($EB$3,0))*('Margin Guidence Table'!$J$1:$J$10000&gt;=ROUND($EB$3,0)),0),MATCH("DATA_POINTS",'Margin Guidence Table'!$A$1:$AG$1,0)),0))</f>
        <v>0</v>
      </c>
      <c r="EL15" s="780" t="str">
        <f t="shared" ref="EL15:EL34" si="39">IF(EK15&gt;15,"SEGMENT","DEFAULT")</f>
        <v>DEFAULT</v>
      </c>
      <c r="EM15" s="780">
        <f t="array" ref="EM15">IF('Customer Inputs'!$W$9="End",0,IFERROR(IF($EL15="SEGMENT",INDEX('Margin Guidence Table'!$A$1:$AG$10000,MATCH(1,('Margin Guidence Table'!$A$1:$A$10000=EJ15)*('Margin Guidence Table'!$I$1:$I$10000&lt;=ROUND($EB$3,0))*('Margin Guidence Table'!$J$1:$J$10000&gt;=ROUND($EB$3,0)),0),MATCH("SALES_CASE",'Margin Guidence Table'!$A$1:$AG$1,0)),INDEX('Margin Guidence Table'!$A$1:$AG$10000,MATCH(1,('Margin Guidence Table'!$A$1:$A$10000=EJ15)*('Margin Guidence Table'!$I$1:$I$10000&lt;=ROUND($EB$3,0))*('Margin Guidence Table'!$J$1:$J$10000&gt;=ROUND($EB$3,0)),0),MATCH("DEFAULT_SALES_CASE",'Margin Guidence Table'!$A$1:$AG$1,0))),0))</f>
        <v>0</v>
      </c>
      <c r="EN15" s="780">
        <f t="array" ref="EN15">IF('Customer Inputs'!$W$9="End",0,IFERROR(IF($EL15="SEGMENT",INDEX('Margin Guidence Table'!$A$1:$AG$10000,MATCH(1,('Margin Guidence Table'!$A$1:$A$10000=EJ15)*('Margin Guidence Table'!$I$1:$I$10000&lt;=ROUND($EB$3,0))*('Margin Guidence Table'!$J$1:$J$10000&gt;=ROUND($EB$3,0)),0),MATCH("SALES_LBS",'Margin Guidence Table'!$A$1:$AG$1,0)),INDEX('Margin Guidence Table'!$A$1:$AG$10000,MATCH(1,('Margin Guidence Table'!$A$1:$A$10000=EJ15)*('Margin Guidence Table'!$I$1:$I$10000&lt;=ROUND($EB$3,0))*('Margin Guidence Table'!$J$1:$J$10000&gt;=ROUND($EB$3,0)),0),MATCH("DEFAULT_SALES_LBS",'Margin Guidence Table'!$A$1:$AG$1,0))),0))</f>
        <v>0</v>
      </c>
      <c r="EO15" s="784">
        <f t="array" ref="EO15">IF('Customer Inputs'!$W$9="End",0,IFERROR(IF($EL15="SEGMENT",INDEX('Margin Guidence Table'!$A$1:$AG$10000,MATCH(1,('Margin Guidence Table'!$A$1:$A$10000=EJ15)*('Margin Guidence Table'!$I$1:$I$10000&lt;=ROUND($EB$3,0))*('Margin Guidence Table'!$J$1:$J$10000&gt;=ROUND($EB$3,0)),0),MATCH("MDA_MIN_MARGIN_GUIDENCE",'Margin Guidence Table'!$A$1:$AG$1,0)),INDEX('Margin Guidence Table'!$A$1:$AG$10000,MATCH(1,('Margin Guidence Table'!$A$1:$A$10000=EJ15)*('Margin Guidence Table'!$I$1:$I$10000&lt;=ROUND($EB$3,0))*('Margin Guidence Table'!$J$1:$J$10000&gt;=ROUND($EB$3,0)),0),MATCH("DEFAULT_MDA_MIN_MARGIN_GUIDENCE",'Margin Guidence Table'!$A$1:$AG$1,0))),0))</f>
        <v>0</v>
      </c>
      <c r="EP15" s="784">
        <f t="array" ref="EP15">IF('Customer Inputs'!$W$9="End",0,IFERROR(IF($EL15="SEGMENT",INDEX('Margin Guidence Table'!$A$1:$AG$10000,MATCH(1,('Margin Guidence Table'!$A$1:$A$10000=EJ15)*('Margin Guidence Table'!$I$1:$I$10000&lt;=ROUND($EB$3,0))*('Margin Guidence Table'!$J$1:$J$10000&gt;=ROUND($EB$3,0)),0),MATCH("MDA_MEDIAN_MARGIN_GUIDENCE",'Margin Guidence Table'!$A$1:$AG$1,0)),INDEX('Margin Guidence Table'!$A$1:$AG$10000,MATCH(1,('Margin Guidence Table'!$A$1:$A$10000=EJ15)*('Margin Guidence Table'!$I$1:$I$10000&lt;=ROUND($EB$3,0))*('Margin Guidence Table'!$J$1:$J$10000&gt;=ROUND($EB$3,0)),0),MATCH("DEFAULT_MDA_MEDIAN_MARGIN_GUIDENCE",'Margin Guidence Table'!$A$1:$AG$1,0))),0))</f>
        <v>0</v>
      </c>
      <c r="EQ15" s="784">
        <f t="array" ref="EQ15">IF('Customer Inputs'!$W$9="End",0,IFERROR(IF($EL15="SEGMENT",INDEX('Margin Guidence Table'!$A$1:$AG$10000,MATCH(1,('Margin Guidence Table'!$A$1:$A$10000=EJ15)*('Margin Guidence Table'!$I$1:$I$10000&lt;=ROUND($EB$3,0))*('Margin Guidence Table'!$J$1:$J$10000&gt;=ROUND($EB$3,0)),0),MATCH("MDA_MAX_MARGIN_GUIDENCE",'Margin Guidence Table'!$A$1:$AG$1,0)),INDEX('Margin Guidence Table'!$A$1:$AG$10000,MATCH(1,('Margin Guidence Table'!$A$1:$A$10000=EJ15)*('Margin Guidence Table'!$I$1:$I$10000&lt;=ROUND($EB$3,0))*('Margin Guidence Table'!$J$1:$J$10000&gt;=ROUND($EB$3,0)),0),MATCH("DEFAULT_MDA_MAX_MARGIN_GUIDENCE",'Margin Guidence Table'!$A$1:$AG$1,0))),0))</f>
        <v>0</v>
      </c>
      <c r="ER15" s="784">
        <f t="array" ref="ER15">IF('Customer Inputs'!$W$9="End",0,IFERROR(IF($EL15="SEGMENT",INDEX('Margin Guidence Table'!$A$1:$AG$10000,MATCH(1,('Margin Guidence Table'!$A$1:$A$10000=EJ15)*('Margin Guidence Table'!$I$1:$I$10000&lt;=ROUND($EB$3,0))*('Margin Guidence Table'!$J$1:$J$10000&gt;=ROUND($EB$3,0)),0),MATCH("PA_PCT_SALES",'Margin Guidence Table'!$A$1:$AG$1,0)),INDEX('Margin Guidence Table'!$A$1:$AG$10000,MATCH(1,('Margin Guidence Table'!$A$1:$A$10000=EJ15)*('Margin Guidence Table'!$I$1:$I$10000&lt;=ROUND($EB$3,0))*('Margin Guidence Table'!$J$1:$J$10000&gt;=ROUND($EB$3,0)),0),MATCH("DEFAULT_PA_PCT_SALES",'Margin Guidence Table'!$A$1:$AG$1,0))),0))</f>
        <v>0</v>
      </c>
      <c r="ES15" s="784">
        <f t="array" ref="ES15">IF('Customer Inputs'!$W$9="End",0,IFERROR(IF($EL15="SEGMENT",INDEX('Margin Guidence Table'!$A$1:$AG$10000,MATCH(1,('Margin Guidence Table'!$A$1:$A$10000=EJ15)*('Margin Guidence Table'!$I$1:$I$10000&lt;=ROUND($EB$3,0))*('Margin Guidence Table'!$J$1:$J$10000&gt;=ROUND($EB$3,0)),0),MATCH("SELF_FUND_PCT_SALES",'Margin Guidence Table'!$A$1:$AG$1,0)),INDEX('Margin Guidence Table'!$A$1:$AG$10000,MATCH(1,('Margin Guidence Table'!$A$1:$A$10000=EJ15)*('Margin Guidence Table'!$I$1:$I$10000&lt;=ROUND($EB$3,0))*('Margin Guidence Table'!$J$1:$J$10000&gt;=ROUND($EB$3,0)),0),MATCH("DEFAULT_SELF_FUND_PCT_SALES",'Margin Guidence Table'!$A$1:$AG$1,0))),0))</f>
        <v>0</v>
      </c>
      <c r="ET15" s="784">
        <f t="array" ref="ET15">IF('Customer Inputs'!$W$9="End",0,IF($EC$2="Existing",IFERROR(SUMIFS('Existing Customers'!$V:$V,'Existing Customers'!$H:$H,$EA15,'Existing Customers'!$A:$A,$EB$1)/SUMIFS('Existing Customers'!$Q:$Q,'Existing Customers'!$H:$H,$EA15,'Existing Customers'!$A:$A,$EB$1),0),IFERROR(IF($EL15="SEGMENT",INDEX('Margin Guidence Table'!$A$1:$AG$10000,MATCH(1,('Margin Guidence Table'!$A$1:$A$10000=EJ15)*('Margin Guidence Table'!$I$1:$I$10000&lt;=ROUND($EB$3,0))*('Margin Guidence Table'!$J$1:$J$10000&gt;=ROUND($EB$3,0)),0),MATCH("CIA_MEDIAN_MARGIN_GUIDENCE",'Margin Guidence Table'!$A$1:$AG$1,0)),INDEX('Margin Guidence Table'!$A$1:$AG$10000,MATCH(1,('Margin Guidence Table'!$A$1:$A$10000=EJ15)*('Margin Guidence Table'!$I$1:$I$10000&lt;=ROUND($EB$3,0))*('Margin Guidence Table'!$J$1:$J$10000&gt;=ROUND($EB$3,0)),0),MATCH("DEFAULT_CIA_MEDIAN_MARGIN_GUIDENCE",'Margin Guidence Table'!$A$1:$AG$1,0))),0)))</f>
        <v>0</v>
      </c>
      <c r="EU15" s="126"/>
      <c r="EV15" s="18">
        <f t="array" ref="EV15">IF('Customer Inputs'!$W$10="End",0,IFERROR(IF($FI15="SEGMENT",INDEX('Margin Guidence Table'!$A$1:$AG$10000,MATCH(1,('Margin Guidence Table'!$A$1:$A$10000=$FG15)*('Margin Guidence Table'!$I$1:$I$10000&lt;=ROUND($EY$3,0))*('Margin Guidence Table'!$J$1:$J$10000&gt;=ROUND($EY$3,0)),0),MATCH("PCT_SALES",'Margin Guidence Table'!$A$1:$AG$1,0)),INDEX('Margin Guidence Table'!$A$1:$AG$10000,MATCH(1,('Margin Guidence Table'!$A$1:$A$10000=$FG15)*('Margin Guidence Table'!$I$1:$I$10000&lt;=ROUND($EY$3,0))*('Margin Guidence Table'!$J$1:$J$10000&gt;=ROUND($EY$3,0)),0),MATCH("DEFAULT_PCT_SALES",'Margin Guidence Table'!$A$1:$AG$1,0))),0))</f>
        <v>0</v>
      </c>
      <c r="EW15" s="297" t="e">
        <f t="shared" ref="EW15:EW34" si="40">EV15/$EV$35</f>
        <v>#DIV/0!</v>
      </c>
      <c r="EX15" s="99" t="s">
        <v>103</v>
      </c>
      <c r="EY15" s="91">
        <f>IF('Customer Inputs'!$W$10="End",0,IFERROR(IF(AND($EY$2&lt;&gt;"Enter Spend&gt;&gt;&gt;",$EZ$2="EXISTING"),SUMIFS('Existing Customers'!$Q:$Q,'Existing Customers'!$A:$A,$EY$1,'Existing Customers'!$H:$H,$EX15)*$EY$4,$EY$3*$EW15),0))</f>
        <v>0</v>
      </c>
      <c r="EZ15" s="86">
        <f>IF('Customer Inputs'!$W$10="End",0,IFERROR(IF(AND($EY$2&lt;&gt;"Enter Spend&gt;&gt;&gt;",$EZ$2="EXISTING"),SUMIFS('Existing Customers'!$N:$N,'Existing Customers'!$A:$A,$EY$1,'Existing Customers'!$H:$H,$EX15)*$EY$4,$EY15/$FJ15),0))</f>
        <v>0</v>
      </c>
      <c r="FA15" s="92">
        <f>IF('Customer Inputs'!$W$10="End",0,IFERROR(IF(AND($EY$2&lt;&gt;"Enter Spend&gt;&gt;&gt;",$EZ$2="EXISTING"),SUMIFS('Existing Customers'!$O:$O,'Existing Customers'!$H:$H,$EX15,'Existing Customers'!$A:$A,$EY$1)*$EY$4,$EZ15*$EY$8),0))</f>
        <v>0</v>
      </c>
      <c r="FB15" s="92">
        <f>IF('Customer Inputs'!$W$10="End",0,IFERROR(IF(AND($EY$2&lt;&gt;"Enter Spend&gt;&gt;&gt;",$EZ$2="EXISTING"),SUMIFS('Existing Customers'!$P:$P,'Existing Customers'!$A:$A,$EY$1,'Existing Customers'!$H:$H,$EX15)*$EY$4,$EY15/$FK15),0))</f>
        <v>0</v>
      </c>
      <c r="FC15" s="93">
        <f>IF('Customer Inputs'!$W$10="End",0,IFERROR(IF(AND($EY$2&lt;&gt;"Enter Spend&gt;&gt;&gt;",$EZ$2="EXISTING"),SUMIFS('Existing Customers'!$V:$V,'Existing Customers'!$H:$H,$EX15,'Existing Customers'!$A:$A,$EY$1)*$EY$4,0),0))</f>
        <v>0</v>
      </c>
      <c r="FD15" s="93">
        <f>IF('Customer Inputs'!$W$10="End",0,IFERROR(IF(AND($EY$2&lt;&gt;"Enter Spend&gt;&gt;&gt;",$EZ$2="EXISTING"),SUMIFS('Existing Customers'!$R:$R,'Existing Customers'!$H:$H,$EX15,'Existing Customers'!$A:$A,$EY$1)*$EY$4,0),0))</f>
        <v>0</v>
      </c>
      <c r="FE15" s="780">
        <f>IF('Customer Inputs'!$W$10="End",0,IFERROR(IF(AND($EY$2&lt;&gt;"Enter Spend&gt;&gt;&gt;",$EZ$2="EXISTING"),SUMIFS('Existing Customers'!$S:$S,'Existing Customers'!$H:$H,$EX15,'Existing Customers'!$A:$A,$EY$1)/SUMIFS('Existing Customers'!$Q:$Q,'Existing Customers'!$A:$A,$EY$1,'Existing Customers'!$H:$H,$EX15),FO15),0))</f>
        <v>0</v>
      </c>
      <c r="FF15" s="780">
        <f>IF('Customer Inputs'!$W$10="End",0,IFERROR(IF(AND($EY$2&lt;&gt;"Enter Spend&gt;&gt;&gt;",$EZ$2="EXISTING"),SUMIFS('Existing Customers'!$U:$U,'Existing Customers'!$H:$H,$EX15,'Existing Customers'!$A:$A,$EY$1)/SUMIFS('Existing Customers'!$Q:$Q,'Existing Customers'!$A:$A,$EY$1,'Existing Customers'!$H:$H,$EX15),FP15),0))</f>
        <v>0</v>
      </c>
      <c r="FG15" s="783" t="e">
        <f>_xlfn.CONCAT('Customer Inputs'!$AH$10,"_",EX15)</f>
        <v>#N/A</v>
      </c>
      <c r="FH15" s="783">
        <f t="array" ref="FH15">IF('Customer Inputs'!$W$10="End",0,IFERROR(INDEX('Margin Guidence Table'!$A$1:$AG$10000,MATCH(1,('Margin Guidence Table'!$A$1:$A$10000=FG15)*('Margin Guidence Table'!$I$1:$I$10000&lt;=ROUND($EY$3,0))*('Margin Guidence Table'!$J$1:$J$10000&gt;=ROUND($EY$3,0)),0),MATCH("DATA_POINTS",'Margin Guidence Table'!$A$1:$AG$1,0)),0))</f>
        <v>0</v>
      </c>
      <c r="FI15" s="780" t="str">
        <f t="shared" ref="FI15:FI34" si="41">IF(FH15&gt;15,"SEGMENT","DEFAULT")</f>
        <v>DEFAULT</v>
      </c>
      <c r="FJ15" s="780">
        <f t="array" ref="FJ15">IF('Customer Inputs'!$W$10="End",0,IFERROR(IF($FI15="SEGMENT",INDEX('Margin Guidence Table'!$A$1:$AG$10000,MATCH(1,('Margin Guidence Table'!$A$1:$A$10000=FG15)*('Margin Guidence Table'!$I$1:$I$10000&lt;=ROUND($EY$3,0))*('Margin Guidence Table'!$J$1:$J$10000&gt;=ROUND($EY$3,0)),0),MATCH("SALES_CASE",'Margin Guidence Table'!$A$1:$AG$1,0)),INDEX('Margin Guidence Table'!$A$1:$AG$10000,MATCH(1,('Margin Guidence Table'!$A$1:$A$10000=FG15)*('Margin Guidence Table'!$I$1:$I$10000&lt;=ROUND($EY$3,0))*('Margin Guidence Table'!$J$1:$J$10000&gt;=ROUND($EY$3,0)),0),MATCH("DEFAULT_SALES_CASE",'Margin Guidence Table'!$A$1:$AG$1,0))),0))</f>
        <v>0</v>
      </c>
      <c r="FK15" s="780">
        <f t="array" ref="FK15">IF('Customer Inputs'!$W$10="End",0,IFERROR(IF($FI15="SEGMENT",INDEX('Margin Guidence Table'!$A$1:$AG$10000,MATCH(1,('Margin Guidence Table'!$A$1:$A$10000=FG15)*('Margin Guidence Table'!$I$1:$I$10000&lt;=ROUND($EY$3,0))*('Margin Guidence Table'!$J$1:$J$10000&gt;=ROUND($EY$3,0)),0),MATCH("SALES_LBS",'Margin Guidence Table'!$A$1:$AG$1,0)),INDEX('Margin Guidence Table'!$A$1:$AG$10000,MATCH(1,('Margin Guidence Table'!$A$1:$A$10000=FG15)*('Margin Guidence Table'!$I$1:$I$10000&lt;=ROUND($EY$3,0))*('Margin Guidence Table'!$J$1:$J$10000&gt;=ROUND($EY$3,0)),0),MATCH("DEFAULT_SALES_LBS",'Margin Guidence Table'!$A$1:$AG$1,0))),0))</f>
        <v>0</v>
      </c>
      <c r="FL15" s="784">
        <f t="array" ref="FL15">IF('Customer Inputs'!$W$10="End",0,IFERROR(IF($FI15="SEGMENT",INDEX('Margin Guidence Table'!$A$1:$AG$10000,MATCH(1,('Margin Guidence Table'!$A$1:$A$10000=FG15)*('Margin Guidence Table'!$I$1:$I$10000&lt;=ROUND($EY$3,0))*('Margin Guidence Table'!$J$1:$J$10000&gt;=ROUND($EY$3,0)),0),MATCH("MDA_MIN_MARGIN_GUIDENCE",'Margin Guidence Table'!$A$1:$AG$1,0)),INDEX('Margin Guidence Table'!$A$1:$AG$10000,MATCH(1,('Margin Guidence Table'!$A$1:$A$10000=FG15)*('Margin Guidence Table'!$I$1:$I$10000&lt;=ROUND($EY$3,0))*('Margin Guidence Table'!$J$1:$J$10000&gt;=ROUND($EY$3,0)),0),MATCH("DEFAULT_MDA_MIN_MARGIN_GUIDENCE",'Margin Guidence Table'!$A$1:$AG$1,0))),0))</f>
        <v>0</v>
      </c>
      <c r="FM15" s="784">
        <f t="array" ref="FM15">IF('Customer Inputs'!$W$10="End",0,IFERROR(IF($FI15="SEGMENT",INDEX('Margin Guidence Table'!$A$1:$AG$10000,MATCH(1,('Margin Guidence Table'!$A$1:$A$10000=FG15)*('Margin Guidence Table'!$I$1:$I$10000&lt;=ROUND($EY$3,0))*('Margin Guidence Table'!$J$1:$J$10000&gt;=ROUND($EY$3,0)),0),MATCH("MDA_MEDIAN_MARGIN_GUIDENCE",'Margin Guidence Table'!$A$1:$AG$1,0)),INDEX('Margin Guidence Table'!$A$1:$AG$10000,MATCH(1,('Margin Guidence Table'!$A$1:$A$10000=FG15)*('Margin Guidence Table'!$I$1:$I$10000&lt;=ROUND($EY$3,0))*('Margin Guidence Table'!$J$1:$J$10000&gt;=ROUND($EY$3,0)),0),MATCH("DEFAULT_MDA_MEDIAN_MARGIN_GUIDENCE",'Margin Guidence Table'!$A$1:$AG$1,0))),0))</f>
        <v>0</v>
      </c>
      <c r="FN15" s="784">
        <f t="array" ref="FN15">IF('Customer Inputs'!$W$10="End",0,IFERROR(IF($FI15="SEGMENT",INDEX('Margin Guidence Table'!$A$1:$AG$10000,MATCH(1,('Margin Guidence Table'!$A$1:$A$10000=FG15)*('Margin Guidence Table'!$I$1:$I$10000&lt;=ROUND($EY$3,0))*('Margin Guidence Table'!$J$1:$J$10000&gt;=ROUND($EY$3,0)),0),MATCH("MDA_MAX_MARGIN_GUIDENCE",'Margin Guidence Table'!$A$1:$AG$1,0)),INDEX('Margin Guidence Table'!$A$1:$AG$10000,MATCH(1,('Margin Guidence Table'!$A$1:$A$10000=FG15)*('Margin Guidence Table'!$I$1:$I$10000&lt;=ROUND($EY$3,0))*('Margin Guidence Table'!$J$1:$J$10000&gt;=ROUND($EY$3,0)),0),MATCH("DEFAULT_MDA_MAX_MARGIN_GUIDENCE",'Margin Guidence Table'!$A$1:$AG$1,0))),0))</f>
        <v>0</v>
      </c>
      <c r="FO15" s="784">
        <f t="array" ref="FO15">IF('Customer Inputs'!$W$10="End",0,IFERROR(IF($FI15="SEGMENT",INDEX('Margin Guidence Table'!$A$1:$AG$10000,MATCH(1,('Margin Guidence Table'!$A$1:$A$10000=FG15)*('Margin Guidence Table'!$I$1:$I$10000&lt;=ROUND($EY$3,0))*('Margin Guidence Table'!$J$1:$J$10000&gt;=ROUND($EY$3,0)),0),MATCH("PA_PCT_SALES",'Margin Guidence Table'!$A$1:$AG$1,0)),INDEX('Margin Guidence Table'!$A$1:$AG$10000,MATCH(1,('Margin Guidence Table'!$A$1:$A$10000=FG15)*('Margin Guidence Table'!$I$1:$I$10000&lt;=ROUND($EY$3,0))*('Margin Guidence Table'!$J$1:$J$10000&gt;=ROUND($EY$3,0)),0),MATCH("DEFAULT_PA_PCT_SALES",'Margin Guidence Table'!$A$1:$AG$1,0))),0))</f>
        <v>0</v>
      </c>
      <c r="FP15" s="784">
        <f t="array" ref="FP15">IF('Customer Inputs'!$W$10="End",0,IFERROR(IF($FI15="SEGMENT",INDEX('Margin Guidence Table'!$A$1:$AG$10000,MATCH(1,('Margin Guidence Table'!$A$1:$A$10000=FG15)*('Margin Guidence Table'!$I$1:$I$10000&lt;=ROUND($EY$3,0))*('Margin Guidence Table'!$J$1:$J$10000&gt;=ROUND($EY$3,0)),0),MATCH("SELF_FUND_PCT_SALES",'Margin Guidence Table'!$A$1:$AG$1,0)),INDEX('Margin Guidence Table'!$A$1:$AG$10000,MATCH(1,('Margin Guidence Table'!$A$1:$A$10000=FG15)*('Margin Guidence Table'!$I$1:$I$10000&lt;=ROUND($EY$3,0))*('Margin Guidence Table'!$J$1:$J$10000&gt;=ROUND($EY$3,0)),0),MATCH("DEFAULT_SELF_FUND_PCT_SALES",'Margin Guidence Table'!$A$1:$AG$1,0))),0))</f>
        <v>0</v>
      </c>
      <c r="FQ15" s="784">
        <f t="array" ref="FQ15">IF('Customer Inputs'!$W$10="End",0,IF($EZ$2="Existing",IFERROR(SUMIFS('Existing Customers'!$V:$V,'Existing Customers'!$H:$H,$EX15,'Existing Customers'!$A:$A,$EY$1)/SUMIFS('Existing Customers'!$Q:$Q,'Existing Customers'!$H:$H,$EX15,'Existing Customers'!$A:$A,$EY$1),0),IFERROR(IF($FI15="SEGMENT",INDEX('Margin Guidence Table'!$A$1:$AG$10000,MATCH(1,('Margin Guidence Table'!$A$1:$A$10000=FG15)*('Margin Guidence Table'!$I$1:$I$10000&lt;=ROUND($EY$3,0))*('Margin Guidence Table'!$J$1:$J$10000&gt;=ROUND($EY$3,0)),0),MATCH("CIA_MEDIAN_MARGIN_GUIDENCE",'Margin Guidence Table'!$A$1:$AG$1,0)),INDEX('Margin Guidence Table'!$A$1:$AG$10000,MATCH(1,('Margin Guidence Table'!$A$1:$A$10000=FG15)*('Margin Guidence Table'!$I$1:$I$10000&lt;=ROUND($EY$3,0))*('Margin Guidence Table'!$J$1:$J$10000&gt;=ROUND($EY$3,0)),0),MATCH("DEFAULT_CIA_MEDIAN_MARGIN_GUIDENCE",'Margin Guidence Table'!$A$1:$AG$1,0))),0)))</f>
        <v>0</v>
      </c>
      <c r="FR15" s="126"/>
      <c r="FS15" s="18">
        <f t="array" ref="FS15">IF('Customer Inputs'!$W$11="End",0,IFERROR(IF($GF15="SEGMENT",INDEX('Margin Guidence Table'!$A$1:$AG$10000,MATCH(1,('Margin Guidence Table'!$A$1:$A$10000=$GD15)*('Margin Guidence Table'!$I$1:$I$10000&lt;=ROUND($FV$3,0))*('Margin Guidence Table'!$J$1:$J$10000&gt;=ROUND($FV$3,0)),0),MATCH("PCT_SALES",'Margin Guidence Table'!$A$1:$AG$1,0)),INDEX('Margin Guidence Table'!$A$1:$AG$10000,MATCH(1,('Margin Guidence Table'!$A$1:$A$10000=$GD15)*('Margin Guidence Table'!$I$1:$I$10000&lt;=ROUND($FV$3,0))*('Margin Guidence Table'!$J$1:$J$10000&gt;=ROUND($FV$3,0)),0),MATCH("DEFAULT_PCT_SALES",'Margin Guidence Table'!$A$1:$AG$1,0))),0))</f>
        <v>0</v>
      </c>
      <c r="FT15" s="297" t="e">
        <f t="shared" ref="FT15:FT34" si="42">FS15/$FS$35</f>
        <v>#DIV/0!</v>
      </c>
      <c r="FU15" s="99" t="s">
        <v>103</v>
      </c>
      <c r="FV15" s="91">
        <f>IF('Customer Inputs'!$W$11="End",0,IFERROR(IF(AND($FV$2&lt;&gt;"Enter Spend&gt;&gt;&gt;",$FW$2="EXISTING"),SUMIFS('Existing Customers'!$Q:$Q,'Existing Customers'!$A:$A,$FV$1,'Existing Customers'!$H:$H,$FU15)*$FV$4,$FV$3*$FT15),0))</f>
        <v>0</v>
      </c>
      <c r="FW15" s="86">
        <f>IF('Customer Inputs'!$W$11="End",0,IFERROR(IF(AND($FV$2&lt;&gt;"Enter Spend&gt;&gt;&gt;",$FW$2="EXISTING"),SUMIFS('Existing Customers'!$N:$N,'Existing Customers'!$A:$A,$FV$1,'Existing Customers'!$H:$H,$FU15)*$FV$4,$FV15/$GG15),0))</f>
        <v>0</v>
      </c>
      <c r="FX15" s="92">
        <f>IF('Customer Inputs'!$W$11="End",0,IFERROR(IF(AND($FV$2&lt;&gt;"Enter Spend&gt;&gt;&gt;",$FW$2="EXISTING"),SUMIFS('Existing Customers'!$O:$O,'Existing Customers'!$H:$H,$FU15,'Existing Customers'!$A:$A,$FV$1)*$FV$4,$FW15*$FV$8),0))</f>
        <v>0</v>
      </c>
      <c r="FY15" s="92">
        <f>IF('Customer Inputs'!$W$11="End",0,IFERROR(IF(AND($FV$2&lt;&gt;"Enter Spend&gt;&gt;&gt;",$FW$2="EXISTING"),SUMIFS('Existing Customers'!$P:$P,'Existing Customers'!$A:$A,$FV$1,'Existing Customers'!$H:$H,$FU15)*$FV$4,$FV15/$GH15),0))</f>
        <v>0</v>
      </c>
      <c r="FZ15" s="93">
        <f>IF('Customer Inputs'!$W$11="End",0,IFERROR(IF(AND($FV$2&lt;&gt;"Enter Spend&gt;&gt;&gt;",$FW$2="EXISTING"),SUMIFS('Existing Customers'!$V:$V,'Existing Customers'!$H:$H,$FU15,'Existing Customers'!$A:$A,$FV$1)*$FV$4,0),0))</f>
        <v>0</v>
      </c>
      <c r="GA15" s="93">
        <f>IF('Customer Inputs'!$W$11="End",0,IFERROR(IF(AND($FV$2&lt;&gt;"Enter Spend&gt;&gt;&gt;",$FW$2="EXISTING"),SUMIFS('Existing Customers'!$R:$R,'Existing Customers'!$H:$H,$FU15,'Existing Customers'!$A:$A,$FV$1)*$FV$4,0),0))</f>
        <v>0</v>
      </c>
      <c r="GB15" s="780">
        <f>IF('Customer Inputs'!$W$11="End",0,IFERROR(IF(AND($FV$2&lt;&gt;"Enter Spend&gt;&gt;&gt;",$FW$2="EXISTING"),SUMIFS('Existing Customers'!$S:$S,'Existing Customers'!$H:$H,$FU15,'Existing Customers'!$A:$A,$FV$1)/SUMIFS('Existing Customers'!$Q:$Q,'Existing Customers'!$A:$A,$FV$1,'Existing Customers'!$H:$H,$FU15),GL15),0))</f>
        <v>0</v>
      </c>
      <c r="GC15" s="780">
        <f>IF('Customer Inputs'!$W$11="End",0,IFERROR(IF(AND($FV$2&lt;&gt;"Enter Spend&gt;&gt;&gt;",$FW$2="EXISTING"),SUMIFS('Existing Customers'!$U:$U,'Existing Customers'!$H:$H,$FU15,'Existing Customers'!$A:$A,$FV$1)/SUMIFS('Existing Customers'!$Q:$Q,'Existing Customers'!$A:$A,$FV$1,'Existing Customers'!$H:$H,$FU15),GM15),0))</f>
        <v>0</v>
      </c>
      <c r="GD15" s="783" t="e">
        <f>_xlfn.CONCAT('Customer Inputs'!$AH$11,"_",FU15)</f>
        <v>#N/A</v>
      </c>
      <c r="GE15" s="783">
        <f t="array" ref="GE15">IF('Customer Inputs'!$W$11="End",0,IFERROR(INDEX('Margin Guidence Table'!$A$1:$AG$10000,MATCH(1,('Margin Guidence Table'!$A$1:$A$10000=GD15)*('Margin Guidence Table'!$I$1:$I$10000&lt;=ROUND($FV$3,0))*('Margin Guidence Table'!$J$1:$J$10000&gt;=ROUND($FV$3,0)),0),MATCH("DATA_POINTS",'Margin Guidence Table'!$A$1:$AG$1,0)),0))</f>
        <v>0</v>
      </c>
      <c r="GF15" s="780" t="str">
        <f t="shared" ref="GF15:GF34" si="43">IF(GE15&gt;15,"SEGMENT","DEFAULT")</f>
        <v>DEFAULT</v>
      </c>
      <c r="GG15" s="780">
        <f t="array" ref="GG15">IF('Customer Inputs'!$W$11="End",0,IFERROR(IF($GF15="SEGMENT",INDEX('Margin Guidence Table'!$A$1:$AG$10000,MATCH(1,('Margin Guidence Table'!$A$1:$A$10000=GD15)*('Margin Guidence Table'!$I$1:$I$10000&lt;=ROUND($FV$3,0))*('Margin Guidence Table'!$J$1:$J$10000&gt;=ROUND($FV$3,0)),0),MATCH("SALES_CASE",'Margin Guidence Table'!$A$1:$AG$1,0)),INDEX('Margin Guidence Table'!$A$1:$AG$10000,MATCH(1,('Margin Guidence Table'!$A$1:$A$10000=GD15)*('Margin Guidence Table'!$I$1:$I$10000&lt;=ROUND($FV$3,0))*('Margin Guidence Table'!$J$1:$J$10000&gt;=ROUND($FV$3,0)),0),MATCH("DEFAULT_SALES_CASE",'Margin Guidence Table'!$A$1:$AG$1,0))),0))</f>
        <v>0</v>
      </c>
      <c r="GH15" s="780">
        <f t="array" ref="GH15">IF('Customer Inputs'!$W$11="End",0,IFERROR(IF($GF15="SEGMENT",INDEX('Margin Guidence Table'!$A$1:$AG$10000,MATCH(1,('Margin Guidence Table'!$A$1:$A$10000=GD15)*('Margin Guidence Table'!$I$1:$I$10000&lt;=ROUND($FV$3,0))*('Margin Guidence Table'!$J$1:$J$10000&gt;=ROUND($FV$3,0)),0),MATCH("SALES_LBS",'Margin Guidence Table'!$A$1:$AG$1,0)),INDEX('Margin Guidence Table'!$A$1:$AG$10000,MATCH(1,('Margin Guidence Table'!$A$1:$A$10000=GD15)*('Margin Guidence Table'!$I$1:$I$10000&lt;=ROUND($FV$3,0))*('Margin Guidence Table'!$J$1:$J$10000&gt;=ROUND($FV$3,0)),0),MATCH("DEFAULT_SALES_LBS",'Margin Guidence Table'!$A$1:$AG$1,0))),0))</f>
        <v>0</v>
      </c>
      <c r="GI15" s="784">
        <f t="array" ref="GI15">IF('Customer Inputs'!$W$11="End",0,IFERROR(IF($GF15="SEGMENT",INDEX('Margin Guidence Table'!$A$1:$AG$10000,MATCH(1,('Margin Guidence Table'!$A$1:$A$10000=GD15)*('Margin Guidence Table'!$I$1:$I$10000&lt;=ROUND($FV$3,0))*('Margin Guidence Table'!$J$1:$J$10000&gt;=ROUND($FV$3,0)),0),MATCH("MDA_MIN_MARGIN_GUIDENCE",'Margin Guidence Table'!$A$1:$AG$1,0)),INDEX('Margin Guidence Table'!$A$1:$AG$10000,MATCH(1,('Margin Guidence Table'!$A$1:$A$10000=GD15)*('Margin Guidence Table'!$I$1:$I$10000&lt;=ROUND($FV$3,0))*('Margin Guidence Table'!$J$1:$J$10000&gt;=ROUND($FV$3,0)),0),MATCH("DEFAULT_MDA_MIN_MARGIN_GUIDENCE",'Margin Guidence Table'!$A$1:$AG$1,0))),0))</f>
        <v>0</v>
      </c>
      <c r="GJ15" s="784">
        <f t="array" ref="GJ15">IF('Customer Inputs'!$W$11="End",0,IFERROR(IF($GF15="SEGMENT",INDEX('Margin Guidence Table'!$A$1:$AG$10000,MATCH(1,('Margin Guidence Table'!$A$1:$A$10000=GD15)*('Margin Guidence Table'!$I$1:$I$10000&lt;=ROUND($FV$3,0))*('Margin Guidence Table'!$J$1:$J$10000&gt;=ROUND($FV$3,0)),0),MATCH("MDA_MEDIAN_MARGIN_GUIDENCE",'Margin Guidence Table'!$A$1:$AG$1,0)),INDEX('Margin Guidence Table'!$A$1:$AG$10000,MATCH(1,('Margin Guidence Table'!$A$1:$A$10000=GD15)*('Margin Guidence Table'!$I$1:$I$10000&lt;=ROUND($FV$3,0))*('Margin Guidence Table'!$J$1:$J$10000&gt;=ROUND($FV$3,0)),0),MATCH("DEFAULT_MDA_MEDIAN_MARGIN_GUIDENCE",'Margin Guidence Table'!$A$1:$AG$1,0))),0))</f>
        <v>0</v>
      </c>
      <c r="GK15" s="784">
        <f t="array" ref="GK15">IF('Customer Inputs'!$W$11="End",0,IFERROR(IF($GF15="SEGMENT",INDEX('Margin Guidence Table'!$A$1:$AG$10000,MATCH(1,('Margin Guidence Table'!$A$1:$A$10000=GD15)*('Margin Guidence Table'!$I$1:$I$10000&lt;=ROUND($FV$3,0))*('Margin Guidence Table'!$J$1:$J$10000&gt;=ROUND($FV$3,0)),0),MATCH("MDA_MAX_MARGIN_GUIDENCE",'Margin Guidence Table'!$A$1:$AG$1,0)),INDEX('Margin Guidence Table'!$A$1:$AG$10000,MATCH(1,('Margin Guidence Table'!$A$1:$A$10000=GD15)*('Margin Guidence Table'!$I$1:$I$10000&lt;=ROUND($FV$3,0))*('Margin Guidence Table'!$J$1:$J$10000&gt;=ROUND($FV$3,0)),0),MATCH("DEFAULT_MDA_MAX_MARGIN_GUIDENCE",'Margin Guidence Table'!$A$1:$AG$1,0))),0))</f>
        <v>0</v>
      </c>
      <c r="GL15" s="784">
        <f t="array" ref="GL15">IF('Customer Inputs'!$W$11="End",0,IFERROR(IF($GF15="SEGMENT",INDEX('Margin Guidence Table'!$A$1:$AG$10000,MATCH(1,('Margin Guidence Table'!$A$1:$A$10000=GD15)*('Margin Guidence Table'!$I$1:$I$10000&lt;=ROUND($FV$3,0))*('Margin Guidence Table'!$J$1:$J$10000&gt;=ROUND($FV$3,0)),0),MATCH("PA_PCT_SALES",'Margin Guidence Table'!$A$1:$AG$1,0)),INDEX('Margin Guidence Table'!$A$1:$AG$10000,MATCH(1,('Margin Guidence Table'!$A$1:$A$10000=GD15)*('Margin Guidence Table'!$I$1:$I$10000&lt;=ROUND($FV$3,0))*('Margin Guidence Table'!$J$1:$J$10000&gt;=ROUND($FV$3,0)),0),MATCH("DEFAULT_PA_PCT_SALES",'Margin Guidence Table'!$A$1:$AG$1,0))),0))</f>
        <v>0</v>
      </c>
      <c r="GM15" s="784">
        <f t="array" ref="GM15">IF('Customer Inputs'!$W$11="End",0,IFERROR(IF($GF15="SEGMENT",INDEX('Margin Guidence Table'!$A$1:$AG$10000,MATCH(1,('Margin Guidence Table'!$A$1:$A$10000=GD15)*('Margin Guidence Table'!$I$1:$I$10000&lt;=ROUND($FV$3,0))*('Margin Guidence Table'!$J$1:$J$10000&gt;=ROUND($FV$3,0)),0),MATCH("SELF_FUND_PCT_SALES",'Margin Guidence Table'!$A$1:$AG$1,0)),INDEX('Margin Guidence Table'!$A$1:$AG$10000,MATCH(1,('Margin Guidence Table'!$A$1:$A$10000=GD15)*('Margin Guidence Table'!$I$1:$I$10000&lt;=ROUND($FV$3,0))*('Margin Guidence Table'!$J$1:$J$10000&gt;=ROUND($FV$3,0)),0),MATCH("DEFAULT_SELF_FUND_PCT_SALES",'Margin Guidence Table'!$A$1:$AG$1,0))),0))</f>
        <v>0</v>
      </c>
      <c r="GN15" s="784">
        <f t="array" ref="GN15">IF('Customer Inputs'!$W$11="End",0,IF($FW$2="Existing",IFERROR(SUMIFS('Existing Customers'!$V:$V,'Existing Customers'!$H:$H,$FU15,'Existing Customers'!$A:$A,$FV$1)/SUMIFS('Existing Customers'!$Q:$Q,'Existing Customers'!$H:$H,$FU15,'Existing Customers'!$A:$A,$FV$1),0),IFERROR(IF($GF15="SEGMENT",INDEX('Margin Guidence Table'!$A$1:$AG$10000,MATCH(1,('Margin Guidence Table'!$A$1:$A$10000=GD15)*('Margin Guidence Table'!$I$1:$I$10000&lt;=ROUND($FV$3,0))*('Margin Guidence Table'!$J$1:$J$10000&gt;=ROUND($FV$3,0)),0),MATCH("CIA_MEDIAN_MARGIN_GUIDENCE",'Margin Guidence Table'!$A$1:$AG$1,0)),INDEX('Margin Guidence Table'!$A$1:$AG$10000,MATCH(1,('Margin Guidence Table'!$A$1:$A$10000=GD15)*('Margin Guidence Table'!$I$1:$I$10000&lt;=ROUND($FV$3,0))*('Margin Guidence Table'!$J$1:$J$10000&gt;=ROUND($FV$3,0)),0),MATCH("DEFAULT_CIA_MEDIAN_MARGIN_GUIDENCE",'Margin Guidence Table'!$A$1:$AG$1,0))),0)))</f>
        <v>0</v>
      </c>
      <c r="GO15" s="126"/>
      <c r="GP15" s="18">
        <f t="array" ref="GP15">IF('Customer Inputs'!$W$12="End",0,IFERROR(IF($HC15="SEGMENT",INDEX('Margin Guidence Table'!$A$1:$AG$10000,MATCH(1,('Margin Guidence Table'!$A$1:$A$10000=$HA15)*('Margin Guidence Table'!$I$1:$I$10000&lt;=ROUND($GS$3,0))*('Margin Guidence Table'!$J$1:$J$10000&gt;=ROUND($GS$3,0)),0),MATCH("PCT_SALES",'Margin Guidence Table'!$A$1:$AG$1,0)),INDEX('Margin Guidence Table'!$A$1:$AG$10000,MATCH(1,('Margin Guidence Table'!$A$1:$A$10000=$HA15)*('Margin Guidence Table'!$I$1:$I$10000&lt;=ROUND($GS$3,0))*('Margin Guidence Table'!$J$1:$J$10000&gt;=ROUND($GS$3,0)),0),MATCH("DEFAULT_PCT_SALES",'Margin Guidence Table'!$A$1:$AG$1,0))),0))</f>
        <v>0</v>
      </c>
      <c r="GQ15" s="297" t="e">
        <f t="shared" ref="GQ15:GQ34" si="44">GP15/$GP$35</f>
        <v>#DIV/0!</v>
      </c>
      <c r="GR15" s="99" t="s">
        <v>103</v>
      </c>
      <c r="GS15" s="91">
        <f>IF('Customer Inputs'!$W$12="End",0,IFERROR(IF(AND($GS$2&lt;&gt;"Enter Spend&gt;&gt;&gt;",$GT$2="EXISTING"),SUMIFS('Existing Customers'!$Q:$Q,'Existing Customers'!$A:$A,$GS$1,'Existing Customers'!$H:$H,$GR15)*$GS$4,$GS$3*$GQ15),0))</f>
        <v>0</v>
      </c>
      <c r="GT15" s="86">
        <f>IF('Customer Inputs'!$W$12="End",0,IFERROR(IF(AND($GS$2&lt;&gt;"Enter Spend&gt;&gt;&gt;",$GT$2="EXISTING"),SUMIFS('Existing Customers'!$N:$N,'Existing Customers'!$A:$A,$GS$1,'Existing Customers'!$H:$H,$GR15)*$GS$4,$GS15/$HD15),0))</f>
        <v>0</v>
      </c>
      <c r="GU15" s="92">
        <f>IF('Customer Inputs'!$W$12="End",0,IFERROR(IF(AND($GS$2&lt;&gt;"Enter Spend&gt;&gt;&gt;",$GT$2="EXISTING"),SUMIFS('Existing Customers'!$O:$O,'Existing Customers'!$H:$H,$GR15,'Existing Customers'!$A:$A,$GS$1)*$GS$4,$GT15*$GS$8),0))</f>
        <v>0</v>
      </c>
      <c r="GV15" s="92">
        <f>IF('Customer Inputs'!$W$12="End",0,IFERROR(IF(AND($GS$2&lt;&gt;"Enter Spend&gt;&gt;&gt;",$GT$2="EXISTING"),SUMIFS('Existing Customers'!$P:$P,'Existing Customers'!$A:$A,$GS$1,'Existing Customers'!$H:$H,$GR15)*$GS$4,$GS15/$HE15),0))</f>
        <v>0</v>
      </c>
      <c r="GW15" s="93">
        <f>IF('Customer Inputs'!$W$12="End",0,IFERROR(IF(AND($GS$2&lt;&gt;"Enter Spend&gt;&gt;&gt;",$GT$2="EXISTING"),SUMIFS('Existing Customers'!$V:$V,'Existing Customers'!$H:$H,$GR15,'Existing Customers'!$A:$A,$GS$1)*$GS$4,0),0))</f>
        <v>0</v>
      </c>
      <c r="GX15" s="93">
        <f>IF('Customer Inputs'!$W$12="End",0,IFERROR(IF(AND($GS$2&lt;&gt;"Enter Spend&gt;&gt;&gt;",$GT$2="EXISTING"),SUMIFS('Existing Customers'!$R:$R,'Existing Customers'!$H:$H,$GR15,'Existing Customers'!$A:$A,$GS$1)*$GS$4,0),0))</f>
        <v>0</v>
      </c>
      <c r="GY15" s="780">
        <f>IF('Customer Inputs'!$W$12="End",0,IFERROR(IF(AND($GS$2&lt;&gt;"Enter Spend&gt;&gt;&gt;",$GT$2="EXISTING"),SUMIFS('Existing Customers'!$S:$S,'Existing Customers'!$H:$H,$GR15,'Existing Customers'!$A:$A,$GS$1)/SUMIFS('Existing Customers'!$Q:$Q,'Existing Customers'!$A:$A,$GS$1,'Existing Customers'!$H:$H,$GR15),HI15),0))</f>
        <v>0</v>
      </c>
      <c r="GZ15" s="780">
        <f>IF('Customer Inputs'!$W$12="End",0,IFERROR(IF(AND($GS$2&lt;&gt;"Enter Spend&gt;&gt;&gt;",$GT$2="EXISTING"),SUMIFS('Existing Customers'!$U:$U,'Existing Customers'!$H:$H,$GR15,'Existing Customers'!$A:$A,$GS$1)/SUMIFS('Existing Customers'!$Q:$Q,'Existing Customers'!$A:$A,$GS$1,'Existing Customers'!$H:$H,$GR15),HJ15),0))</f>
        <v>0</v>
      </c>
      <c r="HA15" s="783" t="e">
        <f>_xlfn.CONCAT('Customer Inputs'!$AH$12,"_",GR15)</f>
        <v>#N/A</v>
      </c>
      <c r="HB15" s="783">
        <f t="array" ref="HB15">IF('Customer Inputs'!$W$12="End",0,IFERROR(INDEX('Margin Guidence Table'!$A$1:$AG$10000,MATCH(1,('Margin Guidence Table'!$A$1:$A$10000=HA15)*('Margin Guidence Table'!$I$1:$I$10000&lt;=ROUND($GS$3,0))*('Margin Guidence Table'!$J$1:$J$10000&gt;=ROUND($GS$3,0)),0),MATCH("DATA_POINTS",'Margin Guidence Table'!$A$1:$AG$1,0)),0))</f>
        <v>0</v>
      </c>
      <c r="HC15" s="780" t="str">
        <f t="shared" ref="HC15:HC34" si="45">IF(HB15&gt;15,"SEGMENT","DEFAULT")</f>
        <v>DEFAULT</v>
      </c>
      <c r="HD15" s="780">
        <f t="array" ref="HD15">IF('Customer Inputs'!$W$12="End",0,IFERROR(IF($HC15="SEGMENT",INDEX('Margin Guidence Table'!$A$1:$AG$10000,MATCH(1,('Margin Guidence Table'!$A$1:$A$10000=HA15)*('Margin Guidence Table'!$I$1:$I$10000&lt;=ROUND($GS$3,0))*('Margin Guidence Table'!$J$1:$J$10000&gt;=ROUND($GS$3,0)),0),MATCH("SALES_CASE",'Margin Guidence Table'!$A$1:$AG$1,0)),INDEX('Margin Guidence Table'!$A$1:$AG$10000,MATCH(1,('Margin Guidence Table'!$A$1:$A$10000=HA15)*('Margin Guidence Table'!$I$1:$I$10000&lt;=ROUND($GS$3,0))*('Margin Guidence Table'!$J$1:$J$10000&gt;=ROUND($GS$3,0)),0),MATCH("DEFAULT_SALES_CASE",'Margin Guidence Table'!$A$1:$AG$1,0))),0))</f>
        <v>0</v>
      </c>
      <c r="HE15" s="780">
        <f t="array" ref="HE15">IF('Customer Inputs'!$W$12="End",0,IFERROR(IF($HC15="SEGMENT",INDEX('Margin Guidence Table'!$A$1:$AG$10000,MATCH(1,('Margin Guidence Table'!$A$1:$A$10000=HA15)*('Margin Guidence Table'!$I$1:$I$10000&lt;=ROUND($GS$3,0))*('Margin Guidence Table'!$J$1:$J$10000&gt;=ROUND($GS$3,0)),0),MATCH("SALES_LBS",'Margin Guidence Table'!$A$1:$AG$1,0)),INDEX('Margin Guidence Table'!$A$1:$AG$10000,MATCH(1,('Margin Guidence Table'!$A$1:$A$10000=HA15)*('Margin Guidence Table'!$I$1:$I$10000&lt;=ROUND($GS$3,0))*('Margin Guidence Table'!$J$1:$J$10000&gt;=ROUND($GS$3,0)),0),MATCH("DEFAULT_SALES_LBS",'Margin Guidence Table'!$A$1:$AG$1,0))),0))</f>
        <v>0</v>
      </c>
      <c r="HF15" s="784">
        <f t="array" ref="HF15">IF('Customer Inputs'!$W$12="End",0,IFERROR(IF($HC15="SEGMENT",INDEX('Margin Guidence Table'!$A$1:$AG$10000,MATCH(1,('Margin Guidence Table'!$A$1:$A$10000=HA15)*('Margin Guidence Table'!$I$1:$I$10000&lt;=ROUND($GS$3,0))*('Margin Guidence Table'!$J$1:$J$10000&gt;=ROUND($GS$3,0)),0),MATCH("MDA_MIN_MARGIN_GUIDENCE",'Margin Guidence Table'!$A$1:$AG$1,0)),INDEX('Margin Guidence Table'!$A$1:$AG$10000,MATCH(1,('Margin Guidence Table'!$A$1:$A$10000=HA15)*('Margin Guidence Table'!$I$1:$I$10000&lt;=ROUND($GS$3,0))*('Margin Guidence Table'!$J$1:$J$10000&gt;=ROUND($GS$3,0)),0),MATCH("DEFAULT_MDA_MIN_MARGIN_GUIDENCE",'Margin Guidence Table'!$A$1:$AG$1,0))),0))</f>
        <v>0</v>
      </c>
      <c r="HG15" s="784">
        <f t="array" ref="HG15">IF('Customer Inputs'!$W$12="End",0,IFERROR(IF($HC15="SEGMENT",INDEX('Margin Guidence Table'!$A$1:$AG$10000,MATCH(1,('Margin Guidence Table'!$A$1:$A$10000=HA15)*('Margin Guidence Table'!$I$1:$I$10000&lt;=ROUND($GS$3,0))*('Margin Guidence Table'!$J$1:$J$10000&gt;=ROUND($GS$3,0)),0),MATCH("MDA_MEDIAN_MARGIN_GUIDENCE",'Margin Guidence Table'!$A$1:$AG$1,0)),INDEX('Margin Guidence Table'!$A$1:$AG$10000,MATCH(1,('Margin Guidence Table'!$A$1:$A$10000=HA15)*('Margin Guidence Table'!$I$1:$I$10000&lt;=ROUND($GS$3,0))*('Margin Guidence Table'!$J$1:$J$10000&gt;=ROUND($GS$3,0)),0),MATCH("DEFAULT_MDA_MEDIAN_MARGIN_GUIDENCE",'Margin Guidence Table'!$A$1:$AG$1,0))),0))</f>
        <v>0</v>
      </c>
      <c r="HH15" s="784">
        <f t="array" ref="HH15">IF('Customer Inputs'!$W$12="End",0,IFERROR(IF($HC15="SEGMENT",INDEX('Margin Guidence Table'!$A$1:$AG$10000,MATCH(1,('Margin Guidence Table'!$A$1:$A$10000=HA15)*('Margin Guidence Table'!$I$1:$I$10000&lt;=ROUND($GS$3,0))*('Margin Guidence Table'!$J$1:$J$10000&gt;=ROUND($GS$3,0)),0),MATCH("MDA_MAX_MARGIN_GUIDENCE",'Margin Guidence Table'!$A$1:$AG$1,0)),INDEX('Margin Guidence Table'!$A$1:$AG$10000,MATCH(1,('Margin Guidence Table'!$A$1:$A$10000=HA15)*('Margin Guidence Table'!$I$1:$I$10000&lt;=ROUND($GS$3,0))*('Margin Guidence Table'!$J$1:$J$10000&gt;=ROUND($GS$3,0)),0),MATCH("DEFAULT_MDA_MAX_MARGIN_GUIDENCE",'Margin Guidence Table'!$A$1:$AG$1,0))),0))</f>
        <v>0</v>
      </c>
      <c r="HI15" s="784">
        <f t="array" ref="HI15">IF('Customer Inputs'!$W$12="End",0,IFERROR(IF($HC15="SEGMENT",INDEX('Margin Guidence Table'!$A$1:$AG$10000,MATCH(1,('Margin Guidence Table'!$A$1:$A$10000=HA15)*('Margin Guidence Table'!$I$1:$I$10000&lt;=ROUND($GS$3,0))*('Margin Guidence Table'!$J$1:$J$10000&gt;=ROUND($GS$3,0)),0),MATCH("PA_PCT_SALES",'Margin Guidence Table'!$A$1:$AG$1,0)),INDEX('Margin Guidence Table'!$A$1:$AG$10000,MATCH(1,('Margin Guidence Table'!$A$1:$A$10000=HA15)*('Margin Guidence Table'!$I$1:$I$10000&lt;=ROUND($GS$3,0))*('Margin Guidence Table'!$J$1:$J$10000&gt;=ROUND($GS$3,0)),0),MATCH("DEFAULT_PA_PCT_SALES",'Margin Guidence Table'!$A$1:$AG$1,0))),0))</f>
        <v>0</v>
      </c>
      <c r="HJ15" s="784">
        <f t="array" ref="HJ15">IF('Customer Inputs'!$W$12="End",0,IFERROR(IF($HC15="SEGMENT",INDEX('Margin Guidence Table'!$A$1:$AG$10000,MATCH(1,('Margin Guidence Table'!$A$1:$A$10000=HA15)*('Margin Guidence Table'!$I$1:$I$10000&lt;=ROUND($GS$3,0))*('Margin Guidence Table'!$J$1:$J$10000&gt;=ROUND($GS$3,0)),0),MATCH("SELF_FUND_PCT_SALES",'Margin Guidence Table'!$A$1:$AG$1,0)),INDEX('Margin Guidence Table'!$A$1:$AG$10000,MATCH(1,('Margin Guidence Table'!$A$1:$A$10000=HA15)*('Margin Guidence Table'!$I$1:$I$10000&lt;=ROUND($GS$3,0))*('Margin Guidence Table'!$J$1:$J$10000&gt;=ROUND($GS$3,0)),0),MATCH("DEFAULT_SELF_FUND_PCT_SALES",'Margin Guidence Table'!$A$1:$AG$1,0))),0))</f>
        <v>0</v>
      </c>
      <c r="HK15" s="784">
        <f t="array" ref="HK15">IF('Customer Inputs'!$W$12="End",0,IF($GT$2="Existing",IFERROR(SUMIFS('Existing Customers'!$V:$V,'Existing Customers'!$H:$H,$GR15,'Existing Customers'!$A:$A,$GS$1)/SUMIFS('Existing Customers'!$Q:$Q,'Existing Customers'!$H:$H,$GR15,'Existing Customers'!$A:$A,$GS$1),0),IFERROR(IF($HC15="SEGMENT",INDEX('Margin Guidence Table'!$A$1:$AG$10000,MATCH(1,('Margin Guidence Table'!$A$1:$A$10000=HA15)*('Margin Guidence Table'!$I$1:$I$10000&lt;=ROUND($GS$3,0))*('Margin Guidence Table'!$J$1:$J$10000&gt;=ROUND($GS$3,0)),0),MATCH("CIA_MEDIAN_MARGIN_GUIDENCE",'Margin Guidence Table'!$A$1:$AG$1,0)),INDEX('Margin Guidence Table'!$A$1:$AG$10000,MATCH(1,('Margin Guidence Table'!$A$1:$A$10000=HA15)*('Margin Guidence Table'!$I$1:$I$10000&lt;=ROUND($GS$3,0))*('Margin Guidence Table'!$J$1:$J$10000&gt;=ROUND($GS$3,0)),0),MATCH("DEFAULT_CIA_MEDIAN_MARGIN_GUIDENCE",'Margin Guidence Table'!$A$1:$AG$1,0))),0)))</f>
        <v>0</v>
      </c>
      <c r="HL15" s="126"/>
      <c r="HM15" s="18">
        <f t="array" ref="HM15">IF('Customer Inputs'!$W$13="End",0,IFERROR(IF($HZ15="SEGMENT",INDEX('Margin Guidence Table'!$A$1:$AG$10000,MATCH(1,('Margin Guidence Table'!$A$1:$A$10000=$HX15)*('Margin Guidence Table'!$I$1:$I$10000&lt;=ROUND($HP$3,0))*('Margin Guidence Table'!$J$1:$J$10000&gt;=ROUND($HP$3,0)),0),MATCH("PCT_SALES",'Margin Guidence Table'!$A$1:$AG$1,0)),INDEX('Margin Guidence Table'!$A$1:$AG$10000,MATCH(1,('Margin Guidence Table'!$A$1:$A$10000=$HX15)*('Margin Guidence Table'!$I$1:$I$10000&lt;=ROUND($HP$3,0))*('Margin Guidence Table'!$J$1:$J$10000&gt;=ROUND($HP$3,0)),0),MATCH("DEFAULT_PCT_SALES",'Margin Guidence Table'!$A$1:$AG$1,0))),0))</f>
        <v>0</v>
      </c>
      <c r="HN15" s="297" t="e">
        <f t="shared" ref="HN15:HN34" si="46">HM15/$HM$35</f>
        <v>#DIV/0!</v>
      </c>
      <c r="HO15" s="99" t="s">
        <v>103</v>
      </c>
      <c r="HP15" s="91">
        <f>IF('Customer Inputs'!$W$13="End",0,IFERROR(IF(AND($HP$2&lt;&gt;"Enter Spend&gt;&gt;&gt;",$HQ$2="EXISTING"),SUMIFS('Existing Customers'!$Q:$Q,'Existing Customers'!$A:$A,$HP$1,'Existing Customers'!$H:$H,$HO15)*$HP$4,$HP$3*$HN15),0))</f>
        <v>0</v>
      </c>
      <c r="HQ15" s="86">
        <f>IF('Customer Inputs'!$W$13="End",0,IFERROR(IF(AND($HP$2&lt;&gt;"Enter Spend&gt;&gt;&gt;",$HQ$2="EXISTING"),SUMIFS('Existing Customers'!$N:$N,'Existing Customers'!$A:$A,$HP$1,'Existing Customers'!$H:$H,$HO15)*$HP$4,$HP15/$IA15),0))</f>
        <v>0</v>
      </c>
      <c r="HR15" s="92">
        <f>IF('Customer Inputs'!$W$13="End",0,IFERROR(IF(AND($HP$2&lt;&gt;"Enter Spend&gt;&gt;&gt;",$HQ$2="EXISTING"),SUMIFS('Existing Customers'!$O:$O,'Existing Customers'!$H:$H,$HO15,'Existing Customers'!$A:$A,$HP$1)*$HP$4,$HQ15*$HP$8),0))</f>
        <v>0</v>
      </c>
      <c r="HS15" s="92">
        <f>IF('Customer Inputs'!$W$13="End",0,IFERROR(IF(AND($HP$2&lt;&gt;"Enter Spend&gt;&gt;&gt;",$HQ$2="EXISTING"),SUMIFS('Existing Customers'!$P:$P,'Existing Customers'!$A:$A,$HP$1,'Existing Customers'!$H:$H,$HO15)*$HP$4,$HP15/$IB15),0))</f>
        <v>0</v>
      </c>
      <c r="HT15" s="93">
        <f>IF('Customer Inputs'!$W$13="End",0,IFERROR(IF(AND($HP$2&lt;&gt;"Enter Spend&gt;&gt;&gt;",$HQ$2="EXISTING"),SUMIFS('Existing Customers'!$V:$V,'Existing Customers'!$H:$H,$HO15,'Existing Customers'!$A:$A,$HP$1)*$HP$4,0),0))</f>
        <v>0</v>
      </c>
      <c r="HU15" s="93">
        <f>IF('Customer Inputs'!$W$13="End",0,IFERROR(IF(AND($HP$2&lt;&gt;"Enter Spend&gt;&gt;&gt;",$HQ$2="EXISTING"),SUMIFS('Existing Customers'!$R:$R,'Existing Customers'!$H:$H,$HO15,'Existing Customers'!$A:$A,$HP$1)*$HP$4,0),0))</f>
        <v>0</v>
      </c>
      <c r="HV15" s="780">
        <f>IF('Customer Inputs'!$W$13="End",0,IFERROR(IF(AND($HP$2&lt;&gt;"Enter Spend&gt;&gt;&gt;",$HQ$2="EXISTING"),SUMIFS('Existing Customers'!$S:$S,'Existing Customers'!$H:$H,$HO15,'Existing Customers'!$A:$A,$HP$1)/SUMIFS('Existing Customers'!$Q:$Q,'Existing Customers'!$A:$A,$HP$1,'Existing Customers'!$H:$H,$HO15),IF15),0))</f>
        <v>0</v>
      </c>
      <c r="HW15" s="780">
        <f>IF('Customer Inputs'!$W$13="End",0,IFERROR(IF(AND($HP$2&lt;&gt;"Enter Spend&gt;&gt;&gt;",$HQ$2="EXISTING"),SUMIFS('Existing Customers'!$U:$U,'Existing Customers'!$H:$H,$HO15,'Existing Customers'!$A:$A,$HP$1)/SUMIFS('Existing Customers'!$Q:$Q,'Existing Customers'!$A:$A,$HP$1,'Existing Customers'!$H:$H,$HO15),IG15),0))</f>
        <v>0</v>
      </c>
      <c r="HX15" s="783" t="e">
        <f>_xlfn.CONCAT('Customer Inputs'!$AH$13,"_",HO15)</f>
        <v>#N/A</v>
      </c>
      <c r="HY15" s="783">
        <f t="array" ref="HY15">IF('Customer Inputs'!$W$13="End",0,IFERROR(INDEX('Margin Guidence Table'!$A$1:$AG$10000,MATCH(1,('Margin Guidence Table'!$A$1:$A$10000=HX15)*('Margin Guidence Table'!$I$1:$I$10000&lt;=ROUND($HP$3,0))*('Margin Guidence Table'!$J$1:$J$10000&gt;=ROUND($HP$3,0)),0),MATCH("DATA_POINTS",'Margin Guidence Table'!$A$1:$AG$1,0)),0))</f>
        <v>0</v>
      </c>
      <c r="HZ15" s="780" t="str">
        <f t="shared" ref="HZ15:HZ34" si="47">IF(HY15&gt;15,"SEGMENT","DEFAULT")</f>
        <v>DEFAULT</v>
      </c>
      <c r="IA15" s="780">
        <f t="array" ref="IA15">IF('Customer Inputs'!$W$13="End",0,IFERROR(IF($HZ15="SEGMENT",INDEX('Margin Guidence Table'!$A$1:$AG$10000,MATCH(1,('Margin Guidence Table'!$A$1:$A$10000=HX15)*('Margin Guidence Table'!$I$1:$I$10000&lt;=ROUND($HP$3,0))*('Margin Guidence Table'!$J$1:$J$10000&gt;=ROUND($HP$3,0)),0),MATCH("SALES_CASE",'Margin Guidence Table'!$A$1:$AG$1,0)),INDEX('Margin Guidence Table'!$A$1:$AG$10000,MATCH(1,('Margin Guidence Table'!$A$1:$A$10000=HX15)*('Margin Guidence Table'!$I$1:$I$10000&lt;=ROUND($HP$3,0))*('Margin Guidence Table'!$J$1:$J$10000&gt;=ROUND($HP$3,0)),0),MATCH("DEFAULT_SALES_CASE",'Margin Guidence Table'!$A$1:$AG$1,0))),0))</f>
        <v>0</v>
      </c>
      <c r="IB15" s="780">
        <f t="array" ref="IB15">IF('Customer Inputs'!$W$13="End",0,IFERROR(IF($HZ15="SEGMENT",INDEX('Margin Guidence Table'!$A$1:$AG$10000,MATCH(1,('Margin Guidence Table'!$A$1:$A$10000=HX15)*('Margin Guidence Table'!$I$1:$I$10000&lt;=ROUND($HP$3,0))*('Margin Guidence Table'!$J$1:$J$10000&gt;=ROUND($HP$3,0)),0),MATCH("SALES_LBS",'Margin Guidence Table'!$A$1:$AG$1,0)),INDEX('Margin Guidence Table'!$A$1:$AG$10000,MATCH(1,('Margin Guidence Table'!$A$1:$A$10000=HX15)*('Margin Guidence Table'!$I$1:$I$10000&lt;=ROUND($HP$3,0))*('Margin Guidence Table'!$J$1:$J$10000&gt;=ROUND($HP$3,0)),0),MATCH("DEFAULT_SALES_LBS",'Margin Guidence Table'!$A$1:$AG$1,0))),0))</f>
        <v>0</v>
      </c>
      <c r="IC15" s="784">
        <f t="array" ref="IC15">IF('Customer Inputs'!$W$13="End",0,IFERROR(IF($HZ15="SEGMENT",INDEX('Margin Guidence Table'!$A$1:$AG$10000,MATCH(1,('Margin Guidence Table'!$A$1:$A$10000=HX15)*('Margin Guidence Table'!$I$1:$I$10000&lt;=ROUND($HP$3,0))*('Margin Guidence Table'!$J$1:$J$10000&gt;=ROUND($HP$3,0)),0),MATCH("MDA_MIN_MARGIN_GUIDENCE",'Margin Guidence Table'!$A$1:$AG$1,0)),INDEX('Margin Guidence Table'!$A$1:$AG$10000,MATCH(1,('Margin Guidence Table'!$A$1:$A$10000=HX15)*('Margin Guidence Table'!$I$1:$I$10000&lt;=ROUND($HP$3,0))*('Margin Guidence Table'!$J$1:$J$10000&gt;=ROUND($HP$3,0)),0),MATCH("DEFAULT_MDA_MIN_MARGIN_GUIDENCE",'Margin Guidence Table'!$A$1:$AG$1,0))),0))</f>
        <v>0</v>
      </c>
      <c r="ID15" s="784">
        <f t="array" ref="ID15">IF('Customer Inputs'!$W$13="End",0,IFERROR(IF($HZ15="SEGMENT",INDEX('Margin Guidence Table'!$A$1:$AG$10000,MATCH(1,('Margin Guidence Table'!$A$1:$A$10000=HX15)*('Margin Guidence Table'!$I$1:$I$10000&lt;=ROUND($HP$3,0))*('Margin Guidence Table'!$J$1:$J$10000&gt;=ROUND($HP$3,0)),0),MATCH("MDA_MEDIAN_MARGIN_GUIDENCE",'Margin Guidence Table'!$A$1:$AG$1,0)),INDEX('Margin Guidence Table'!$A$1:$AG$10000,MATCH(1,('Margin Guidence Table'!$A$1:$A$10000=HX15)*('Margin Guidence Table'!$I$1:$I$10000&lt;=ROUND($HP$3,0))*('Margin Guidence Table'!$J$1:$J$10000&gt;=ROUND($HP$3,0)),0),MATCH("DEFAULT_MDA_MEDIAN_MARGIN_GUIDENCE",'Margin Guidence Table'!$A$1:$AG$1,0))),0))</f>
        <v>0</v>
      </c>
      <c r="IE15" s="784">
        <f t="array" ref="IE15">IF('Customer Inputs'!$W$13="End",0,IFERROR(IF($HZ15="SEGMENT",INDEX('Margin Guidence Table'!$A$1:$AG$10000,MATCH(1,('Margin Guidence Table'!$A$1:$A$10000=HX15)*('Margin Guidence Table'!$I$1:$I$10000&lt;=ROUND($HP$3,0))*('Margin Guidence Table'!$J$1:$J$10000&gt;=ROUND($HP$3,0)),0),MATCH("MDA_MAX_MARGIN_GUIDENCE",'Margin Guidence Table'!$A$1:$AG$1,0)),INDEX('Margin Guidence Table'!$A$1:$AG$10000,MATCH(1,('Margin Guidence Table'!$A$1:$A$10000=HX15)*('Margin Guidence Table'!$I$1:$I$10000&lt;=ROUND($HP$3,0))*('Margin Guidence Table'!$J$1:$J$10000&gt;=ROUND($HP$3,0)),0),MATCH("DEFAULT_MDA_MAX_MARGIN_GUIDENCE",'Margin Guidence Table'!$A$1:$AG$1,0))),0))</f>
        <v>0</v>
      </c>
      <c r="IF15" s="784">
        <f t="array" ref="IF15">IF('Customer Inputs'!$W$13="End",0,IFERROR(IF($HZ15="SEGMENT",INDEX('Margin Guidence Table'!$A$1:$AG$10000,MATCH(1,('Margin Guidence Table'!$A$1:$A$10000=HX15)*('Margin Guidence Table'!$I$1:$I$10000&lt;=ROUND($HP$3,0))*('Margin Guidence Table'!$J$1:$J$10000&gt;=ROUND($HP$3,0)),0),MATCH("PA_PCT_SALES",'Margin Guidence Table'!$A$1:$AG$1,0)),INDEX('Margin Guidence Table'!$A$1:$AG$10000,MATCH(1,('Margin Guidence Table'!$A$1:$A$10000=HX15)*('Margin Guidence Table'!$I$1:$I$10000&lt;=ROUND($HP$3,0))*('Margin Guidence Table'!$J$1:$J$10000&gt;=ROUND($HP$3,0)),0),MATCH("DEFAULT_PA_PCT_SALES",'Margin Guidence Table'!$A$1:$AG$1,0))),0))</f>
        <v>0</v>
      </c>
      <c r="IG15" s="784">
        <f t="array" ref="IG15">IF('Customer Inputs'!$W$13="End",0,IFERROR(IF($HZ15="SEGMENT",INDEX('Margin Guidence Table'!$A$1:$AG$10000,MATCH(1,('Margin Guidence Table'!$A$1:$A$10000=HX15)*('Margin Guidence Table'!$I$1:$I$10000&lt;=ROUND($HP$3,0))*('Margin Guidence Table'!$J$1:$J$10000&gt;=ROUND($HP$3,0)),0),MATCH("SELF_FUND_PCT_SALES",'Margin Guidence Table'!$A$1:$AG$1,0)),INDEX('Margin Guidence Table'!$A$1:$AG$10000,MATCH(1,('Margin Guidence Table'!$A$1:$A$10000=HX15)*('Margin Guidence Table'!$I$1:$I$10000&lt;=ROUND($HP$3,0))*('Margin Guidence Table'!$J$1:$J$10000&gt;=ROUND($HP$3,0)),0),MATCH("DEFAULT_SELF_FUND_PCT_SALES",'Margin Guidence Table'!$A$1:$AG$1,0))),0))</f>
        <v>0</v>
      </c>
      <c r="IH15" s="784">
        <f t="array" ref="IH15">IF('Customer Inputs'!$W$13="End",0,IF($HQ$2="Existing",IFERROR(SUMIFS('Existing Customers'!$V:$V,'Existing Customers'!$H:$H,$HO15,'Existing Customers'!$A:$A,$HP$1)/SUMIFS('Existing Customers'!$Q:$Q,'Existing Customers'!$H:$H,$HO15,'Existing Customers'!$A:$A,$HP$1),0),IFERROR(IF($HZ15="SEGMENT",INDEX('Margin Guidence Table'!$A$1:$AG$10000,MATCH(1,('Margin Guidence Table'!$A$1:$A$10000=HX15)*('Margin Guidence Table'!$I$1:$I$10000&lt;=ROUND($HP$3,0))*('Margin Guidence Table'!$J$1:$J$10000&gt;=ROUND($HP$3,0)),0),MATCH("CIA_MEDIAN_MARGIN_GUIDENCE",'Margin Guidence Table'!$A$1:$AG$1,0)),INDEX('Margin Guidence Table'!$A$1:$AG$10000,MATCH(1,('Margin Guidence Table'!$A$1:$A$10000=HX15)*('Margin Guidence Table'!$I$1:$I$10000&lt;=ROUND($HP$3,0))*('Margin Guidence Table'!$J$1:$J$10000&gt;=ROUND($HP$3,0)),0),MATCH("DEFAULT_CIA_MEDIAN_MARGIN_GUIDENCE",'Margin Guidence Table'!$A$1:$AG$1,0))),0)))</f>
        <v>0</v>
      </c>
      <c r="II15" s="126"/>
      <c r="IJ15" s="18">
        <f t="array" ref="IJ15">IF('Customer Inputs'!$W$14="End",0,IFERROR(IF($IW15="SEGMENT",INDEX('Margin Guidence Table'!$A:$AC,MATCH(1,('Margin Guidence Table'!$A:$A=$IU15)*('Margin Guidence Table'!$H:$H&lt;=ROUND($IM$3,0))*('Margin Guidence Table'!$G:$G&gt;=ROUND($IM$3,0)),0),MATCH("PCT_SALES",'Margin Guidence Table'!$A$1:$AG$1,0)),INDEX('Margin Guidence Table'!$A:$AC,MATCH(1,('Margin Guidence Table'!$A:$A=$IU15)*('Margin Guidence Table'!$H:$H&lt;=ROUND($IM$3,0))*('Margin Guidence Table'!$G:$G&gt;=ROUND($IM$3,0)),0),MATCH("DEFAULT_PCT_SALES",'Margin Guidence Table'!$A$1:$AG$1,0))),0))</f>
        <v>0</v>
      </c>
      <c r="IK15" s="297" t="e">
        <f t="shared" ref="IK15:IK34" si="48">IJ15/$IJ$35</f>
        <v>#DIV/0!</v>
      </c>
      <c r="IL15" s="99" t="s">
        <v>103</v>
      </c>
      <c r="IM15" s="91">
        <f>IF('Customer Inputs'!$W$14="End",0,IFERROR(IF(AND($IM$2&lt;&gt;"Enter Spend&gt;&gt;&gt;",$IN$2="EXISTING"),SUMIFS('Existing Customers'!$Q:$Q,'Existing Customers'!$A:$A,$IM$1,'Existing Customers'!$H:$H,$IL15)*$IM$4,$IM$3*$IK15),0))</f>
        <v>0</v>
      </c>
      <c r="IN15" s="86">
        <f>IF('Customer Inputs'!$W$14="End",0,IFERROR(IF(AND($IM$2&lt;&gt;"Enter Spend&gt;&gt;&gt;",$IN$2="EXISTING"),SUMIFS('Existing Customers'!$N:$N,'Existing Customers'!$A:$A,$IM$1,'Existing Customers'!$H:$H,$IL15)*$IM$4,$IM15/$IX15),0))</f>
        <v>0</v>
      </c>
      <c r="IO15" s="92">
        <f>IF('Customer Inputs'!$W$14="End",0,IFERROR(IF(AND($IM$2&lt;&gt;"Enter Spend&gt;&gt;&gt;",$IN$2="EXISTING"),SUMIFS('Existing Customers'!$O:$O,'Existing Customers'!$H:$H,$IL15,'Existing Customers'!$A:$A,$IM$1)*$IM$4,$IN15*$IM$8),0))</f>
        <v>0</v>
      </c>
      <c r="IP15" s="92">
        <f>IF('Customer Inputs'!$W$14="End",0,IFERROR(IF(AND($IM$2&lt;&gt;"Enter Spend&gt;&gt;&gt;",$IN$2="EXISTING"),SUMIFS('Existing Customers'!$P:$P,'Existing Customers'!$A:$A,$IM$1,'Existing Customers'!$H:$H,$IL15)*$IM$4,$IM15/$IY15),0))</f>
        <v>0</v>
      </c>
      <c r="IQ15" s="303">
        <f>IF('Customer Inputs'!$W$14="End",0,IFERROR(IF(AND($IM$2&lt;&gt;"Enter Spend&gt;&gt;&gt;",$IN$2="EXISTING"),SUMIFS('Existing Customers'!$V:$V,'Existing Customers'!$H:$H,$IL15,'Existing Customers'!$A:$A,$IM$1)*$IM$4,0),0))</f>
        <v>0</v>
      </c>
      <c r="IR15" s="93">
        <f>IF('Customer Inputs'!$W$14="End",0,IFERROR(IF(AND($IM$2&lt;&gt;"Enter Spend&gt;&gt;&gt;",$IN$2="EXISTING"),SUMIFS('Existing Customers'!$R:$R,'Existing Customers'!$H:$H,$IL15,'Existing Customers'!$A:$A,$IM$1)*$IM$4,0),0))</f>
        <v>0</v>
      </c>
      <c r="IS15" s="780">
        <f>IF('Customer Inputs'!$W$14="End",0,IFERROR(IF(AND($IM$2&lt;&gt;"Enter Spend&gt;&gt;&gt;",$IN$2="EXISTING"),SUMIFS('Existing Customers'!$S:$S,'Existing Customers'!$H:$H,$IL15,'Existing Customers'!$A:$A,$IM$1)/SUMIFS('Existing Customers'!$Q:$Q,'Existing Customers'!$A:$A,$IM$1,'Existing Customers'!$H:$H,$IL15),JC15),0))</f>
        <v>0</v>
      </c>
      <c r="IT15" s="780">
        <f>IF('Customer Inputs'!$W$14="End",0,IFERROR(IF(AND($IM$2&lt;&gt;"Enter Spend&gt;&gt;&gt;",$IN$2="EXISTING"),SUMIFS('Existing Customers'!$U:$U,'Existing Customers'!$H:$H,$IL15,'Existing Customers'!$A:$A,$IM$1)/SUMIFS('Existing Customers'!$Q:$Q,'Existing Customers'!$A:$A,$IM$1,'Existing Customers'!$H:$H,$IL15),JD15),0))</f>
        <v>0</v>
      </c>
      <c r="IU15" s="783" t="e">
        <f>_xlfn.CONCAT('Customer Inputs'!$AH$14,"_",IL15)</f>
        <v>#N/A</v>
      </c>
      <c r="IV15" s="783">
        <f t="array" ref="IV15">IF('Customer Inputs'!$W$14="End",0,IFERROR(INDEX('Margin Guidence Table'!$A$1:$AG$10000,MATCH(1,('Margin Guidence Table'!$A$1:$A$10000=IU15)*('Margin Guidence Table'!$I$1:$I$10000&lt;=ROUND($IM$3,0))*('Margin Guidence Table'!$J$1:$J$10000&gt;=ROUND($IM$3,0)),0),MATCH("DATA_POINTS",'Margin Guidence Table'!$A$1:$AG$1,0)),0))</f>
        <v>0</v>
      </c>
      <c r="IW15" s="780" t="str">
        <f t="shared" ref="IW15:IW34" si="49">IF(IV15&gt;15,"SEGMENT","DEFAULT")</f>
        <v>DEFAULT</v>
      </c>
      <c r="IX15" s="780">
        <f t="array" ref="IX15">IF('Customer Inputs'!$W$14="End",0,IFERROR(IF($IW15="SEGMENT",INDEX('Margin Guidence Table'!$A$1:$AG$10000,MATCH(1,('Margin Guidence Table'!$A$1:$A$10000=IU15)*('Margin Guidence Table'!$I$1:$I$10000&lt;=ROUND($IM$3,0))*('Margin Guidence Table'!$J$1:$J$10000&gt;=ROUND($IM$3,0)),0),MATCH("SALES_CASE",'Margin Guidence Table'!$A$1:$AG$1,0)),INDEX('Margin Guidence Table'!$A$1:$AG$10000,MATCH(1,('Margin Guidence Table'!$A$1:$A$10000=IU15)*('Margin Guidence Table'!$I$1:$I$10000&lt;=ROUND($IM$3,0))*('Margin Guidence Table'!$J$1:$J$10000&gt;=ROUND($IM$3,0)),0),MATCH("DEFAULT_SALES_CASE",'Margin Guidence Table'!$A$1:$AG$1,0))),0))</f>
        <v>0</v>
      </c>
      <c r="IY15" s="780">
        <f t="array" ref="IY15">IF('Customer Inputs'!$W$14="End",0,IFERROR(IF($IW15="SEGMENT",INDEX('Margin Guidence Table'!$A$1:$AG$10000,MATCH(1,('Margin Guidence Table'!$A$1:$A$10000=IU15)*('Margin Guidence Table'!$I$1:$I$10000&lt;=ROUND($IM$3,0))*('Margin Guidence Table'!$J$1:$J$10000&gt;=ROUND($IM$3,0)),0),MATCH("SALES_LBS",'Margin Guidence Table'!$A$1:$AG$1,0)),INDEX('Margin Guidence Table'!$A$1:$AG$10000,MATCH(1,('Margin Guidence Table'!$A$1:$A$10000=IU15)*('Margin Guidence Table'!$I$1:$I$10000&lt;=ROUND($IM$3,0))*('Margin Guidence Table'!$J$1:$J$10000&gt;=ROUND($IM$3,0)),0),MATCH("DEFAULT_SALES_LBS",'Margin Guidence Table'!$A$1:$AG$1,0))),0))</f>
        <v>0</v>
      </c>
      <c r="IZ15" s="784">
        <f t="array" ref="IZ15">IF('Customer Inputs'!$W$14="End",0,IFERROR(IF($IW15="SEGMENT",INDEX('Margin Guidence Table'!$A$1:$AG$10000,MATCH(1,('Margin Guidence Table'!$A$1:$A$10000=IU15)*('Margin Guidence Table'!$I$1:$I$10000&lt;=ROUND($IM$3,0))*('Margin Guidence Table'!$J$1:$J$10000&gt;=ROUND($IM$3,0)),0),MATCH("MDA_MIN_MARGIN_GUIDENCE",'Margin Guidence Table'!$A$1:$AG$1,0)),INDEX('Margin Guidence Table'!$A$1:$AG$10000,MATCH(1,('Margin Guidence Table'!$A$1:$A$10000=IU15)*('Margin Guidence Table'!$I$1:$I$10000&lt;=ROUND($IM$3,0))*('Margin Guidence Table'!$J$1:$J$10000&gt;=ROUND($IM$3,0)),0),MATCH("DEFAULT_MDA_MIN_MARGIN_GUIDENCE",'Margin Guidence Table'!$A$1:$AG$1,0))),0))</f>
        <v>0</v>
      </c>
      <c r="JA15" s="784">
        <f t="array" ref="JA15">IF('Customer Inputs'!$W$14="End",0,IFERROR(IF($IW15="SEGMENT",INDEX('Margin Guidence Table'!$A$1:$AG$10000,MATCH(1,('Margin Guidence Table'!$A$1:$A$10000=IU15)*('Margin Guidence Table'!$I$1:$I$10000&lt;=ROUND($IM$3,0))*('Margin Guidence Table'!$J$1:$J$10000&gt;=ROUND($IM$3,0)),0),MATCH("MDA_MEDIAN_MARGIN_GUIDENCE",'Margin Guidence Table'!$A$1:$AG$1,0)),INDEX('Margin Guidence Table'!$A$1:$AG$10000,MATCH(1,('Margin Guidence Table'!$A$1:$A$10000=IU15)*('Margin Guidence Table'!$I$1:$I$10000&lt;=ROUND($IM$3,0))*('Margin Guidence Table'!$J$1:$J$10000&gt;=ROUND($IM$3,0)),0),MATCH("DEFAULT_MDA_MEDIAN_MARGIN_GUIDENCE",'Margin Guidence Table'!$A$1:$AG$1,0))),0))</f>
        <v>0</v>
      </c>
      <c r="JB15" s="784">
        <f t="array" ref="JB15">IF('Customer Inputs'!$W$14="End",0,IFERROR(IF($IW15="SEGMENT",INDEX('Margin Guidence Table'!$A$1:$AG$10000,MATCH(1,('Margin Guidence Table'!$A$1:$A$10000=IU15)*('Margin Guidence Table'!$I$1:$I$10000&lt;=ROUND($IM$3,0))*('Margin Guidence Table'!$J$1:$J$10000&gt;=ROUND($IM$3,0)),0),MATCH("MDA_MAX_MARGIN_GUIDENCE",'Margin Guidence Table'!$A$1:$AG$1,0)),INDEX('Margin Guidence Table'!$A$1:$AG$10000,MATCH(1,('Margin Guidence Table'!$A$1:$A$10000=IU15)*('Margin Guidence Table'!$I$1:$I$10000&lt;=ROUND($IM$3,0))*('Margin Guidence Table'!$J$1:$J$10000&gt;=ROUND($IM$3,0)),0),MATCH("DEFAULT_MDA_MAX_MARGIN_GUIDENCE",'Margin Guidence Table'!$A$1:$AG$1,0))),0))</f>
        <v>0</v>
      </c>
      <c r="JC15" s="784">
        <f t="array" ref="JC15">IF('Customer Inputs'!$W$14="End",0,IFERROR(IF($IW15="SEGMENT",INDEX('Margin Guidence Table'!$A$1:$AG$10000,MATCH(1,('Margin Guidence Table'!$A$1:$A$10000=IU15)*('Margin Guidence Table'!$I$1:$I$10000&lt;=ROUND($IM$3,0))*('Margin Guidence Table'!$J$1:$J$10000&gt;=ROUND($IM$3,0)),0),MATCH("PA_PCT_SALES",'Margin Guidence Table'!$A$1:$AG$1,0)),INDEX('Margin Guidence Table'!$A$1:$AG$10000,MATCH(1,('Margin Guidence Table'!$A$1:$A$10000=IU15)*('Margin Guidence Table'!$I$1:$I$10000&lt;=ROUND($IM$3,0))*('Margin Guidence Table'!$J$1:$J$10000&gt;=ROUND($IM$3,0)),0),MATCH("DEFAULT_PA_PCT_SALES",'Margin Guidence Table'!$A$1:$AG$1,0))),0))</f>
        <v>0</v>
      </c>
      <c r="JD15" s="784">
        <f t="array" ref="JD15">IF('Customer Inputs'!$W$14="End",0,IFERROR(IF($IW15="SEGMENT",INDEX('Margin Guidence Table'!$A$1:$AG$10000,MATCH(1,('Margin Guidence Table'!$A$1:$A$10000=IU15)*('Margin Guidence Table'!$I$1:$I$10000&lt;=ROUND($IM$3,0))*('Margin Guidence Table'!$J$1:$J$10000&gt;=ROUND($IM$3,0)),0),MATCH("SELF_FUND_PCT_SALES",'Margin Guidence Table'!$A$1:$AG$1,0)),INDEX('Margin Guidence Table'!$A$1:$AG$10000,MATCH(1,('Margin Guidence Table'!$A$1:$A$10000=IU15)*('Margin Guidence Table'!$I$1:$I$10000&lt;=ROUND($IM$3,0))*('Margin Guidence Table'!$J$1:$J$10000&gt;=ROUND($IM$3,0)),0),MATCH("DEFAULT_SELF_FUND_PCT_SALES",'Margin Guidence Table'!$A$1:$AG$1,0))),0))</f>
        <v>0</v>
      </c>
      <c r="JE15" s="784">
        <f t="array" ref="JE15">IF('Customer Inputs'!$W$14="End",0,IF($IN$2="Existing",IFERROR(SUMIFS('Existing Customers'!$V:$V,'Existing Customers'!$H:$H,$IL15,'Existing Customers'!$A:$A,$IM$1)/SUMIFS('Existing Customers'!$Q:$Q,'Existing Customers'!$H:$H,$IL15,'Existing Customers'!$A:$A,$IM$1),0),IFERROR(IF($IW15="SEGMENT",INDEX('Margin Guidence Table'!$A$1:$AG$10000,MATCH(1,('Margin Guidence Table'!$A$1:$A$10000=IU15)*('Margin Guidence Table'!$I$1:$I$10000&lt;=ROUND($IM$3,0))*('Margin Guidence Table'!$J$1:$J$10000&gt;=ROUND($IM$3,0)),0),MATCH("CIA_MEDIAN_MARGIN_GUIDENCE",'Margin Guidence Table'!$A$1:$AG$1,0)),INDEX('Margin Guidence Table'!$A$1:$AG$10000,MATCH(1,('Margin Guidence Table'!$A$1:$A$10000=IU15)*('Margin Guidence Table'!$I$1:$I$10000&lt;=ROUND($IM$3,0))*('Margin Guidence Table'!$J$1:$J$10000&gt;=ROUND($IM$3,0)),0),MATCH("DEFAULT_CIA_MEDIAN_MARGIN_GUIDENCE",'Margin Guidence Table'!$A$1:$AG$1,0))),0)))</f>
        <v>0</v>
      </c>
      <c r="JF15" s="126"/>
      <c r="JG15" s="18">
        <f t="array" ref="JG15">IF('Customer Inputs'!$W$15="End",0,IFERROR(IF($JT15="SEGMENT",INDEX('Margin Guidence Table'!$A$1:$AG$10000,MATCH(1,('Margin Guidence Table'!$A$1:$A$10000=$JR15)*('Margin Guidence Table'!$I$1:$I$10000&lt;=ROUND($JJ$3,0))*('Margin Guidence Table'!$J$1:$J$10000&gt;=ROUND($JJ$3,0)),0),MATCH("PCT_SALES",'Margin Guidence Table'!$A$1:$AG$1,0)),INDEX('Margin Guidence Table'!$A$1:$AG$10000,MATCH(1,('Margin Guidence Table'!$A$1:$A$10000=$JR15)*('Margin Guidence Table'!$I$1:$I$10000&lt;=ROUND($JJ$3,0))*('Margin Guidence Table'!$J$1:$J$10000&gt;=ROUND($JJ$3,0)),0),MATCH("DEFAULT_PCT_SALES",'Margin Guidence Table'!$A$1:$AG$1,0))),0))</f>
        <v>0</v>
      </c>
      <c r="JH15" s="297" t="e">
        <f t="shared" ref="JH15:JH34" si="50">JG15/$JG$35</f>
        <v>#DIV/0!</v>
      </c>
      <c r="JI15" s="99" t="s">
        <v>103</v>
      </c>
      <c r="JJ15" s="91">
        <f>IF('Customer Inputs'!$W$15="End",0,IFERROR(IF(AND($JJ$2&lt;&gt;"Enter Spend&gt;&gt;&gt;",$JK$2="EXISTING"),SUMIFS('Existing Customers'!$Q:$Q,'Existing Customers'!$A:$A,$JJ$1,'Existing Customers'!$H:$H,$JI15)*$JJ$4,$JJ$3*$JH15),0))</f>
        <v>0</v>
      </c>
      <c r="JK15" s="86">
        <f>IF('Customer Inputs'!$W$15="End",0,IFERROR(IF(AND($JJ$2&lt;&gt;"Enter Spend&gt;&gt;&gt;",$JK$2="EXISTING"),SUMIFS('Existing Customers'!$N:$N,'Existing Customers'!$A:$A,$JJ$1,'Existing Customers'!$H:$H,$JI15)*$JJ$4,$JJ15/$JU15),0))</f>
        <v>0</v>
      </c>
      <c r="JL15" s="92">
        <f>IF('Customer Inputs'!$W$15="End",0,IFERROR(IF(AND($JJ$2&lt;&gt;"Enter Spend&gt;&gt;&gt;",$JK$2="EXISTING"),SUMIFS('Existing Customers'!$O:$O,'Existing Customers'!$H:$H,$JI15,'Existing Customers'!$A:$A,$JJ$1)*$JJ$4,$JK15*$JJ$8),0))</f>
        <v>0</v>
      </c>
      <c r="JM15" s="92">
        <f>IF('Customer Inputs'!$W$15="End",0,IFERROR(IF(AND($JJ$2&lt;&gt;"Enter Spend&gt;&gt;&gt;",$JK$2="EXISTING"),SUMIFS('Existing Customers'!$P:$P,'Existing Customers'!$A:$A,$JJ$1,'Existing Customers'!$H:$H,$JI15)*$JJ$4,$JJ15/$JV15),0))</f>
        <v>0</v>
      </c>
      <c r="JN15" s="303">
        <f>IF('Customer Inputs'!$W$15="End",0,IFERROR(IF(AND($JJ$2&lt;&gt;"Enter Spend&gt;&gt;&gt;",$JK$2="EXISTING"),SUMIFS('Existing Customers'!$V:$V,'Existing Customers'!$H:$H,$JI15,'Existing Customers'!$A:$A,$JJ$1)*$JJ$4,0),0))</f>
        <v>0</v>
      </c>
      <c r="JO15" s="93">
        <f>IF('Customer Inputs'!$W$15="End",0,IFERROR(IF(AND($JJ$2&lt;&gt;"Enter Spend&gt;&gt;&gt;",$JK$2="EXISTING"),SUMIFS('Existing Customers'!$R:$R,'Existing Customers'!$H:$H,$JI15,'Existing Customers'!$A:$A,$JJ$1)*$JJ$4,0),0))</f>
        <v>0</v>
      </c>
      <c r="JP15" s="780">
        <f>IF('Customer Inputs'!$W$15="End",0,IFERROR(IF(AND($JJ$2&lt;&gt;"Enter Spend&gt;&gt;&gt;",$JK$2="EXISTING"),SUMIFS('Existing Customers'!$S:$S,'Existing Customers'!$H:$H,$JI15,'Existing Customers'!$A:$A,$JJ$1)/SUMIFS('Existing Customers'!$Q:$Q,'Existing Customers'!$A:$A,$JJ$1,'Existing Customers'!$H:$H,$JI15),JZ15),0))</f>
        <v>0</v>
      </c>
      <c r="JQ15" s="780">
        <f>IF('Customer Inputs'!$W$15="End",0,IFERROR(IF(AND($JJ$2&lt;&gt;"Enter Spend&gt;&gt;&gt;",$JK$2="EXISTING"),SUMIFS('Existing Customers'!$U:$U,'Existing Customers'!$H:$H,$JI15,'Existing Customers'!$A:$A,$JJ$1)/SUMIFS('Existing Customers'!$Q:$Q,'Existing Customers'!$A:$A,$JJ$1,'Existing Customers'!$H:$H,$JI15),KA15),0))</f>
        <v>0</v>
      </c>
      <c r="JR15" s="783" t="e">
        <f>_xlfn.CONCAT('Customer Inputs'!$AH$15,"_",JI15)</f>
        <v>#N/A</v>
      </c>
      <c r="JS15" s="783">
        <f t="array" ref="JS15">IF('Customer Inputs'!$W$15="End",0,IFERROR(INDEX('Margin Guidence Table'!$A$1:$AG$10000,MATCH(1,('Margin Guidence Table'!$A$1:$A$10000=JR15)*('Margin Guidence Table'!$I$1:$I$10000&lt;=ROUND($JJ$3,0))*('Margin Guidence Table'!$J$1:$J$10000&gt;=ROUND($JJ$3,0)),0),MATCH("DATA_POINTS",'Margin Guidence Table'!$A$1:$AG$1,0)),0))</f>
        <v>0</v>
      </c>
      <c r="JT15" s="780" t="str">
        <f t="shared" ref="JT15:JT34" si="51">IF(JS15&gt;15,"SEGMENT","DEFAULT")</f>
        <v>DEFAULT</v>
      </c>
      <c r="JU15" s="780">
        <f t="array" ref="JU15">IF('Customer Inputs'!$W$15="End",0,IFERROR(IF($JT15="SEGMENT",INDEX('Margin Guidence Table'!$A$1:$AG$10000,MATCH(1,('Margin Guidence Table'!$A$1:$A$10000=JR15)*('Margin Guidence Table'!$I$1:$I$10000&lt;=ROUND($JJ$3,0))*('Margin Guidence Table'!$J$1:$J$10000&gt;=ROUND($JJ$3,0)),0),MATCH("SALES_CASE",'Margin Guidence Table'!$A$1:$AG$1,0)),INDEX('Margin Guidence Table'!$A$1:$AG$10000,MATCH(1,('Margin Guidence Table'!$A$1:$A$10000=JR15)*('Margin Guidence Table'!$I$1:$I$10000&lt;=ROUND($JJ$3,0))*('Margin Guidence Table'!$J$1:$J$10000&gt;=ROUND($JJ$3,0)),0),MATCH("DEFAULT_SALES_CASE",'Margin Guidence Table'!$A$1:$AG$1,0))),0))</f>
        <v>0</v>
      </c>
      <c r="JV15" s="780">
        <f t="array" ref="JV15">IF('Customer Inputs'!$W$15="End",0,IFERROR(IF($JT15="SEGMENT",INDEX('Margin Guidence Table'!$A$1:$AG$10000,MATCH(1,('Margin Guidence Table'!$A$1:$A$10000=JR15)*('Margin Guidence Table'!$I$1:$I$10000&lt;=ROUND($JJ$3,0))*('Margin Guidence Table'!$J$1:$J$10000&gt;=ROUND($JJ$3,0)),0),MATCH("SALES_LBS",'Margin Guidence Table'!$A$1:$AG$1,0)),INDEX('Margin Guidence Table'!$A$1:$AG$10000,MATCH(1,('Margin Guidence Table'!$A$1:$A$10000=JR15)*('Margin Guidence Table'!$I$1:$I$10000&lt;=ROUND($JJ$3,0))*('Margin Guidence Table'!$J$1:$J$10000&gt;=ROUND($JJ$3,0)),0),MATCH("DEFAULT_SALES_LBS",'Margin Guidence Table'!$A$1:$AG$1,0))),0))</f>
        <v>0</v>
      </c>
      <c r="JW15" s="784">
        <f t="array" ref="JW15">IF('Customer Inputs'!$W$15="End",0,IFERROR(IF($JT15="SEGMENT",INDEX('Margin Guidence Table'!$A$1:$AG$10000,MATCH(1,('Margin Guidence Table'!$A$1:$A$10000=JR15)*('Margin Guidence Table'!$I$1:$I$10000&lt;=ROUND($JJ$3,0))*('Margin Guidence Table'!$J$1:$J$10000&gt;=ROUND($JJ$3,0)),0),MATCH("MDA_MIN_MARGIN_GUIDENCE",'Margin Guidence Table'!$A$1:$AG$1,0)),INDEX('Margin Guidence Table'!$A$1:$AG$10000,MATCH(1,('Margin Guidence Table'!$A$1:$A$10000=JR15)*('Margin Guidence Table'!$I$1:$I$10000&lt;=ROUND($JJ$3,0))*('Margin Guidence Table'!$J$1:$J$10000&gt;=ROUND($JJ$3,0)),0),MATCH("DEFAULT_MDA_MIN_MARGIN_GUIDENCE",'Margin Guidence Table'!$A$1:$AG$1,0))),0))</f>
        <v>0</v>
      </c>
      <c r="JX15" s="784">
        <f t="array" ref="JX15">IF('Customer Inputs'!$W$15="End",0,IFERROR(IF($JT15="SEGMENT",INDEX('Margin Guidence Table'!$A$1:$AG$10000,MATCH(1,('Margin Guidence Table'!$A$1:$A$10000=JR15)*('Margin Guidence Table'!$I$1:$I$10000&lt;=ROUND($JJ$3,0))*('Margin Guidence Table'!$J$1:$J$10000&gt;=ROUND($JJ$3,0)),0),MATCH("MDA_MEDIAN_MARGIN_GUIDENCE",'Margin Guidence Table'!$A$1:$AG$1,0)),INDEX('Margin Guidence Table'!$A$1:$AG$10000,MATCH(1,('Margin Guidence Table'!$A$1:$A$10000=JR15)*('Margin Guidence Table'!$I$1:$I$10000&lt;=ROUND($JJ$3,0))*('Margin Guidence Table'!$J$1:$J$10000&gt;=ROUND($JJ$3,0)),0),MATCH("DEFAULT_MDA_MEDIAN_MARGIN_GUIDENCE",'Margin Guidence Table'!$A$1:$AG$1,0))),0))</f>
        <v>0</v>
      </c>
      <c r="JY15" s="784">
        <f t="array" ref="JY15">IF('Customer Inputs'!$W$15="End",0,IFERROR(IF($JT15="SEGMENT",INDEX('Margin Guidence Table'!$A$1:$AG$10000,MATCH(1,('Margin Guidence Table'!$A$1:$A$10000=JR15)*('Margin Guidence Table'!$I$1:$I$10000&lt;=ROUND($JJ$3,0))*('Margin Guidence Table'!$J$1:$J$10000&gt;=ROUND($JJ$3,0)),0),MATCH("MDA_MAX_MARGIN_GUIDENCE",'Margin Guidence Table'!$A$1:$AG$1,0)),INDEX('Margin Guidence Table'!$A$1:$AG$10000,MATCH(1,('Margin Guidence Table'!$A$1:$A$10000=JR15)*('Margin Guidence Table'!$I$1:$I$10000&lt;=ROUND($JJ$3,0))*('Margin Guidence Table'!$J$1:$J$10000&gt;=ROUND($JJ$3,0)),0),MATCH("DEFAULT_MDA_MAX_MARGIN_GUIDENCE",'Margin Guidence Table'!$A$1:$AG$1,0))),0))</f>
        <v>0</v>
      </c>
      <c r="JZ15" s="784">
        <f t="array" ref="JZ15">IF('Customer Inputs'!$W$15="End",0,IFERROR(IF($JT15="SEGMENT",INDEX('Margin Guidence Table'!$A$1:$AG$10000,MATCH(1,('Margin Guidence Table'!$A$1:$A$10000=JR15)*('Margin Guidence Table'!$I$1:$I$10000&lt;=ROUND($JJ$3,0))*('Margin Guidence Table'!$J$1:$J$10000&gt;=ROUND($JJ$3,0)),0),MATCH("PA_PCT_SALES",'Margin Guidence Table'!$A$1:$AG$1,0)),INDEX('Margin Guidence Table'!$A$1:$AG$10000,MATCH(1,('Margin Guidence Table'!$A$1:$A$10000=JR15)*('Margin Guidence Table'!$I$1:$I$10000&lt;=ROUND($JJ$3,0))*('Margin Guidence Table'!$J$1:$J$10000&gt;=ROUND($JJ$3,0)),0),MATCH("DEFAULT_PA_PCT_SALES",'Margin Guidence Table'!$A$1:$AG$1,0))),0))</f>
        <v>0</v>
      </c>
      <c r="KA15" s="784" cm="1">
        <f t="array" ref="KA15">IF('Customer Inputs'!$W$15="End",0,IFERROR(IF($JT15="SEGMENT",INDEX('Margin Guidence Table'!$A$1:$AG$10000,MATCH(1,('Margin Guidence Table'!$A$1:$A$10000=JR15)*('Margin Guidence Table'!$I$1:$I$10000&lt;=ROUND($JJ$3,0))*('Margin Guidence Table'!$J$1:$J$10000&gt;=ROUND($JJ$3,0)),0),MATCH("SELF_FUND_PCT_SALES",'Margin Guidence Table'!$A$1:$AG$1,0)),INDEX('Margin Guidence Table'!$A$1:$AG$10000,MATCH(1,('Margin Guidence Table'!$A$1:$A$10000=JR15)*('Margin Guidence Table'!$I$1:$I$10000&lt;=ROUND($JJ$3,0))*('Margin Guidence Table'!$J$1:$J$10000&gt;=ROUND($JJ$3,0)),0),MATCH("DEFAULT_SELF_FUND_PCT_SALES",'Margin Guidence Table'!$A$1:$AG$1,0))),0))</f>
        <v>0</v>
      </c>
      <c r="KB15" s="784">
        <f t="array" ref="KB15">IF('Customer Inputs'!$W$15="End",0,IF($JK$2="Existing",IFERROR(SUMIFS('Existing Customers'!$V:$V,'Existing Customers'!$H:$H,$JI15,'Existing Customers'!$A:$A,$JJ$1)/SUMIFS('Existing Customers'!$Q:$Q,'Existing Customers'!$H:$H,$JI15,'Existing Customers'!$A:$A,$JJ$1),0),IFERROR(IF($JT15="SEGMENT",INDEX('Margin Guidence Table'!$A$1:$AG$10000,MATCH(1,('Margin Guidence Table'!$A$1:$A$10000=JR15)*('Margin Guidence Table'!$I$1:$I$10000&lt;=ROUND($JJ$3,0))*('Margin Guidence Table'!$J$1:$J$10000&gt;=ROUND($JJ$3,0)),0),MATCH("CIA_MEDIAN_MARGIN_GUIDENCE",'Margin Guidence Table'!$A$1:$AG$1,0)),INDEX('Margin Guidence Table'!$A$1:$AG$10000,MATCH(1,('Margin Guidence Table'!$A$1:$A$10000=JR15)*('Margin Guidence Table'!$I$1:$I$10000&lt;=ROUND($JJ$3,0))*('Margin Guidence Table'!$J$1:$J$10000&gt;=ROUND($JJ$3,0)),0),MATCH("DEFAULT_CIA_MEDIAN_MARGIN_GUIDENCE",'Margin Guidence Table'!$A$1:$AG$1,0))),0)))</f>
        <v>0</v>
      </c>
      <c r="KC15" s="784"/>
      <c r="KD15" s="18">
        <f t="array" ref="KD15">IF('Customer Inputs'!$W$16="End",0,IFERROR(IF($KQ15="SEGMENT",INDEX('Margin Guidence Table'!$A$1:$AG$10000,MATCH(1,('Margin Guidence Table'!$A$1:$A$10000=$KO15)*('Margin Guidence Table'!$I$1:$I$10000&lt;=ROUND($KG$3,0))*('Margin Guidence Table'!$J$1:$J$10000&gt;=ROUND($KG$3,0)),0),MATCH("PCT_SALES",'Margin Guidence Table'!$A$1:$AG$1,0)),INDEX('Margin Guidence Table'!$A$1:$AG$10000,MATCH(1,('Margin Guidence Table'!$A$1:$A$10000=$KO15)*('Margin Guidence Table'!$I$1:$I$10000&lt;=ROUND($KG$3,0))*('Margin Guidence Table'!$J$1:$J$10000&gt;=ROUND($KG$3,0)),0),MATCH("DEFAULT_PCT_SALES",'Margin Guidence Table'!$A$1:$AG$1,0))),0))</f>
        <v>0</v>
      </c>
      <c r="KE15" s="1713" t="e">
        <f t="shared" ref="KE15:KE34" si="52">KD15/$KD$35</f>
        <v>#DIV/0!</v>
      </c>
      <c r="KF15" s="99" t="s">
        <v>103</v>
      </c>
      <c r="KG15" s="91">
        <f>IF('Customer Inputs'!$W$16="End",0,IFERROR(IF(AND($KG$2&lt;&gt;"Enter Spend&gt;&gt;&gt;",$KH$2="EXISTING"),SUMIFS('Existing Customers'!$Q:$Q,'Existing Customers'!$A:$A,$KG$1,'Existing Customers'!$H:$H,$KF15)*$KG$4,$KG$3*$KE15),0))</f>
        <v>0</v>
      </c>
      <c r="KH15" s="86">
        <f>IF('Customer Inputs'!$W$16="End",0,IFERROR(IF(AND($KG$2&lt;&gt;"Enter Spend&gt;&gt;&gt;",$KH$2="EXISTING"),SUMIFS('Existing Customers'!$N:$N,'Existing Customers'!$A:$A,$KG$1,'Existing Customers'!$H:$H,$KF15)*$KG$4,$KG15/$KR15),0))</f>
        <v>0</v>
      </c>
      <c r="KI15" s="92">
        <f>IF('Customer Inputs'!$W$16="End",0,IFERROR(IF(AND($KG$2&lt;&gt;"Enter Spend&gt;&gt;&gt;",$KH$2="EXISTING"),SUMIFS('Existing Customers'!$O:$O,'Existing Customers'!$H:$H,$KF15,'Existing Customers'!$A:$A,$KG$1)*$KG$4,$KH15*$KG$8),0))</f>
        <v>0</v>
      </c>
      <c r="KJ15" s="92">
        <f>IF('Customer Inputs'!$W$16="End",0,IFERROR(IF(AND($KG$2&lt;&gt;"Enter Spend&gt;&gt;&gt;",$KH$2="EXISTING"),SUMIFS('Existing Customers'!$P:$P,'Existing Customers'!$A:$A,$KG$1,'Existing Customers'!$H:$H,$KF15)*$KG$4,$KG15/$KS15),0))</f>
        <v>0</v>
      </c>
      <c r="KK15" s="303">
        <f>IF('Customer Inputs'!$W$16="End",0,IFERROR(IF(AND($KG$2&lt;&gt;"Enter Spend&gt;&gt;&gt;",$KH$2="EXISTING"),SUMIFS('Existing Customers'!$V:$V,'Existing Customers'!$H:$H,$KF15,'Existing Customers'!$A:$A,$KG$1)*$KG$4,0),0))</f>
        <v>0</v>
      </c>
      <c r="KL15" s="93">
        <f>IF('Customer Inputs'!$W$16="End",0,IFERROR(IF(AND($KG$2&lt;&gt;"Enter Spend&gt;&gt;&gt;",$KH$2="EXISTING"),SUMIFS('Existing Customers'!$R:$R,'Existing Customers'!$H:$H,$KF15,'Existing Customers'!$A:$A,$KG$1)*$KG$4,0),0))</f>
        <v>0</v>
      </c>
      <c r="KM15" s="780">
        <f>IF('Customer Inputs'!$W$16="End",0,IFERROR(IF(AND($KG$2&lt;&gt;"Enter Spend&gt;&gt;&gt;",$KH$2="EXISTING"),SUMIFS('Existing Customers'!$S:$S,'Existing Customers'!$H:$H,$KF15,'Existing Customers'!$A:$A,$KG$1)/SUMIFS('Existing Customers'!$Q:$Q,'Existing Customers'!$A:$A,$KG$1,'Existing Customers'!$H:$H,$KF15),KW15),0))</f>
        <v>0</v>
      </c>
      <c r="KN15" s="780">
        <f>IF('Customer Inputs'!$W$16="End",0,IFERROR(IF(AND($KG$2&lt;&gt;"Enter Spend&gt;&gt;&gt;",$KH$2="EXISTING"),SUMIFS('Existing Customers'!$U:$U,'Existing Customers'!$H:$H,$KF15,'Existing Customers'!$A:$A,$KG$1)/SUMIFS('Existing Customers'!$Q:$Q,'Existing Customers'!$A:$A,$KG$1,'Existing Customers'!$H:$H,$KF15),KX15),0))</f>
        <v>0</v>
      </c>
      <c r="KO15" s="783" t="e">
        <f>_xlfn.CONCAT('Customer Inputs'!$AH$16,"_",KF15)</f>
        <v>#N/A</v>
      </c>
      <c r="KP15" s="783">
        <f t="array" ref="KP15">IF('Customer Inputs'!$W$16="End",0,IFERROR(INDEX('Margin Guidence Table'!$A$1:$AG$10000,MATCH(1,('Margin Guidence Table'!$A$1:$A$10000=KO15)*('Margin Guidence Table'!$I$1:$I$10000&lt;=ROUND($KG$3,0))*('Margin Guidence Table'!$J$1:$J$10000&gt;=ROUND($KG$3,0)),0),MATCH("DATA_POINTS",'Margin Guidence Table'!$A$1:$AG$1,0)),0))</f>
        <v>0</v>
      </c>
      <c r="KQ15" s="780" t="str">
        <f t="shared" ref="KQ15:KQ34" si="53">IF(KP15&gt;15,"SEGMENT","DEFAULT")</f>
        <v>DEFAULT</v>
      </c>
      <c r="KR15" s="780">
        <f t="array" ref="KR15">IF('Customer Inputs'!$W$16="End",0,IFERROR(IF($KQ15="SEGMENT",INDEX('Margin Guidence Table'!$A$1:$AG$10000,MATCH(1,('Margin Guidence Table'!$A$1:$A$10000=KO15)*('Margin Guidence Table'!$I$1:$I$10000&lt;=ROUND($KG$3,0))*('Margin Guidence Table'!$J$1:$J$10000&gt;=ROUND($KG$3,0)),0),MATCH("SALES_CASE",'Margin Guidence Table'!$A$1:$AG$1,0)),INDEX('Margin Guidence Table'!$A$1:$AG$10000,MATCH(1,('Margin Guidence Table'!$A$1:$A$10000=KO15)*('Margin Guidence Table'!$I$1:$I$10000&lt;=ROUND($KG$3,0))*('Margin Guidence Table'!$J$1:$J$10000&gt;=ROUND($KG$3,0)),0),MATCH("DEFAULT_SALES_CASE",'Margin Guidence Table'!$A$1:$AG$1,0))),0))</f>
        <v>0</v>
      </c>
      <c r="KS15" s="780">
        <f t="array" ref="KS15">IF('Customer Inputs'!$W$16="End",0,IFERROR(IF($KQ15="SEGMENT",INDEX('Margin Guidence Table'!$A$1:$AG$10000,MATCH(1,('Margin Guidence Table'!$A$1:$A$10000=KO15)*('Margin Guidence Table'!$I$1:$I$10000&lt;=ROUND($KG$3,0))*('Margin Guidence Table'!$J$1:$J$10000&gt;=ROUND($KG$3,0)),0),MATCH("SALES_LBS",'Margin Guidence Table'!$A$1:$AG$1,0)),INDEX('Margin Guidence Table'!$A$1:$AG$10000,MATCH(1,('Margin Guidence Table'!$A$1:$A$10000=KO15)*('Margin Guidence Table'!$I$1:$I$10000&lt;=ROUND($KG$3,0))*('Margin Guidence Table'!$J$1:$J$10000&gt;=ROUND($KG$3,0)),0),MATCH("DEFAULT_SALES_LBS",'Margin Guidence Table'!$A$1:$AG$1,0))),0))</f>
        <v>0</v>
      </c>
      <c r="KT15" s="784">
        <f t="array" ref="KT15">IF('Customer Inputs'!$W$16="End",0,IFERROR(IF($KQ15="SEGMENT",INDEX('Margin Guidence Table'!$A$1:$AG$10000,MATCH(1,('Margin Guidence Table'!$A$1:$A$10000=KO15)*('Margin Guidence Table'!$I$1:$I$10000&lt;=ROUND($KG$3,0))*('Margin Guidence Table'!$J$1:$J$10000&gt;=ROUND($KG$3,0)),0),MATCH("MDA_MIN_MARGIN_GUIDENCE",'Margin Guidence Table'!$A$1:$AG$1,0)),INDEX('Margin Guidence Table'!$A$1:$AG$10000,MATCH(1,('Margin Guidence Table'!$A$1:$A$10000=KO15)*('Margin Guidence Table'!$I$1:$I$10000&lt;=ROUND($KG$3,0))*('Margin Guidence Table'!$J$1:$J$10000&gt;=ROUND($KG$3,0)),0),MATCH("DEFAULT_MDA_MIN_MARGIN_GUIDENCE",'Margin Guidence Table'!$A$1:$AG$1,0))),0))</f>
        <v>0</v>
      </c>
      <c r="KU15" s="784">
        <f t="array" ref="KU15">IF('Customer Inputs'!$W$16="End",0,IFERROR(IF($KQ15="SEGMENT",INDEX('Margin Guidence Table'!$A$1:$AG$10000,MATCH(1,('Margin Guidence Table'!$A$1:$A$10000=KO15)*('Margin Guidence Table'!$I$1:$I$10000&lt;=ROUND($KG$3,0))*('Margin Guidence Table'!$J$1:$J$10000&gt;=ROUND($KG$3,0)),0),MATCH("MDA_MEDIAN_MARGIN_GUIDENCE",'Margin Guidence Table'!$A$1:$AG$1,0)),INDEX('Margin Guidence Table'!$A$1:$AG$10000,MATCH(1,('Margin Guidence Table'!$A$1:$A$10000=KO15)*('Margin Guidence Table'!$I$1:$I$10000&lt;=ROUND($KG$3,0))*('Margin Guidence Table'!$J$1:$J$10000&gt;=ROUND($KG$3,0)),0),MATCH("DEFAULT_MDA_MEDIAN_MARGIN_GUIDENCE",'Margin Guidence Table'!$A$1:$AG$1,0))),0))</f>
        <v>0</v>
      </c>
      <c r="KV15" s="784">
        <f t="array" ref="KV15">IF('Customer Inputs'!$W$16="End",0,IFERROR(IF($KQ15="SEGMENT",INDEX('Margin Guidence Table'!$A$1:$AG$10000,MATCH(1,('Margin Guidence Table'!$A$1:$A$10000=KO15)*('Margin Guidence Table'!$I$1:$I$10000&lt;=ROUND($KG$3,0))*('Margin Guidence Table'!$J$1:$J$10000&gt;=ROUND($KG$3,0)),0),MATCH("MDA_MAX_MARGIN_GUIDENCE",'Margin Guidence Table'!$A$1:$AG$1,0)),INDEX('Margin Guidence Table'!$A$1:$AG$10000,MATCH(1,('Margin Guidence Table'!$A$1:$A$10000=KO15)*('Margin Guidence Table'!$I$1:$I$10000&lt;=ROUND($KG$3,0))*('Margin Guidence Table'!$J$1:$J$10000&gt;=ROUND($KG$3,0)),0),MATCH("DEFAULT_MDA_MAX_MARGIN_GUIDENCE",'Margin Guidence Table'!$A$1:$AG$1,0))),0))</f>
        <v>0</v>
      </c>
      <c r="KW15" s="784">
        <f t="array" ref="KW15">IF('Customer Inputs'!$W$16="End",0,IFERROR(IF($KQ15="SEGMENT",INDEX('Margin Guidence Table'!$A$1:$AG$10000,MATCH(1,('Margin Guidence Table'!$A$1:$A$10000=KO15)*('Margin Guidence Table'!$I$1:$I$10000&lt;=ROUND($KG$3,0))*('Margin Guidence Table'!$J$1:$J$10000&gt;=ROUND($KG$3,0)),0),MATCH("PA_PCT_SALES",'Margin Guidence Table'!$A$1:$AG$1,0)),INDEX('Margin Guidence Table'!$A$1:$AG$10000,MATCH(1,('Margin Guidence Table'!$A$1:$A$10000=KO15)*('Margin Guidence Table'!$I$1:$I$10000&lt;=ROUND($KG$3,0))*('Margin Guidence Table'!$J$1:$J$10000&gt;=ROUND($KG$3,0)),0),MATCH("DEFAULT_PA_PCT_SALES",'Margin Guidence Table'!$A$1:$AG$1,0))),0))</f>
        <v>0</v>
      </c>
      <c r="KX15" s="784">
        <f t="array" ref="KX15">IF('Customer Inputs'!$W$16="End",0,IFERROR(IF($KQ15="SEGMENT",INDEX('Margin Guidence Table'!$A$1:$AG$10000,MATCH(1,('Margin Guidence Table'!$A$1:$A$10000=KO15)*('Margin Guidence Table'!$I$1:$I$10000&lt;=ROUND($KG$3,0))*('Margin Guidence Table'!$J$1:$J$10000&gt;=ROUND($KG$3,0)),0),MATCH("SELF_FUND_PCT_SALES",'Margin Guidence Table'!$A$1:$AG$1,0)),INDEX('Margin Guidence Table'!$A$1:$AG$10000,MATCH(1,('Margin Guidence Table'!$A$1:$A$10000=KO15)*('Margin Guidence Table'!$I$1:$I$10000&lt;=ROUND($KG$3,0))*('Margin Guidence Table'!$J$1:$J$10000&gt;=ROUND($KG$3,0)),0),MATCH("DEFAULT_SELF_FUND_PCT_SALES",'Margin Guidence Table'!$A$1:$AG$1,0))),0))</f>
        <v>0</v>
      </c>
      <c r="KY15" s="784">
        <f t="array" ref="KY15">IF('Customer Inputs'!$W$16="End",0,IF($KH$2="Existing",IFERROR(SUMIFS('Existing Customers'!$V:$V,'Existing Customers'!$H:$H,$KF15,'Existing Customers'!$A:$A,$KG$1)/SUMIFS('Existing Customers'!$Q:$Q,'Existing Customers'!$H:$H,$KF15,'Existing Customers'!$A:$A,$KG$1),0),IFERROR(IF($KQ15="SEGMENT",INDEX('Margin Guidence Table'!$A$1:$AG$10000,MATCH(1,('Margin Guidence Table'!$A$1:$A$10000=KO15)*('Margin Guidence Table'!$I$1:$I$10000&lt;=ROUND($KG$3,0))*('Margin Guidence Table'!$J$1:$J$10000&gt;=ROUND($KG$3,0)),0),MATCH("CIA_MEDIAN_MARGIN_GUIDENCE",'Margin Guidence Table'!$A$1:$AG$1,0)),INDEX('Margin Guidence Table'!$A$1:$AG$10000,MATCH(1,('Margin Guidence Table'!$A$1:$A$10000=KO15)*('Margin Guidence Table'!$I$1:$I$10000&lt;=ROUND($KG$3,0))*('Margin Guidence Table'!$J$1:$J$10000&gt;=ROUND($KG$3,0)),0),MATCH("DEFAULT_CIA_MEDIAN_MARGIN_GUIDENCE",'Margin Guidence Table'!$A$1:$AG$1,0))),0)))</f>
        <v>0</v>
      </c>
      <c r="KZ15" s="784"/>
      <c r="LA15" s="18">
        <f t="array" ref="LA15">IF('Customer Inputs'!$W$17="End",0,IFERROR(IF($LN15="SEGMENT",INDEX('Margin Guidence Table'!$A$1:$AG$10000,MATCH(1,('Margin Guidence Table'!$A$1:$A$10000=$LL15)*('Margin Guidence Table'!$I$1:$I$10000&lt;=ROUND($LD$3,0))*('Margin Guidence Table'!$J$1:$J$10000&gt;=ROUND($LD$3,0)),0),MATCH("PCT_SALES",'Margin Guidence Table'!$A$1:$AG$1,0)),INDEX('Margin Guidence Table'!$A$1:$AG$10000,MATCH(1,('Margin Guidence Table'!$A$1:$A$10000=$LL15)*('Margin Guidence Table'!$I$1:$I$10000&lt;=ROUND($LD$3,0))*('Margin Guidence Table'!$J$1:$J$10000&gt;=ROUND($LD$3,0)),0),MATCH("DEFAULT_PCT_SALES",'Margin Guidence Table'!$A$1:$AG$1,0))),0))</f>
        <v>0</v>
      </c>
      <c r="LB15" s="1713" t="e">
        <f t="shared" ref="LB15:LB34" si="54">LA15/$LA$35</f>
        <v>#DIV/0!</v>
      </c>
      <c r="LC15" s="99" t="s">
        <v>103</v>
      </c>
      <c r="LD15" s="91">
        <f>IF('Customer Inputs'!$W$17="End",0,IFERROR(IF(AND($LD$2&lt;&gt;"Enter Spend&gt;&gt;&gt;",$LE$2="EXISTING"),SUMIFS('Existing Customers'!$Q:$Q,'Existing Customers'!$A:$A,$LD$1,'Existing Customers'!$H:$H,$LC15)*$LD$4,$LD$3*$LB15),0))</f>
        <v>0</v>
      </c>
      <c r="LE15" s="86">
        <f>IF('Customer Inputs'!$W$17="End",0,IFERROR(IF(AND($LD$2&lt;&gt;"Enter Spend&gt;&gt;&gt;",$LE$2="EXISTING"),SUMIFS('Existing Customers'!$N:$N,'Existing Customers'!$A:$A,$LD$1,'Existing Customers'!$H:$H,$LC15)*$LD$4,$LD15/$LO15),0))</f>
        <v>0</v>
      </c>
      <c r="LF15" s="92">
        <f>IF('Customer Inputs'!$W$17="End",0,IFERROR(IF(AND($LD$2&lt;&gt;"Enter Spend&gt;&gt;&gt;",$LE$2="EXISTING"),SUMIFS('Existing Customers'!$O:$O,'Existing Customers'!$H:$H,$LC15,'Existing Customers'!$A:$A,$LD$1)*$LD$4,$LE15*$LD$8),0))</f>
        <v>0</v>
      </c>
      <c r="LG15" s="92">
        <f>IF('Customer Inputs'!$W$17="End",0,IFERROR(IF(AND($LD$2&lt;&gt;"Enter Spend&gt;&gt;&gt;",$LE$2="EXISTING"),SUMIFS('Existing Customers'!$P:$P,'Existing Customers'!$A:$A,$LD$1,'Existing Customers'!$H:$H,$LC15)*$LD$4,$LD15/$LP15),0))</f>
        <v>0</v>
      </c>
      <c r="LH15" s="303">
        <f>IF('Customer Inputs'!$W$17="End",0,IFERROR(IF(AND($LD$2&lt;&gt;"Enter Spend&gt;&gt;&gt;",$LE$2="EXISTING"),SUMIFS('Existing Customers'!$V:$V,'Existing Customers'!$H:$H,$LC15,'Existing Customers'!$A:$A,$LD$1)*$LD$4,0),0))</f>
        <v>0</v>
      </c>
      <c r="LI15" s="93">
        <f>IF('Customer Inputs'!$W$17="End",0,IFERROR(IF(AND($LD$2&lt;&gt;"Enter Spend&gt;&gt;&gt;",$LE$2="EXISTING"),SUMIFS('Existing Customers'!$R:$R,'Existing Customers'!$H:$H,$LC15,'Existing Customers'!$A:$A,$LD$1)*$LD$4,0),0))</f>
        <v>0</v>
      </c>
      <c r="LJ15" s="780">
        <f>IF('Customer Inputs'!$W$17="End",0,IFERROR(IF(AND($LD$2&lt;&gt;"Enter Spend&gt;&gt;&gt;",$LE$2="EXISTING"),SUMIFS('Existing Customers'!$S:$S,'Existing Customers'!$H:$H,$LC15,'Existing Customers'!$A:$A,$LD$1)/SUMIFS('Existing Customers'!$Q:$Q,'Existing Customers'!$A:$A,$LD$1,'Existing Customers'!$H:$H,$LC15),LT15),0))</f>
        <v>0</v>
      </c>
      <c r="LK15" s="780">
        <f>IF('Customer Inputs'!$W$17="End",0,IFERROR(IF(AND($LD$2&lt;&gt;"Enter Spend&gt;&gt;&gt;",$LE$2="EXISTING"),SUMIFS('Existing Customers'!$U:$U,'Existing Customers'!$H:$H,$LC15,'Existing Customers'!$A:$A,$LD$1)/SUMIFS('Existing Customers'!$Q:$Q,'Existing Customers'!$A:$A,$LD$1,'Existing Customers'!$H:$H,$LC15),LU15),0))</f>
        <v>0</v>
      </c>
      <c r="LL15" s="783" t="e">
        <f>_xlfn.CONCAT('Customer Inputs'!$AH$17,"_",LC15)</f>
        <v>#N/A</v>
      </c>
      <c r="LM15" s="783">
        <f t="array" ref="LM15">IF('Customer Inputs'!$W$17="End",0,IFERROR(INDEX('Margin Guidence Table'!$A$1:$AG$10000,MATCH(1,('Margin Guidence Table'!$A$1:$A$10000=LL15)*('Margin Guidence Table'!$I$1:$I$10000&lt;=ROUND($LD$3,0))*('Margin Guidence Table'!$J$1:$J$10000&gt;=ROUND($LD$3,0)),0),MATCH("DATA_POINTS",'Margin Guidence Table'!$A$1:$AG$1,0)),0))</f>
        <v>0</v>
      </c>
      <c r="LN15" s="780" t="str">
        <f t="shared" ref="LN15:LN34" si="55">IF(LM15&gt;15,"SEGMENT","DEFAULT")</f>
        <v>DEFAULT</v>
      </c>
      <c r="LO15" s="780">
        <f t="array" ref="LO15">IF('Customer Inputs'!$W$17="End",0,IFERROR(IF($LN15="SEGMENT",INDEX('Margin Guidence Table'!$A$1:$AG$10000,MATCH(1,('Margin Guidence Table'!$A$1:$A$10000=LL15)*('Margin Guidence Table'!$I$1:$I$10000&lt;=ROUND($LD$3,0))*('Margin Guidence Table'!$J$1:$J$10000&gt;=ROUND($LD$3,0)),0),MATCH("SALES_CASE",'Margin Guidence Table'!$A$1:$AG$1,0)),INDEX('Margin Guidence Table'!$A$1:$AG$10000,MATCH(1,('Margin Guidence Table'!$A$1:$A$10000=LL15)*('Margin Guidence Table'!$I$1:$I$10000&lt;=ROUND($LD$3,0))*('Margin Guidence Table'!$J$1:$J$10000&gt;=ROUND($LD$3,0)),0),MATCH("DEFAULT_SALES_CASE",'Margin Guidence Table'!$A$1:$AG$1,0))),0))</f>
        <v>0</v>
      </c>
      <c r="LP15" s="780">
        <f t="array" ref="LP15">IF('Customer Inputs'!$W$17="End",0,IFERROR(IF($LN15="SEGMENT",INDEX('Margin Guidence Table'!$A$1:$AG$10000,MATCH(1,('Margin Guidence Table'!$A$1:$A$10000=LL15)*('Margin Guidence Table'!$I$1:$I$10000&lt;=ROUND($LD$3,0))*('Margin Guidence Table'!$J$1:$J$10000&gt;=ROUND($LD$3,0)),0),MATCH("SALES_LBS",'Margin Guidence Table'!$A$1:$AG$1,0)),INDEX('Margin Guidence Table'!$A$1:$AG$10000,MATCH(1,('Margin Guidence Table'!$A$1:$A$10000=LL15)*('Margin Guidence Table'!$I$1:$I$10000&lt;=ROUND($LD$3,0))*('Margin Guidence Table'!$J$1:$J$10000&gt;=ROUND($LD$3,0)),0),MATCH("DEFAULT_SALES_LBS",'Margin Guidence Table'!$A$1:$AG$1,0))),0))</f>
        <v>0</v>
      </c>
      <c r="LQ15" s="784">
        <f t="array" ref="LQ15">IF('Customer Inputs'!$W$17="End",0,IFERROR(IF($LN15="SEGMENT",INDEX('Margin Guidence Table'!$A$1:$AG$10000,MATCH(1,('Margin Guidence Table'!$A$1:$A$10000=LL15)*('Margin Guidence Table'!$I$1:$I$10000&lt;=ROUND($LD$3,0))*('Margin Guidence Table'!$J$1:$J$10000&gt;=ROUND($LD$3,0)),0),MATCH("MDA_MIN_MARGIN_GUIDENCE",'Margin Guidence Table'!$A$1:$AG$1,0)),INDEX('Margin Guidence Table'!$A$1:$AG$10000,MATCH(1,('Margin Guidence Table'!$A$1:$A$10000=LL15)*('Margin Guidence Table'!$I$1:$I$10000&lt;=ROUND($LD$3,0))*('Margin Guidence Table'!$J$1:$J$10000&gt;=ROUND($LD$3,0)),0),MATCH("DEFAULT_MDA_MIN_MARGIN_GUIDENCE",'Margin Guidence Table'!$A$1:$AG$1,0))),0))</f>
        <v>0</v>
      </c>
      <c r="LR15" s="784">
        <f t="array" ref="LR15">IF('Customer Inputs'!$W$17="End",0,IFERROR(IF($LN15="SEGMENT",INDEX('Margin Guidence Table'!$A$1:$AG$10000,MATCH(1,('Margin Guidence Table'!$A$1:$A$10000=LL15)*('Margin Guidence Table'!$I$1:$I$10000&lt;=ROUND($LD$3,0))*('Margin Guidence Table'!$J$1:$J$10000&gt;=ROUND($LD$3,0)),0),MATCH("MDA_MEDIAN_MARGIN_GUIDENCE",'Margin Guidence Table'!$A$1:$AG$1,0)),INDEX('Margin Guidence Table'!$A$1:$AG$10000,MATCH(1,('Margin Guidence Table'!$A$1:$A$10000=LL15)*('Margin Guidence Table'!$I$1:$I$10000&lt;=ROUND($LD$3,0))*('Margin Guidence Table'!$J$1:$J$10000&gt;=ROUND($LD$3,0)),0),MATCH("DEFAULT_MDA_MEDIAN_MARGIN_GUIDENCE",'Margin Guidence Table'!$A$1:$AG$1,0))),0))</f>
        <v>0</v>
      </c>
      <c r="LS15" s="784">
        <f t="array" ref="LS15">IF('Customer Inputs'!$W$17="End",0,IFERROR(IF($LN15="SEGMENT",INDEX('Margin Guidence Table'!$A$1:$AG$10000,MATCH(1,('Margin Guidence Table'!$A$1:$A$10000=LL15)*('Margin Guidence Table'!$I$1:$I$10000&lt;=ROUND($LD$3,0))*('Margin Guidence Table'!$J$1:$J$10000&gt;=ROUND($LD$3,0)),0),MATCH("MDA_MAX_MARGIN_GUIDENCE",'Margin Guidence Table'!$A$1:$AG$1,0)),INDEX('Margin Guidence Table'!$A$1:$AG$10000,MATCH(1,('Margin Guidence Table'!$A$1:$A$10000=LL15)*('Margin Guidence Table'!$I$1:$I$10000&lt;=ROUND($LD$3,0))*('Margin Guidence Table'!$J$1:$J$10000&gt;=ROUND($LD$3,0)),0),MATCH("DEFAULT_MDA_MAX_MARGIN_GUIDENCE",'Margin Guidence Table'!$A$1:$AG$1,0))),0))</f>
        <v>0</v>
      </c>
      <c r="LT15" s="784">
        <f t="array" ref="LT15">IF('Customer Inputs'!$W$17="End",0,IFERROR(IF($LN15="SEGMENT",INDEX('Margin Guidence Table'!$A$1:$AG$10000,MATCH(1,('Margin Guidence Table'!$A$1:$A$10000=LL15)*('Margin Guidence Table'!$I$1:$I$10000&lt;=ROUND($LD$3,0))*('Margin Guidence Table'!$J$1:$J$10000&gt;=ROUND($LD$3,0)),0),MATCH("PA_PCT_SALES",'Margin Guidence Table'!$A$1:$AG$1,0)),INDEX('Margin Guidence Table'!$A$1:$AG$10000,MATCH(1,('Margin Guidence Table'!$A$1:$A$10000=LL15)*('Margin Guidence Table'!$I$1:$I$10000&lt;=ROUND($LD$3,0))*('Margin Guidence Table'!$J$1:$J$10000&gt;=ROUND($LD$3,0)),0),MATCH("DEFAULT_PA_PCT_SALES",'Margin Guidence Table'!$A$1:$AG$1,0))),0))</f>
        <v>0</v>
      </c>
      <c r="LU15" s="784">
        <f t="array" ref="LU15">IF('Customer Inputs'!$W$17="End",0,IFERROR(IF($LN15="SEGMENT",INDEX('Margin Guidence Table'!$A$1:$AG$10000,MATCH(1,('Margin Guidence Table'!$A$1:$A$10000=LL15)*('Margin Guidence Table'!$I$1:$I$10000&lt;=ROUND($LD$3,0))*('Margin Guidence Table'!$J$1:$J$10000&gt;=ROUND($LD$3,0)),0),MATCH("SELF_FUND_PCT_SALES",'Margin Guidence Table'!$A$1:$AG$1,0)),INDEX('Margin Guidence Table'!$A$1:$AG$10000,MATCH(1,('Margin Guidence Table'!$A$1:$A$10000=LL15)*('Margin Guidence Table'!$I$1:$I$10000&lt;=ROUND($LD$3,0))*('Margin Guidence Table'!$J$1:$J$10000&gt;=ROUND($LD$3,0)),0),MATCH("DEFAULT_SELF_FUND_PCT_SALES",'Margin Guidence Table'!$A$1:$AG$1,0))),0))</f>
        <v>0</v>
      </c>
      <c r="LV15" s="784">
        <f t="array" ref="LV15">IF('Customer Inputs'!$W$17="End",0,IF($LE$2="Existing",IFERROR(SUMIFS('Existing Customers'!$V:$V,'Existing Customers'!$H:$H,$LC15,'Existing Customers'!$A:$A,$LD$1)/SUMIFS('Existing Customers'!$Q:$Q,'Existing Customers'!$H:$H,$LC15,'Existing Customers'!$A:$A,$LD$1),0),IFERROR(IF($LN15="SEGMENT",INDEX('Margin Guidence Table'!$A$1:$AG$10000,MATCH(1,('Margin Guidence Table'!$A$1:$A$10000=LL15)*('Margin Guidence Table'!$I$1:$I$10000&lt;=ROUND($LD$3,0))*('Margin Guidence Table'!$J$1:$J$10000&gt;=ROUND($LD$3,0)),0),MATCH("CIA_MEDIAN_MARGIN_GUIDENCE",'Margin Guidence Table'!$A$1:$AG$1,0)),INDEX('Margin Guidence Table'!$A$1:$AG$10000,MATCH(1,('Margin Guidence Table'!$A$1:$A$10000=LL15)*('Margin Guidence Table'!$I$1:$I$10000&lt;=ROUND($LD$3,0))*('Margin Guidence Table'!$J$1:$J$10000&gt;=ROUND($LD$3,0)),0),MATCH("DEFAULT_CIA_MEDIAN_MARGIN_GUIDENCE",'Margin Guidence Table'!$A$1:$AG$1,0))),0)))</f>
        <v>0</v>
      </c>
      <c r="LW15" s="784"/>
      <c r="LX15" s="18">
        <f t="array" ref="LX15">IF('Customer Inputs'!$W$18="End",0,IFERROR(IF($MK15="SEGMENT",INDEX('Margin Guidence Table'!$A$1:$AG$10000,MATCH(1,('Margin Guidence Table'!$A$1:$A$10000=$MI15)*('Margin Guidence Table'!$I$1:$I$10000&lt;=ROUND($MA$3,0))*('Margin Guidence Table'!$J$1:$J$10000&gt;=ROUND($MA$3,0)),0),MATCH("PCT_SALES",'Margin Guidence Table'!$A$1:$AG$1,0)),INDEX('Margin Guidence Table'!$A$1:$AG$10000,MATCH(1,('Margin Guidence Table'!$A$1:$A$10000=$MI15)*('Margin Guidence Table'!$I$1:$I$10000&lt;=ROUND($MA$3,0))*('Margin Guidence Table'!$J$1:$J$10000&gt;=ROUND($MA$3,0)),0),MATCH("DEFAULT_PCT_SALES",'Margin Guidence Table'!$A$1:$AG$1,0))),0))</f>
        <v>0</v>
      </c>
      <c r="LY15" s="1713" t="e">
        <f t="shared" ref="LY15:LY34" si="56">LX15/$LX$35</f>
        <v>#DIV/0!</v>
      </c>
      <c r="LZ15" s="99" t="s">
        <v>103</v>
      </c>
      <c r="MA15" s="91">
        <f>IF('Customer Inputs'!$W$18="End",0,IFERROR(IF(AND($MA$2&lt;&gt;"Enter Spend&gt;&gt;&gt;",$MB$2="EXISTING"),SUMIFS('Existing Customers'!$Q:$Q,'Existing Customers'!$A:$A,$MA$1,'Existing Customers'!$H:$H,$LZ15)*$MA$4,$MA$3*$LY15),0))</f>
        <v>0</v>
      </c>
      <c r="MB15" s="86">
        <f>IF('Customer Inputs'!$W$18="End",0,IFERROR(IF(AND($MA$2&lt;&gt;"Enter Spend&gt;&gt;&gt;",$MB$2="EXISTING"),SUMIFS('Existing Customers'!$N:$N,'Existing Customers'!$A:$A,$MA$1,'Existing Customers'!$H:$H,$LZ15)*$MA$4,$MA15/$ML15),0))</f>
        <v>0</v>
      </c>
      <c r="MC15" s="92">
        <f>IF('Customer Inputs'!$W$18="End",0,IFERROR(IF(AND($MA$2&lt;&gt;"Enter Spend&gt;&gt;&gt;",$MB$2="EXISTING"),SUMIFS('Existing Customers'!$O:$O,'Existing Customers'!$H:$H,$LZ15,'Existing Customers'!$A:$A,$MA$1)*$MA$4,$MB15*$MA$8),0))</f>
        <v>0</v>
      </c>
      <c r="MD15" s="92">
        <f>IF('Customer Inputs'!$W$18="End",0,IFERROR(IF(AND($MA$2&lt;&gt;"Enter Spend&gt;&gt;&gt;",$MB$2="EXISTING"),SUMIFS('Existing Customers'!$P:$P,'Existing Customers'!$A:$A,$MA$1,'Existing Customers'!$H:$H,$LZ15)*$MA$4,$MA15/$MM15),0))</f>
        <v>0</v>
      </c>
      <c r="ME15" s="303">
        <f>IF('Customer Inputs'!$W$18="End",0,IFERROR(IF(AND($MA$2&lt;&gt;"Enter Spend&gt;&gt;&gt;",$MB$2="EXISTING"),SUMIFS('Existing Customers'!$V:$V,'Existing Customers'!$H:$H,$LZ15,'Existing Customers'!$A:$A,$MA$1)*$MA$4,0),0))</f>
        <v>0</v>
      </c>
      <c r="MF15" s="93">
        <f>IF('Customer Inputs'!$W$18="End",0,IFERROR(IF(AND($MA$2&lt;&gt;"Enter Spend&gt;&gt;&gt;",$MB$2="EXISTING"),SUMIFS('Existing Customers'!$R:$R,'Existing Customers'!$H:$H,$LZ15,'Existing Customers'!$A:$A,$MA$1)*$MA$4,0),0))</f>
        <v>0</v>
      </c>
      <c r="MG15" s="780">
        <f>IF('Customer Inputs'!$W$18="End",0,IFERROR(IF(AND($MA$2&lt;&gt;"Enter Spend&gt;&gt;&gt;",$MB$2="EXISTING"),SUMIFS('Existing Customers'!$S:$S,'Existing Customers'!$H:$H,$LZ15,'Existing Customers'!$A:$A,$MA$1)/SUMIFS('Existing Customers'!$Q:$Q,'Existing Customers'!$A:$A,$MA$1,'Existing Customers'!$H:$H,$LZ15),MQ15),0))</f>
        <v>0</v>
      </c>
      <c r="MH15" s="780">
        <f>IF('Customer Inputs'!$W$18="End",0,IFERROR(IF(AND($MA$2&lt;&gt;"Enter Spend&gt;&gt;&gt;",$MB$2="EXISTING"),SUMIFS('Existing Customers'!$U:$U,'Existing Customers'!$H:$H,$LZ15,'Existing Customers'!$A:$A,$MA$1)/SUMIFS('Existing Customers'!$Q:$Q,'Existing Customers'!$A:$A,$MA$1,'Existing Customers'!$H:$H,$LZ15),MR15),0))</f>
        <v>0</v>
      </c>
      <c r="MI15" s="783" t="e">
        <f>_xlfn.CONCAT('Customer Inputs'!$AH$18,"_",LZ15)</f>
        <v>#N/A</v>
      </c>
      <c r="MJ15" s="783">
        <f t="array" ref="MJ15">IF('Customer Inputs'!$W$18="End",0,IFERROR(INDEX('Margin Guidence Table'!$A$1:$AG$10000,MATCH(1,('Margin Guidence Table'!$A$1:$A$10000=MI15)*('Margin Guidence Table'!$I$1:$I$10000&lt;=ROUND($MA$3,0))*('Margin Guidence Table'!$J$1:$J$10000&gt;=ROUND($MA$3,0)),0),MATCH("DATA_POINTS",'Margin Guidence Table'!$A$1:$AG$1,0)),0))</f>
        <v>0</v>
      </c>
      <c r="MK15" s="780" t="str">
        <f t="shared" ref="MK15:MK34" si="57">IF(MJ15&gt;15,"SEGMENT","DEFAULT")</f>
        <v>DEFAULT</v>
      </c>
      <c r="ML15" s="780">
        <f t="array" ref="ML15">IF('Customer Inputs'!$W$18="End",0,IFERROR(IF($MK15="SEGMENT",INDEX('Margin Guidence Table'!$A$1:$AG$10000,MATCH(1,('Margin Guidence Table'!$A$1:$A$10000=MI15)*('Margin Guidence Table'!$I$1:$I$10000&lt;=ROUND($MA$3,0))*('Margin Guidence Table'!$J$1:$J$10000&gt;=ROUND($MA$3,0)),0),MATCH("SALES_CASE",'Margin Guidence Table'!$A$1:$AG$1,0)),INDEX('Margin Guidence Table'!$A$1:$AG$10000,MATCH(1,('Margin Guidence Table'!$A$1:$A$10000=MI15)*('Margin Guidence Table'!$I$1:$I$10000&lt;=ROUND($MA$3,0))*('Margin Guidence Table'!$J$1:$J$10000&gt;=ROUND($MA$3,0)),0),MATCH("DEFAULT_SALES_CASE",'Margin Guidence Table'!$A$1:$AG$1,0))),0))</f>
        <v>0</v>
      </c>
      <c r="MM15" s="780">
        <f t="array" ref="MM15">IF('Customer Inputs'!$W$18="End",0,IFERROR(IF($MK15="SEGMENT",INDEX('Margin Guidence Table'!$A$1:$AG$10000,MATCH(1,('Margin Guidence Table'!$A$1:$A$10000=MI15)*('Margin Guidence Table'!$I$1:$I$10000&lt;=ROUND($MA$3,0))*('Margin Guidence Table'!$J$1:$J$10000&gt;=ROUND($MA$3,0)),0),MATCH("SALES_LBS",'Margin Guidence Table'!$A$1:$AG$1,0)),INDEX('Margin Guidence Table'!$A$1:$AG$10000,MATCH(1,('Margin Guidence Table'!$A$1:$A$10000=MI15)*('Margin Guidence Table'!$I$1:$I$10000&lt;=ROUND($MA$3,0))*('Margin Guidence Table'!$J$1:$J$10000&gt;=ROUND($MA$3,0)),0),MATCH("DEFAULT_SALES_LBS",'Margin Guidence Table'!$A$1:$AG$1,0))),0))</f>
        <v>0</v>
      </c>
      <c r="MN15" s="784">
        <f t="array" ref="MN15">IF('Customer Inputs'!$W$18="End",0,IFERROR(IF($MK15="SEGMENT",INDEX('Margin Guidence Table'!$A$1:$AG$10000,MATCH(1,('Margin Guidence Table'!$A$1:$A$10000=MI15)*('Margin Guidence Table'!$I$1:$I$10000&lt;=ROUND($MA$3,0))*('Margin Guidence Table'!$J$1:$J$10000&gt;=ROUND($MA$3,0)),0),MATCH("MDA_MIN_MARGIN_GUIDENCE",'Margin Guidence Table'!$A$1:$AG$1,0)),INDEX('Margin Guidence Table'!$A$1:$AG$10000,MATCH(1,('Margin Guidence Table'!$A$1:$A$10000=MI15)*('Margin Guidence Table'!$I$1:$I$10000&lt;=ROUND($MA$3,0))*('Margin Guidence Table'!$J$1:$J$10000&gt;=ROUND($MA$3,0)),0),MATCH("DEFAULT_MDA_MIN_MARGIN_GUIDENCE",'Margin Guidence Table'!$A$1:$AG$1,0))),0))</f>
        <v>0</v>
      </c>
      <c r="MO15" s="784">
        <f t="array" ref="MO15">IF('Customer Inputs'!$W$18="End",0,IFERROR(IF($MK15="SEGMENT",INDEX('Margin Guidence Table'!$A$1:$AG$10000,MATCH(1,('Margin Guidence Table'!$A$1:$A$10000=MI15)*('Margin Guidence Table'!$I$1:$I$10000&lt;=ROUND($MA$3,0))*('Margin Guidence Table'!$J$1:$J$10000&gt;=ROUND($MA$3,0)),0),MATCH("MDA_MEDIAN_MARGIN_GUIDENCE",'Margin Guidence Table'!$A$1:$AG$1,0)),INDEX('Margin Guidence Table'!$A$1:$AG$10000,MATCH(1,('Margin Guidence Table'!$A$1:$A$10000=MI15)*('Margin Guidence Table'!$I$1:$I$10000&lt;=ROUND($MA$3,0))*('Margin Guidence Table'!$J$1:$J$10000&gt;=ROUND($MA$3,0)),0),MATCH("DEFAULT_MDA_MEDIAN_MARGIN_GUIDENCE",'Margin Guidence Table'!$A$1:$AG$1,0))),0))</f>
        <v>0</v>
      </c>
      <c r="MP15" s="784">
        <f t="array" ref="MP15">IF('Customer Inputs'!$W$18="End",0,IFERROR(IF($MK15="SEGMENT",INDEX('Margin Guidence Table'!$A$1:$AG$10000,MATCH(1,('Margin Guidence Table'!$A$1:$A$10000=MI15)*('Margin Guidence Table'!$I$1:$I$10000&lt;=ROUND($MA$3,0))*('Margin Guidence Table'!$J$1:$J$10000&gt;=ROUND($MA$3,0)),0),MATCH("MDA_MAX_MARGIN_GUIDENCE",'Margin Guidence Table'!$A$1:$AG$1,0)),INDEX('Margin Guidence Table'!$A$1:$AG$10000,MATCH(1,('Margin Guidence Table'!$A$1:$A$10000=MI15)*('Margin Guidence Table'!$I$1:$I$10000&lt;=ROUND($MA$3,0))*('Margin Guidence Table'!$J$1:$J$10000&gt;=ROUND($MA$3,0)),0),MATCH("DEFAULT_MDA_MAX_MARGIN_GUIDENCE",'Margin Guidence Table'!$A$1:$AG$1,0))),0))</f>
        <v>0</v>
      </c>
      <c r="MQ15" s="784">
        <f t="array" ref="MQ15">IF('Customer Inputs'!$W$18="End",0,IFERROR(IF($MK15="SEGMENT",INDEX('Margin Guidence Table'!$A$1:$AG$10000,MATCH(1,('Margin Guidence Table'!$A$1:$A$10000=MI15)*('Margin Guidence Table'!$I$1:$I$10000&lt;=ROUND($MA$3,0))*('Margin Guidence Table'!$J$1:$J$10000&gt;=ROUND($MA$3,0)),0),MATCH("PA_PCT_SALES",'Margin Guidence Table'!$A$1:$AG$1,0)),INDEX('Margin Guidence Table'!$A$1:$AG$10000,MATCH(1,('Margin Guidence Table'!$A$1:$A$10000=MI15)*('Margin Guidence Table'!$I$1:$I$10000&lt;=ROUND($MA$3,0))*('Margin Guidence Table'!$J$1:$J$10000&gt;=ROUND($MA$3,0)),0),MATCH("DEFAULT_PA_PCT_SALES",'Margin Guidence Table'!$A$1:$AG$1,0))),0))</f>
        <v>0</v>
      </c>
      <c r="MR15" s="784">
        <f t="array" ref="MR15">IF('Customer Inputs'!$W$18="End",0,IFERROR(IF($MK15="SEGMENT",INDEX('Margin Guidence Table'!$A$1:$AG$10000,MATCH(1,('Margin Guidence Table'!$A$1:$A$10000=MI15)*('Margin Guidence Table'!$I$1:$I$10000&lt;=ROUND($MA$3,0))*('Margin Guidence Table'!$J$1:$J$10000&gt;=ROUND($MA$3,0)),0),MATCH("SELF_FUND_PCT_SALES",'Margin Guidence Table'!$A$1:$AG$1,0)),INDEX('Margin Guidence Table'!$A$1:$AG$10000,MATCH(1,('Margin Guidence Table'!$A$1:$A$10000=MI15)*('Margin Guidence Table'!$I$1:$I$10000&lt;=ROUND($MA$3,0))*('Margin Guidence Table'!$J$1:$J$10000&gt;=ROUND($MA$3,0)),0),MATCH("DEFAULT_SELF_FUND_PCT_SALES",'Margin Guidence Table'!$A$1:$AG$1,0))),0))</f>
        <v>0</v>
      </c>
      <c r="MS15" s="784">
        <f t="array" ref="MS15">IF('Customer Inputs'!$W$18="End",0,IF($MB$2="Existing",IFERROR(SUMIFS('Existing Customers'!$V:$V,'Existing Customers'!$H:$H,$LZ15,'Existing Customers'!$A:$A,$MA$1)/SUMIFS('Existing Customers'!$Q:$Q,'Existing Customers'!$H:$H,$LZ15,'Existing Customers'!$A:$A,$MA$1),0),IFERROR(IF($MK15="SEGMENT",INDEX('Margin Guidence Table'!$A$1:$AG$10000,MATCH(1,('Margin Guidence Table'!$A$1:$A$10000=MI15)*('Margin Guidence Table'!$I$1:$I$10000&lt;=ROUND($MA$3,0))*('Margin Guidence Table'!$J$1:$J$10000&gt;=ROUND($MA$3,0)),0),MATCH("CIA_MEDIAN_MARGIN_GUIDENCE",'Margin Guidence Table'!$A$1:$AG$1,0)),INDEX('Margin Guidence Table'!$A$1:$AG$10000,MATCH(1,('Margin Guidence Table'!$A$1:$A$10000=MI15)*('Margin Guidence Table'!$I$1:$I$10000&lt;=ROUND($MA$3,0))*('Margin Guidence Table'!$J$1:$J$10000&gt;=ROUND($MA$3,0)),0),MATCH("DEFAULT_CIA_MEDIAN_MARGIN_GUIDENCE",'Margin Guidence Table'!$A$1:$AG$1,0))),0)))</f>
        <v>0</v>
      </c>
      <c r="MT15" s="784"/>
      <c r="MU15" s="18">
        <f t="array" ref="MU15">IF('Customer Inputs'!$W$19="End",0,IFERROR(IF($NH15="SEGMENT",INDEX('Margin Guidence Table'!$A$1:$AG$10000,MATCH(1,('Margin Guidence Table'!$A$1:$A$10000=$NF15)*('Margin Guidence Table'!$I$1:$I$10000&lt;=ROUND($MX$3,0))*('Margin Guidence Table'!$J$1:$J$10000&gt;=ROUND($MX$3,0)),0),MATCH("PCT_SALES",'Margin Guidence Table'!$A$1:$AG$1,0)),INDEX('Margin Guidence Table'!$A$1:$AG$10000,MATCH(1,('Margin Guidence Table'!$A$1:$A$10000=$NF15)*('Margin Guidence Table'!$I$1:$I$10000&lt;=ROUND($MX$3,0))*('Margin Guidence Table'!$J$1:$J$10000&gt;=ROUND($MX$3,0)),0),MATCH("DEFAULT_PCT_SALES",'Margin Guidence Table'!$A$1:$AG$1,0))),0))</f>
        <v>0</v>
      </c>
      <c r="MV15" s="1713" t="e">
        <f t="shared" ref="MV15:MV34" si="58">MU15/$MU$35</f>
        <v>#DIV/0!</v>
      </c>
      <c r="MW15" s="99" t="s">
        <v>103</v>
      </c>
      <c r="MX15" s="91">
        <f>IF('Customer Inputs'!$W$19="End",0,IFERROR(IF(AND($MX$2&lt;&gt;"Enter Spend&gt;&gt;&gt;",$MY$2="EXISTING"),SUMIFS('Existing Customers'!$Q:$Q,'Existing Customers'!$A:$A,$MX$1,'Existing Customers'!$H:$H,$MW15)*$MX$4,$MX$3*$MV15),0))</f>
        <v>0</v>
      </c>
      <c r="MY15" s="86">
        <f>IF('Customer Inputs'!$W$19="End",0,IFERROR(IF(AND($MX$2&lt;&gt;"Enter Spend&gt;&gt;&gt;",$MY$2="EXISTING"),SUMIFS('Existing Customers'!$N:$N,'Existing Customers'!$A:$A,$MX$1,'Existing Customers'!$H:$H,$MW15)*$MX$4,$MX15/$NI15),0))</f>
        <v>0</v>
      </c>
      <c r="MZ15" s="92">
        <f>IF('Customer Inputs'!$W$19="End",0,IFERROR(IF(AND($MX$2&lt;&gt;"Enter Spend&gt;&gt;&gt;",$MY$2="EXISTING"),SUMIFS('Existing Customers'!$O:$O,'Existing Customers'!$H:$H,$MW15,'Existing Customers'!$A:$A,$MX$1)*$MX$4,$MY15*$MX$8),0))</f>
        <v>0</v>
      </c>
      <c r="NA15" s="92">
        <f>IF('Customer Inputs'!$W$19="End",0,IFERROR(IF(AND($MX$2&lt;&gt;"Enter Spend&gt;&gt;&gt;",$MY$2="EXISTING"),SUMIFS('Existing Customers'!$P:$P,'Existing Customers'!$A:$A,$MX$1,'Existing Customers'!$H:$H,$MW15)*$MX$4,$MX15/$NJ15),0))</f>
        <v>0</v>
      </c>
      <c r="NB15" s="303">
        <f>IF('Customer Inputs'!$W$19="End",0,IFERROR(IF(AND($MX$2&lt;&gt;"Enter Spend&gt;&gt;&gt;",$MY$2="EXISTING"),SUMIFS('Existing Customers'!$V:$V,'Existing Customers'!$H:$H,$MW15,'Existing Customers'!$A:$A,$MX$1)*$MX$4,0),0))</f>
        <v>0</v>
      </c>
      <c r="NC15" s="93">
        <f>IF('Customer Inputs'!$W$19="End",0,IFERROR(IF(AND($MX$2&lt;&gt;"Enter Spend&gt;&gt;&gt;",$MY$2="EXISTING"),SUMIFS('Existing Customers'!$R:$R,'Existing Customers'!$H:$H,$MW15,'Existing Customers'!$A:$A,$MX$1)*$MX$4,0),0))</f>
        <v>0</v>
      </c>
      <c r="ND15" s="780">
        <f>IF('Customer Inputs'!$W$19="End",0,IFERROR(IF(AND($MX$2&lt;&gt;"Enter Spend&gt;&gt;&gt;",$MY$2="EXISTING"),SUMIFS('Existing Customers'!$S:$S,'Existing Customers'!$H:$H,$MW15,'Existing Customers'!$A:$A,$MX$1)/SUMIFS('Existing Customers'!$Q:$Q,'Existing Customers'!$A:$A,$MX$1,'Existing Customers'!$H:$H,$MW15),NN15),0))</f>
        <v>0</v>
      </c>
      <c r="NE15" s="780">
        <f>IF('Customer Inputs'!$W$19="End",0,IFERROR(IF(AND($MX$2&lt;&gt;"Enter Spend&gt;&gt;&gt;",$MY$2="EXISTING"),SUMIFS('Existing Customers'!$U:$U,'Existing Customers'!$H:$H,$MW15,'Existing Customers'!$A:$A,$MX$1)/SUMIFS('Existing Customers'!$Q:$Q,'Existing Customers'!$A:$A,$MX$1,'Existing Customers'!$H:$H,$MW15),NO15),0))</f>
        <v>0</v>
      </c>
      <c r="NF15" s="783" t="e">
        <f>_xlfn.CONCAT('Customer Inputs'!$AH$19,"_",MW15)</f>
        <v>#N/A</v>
      </c>
      <c r="NG15" s="783">
        <f t="array" ref="NG15">IF('Customer Inputs'!$W$19="End",0,IFERROR(INDEX('Margin Guidence Table'!$A$1:$AG$10000,MATCH(1,('Margin Guidence Table'!$A$1:$A$10000=NF15)*('Margin Guidence Table'!$I$1:$I$10000&lt;=ROUND($MX$3,0))*('Margin Guidence Table'!$J$1:$J$10000&gt;=ROUND($MX$3,0)),0),MATCH("DATA_POINTS",'Margin Guidence Table'!$A$1:$AG$1,0)),0))</f>
        <v>0</v>
      </c>
      <c r="NH15" s="780" t="str">
        <f t="shared" ref="NH15:NH34" si="59">IF(NG15&gt;15,"SEGMENT","DEFAULT")</f>
        <v>DEFAULT</v>
      </c>
      <c r="NI15" s="780">
        <f t="array" ref="NI15">IF('Customer Inputs'!$W$19="End",0,IFERROR(IF($NH15="SEGMENT",INDEX('Margin Guidence Table'!$A$1:$AG$10000,MATCH(1,('Margin Guidence Table'!$A$1:$A$10000=NF15)*('Margin Guidence Table'!$I$1:$I$10000&lt;=ROUND($MX$3,0))*('Margin Guidence Table'!$J$1:$J$10000&gt;=ROUND($MX$3,0)),0),MATCH("SALES_CASE",'Margin Guidence Table'!$A$1:$AG$1,0)),INDEX('Margin Guidence Table'!$A$1:$AG$10000,MATCH(1,('Margin Guidence Table'!$A$1:$A$10000=NF15)*('Margin Guidence Table'!$I$1:$I$10000&lt;=ROUND($MX$3,0))*('Margin Guidence Table'!$J$1:$J$10000&gt;=ROUND($MX$3,0)),0),MATCH("DEFAULT_SALES_CASE",'Margin Guidence Table'!$A$1:$AG$1,0))),0))</f>
        <v>0</v>
      </c>
      <c r="NJ15" s="780">
        <f t="array" ref="NJ15">IF('Customer Inputs'!$W$19="End",0,IFERROR(IF($NH15="SEGMENT",INDEX('Margin Guidence Table'!$A$1:$AG$10000,MATCH(1,('Margin Guidence Table'!$A$1:$A$10000=NF15)*('Margin Guidence Table'!$I$1:$I$10000&lt;=ROUND($MX$3,0))*('Margin Guidence Table'!$J$1:$J$10000&gt;=ROUND($MX$3,0)),0),MATCH("SALES_LBS",'Margin Guidence Table'!$A$1:$AG$1,0)),INDEX('Margin Guidence Table'!$A$1:$AG$10000,MATCH(1,('Margin Guidence Table'!$A$1:$A$10000=NF15)*('Margin Guidence Table'!$I$1:$I$10000&lt;=ROUND($MX$3,0))*('Margin Guidence Table'!$J$1:$J$10000&gt;=ROUND($MX$3,0)),0),MATCH("DEFAULT_SALES_LBS",'Margin Guidence Table'!$A$1:$AG$1,0))),0))</f>
        <v>0</v>
      </c>
      <c r="NK15" s="784">
        <f t="array" ref="NK15">IF('Customer Inputs'!$W$19="End",0,IFERROR(IF($NH15="SEGMENT",INDEX('Margin Guidence Table'!$A$1:$AG$10000,MATCH(1,('Margin Guidence Table'!$A$1:$A$10000=NF15)*('Margin Guidence Table'!$I$1:$I$10000&lt;=ROUND($MX$3,0))*('Margin Guidence Table'!$J$1:$J$10000&gt;=ROUND($MX$3,0)),0),MATCH("MDA_MIN_MARGIN_GUIDENCE",'Margin Guidence Table'!$A$1:$AG$1,0)),INDEX('Margin Guidence Table'!$A$1:$AG$10000,MATCH(1,('Margin Guidence Table'!$A$1:$A$10000=NF15)*('Margin Guidence Table'!$I$1:$I$10000&lt;=ROUND($MX$3,0))*('Margin Guidence Table'!$J$1:$J$10000&gt;=ROUND($MX$3,0)),0),MATCH("DEFAULT_MDA_MIN_MARGIN_GUIDENCE",'Margin Guidence Table'!$A$1:$AG$1,0))),0))</f>
        <v>0</v>
      </c>
      <c r="NL15" s="784">
        <f t="array" ref="NL15">IF('Customer Inputs'!$W$19="End",0,IFERROR(IF($NH15="SEGMENT",INDEX('Margin Guidence Table'!$A$1:$AG$10000,MATCH(1,('Margin Guidence Table'!$A$1:$A$10000=NF15)*('Margin Guidence Table'!$I$1:$I$10000&lt;=ROUND($MX$3,0))*('Margin Guidence Table'!$J$1:$J$10000&gt;=ROUND($MX$3,0)),0),MATCH("MDA_MEDIAN_MARGIN_GUIDENCE",'Margin Guidence Table'!$A$1:$AG$1,0)),INDEX('Margin Guidence Table'!$A$1:$AG$10000,MATCH(1,('Margin Guidence Table'!$A$1:$A$10000=NF15)*('Margin Guidence Table'!$I$1:$I$10000&lt;=ROUND($MX$3,0))*('Margin Guidence Table'!$J$1:$J$10000&gt;=ROUND($MX$3,0)),0),MATCH("DEFAULT_MDA_MEDIAN_MARGIN_GUIDENCE",'Margin Guidence Table'!$A$1:$AG$1,0))),0))</f>
        <v>0</v>
      </c>
      <c r="NM15" s="784">
        <f t="array" ref="NM15">IF('Customer Inputs'!$W$19="End",0,IFERROR(IF($NH15="SEGMENT",INDEX('Margin Guidence Table'!$A$1:$AG$10000,MATCH(1,('Margin Guidence Table'!$A$1:$A$10000=NF15)*('Margin Guidence Table'!$I$1:$I$10000&lt;=ROUND($MX$3,0))*('Margin Guidence Table'!$J$1:$J$10000&gt;=ROUND($MX$3,0)),0),MATCH("MDA_MAX_MARGIN_GUIDENCE",'Margin Guidence Table'!$A$1:$AG$1,0)),INDEX('Margin Guidence Table'!$A$1:$AG$10000,MATCH(1,('Margin Guidence Table'!$A$1:$A$10000=NF15)*('Margin Guidence Table'!$I$1:$I$10000&lt;=ROUND($MX$3,0))*('Margin Guidence Table'!$J$1:$J$10000&gt;=ROUND($MX$3,0)),0),MATCH("DEFAULT_MDA_MAX_MARGIN_GUIDENCE",'Margin Guidence Table'!$A$1:$AG$1,0))),0))</f>
        <v>0</v>
      </c>
      <c r="NN15" s="784">
        <f t="array" ref="NN15">IF('Customer Inputs'!$W$19="End",0,IFERROR(IF($NH15="SEGMENT",INDEX('Margin Guidence Table'!$A$1:$AG$10000,MATCH(1,('Margin Guidence Table'!$A$1:$A$10000=NF15)*('Margin Guidence Table'!$I$1:$I$10000&lt;=ROUND($MX$3,0))*('Margin Guidence Table'!$J$1:$J$10000&gt;=ROUND($MX$3,0)),0),MATCH("PA_PCT_SALES",'Margin Guidence Table'!$A$1:$AG$1,0)),INDEX('Margin Guidence Table'!$A$1:$AG$10000,MATCH(1,('Margin Guidence Table'!$A$1:$A$10000=NF15)*('Margin Guidence Table'!$I$1:$I$10000&lt;=ROUND($MX$3,0))*('Margin Guidence Table'!$J$1:$J$10000&gt;=ROUND($MX$3,0)),0),MATCH("DEFAULT_PA_PCT_SALES",'Margin Guidence Table'!$A$1:$AG$1,0))),0))</f>
        <v>0</v>
      </c>
      <c r="NO15" s="784">
        <f t="array" ref="NO15">IF('Customer Inputs'!$W$19="End",0,IFERROR(IF($NH15="SEGMENT",INDEX('Margin Guidence Table'!$A$1:$AG$10000,MATCH(1,('Margin Guidence Table'!$A$1:$A$10000=NF15)*('Margin Guidence Table'!$I$1:$I$10000&lt;=ROUND($MX$3,0))*('Margin Guidence Table'!$J$1:$J$10000&gt;=ROUND($MX$3,0)),0),MATCH("SELF_FUND_PCT_SALES",'Margin Guidence Table'!$A$1:$AG$1,0)),INDEX('Margin Guidence Table'!$A$1:$AG$10000,MATCH(1,('Margin Guidence Table'!$A$1:$A$10000=NF15)*('Margin Guidence Table'!$I$1:$I$10000&lt;=ROUND($MX$3,0))*('Margin Guidence Table'!$J$1:$J$10000&gt;=ROUND($MX$3,0)),0),MATCH("DEFAULT_SELF_FUND_PCT_SALES",'Margin Guidence Table'!$A$1:$AG$1,0))),0))</f>
        <v>0</v>
      </c>
      <c r="NP15" s="784">
        <f t="array" ref="NP15">IF('Customer Inputs'!$W$19="End",0,IF($MY$2="Existing",IFERROR(SUMIFS('Existing Customers'!$V:$V,'Existing Customers'!$H:$H,$MW15,'Existing Customers'!$A:$A,$MX$1)/SUMIFS('Existing Customers'!$Q:$Q,'Existing Customers'!$H:$H,$MW15,'Existing Customers'!$A:$A,$MX$1),0),IFERROR(IF($NH15="SEGMENT",INDEX('Margin Guidence Table'!$A$1:$AG$10000,MATCH(1,('Margin Guidence Table'!$A$1:$A$10000=NF15)*('Margin Guidence Table'!$I$1:$I$10000&lt;=ROUND($MX$3,0))*('Margin Guidence Table'!$J$1:$J$10000&gt;=ROUND($MX$3,0)),0),MATCH("CIA_MEDIAN_MARGIN_GUIDENCE",'Margin Guidence Table'!$A$1:$AG$1,0)),INDEX('Margin Guidence Table'!$A$1:$AG$10000,MATCH(1,('Margin Guidence Table'!$A$1:$A$10000=NF15)*('Margin Guidence Table'!$I$1:$I$10000&lt;=ROUND($MX$3,0))*('Margin Guidence Table'!$J$1:$J$10000&gt;=ROUND($MX$3,0)),0),MATCH("DEFAULT_CIA_MEDIAN_MARGIN_GUIDENCE",'Margin Guidence Table'!$A$1:$AG$1,0))),0)))</f>
        <v>0</v>
      </c>
      <c r="NQ15" s="784"/>
      <c r="NR15" s="18">
        <f t="array" ref="NR15">IF('Customer Inputs'!$W$20="End",0,IFERROR(IF($OE15="SEGMENT",INDEX('Margin Guidence Table'!$A$1:$AG$10000,MATCH(1,('Margin Guidence Table'!$A$1:$A$10000=$OC15)*('Margin Guidence Table'!$I$1:$I$10000&lt;=ROUND($NU$3,0))*('Margin Guidence Table'!$J$1:$J$10000&gt;=ROUND($NU$3,0)),0),MATCH("PCT_SALES",'Margin Guidence Table'!$A$1:$AG$1,0)),INDEX('Margin Guidence Table'!$A$1:$AG$10000,MATCH(1,('Margin Guidence Table'!$A$1:$A$10000=$OC15)*('Margin Guidence Table'!$I$1:$I$10000&lt;=ROUND($NU$3,0))*('Margin Guidence Table'!$J$1:$J$10000&gt;=ROUND($NU$3,0)),0),MATCH("DEFAULT_PCT_SALES",'Margin Guidence Table'!$A$1:$AG$1,0))),0))</f>
        <v>0</v>
      </c>
      <c r="NS15" s="1713" t="e">
        <f t="shared" ref="NS15:NS34" si="60">NR15/$NR$35</f>
        <v>#DIV/0!</v>
      </c>
      <c r="NT15" s="99" t="s">
        <v>103</v>
      </c>
      <c r="NU15" s="91">
        <f>IF('Customer Inputs'!$W$20="End",0,IFERROR(IF(AND($NU$2&lt;&gt;"Enter Spend&gt;&gt;&gt;",$NV$2="EXISTING"),SUMIFS('Existing Customers'!$Q:$Q,'Existing Customers'!$A:$A,$NU$1,'Existing Customers'!$H:$H,$NT15)*$NU$4,$NU$3*$NS15),0))</f>
        <v>0</v>
      </c>
      <c r="NV15" s="86">
        <f>IF('Customer Inputs'!$W$20="End",0,IFERROR(IF(AND($NU$2&lt;&gt;"Enter Spend&gt;&gt;&gt;",$NV$2="EXISTING"),SUMIFS('Existing Customers'!$N:$N,'Existing Customers'!$A:$A,$NU$1,'Existing Customers'!$H:$H,$NT15)*$NU$4,$NU15/$OF15),0))</f>
        <v>0</v>
      </c>
      <c r="NW15" s="92">
        <f>IF('Customer Inputs'!$W$20="End",0,IFERROR(IF(AND($NU$2&lt;&gt;"Enter Spend&gt;&gt;&gt;",$NV$2="EXISTING"),SUMIFS('Existing Customers'!$O:$O,'Existing Customers'!$H:$H,$NT15,'Existing Customers'!$A:$A,$NU$1)*$NU$4,$NV15*$NU$8),0))</f>
        <v>0</v>
      </c>
      <c r="NX15" s="92">
        <f>IF('Customer Inputs'!$W$20="End",0,IFERROR(IF(AND($NU$2&lt;&gt;"Enter Spend&gt;&gt;&gt;",$NV$2="EXISTING"),SUMIFS('Existing Customers'!$P:$P,'Existing Customers'!$A:$A,$NU$1,'Existing Customers'!$H:$H,$NT15)*$NU$4,$NU15/$OG15),0))</f>
        <v>0</v>
      </c>
      <c r="NY15" s="303">
        <f>IF('Customer Inputs'!$W$20="End",0,IFERROR(IF(AND($NU$2&lt;&gt;"Enter Spend&gt;&gt;&gt;",$NV$2="EXISTING"),SUMIFS('Existing Customers'!$V:$V,'Existing Customers'!$H:$H,$NT15,'Existing Customers'!$A:$A,$NU$1)*$NU$4,0),0))</f>
        <v>0</v>
      </c>
      <c r="NZ15" s="93">
        <f>IF('Customer Inputs'!$W$20="End",0,IFERROR(IF(AND($NU$2&lt;&gt;"Enter Spend&gt;&gt;&gt;",$NV$2="EXISTING"),SUMIFS('Existing Customers'!$R:$R,'Existing Customers'!$H:$H,$NT15,'Existing Customers'!$A:$A,$NU$1)*$NU$4,0),0))</f>
        <v>0</v>
      </c>
      <c r="OA15" s="780">
        <f>IF('Customer Inputs'!$W$20="End",0,IFERROR(IF(AND($NU$2&lt;&gt;"Enter Spend&gt;&gt;&gt;",$NV$2="EXISTING"),SUMIFS('Existing Customers'!$S:$S,'Existing Customers'!$H:$H,$NT15,'Existing Customers'!$A:$A,$NU$1)/SUMIFS('Existing Customers'!$Q:$Q,'Existing Customers'!$A:$A,$NU$1,'Existing Customers'!$H:$H,$NT15),OK15),0))</f>
        <v>0</v>
      </c>
      <c r="OB15" s="780">
        <f>IF('Customer Inputs'!$W$20="End",0,IFERROR(IF(AND($NU$2&lt;&gt;"Enter Spend&gt;&gt;&gt;",$NV$2="EXISTING"),SUMIFS('Existing Customers'!$U:$U,'Existing Customers'!$H:$H,$NT15,'Existing Customers'!$A:$A,$NU$1)/SUMIFS('Existing Customers'!$Q:$Q,'Existing Customers'!$A:$A,$NU$1,'Existing Customers'!$H:$H,$NT15),OL15),0))</f>
        <v>0</v>
      </c>
      <c r="OC15" s="783" t="e">
        <f>_xlfn.CONCAT('Customer Inputs'!$AH$20,"_",NT15)</f>
        <v>#N/A</v>
      </c>
      <c r="OD15" s="783">
        <f t="array" ref="OD15">IF('Customer Inputs'!$W$20="End",0,IFERROR(INDEX('Margin Guidence Table'!$A$1:$AG$10000,MATCH(1,('Margin Guidence Table'!$A$1:$A$10000=OC15)*('Margin Guidence Table'!$I$1:$I$10000&lt;=ROUND($NU$3,0))*('Margin Guidence Table'!$J$1:$J$10000&gt;=ROUND($NU$3,0)),0),MATCH("DATA_POINTS",'Margin Guidence Table'!$A$1:$AG$1,0)),0))</f>
        <v>0</v>
      </c>
      <c r="OE15" s="780" t="str">
        <f t="shared" ref="OE15:OE34" si="61">IF(OD15&gt;15,"SEGMENT","DEFAULT")</f>
        <v>DEFAULT</v>
      </c>
      <c r="OF15" s="780">
        <f t="array" ref="OF15">IF('Customer Inputs'!$W$20="End",0,IFERROR(IF($OE15="SEGMENT",INDEX('Margin Guidence Table'!$A$1:$AG$10000,MATCH(1,('Margin Guidence Table'!$A$1:$A$10000=OC15)*('Margin Guidence Table'!$I$1:$I$10000&lt;=ROUND($NU$3,0))*('Margin Guidence Table'!$J$1:$J$10000&gt;=ROUND($NU$3,0)),0),MATCH("SALES_CASE",'Margin Guidence Table'!$A$1:$AG$1,0)),INDEX('Margin Guidence Table'!$A$1:$AG$10000,MATCH(1,('Margin Guidence Table'!$A$1:$A$10000=OC15)*('Margin Guidence Table'!$I$1:$I$10000&lt;=ROUND($NU$3,0))*('Margin Guidence Table'!$J$1:$J$10000&gt;=ROUND($NU$3,0)),0),MATCH("DEFAULT_SALES_CASE",'Margin Guidence Table'!$A$1:$AG$1,0))),0))</f>
        <v>0</v>
      </c>
      <c r="OG15" s="780">
        <f t="array" ref="OG15">IF('Customer Inputs'!$W$20="End",0,IFERROR(IF($OE15="SEGMENT",INDEX('Margin Guidence Table'!$A$1:$AG$10000,MATCH(1,('Margin Guidence Table'!$A$1:$A$10000=OC15)*('Margin Guidence Table'!$I$1:$I$10000&lt;=ROUND($NU$3,0))*('Margin Guidence Table'!$J$1:$J$10000&gt;=ROUND($NU$3,0)),0),MATCH("SALES_LBS",'Margin Guidence Table'!$A$1:$AG$1,0)),INDEX('Margin Guidence Table'!$A$1:$AG$10000,MATCH(1,('Margin Guidence Table'!$A$1:$A$10000=OC15)*('Margin Guidence Table'!$I$1:$I$10000&lt;=ROUND($NU$3,0))*('Margin Guidence Table'!$J$1:$J$10000&gt;=ROUND($NU$3,0)),0),MATCH("DEFAULT_SALES_LBS",'Margin Guidence Table'!$A$1:$AG$1,0))),0))</f>
        <v>0</v>
      </c>
      <c r="OH15" s="784">
        <f t="array" ref="OH15">IF('Customer Inputs'!$W$20="End",0,IFERROR(IF($OE15="SEGMENT",INDEX('Margin Guidence Table'!$A$1:$AG$10000,MATCH(1,('Margin Guidence Table'!$A$1:$A$10000=OC15)*('Margin Guidence Table'!$I$1:$I$10000&lt;=ROUND($NU$3,0))*('Margin Guidence Table'!$J$1:$J$10000&gt;=ROUND($NU$3,0)),0),MATCH("MDA_MIN_MARGIN_GUIDENCE",'Margin Guidence Table'!$A$1:$AG$1,0)),INDEX('Margin Guidence Table'!$A$1:$AG$10000,MATCH(1,('Margin Guidence Table'!$A$1:$A$10000=OC15)*('Margin Guidence Table'!$I$1:$I$10000&lt;=ROUND($NU$3,0))*('Margin Guidence Table'!$J$1:$J$10000&gt;=ROUND($NU$3,0)),0),MATCH("DEFAULT_MDA_MIN_MARGIN_GUIDENCE",'Margin Guidence Table'!$A$1:$AG$1,0))),0))</f>
        <v>0</v>
      </c>
      <c r="OI15" s="784">
        <f t="array" ref="OI15">IF('Customer Inputs'!$W$20="End",0,IFERROR(IF($OE15="SEGMENT",INDEX('Margin Guidence Table'!$A$1:$AG$10000,MATCH(1,('Margin Guidence Table'!$A$1:$A$10000=OC15)*('Margin Guidence Table'!$I$1:$I$10000&lt;=ROUND($NU$3,0))*('Margin Guidence Table'!$J$1:$J$10000&gt;=ROUND($NU$3,0)),0),MATCH("MDA_MEDIAN_MARGIN_GUIDENCE",'Margin Guidence Table'!$A$1:$AG$1,0)),INDEX('Margin Guidence Table'!$A$1:$AG$10000,MATCH(1,('Margin Guidence Table'!$A$1:$A$10000=OC15)*('Margin Guidence Table'!$I$1:$I$10000&lt;=ROUND($NU$3,0))*('Margin Guidence Table'!$J$1:$J$10000&gt;=ROUND($NU$3,0)),0),MATCH("DEFAULT_MDA_MEDIAN_MARGIN_GUIDENCE",'Margin Guidence Table'!$A$1:$AG$1,0))),0))</f>
        <v>0</v>
      </c>
      <c r="OJ15" s="784">
        <f t="array" ref="OJ15">IF('Customer Inputs'!$W$20="End",0,IFERROR(IF($OE15="SEGMENT",INDEX('Margin Guidence Table'!$A$1:$AG$10000,MATCH(1,('Margin Guidence Table'!$A$1:$A$10000=OC15)*('Margin Guidence Table'!$I$1:$I$10000&lt;=ROUND($NU$3,0))*('Margin Guidence Table'!$J$1:$J$10000&gt;=ROUND($NU$3,0)),0),MATCH("MDA_MAX_MARGIN_GUIDENCE",'Margin Guidence Table'!$A$1:$AG$1,0)),INDEX('Margin Guidence Table'!$A$1:$AG$10000,MATCH(1,('Margin Guidence Table'!$A$1:$A$10000=OC15)*('Margin Guidence Table'!$I$1:$I$10000&lt;=ROUND($NU$3,0))*('Margin Guidence Table'!$J$1:$J$10000&gt;=ROUND($NU$3,0)),0),MATCH("DEFAULT_MDA_MAX_MARGIN_GUIDENCE",'Margin Guidence Table'!$A$1:$AG$1,0))),0))</f>
        <v>0</v>
      </c>
      <c r="OK15" s="784">
        <f t="array" ref="OK15">IF('Customer Inputs'!$W$20="End",0,IFERROR(IF($OE15="SEGMENT",INDEX('Margin Guidence Table'!$A$1:$AG$10000,MATCH(1,('Margin Guidence Table'!$A$1:$A$10000=OC15)*('Margin Guidence Table'!$I$1:$I$10000&lt;=ROUND($NU$3,0))*('Margin Guidence Table'!$J$1:$J$10000&gt;=ROUND($NU$3,0)),0),MATCH("PA_PCT_SALES",'Margin Guidence Table'!$A$1:$AG$1,0)),INDEX('Margin Guidence Table'!$A$1:$AG$10000,MATCH(1,('Margin Guidence Table'!$A$1:$A$10000=OC15)*('Margin Guidence Table'!$I$1:$I$10000&lt;=ROUND($NU$3,0))*('Margin Guidence Table'!$J$1:$J$10000&gt;=ROUND($NU$3,0)),0),MATCH("DEFAULT_PA_PCT_SALES",'Margin Guidence Table'!$A$1:$AG$1,0))),0))</f>
        <v>0</v>
      </c>
      <c r="OL15" s="784">
        <f t="array" ref="OL15">IF('Customer Inputs'!$W$20="End",0,IFERROR(IF($OE15="SEGMENT",INDEX('Margin Guidence Table'!$A$1:$AG$10000,MATCH(1,('Margin Guidence Table'!$A$1:$A$10000=OC15)*('Margin Guidence Table'!$I$1:$I$10000&lt;=ROUND($NU$3,0))*('Margin Guidence Table'!$J$1:$J$10000&gt;=ROUND($NU$3,0)),0),MATCH("SELF_FUND_PCT_SALES",'Margin Guidence Table'!$A$1:$AG$1,0)),INDEX('Margin Guidence Table'!$A$1:$AG$10000,MATCH(1,('Margin Guidence Table'!$A$1:$A$10000=OC15)*('Margin Guidence Table'!$I$1:$I$10000&lt;=ROUND($NU$3,0))*('Margin Guidence Table'!$J$1:$J$10000&gt;=ROUND($NU$3,0)),0),MATCH("DEFAULT_SELF_FUND_PCT_SALES",'Margin Guidence Table'!$A$1:$AG$1,0))),0))</f>
        <v>0</v>
      </c>
      <c r="OM15" s="784">
        <f t="array" ref="OM15">IF('Customer Inputs'!$W$20="End",0,IF($NV$2="Existing",IFERROR(SUMIFS('Existing Customers'!$V:$V,'Existing Customers'!$H:$H,$NT15,'Existing Customers'!$A:$A,$NU$1)/SUMIFS('Existing Customers'!$Q:$Q,'Existing Customers'!$H:$H,$NT15,'Existing Customers'!$A:$A,$NU$1),0),IFERROR(IF($OE15="SEGMENT",INDEX('Margin Guidence Table'!$A$1:$AG$10000,MATCH(1,('Margin Guidence Table'!$A$1:$A$10000=OC15)*('Margin Guidence Table'!$I$1:$I$10000&lt;=ROUND($NU$3,0))*('Margin Guidence Table'!$J$1:$J$10000&gt;=ROUND($NU$3,0)),0),MATCH("CIA_MEDIAN_MARGIN_GUIDENCE",'Margin Guidence Table'!$A$1:$AG$1,0)),INDEX('Margin Guidence Table'!$A$1:$AG$10000,MATCH(1,('Margin Guidence Table'!$A$1:$A$10000=OC15)*('Margin Guidence Table'!$I$1:$I$10000&lt;=ROUND($NU$3,0))*('Margin Guidence Table'!$J$1:$J$10000&gt;=ROUND($NU$3,0)),0),MATCH("DEFAULT_CIA_MEDIAN_MARGIN_GUIDENCE",'Margin Guidence Table'!$A$1:$AG$1,0))),0)))</f>
        <v>0</v>
      </c>
      <c r="ON15" s="784"/>
      <c r="OO15" s="18">
        <f t="array" ref="OO15">IF('Customer Inputs'!$W$21="End",0,IFERROR(IF($PB15="SEGMENT",INDEX('Margin Guidence Table'!$A$1:$AG$10000,MATCH(1,('Margin Guidence Table'!$A$1:$A$10000=$OZ15)*('Margin Guidence Table'!$I$1:$I$10000&lt;=ROUND($OR$3,0))*('Margin Guidence Table'!$J$1:$J$10000&gt;=ROUND($OR$3,0)),0),MATCH("PCT_SALES",'Margin Guidence Table'!$A$1:$AG$1,0)),INDEX('Margin Guidence Table'!$A$1:$AG$10000,MATCH(1,('Margin Guidence Table'!$A$1:$A$10000=$OZ15)*('Margin Guidence Table'!$I$1:$I$10000&lt;=ROUND($OR$3,0))*('Margin Guidence Table'!$J$1:$J$10000&gt;=ROUND($OR$3,0)),0),MATCH("DEFAULT_PCT_SALES",'Margin Guidence Table'!$A$1:$AG$1,0))),0))</f>
        <v>0</v>
      </c>
      <c r="OP15" s="1713" t="e">
        <f t="shared" ref="OP15:OP34" si="62">OO15/$OO$35</f>
        <v>#DIV/0!</v>
      </c>
      <c r="OQ15" s="99" t="s">
        <v>103</v>
      </c>
      <c r="OR15" s="91">
        <f>IF('Customer Inputs'!$W$21="End",0,IFERROR(IF(AND($OR$2&lt;&gt;"Enter Spend&gt;&gt;&gt;",$OS$2="EXISTING"),SUMIFS('Existing Customers'!$Q:$Q,'Existing Customers'!$A:$A,$OR$1,'Existing Customers'!$H:$H,$OQ15)*$OR$4,$OR$3*$OP15),0))</f>
        <v>0</v>
      </c>
      <c r="OS15" s="86">
        <f>IF('Customer Inputs'!$W$21="End",0,IFERROR(IF(AND($OR$2&lt;&gt;"Enter Spend&gt;&gt;&gt;",$OS$2="EXISTING"),SUMIFS('Existing Customers'!$N:$N,'Existing Customers'!$A:$A,$OR$1,'Existing Customers'!$H:$H,$OQ15)*$OR$4,$OR15/$PC15),0))</f>
        <v>0</v>
      </c>
      <c r="OT15" s="92">
        <f>IF('Customer Inputs'!$W$21="End",0,IFERROR(IF(AND($OR$2&lt;&gt;"Enter Spend&gt;&gt;&gt;",$OS$2="EXISTING"),SUMIFS('Existing Customers'!$O:$O,'Existing Customers'!$H:$H,$OQ15,'Existing Customers'!$A:$A,$OR$1)*$OR$4,$OS15*$OR$8),0))</f>
        <v>0</v>
      </c>
      <c r="OU15" s="92">
        <f>IF('Customer Inputs'!$W$21="End",0,IFERROR(IF(AND($OR$2&lt;&gt;"Enter Spend&gt;&gt;&gt;",$OS$2="EXISTING"),SUMIFS('Existing Customers'!$P:$P,'Existing Customers'!$A:$A,$OR$1,'Existing Customers'!$H:$H,$OQ15)*$OR$4,$OR15/$PD15),0))</f>
        <v>0</v>
      </c>
      <c r="OV15" s="303">
        <f>IF('Customer Inputs'!$W$21="End",0,IFERROR(IF(AND($OR$2&lt;&gt;"Enter Spend&gt;&gt;&gt;",$OS$2="EXISTING"),SUMIFS('Existing Customers'!$V:$V,'Existing Customers'!$H:$H,$OQ15,'Existing Customers'!$A:$A,$OR$1)*$OR$4,0),0))</f>
        <v>0</v>
      </c>
      <c r="OW15" s="93">
        <f>IF('Customer Inputs'!$W$21="End",0,IFERROR(IF(AND($OR$2&lt;&gt;"Enter Spend&gt;&gt;&gt;",$OS$2="EXISTING"),SUMIFS('Existing Customers'!$R:$R,'Existing Customers'!$H:$H,$OP15,'Existing Customers'!$A:$A,$OR$1)*$OR$4,0),0))</f>
        <v>0</v>
      </c>
      <c r="OX15" s="780">
        <f>IF('Customer Inputs'!$W$21="End",0,IFERROR(IF(AND($OR$2&lt;&gt;"Enter Spend&gt;&gt;&gt;",$OS$2="EXISTING"),SUMIFS('Existing Customers'!$S:$S,'Existing Customers'!$H:$H,$OQ15,'Existing Customers'!$A:$A,$OR$1)/SUMIFS('Existing Customers'!$Q:$Q,'Existing Customers'!$A:$A,$OR$1,'Existing Customers'!$H:$H,$OQ15),PH15),0))</f>
        <v>0</v>
      </c>
      <c r="OY15" s="780">
        <f>IF('Customer Inputs'!$W$21="End",0,IFERROR(IF(AND($OR$2&lt;&gt;"Enter Spend&gt;&gt;&gt;",$OS$2="EXISTING"),SUMIFS('Existing Customers'!$U:$U,'Existing Customers'!$H:$H,$OQ15,'Existing Customers'!$A:$A,$OR$1)/SUMIFS('Existing Customers'!$Q:$Q,'Existing Customers'!$A:$A,$OR$1,'Existing Customers'!$H:$H,$OQ15),PI15),0))</f>
        <v>0</v>
      </c>
      <c r="OZ15" s="783" t="e">
        <f>_xlfn.CONCAT('Customer Inputs'!$AH$21,"_",OQ15)</f>
        <v>#N/A</v>
      </c>
      <c r="PA15" s="783">
        <f t="array" ref="PA15">IF('Customer Inputs'!$W$22="End",0,IFERROR(INDEX('Margin Guidence Table'!$A$1:$AG$10000,MATCH(1,('Margin Guidence Table'!$A$1:$A$10000=OZ15)*('Margin Guidence Table'!$I$1:$I$10000&lt;=ROUND($OR$3,0))*('Margin Guidence Table'!$J$1:$J$10000&gt;=ROUND($OR$3,0)),0),MATCH("DATA_POINTS",'Margin Guidence Table'!$A$1:$AG$1,0)),0))</f>
        <v>0</v>
      </c>
      <c r="PB15" s="780" t="str">
        <f t="shared" ref="PB15:PB34" si="63">IF(PA15&gt;15,"SEGMENT","DEFAULT")</f>
        <v>DEFAULT</v>
      </c>
      <c r="PC15" s="780">
        <f t="array" ref="PC15">IF('Customer Inputs'!$W$21="End",0,IFERROR(IF($PB15="SEGMENT",INDEX('Margin Guidence Table'!$A$1:$AG$10000,MATCH(1,('Margin Guidence Table'!$A$1:$A$10000=OZ15)*('Margin Guidence Table'!$I$1:$I$10000&lt;=ROUND($OR$3,0))*('Margin Guidence Table'!$J$1:$J$10000&gt;=ROUND($OR$3,0)),0),MATCH("SALES_CASE",'Margin Guidence Table'!$A$1:$AG$1,0)),INDEX('Margin Guidence Table'!$A$1:$AG$10000,MATCH(1,('Margin Guidence Table'!$A$1:$A$10000=OZ15)*('Margin Guidence Table'!$I$1:$I$10000&lt;=ROUND($OR$3,0))*('Margin Guidence Table'!$J$1:$J$10000&gt;=ROUND($OR$3,0)),0),MATCH("DEFAULT_SALES_CASE",'Margin Guidence Table'!$A$1:$AG$1,0))),0))</f>
        <v>0</v>
      </c>
      <c r="PD15" s="780">
        <f t="array" ref="PD15">IF('Customer Inputs'!$W$21="End",0,IFERROR(IF($PB15="SEGMENT",INDEX('Margin Guidence Table'!$A$1:$AG$10000,MATCH(1,('Margin Guidence Table'!$A$1:$A$10000=OZ15)*('Margin Guidence Table'!$I$1:$I$10000&lt;=ROUND($OR$3,0))*('Margin Guidence Table'!$J$1:$J$10000&gt;=ROUND($OR$3,0)),0),MATCH("SALES_LBS",'Margin Guidence Table'!$A$1:$AG$1,0)),INDEX('Margin Guidence Table'!$A$1:$AG$10000,MATCH(1,('Margin Guidence Table'!$A$1:$A$10000=OZ15)*('Margin Guidence Table'!$I$1:$I$10000&lt;=ROUND($OR$3,0))*('Margin Guidence Table'!$J$1:$J$10000&gt;=ROUND($OR$3,0)),0),MATCH("DEFAULT_SALES_LBS",'Margin Guidence Table'!$A$1:$AG$1,0))),0))</f>
        <v>0</v>
      </c>
      <c r="PE15" s="784">
        <f t="array" ref="PE15">IF('Customer Inputs'!$W$21="End",0,IFERROR(IF($PB15="SEGMENT",INDEX('Margin Guidence Table'!$A$1:$AG$10000,MATCH(1,('Margin Guidence Table'!$A$1:$A$10000=OZ15)*('Margin Guidence Table'!$I$1:$I$10000&lt;=ROUND($OR$3,0))*('Margin Guidence Table'!$J$1:$J$10000&gt;=ROUND($OR$3,0)),0),MATCH("MDA_MIN_MARGIN_GUIDENCE",'Margin Guidence Table'!$A$1:$AG$1,0)),INDEX('Margin Guidence Table'!$A$1:$AG$10000,MATCH(1,('Margin Guidence Table'!$A$1:$A$10000=OZ15)*('Margin Guidence Table'!$I$1:$I$10000&lt;=ROUND($OR$3,0))*('Margin Guidence Table'!$J$1:$J$10000&gt;=ROUND($OR$3,0)),0),MATCH("DEFAULT_MDA_MIN_MARGIN_GUIDENCE",'Margin Guidence Table'!$A$1:$AG$1,0))),0))</f>
        <v>0</v>
      </c>
      <c r="PF15" s="784">
        <f t="array" ref="PF15">IF('Customer Inputs'!$W$21="End",0,IFERROR(IF($PB15="SEGMENT",INDEX('Margin Guidence Table'!$A$1:$AG$10000,MATCH(1,('Margin Guidence Table'!$A$1:$A$10000=OZ15)*('Margin Guidence Table'!$I$1:$I$10000&lt;=ROUND($OR$3,0))*('Margin Guidence Table'!$J$1:$J$10000&gt;=ROUND($OR$3,0)),0),MATCH("MDA_MEDIAN_MARGIN_GUIDENCE",'Margin Guidence Table'!$A$1:$AG$1,0)),INDEX('Margin Guidence Table'!$A$1:$AG$10000,MATCH(1,('Margin Guidence Table'!$A$1:$A$10000=OZ15)*('Margin Guidence Table'!$I$1:$I$10000&lt;=ROUND($OR$3,0))*('Margin Guidence Table'!$J$1:$J$10000&gt;=ROUND($OR$3,0)),0),MATCH("DEFAULT_MDA_MEDIAN_MARGIN_GUIDENCE",'Margin Guidence Table'!$A$1:$AG$1,0))),0))</f>
        <v>0</v>
      </c>
      <c r="PG15" s="784">
        <f t="array" ref="PG15">IF('Customer Inputs'!$W$21="End",0,IFERROR(IF($PB15="SEGMENT",INDEX('Margin Guidence Table'!$A$1:$AG$10000,MATCH(1,('Margin Guidence Table'!$A$1:$A$10000=OZ15)*('Margin Guidence Table'!$I$1:$I$10000&lt;=ROUND($OR$3,0))*('Margin Guidence Table'!$J$1:$J$10000&gt;=ROUND($OR$3,0)),0),MATCH("MDA_MAX_MARGIN_GUIDENCE",'Margin Guidence Table'!$A$1:$AG$1,0)),INDEX('Margin Guidence Table'!$A$1:$AG$10000,MATCH(1,('Margin Guidence Table'!$A$1:$A$10000=OZ15)*('Margin Guidence Table'!$I$1:$I$10000&lt;=ROUND($OR$3,0))*('Margin Guidence Table'!$J$1:$J$10000&gt;=ROUND($OR$3,0)),0),MATCH("DEFAULT_MDA_MAX_MARGIN_GUIDENCE",'Margin Guidence Table'!$A$1:$AG$1,0))),0))</f>
        <v>0</v>
      </c>
      <c r="PH15" s="784">
        <f t="array" ref="PH15">IF('Customer Inputs'!$W$21="End",0,IFERROR(IF($PB15="SEGMENT",INDEX('Margin Guidence Table'!$A$1:$AG$10000,MATCH(1,('Margin Guidence Table'!$A$1:$A$10000=OZ15)*('Margin Guidence Table'!$I$1:$I$10000&lt;=ROUND($OR$3,0))*('Margin Guidence Table'!$J$1:$J$10000&gt;=ROUND($OR$3,0)),0),MATCH("PA_PCT_SALES",'Margin Guidence Table'!$A$1:$AG$1,0)),INDEX('Margin Guidence Table'!$A$1:$AG$10000,MATCH(1,('Margin Guidence Table'!$A$1:$A$10000=OZ15)*('Margin Guidence Table'!$I$1:$I$10000&lt;=ROUND($OR$3,0))*('Margin Guidence Table'!$J$1:$J$10000&gt;=ROUND($OR$3,0)),0),MATCH("DEFAULT_PA_PCT_SALES",'Margin Guidence Table'!$A$1:$AG$1,0))),0))</f>
        <v>0</v>
      </c>
      <c r="PI15" s="784">
        <f t="array" ref="PI15">IF('Customer Inputs'!$W$21="End",0,IFERROR(IF($PB15="SEGMENT",INDEX('Margin Guidence Table'!$A$1:$AG$10000,MATCH(1,('Margin Guidence Table'!$A$1:$A$10000=OZ15)*('Margin Guidence Table'!$I$1:$I$10000&lt;=ROUND($OR$3,0))*('Margin Guidence Table'!$J$1:$J$10000&gt;=ROUND($OR$3,0)),0),MATCH("SELF_FUND_PCT_SALES",'Margin Guidence Table'!$A$1:$AG$1,0)),INDEX('Margin Guidence Table'!$A$1:$AG$10000,MATCH(1,('Margin Guidence Table'!$A$1:$A$10000=OZ15)*('Margin Guidence Table'!$I$1:$I$10000&lt;=ROUND($OR$3,0))*('Margin Guidence Table'!$J$1:$J$10000&gt;=ROUND($OR$3,0)),0),MATCH("DEFAULT_SELF_FUND_PCT_SALES",'Margin Guidence Table'!$A$1:$AG$1,0))),0))</f>
        <v>0</v>
      </c>
      <c r="PJ15" s="784">
        <f t="array" ref="PJ15">IF('Customer Inputs'!$W$21="End",0,IF($OS$2="Existing",IFERROR(SUMIFS('Existing Customers'!$V:$V,'Existing Customers'!$H:$H,$OQ15,'Existing Customers'!$A:$A,$OR$1)/SUMIFS('Existing Customers'!$Q:$Q,'Existing Customers'!$H:$H,$OQ15,'Existing Customers'!$A:$A,$OR$1),0),IFERROR(IF($PB15="SEGMENT",INDEX('Margin Guidence Table'!$A$1:$AG$10000,MATCH(1,('Margin Guidence Table'!$A$1:$A$10000=OZ15)*('Margin Guidence Table'!$I$1:$I$10000&lt;=ROUND($OR$3,0))*('Margin Guidence Table'!$J$1:$J$10000&gt;=ROUND($OR$3,0)),0),MATCH("CIA_MEDIAN_MARGIN_GUIDENCE",'Margin Guidence Table'!$A$1:$AG$1,0)),INDEX('Margin Guidence Table'!$A$1:$AG$10000,MATCH(1,('Margin Guidence Table'!$A$1:$A$10000=OZ15)*('Margin Guidence Table'!$I$1:$I$10000&lt;=ROUND($OR$3,0))*('Margin Guidence Table'!$J$1:$J$10000&gt;=ROUND($OR$3,0)),0),MATCH("DEFAULT_CIA_MEDIAN_MARGIN_GUIDENCE",'Margin Guidence Table'!$A$1:$AG$1,0))),0)))</f>
        <v>0</v>
      </c>
      <c r="PK15" s="784"/>
      <c r="PL15" s="18">
        <f t="array" ref="PL15">IF('Customer Inputs'!$W$22="End",0,IFERROR(IF($PY15="SEGMENT",INDEX('Margin Guidence Table'!$A$1:$AG$10000,MATCH(1,('Margin Guidence Table'!$A$1:$A$10000=$PW15)*('Margin Guidence Table'!$I$1:$I$10000&lt;=ROUND($PO$3,0))*('Margin Guidence Table'!$J$1:$J$10000&gt;=ROUND($PO$3,0)),0),MATCH("PCT_SALES",'Margin Guidence Table'!$A$1:$AG$1,0)),INDEX('Margin Guidence Table'!$A$1:$AG$10000,MATCH(1,('Margin Guidence Table'!$A$1:$A$10000=$PW15)*('Margin Guidence Table'!$I$1:$I$10000&lt;=ROUND($PO$3,0))*('Margin Guidence Table'!$J$1:$J$10000&gt;=ROUND($PO$3,0)),0),MATCH("DEFAULT_PCT_SALES",'Margin Guidence Table'!$A$1:$AG$1,0))),0))</f>
        <v>0</v>
      </c>
      <c r="PM15" s="1713" t="e">
        <f t="shared" ref="PM15:PM34" si="64">PL15/$PL$35</f>
        <v>#DIV/0!</v>
      </c>
      <c r="PN15" s="99" t="s">
        <v>103</v>
      </c>
      <c r="PO15" s="91">
        <f>IF('Customer Inputs'!$W$22="End",0,IFERROR(IF(AND($PO$2&lt;&gt;"Enter Spend&gt;&gt;&gt;",$PP$2="EXISTING"),SUMIFS('Existing Customers'!$Q:$Q,'Existing Customers'!$A:$A,$PO$1,'Existing Customers'!$H:$H,$PN15)*$PO$4,$PO$3*$PM15),0))</f>
        <v>0</v>
      </c>
      <c r="PP15" s="86">
        <f>IF('Customer Inputs'!$W$22="End",0,IFERROR(IF(AND($PO$2&lt;&gt;"Enter Spend&gt;&gt;&gt;",$PP$2="EXISTING"),SUMIFS('Existing Customers'!$N:$N,'Existing Customers'!$A:$A,$PO$1,'Existing Customers'!$H:$H,$PN15)*$PO$4,$PO15/$PZ15),0))</f>
        <v>0</v>
      </c>
      <c r="PQ15" s="92">
        <f>IF('Customer Inputs'!$W$22="End",0,IFERROR(IF(AND($PO$2&lt;&gt;"Enter Spend&gt;&gt;&gt;",$PP$2="EXISTING"),SUMIFS('Existing Customers'!$O:$O,'Existing Customers'!$H:$H,$PN15,'Existing Customers'!$A:$A,$PO$1)*$PO$4,$PP15*$PO$8),0))</f>
        <v>0</v>
      </c>
      <c r="PR15" s="92">
        <f>IF('Customer Inputs'!$W$22="End",0,IFERROR(IF(AND($PO$2&lt;&gt;"Enter Spend&gt;&gt;&gt;",$PP$2="EXISTING"),SUMIFS('Existing Customers'!$P:$P,'Existing Customers'!$A:$A,$PO$1,'Existing Customers'!$H:$H,$PN15)*$PO$4,$PO15/$QA15),0))</f>
        <v>0</v>
      </c>
      <c r="PS15" s="303">
        <f>IF('Customer Inputs'!$W$22="End",0,IFERROR(IF(AND($PO$2&lt;&gt;"Enter Spend&gt;&gt;&gt;",$PP$2="EXISTING"),SUMIFS('Existing Customers'!$V:$V,'Existing Customers'!$H:$H,$PN15,'Existing Customers'!$A:$A,$PO$1)*$PO$4,0),0))</f>
        <v>0</v>
      </c>
      <c r="PT15" s="93">
        <f>IF('Customer Inputs'!$W$22="End",0,IFERROR(IF(AND($PO$2&lt;&gt;"Enter Spend&gt;&gt;&gt;",$PP$2="EXISTING"),SUMIFS('Existing Customers'!$R:$R,'Existing Customers'!$H:$H,$PN15,'Existing Customers'!$A:$A,$PO$1)*$PO$4,0),0))</f>
        <v>0</v>
      </c>
      <c r="PU15" s="780">
        <f>IF('Customer Inputs'!$W$22="End",0,IFERROR(IF(AND($PO$2&lt;&gt;"Enter Spend&gt;&gt;&gt;",$PP$2="EXISTING"),SUMIFS('Existing Customers'!$S:$S,'Existing Customers'!$H:$H,$PN15,'Existing Customers'!$A:$A,$PO$1)/SUMIFS('Existing Customers'!$Q:$Q,'Existing Customers'!$A:$A,$PO$1,'Existing Customers'!$H:$H,$PN15),QE15),0))</f>
        <v>0</v>
      </c>
      <c r="PV15" s="780">
        <f>IF('Customer Inputs'!$W$22="End",0,IFERROR(IF(AND($PO$2&lt;&gt;"Enter Spend&gt;&gt;&gt;",$PP$2="EXISTING"),SUMIFS('Existing Customers'!$U:$U,'Existing Customers'!$H:$H,$PN15,'Existing Customers'!$A:$A,$PO$1)/SUMIFS('Existing Customers'!$Q:$Q,'Existing Customers'!$A:$A,$PO$1,'Existing Customers'!$H:$H,$PN15),QF15),0))</f>
        <v>0</v>
      </c>
      <c r="PW15" s="783" t="e">
        <f>_xlfn.CONCAT('Customer Inputs'!$AH$22,"_",PN15)</f>
        <v>#N/A</v>
      </c>
      <c r="PX15" s="783">
        <f t="array" ref="PX15">IF('Customer Inputs'!$W$22="End",0,IFERROR(INDEX('Margin Guidence Table'!$A$1:$AG$10000,MATCH(1,('Margin Guidence Table'!$A$1:$A$10000=PW15)*('Margin Guidence Table'!$I$1:$I$10000&lt;=ROUND($PO$3,0))*('Margin Guidence Table'!$J$1:$J$10000&gt;=ROUND($PO$3,0)),0),MATCH("DATA_POINTS",'Margin Guidence Table'!$A$1:$AG$1,0)),0))</f>
        <v>0</v>
      </c>
      <c r="PY15" s="780" t="str">
        <f t="shared" ref="PY15:PY34" si="65">IF(PX15&gt;15,"SEGMENT","DEFAULT")</f>
        <v>DEFAULT</v>
      </c>
      <c r="PZ15" s="780">
        <f t="array" ref="PZ15">IF('Customer Inputs'!$W$22="End",0,IFERROR(IF($PY15="SEGMENT",INDEX('Margin Guidence Table'!$A$1:$AG$10000,MATCH(1,('Margin Guidence Table'!$A$1:$A$10000=PW15)*('Margin Guidence Table'!$I$1:$I$10000&lt;=ROUND($PO$3,0))*('Margin Guidence Table'!$J$1:$J$10000&gt;=ROUND($PO$3,0)),0),MATCH("SALES_CASE",'Margin Guidence Table'!$A$1:$AG$1,0)),INDEX('Margin Guidence Table'!$A$1:$AG$10000,MATCH(1,('Margin Guidence Table'!$A$1:$A$10000=PW15)*('Margin Guidence Table'!$I$1:$I$10000&lt;=ROUND($PO$3,0))*('Margin Guidence Table'!$J$1:$J$10000&gt;=ROUND($PO$3,0)),0),MATCH("DEFAULT_SALES_CASE",'Margin Guidence Table'!$A$1:$AG$1,0))),0))</f>
        <v>0</v>
      </c>
      <c r="QA15" s="780">
        <f t="array" ref="QA15">IF('Customer Inputs'!$W$22="End",0,IFERROR(IF($PY15="SEGMENT",INDEX('Margin Guidence Table'!$A$1:$AG$10000,MATCH(1,('Margin Guidence Table'!$A$1:$A$10000=PW15)*('Margin Guidence Table'!$I$1:$I$10000&lt;=ROUND($PO$3,0))*('Margin Guidence Table'!$J$1:$J$10000&gt;=ROUND($PO$3,0)),0),MATCH("SALES_LBS",'Margin Guidence Table'!$A$1:$AG$1,0)),INDEX('Margin Guidence Table'!$A$1:$AG$10000,MATCH(1,('Margin Guidence Table'!$A$1:$A$10000=PW15)*('Margin Guidence Table'!$I$1:$I$10000&lt;=ROUND($PO$3,0))*('Margin Guidence Table'!$J$1:$J$10000&gt;=ROUND($PO$3,0)),0),MATCH("DEFAULT_SALES_LBS",'Margin Guidence Table'!$A$1:$AG$1,0))),0))</f>
        <v>0</v>
      </c>
      <c r="QB15" s="784">
        <f t="array" ref="QB15">IF('Customer Inputs'!$W$22="End",0,IFERROR(IF($PY15="SEGMENT",INDEX('Margin Guidence Table'!$A$1:$AG$10000,MATCH(1,('Margin Guidence Table'!$A$1:$A$10000=PW15)*('Margin Guidence Table'!$I$1:$I$10000&lt;=ROUND($PO$3,0))*('Margin Guidence Table'!$J$1:$J$10000&gt;=ROUND($PO$3,0)),0),MATCH("MDA_MIN_MARGIN_GUIDENCE",'Margin Guidence Table'!$A$1:$AG$1,0)),INDEX('Margin Guidence Table'!$A$1:$AG$10000,MATCH(1,('Margin Guidence Table'!$A$1:$A$10000=PW15)*('Margin Guidence Table'!$I$1:$I$10000&lt;=ROUND($PO$3,0))*('Margin Guidence Table'!$J$1:$J$10000&gt;=ROUND($PO$3,0)),0),MATCH("DEFAULT_MDA_MIN_MARGIN_GUIDENCE",'Margin Guidence Table'!$A$1:$AG$1,0))),0))</f>
        <v>0</v>
      </c>
      <c r="QC15" s="784">
        <f t="array" ref="QC15">IF('Customer Inputs'!$W$22="End",0,IFERROR(IF($PY15="SEGMENT",INDEX('Margin Guidence Table'!$A$1:$AG$10000,MATCH(1,('Margin Guidence Table'!$A$1:$A$10000=PW15)*('Margin Guidence Table'!$I$1:$I$10000&lt;=ROUND($PO$3,0))*('Margin Guidence Table'!$J$1:$J$10000&gt;=ROUND($PO$3,0)),0),MATCH("MDA_MEDIAN_MARGIN_GUIDENCE",'Margin Guidence Table'!$A$1:$AG$1,0)),INDEX('Margin Guidence Table'!$A$1:$AG$10000,MATCH(1,('Margin Guidence Table'!$A$1:$A$10000=PW15)*('Margin Guidence Table'!$I$1:$I$10000&lt;=ROUND($PO$3,0))*('Margin Guidence Table'!$J$1:$J$10000&gt;=ROUND($PO$3,0)),0),MATCH("DEFAULT_MDA_MEDIAN_MARGIN_GUIDENCE",'Margin Guidence Table'!$A$1:$AG$1,0))),0))</f>
        <v>0</v>
      </c>
      <c r="QD15" s="784">
        <f t="array" ref="QD15">IF('Customer Inputs'!$W$22="End",0,IFERROR(IF($PY15="SEGMENT",INDEX('Margin Guidence Table'!$A$1:$AG$10000,MATCH(1,('Margin Guidence Table'!$A$1:$A$10000=PW15)*('Margin Guidence Table'!$I$1:$I$10000&lt;=ROUND($PO$3,0))*('Margin Guidence Table'!$J$1:$J$10000&gt;=ROUND($PO$3,0)),0),MATCH("MDA_MAX_MARGIN_GUIDENCE",'Margin Guidence Table'!$A$1:$AG$1,0)),INDEX('Margin Guidence Table'!$A$1:$AG$10000,MATCH(1,('Margin Guidence Table'!$A$1:$A$10000=PW15)*('Margin Guidence Table'!$I$1:$I$10000&lt;=ROUND($PO$3,0))*('Margin Guidence Table'!$J$1:$J$10000&gt;=ROUND($PO$3,0)),0),MATCH("DEFAULT_MDA_MAX_MARGIN_GUIDENCE",'Margin Guidence Table'!$A$1:$AG$1,0))),0))</f>
        <v>0</v>
      </c>
      <c r="QE15" s="784">
        <f t="array" ref="QE15">IF('Customer Inputs'!$W$22="End",0,IFERROR(IF($PY15="SEGMENT",INDEX('Margin Guidence Table'!$A$1:$AG$10000,MATCH(1,('Margin Guidence Table'!$A$1:$A$10000=PW15)*('Margin Guidence Table'!$I$1:$I$10000&lt;=ROUND($PO$3,0))*('Margin Guidence Table'!$J$1:$J$10000&gt;=ROUND($PO$3,0)),0),MATCH("PA_PCT_SALES",'Margin Guidence Table'!$A$1:$AG$1,0)),INDEX('Margin Guidence Table'!$A$1:$AG$10000,MATCH(1,('Margin Guidence Table'!$A$1:$A$10000=PW15)*('Margin Guidence Table'!$I$1:$I$10000&lt;=ROUND($PO$3,0))*('Margin Guidence Table'!$J$1:$J$10000&gt;=ROUND($PO$3,0)),0),MATCH("DEFAULT_PA_PCT_SALES",'Margin Guidence Table'!$A$1:$AG$1,0))),0))</f>
        <v>0</v>
      </c>
      <c r="QF15" s="784">
        <f t="array" ref="QF15">IF('Customer Inputs'!$W$22="End",0,IFERROR(IF($PY15="SEGMENT",INDEX('Margin Guidence Table'!$A$1:$AG$10000,MATCH(1,('Margin Guidence Table'!$A$1:$A$10000=PW15)*('Margin Guidence Table'!$I$1:$I$10000&lt;=ROUND($PO$3,0))*('Margin Guidence Table'!$J$1:$J$10000&gt;=ROUND($PO$3,0)),0),MATCH("SELF_FUND_PCT_SALES",'Margin Guidence Table'!$A$1:$AG$1,0)),INDEX('Margin Guidence Table'!$A$1:$AG$10000,MATCH(1,('Margin Guidence Table'!$A$1:$A$10000=PW15)*('Margin Guidence Table'!$I$1:$I$10000&lt;=ROUND($PO$3,0))*('Margin Guidence Table'!$J$1:$J$10000&gt;=ROUND($PO$3,0)),0),MATCH("DEFAULT_SELF_FUND_PCT_SALES",'Margin Guidence Table'!$A$1:$AG$1,0))),0))</f>
        <v>0</v>
      </c>
      <c r="QG15" s="784">
        <f t="array" ref="QG15">IF('Customer Inputs'!$W$22="End",0,IF($PP$2="Existing",IFERROR(SUMIFS('Existing Customers'!$V:$V,'Existing Customers'!$H:$H,$PN15,'Existing Customers'!$A:$A,$PO$1)/SUMIFS('Existing Customers'!$Q:$Q,'Existing Customers'!$H:$H,$PN15,'Existing Customers'!$A:$A,$PO$1),0),IFERROR(IF($PY15="SEGMENT",INDEX('Margin Guidence Table'!$A$1:$AG$10000,MATCH(1,('Margin Guidence Table'!$A$1:$A$10000=PW15)*('Margin Guidence Table'!$I$1:$I$10000&lt;=ROUND($PO$3,0))*('Margin Guidence Table'!$J$1:$J$10000&gt;=ROUND($PO$3,0)),0),MATCH("CIA_MEDIAN_MARGIN_GUIDENCE",'Margin Guidence Table'!$A$1:$AG$1,0)),INDEX('Margin Guidence Table'!$A$1:$AG$10000,MATCH(1,('Margin Guidence Table'!$A$1:$A$10000=PW15)*('Margin Guidence Table'!$I$1:$I$10000&lt;=ROUND($PO$3,0))*('Margin Guidence Table'!$J$1:$J$10000&gt;=ROUND($PO$3,0)),0),MATCH("DEFAULT_CIA_MEDIAN_MARGIN_GUIDENCE",'Margin Guidence Table'!$A$1:$AG$1,0))),0)))</f>
        <v>0</v>
      </c>
      <c r="QH15" s="784"/>
      <c r="QI15" s="18">
        <f t="array" ref="QI15">IF('Customer Inputs'!$W$23="End",0,IFERROR(IF($QV15="SEGMENT",INDEX('Margin Guidence Table'!$A$1:$AG$10000,MATCH(1,('Margin Guidence Table'!$A$1:$A$10000=$QT15)*('Margin Guidence Table'!$I$1:$I$10000&lt;=ROUND($QL$3,0))*('Margin Guidence Table'!$J$1:$J$10000&gt;=ROUND($QL$3,0)),0),MATCH("PCT_SALES",'Margin Guidence Table'!$A$1:$AG$1,0)),INDEX('Margin Guidence Table'!$A$1:$AG$10000,MATCH(1,('Margin Guidence Table'!$A$1:$A$10000=$QT15)*('Margin Guidence Table'!$I$1:$I$10000&lt;=ROUND($QL$3,0))*('Margin Guidence Table'!$J$1:$J$10000&gt;=ROUND($QL$3,0)),0),MATCH("DEFAULT_PCT_SALES",'Margin Guidence Table'!$A$1:$AG$1,0))),0))</f>
        <v>0</v>
      </c>
      <c r="QJ15" s="1713" t="e">
        <f t="shared" ref="QJ15:QJ34" si="66">QI15/$QI$35</f>
        <v>#DIV/0!</v>
      </c>
      <c r="QK15" s="99" t="s">
        <v>103</v>
      </c>
      <c r="QL15" s="91">
        <f>IF('Customer Inputs'!$W$23="End",0,IFERROR(IF(AND($QL$2&lt;&gt;"Enter Spend&gt;&gt;&gt;",$QM$2="EXISTING"),SUMIFS('Existing Customers'!$Q:$Q,'Existing Customers'!$A:$A,$QL$1,'Existing Customers'!$H:$H,$QK15)*$QL$4,$QL$3*$QJ15),0))</f>
        <v>0</v>
      </c>
      <c r="QM15" s="86">
        <f>IF('Customer Inputs'!$W$23="End",0,IFERROR(IF(AND($QL$2&lt;&gt;"Enter Spend&gt;&gt;&gt;",$QM$2="EXISTING"),SUMIFS('Existing Customers'!$N:$N,'Existing Customers'!$A:$A,$QL$1,'Existing Customers'!$H:$H,$QK15)*$QL$4,$QL15/$QW15),0))</f>
        <v>0</v>
      </c>
      <c r="QN15" s="92">
        <f>IF('Customer Inputs'!$W$23="End",0,IFERROR(IF(AND($QL$2&lt;&gt;"Enter Spend&gt;&gt;&gt;",$QM$2="EXISTING"),SUMIFS('Existing Customers'!$O:$O,'Existing Customers'!$H:$H,$QK15,'Existing Customers'!$A:$A,$QL$1)*$QL$4,$QM15*$QL$8),0))</f>
        <v>0</v>
      </c>
      <c r="QO15" s="92">
        <f>IF('Customer Inputs'!$W$23="End",0,IFERROR(IF(AND($QL$2&lt;&gt;"Enter Spend&gt;&gt;&gt;",$QM$2="EXISTING"),SUMIFS('Existing Customers'!$P:$P,'Existing Customers'!$A:$A,$QL$1,'Existing Customers'!$H:$H,$QK15)*$QL$4,$QL15/$QX15),0))</f>
        <v>0</v>
      </c>
      <c r="QP15" s="303">
        <f>IF('Customer Inputs'!$W$23="End",0,IFERROR(IF(AND($QL$2&lt;&gt;"Enter Spend&gt;&gt;&gt;",$QM$2="EXISTING"),SUMIFS('Existing Customers'!$V:$V,'Existing Customers'!$H:$H,$QK15,'Existing Customers'!$A:$A,$QL$1)*$QL$4,0),0))</f>
        <v>0</v>
      </c>
      <c r="QQ15" s="93">
        <f>IF('Customer Inputs'!$W$23="End",0,IFERROR(IF(AND($QL$2&lt;&gt;"Enter Spend&gt;&gt;&gt;",$QM$2="EXISTING"),SUMIFS('Existing Customers'!$R:$R,'Existing Customers'!$H:$H,$QK15,'Existing Customers'!$A:$A,$QL$1)*$QL$4,0),0))</f>
        <v>0</v>
      </c>
      <c r="QR15" s="780">
        <f>IF('Customer Inputs'!$W$23="End",0,IFERROR(IF(AND($QL$2&lt;&gt;"Enter Spend&gt;&gt;&gt;",$QM$2="EXISTING"),SUMIFS('Existing Customers'!$S:$S,'Existing Customers'!$H:$H,$QK15,'Existing Customers'!$A:$A,$QL$1)/SUMIFS('Existing Customers'!$Q:$Q,'Existing Customers'!$A:$A,$QL$1,'Existing Customers'!$H:$H,$QK15),RB15),0))</f>
        <v>0</v>
      </c>
      <c r="QS15" s="780">
        <f>IF('Customer Inputs'!$W$23="End",0,IFERROR(IF(AND($QL$2&lt;&gt;"Enter Spend&gt;&gt;&gt;",$QM$2="EXISTING"),SUMIFS('Existing Customers'!$U:$U,'Existing Customers'!$H:$H,$QK15,'Existing Customers'!$A:$A,$QL$1)/SUMIFS('Existing Customers'!$Q:$Q,'Existing Customers'!$A:$A,$QL$1,'Existing Customers'!$H:$H,$QK15),RC15),0))</f>
        <v>0</v>
      </c>
      <c r="QT15" s="783" t="e">
        <f>_xlfn.CONCAT('Customer Inputs'!$AH$23,"_",QK15)</f>
        <v>#N/A</v>
      </c>
      <c r="QU15" s="783">
        <f t="array" ref="QU15">IF('Customer Inputs'!$W$23="End",0,IFERROR(INDEX('Margin Guidence Table'!$A$1:$AG$10000,MATCH(1,('Margin Guidence Table'!$A$1:$A$10000=QT15)*('Margin Guidence Table'!$I$1:$I$10000&lt;=ROUND($QL$3,0))*('Margin Guidence Table'!$J$1:$J$10000&gt;=ROUND($QL$3,0)),0),MATCH("DATA_POINTS",'Margin Guidence Table'!$A$1:$AG$1,0)),0))</f>
        <v>0</v>
      </c>
      <c r="QV15" s="780" t="str">
        <f t="shared" ref="QV15:QV34" si="67">IF(QU15&gt;15,"SEGMENT","DEFAULT")</f>
        <v>DEFAULT</v>
      </c>
      <c r="QW15" s="780">
        <f t="array" ref="QW15">IF('Customer Inputs'!$W$23="End",0,IFERROR(IF($QV15="SEGMENT",INDEX('Margin Guidence Table'!$A$1:$AG$10000,MATCH(1,('Margin Guidence Table'!$A$1:$A$10000=QT15)*('Margin Guidence Table'!$I$1:$I$10000&lt;=ROUND($QL$3,0))*('Margin Guidence Table'!$J$1:$J$10000&gt;=ROUND($QL$3,0)),0),MATCH("SALES_CASE",'Margin Guidence Table'!$A$1:$AG$1,0)),INDEX('Margin Guidence Table'!$A$1:$AG$10000,MATCH(1,('Margin Guidence Table'!$A$1:$A$10000=QT15)*('Margin Guidence Table'!$I$1:$I$10000&lt;=ROUND($QL$3,0))*('Margin Guidence Table'!$J$1:$J$10000&gt;=ROUND($QL$3,0)),0),MATCH("DEFAULT_SALES_CASE",'Margin Guidence Table'!$A$1:$AG$1,0))),0))</f>
        <v>0</v>
      </c>
      <c r="QX15" s="780">
        <f t="array" ref="QX15">IF('Customer Inputs'!$W$23="End",0,IFERROR(IF($QV15="SEGMENT",INDEX('Margin Guidence Table'!$A$1:$AG$10000,MATCH(1,('Margin Guidence Table'!$A$1:$A$10000=QT15)*('Margin Guidence Table'!$I$1:$I$10000&lt;=ROUND($QL$3,0))*('Margin Guidence Table'!$J$1:$J$10000&gt;=ROUND($QL$3,0)),0),MATCH("SALES_LBS",'Margin Guidence Table'!$A$1:$AG$1,0)),INDEX('Margin Guidence Table'!$A$1:$AG$10000,MATCH(1,('Margin Guidence Table'!$A$1:$A$10000=QT15)*('Margin Guidence Table'!$I$1:$I$10000&lt;=ROUND($QL$3,0))*('Margin Guidence Table'!$J$1:$J$10000&gt;=ROUND($QL$3,0)),0),MATCH("DEFAULT_SALES_LBS",'Margin Guidence Table'!$A$1:$AG$1,0))),0))</f>
        <v>0</v>
      </c>
      <c r="QY15" s="784">
        <f t="array" ref="QY15">IF('Customer Inputs'!$W$23="End",0,IFERROR(IF($QV15="SEGMENT",INDEX('Margin Guidence Table'!$A$1:$AG$10000,MATCH(1,('Margin Guidence Table'!$A$1:$A$10000=QT15)*('Margin Guidence Table'!$I$1:$I$10000&lt;=ROUND($QL$3,0))*('Margin Guidence Table'!$J$1:$J$10000&gt;=ROUND($QL$3,0)),0),MATCH("MDA_MIN_MARGIN_GUIDENCE",'Margin Guidence Table'!$A$1:$AG$1,0)),INDEX('Margin Guidence Table'!$A$1:$AG$10000,MATCH(1,('Margin Guidence Table'!$A$1:$A$10000=QT15)*('Margin Guidence Table'!$I$1:$I$10000&lt;=ROUND($QL$3,0))*('Margin Guidence Table'!$J$1:$J$10000&gt;=ROUND($QL$3,0)),0),MATCH("DEFAULT_MDA_MIN_MARGIN_GUIDENCE",'Margin Guidence Table'!$A$1:$AG$1,0))),0))</f>
        <v>0</v>
      </c>
      <c r="QZ15" s="784">
        <f t="array" ref="QZ15">IF('Customer Inputs'!$W$23="End",0,IFERROR(IF($QV15="SEGMENT",INDEX('Margin Guidence Table'!$A$1:$AG$10000,MATCH(1,('Margin Guidence Table'!$A$1:$A$10000=QT15)*('Margin Guidence Table'!$I$1:$I$10000&lt;=ROUND($QL$3,0))*('Margin Guidence Table'!$J$1:$J$10000&gt;=ROUND($QL$3,0)),0),MATCH("MDA_MEDIAN_MARGIN_GUIDENCE",'Margin Guidence Table'!$A$1:$AG$1,0)),INDEX('Margin Guidence Table'!$A$1:$AG$10000,MATCH(1,('Margin Guidence Table'!$A$1:$A$10000=QT15)*('Margin Guidence Table'!$I$1:$I$10000&lt;=ROUND($QL$3,0))*('Margin Guidence Table'!$J$1:$J$10000&gt;=ROUND($QL$3,0)),0),MATCH("DEFAULT_MDA_MEDIAN_MARGIN_GUIDENCE",'Margin Guidence Table'!$A$1:$AG$1,0))),0))</f>
        <v>0</v>
      </c>
      <c r="RA15" s="784">
        <f t="array" ref="RA15">IF('Customer Inputs'!$W$23="End",0,IFERROR(IF($QV15="SEGMENT",INDEX('Margin Guidence Table'!$A$1:$AG$10000,MATCH(1,('Margin Guidence Table'!$A$1:$A$10000=QT15)*('Margin Guidence Table'!$I$1:$I$10000&lt;=ROUND($QL$3,0))*('Margin Guidence Table'!$J$1:$J$10000&gt;=ROUND($QL$3,0)),0),MATCH("MDA_MAX_MARGIN_GUIDENCE",'Margin Guidence Table'!$A$1:$AG$1,0)),INDEX('Margin Guidence Table'!$A$1:$AG$10000,MATCH(1,('Margin Guidence Table'!$A$1:$A$10000=QT15)*('Margin Guidence Table'!$I$1:$I$10000&lt;=ROUND($QL$3,0))*('Margin Guidence Table'!$J$1:$J$10000&gt;=ROUND($QL$3,0)),0),MATCH("DEFAULT_MDA_MAX_MARGIN_GUIDENCE",'Margin Guidence Table'!$A$1:$AG$1,0))),0))</f>
        <v>0</v>
      </c>
      <c r="RB15" s="784">
        <f t="array" ref="RB15">IF('Customer Inputs'!$W$23="End",0,IFERROR(IF($QV15="SEGMENT",INDEX('Margin Guidence Table'!$A$1:$AG$10000,MATCH(1,('Margin Guidence Table'!$A$1:$A$10000=QT15)*('Margin Guidence Table'!$I$1:$I$10000&lt;=ROUND($QL$3,0))*('Margin Guidence Table'!$J$1:$J$10000&gt;=ROUND($QL$3,0)),0),MATCH("PA_PCT_SALES",'Margin Guidence Table'!$A$1:$AG$1,0)),INDEX('Margin Guidence Table'!$A$1:$AG$10000,MATCH(1,('Margin Guidence Table'!$A$1:$A$10000=QT15)*('Margin Guidence Table'!$I$1:$I$10000&lt;=ROUND($QL$3,0))*('Margin Guidence Table'!$J$1:$J$10000&gt;=ROUND($QL$3,0)),0),MATCH("DEFAULT_PA_PCT_SALES",'Margin Guidence Table'!$A$1:$AG$1,0))),0))</f>
        <v>0</v>
      </c>
      <c r="RC15" s="784">
        <f t="array" ref="RC15">IF('Customer Inputs'!$W$23="End",0,IFERROR(IF($QV15="SEGMENT",INDEX('Margin Guidence Table'!$A$1:$AG$10000,MATCH(1,('Margin Guidence Table'!$A$1:$A$10000=QT15)*('Margin Guidence Table'!$I$1:$I$10000&lt;=ROUND($QL$3,0))*('Margin Guidence Table'!$J$1:$J$10000&gt;=ROUND($QL$3,0)),0),MATCH("SELF_FUND_PCT_SALES",'Margin Guidence Table'!$A$1:$AG$1,0)),INDEX('Margin Guidence Table'!$A$1:$AG$10000,MATCH(1,('Margin Guidence Table'!$A$1:$A$10000=QT15)*('Margin Guidence Table'!$I$1:$I$10000&lt;=ROUND($QL$3,0))*('Margin Guidence Table'!$J$1:$J$10000&gt;=ROUND($QL$3,0)),0),MATCH("DEFAULT_SELF_FUND_PCT_SALES",'Margin Guidence Table'!$A$1:$AG$1,0))),0))</f>
        <v>0</v>
      </c>
      <c r="RD15" s="784">
        <f t="array" ref="RD15">IF('Customer Inputs'!$W$23="End",0,IF($QM$2="Existing",IFERROR(SUMIFS('Existing Customers'!$V:$V,'Existing Customers'!$H:$H,$QK15,'Existing Customers'!$A:$A,$QL$1)/SUMIFS('Existing Customers'!$Q:$Q,'Existing Customers'!$H:$H,$QK15,'Existing Customers'!$A:$A,$QL$1),0),IFERROR(IF($QV15="SEGMENT",INDEX('Margin Guidence Table'!$A$1:$AG$10000,MATCH(1,('Margin Guidence Table'!$A$1:$A$10000=QT15)*('Margin Guidence Table'!$I$1:$I$10000&lt;=ROUND($QL$3,0))*('Margin Guidence Table'!$J$1:$J$10000&gt;=ROUND($QL$3,0)),0),MATCH("CIA_MEDIAN_MARGIN_GUIDENCE",'Margin Guidence Table'!$A$1:$AG$1,0)),INDEX('Margin Guidence Table'!$A$1:$AG$10000,MATCH(1,('Margin Guidence Table'!$A$1:$A$10000=QT15)*('Margin Guidence Table'!$I$1:$I$10000&lt;=ROUND($QL$3,0))*('Margin Guidence Table'!$J$1:$J$10000&gt;=ROUND($QL$3,0)),0),MATCH("DEFAULT_CIA_MEDIAN_MARGIN_GUIDENCE",'Margin Guidence Table'!$A$1:$AG$1,0))),0)))</f>
        <v>0</v>
      </c>
      <c r="RE15" s="784"/>
      <c r="RF15" s="18">
        <f t="array" ref="RF15">IF('Customer Inputs'!$W$24="End",0,IFERROR(IF($RS15="SEGMENT",INDEX('Margin Guidence Table'!$A$1:$AG$10000,MATCH(1,('Margin Guidence Table'!$A$1:$A$10000=$RQ15)*('Margin Guidence Table'!$I$1:$I$10000&lt;=ROUND($RI$3,0))*('Margin Guidence Table'!$J$1:$J$10000&gt;=ROUND($RI$3,0)),0),MATCH("PCT_SALES",'Margin Guidence Table'!$A$1:$AG$1,0)),INDEX('Margin Guidence Table'!$A$1:$AG$10000,MATCH(1,('Margin Guidence Table'!$A$1:$A$10000=$RQ15)*('Margin Guidence Table'!$I$1:$I$10000&lt;=ROUND($RI$3,0))*('Margin Guidence Table'!$J$1:$J$10000&gt;=ROUND($RI$3,0)),0),MATCH("DEFAULT_PCT_SALES",'Margin Guidence Table'!$A$1:$AG$1,0))),0))</f>
        <v>0</v>
      </c>
      <c r="RG15" s="1713" t="e">
        <f t="shared" ref="RG15:RG34" si="68">RF15/$RF$35</f>
        <v>#DIV/0!</v>
      </c>
      <c r="RH15" s="99" t="s">
        <v>103</v>
      </c>
      <c r="RI15" s="91">
        <f>IF('Customer Inputs'!$W$24="End",0,IFERROR(IF(AND($RI$2&lt;&gt;"Enter Spend&gt;&gt;&gt;",$RJ$2="EXISTING"),SUMIFS('Existing Customers'!$Q:$Q,'Existing Customers'!$A:$A,$RI$1,'Existing Customers'!$H:$H,$RH15)*$RI$4,$RI$3*$RG15),0))</f>
        <v>0</v>
      </c>
      <c r="RJ15" s="86">
        <f>IF('Customer Inputs'!$W$24="End",0,IFERROR(IF(AND($RI$2&lt;&gt;"Enter Spend&gt;&gt;&gt;",$RJ$2="EXISTING"),SUMIFS('Existing Customers'!$N:$N,'Existing Customers'!$A:$A,$RI$1,'Existing Customers'!$H:$H,$RH15)*$RI$4,$RI15/$RT15),0))</f>
        <v>0</v>
      </c>
      <c r="RK15" s="92">
        <f>IF('Customer Inputs'!$W$24="End",0,IFERROR(IF(AND($RI$2&lt;&gt;"Enter Spend&gt;&gt;&gt;",$RJ$2="EXISTING"),SUMIFS('Existing Customers'!$O:$O,'Existing Customers'!$H:$H,$RH15,'Existing Customers'!$A:$A,$RI$1)*$RI$4,$RJ15*$RI$8),0))</f>
        <v>0</v>
      </c>
      <c r="RL15" s="92">
        <f>IF('Customer Inputs'!$W$24="End",0,IFERROR(IF(AND($RI$2&lt;&gt;"Enter Spend&gt;&gt;&gt;",$RJ$2="EXISTING"),SUMIFS('Existing Customers'!$P:$P,'Existing Customers'!$A:$A,$RI$1,'Existing Customers'!$H:$H,$RH15)*$RI$4,$RI15/$RU15),0))</f>
        <v>0</v>
      </c>
      <c r="RM15" s="303">
        <f>IF('Customer Inputs'!$W$24="End",0,IFERROR(IF(AND($RI$2&lt;&gt;"Enter Spend&gt;&gt;&gt;",$RJ$2="EXISTING"),SUMIFS('Existing Customers'!$V:$V,'Existing Customers'!$H:$H,$RH15,'Existing Customers'!$A:$A,$RI$1)*$RI$4,0),0))</f>
        <v>0</v>
      </c>
      <c r="RN15" s="93">
        <f>IF('Customer Inputs'!$W$24="End",0,IFERROR(IF(AND($RI$2&lt;&gt;"Enter Spend&gt;&gt;&gt;",$RJ$2="EXISTING"),SUMIFS('Existing Customers'!$R:$R,'Existing Customers'!$H:$H,$RH15,'Existing Customers'!$A:$A,$RI$1)*$RI$4,0),0))</f>
        <v>0</v>
      </c>
      <c r="RO15" s="780">
        <f>IF('Customer Inputs'!$W$24="End",0,IFERROR(IF(AND($RI$2&lt;&gt;"Enter Spend&gt;&gt;&gt;",$RJ$2="EXISTING"),SUMIFS('Existing Customers'!$S:$S,'Existing Customers'!$H:$H,$RH15,'Existing Customers'!$A:$A,$RI$1)/SUMIFS('Existing Customers'!$Q:$Q,'Existing Customers'!$A:$A,$RI$1,'Existing Customers'!$H:$H,$RH15),RY15),0))</f>
        <v>0</v>
      </c>
      <c r="RP15" s="780">
        <f>IF('Customer Inputs'!$W$24="End",0,IFERROR(IF(AND($RI$2&lt;&gt;"Enter Spend&gt;&gt;&gt;",$RJ$2="EXISTING"),SUMIFS('Existing Customers'!$U:$U,'Existing Customers'!$H:$H,$RH15,'Existing Customers'!$A:$A,$RI$1)/SUMIFS('Existing Customers'!$Q:$Q,'Existing Customers'!$A:$A,$RI$1,'Existing Customers'!$H:$H,$RH15),RZ15),0))</f>
        <v>0</v>
      </c>
      <c r="RQ15" s="783" t="e">
        <f>_xlfn.CONCAT('Customer Inputs'!$AH$24,"_",RH15)</f>
        <v>#N/A</v>
      </c>
      <c r="RR15" s="783">
        <f t="array" ref="RR15">IF('Customer Inputs'!$W$24="End",0,IFERROR(INDEX('Margin Guidence Table'!$A$1:$AG$10000,MATCH(1,('Margin Guidence Table'!$A$1:$A$10000=RQ15)*('Margin Guidence Table'!$I$1:$I$10000&lt;=ROUND($RI$3,0))*('Margin Guidence Table'!$J$1:$J$10000&gt;=ROUND($RI$3,0)),0),MATCH("DATA_POINTS",'Margin Guidence Table'!$A$1:$AG$1,0)),0))</f>
        <v>0</v>
      </c>
      <c r="RS15" s="780" t="str">
        <f t="shared" ref="RS15:RS34" si="69">IF(RR15&gt;15,"SEGMENT","DEFAULT")</f>
        <v>DEFAULT</v>
      </c>
      <c r="RT15" s="780">
        <f t="array" ref="RT15">IF('Customer Inputs'!$W$24="End",0,IFERROR(IF($RS15="SEGMENT",INDEX('Margin Guidence Table'!$A$1:$AG$10000,MATCH(1,('Margin Guidence Table'!$A$1:$A$10000=RQ15)*('Margin Guidence Table'!$I$1:$I$10000&lt;=ROUND($RI$3,0))*('Margin Guidence Table'!$J$1:$J$10000&gt;=ROUND($RI$3,0)),0),MATCH("SALES_CASE",'Margin Guidence Table'!$A$1:$AG$1,0)),INDEX('Margin Guidence Table'!$A$1:$AG$10000,MATCH(1,('Margin Guidence Table'!$A$1:$A$10000=RQ15)*('Margin Guidence Table'!$I$1:$I$10000&lt;=ROUND($RI$3,0))*('Margin Guidence Table'!$J$1:$J$10000&gt;=ROUND($RI$3,0)),0),MATCH("DEFAULT_SALES_CASE",'Margin Guidence Table'!$A$1:$AG$1,0))),0))</f>
        <v>0</v>
      </c>
      <c r="RU15" s="780">
        <f t="array" ref="RU15">IF('Customer Inputs'!$W$24="End",0,IFERROR(IF($RS15="SEGMENT",INDEX('Margin Guidence Table'!$A$1:$AG$10000,MATCH(1,('Margin Guidence Table'!$A$1:$A$10000=RQ15)*('Margin Guidence Table'!$I$1:$I$10000&lt;=ROUND($RI$3,0))*('Margin Guidence Table'!$J$1:$J$10000&gt;=ROUND($RI$3,0)),0),MATCH("SALES_LBS",'Margin Guidence Table'!$A$1:$AG$1,0)),INDEX('Margin Guidence Table'!$A$1:$AG$10000,MATCH(1,('Margin Guidence Table'!$A$1:$A$10000=RQ15)*('Margin Guidence Table'!$I$1:$I$10000&lt;=ROUND($RI$3,0))*('Margin Guidence Table'!$J$1:$J$10000&gt;=ROUND($RI$3,0)),0),MATCH("DEFAULT_SALES_LBS",'Margin Guidence Table'!$A$1:$AG$1,0))),0))</f>
        <v>0</v>
      </c>
      <c r="RV15" s="784">
        <f t="array" ref="RV15">IF('Customer Inputs'!$W$24="End",0,IFERROR(IF($RS15="SEGMENT",INDEX('Margin Guidence Table'!$A$1:$AG$10000,MATCH(1,('Margin Guidence Table'!$A$1:$A$10000=RQ15)*('Margin Guidence Table'!$I$1:$I$10000&lt;=ROUND($RI$3,0))*('Margin Guidence Table'!$J$1:$J$10000&gt;=ROUND($RI$3,0)),0),MATCH("MDA_MIN_MARGIN_GUIDENCE",'Margin Guidence Table'!$A$1:$AG$1,0)),INDEX('Margin Guidence Table'!$A$1:$AG$10000,MATCH(1,('Margin Guidence Table'!$A$1:$A$10000=RQ15)*('Margin Guidence Table'!$I$1:$I$10000&lt;=ROUND($RI$3,0))*('Margin Guidence Table'!$J$1:$J$10000&gt;=ROUND($RI$3,0)),0),MATCH("DEFAULT_MDA_MIN_MARGIN_GUIDENCE",'Margin Guidence Table'!$A$1:$AG$1,0))),0))</f>
        <v>0</v>
      </c>
      <c r="RW15" s="784">
        <f t="array" ref="RW15">IF('Customer Inputs'!$W$24="End",0,IFERROR(IF($RS15="SEGMENT",INDEX('Margin Guidence Table'!$A$1:$AG$10000,MATCH(1,('Margin Guidence Table'!$A$1:$A$10000=RQ15)*('Margin Guidence Table'!$I$1:$I$10000&lt;=ROUND($RI$3,0))*('Margin Guidence Table'!$J$1:$J$10000&gt;=ROUND($RI$3,0)),0),MATCH("MDA_MEDIAN_MARGIN_GUIDENCE",'Margin Guidence Table'!$A$1:$AG$1,0)),INDEX('Margin Guidence Table'!$A$1:$AG$10000,MATCH(1,('Margin Guidence Table'!$A$1:$A$10000=RQ15)*('Margin Guidence Table'!$I$1:$I$10000&lt;=ROUND($RI$3,0))*('Margin Guidence Table'!$J$1:$J$10000&gt;=ROUND($RI$3,0)),0),MATCH("DEFAULT_MDA_MEDIAN_MARGIN_GUIDENCE",'Margin Guidence Table'!$A$1:$AG$1,0))),0))</f>
        <v>0</v>
      </c>
      <c r="RX15" s="784">
        <f t="array" ref="RX15">IF('Customer Inputs'!$W$24="End",0,IFERROR(IF($RS15="SEGMENT",INDEX('Margin Guidence Table'!$A$1:$AG$10000,MATCH(1,('Margin Guidence Table'!$A$1:$A$10000=RQ15)*('Margin Guidence Table'!$I$1:$I$10000&lt;=ROUND($RI$3,0))*('Margin Guidence Table'!$J$1:$J$10000&gt;=ROUND($RI$3,0)),0),MATCH("MDA_MAX_MARGIN_GUIDENCE",'Margin Guidence Table'!$A$1:$AG$1,0)),INDEX('Margin Guidence Table'!$A$1:$AG$10000,MATCH(1,('Margin Guidence Table'!$A$1:$A$10000=RQ15)*('Margin Guidence Table'!$I$1:$I$10000&lt;=ROUND($RI$3,0))*('Margin Guidence Table'!$J$1:$J$10000&gt;=ROUND($RI$3,0)),0),MATCH("DEFAULT_MDA_MAX_MARGIN_GUIDENCE",'Margin Guidence Table'!$A$1:$AG$1,0))),0))</f>
        <v>0</v>
      </c>
      <c r="RY15" s="784">
        <f t="array" ref="RY15">IF('Customer Inputs'!$W$24="End",0,IFERROR(IF($RS15="SEGMENT",INDEX('Margin Guidence Table'!$A$1:$AG$10000,MATCH(1,('Margin Guidence Table'!$A$1:$A$10000=RQ15)*('Margin Guidence Table'!$I$1:$I$10000&lt;=ROUND($RI$3,0))*('Margin Guidence Table'!$J$1:$J$10000&gt;=ROUND($RI$3,0)),0),MATCH("PA_PCT_SALES",'Margin Guidence Table'!$A$1:$AG$1,0)),INDEX('Margin Guidence Table'!$A$1:$AG$10000,MATCH(1,('Margin Guidence Table'!$A$1:$A$10000=RQ15)*('Margin Guidence Table'!$I$1:$I$10000&lt;=ROUND($RI$3,0))*('Margin Guidence Table'!$J$1:$J$10000&gt;=ROUND($RI$3,0)),0),MATCH("DEFAULT_PA_PCT_SALES",'Margin Guidence Table'!$A$1:$AG$1,0))),0))</f>
        <v>0</v>
      </c>
      <c r="RZ15" s="784">
        <f t="array" ref="RZ15">IF('Customer Inputs'!$W$24="End",0,IFERROR(IF($RS15="SEGMENT",INDEX('Margin Guidence Table'!$A$1:$AG$10000,MATCH(1,('Margin Guidence Table'!$A$1:$A$10000=RQ15)*('Margin Guidence Table'!$I$1:$I$10000&lt;=ROUND($RI$3,0))*('Margin Guidence Table'!$J$1:$J$10000&gt;=ROUND($RI$3,0)),0),MATCH("SELF_FUND_PCT_SALES",'Margin Guidence Table'!$A$1:$AG$1,0)),INDEX('Margin Guidence Table'!$A$1:$AG$10000,MATCH(1,('Margin Guidence Table'!$A$1:$A$10000=RQ15)*('Margin Guidence Table'!$I$1:$I$10000&lt;=ROUND($RI$3,0))*('Margin Guidence Table'!$J$1:$J$10000&gt;=ROUND($RI$3,0)),0),MATCH("DEFAULT_SELF_FUND_PCT_SALES",'Margin Guidence Table'!$A$1:$AG$1,0))),0))</f>
        <v>0</v>
      </c>
      <c r="SA15" s="784">
        <f t="array" ref="SA15">IF('Customer Inputs'!$W$24="End",0,IF($RJ$2="Existing",IFERROR(SUMIFS('Existing Customers'!$V:$V,'Existing Customers'!$H:$H,$RH15,'Existing Customers'!$A:$A,$RI$1)/SUMIFS('Existing Customers'!$Q:$Q,'Existing Customers'!$H:$H,$RH15,'Existing Customers'!$A:$A,$RI$1),0),IFERROR(IF($RS15="SEGMENT",INDEX('Margin Guidence Table'!$A$1:$AG$10000,MATCH(1,('Margin Guidence Table'!$A$1:$A$10000=RQ15)*('Margin Guidence Table'!$I$1:$I$10000&lt;=ROUND($RI$3,0))*('Margin Guidence Table'!$J$1:$J$10000&gt;=ROUND($RI$3,0)),0),MATCH("CIA_MEDIAN_MARGIN_GUIDENCE",'Margin Guidence Table'!$A$1:$AG$1,0)),INDEX('Margin Guidence Table'!$A$1:$AG$10000,MATCH(1,('Margin Guidence Table'!$A$1:$A$10000=RQ15)*('Margin Guidence Table'!$I$1:$I$10000&lt;=ROUND($RI$3,0))*('Margin Guidence Table'!$J$1:$J$10000&gt;=ROUND($RI$3,0)),0),MATCH("DEFAULT_CIA_MEDIAN_MARGIN_GUIDENCE",'Margin Guidence Table'!$A$1:$AG$1,0))),0)))</f>
        <v>0</v>
      </c>
      <c r="SB15" s="784"/>
      <c r="SC15" s="18">
        <f t="array" ref="SC15">IF('Customer Inputs'!$W$25="End",0,IFERROR(IF($SP15="SEGMENT",INDEX('Margin Guidence Table'!$A$1:$AG$10000,MATCH(1,('Margin Guidence Table'!$A$1:$A$10000=$SN15)*('Margin Guidence Table'!$I$1:$I$10000&lt;=ROUND($SF$3,0))*('Margin Guidence Table'!$J$1:$J$10000&gt;=ROUND($SF$3,0)),0),MATCH("PCT_SALES",'Margin Guidence Table'!$A$1:$AG$1,0)),INDEX('Margin Guidence Table'!$A$1:$AG$10000,MATCH(1,('Margin Guidence Table'!$A$1:$A$10000=$SN15)*('Margin Guidence Table'!$I$1:$I$10000&lt;=ROUND($SF$3,0))*('Margin Guidence Table'!$J$1:$J$10000&gt;=ROUND($SF$3,0)),0),MATCH("DEFAULT_PCT_SALES",'Margin Guidence Table'!$A$1:$AG$1,0))),0))</f>
        <v>0</v>
      </c>
      <c r="SD15" s="1713" t="e">
        <f t="shared" ref="SD15:SD34" si="70">SC15/$SC$35</f>
        <v>#DIV/0!</v>
      </c>
      <c r="SE15" s="99" t="s">
        <v>103</v>
      </c>
      <c r="SF15" s="91">
        <f>IF('Customer Inputs'!$W$25="End",0,IFERROR(IF(AND($SF$2&lt;&gt;"Enter Spend&gt;&gt;&gt;",$SG$2="EXISTING"),SUMIFS('Existing Customers'!$Q:$Q,'Existing Customers'!$A:$A,$SF$1,'Existing Customers'!$H:$H,$SE15)*$SF$4,$SF$3*$SD15),0))</f>
        <v>0</v>
      </c>
      <c r="SG15" s="86">
        <f>IF('Customer Inputs'!$W$25="End",0,IFERROR(IF(AND($SF$2&lt;&gt;"Enter Spend&gt;&gt;&gt;",$SG$2="EXISTING"),SUMIFS('Existing Customers'!$N:$N,'Existing Customers'!$A:$A,$SF$1,'Existing Customers'!$H:$H,$SE15)*$SF$4,$SF15/$SQ15),0))</f>
        <v>0</v>
      </c>
      <c r="SH15" s="92">
        <f>IF('Customer Inputs'!$W$25="End",0,IFERROR(IF(AND($SF$2&lt;&gt;"Enter Spend&gt;&gt;&gt;",$SG$2="EXISTING"),SUMIFS('Existing Customers'!$O:$O,'Existing Customers'!$H:$H,$SE15,'Existing Customers'!$A:$A,$SF$1)*$SF$4,$SG15*$SF$8),0))</f>
        <v>0</v>
      </c>
      <c r="SI15" s="92">
        <f>IF('Customer Inputs'!$W$25="End",0,IFERROR(IF(AND($SF$2&lt;&gt;"Enter Spend&gt;&gt;&gt;",$SG$2="EXISTING"),SUMIFS('Existing Customers'!$P:$P,'Existing Customers'!$A:$A,$SF$1,'Existing Customers'!$H:$H,$SE15)*$SF$4,$SF15/$SR15),0))</f>
        <v>0</v>
      </c>
      <c r="SJ15" s="303">
        <f>IF('Customer Inputs'!$W$25="End",0,IFERROR(IF(AND($SF$2&lt;&gt;"Enter Spend&gt;&gt;&gt;",$SG$2="EXISTING"),SUMIFS('Existing Customers'!$V:$V,'Existing Customers'!$H:$H,$SE15,'Existing Customers'!$A:$A,$SF$1)*$SF$4,0),0))</f>
        <v>0</v>
      </c>
      <c r="SK15" s="93">
        <f>IF('Customer Inputs'!$W$25="End",0,IFERROR(IF(AND($SF$2&lt;&gt;"Enter Spend&gt;&gt;&gt;",$SG$2="EXISTING"),SUMIFS('Existing Customers'!$R:$R,'Existing Customers'!$H:$H,$SE15,'Existing Customers'!$A:$A,$SF$1)*$SF$4,0),0))</f>
        <v>0</v>
      </c>
      <c r="SL15" s="780">
        <f>IF('Customer Inputs'!$W$25="End",0,IFERROR(IF(AND($SF$2&lt;&gt;"Enter Spend&gt;&gt;&gt;",$SG$2="EXISTING"),SUMIFS('Existing Customers'!$S:$S,'Existing Customers'!$H:$H,$SE15,'Existing Customers'!$A:$A,$SF$1)/SUMIFS('Existing Customers'!$Q:$Q,'Existing Customers'!$A:$A,$SF$1,'Existing Customers'!$H:$H,$SE15),SV15),0))</f>
        <v>0</v>
      </c>
      <c r="SM15" s="780">
        <f>IF('Customer Inputs'!$W$25="End",0,IFERROR(IF(AND($SF$2&lt;&gt;"Enter Spend&gt;&gt;&gt;",$SG$2="EXISTING"),SUMIFS('Existing Customers'!$U:$U,'Existing Customers'!$H:$H,$SE15,'Existing Customers'!$A:$A,$SF$1)/SUMIFS('Existing Customers'!$Q:$Q,'Existing Customers'!$A:$A,$SF$1,'Existing Customers'!$H:$H,$SE15),SW15),0))</f>
        <v>0</v>
      </c>
      <c r="SN15" s="783" t="e">
        <f>_xlfn.CONCAT('Customer Inputs'!$AH$25,"_",SE15)</f>
        <v>#N/A</v>
      </c>
      <c r="SO15" s="783">
        <f t="array" ref="SO15">IF('Customer Inputs'!$W$25="End",0,IFERROR(INDEX('Margin Guidence Table'!$A$1:$AG$10000,MATCH(1,('Margin Guidence Table'!$A$1:$A$10000=SN15)*('Margin Guidence Table'!$I$1:$I$10000&lt;=ROUND($SF$3,0))*('Margin Guidence Table'!$J$1:$J$10000&gt;=ROUND($SF$3,0)),0),MATCH("DATA_POINTS",'Margin Guidence Table'!$A$1:$AG$1,0)),0))</f>
        <v>0</v>
      </c>
      <c r="SP15" s="780" t="str">
        <f t="shared" ref="SP15:SP34" si="71">IF(SO15&gt;15,"SEGMENT","DEFAULT")</f>
        <v>DEFAULT</v>
      </c>
      <c r="SQ15" s="780">
        <f t="array" ref="SQ15">IF('Customer Inputs'!$W$25="End",0,IFERROR(IF($SP15="SEGMENT",INDEX('Margin Guidence Table'!$A$1:$AG$10000,MATCH(1,('Margin Guidence Table'!$A$1:$A$10000=SN15)*('Margin Guidence Table'!$I$1:$I$10000&lt;=ROUND($SF$3,0))*('Margin Guidence Table'!$J$1:$J$10000&gt;=ROUND($SF$3,0)),0),MATCH("SALES_CASE",'Margin Guidence Table'!$A$1:$AG$1,0)),INDEX('Margin Guidence Table'!$A$1:$AG$10000,MATCH(1,('Margin Guidence Table'!$A$1:$A$10000=SN15)*('Margin Guidence Table'!$I$1:$I$10000&lt;=ROUND($SF$3,0))*('Margin Guidence Table'!$J$1:$J$10000&gt;=ROUND($SF$3,0)),0),MATCH("DEFAULT_SALES_CASE",'Margin Guidence Table'!$A$1:$AG$1,0))),0))</f>
        <v>0</v>
      </c>
      <c r="SR15" s="780">
        <f t="array" ref="SR15">IF('Customer Inputs'!$W$25="End",0,IFERROR(IF($SP15="SEGMENT",INDEX('Margin Guidence Table'!$A$1:$AG$10000,MATCH(1,('Margin Guidence Table'!$A$1:$A$10000=SN15)*('Margin Guidence Table'!$I$1:$I$10000&lt;=ROUND($SF$3,0))*('Margin Guidence Table'!$J$1:$J$10000&gt;=ROUND($SF$3,0)),0),MATCH("SALES_LBS",'Margin Guidence Table'!$A$1:$AG$1,0)),INDEX('Margin Guidence Table'!$A$1:$AG$10000,MATCH(1,('Margin Guidence Table'!$A$1:$A$10000=SN15)*('Margin Guidence Table'!$I$1:$I$10000&lt;=ROUND($SF$3,0))*('Margin Guidence Table'!$J$1:$J$10000&gt;=ROUND($SF$3,0)),0),MATCH("DEFAULT_SALES_LBS",'Margin Guidence Table'!$A$1:$AG$1,0))),0))</f>
        <v>0</v>
      </c>
      <c r="SS15" s="784">
        <f t="array" ref="SS15">IF('Customer Inputs'!$W$25="End",0,IFERROR(IF($SP15="SEGMENT",INDEX('Margin Guidence Table'!$A$1:$AG$10000,MATCH(1,('Margin Guidence Table'!$A$1:$A$10000=SN15)*('Margin Guidence Table'!$I$1:$I$10000&lt;=ROUND($SF$3,0))*('Margin Guidence Table'!$J$1:$J$10000&gt;=ROUND($SF$3,0)),0),MATCH("MDA_MIN_MARGIN_GUIDENCE",'Margin Guidence Table'!$A$1:$AG$1,0)),INDEX('Margin Guidence Table'!$A$1:$AG$10000,MATCH(1,('Margin Guidence Table'!$A$1:$A$10000=SN15)*('Margin Guidence Table'!$I$1:$I$10000&lt;=ROUND($SF$3,0))*('Margin Guidence Table'!$J$1:$J$10000&gt;=ROUND($SF$3,0)),0),MATCH("DEFAULT_MDA_MIN_MARGIN_GUIDENCE",'Margin Guidence Table'!$A$1:$AG$1,0))),0))</f>
        <v>0</v>
      </c>
      <c r="ST15" s="784">
        <f t="array" ref="ST15">IF('Customer Inputs'!$W$25="End",0,IFERROR(IF($SP15="SEGMENT",INDEX('Margin Guidence Table'!$A$1:$AG$10000,MATCH(1,('Margin Guidence Table'!$A$1:$A$10000=SN15)*('Margin Guidence Table'!$I$1:$I$10000&lt;=ROUND($SF$3,0))*('Margin Guidence Table'!$J$1:$J$10000&gt;=ROUND($SF$3,0)),0),MATCH("MDA_MEDIAN_MARGIN_GUIDENCE",'Margin Guidence Table'!$A$1:$AG$1,0)),INDEX('Margin Guidence Table'!$A$1:$AG$10000,MATCH(1,('Margin Guidence Table'!$A$1:$A$10000=SN15)*('Margin Guidence Table'!$I$1:$I$10000&lt;=ROUND($SF$3,0))*('Margin Guidence Table'!$J$1:$J$10000&gt;=ROUND($SF$3,0)),0),MATCH("DEFAULT_MDA_MEDIAN_MARGIN_GUIDENCE",'Margin Guidence Table'!$A$1:$AG$1,0))),0))</f>
        <v>0</v>
      </c>
      <c r="SU15" s="784">
        <f t="array" ref="SU15">IF('Customer Inputs'!$W$25="End",0,IFERROR(IF($SP15="SEGMENT",INDEX('Margin Guidence Table'!$A$1:$AG$10000,MATCH(1,('Margin Guidence Table'!$A$1:$A$10000=SN15)*('Margin Guidence Table'!$I$1:$I$10000&lt;=ROUND($SF$3,0))*('Margin Guidence Table'!$J$1:$J$10000&gt;=ROUND($SF$3,0)),0),MATCH("MDA_MAX_MARGIN_GUIDENCE",'Margin Guidence Table'!$A$1:$AG$1,0)),INDEX('Margin Guidence Table'!$A$1:$AG$10000,MATCH(1,('Margin Guidence Table'!$A$1:$A$10000=SN15)*('Margin Guidence Table'!$I$1:$I$10000&lt;=ROUND($SF$3,0))*('Margin Guidence Table'!$J$1:$J$10000&gt;=ROUND($SF$3,0)),0),MATCH("DEFAULT_MDA_MAX_MARGIN_GUIDENCE",'Margin Guidence Table'!$A$1:$AG$1,0))),0))</f>
        <v>0</v>
      </c>
      <c r="SV15" s="784">
        <f t="array" ref="SV15">IF('Customer Inputs'!$W$25="End",0,IFERROR(IF($SP15="SEGMENT",INDEX('Margin Guidence Table'!$A$1:$AG$10000,MATCH(1,('Margin Guidence Table'!$A$1:$A$10000=SN15)*('Margin Guidence Table'!$I$1:$I$10000&lt;=ROUND($SF$3,0))*('Margin Guidence Table'!$J$1:$J$10000&gt;=ROUND($SF$3,0)),0),MATCH("PA_PCT_SALES",'Margin Guidence Table'!$A$1:$AG$1,0)),INDEX('Margin Guidence Table'!$A$1:$AG$10000,MATCH(1,('Margin Guidence Table'!$A$1:$A$10000=SN15)*('Margin Guidence Table'!$I$1:$I$10000&lt;=ROUND($SF$3,0))*('Margin Guidence Table'!$J$1:$J$10000&gt;=ROUND($SF$3,0)),0),MATCH("DEFAULT_PA_PCT_SALES",'Margin Guidence Table'!$A$1:$AG$1,0))),0))</f>
        <v>0</v>
      </c>
      <c r="SW15" s="784">
        <f t="array" ref="SW15">IF('Customer Inputs'!$W$25="End",0,IFERROR(IF($SP15="SEGMENT",INDEX('Margin Guidence Table'!$A$1:$AG$10000,MATCH(1,('Margin Guidence Table'!$A$1:$A$10000=SN15)*('Margin Guidence Table'!$I$1:$I$10000&lt;=ROUND($SF$3,0))*('Margin Guidence Table'!$J$1:$J$10000&gt;=ROUND($SF$3,0)),0),MATCH("SELF_FUND_PCT_SALES",'Margin Guidence Table'!$A$1:$AG$1,0)),INDEX('Margin Guidence Table'!$A$1:$AG$10000,MATCH(1,('Margin Guidence Table'!$A$1:$A$10000=SN15)*('Margin Guidence Table'!$I$1:$I$10000&lt;=ROUND($SF$3,0))*('Margin Guidence Table'!$J$1:$J$10000&gt;=ROUND($SF$3,0)),0),MATCH("DEFAULT_SELF_FUND_PCT_SALES",'Margin Guidence Table'!$A$1:$AG$1,0))),0))</f>
        <v>0</v>
      </c>
      <c r="SX15" s="784">
        <f t="array" ref="SX15">IF('Customer Inputs'!$W$25="End",0,IF($SG$2="Existing",IFERROR(SUMIFS('Existing Customers'!$V:$V,'Existing Customers'!$H:$H,$SE15,'Existing Customers'!$A:$A,$SF$1)/SUMIFS('Existing Customers'!$Q:$Q,'Existing Customers'!$H:$H,$SE15,'Existing Customers'!$A:$A,$SF$1),0),IFERROR(IF($SP15="SEGMENT",INDEX('Margin Guidence Table'!$A$1:$AG$10000,MATCH(1,('Margin Guidence Table'!$A$1:$A$10000=SN15)*('Margin Guidence Table'!$I$1:$I$10000&lt;=ROUND($SF$3,0))*('Margin Guidence Table'!$J$1:$J$10000&gt;=ROUND($SF$3,0)),0),MATCH("CIA_MEDIAN_MARGIN_GUIDENCE",'Margin Guidence Table'!$A$1:$AG$1,0)),INDEX('Margin Guidence Table'!$A$1:$AG$10000,MATCH(1,('Margin Guidence Table'!$A$1:$A$10000=SN15)*('Margin Guidence Table'!$I$1:$I$10000&lt;=ROUND($SF$3,0))*('Margin Guidence Table'!$J$1:$J$10000&gt;=ROUND($SF$3,0)),0),MATCH("DEFAULT_CIA_MEDIAN_MARGIN_GUIDENCE",'Margin Guidence Table'!$A$1:$AG$1,0))),0)))</f>
        <v>0</v>
      </c>
      <c r="SY15" s="784"/>
      <c r="SZ15" s="1705"/>
      <c r="TA15" s="99" t="s">
        <v>103</v>
      </c>
      <c r="TB15" s="94"/>
      <c r="TC15" s="86"/>
      <c r="TD15" s="86"/>
      <c r="TE15" s="86"/>
      <c r="TF15" s="111"/>
      <c r="TG15" s="95"/>
      <c r="TH15" s="126"/>
      <c r="TI15" s="1705"/>
      <c r="TJ15" s="99" t="s">
        <v>103</v>
      </c>
      <c r="TK15" s="94"/>
      <c r="TL15" s="86"/>
      <c r="TM15" s="86"/>
      <c r="TN15" s="86"/>
      <c r="TO15" s="111"/>
      <c r="TP15" s="95"/>
      <c r="TQ15" s="1705"/>
      <c r="TR15" s="1705"/>
    </row>
    <row r="16" spans="1:538" ht="15.75" thickBot="1" x14ac:dyDescent="0.3">
      <c r="A16" s="1705"/>
      <c r="B16" s="99" t="s">
        <v>1296</v>
      </c>
      <c r="C16" s="346">
        <f t="shared" si="0"/>
        <v>0</v>
      </c>
      <c r="D16" s="358">
        <f t="shared" si="1"/>
        <v>0</v>
      </c>
      <c r="E16" s="358">
        <f t="shared" si="2"/>
        <v>0</v>
      </c>
      <c r="F16" s="358">
        <f t="shared" si="3"/>
        <v>0</v>
      </c>
      <c r="G16" s="1428">
        <f t="shared" si="4"/>
        <v>0</v>
      </c>
      <c r="H16" s="1428">
        <f t="shared" si="5"/>
        <v>0</v>
      </c>
      <c r="I16" s="359">
        <f t="shared" si="6"/>
        <v>0</v>
      </c>
      <c r="J16" s="358">
        <f t="shared" si="7"/>
        <v>0</v>
      </c>
      <c r="K16" s="778">
        <f t="shared" si="8"/>
        <v>0</v>
      </c>
      <c r="L16" s="778">
        <f t="shared" si="9"/>
        <v>0</v>
      </c>
      <c r="M16" s="778">
        <f t="shared" si="10"/>
        <v>0</v>
      </c>
      <c r="N16" s="1428">
        <f>IF('PIM Model'!D12="$/CS",IFERROR(ROUND(SUM(BX16*$BV$35+CU16*$CS$35+DR16*$DP$35+EO16*$EM$35+FL16*$FJ$35+GI16*$GG$35+HF16*$HD$35+IC16*$IA$35+IZ16*$IX$35+JW16*$JU$35+KT16*$KR$35+LQ16*$LO$35+MN16*$ML$35+NK16*$NI$35+OH16*$OF$35+PE16*$PC$35+QB16*$PZ$35+QY16*$QW$35+RV16*$RT$35+SS16*$SQ$35)/$G$35,2),0),IF('PIM Model'!D12="$/LB",IFERROR(ROUND(SUM(BX16*$BW$35+CU16*$CT$35+DR16*$DQ$35+EO16*$EN$35+FL16*$FK$35+GI16*$GH$35+HF16*$HE$35+IC16*$IB$35+IZ16*$IY$35+JW16*$JV$35+KT16*$KS$35+LQ16*$LP$35+MN16*$MM$35+NK16*$NJ$35+OH16*$OG$35+PE16*$PD$35+QB16*$QA$35+QY16*$QX$35+RV16*$RU$35+SS16*$SR$35)/$H$35,2),0),0))</f>
        <v>0</v>
      </c>
      <c r="O16" s="1428">
        <f>IF('PIM Model'!D12="$/CS",IFERROR(ROUND(SUM(BY16*$BV$35+CV16*$CS$35+DS16*$DP$35+EP16*$EM$35+FM16*$FJ$35+GJ16*$GG$35+HG16*$HD$35+ID16*$IA$35+JA16*$IX$35+JX16*$JU$35+KU16*$KR$35+LR16*$LO$35+MO16*$ML$35+NL16*$NI$35+OI16*$OF$35+PF16*$PC$35+QC16*$PZ$35+QZ16*$QW$35+RW16*$RT$35+ST16*$SQ$35)/$G$35,2),0),IF('PIM Model'!D12="$/LB",IFERROR(ROUND(SUM(BY16*$BW$35+CV16*$CT$35+DS16*$DQ$35+EP16*$EN$35+FM16*$FK$35+GJ16*$GH$35+HG16*$HE$35+ID16*$IB$35+JA16*$IY$35+JX16*$JV$35+KU16*$KS$35+LR16*$LP$35+MO16*$MM$35+NL16*$NJ$35+OI16*$OG$35+PF16*$PD$35+QC16*$QA$35+QZ16*$QX$35+RW16*$RU$35+ST16*$SR$35)/$H$35,2),0),0))</f>
        <v>0</v>
      </c>
      <c r="P16" s="1428">
        <f>IF('PIM Model'!D12="$/CS",IFERROR(ROUND(SUM(BZ16*$BV$35+CW16*$CS$35+DT16*$DP$35+EQ16*$EM$35+FN16*$FJ$35+GK16*$GG$35+HH16*$HD$35+IE16*$IA$35+JB16*$IX$35+JY16*$JU$35+KV16*$KR$35+LS16*$LO$35+MP16*$ML$35+NM16*$NI$35+OJ16*$OF$35+PG16*$PC$35+QD16*$PZ$35+RA16*$QW$35+RX16*$RT$35+SU16*$SQ$35)/$G$35,2),0),IF('PIM Model'!D12="$/LB",IFERROR(ROUND(SUM(BZ16*$BW$35+CW16*$CT$35+DT16*$DQ$35+EQ16*$EN$35+FN16*$FK$35+GK16*$GH$35+HH16*$HE$35+IE16*$IB$35+JB16*$IY$35+JY16*$JV$35+KV16*$KS$35+LS16*$LP$35+MP16*$MM$35+NM16*$NJ$35+OJ16*$OG$35+PG16*$PD$35+QD16*$QA$35+RA16*$QX$35+RX16*$RU$35+SU16*$SR$35)/$H$35,2),0),0))</f>
        <v>0</v>
      </c>
      <c r="Q16" s="358">
        <f t="shared" si="11"/>
        <v>0</v>
      </c>
      <c r="R16" s="358">
        <f t="shared" si="12"/>
        <v>0</v>
      </c>
      <c r="S16" s="779">
        <f t="shared" si="13"/>
        <v>0</v>
      </c>
      <c r="T16" s="779">
        <f t="shared" si="14"/>
        <v>0</v>
      </c>
      <c r="U16" s="779">
        <f t="shared" si="15"/>
        <v>0</v>
      </c>
      <c r="V16" s="779">
        <f t="shared" si="16"/>
        <v>0</v>
      </c>
      <c r="W16" s="779">
        <f t="shared" si="17"/>
        <v>0</v>
      </c>
      <c r="X16" s="1705"/>
      <c r="Y16" s="1705" t="str">
        <f>'PIM Model'!E12</f>
        <v>INCLUDE</v>
      </c>
      <c r="Z16" s="1705">
        <f t="shared" si="18"/>
        <v>0</v>
      </c>
      <c r="AA16" s="1705">
        <f t="shared" si="19"/>
        <v>0</v>
      </c>
      <c r="AB16" s="99" t="s">
        <v>1296</v>
      </c>
      <c r="AC16" s="107">
        <f t="shared" si="20"/>
        <v>0</v>
      </c>
      <c r="AD16" s="108">
        <f t="shared" si="21"/>
        <v>0</v>
      </c>
      <c r="AE16" s="108">
        <f t="shared" si="22"/>
        <v>0</v>
      </c>
      <c r="AF16" s="108">
        <f t="shared" si="23"/>
        <v>0</v>
      </c>
      <c r="AG16" s="110">
        <f t="shared" si="24"/>
        <v>0</v>
      </c>
      <c r="AH16" s="114">
        <f t="shared" si="25"/>
        <v>0</v>
      </c>
      <c r="AI16" s="301"/>
      <c r="AJ16" s="99" t="s">
        <v>1296</v>
      </c>
      <c r="AK16" s="346">
        <f t="shared" si="26"/>
        <v>0</v>
      </c>
      <c r="AL16" s="347">
        <f t="shared" si="26"/>
        <v>0</v>
      </c>
      <c r="AM16" s="347">
        <f t="shared" si="26"/>
        <v>0</v>
      </c>
      <c r="AN16" s="350">
        <f t="shared" si="27"/>
        <v>0</v>
      </c>
      <c r="AO16" s="351">
        <f t="shared" si="28"/>
        <v>0</v>
      </c>
      <c r="AP16" s="301"/>
      <c r="AQ16" s="99" t="s">
        <v>1296</v>
      </c>
      <c r="AR16" s="346">
        <f t="shared" si="29"/>
        <v>0</v>
      </c>
      <c r="AS16" s="347">
        <f t="shared" si="30"/>
        <v>0</v>
      </c>
      <c r="AT16" s="351"/>
      <c r="AU16" s="301"/>
      <c r="AV16" s="1708" t="str">
        <f>IF('PIM Ranges'!$AK14='PIM Ranges'!$AY$11,IF($AR16&lt;'PIM Ranges'!$AZ$11,"Q1",IF($AR16&lt;'PIM Ranges'!$BA$11,"Q2",IF($AR16&lt;'PIM Ranges'!$BB$11,"Q3",IF($AR16&lt;'PIM Ranges'!$BC$11,"Q4","Q5")))),IF('PIM Ranges'!$AK14='PIM Ranges'!$AY$12,IF($AR16&lt;'PIM Ranges'!$AZ$12,"Q1",IF($AR16&lt;'PIM Ranges'!$BA$12,"Q2",IF($AR16&lt;'PIM Ranges'!$BB$12,"Q3",IF($AR16&lt;'PIM Ranges'!$BC$12,"Q4","Q5")))),IF('PIM Ranges'!$AK14='PIM Ranges'!$AY$13,IF($AR16&lt;'PIM Ranges'!$AZ$13,"Q1",IF($AR16&lt;'PIM Ranges'!$BA$13,"Q2",IF($AR16&lt;'PIM Ranges'!$BB$13,"Q3",IF($AR16&lt;'PIM Ranges'!$BC$13,"Q4","Q5")))),IF('PIM Ranges'!$AK14='PIM Ranges'!$AY$14,IF($AR16&lt;'PIM Ranges'!$AZ$14,"Q1",IF($AR16&lt;'PIM Ranges'!$BA$14,"Q2",IF($AR16&lt;'PIM Ranges'!$BB$14,"Q3",IF($AR16&lt;'PIM Ranges'!$BC$14,"Q4","Q5")))),IF('PIM Ranges'!$AK14='PIM Ranges'!$AY$15,IF($AR16&lt;'PIM Ranges'!$AZ$15,"Q1",IF($AR16&lt;'PIM Ranges'!$BA$15,"Q2",IF($AR16&lt;'PIM Ranges'!$BB$15,"Q3",IF($AR16&lt;'PIM Ranges'!$BC$15,"Q4","Q5")))),IF('PIM Ranges'!$AK14='PIM Ranges'!$AY$16,IF($AR16&lt;'PIM Ranges'!$AZ$16,"Q1",IF($AR16&lt;'PIM Ranges'!$BA$16,"Q2",IF($AR16&lt;'PIM Ranges'!$BB$16,"Q3",IF($AR16&lt;'PIM Ranges'!$BC$16,"Q4","Q5")))),IF('PIM Ranges'!$AK14='PIM Ranges'!$AY$17,IF($AR16&lt;'PIM Ranges'!$AZ$17,"Q1",IF($AR16&lt;'PIM Ranges'!$BA$17,"Q2",IF($AR16&lt;'PIM Ranges'!$BB$17,"Q3",IF($AR16&lt;'PIM Ranges'!$BC$17,"Q4","Q5")))),IF('PIM Ranges'!$AK14='PIM Ranges'!$AY$18,IF($AR16&lt;'PIM Ranges'!$AZ$18,"Q1",IF($AR16&lt;'PIM Ranges'!$BA$18,"Q2",IF($AR16&lt;'PIM Ranges'!$BB$18,"Q3",IF($AR16&lt;'PIM Ranges'!$BC$18,"Q4","Q5")))),IF('PIM Ranges'!$AK14='PIM Ranges'!$AY$19,IF($AR16&lt;'PIM Ranges'!$AZ$19,"Q1",IF($AR16&lt;'PIM Ranges'!$BA$19,"Q2",IF($AR16&lt;'PIM Ranges'!$BB$19,"Q3",IF($AR16&lt;'PIM Ranges'!$BC$19,"Q4","Q5")))),IF('PIM Ranges'!$AK14='PIM Ranges'!$AY$20,IF($AR16&lt;'PIM Ranges'!$AZ$20,"Q1",IF($AR16&lt;'PIM Ranges'!$BA$20,"Q2",IF($AR16&lt;'PIM Ranges'!$BB$20,"Q3",IF($AR16&lt;'PIM Ranges'!$BC$20,"Q4","Q5")))),IF('PIM Ranges'!$AK14='PIM Ranges'!$AY$21,IF($AR16&lt;'PIM Ranges'!$AZ$21,"Q1",IF($AR16&lt;'PIM Ranges'!$BA$21,"Q2",IF($AR16&lt;'PIM Ranges'!$BB$21,"Q3",IF($AR16&lt;'PIM Ranges'!$BC$21,"Q4","Q5")))),IF('PIM Ranges'!$AK14='PIM Ranges'!$AY$22,IF($AR16&lt;'PIM Ranges'!$AZ$22,"Q1",IF($AR16&lt;'PIM Ranges'!$BA$22,"Q2",IF($AR16&lt;'PIM Ranges'!$BB$22,"Q3",IF($AR16&lt;'PIM Ranges'!$BC$22,"Q4","Q5")))),IF('PIM Ranges'!$AK14='PIM Ranges'!$AY$23,IF($AR16&lt;'PIM Ranges'!$AZ$23,"Q1",IF($AR16&lt;'PIM Ranges'!$BA$23,"Q2",IF($AR16&lt;'PIM Ranges'!$BB$23,"Q3",IF($AR16&lt;'PIM Ranges'!$BC$23,"Q4","Q5")))),IF('PIM Ranges'!$AK14='PIM Ranges'!$AY$24,IF($AR16&lt;'PIM Ranges'!$AZ$24,"Q1",IF($AR16&lt;'PIM Ranges'!$BA$24,"Q2",IF($AR16&lt;'PIM Ranges'!$BB$24,"Q3",IF($AR16&lt;'PIM Ranges'!$BC$24,"Q4","Q5")))),IF('PIM Ranges'!$AK14='PIM Ranges'!$AY$25,IF($AR16&lt;'PIM Ranges'!$AZ$25,"Q1",IF($AR16&lt;'PIM Ranges'!$BA$25,"Q2",IF($AR16&lt;'PIM Ranges'!$BB$25,"Q3",IF($AR16&lt;'PIM Ranges'!$BC$25,"Q4","Q5")))),IF('PIM Ranges'!$AK14='PIM Ranges'!$AY$26,IF($AR16&lt;'PIM Ranges'!$AZ$26,"Q1",IF($AR16&lt;'PIM Ranges'!$BA$26,"Q2",IF($AR16&lt;'PIM Ranges'!$BB$26,"Q3",IF($AR16&lt;'PIM Ranges'!$BC$26,"Q4","Q5")))),IF('PIM Ranges'!$AK14='PIM Ranges'!$AY$27,IF($AR16&lt;'PIM Ranges'!$AZ$27,"Q1",IF($AR16&lt;'PIM Ranges'!$BA$27,"Q2",IF($AR16&lt;'PIM Ranges'!$BB$27,"Q3",IF($AR16&lt;'PIM Ranges'!$BC$27,"Q4","Q5")))),IF('PIM Ranges'!$AK14='PIM Ranges'!$AY$28,IF($AR16&lt;'PIM Ranges'!$AZ$28,"Q1",IF($AR16&lt;'PIM Ranges'!$BA$28,"Q2",IF($AR16&lt;'PIM Ranges'!$BB$28,"Q3",IF($AR16&lt;'PIM Ranges'!$BC$28,"Q4","Q5")))),IF('PIM Ranges'!$AK14='PIM Ranges'!$AY$29,IF($AR16&lt;'PIM Ranges'!$AZ$29,"Q1",IF($AR16&lt;'PIM Ranges'!$BA$29,"Q2",IF($AR16&lt;'PIM Ranges'!$BB$29,"Q3",IF($AR16&lt;'PIM Ranges'!$BC$29,"Q4","Q5")))),IF('PIM Ranges'!$AK14='PIM Ranges'!$AY$30,IF($AR16&lt;'PIM Ranges'!$AZ$30,"Q1",IF($AR16&lt;'PIM Ranges'!$BA$30,"Q2",IF($AR16&lt;'PIM Ranges'!$BB$30,"Q3",IF($AR16&lt;'PIM Ranges'!$BC$30,"Q4","Q5")))),IF('PIM Ranges'!$AK14='PIM Ranges'!$AY$31,IF($AR16&lt;'PIM Ranges'!$AZ$31,"Q1",IF($AR16&lt;'PIM Ranges'!$BA$31,"Q2",IF($AR16&lt;'PIM Ranges'!$BB$31,"Q3",IF($AR16&lt;'PIM Ranges'!$BC$31,"Q4","Q5")))),IF('PIM Ranges'!$AK14='PIM Ranges'!$AY$32,IF($AR16&lt;'PIM Ranges'!$AZ$32,"Q1",IF($AR16&lt;'PIM Ranges'!$BA$32,"Q2",IF($AR16&lt;'PIM Ranges'!$BB$32,"Q3",IF($AR16&lt;'PIM Ranges'!$BC$32,"Q4","Q5"))))))))))))))))))))))))))</f>
        <v>Q1</v>
      </c>
      <c r="AW16" s="301">
        <f>VLOOKUP($AQ16&amp;$AV16,'IMargin Quartiles'!$A:$F,6,FALSE)</f>
        <v>0.09</v>
      </c>
      <c r="AX16" s="301"/>
      <c r="AY16" s="1708" t="str">
        <f>IF('PIM Ranges'!$AK14='PIM Ranges'!$AY$11,IF('PIM Ranges'!$AL14&lt;'PIM Ranges'!$AZ$11,"Q1",IF('PIM Ranges'!$AL14&lt;'PIM Ranges'!$BA$11,"Q2",IF('PIM Ranges'!$AL14&lt;'PIM Ranges'!$BB$11,"Q3",IF('PIM Ranges'!$AL14&lt;'PIM Ranges'!$BC$11,"Q4","Q5")))),IF('PIM Ranges'!$AK14='PIM Ranges'!$AY$12,IF('PIM Ranges'!$AL14&lt;'PIM Ranges'!$AZ$12,"Q1",IF('PIM Ranges'!$AL14&lt;'PIM Ranges'!$BA$12,"Q2",IF('PIM Ranges'!$AL14&lt;'PIM Ranges'!$BB$12,"Q3",IF('PIM Ranges'!$AL14&lt;'PIM Ranges'!$BC$12,"Q4","Q5")))),IF('PIM Ranges'!$AK14='PIM Ranges'!$AY$13,IF('PIM Ranges'!$AL14&lt;'PIM Ranges'!$AZ$13,"Q1",IF('PIM Ranges'!$AL14&lt;'PIM Ranges'!$BA$13,"Q2",IF('PIM Ranges'!$AL14&lt;'PIM Ranges'!$BB$13,"Q3",IF('PIM Ranges'!$AL14&lt;'PIM Ranges'!$BC$13,"Q4","Q5")))),IF('PIM Ranges'!$AK14='PIM Ranges'!$AY$14,IF('PIM Ranges'!$AL14&lt;'PIM Ranges'!$AZ$14,"Q1",IF('PIM Ranges'!$AL14&lt;'PIM Ranges'!$BA$14,"Q2",IF('PIM Ranges'!$AL14&lt;'PIM Ranges'!$BB$14,"Q3",IF('PIM Ranges'!$AL14&lt;'PIM Ranges'!$BC$14,"Q4","Q5")))),IF('PIM Ranges'!$AK14='PIM Ranges'!$AY$15,IF('PIM Ranges'!$AL14&lt;'PIM Ranges'!$AZ$15,"Q1",IF('PIM Ranges'!$AL14&lt;'PIM Ranges'!$BA$15,"Q2",IF('PIM Ranges'!$AL14&lt;'PIM Ranges'!$BB$15,"Q3",IF('PIM Ranges'!$AL14&lt;'PIM Ranges'!$BC$15,"Q4","Q5")))),IF('PIM Ranges'!$AK14='PIM Ranges'!$AY$16,IF('PIM Ranges'!$AL14&lt;'PIM Ranges'!$AZ$16,"Q1",IF('PIM Ranges'!$AL14&lt;'PIM Ranges'!$BA$16,"Q2",IF('PIM Ranges'!$AL14&lt;'PIM Ranges'!$BB$16,"Q3",IF('PIM Ranges'!$AL14&lt;'PIM Ranges'!$BC$16,"Q4","Q5")))),IF('PIM Ranges'!$AK14='PIM Ranges'!$AY$17,IF('PIM Ranges'!$AL14&lt;'PIM Ranges'!$AZ$17,"Q1",IF('PIM Ranges'!$AL14&lt;'PIM Ranges'!$BA$17,"Q2",IF('PIM Ranges'!$AL14&lt;'PIM Ranges'!$BB$17,"Q3",IF('PIM Ranges'!$AL14&lt;'PIM Ranges'!$BC$17,"Q4","Q5")))),IF('PIM Ranges'!$AK14='PIM Ranges'!$AY$18,IF('PIM Ranges'!$AL14&lt;'PIM Ranges'!$AZ$18,"Q1",IF('PIM Ranges'!$AL14&lt;'PIM Ranges'!$BA$18,"Q2",IF('PIM Ranges'!$AL14&lt;'PIM Ranges'!$BB$18,"Q3",IF('PIM Ranges'!$AL14&lt;'PIM Ranges'!$BC$18,"Q4","Q5")))),IF('PIM Ranges'!$AK14='PIM Ranges'!$AY$19,IF('PIM Ranges'!$AL14&lt;'PIM Ranges'!$AZ$19,"Q1",IF('PIM Ranges'!$AL14&lt;'PIM Ranges'!$BA$19,"Q2",IF('PIM Ranges'!$AL14&lt;'PIM Ranges'!$BB$19,"Q3",IF('PIM Ranges'!$AL14&lt;'PIM Ranges'!$BC$19,"Q4","Q5")))),IF('PIM Ranges'!$AK14='PIM Ranges'!$AY$20,IF('PIM Ranges'!$AL14&lt;'PIM Ranges'!$AZ$20,"Q1",IF('PIM Ranges'!$AL14&lt;'PIM Ranges'!$BA$20,"Q2",IF('PIM Ranges'!$AL14&lt;'PIM Ranges'!$BB$20,"Q3",IF('PIM Ranges'!$AL14&lt;'PIM Ranges'!$BC$20,"Q4","Q5")))),IF('PIM Ranges'!$AK14='PIM Ranges'!$AY$21,IF('PIM Ranges'!$AL14&lt;'PIM Ranges'!$AZ$21,"Q1",IF('PIM Ranges'!$AL14&lt;'PIM Ranges'!$BA$21,"Q2",IF('PIM Ranges'!$AL14&lt;'PIM Ranges'!$BB$21,"Q3",IF('PIM Ranges'!$AL14&lt;'PIM Ranges'!$BC$21,"Q4","Q5")))),IF('PIM Ranges'!$AK14='PIM Ranges'!$AY$22,IF('PIM Ranges'!$AL14&lt;'PIM Ranges'!$AZ$22,"Q1",IF('PIM Ranges'!$AL14&lt;'PIM Ranges'!$BA$22,"Q2",IF('PIM Ranges'!$AL14&lt;'PIM Ranges'!$BB$22,"Q3",IF('PIM Ranges'!$AL14&lt;'PIM Ranges'!$BC$22,"Q4","Q5")))),IF('PIM Ranges'!$AK14='PIM Ranges'!$AY$23,IF('PIM Ranges'!$AL14&lt;'PIM Ranges'!$AZ$23,"Q1",IF('PIM Ranges'!$AL14&lt;'PIM Ranges'!$BA$23,"Q2",IF('PIM Ranges'!$AL14&lt;'PIM Ranges'!$BB$23,"Q3",IF('PIM Ranges'!$AL14&lt;'PIM Ranges'!$BC$23,"Q4","Q5")))),IF('PIM Ranges'!$AK14='PIM Ranges'!$AY$24,IF('PIM Ranges'!$AL14&lt;'PIM Ranges'!$AZ$24,"Q1",IF('PIM Ranges'!$AL14&lt;'PIM Ranges'!$BA$24,"Q2",IF('PIM Ranges'!$AL14&lt;'PIM Ranges'!$BB$24,"Q3",IF('PIM Ranges'!$AL14&lt;'PIM Ranges'!$BC$24,"Q4","Q5")))),IF('PIM Ranges'!$AK14='PIM Ranges'!$AY$25,IF('PIM Ranges'!$AL14&lt;'PIM Ranges'!$AZ$25,"Q1",IF('PIM Ranges'!$AL14&lt;'PIM Ranges'!$BA$25,"Q2",IF('PIM Ranges'!$AL14&lt;'PIM Ranges'!$BB$25,"Q3",IF('PIM Ranges'!$AL14&lt;'PIM Ranges'!$BC$25,"Q4","Q5")))),IF('PIM Ranges'!$AK14='PIM Ranges'!$AY$26,IF('PIM Ranges'!$AL14&lt;'PIM Ranges'!$AZ$26,"Q1",IF('PIM Ranges'!$AL14&lt;'PIM Ranges'!$BA$26,"Q2",IF('PIM Ranges'!$AL14&lt;'PIM Ranges'!$BB$26,"Q3",IF('PIM Ranges'!$AL14&lt;'PIM Ranges'!$BC$26,"Q4","Q5")))),IF('PIM Ranges'!$AK14='PIM Ranges'!$AY$27,IF('PIM Ranges'!$AL14&lt;'PIM Ranges'!$AZ$27,"Q1",IF('PIM Ranges'!$AL14&lt;'PIM Ranges'!$BA$27,"Q2",IF('PIM Ranges'!$AL14&lt;'PIM Ranges'!$BB$27,"Q3",IF('PIM Ranges'!$AL14&lt;'PIM Ranges'!$BC$27,"Q4","Q5")))),IF('PIM Ranges'!$AK14='PIM Ranges'!$AY$28,IF('PIM Ranges'!$AL14&lt;'PIM Ranges'!$AZ$28,"Q1",IF('PIM Ranges'!$AL14&lt;'PIM Ranges'!$BA$28,"Q2",IF('PIM Ranges'!$AL14&lt;'PIM Ranges'!$BB$28,"Q3",IF('PIM Ranges'!$AL14&lt;'PIM Ranges'!$BC$28,"Q4","Q5")))),IF('PIM Ranges'!$AK14='PIM Ranges'!$AY$29,IF('PIM Ranges'!$AL14&lt;'PIM Ranges'!$AZ$29,"Q1",IF('PIM Ranges'!$AL14&lt;'PIM Ranges'!$BA$29,"Q2",IF('PIM Ranges'!$AL14&lt;'PIM Ranges'!$BB$29,"Q3",IF('PIM Ranges'!$AL14&lt;'PIM Ranges'!$BC$29,"Q4","Q5")))),IF('PIM Ranges'!$AK14='PIM Ranges'!$AY$30,IF('PIM Ranges'!$AL14&lt;'PIM Ranges'!$AZ$30,"Q1",IF('PIM Ranges'!$AL14&lt;'PIM Ranges'!$BA$30,"Q2",IF('PIM Ranges'!$AL14&lt;'PIM Ranges'!$BB$30,"Q3",IF('PIM Ranges'!$AL14&lt;'PIM Ranges'!$BC$30,"Q4","Q5")))),IF('PIM Ranges'!$AK14='PIM Ranges'!$AY$31,IF('PIM Ranges'!$AL14&lt;'PIM Ranges'!$AZ$31,"Q1",IF('PIM Ranges'!$AL14&lt;'PIM Ranges'!$BA$31,"Q2",IF('PIM Ranges'!$AL14&lt;'PIM Ranges'!$BB$31,"Q3",IF('PIM Ranges'!$AL14&lt;'PIM Ranges'!$BC$31,"Q4","Q5")))),IF('PIM Ranges'!$AK14='PIM Ranges'!$AY$32,IF('PIM Ranges'!$AL14&lt;'PIM Ranges'!$AZ$32,"Q1",IF('PIM Ranges'!$AL14&lt;'PIM Ranges'!$BA$32,"Q2",IF('PIM Ranges'!$AL14&lt;'PIM Ranges'!$BB$32,"Q3",IF('PIM Ranges'!$AL14&lt;'PIM Ranges'!$BC$32,"Q4","Q5"))))))))))))))))))))))))))</f>
        <v>Q1</v>
      </c>
      <c r="AZ16" s="301">
        <f t="shared" si="31"/>
        <v>0</v>
      </c>
      <c r="BA16" s="39">
        <f>'PIM Model'!C12</f>
        <v>0</v>
      </c>
      <c r="BB16" s="301"/>
      <c r="BC16" s="301"/>
      <c r="BD16" s="301" t="e">
        <f t="shared" ref="BD16:BD34" si="72">IF($BA16="AVG",IFERROR((AL16+AS16)/(AK16+AR16),AZ16),(AL16+AS16)/(AK16+AR16))</f>
        <v>#DIV/0!</v>
      </c>
      <c r="BE16" s="301"/>
      <c r="BF16" s="301"/>
      <c r="BG16" s="105">
        <v>5</v>
      </c>
      <c r="BH16" s="18">
        <f t="array" ref="BH16">IF('Customer Inputs'!$W$6="End",0,IFERROR(IF($BU16="SEGMENT",INDEX('Margin Guidence Table'!$A$1:$AG$10000,MATCH(1,('Margin Guidence Table'!$A$1:$A$10000=$BS16)*('Margin Guidence Table'!$I$1:$I$10000&lt;=ROUND($BK$3,0))*('Margin Guidence Table'!$J$1:$J$10000&gt;=ROUND($BK$3,0)),0),MATCH("PCT_SALES",'Margin Guidence Table'!$A$1:$AG$1,0)),INDEX('Margin Guidence Table'!$A$1:$AG$10000,MATCH(1,('Margin Guidence Table'!$A$1:$A$10000=$BS16)*('Margin Guidence Table'!$I$1:$I$10000&lt;=ROUND($BK$3,0))*('Margin Guidence Table'!$J$1:$J$10000&gt;=ROUND($BK$3,0)),0),MATCH("DEFAULT_PCT_SALES",'Margin Guidence Table'!$A$1:$AG$1,0))),0))</f>
        <v>0</v>
      </c>
      <c r="BI16" s="297" t="e">
        <f t="shared" si="32"/>
        <v>#DIV/0!</v>
      </c>
      <c r="BJ16" s="99" t="s">
        <v>1296</v>
      </c>
      <c r="BK16" s="91">
        <f>IF('Customer Inputs'!$W$6="End",0,IFERROR(IF(AND($BK$2&lt;&gt;"Enter Spend&gt;&gt;&gt;",$BL$2="EXISTING"),SUMIFS('Existing Customers'!$Q:$Q,'Existing Customers'!$A:$A,$BK$1,'Existing Customers'!$H:$H,$BJ16)*$BK$4,$BK$3*$BI16),0))</f>
        <v>0</v>
      </c>
      <c r="BL16" s="92">
        <f>IF('Customer Inputs'!$W$6="End",0,IFERROR(IF(AND($BK$2&lt;&gt;"Enter Spend&gt;&gt;&gt;",$BL$2="EXISTING"),SUMIFS('Existing Customers'!$N:$N,'Existing Customers'!$A:$A,$BK$1,'Existing Customers'!$H:$H,$BJ16)*$BK$4,$BK16/$BV16),0))</f>
        <v>0</v>
      </c>
      <c r="BM16" s="92">
        <f>IF('Customer Inputs'!$W$6="End",0,IFERROR(IF(AND($BK$2&lt;&gt;"Enter Spend&gt;&gt;&gt;",$BL$2="EXISTING"),SUMIFS('Existing Customers'!$O:$O,'Existing Customers'!$H:$H,$BJ16,'Existing Customers'!$A:$A,$BK$1)*$BK$4,$BL16*$BK$8),0))</f>
        <v>0</v>
      </c>
      <c r="BN16" s="92">
        <f>IF('Customer Inputs'!$W$6="End",0,IFERROR(IF(AND($BK$2&lt;&gt;"Enter Spend&gt;&gt;&gt;",$BL$2="EXISTING"),SUMIFS('Existing Customers'!$P:$P,'Existing Customers'!$A:$A,$BK$1,'Existing Customers'!$H:$H,$BJ16)*$BK$4,$BK16/$BW16),0))</f>
        <v>0</v>
      </c>
      <c r="BO16" s="303">
        <f>IF('Customer Inputs'!$W$6="End",0,IFERROR(IF(AND($BK$2&lt;&gt;"Enter Spend&gt;&gt;&gt;",$BL$2="EXISTING"),SUMIFS('Existing Customers'!$V:$V,'Existing Customers'!$H:$H,$BJ16,'Existing Customers'!$A:$A,$BK$1)*$BK$4,0),0))</f>
        <v>0</v>
      </c>
      <c r="BP16" s="93">
        <f>IF('Customer Inputs'!$W$6="End",0,IFERROR(IF(AND($BK$2&lt;&gt;"Enter Spend&gt;&gt;&gt;",$BL$2="EXISTING"),SUMIFS('Existing Customers'!$R:$R,'Existing Customers'!$H:$H,$BJ16,'Existing Customers'!$A:$A,$BK$1)*$BK$4,0),0))</f>
        <v>0</v>
      </c>
      <c r="BQ16" s="93">
        <f>IF('Customer Inputs'!$W$6="End",0,IFERROR(IF(AND($BK$2&lt;&gt;"Enter Spend&gt;&gt;&gt;",$BL$2="EXISTING"),SUMIFS('Existing Customers'!$S:$S,'Existing Customers'!$H:$H,$BJ16,'Existing Customers'!$A:$A,$BK$1)/SUMIFS('Existing Customers'!$Q:$Q,'Existing Customers'!$A:$A,$BK$1,'Existing Customers'!$H:$H,$BJ16),CA16),0))</f>
        <v>0</v>
      </c>
      <c r="BR16" s="93">
        <f>IF('Customer Inputs'!$W$6="End",0,IFERROR(IF(AND($BK$2&lt;&gt;"Enter Spend&gt;&gt;&gt;",$BL$2="EXISTING"),SUMIFS('Existing Customers'!$U:$U,'Existing Customers'!$H:$H,$BJ16,'Existing Customers'!$A:$A,$BK$1)/SUMIFS('Existing Customers'!$Q:$Q,'Existing Customers'!$A:$A,$BK$1,'Existing Customers'!$H:$H,$BJ16),CB16),0))</f>
        <v>0</v>
      </c>
      <c r="BS16" s="782" t="e">
        <f>_xlfn.CONCAT('Customer Inputs'!$AH$6,"_",BJ16)</f>
        <v>#N/A</v>
      </c>
      <c r="BT16" s="783">
        <f t="array" ref="BT16">IF('Customer Inputs'!$W$6="End",0,IFERROR(INDEX('Margin Guidence Table'!$A$1:$AG$10000,MATCH(1,('Margin Guidence Table'!$A$1:$A$10000=$BS16)*('Margin Guidence Table'!$I$1:$I$10000&lt;=ROUND($BK$3,0))*('Margin Guidence Table'!$J$1:$J$10000&gt;=ROUND($BK$3,0)),0),MATCH("DATA_POINTS",'Margin Guidence Table'!$A$1:$AG$1,0)),0))</f>
        <v>0</v>
      </c>
      <c r="BU16" s="780" t="str">
        <f t="shared" si="33"/>
        <v>DEFAULT</v>
      </c>
      <c r="BV16" s="780">
        <f t="array" ref="BV16">IF('Customer Inputs'!$W$6="End",0,IFERROR(IF($BU16="SEGMENT",INDEX('Margin Guidence Table'!$A$1:$AG$10000,MATCH(1,('Margin Guidence Table'!$A$1:$A$10000=$BS16)*('Margin Guidence Table'!$I$1:$I$10000&lt;=ROUND($BK$3,0))*('Margin Guidence Table'!$J$1:$J$10000&gt;=ROUND($BK$3,0)),0),MATCH("SALES_CASE",'Margin Guidence Table'!$A$1:$AG$1,0)),INDEX('Margin Guidence Table'!$A$1:$AG$10000,MATCH(1,('Margin Guidence Table'!$A$1:$A$10000=$BS16)*('Margin Guidence Table'!$I$1:$I$10000&lt;=ROUND($BK$3,0))*('Margin Guidence Table'!$J$1:$J$10000&gt;=ROUND($BK$3,0)),0),MATCH("DEFAULT_SALES_CASE",'Margin Guidence Table'!$A$1:$AG$1,0))),0))</f>
        <v>0</v>
      </c>
      <c r="BW16" s="780">
        <f t="array" ref="BW16">IF('Customer Inputs'!$W$6="End",0,IFERROR(IF($BU16="SEGMENT",INDEX('Margin Guidence Table'!$A$1:$AG$10000,MATCH(1,('Margin Guidence Table'!$A$1:$A$10000=$BS16)*('Margin Guidence Table'!$I$1:$I$10000&lt;=ROUND($BK$3,0))*('Margin Guidence Table'!$J$1:$J$10000&gt;=ROUND($BK$3,0)),0),MATCH("SALES_LBS",'Margin Guidence Table'!$A$1:$AG$1,0)),INDEX('Margin Guidence Table'!$A$1:$AG$10000,MATCH(1,('Margin Guidence Table'!$A$1:$A$10000=$BS16)*('Margin Guidence Table'!$I$1:$I$10000&lt;=ROUND($BK$3,0))*('Margin Guidence Table'!$J$1:$J$10000&gt;=ROUND($BK$3,0)),0),MATCH("DEFAULT_SALES_LBS",'Margin Guidence Table'!$A$1:$AG$1,0))),0))</f>
        <v>0</v>
      </c>
      <c r="BX16" s="784">
        <f t="array" ref="BX16">IF('Customer Inputs'!$W$6="End",0,IFERROR(IF($BU16="SEGMENT",INDEX('Margin Guidence Table'!$A$1:$AG$10000,MATCH(1,('Margin Guidence Table'!$A$1:$A$10000=$BS16)*('Margin Guidence Table'!$I$1:$I$10000&lt;=ROUND($BK$3,0))*('Margin Guidence Table'!$J$1:$J$10000&gt;=ROUND($BK$3,0)),0),MATCH("MDA_MIN_MARGIN_GUIDENCE",'Margin Guidence Table'!$A$1:$AG$1,0)),INDEX('Margin Guidence Table'!$A$1:$AG$10000,MATCH(1,('Margin Guidence Table'!$A$1:$A$10000=$BS16)*('Margin Guidence Table'!$I$1:$I$10000&lt;=ROUND($BK$3,0))*('Margin Guidence Table'!$J$1:$J$10000&gt;=ROUND($BK$3,0)),0),MATCH("DEFAULT_MDA_MIN_MARGIN_GUIDENCE",'Margin Guidence Table'!$A$1:$AG$1,0))),0))</f>
        <v>0</v>
      </c>
      <c r="BY16" s="784">
        <f t="array" ref="BY16">IF('Customer Inputs'!$W$6="End",0,IFERROR(IF($BU16="SEGMENT",INDEX('Margin Guidence Table'!$A$1:$AG$10000,MATCH(1,('Margin Guidence Table'!$A$1:$A$10000=$BS16)*('Margin Guidence Table'!$I$1:$I$10000&lt;=ROUND($BK$3,0))*('Margin Guidence Table'!$J$1:$J$10000&gt;=ROUND($BK$3,0)),0),MATCH("MDA_MEDIAN_MARGIN_GUIDENCE",'Margin Guidence Table'!$A$1:$AG$1,0)),INDEX('Margin Guidence Table'!$A$1:$AG$10000,MATCH(1,('Margin Guidence Table'!$A$1:$A$10000=$BS16)*('Margin Guidence Table'!$I$1:$I$10000&lt;=ROUND($BK$3,0))*('Margin Guidence Table'!$J$1:$J$10000&gt;=ROUND($BK$3,0)),0),MATCH("DEFAULT_MDA_MEDIAN_MARGIN_GUIDENCE",'Margin Guidence Table'!$A$1:$AG$1,0))),0))</f>
        <v>0</v>
      </c>
      <c r="BZ16" s="784">
        <f t="array" ref="BZ16">IF('Customer Inputs'!$W$6="End",0,IFERROR(IF($BU16="SEGMENT",INDEX('Margin Guidence Table'!$A$1:$AG$10000,MATCH(1,('Margin Guidence Table'!$A$1:$A$10000=$BS16)*('Margin Guidence Table'!$I$1:$I$10000&lt;=ROUND($BK$3,0))*('Margin Guidence Table'!$J$1:$J$10000&gt;=ROUND($BK$3,0)),0),MATCH("MDA_MAX_MARGIN_GUIDENCE",'Margin Guidence Table'!$A$1:$AG$1,0)),INDEX('Margin Guidence Table'!$A$1:$AG$10000,MATCH(1,('Margin Guidence Table'!$A$1:$A$10000=$BS16)*('Margin Guidence Table'!$I$1:$I$10000&lt;=ROUND($BK$3,0))*('Margin Guidence Table'!$J$1:$J$10000&gt;=ROUND($BK$3,0)),0),MATCH("DEFAULT_MDA_MAX_MARGIN_GUIDENCE",'Margin Guidence Table'!$A$1:$AG$1,0))),0))</f>
        <v>0</v>
      </c>
      <c r="CA16" s="784">
        <f t="array" ref="CA16">IF('Customer Inputs'!$W$6="End",0,IFERROR(IF($BU16="SEGMENT",INDEX('Margin Guidence Table'!$A$1:$AG$10000,MATCH(1,('Margin Guidence Table'!$A$1:$A$10000=$BS16)*('Margin Guidence Table'!$I$1:$I$10000&lt;=ROUND($BK$3,0))*('Margin Guidence Table'!$J$1:$J$10000&gt;=ROUND($BK$3,0)),0),MATCH("PA_PCT_SALES",'Margin Guidence Table'!$A$1:$AG$1,0)),INDEX('Margin Guidence Table'!$A$1:$AG$10000,MATCH(1,('Margin Guidence Table'!$A$1:$A$10000=$BS16)*('Margin Guidence Table'!$I$1:$I$10000&lt;=ROUND($BK$3,0))*('Margin Guidence Table'!$J$1:$J$10000&gt;=ROUND($BK$3,0)),0),MATCH("DEFAULT_PA_PCT_SALES",'Margin Guidence Table'!$A$1:$AG$1,0))),0))</f>
        <v>0</v>
      </c>
      <c r="CB16" s="784">
        <f t="array" ref="CB16">IF('Customer Inputs'!$W$6="End",0,IFERROR(IF($BU16="SEGMENT",INDEX('Margin Guidence Table'!$A$1:$AG$10000,MATCH(1,('Margin Guidence Table'!$A$1:$A$10000=$BS16)*('Margin Guidence Table'!$I$1:$I$10000&lt;=ROUND($BK$3,0))*('Margin Guidence Table'!$J$1:$J$10000&gt;=ROUND($BK$3,0)),0),MATCH("SELF_FUND_PCT_SALES",'Margin Guidence Table'!$A$1:$AG$1,0)),INDEX('Margin Guidence Table'!$A$1:$AG$10000,MATCH(1,('Margin Guidence Table'!$A$1:$A$10000=$BS16)*('Margin Guidence Table'!$I$1:$I$10000&lt;=ROUND($BK$3,0))*('Margin Guidence Table'!$J$1:$J$10000&gt;=ROUND($BK$3,0)),0),MATCH("DEFAULT_SELF_FUND_PCT_SALES",'Margin Guidence Table'!$A$1:$AG$1,0))),0))</f>
        <v>0</v>
      </c>
      <c r="CC16" s="784">
        <f t="array" ref="CC16">IF('Customer Inputs'!$W$6="End",0,IF($BL$2="Existing",IFERROR(SUMIFS('Existing Customers'!$V:$V,'Existing Customers'!$H:$H,$BJ16,'Existing Customers'!$A:$A,$BK$1)/SUMIFS('Existing Customers'!$Q:$Q,'Existing Customers'!$H:$H,$BJ16,'Existing Customers'!$A:$A,$BK$1),0),IFERROR(IF($BU16="SEGMENT",INDEX('Margin Guidence Table'!$A$1:$AG$10000,MATCH(1,('Margin Guidence Table'!$A$1:$A$10000=$BS16)*('Margin Guidence Table'!$I$1:$I$10000&lt;=ROUND($BK$3,0))*('Margin Guidence Table'!$J$1:$J$10000&gt;=ROUND($BK$3,0)),0),MATCH("CIA_MEDIAN_MARGIN_GUIDENCE",'Margin Guidence Table'!$A$1:$AG$1,0)),INDEX('Margin Guidence Table'!$A$1:$AG$10000,MATCH(1,('Margin Guidence Table'!$A$1:$A$10000=$BS16)*('Margin Guidence Table'!$I$1:$I$10000&lt;=ROUND($BK$3,0))*('Margin Guidence Table'!$J$1:$J$10000&gt;=ROUND($BK$3,0)),0),MATCH("DEFAULT_CIA_MEDIAN_MARGIN_GUIDENCE",'Margin Guidence Table'!$A$1:$AG$1,0))),0)))</f>
        <v>0</v>
      </c>
      <c r="CD16" s="126"/>
      <c r="CE16" s="18">
        <f t="array" ref="CE16">IF('Customer Inputs'!$W$7="End",0,IFERROR(IF($CR16="SEGMENT",INDEX('Margin Guidence Table'!$A$1:$AG$10000,MATCH(1,('Margin Guidence Table'!$A$1:$A$10000=$CP16)*('Margin Guidence Table'!$I$1:$I$10000&lt;=ROUND($CH$3,0))*('Margin Guidence Table'!$J$1:$J$10000&gt;=ROUND($CH$3,0)),0),MATCH("PCT_SALES",'Margin Guidence Table'!$A$1:$AG$1,0)),INDEX('Margin Guidence Table'!$A$1:$AG$10000,MATCH(1,('Margin Guidence Table'!$A$1:$A$10000=$CP16)*('Margin Guidence Table'!$I$1:$I$10000&lt;=ROUND($CH$3,0))*('Margin Guidence Table'!$J$1:$J$10000&gt;=ROUND($CH$3,0)),0),MATCH("DEFAULT_PCT_SALES",'Margin Guidence Table'!$A$1:$AG$1,0))),0))</f>
        <v>0</v>
      </c>
      <c r="CF16" s="297" t="e">
        <f t="shared" si="34"/>
        <v>#DIV/0!</v>
      </c>
      <c r="CG16" s="99" t="s">
        <v>1296</v>
      </c>
      <c r="CH16" s="91">
        <f>IF('Customer Inputs'!$W$7="End",0,IFERROR(IF(AND($CH$2&lt;&gt;"Enter Spend&gt;&gt;&gt;",$CI$2="EXISTING"),SUMIFS('Existing Customers'!$Q:$Q,'Existing Customers'!$A:$A,$CH$1,'Existing Customers'!$H:$H,$CG16)*$CH$4,$CH$3*$CF16),0))</f>
        <v>0</v>
      </c>
      <c r="CI16" s="86">
        <f>IF('Customer Inputs'!$W$7="End",0,IFERROR(IF(AND($CH$2&lt;&gt;"Enter Spend&gt;&gt;&gt;",$CI$2="EXISTING"),SUMIFS('Existing Customers'!$N:$N,'Existing Customers'!$A:$A,$CH$1,'Existing Customers'!$H:$H,$CG16)*$CH$4,$CH16/$CS16),0))</f>
        <v>0</v>
      </c>
      <c r="CJ16" s="92">
        <f>IF('Customer Inputs'!$W$7="End",0,IFERROR(IF(AND($CH$2&lt;&gt;"Enter Spend&gt;&gt;&gt;",$CI$2="EXISTING"),SUMIFS('Existing Customers'!$O:$O,'Existing Customers'!$H:$H,$CG16,'Existing Customers'!$A:$A,$CH$1)*$CH$4,$CI16*$CH$8),0))</f>
        <v>0</v>
      </c>
      <c r="CK16" s="92">
        <f>IF('Customer Inputs'!$W$7="End",0,IFERROR(IF(AND($CH$2&lt;&gt;"Enter Spend&gt;&gt;&gt;",$CI$2="EXISTING"),SUMIFS('Existing Customers'!$P:$P,'Existing Customers'!$A:$A,$CH$1,'Existing Customers'!$H:$H,$CG16)*$CH$4,$CH16/$CT16),0))</f>
        <v>0</v>
      </c>
      <c r="CL16" s="93">
        <f>IF('Customer Inputs'!$W$7="End",0,IFERROR(IF(AND($CH$2&lt;&gt;"Enter Spend&gt;&gt;&gt;",$CI$2="EXISTING"),SUMIFS('Existing Customers'!$V:$V,'Existing Customers'!$H:$H,$CG16,'Existing Customers'!$A:$A,$CH$1)*$CH$4,0),0))</f>
        <v>0</v>
      </c>
      <c r="CM16" s="93">
        <f>IF('Customer Inputs'!$W$7="End",0,IFERROR(IF(AND($CH$2&lt;&gt;"Enter Spend&gt;&gt;&gt;",$CI$2="EXISTING"),SUMIFS('Existing Customers'!$R:$R,'Existing Customers'!$H:$H,$CG16,'Existing Customers'!$A:$A,$CH$1)*$CH$4,0),0))</f>
        <v>0</v>
      </c>
      <c r="CN16" s="780">
        <f>IF('Customer Inputs'!$W$7="End",0,IFERROR(IF(AND($CH$2&lt;&gt;"Enter Spend&gt;&gt;&gt;",$CI$2="EXISTING"),SUMIFS('Existing Customers'!$S:$S,'Existing Customers'!$H:$H,$CG16,'Existing Customers'!$A:$A,$CH$1)/SUMIFS('Existing Customers'!$Q:$Q,'Existing Customers'!$A:$A,$CH$1,'Existing Customers'!$H:$H,$CG16),CX16),0))</f>
        <v>0</v>
      </c>
      <c r="CO16" s="780">
        <f>IF('Customer Inputs'!$W$7="End",0,IFERROR(IF(AND($CH$2&lt;&gt;"Enter Spend&gt;&gt;&gt;",$CI$2="EXISTING"),SUMIFS('Existing Customers'!$U:$U,'Existing Customers'!$H:$H,$CG16,'Existing Customers'!$A:$A,$CH$1)/SUMIFS('Existing Customers'!$Q:$Q,'Existing Customers'!$A:$A,$CH$1,'Existing Customers'!$H:$H,$CG16),CY16),0))</f>
        <v>0</v>
      </c>
      <c r="CP16" s="783" t="e">
        <f>_xlfn.CONCAT('Customer Inputs'!$AH$7,"_",CG16)</f>
        <v>#N/A</v>
      </c>
      <c r="CQ16" s="783">
        <f t="array" ref="CQ16">IFERROR(INDEX('Margin Guidence Table'!$A$1:$AG$10000,MATCH(1,('Margin Guidence Table'!$A$1:$A$10000=$CP16)*('Margin Guidence Table'!$I$1:$I$10000&lt;=ROUND($CH$3,0))*('Margin Guidence Table'!$J$1:$J$10000&gt;=ROUND($CH$3,0)),0),MATCH("DATA_POINTS",'Margin Guidence Table'!$A$1:$AG$1,0)),0)</f>
        <v>0</v>
      </c>
      <c r="CR16" s="780" t="str">
        <f t="shared" si="35"/>
        <v>DEFAULT</v>
      </c>
      <c r="CS16" s="780">
        <f t="array" ref="CS16">IF('Customer Inputs'!$W$7="End",0,IFERROR(IF($CR16="SEGMENT",INDEX('Margin Guidence Table'!$A$1:$AG$10000,MATCH(1,('Margin Guidence Table'!$A$1:$A$10000=$CP16)*('Margin Guidence Table'!$I$1:$I$10000&lt;=ROUND($CH$3,0))*('Margin Guidence Table'!$J$1:$J$10000&gt;=ROUND($CH$3,0)),0),MATCH("SALES_CASE",'Margin Guidence Table'!$A$1:$AG$1,0)),INDEX('Margin Guidence Table'!$A$1:$AG$10000,MATCH(1,('Margin Guidence Table'!$A$1:$A$10000=$CP16)*('Margin Guidence Table'!$I$1:$I$10000&lt;=ROUND($CH$3,0))*('Margin Guidence Table'!$J$1:$J$10000&gt;=ROUND($CH$3,0)),0),MATCH("DEFAULT_SALES_CASE",'Margin Guidence Table'!$A$1:$AG$1,0))),0))</f>
        <v>0</v>
      </c>
      <c r="CT16" s="780">
        <f t="array" ref="CT16">IF('Customer Inputs'!$W$7="End",0,IFERROR(IF($CR16="SEGMENT",INDEX('Margin Guidence Table'!$A$1:$AG$10000,MATCH(1,('Margin Guidence Table'!$A$1:$A$10000=$CP16)*('Margin Guidence Table'!$I$1:$I$10000&lt;=ROUND($CH$3,0))*('Margin Guidence Table'!$J$1:$J$10000&gt;=ROUND($CH$3,0)),0),MATCH("SALES_LBS",'Margin Guidence Table'!$A$1:$AG$1,0)),INDEX('Margin Guidence Table'!$A$1:$AG$10000,MATCH(1,('Margin Guidence Table'!$A$1:$A$10000=$CP16)*('Margin Guidence Table'!$I$1:$I$10000&lt;=ROUND($CH$3,0))*('Margin Guidence Table'!$J$1:$J$10000&gt;=ROUND($CH$3,0)),0),MATCH("DEFAULT_SALES_LBS",'Margin Guidence Table'!$A$1:$AG$1,0))),0))</f>
        <v>0</v>
      </c>
      <c r="CU16" s="784">
        <f t="array" ref="CU16">IF('Customer Inputs'!$W$7="End",0,IFERROR(IF($CR16="SEGMENT",INDEX('Margin Guidence Table'!$A$1:$AG$10000,MATCH(1,('Margin Guidence Table'!$A$1:$A$10000=$CP16)*('Margin Guidence Table'!$I$1:$I$10000&lt;=ROUND($CH$3,0))*('Margin Guidence Table'!$J$1:$J$10000&gt;=ROUND($CH$3,0)),0),MATCH("MDA_MIN_MARGIN_GUIDENCE",'Margin Guidence Table'!$A$1:$AG$1,0)),INDEX('Margin Guidence Table'!$A$1:$AG$10000,MATCH(1,('Margin Guidence Table'!$A$1:$A$10000=$CP16)*('Margin Guidence Table'!$I$1:$I$10000&lt;=ROUND($CH$3,0))*('Margin Guidence Table'!$J$1:$J$10000&gt;=ROUND($CH$3,0)),0),MATCH("DEFAULT_MDA_MIN_MARGIN_GUIDENCE",'Margin Guidence Table'!$A$1:$AG$1,0))),0))</f>
        <v>0</v>
      </c>
      <c r="CV16" s="784">
        <f t="array" ref="CV16">IF('Customer Inputs'!$W$7="End",0,IFERROR(IF($CR16="SEGMENT",INDEX('Margin Guidence Table'!$A$1:$AG$10000,MATCH(1,('Margin Guidence Table'!$A$1:$A$10000=$CP16)*('Margin Guidence Table'!$I$1:$I$10000&lt;=ROUND($CH$3,0))*('Margin Guidence Table'!$J$1:$J$10000&gt;=ROUND($CH$3,0)),0),MATCH("MDA_MEDIAN_MARGIN_GUIDENCE",'Margin Guidence Table'!$A$1:$AG$1,0)),INDEX('Margin Guidence Table'!$A$1:$AG$10000,MATCH(1,('Margin Guidence Table'!$A$1:$A$10000=$CP16)*('Margin Guidence Table'!$I$1:$I$10000&lt;=ROUND($CH$3,0))*('Margin Guidence Table'!$J$1:$J$10000&gt;=ROUND($CH$3,0)),0),MATCH("DEFAULT_MDA_MEDIAN_MARGIN_GUIDENCE",'Margin Guidence Table'!$A$1:$AG$1,0))),0))</f>
        <v>0</v>
      </c>
      <c r="CW16" s="784">
        <f t="array" ref="CW16">IF('Customer Inputs'!$W$7="End",0,IFERROR(IF($CR16="SEGMENT",INDEX('Margin Guidence Table'!$A$1:$AG$10000,MATCH(1,('Margin Guidence Table'!$A$1:$A$10000=$CP16)*('Margin Guidence Table'!$I$1:$I$10000&lt;=ROUND($CH$3,0))*('Margin Guidence Table'!$J$1:$J$10000&gt;=ROUND($CH$3,0)),0),MATCH("MDA_MAX_MARGIN_GUIDENCE",'Margin Guidence Table'!$A$1:$AG$1,0)),INDEX('Margin Guidence Table'!$A$1:$AG$10000,MATCH(1,('Margin Guidence Table'!$A$1:$A$10000=$CP16)*('Margin Guidence Table'!$I$1:$I$10000&lt;=ROUND($CH$3,0))*('Margin Guidence Table'!$J$1:$J$10000&gt;=ROUND($CH$3,0)),0),MATCH("DEFAULT_MDA_MAX_MARGIN_GUIDENCE",'Margin Guidence Table'!$A$1:$AG$1,0))),0))</f>
        <v>0</v>
      </c>
      <c r="CX16" s="784">
        <f t="array" ref="CX16">IF('Customer Inputs'!$W$7="End",0,IFERROR(IF($CR16="SEGMENT",INDEX('Margin Guidence Table'!$A$1:$AG$10000,MATCH(1,('Margin Guidence Table'!$A$1:$A$10000=$CP16)*('Margin Guidence Table'!$I$1:$I$10000&lt;=ROUND($CH$3,0))*('Margin Guidence Table'!$J$1:$J$10000&gt;=ROUND($CH$3,0)),0),MATCH("PA_PCT_SALES",'Margin Guidence Table'!$A$1:$AG$1,0)),INDEX('Margin Guidence Table'!$A$1:$AG$10000,MATCH(1,('Margin Guidence Table'!$A$1:$A$10000=$CP16)*('Margin Guidence Table'!$I$1:$I$10000&lt;=ROUND($CH$3,0))*('Margin Guidence Table'!$J$1:$J$10000&gt;=ROUND($CH$3,0)),0),MATCH("DEFAULT_PA_PCT_SALES",'Margin Guidence Table'!$A$1:$AG$1,0))),0))</f>
        <v>0</v>
      </c>
      <c r="CY16" s="784">
        <f t="array" ref="CY16">IF('Customer Inputs'!$W$7="End",0,IFERROR(IF($CR16="SEGMENT",INDEX('Margin Guidence Table'!$A$1:$AG$10000,MATCH(1,('Margin Guidence Table'!$A$1:$A$10000=$CP16)*('Margin Guidence Table'!$I$1:$I$10000&lt;=ROUND($CH$3,0))*('Margin Guidence Table'!$J$1:$J$10000&gt;=ROUND($CH$3,0)),0),MATCH("SELF_FUND_PCT_SALES",'Margin Guidence Table'!$A$1:$AG$1,0)),INDEX('Margin Guidence Table'!$A$1:$AG$10000,MATCH(1,('Margin Guidence Table'!$A$1:$A$10000=$CP16)*('Margin Guidence Table'!$I$1:$I$10000&lt;=ROUND($CH$3,0))*('Margin Guidence Table'!$J$1:$J$10000&gt;=ROUND($CH$3,0)),0),MATCH("DEFAULT_SELF_FUND_PCT_SALES",'Margin Guidence Table'!$A$1:$AG$1,0))),0))</f>
        <v>0</v>
      </c>
      <c r="CZ16" s="784">
        <f t="array" ref="CZ16">IF('Customer Inputs'!$W$7="End",0,IF($CI$2="Existing",IFERROR(SUMIFS('Existing Customers'!$V:$V,'Existing Customers'!$H:$H,$CG16,'Existing Customers'!$A:$A,$CH$1)/SUMIFS('Existing Customers'!$Q:$Q,'Existing Customers'!$H:$H,$CG16,'Existing Customers'!$A:$A,$CH$1),0),IFERROR(IF($CR16="SEGMENT",INDEX('Margin Guidence Table'!$A$1:$AG$10000,MATCH(1,('Margin Guidence Table'!$A$1:$A$10000=$CP16)*('Margin Guidence Table'!$I$1:$I$10000&lt;=ROUND($CH$3,0))*('Margin Guidence Table'!$J$1:$J$10000&gt;=ROUND($CH$3,0)),0),MATCH("CIA_MEDIAN_MARGIN_GUIDENCE",'Margin Guidence Table'!$A$1:$AG$1,0)),INDEX('Margin Guidence Table'!$A$1:$AG$10000,MATCH(1,('Margin Guidence Table'!$A$1:$A$10000=$CP16)*('Margin Guidence Table'!$I$1:$I$10000&lt;=ROUND($CH$3,0))*('Margin Guidence Table'!$J$1:$J$10000&gt;=ROUND($CH$3,0)),0),MATCH("DEFAULT_CIA_MEDIAN_MARGIN_GUIDENCE",'Margin Guidence Table'!$A$1:$AG$1,0))),0)))</f>
        <v>0</v>
      </c>
      <c r="DA16" s="126"/>
      <c r="DB16" s="18">
        <f t="array" ref="DB16">IF('Customer Inputs'!$W$8="End",0,IFERROR(IF($DO16="SEGMENT",INDEX('Margin Guidence Table'!$A$1:$AG$10000,MATCH(1,('Margin Guidence Table'!$A$1:$A$10000=$DM16)*('Margin Guidence Table'!$I$1:$I$10000&lt;=ROUND($DE$3,0))*('Margin Guidence Table'!$J$1:$J$10000&gt;=ROUND($DE$3,0)),0),MATCH("PCT_SALES",'Margin Guidence Table'!$A$1:$AG$1,0)),INDEX('Margin Guidence Table'!$A$1:$AG$10000,MATCH(1,('Margin Guidence Table'!$A$1:$A$10000=$DM16)*('Margin Guidence Table'!$I$1:$I$10000&lt;=ROUND($DE$3,0))*('Margin Guidence Table'!$J$1:$J$10000&gt;=ROUND($DE$3,0)),0),MATCH("DEFAULT_PCT_SALES",'Margin Guidence Table'!$A$1:$AG$1,0))),0))</f>
        <v>0</v>
      </c>
      <c r="DC16" s="297" t="e">
        <f t="shared" si="36"/>
        <v>#DIV/0!</v>
      </c>
      <c r="DD16" s="99" t="s">
        <v>1296</v>
      </c>
      <c r="DE16" s="91">
        <f>IF('Customer Inputs'!$W$8="End",0,IFERROR(IF(AND($DE$2&lt;&gt;"Enter Spend&gt;&gt;&gt;",$DF$2="EXISTING"),SUMIFS('Existing Customers'!$Q:$Q,'Existing Customers'!$A:$A,$DE$1,'Existing Customers'!$H:$H,$DD16)*$DE$4,$DE$3*$DC16),0))</f>
        <v>0</v>
      </c>
      <c r="DF16" s="86">
        <f>IF('Customer Inputs'!$W$8="End",0,IFERROR(IF(AND($DE$2&lt;&gt;"Enter Spend&gt;&gt;&gt;",$DF$2="EXISTING"),SUMIFS('Existing Customers'!$N:$N,'Existing Customers'!$A:$A,$DE$1,'Existing Customers'!$H:$H,$DD16)*$DE$4,$DE16/$DP16),0))</f>
        <v>0</v>
      </c>
      <c r="DG16" s="92">
        <f>IF('Customer Inputs'!$W$8="End",0,IFERROR(IF(AND($DE$2&lt;&gt;"Enter Spend&gt;&gt;&gt;",$DF$2="EXISTING"),SUMIFS('Existing Customers'!$O:$O,'Existing Customers'!$H:$H,$DD16,'Existing Customers'!$A:$A,$DE$1)*$DE$4,$DF16*$DE$8),0))</f>
        <v>0</v>
      </c>
      <c r="DH16" s="92">
        <f>IF('Customer Inputs'!$W$8="End",0,IFERROR(IF(AND($DE$2&lt;&gt;"Enter Spend&gt;&gt;&gt;",$DF$2="EXISTING"),SUMIFS('Existing Customers'!$P:$P,'Existing Customers'!$A:$A,$DE$1,'Existing Customers'!$H:$H,$DD16)*$DE$4,$DE16/$DQ16),0))</f>
        <v>0</v>
      </c>
      <c r="DI16" s="93">
        <f>IF('Customer Inputs'!$W$8="End",0,IFERROR(IF(AND($DE$2&lt;&gt;"Enter Spend&gt;&gt;&gt;",$DF$2="EXISTING"),SUMIFS('Existing Customers'!$V:$V,'Existing Customers'!$H:$H,$DD16,'Existing Customers'!$A:$A,$DE$1)*$DE$4,0),0))</f>
        <v>0</v>
      </c>
      <c r="DJ16" s="93">
        <f>IF('Customer Inputs'!$W$8="End",0,IFERROR(IF(AND($DE$2&lt;&gt;"Enter Spend&gt;&gt;&gt;",$DF$2="EXISTING"),SUMIFS('Existing Customers'!$R:$R,'Existing Customers'!$H:$H,$DD16,'Existing Customers'!$A:$A,$DE$1)*$DE$4,0),0))</f>
        <v>0</v>
      </c>
      <c r="DK16" s="780">
        <f>IF('Customer Inputs'!$W$8="End",0,IFERROR(IF(AND($DE$2&lt;&gt;"Enter Spend&gt;&gt;&gt;",$DF$2="EXISTING"),SUMIFS('Existing Customers'!$S:$S,'Existing Customers'!$H:$H,$DD16,'Existing Customers'!$A:$A,$DE$1)/SUMIFS('Existing Customers'!$Q:$Q,'Existing Customers'!$A:$A,$DE$1,'Existing Customers'!$H:$H,$DD16),DU16),0))</f>
        <v>0</v>
      </c>
      <c r="DL16" s="780">
        <f>IF('Customer Inputs'!$W$8="End",0,IFERROR(IF(AND($DE$2&lt;&gt;"Enter Spend&gt;&gt;&gt;",$DF$2="EXISTING"),SUMIFS('Existing Customers'!$U:$U,'Existing Customers'!$H:$H,$DD16,'Existing Customers'!$A:$A,$DE$1)/SUMIFS('Existing Customers'!$Q:$Q,'Existing Customers'!$A:$A,$DE$1,'Existing Customers'!$H:$H,$DD16),DV16),0))</f>
        <v>0</v>
      </c>
      <c r="DM16" s="783" t="e">
        <f>_xlfn.CONCAT('Customer Inputs'!$AH$8,"_",DD16)</f>
        <v>#N/A</v>
      </c>
      <c r="DN16" s="783">
        <f t="array" ref="DN16">IF('Customer Inputs'!$W$8="End",0,IFERROR(INDEX('Margin Guidence Table'!$A$1:$AG$10000,MATCH(1,('Margin Guidence Table'!$A$1:$A$10000=DM16)*('Margin Guidence Table'!$I$1:$I$10000&lt;=ROUND($DE$3,0))*('Margin Guidence Table'!$J$1:$J$10000&gt;=ROUND($DE$3,0)),0),MATCH("DATA_POINTS",'Margin Guidence Table'!$A$1:$AG$1,0)),0))</f>
        <v>0</v>
      </c>
      <c r="DO16" s="780" t="str">
        <f t="shared" si="37"/>
        <v>DEFAULT</v>
      </c>
      <c r="DP16" s="780">
        <f t="array" ref="DP16">IF('Customer Inputs'!$W$8="End",0,IFERROR(IF($DO16="SEGMENT",INDEX('Margin Guidence Table'!$A$1:$AG$10000,MATCH(1,('Margin Guidence Table'!$A$1:$A$10000=DM16)*('Margin Guidence Table'!$I$1:$I$10000&lt;=ROUND($DE$3,0))*('Margin Guidence Table'!$J$1:$J$10000&gt;=ROUND($DE$3,0)),0),MATCH("SALES_CASE",'Margin Guidence Table'!$A$1:$AG$1,0)),INDEX('Margin Guidence Table'!$A$1:$AG$10000,MATCH(1,('Margin Guidence Table'!$A$1:$A$10000=DM16)*('Margin Guidence Table'!$I$1:$I$10000&lt;=ROUND($DE$3,0))*('Margin Guidence Table'!$J$1:$J$10000&gt;=ROUND($DE$3,0)),0),MATCH("DEFAULT_SALES_CASE",'Margin Guidence Table'!$A$1:$AG$1,0))),0))</f>
        <v>0</v>
      </c>
      <c r="DQ16" s="780">
        <f t="array" ref="DQ16">IF('Customer Inputs'!$W$8="End",0,IFERROR(IF($DO16="SEGMENT",INDEX('Margin Guidence Table'!$A$1:$AG$10000,MATCH(1,('Margin Guidence Table'!$A$1:$A$10000=DM16)*('Margin Guidence Table'!$I$1:$I$10000&lt;=ROUND($DE$3,0))*('Margin Guidence Table'!$J$1:$J$10000&gt;=ROUND($DE$3,0)),0),MATCH("SALES_LBS",'Margin Guidence Table'!$A$1:$AG$1,0)),INDEX('Margin Guidence Table'!$A$1:$AG$10000,MATCH(1,('Margin Guidence Table'!$A$1:$A$10000=DM16)*('Margin Guidence Table'!$I$1:$I$10000&lt;=ROUND($DE$3,0))*('Margin Guidence Table'!$J$1:$J$10000&gt;=ROUND($DE$3,0)),0),MATCH("DEFAULT_SALES_LBS",'Margin Guidence Table'!$A$1:$AG$1,0))),0))</f>
        <v>0</v>
      </c>
      <c r="DR16" s="784">
        <f t="array" ref="DR16">IF('Customer Inputs'!$W$8="End",0,IFERROR(IF($DO16="SEGMENT",INDEX('Margin Guidence Table'!$A$1:$AG$10000,MATCH(1,('Margin Guidence Table'!$A$1:$A$10000=DM16)*('Margin Guidence Table'!$I$1:$I$10000&lt;=ROUND($DE$3,0))*('Margin Guidence Table'!$J$1:$J$10000&gt;=ROUND($DE$3,0)),0),MATCH("MDA_MIN_MARGIN_GUIDENCE",'Margin Guidence Table'!$A$1:$AG$1,0)),INDEX('Margin Guidence Table'!$A$1:$AG$10000,MATCH(1,('Margin Guidence Table'!$A$1:$A$10000=DM16)*('Margin Guidence Table'!$I$1:$I$10000&lt;=ROUND($DE$3,0))*('Margin Guidence Table'!$J$1:$J$10000&gt;=ROUND($DE$3,0)),0),MATCH("DEFAULT_MDA_MIN_MARGIN_GUIDENCE",'Margin Guidence Table'!$A$1:$AG$1,0))),0))</f>
        <v>0</v>
      </c>
      <c r="DS16" s="784">
        <f t="array" ref="DS16">IF('Customer Inputs'!$W$8="End",0,IFERROR(IF($DO16="SEGMENT",INDEX('Margin Guidence Table'!$A$1:$AG$10000,MATCH(1,('Margin Guidence Table'!$A$1:$A$10000=DM16)*('Margin Guidence Table'!$I$1:$I$10000&lt;=ROUND($DE$3,0))*('Margin Guidence Table'!$J$1:$J$10000&gt;=ROUND($DE$3,0)),0),MATCH("MDA_MEDIAN_MARGIN_GUIDENCE",'Margin Guidence Table'!$A$1:$AG$1,0)),INDEX('Margin Guidence Table'!$A$1:$AG$10000,MATCH(1,('Margin Guidence Table'!$A$1:$A$10000=DM16)*('Margin Guidence Table'!$I$1:$I$10000&lt;=ROUND($DE$3,0))*('Margin Guidence Table'!$J$1:$J$10000&gt;=ROUND($DE$3,0)),0),MATCH("DEFAULT_MDA_MEDIAN_MARGIN_GUIDENCE",'Margin Guidence Table'!$A$1:$AG$1,0))),0))</f>
        <v>0</v>
      </c>
      <c r="DT16" s="784">
        <f t="array" ref="DT16">IF('Customer Inputs'!$W$8="End",0,IFERROR(IF($DO16="SEGMENT",INDEX('Margin Guidence Table'!$A$1:$AG$10000,MATCH(1,('Margin Guidence Table'!$A$1:$A$10000=DM16)*('Margin Guidence Table'!$I$1:$I$10000&lt;=ROUND($DE$3,0))*('Margin Guidence Table'!$J$1:$J$10000&gt;=ROUND($DE$3,0)),0),MATCH("MDA_MAX_MARGIN_GUIDENCE",'Margin Guidence Table'!$A$1:$AG$1,0)),INDEX('Margin Guidence Table'!$A$1:$AG$10000,MATCH(1,('Margin Guidence Table'!$A$1:$A$10000=DM16)*('Margin Guidence Table'!$I$1:$I$10000&lt;=ROUND($DE$3,0))*('Margin Guidence Table'!$J$1:$J$10000&gt;=ROUND($DE$3,0)),0),MATCH("DEFAULT_MDA_MAX_MARGIN_GUIDENCE",'Margin Guidence Table'!$A$1:$AG$1,0))),0))</f>
        <v>0</v>
      </c>
      <c r="DU16" s="784">
        <f t="array" ref="DU16">IF('Customer Inputs'!$W$8="End",0,IFERROR(IF($DO16="SEGMENT",INDEX('Margin Guidence Table'!$A$1:$AG$10000,MATCH(1,('Margin Guidence Table'!$A$1:$A$10000=DM16)*('Margin Guidence Table'!$I$1:$I$10000&lt;=ROUND($DE$3,0))*('Margin Guidence Table'!$J$1:$J$10000&gt;=ROUND($DE$3,0)),0),MATCH("PA_PCT_SALES",'Margin Guidence Table'!$A$1:$AG$1,0)),INDEX('Margin Guidence Table'!$A$1:$AG$10000,MATCH(1,('Margin Guidence Table'!$A$1:$A$10000=DM16)*('Margin Guidence Table'!$I$1:$I$10000&lt;=ROUND($DE$3,0))*('Margin Guidence Table'!$J$1:$J$10000&gt;=ROUND($DE$3,0)),0),MATCH("DEFAULT_PA_PCT_SALES",'Margin Guidence Table'!$A$1:$AG$1,0))),0))</f>
        <v>0</v>
      </c>
      <c r="DV16" s="784">
        <f t="array" ref="DV16">IF('Customer Inputs'!$W$8="End",0,IFERROR(IF($DO16="SEGMENT",INDEX('Margin Guidence Table'!$A$1:$AG$10000,MATCH(1,('Margin Guidence Table'!$A$1:$A$10000=DM16)*('Margin Guidence Table'!$I$1:$I$10000&lt;=ROUND($DE$3,0))*('Margin Guidence Table'!$J$1:$J$10000&gt;=ROUND($DE$3,0)),0),MATCH("SELF_FUND_PCT_SALES",'Margin Guidence Table'!$A$1:$AG$1,0)),INDEX('Margin Guidence Table'!$A$1:$AG$10000,MATCH(1,('Margin Guidence Table'!$A$1:$A$10000=DM16)*('Margin Guidence Table'!$I$1:$I$10000&lt;=ROUND($DE$3,0))*('Margin Guidence Table'!$J$1:$J$10000&gt;=ROUND($DE$3,0)),0),MATCH("DEFAULT_SELF_FUND_PCT_SALES",'Margin Guidence Table'!$A$1:$AG$1,0))),0))</f>
        <v>0</v>
      </c>
      <c r="DW16" s="784">
        <f t="array" ref="DW16">IF('Customer Inputs'!$W$8="End",0,IF($DF$2="Existing",IFERROR(SUMIFS('Existing Customers'!$V:$V,'Existing Customers'!$H:$H,$DD16,'Existing Customers'!$A:$A,$DE$1)/SUMIFS('Existing Customers'!$Q:$Q,'Existing Customers'!$H:$H,$DD16,'Existing Customers'!$A:$A,$DE$1),0),IFERROR(IF($DO16="SEGMENT",INDEX('Margin Guidence Table'!$A$1:$AG$10000,MATCH(1,('Margin Guidence Table'!$A$1:$A$10000=DM16)*('Margin Guidence Table'!$I$1:$I$10000&lt;=ROUND($DE$3,0))*('Margin Guidence Table'!$J$1:$J$10000&gt;=ROUND($DE$3,0)),0),MATCH("CIA_MEDIAN_MARGIN_GUIDENCE",'Margin Guidence Table'!$A$1:$AG$1,0)),INDEX('Margin Guidence Table'!$A$1:$AG$10000,MATCH(1,('Margin Guidence Table'!$A$1:$A$10000=DM16)*('Margin Guidence Table'!$I$1:$I$10000&lt;=ROUND($DE$3,0))*('Margin Guidence Table'!$J$1:$J$10000&gt;=ROUND($DE$3,0)),0),MATCH("DEFAULT_CIA_MEDIAN_MARGIN_GUIDENCE",'Margin Guidence Table'!$A$1:$AG$1,0))),0)))</f>
        <v>0</v>
      </c>
      <c r="DX16" s="126"/>
      <c r="DY16" s="18">
        <f t="array" ref="DY16">IF('Customer Inputs'!$W$9="End",0,IFERROR(IF($EL16="SEGMENT",INDEX('Margin Guidence Table'!$A$1:$AG$10000,MATCH(1,('Margin Guidence Table'!$A$1:$A$10000=$EJ16)*('Margin Guidence Table'!$I$1:$I$10000&lt;=ROUND($EB$3,0))*('Margin Guidence Table'!$J$1:$J$10000&gt;=ROUND($EB$3,0)),0),MATCH("PCT_SALES",'Margin Guidence Table'!$A$1:$AG$1,0)),INDEX('Margin Guidence Table'!$A$1:$AG$10000,MATCH(1,('Margin Guidence Table'!$A$1:$A$10000=$EJ16)*('Margin Guidence Table'!$I$1:$I$10000&lt;=ROUND($EB$3,0))*('Margin Guidence Table'!$J$1:$J$10000&gt;=ROUND($EB$3,0)),0),MATCH("DEFAULT_PCT_SALES",'Margin Guidence Table'!$A$1:$AG$1,0))),0))</f>
        <v>0</v>
      </c>
      <c r="DZ16" s="297" t="e">
        <f t="shared" si="38"/>
        <v>#DIV/0!</v>
      </c>
      <c r="EA16" s="99" t="s">
        <v>1296</v>
      </c>
      <c r="EB16" s="91">
        <f>IF('Customer Inputs'!$W$9="End",0,IFERROR(IF(AND($EB$2&lt;&gt;"Enter Spend&gt;&gt;&gt;",$EC$2="EXISTING"),SUMIFS('Existing Customers'!$Q:$Q,'Existing Customers'!$A:$A,$EB$1,'Existing Customers'!$H:$H,$EA16)*$EB$4,$EB$3*$DZ16),0))</f>
        <v>0</v>
      </c>
      <c r="EC16" s="86">
        <f>IF('Customer Inputs'!$W$9="End",0,IFERROR(IF(AND($EB$2&lt;&gt;"Enter Spend&gt;&gt;&gt;",$EC$2="EXISTING"),SUMIFS('Existing Customers'!$N:$N,'Existing Customers'!$A:$A,$EB$1,'Existing Customers'!$H:$H,$EA16)*$EB$4,$EB16/$EM16),0))</f>
        <v>0</v>
      </c>
      <c r="ED16" s="92">
        <f>IF('Customer Inputs'!$W$9="End",0,IFERROR(IF(AND($EB$2&lt;&gt;"Enter Spend&gt;&gt;&gt;",$EC$2="EXISTING"),SUMIFS('Existing Customers'!$O:$O,'Existing Customers'!$H:$H,$EA16,'Existing Customers'!$A:$A,$EB$1)*$EB$4,$EC16*$EB$8),0))</f>
        <v>0</v>
      </c>
      <c r="EE16" s="92">
        <f>IF('Customer Inputs'!$W$9="End",0,IFERROR(IF(AND($EB$2&lt;&gt;"Enter Spend&gt;&gt;&gt;",$EC$2="EXISTING"),SUMIFS('Existing Customers'!$P:$P,'Existing Customers'!$A:$A,$EB$1,'Existing Customers'!$H:$H,$EA16)*$EB$4,$EB16/$EN16),0))</f>
        <v>0</v>
      </c>
      <c r="EF16" s="93">
        <f>IF('Customer Inputs'!$W$9="End",0,IFERROR(IF(AND($EB$2&lt;&gt;"Enter Spend&gt;&gt;&gt;",$EC$2="EXISTING"),SUMIFS('Existing Customers'!$V:$V,'Existing Customers'!$H:$H,$EA16,'Existing Customers'!$A:$A,$EB$1)*$EB$4,0),0))</f>
        <v>0</v>
      </c>
      <c r="EG16" s="93">
        <f>IF('Customer Inputs'!$W$9="End",0,IFERROR(IF(AND($EB$2&lt;&gt;"Enter Spend&gt;&gt;&gt;",$EC$2="EXISTING"),SUMIFS('Existing Customers'!$R:$R,'Existing Customers'!$H:$H,$EA16,'Existing Customers'!$A:$A,$EB$1)*$EB$4,0),0))</f>
        <v>0</v>
      </c>
      <c r="EH16" s="780">
        <f>IF('Customer Inputs'!$W$9="End",0,IFERROR(IF(AND($EB$2&lt;&gt;"Enter Spend&gt;&gt;&gt;",$EC$2="EXISTING"),SUMIFS('Existing Customers'!$S:$S,'Existing Customers'!$H:$H,$EA16,'Existing Customers'!$A:$A,$EB$1)/SUMIFS('Existing Customers'!$Q:$Q,'Existing Customers'!$A:$A,$EB$1,'Existing Customers'!$H:$H,$EA16),ER16),0))</f>
        <v>0</v>
      </c>
      <c r="EI16" s="780">
        <f>IF('Customer Inputs'!$W$9="End",0,IFERROR(IF(AND($EB$2&lt;&gt;"Enter Spend&gt;&gt;&gt;",$EC$2="EXISTING"),SUMIFS('Existing Customers'!$U:$U,'Existing Customers'!$H:$H,$EA16,'Existing Customers'!$A:$A,$EB$1)/SUMIFS('Existing Customers'!$Q:$Q,'Existing Customers'!$A:$A,$EB$1,'Existing Customers'!$H:$H,$EA16),ES16),0))</f>
        <v>0</v>
      </c>
      <c r="EJ16" s="783" t="e">
        <f>_xlfn.CONCAT('Customer Inputs'!$AH$9,"_",EA16)</f>
        <v>#N/A</v>
      </c>
      <c r="EK16" s="783">
        <f t="array" ref="EK16">IF('Customer Inputs'!$W$9="End",0,IFERROR(INDEX('Margin Guidence Table'!$A$1:$AG$10000,MATCH(1,('Margin Guidence Table'!$A$1:$A$10000=EJ16)*('Margin Guidence Table'!$I$1:$I$10000&lt;=ROUND($EB$3,0))*('Margin Guidence Table'!$J$1:$J$10000&gt;=ROUND($EB$3,0)),0),MATCH("DATA_POINTS",'Margin Guidence Table'!$A$1:$AG$1,0)),0))</f>
        <v>0</v>
      </c>
      <c r="EL16" s="780" t="str">
        <f t="shared" si="39"/>
        <v>DEFAULT</v>
      </c>
      <c r="EM16" s="780">
        <f t="array" ref="EM16">IF('Customer Inputs'!$W$9="End",0,IFERROR(IF($EL16="SEGMENT",INDEX('Margin Guidence Table'!$A$1:$AG$10000,MATCH(1,('Margin Guidence Table'!$A$1:$A$10000=EJ16)*('Margin Guidence Table'!$I$1:$I$10000&lt;=ROUND($EB$3,0))*('Margin Guidence Table'!$J$1:$J$10000&gt;=ROUND($EB$3,0)),0),MATCH("SALES_CASE",'Margin Guidence Table'!$A$1:$AG$1,0)),INDEX('Margin Guidence Table'!$A$1:$AG$10000,MATCH(1,('Margin Guidence Table'!$A$1:$A$10000=EJ16)*('Margin Guidence Table'!$I$1:$I$10000&lt;=ROUND($EB$3,0))*('Margin Guidence Table'!$J$1:$J$10000&gt;=ROUND($EB$3,0)),0),MATCH("DEFAULT_SALES_CASE",'Margin Guidence Table'!$A$1:$AG$1,0))),0))</f>
        <v>0</v>
      </c>
      <c r="EN16" s="780">
        <f t="array" ref="EN16">IF('Customer Inputs'!$W$9="End",0,IFERROR(IF($EL16="SEGMENT",INDEX('Margin Guidence Table'!$A$1:$AG$10000,MATCH(1,('Margin Guidence Table'!$A$1:$A$10000=EJ16)*('Margin Guidence Table'!$I$1:$I$10000&lt;=ROUND($EB$3,0))*('Margin Guidence Table'!$J$1:$J$10000&gt;=ROUND($EB$3,0)),0),MATCH("SALES_LBS",'Margin Guidence Table'!$A$1:$AG$1,0)),INDEX('Margin Guidence Table'!$A$1:$AG$10000,MATCH(1,('Margin Guidence Table'!$A$1:$A$10000=EJ16)*('Margin Guidence Table'!$I$1:$I$10000&lt;=ROUND($EB$3,0))*('Margin Guidence Table'!$J$1:$J$10000&gt;=ROUND($EB$3,0)),0),MATCH("DEFAULT_SALES_LBS",'Margin Guidence Table'!$A$1:$AG$1,0))),0))</f>
        <v>0</v>
      </c>
      <c r="EO16" s="784">
        <f t="array" ref="EO16">IF('Customer Inputs'!$W$9="End",0,IFERROR(IF($EL16="SEGMENT",INDEX('Margin Guidence Table'!$A$1:$AG$10000,MATCH(1,('Margin Guidence Table'!$A$1:$A$10000=EJ16)*('Margin Guidence Table'!$I$1:$I$10000&lt;=ROUND($EB$3,0))*('Margin Guidence Table'!$J$1:$J$10000&gt;=ROUND($EB$3,0)),0),MATCH("MDA_MIN_MARGIN_GUIDENCE",'Margin Guidence Table'!$A$1:$AG$1,0)),INDEX('Margin Guidence Table'!$A$1:$AG$10000,MATCH(1,('Margin Guidence Table'!$A$1:$A$10000=EJ16)*('Margin Guidence Table'!$I$1:$I$10000&lt;=ROUND($EB$3,0))*('Margin Guidence Table'!$J$1:$J$10000&gt;=ROUND($EB$3,0)),0),MATCH("DEFAULT_MDA_MIN_MARGIN_GUIDENCE",'Margin Guidence Table'!$A$1:$AG$1,0))),0))</f>
        <v>0</v>
      </c>
      <c r="EP16" s="784">
        <f t="array" ref="EP16">IF('Customer Inputs'!$W$9="End",0,IFERROR(IF($EL16="SEGMENT",INDEX('Margin Guidence Table'!$A$1:$AG$10000,MATCH(1,('Margin Guidence Table'!$A$1:$A$10000=EJ16)*('Margin Guidence Table'!$I$1:$I$10000&lt;=ROUND($EB$3,0))*('Margin Guidence Table'!$J$1:$J$10000&gt;=ROUND($EB$3,0)),0),MATCH("MDA_MEDIAN_MARGIN_GUIDENCE",'Margin Guidence Table'!$A$1:$AG$1,0)),INDEX('Margin Guidence Table'!$A$1:$AG$10000,MATCH(1,('Margin Guidence Table'!$A$1:$A$10000=EJ16)*('Margin Guidence Table'!$I$1:$I$10000&lt;=ROUND($EB$3,0))*('Margin Guidence Table'!$J$1:$J$10000&gt;=ROUND($EB$3,0)),0),MATCH("DEFAULT_MDA_MEDIAN_MARGIN_GUIDENCE",'Margin Guidence Table'!$A$1:$AG$1,0))),0))</f>
        <v>0</v>
      </c>
      <c r="EQ16" s="784">
        <f t="array" ref="EQ16">IF('Customer Inputs'!$W$9="End",0,IFERROR(IF($EL16="SEGMENT",INDEX('Margin Guidence Table'!$A$1:$AG$10000,MATCH(1,('Margin Guidence Table'!$A$1:$A$10000=EJ16)*('Margin Guidence Table'!$I$1:$I$10000&lt;=ROUND($EB$3,0))*('Margin Guidence Table'!$J$1:$J$10000&gt;=ROUND($EB$3,0)),0),MATCH("MDA_MAX_MARGIN_GUIDENCE",'Margin Guidence Table'!$A$1:$AG$1,0)),INDEX('Margin Guidence Table'!$A$1:$AG$10000,MATCH(1,('Margin Guidence Table'!$A$1:$A$10000=EJ16)*('Margin Guidence Table'!$I$1:$I$10000&lt;=ROUND($EB$3,0))*('Margin Guidence Table'!$J$1:$J$10000&gt;=ROUND($EB$3,0)),0),MATCH("DEFAULT_MDA_MAX_MARGIN_GUIDENCE",'Margin Guidence Table'!$A$1:$AG$1,0))),0))</f>
        <v>0</v>
      </c>
      <c r="ER16" s="784">
        <f t="array" ref="ER16">IF('Customer Inputs'!$W$9="End",0,IFERROR(IF($EL16="SEGMENT",INDEX('Margin Guidence Table'!$A$1:$AG$10000,MATCH(1,('Margin Guidence Table'!$A$1:$A$10000=EJ16)*('Margin Guidence Table'!$I$1:$I$10000&lt;=ROUND($EB$3,0))*('Margin Guidence Table'!$J$1:$J$10000&gt;=ROUND($EB$3,0)),0),MATCH("PA_PCT_SALES",'Margin Guidence Table'!$A$1:$AG$1,0)),INDEX('Margin Guidence Table'!$A$1:$AG$10000,MATCH(1,('Margin Guidence Table'!$A$1:$A$10000=EJ16)*('Margin Guidence Table'!$I$1:$I$10000&lt;=ROUND($EB$3,0))*('Margin Guidence Table'!$J$1:$J$10000&gt;=ROUND($EB$3,0)),0),MATCH("DEFAULT_PA_PCT_SALES",'Margin Guidence Table'!$A$1:$AG$1,0))),0))</f>
        <v>0</v>
      </c>
      <c r="ES16" s="784">
        <f t="array" ref="ES16">IF('Customer Inputs'!$W$9="End",0,IFERROR(IF($EL16="SEGMENT",INDEX('Margin Guidence Table'!$A$1:$AG$10000,MATCH(1,('Margin Guidence Table'!$A$1:$A$10000=EJ16)*('Margin Guidence Table'!$I$1:$I$10000&lt;=ROUND($EB$3,0))*('Margin Guidence Table'!$J$1:$J$10000&gt;=ROUND($EB$3,0)),0),MATCH("SELF_FUND_PCT_SALES",'Margin Guidence Table'!$A$1:$AG$1,0)),INDEX('Margin Guidence Table'!$A$1:$AG$10000,MATCH(1,('Margin Guidence Table'!$A$1:$A$10000=EJ16)*('Margin Guidence Table'!$I$1:$I$10000&lt;=ROUND($EB$3,0))*('Margin Guidence Table'!$J$1:$J$10000&gt;=ROUND($EB$3,0)),0),MATCH("DEFAULT_SELF_FUND_PCT_SALES",'Margin Guidence Table'!$A$1:$AG$1,0))),0))</f>
        <v>0</v>
      </c>
      <c r="ET16" s="784">
        <f t="array" ref="ET16">IF('Customer Inputs'!$W$9="End",0,IF($EC$2="Existing",IFERROR(SUMIFS('Existing Customers'!$V:$V,'Existing Customers'!$H:$H,$EA16,'Existing Customers'!$A:$A,$EB$1)/SUMIFS('Existing Customers'!$Q:$Q,'Existing Customers'!$H:$H,$EA16,'Existing Customers'!$A:$A,$EB$1),0),IFERROR(IF($EL16="SEGMENT",INDEX('Margin Guidence Table'!$A$1:$AG$10000,MATCH(1,('Margin Guidence Table'!$A$1:$A$10000=EJ16)*('Margin Guidence Table'!$I$1:$I$10000&lt;=ROUND($EB$3,0))*('Margin Guidence Table'!$J$1:$J$10000&gt;=ROUND($EB$3,0)),0),MATCH("CIA_MEDIAN_MARGIN_GUIDENCE",'Margin Guidence Table'!$A$1:$AG$1,0)),INDEX('Margin Guidence Table'!$A$1:$AG$10000,MATCH(1,('Margin Guidence Table'!$A$1:$A$10000=EJ16)*('Margin Guidence Table'!$I$1:$I$10000&lt;=ROUND($EB$3,0))*('Margin Guidence Table'!$J$1:$J$10000&gt;=ROUND($EB$3,0)),0),MATCH("DEFAULT_CIA_MEDIAN_MARGIN_GUIDENCE",'Margin Guidence Table'!$A$1:$AG$1,0))),0)))</f>
        <v>0</v>
      </c>
      <c r="EU16" s="126"/>
      <c r="EV16" s="18">
        <f t="array" ref="EV16">IF('Customer Inputs'!$W$10="End",0,IFERROR(IF($FI16="SEGMENT",INDEX('Margin Guidence Table'!$A$1:$AG$10000,MATCH(1,('Margin Guidence Table'!$A$1:$A$10000=$FG16)*('Margin Guidence Table'!$I$1:$I$10000&lt;=ROUND($EY$3,0))*('Margin Guidence Table'!$J$1:$J$10000&gt;=ROUND($EY$3,0)),0),MATCH("PCT_SALES",'Margin Guidence Table'!$A$1:$AG$1,0)),INDEX('Margin Guidence Table'!$A$1:$AG$10000,MATCH(1,('Margin Guidence Table'!$A$1:$A$10000=$FG16)*('Margin Guidence Table'!$I$1:$I$10000&lt;=ROUND($EY$3,0))*('Margin Guidence Table'!$J$1:$J$10000&gt;=ROUND($EY$3,0)),0),MATCH("DEFAULT_PCT_SALES",'Margin Guidence Table'!$A$1:$AG$1,0))),0))</f>
        <v>0</v>
      </c>
      <c r="EW16" s="297" t="e">
        <f t="shared" si="40"/>
        <v>#DIV/0!</v>
      </c>
      <c r="EX16" s="99" t="s">
        <v>1296</v>
      </c>
      <c r="EY16" s="91">
        <f>IF('Customer Inputs'!$W$10="End",0,IFERROR(IF(AND($EY$2&lt;&gt;"Enter Spend&gt;&gt;&gt;",$EZ$2="EXISTING"),SUMIFS('Existing Customers'!$Q:$Q,'Existing Customers'!$A:$A,$EY$1,'Existing Customers'!$H:$H,$EX16)*$EY$4,$EY$3*$EW16),0))</f>
        <v>0</v>
      </c>
      <c r="EZ16" s="86">
        <f>IF('Customer Inputs'!$W$10="End",0,IFERROR(IF(AND($EY$2&lt;&gt;"Enter Spend&gt;&gt;&gt;",$EZ$2="EXISTING"),SUMIFS('Existing Customers'!$N:$N,'Existing Customers'!$A:$A,$EY$1,'Existing Customers'!$H:$H,$EX16)*$EY$4,$EY16/$FJ16),0))</f>
        <v>0</v>
      </c>
      <c r="FA16" s="92">
        <f>IF('Customer Inputs'!$W$10="End",0,IFERROR(IF(AND($EY$2&lt;&gt;"Enter Spend&gt;&gt;&gt;",$EZ$2="EXISTING"),SUMIFS('Existing Customers'!$O:$O,'Existing Customers'!$H:$H,$EX16,'Existing Customers'!$A:$A,$EY$1)*$EY$4,$EZ16*$EY$8),0))</f>
        <v>0</v>
      </c>
      <c r="FB16" s="92">
        <f>IF('Customer Inputs'!$W$10="End",0,IFERROR(IF(AND($EY$2&lt;&gt;"Enter Spend&gt;&gt;&gt;",$EZ$2="EXISTING"),SUMIFS('Existing Customers'!$P:$P,'Existing Customers'!$A:$A,$EY$1,'Existing Customers'!$H:$H,$EX16)*$EY$4,$EY16/$FK16),0))</f>
        <v>0</v>
      </c>
      <c r="FC16" s="93">
        <f>IF('Customer Inputs'!$W$10="End",0,IFERROR(IF(AND($EY$2&lt;&gt;"Enter Spend&gt;&gt;&gt;",$EZ$2="EXISTING"),SUMIFS('Existing Customers'!$V:$V,'Existing Customers'!$H:$H,$EX16,'Existing Customers'!$A:$A,$EY$1)*$EY$4,0),0))</f>
        <v>0</v>
      </c>
      <c r="FD16" s="93">
        <f>IF('Customer Inputs'!$W$10="End",0,IFERROR(IF(AND($EY$2&lt;&gt;"Enter Spend&gt;&gt;&gt;",$EZ$2="EXISTING"),SUMIFS('Existing Customers'!$R:$R,'Existing Customers'!$H:$H,$EX16,'Existing Customers'!$A:$A,$EY$1)*$EY$4,0),0))</f>
        <v>0</v>
      </c>
      <c r="FE16" s="780">
        <f>IF('Customer Inputs'!$W$10="End",0,IFERROR(IF(AND($EY$2&lt;&gt;"Enter Spend&gt;&gt;&gt;",$EZ$2="EXISTING"),SUMIFS('Existing Customers'!$S:$S,'Existing Customers'!$H:$H,$EX16,'Existing Customers'!$A:$A,$EY$1)/SUMIFS('Existing Customers'!$Q:$Q,'Existing Customers'!$A:$A,$EY$1,'Existing Customers'!$H:$H,$EX16),FO16),0))</f>
        <v>0</v>
      </c>
      <c r="FF16" s="780">
        <f>IF('Customer Inputs'!$W$10="End",0,IFERROR(IF(AND($EY$2&lt;&gt;"Enter Spend&gt;&gt;&gt;",$EZ$2="EXISTING"),SUMIFS('Existing Customers'!$U:$U,'Existing Customers'!$H:$H,$EX16,'Existing Customers'!$A:$A,$EY$1)/SUMIFS('Existing Customers'!$Q:$Q,'Existing Customers'!$A:$A,$EY$1,'Existing Customers'!$H:$H,$EX16),FP16),0))</f>
        <v>0</v>
      </c>
      <c r="FG16" s="783" t="e">
        <f>_xlfn.CONCAT('Customer Inputs'!$AH$10,"_",EX16)</f>
        <v>#N/A</v>
      </c>
      <c r="FH16" s="783">
        <f t="array" ref="FH16">IF('Customer Inputs'!$W$10="End",0,IFERROR(INDEX('Margin Guidence Table'!$A$1:$AG$10000,MATCH(1,('Margin Guidence Table'!$A$1:$A$10000=FG16)*('Margin Guidence Table'!$I$1:$I$10000&lt;=ROUND($EY$3,0))*('Margin Guidence Table'!$J$1:$J$10000&gt;=ROUND($EY$3,0)),0),MATCH("DATA_POINTS",'Margin Guidence Table'!$A$1:$AG$1,0)),0))</f>
        <v>0</v>
      </c>
      <c r="FI16" s="780" t="str">
        <f t="shared" si="41"/>
        <v>DEFAULT</v>
      </c>
      <c r="FJ16" s="780">
        <f t="array" ref="FJ16">IF('Customer Inputs'!$W$10="End",0,IFERROR(IF($FI16="SEGMENT",INDEX('Margin Guidence Table'!$A$1:$AG$10000,MATCH(1,('Margin Guidence Table'!$A$1:$A$10000=FG16)*('Margin Guidence Table'!$I$1:$I$10000&lt;=ROUND($EY$3,0))*('Margin Guidence Table'!$J$1:$J$10000&gt;=ROUND($EY$3,0)),0),MATCH("SALES_CASE",'Margin Guidence Table'!$A$1:$AG$1,0)),INDEX('Margin Guidence Table'!$A$1:$AG$10000,MATCH(1,('Margin Guidence Table'!$A$1:$A$10000=FG16)*('Margin Guidence Table'!$I$1:$I$10000&lt;=ROUND($EY$3,0))*('Margin Guidence Table'!$J$1:$J$10000&gt;=ROUND($EY$3,0)),0),MATCH("DEFAULT_SALES_CASE",'Margin Guidence Table'!$A$1:$AG$1,0))),0))</f>
        <v>0</v>
      </c>
      <c r="FK16" s="780">
        <f t="array" ref="FK16">IF('Customer Inputs'!$W$10="End",0,IFERROR(IF($FI16="SEGMENT",INDEX('Margin Guidence Table'!$A$1:$AG$10000,MATCH(1,('Margin Guidence Table'!$A$1:$A$10000=FG16)*('Margin Guidence Table'!$I$1:$I$10000&lt;=ROUND($EY$3,0))*('Margin Guidence Table'!$J$1:$J$10000&gt;=ROUND($EY$3,0)),0),MATCH("SALES_LBS",'Margin Guidence Table'!$A$1:$AG$1,0)),INDEX('Margin Guidence Table'!$A$1:$AG$10000,MATCH(1,('Margin Guidence Table'!$A$1:$A$10000=FG16)*('Margin Guidence Table'!$I$1:$I$10000&lt;=ROUND($EY$3,0))*('Margin Guidence Table'!$J$1:$J$10000&gt;=ROUND($EY$3,0)),0),MATCH("DEFAULT_SALES_LBS",'Margin Guidence Table'!$A$1:$AG$1,0))),0))</f>
        <v>0</v>
      </c>
      <c r="FL16" s="784">
        <f t="array" ref="FL16">IF('Customer Inputs'!$W$10="End",0,IFERROR(IF($FI16="SEGMENT",INDEX('Margin Guidence Table'!$A$1:$AG$10000,MATCH(1,('Margin Guidence Table'!$A$1:$A$10000=FG16)*('Margin Guidence Table'!$I$1:$I$10000&lt;=ROUND($EY$3,0))*('Margin Guidence Table'!$J$1:$J$10000&gt;=ROUND($EY$3,0)),0),MATCH("MDA_MIN_MARGIN_GUIDENCE",'Margin Guidence Table'!$A$1:$AG$1,0)),INDEX('Margin Guidence Table'!$A$1:$AG$10000,MATCH(1,('Margin Guidence Table'!$A$1:$A$10000=FG16)*('Margin Guidence Table'!$I$1:$I$10000&lt;=ROUND($EY$3,0))*('Margin Guidence Table'!$J$1:$J$10000&gt;=ROUND($EY$3,0)),0),MATCH("DEFAULT_MDA_MIN_MARGIN_GUIDENCE",'Margin Guidence Table'!$A$1:$AG$1,0))),0))</f>
        <v>0</v>
      </c>
      <c r="FM16" s="784">
        <f t="array" ref="FM16">IF('Customer Inputs'!$W$10="End",0,IFERROR(IF($FI16="SEGMENT",INDEX('Margin Guidence Table'!$A$1:$AG$10000,MATCH(1,('Margin Guidence Table'!$A$1:$A$10000=FG16)*('Margin Guidence Table'!$I$1:$I$10000&lt;=ROUND($EY$3,0))*('Margin Guidence Table'!$J$1:$J$10000&gt;=ROUND($EY$3,0)),0),MATCH("MDA_MEDIAN_MARGIN_GUIDENCE",'Margin Guidence Table'!$A$1:$AG$1,0)),INDEX('Margin Guidence Table'!$A$1:$AG$10000,MATCH(1,('Margin Guidence Table'!$A$1:$A$10000=FG16)*('Margin Guidence Table'!$I$1:$I$10000&lt;=ROUND($EY$3,0))*('Margin Guidence Table'!$J$1:$J$10000&gt;=ROUND($EY$3,0)),0),MATCH("DEFAULT_MDA_MEDIAN_MARGIN_GUIDENCE",'Margin Guidence Table'!$A$1:$AG$1,0))),0))</f>
        <v>0</v>
      </c>
      <c r="FN16" s="784">
        <f t="array" ref="FN16">IF('Customer Inputs'!$W$10="End",0,IFERROR(IF($FI16="SEGMENT",INDEX('Margin Guidence Table'!$A$1:$AG$10000,MATCH(1,('Margin Guidence Table'!$A$1:$A$10000=FG16)*('Margin Guidence Table'!$I$1:$I$10000&lt;=ROUND($EY$3,0))*('Margin Guidence Table'!$J$1:$J$10000&gt;=ROUND($EY$3,0)),0),MATCH("MDA_MAX_MARGIN_GUIDENCE",'Margin Guidence Table'!$A$1:$AG$1,0)),INDEX('Margin Guidence Table'!$A$1:$AG$10000,MATCH(1,('Margin Guidence Table'!$A$1:$A$10000=FG16)*('Margin Guidence Table'!$I$1:$I$10000&lt;=ROUND($EY$3,0))*('Margin Guidence Table'!$J$1:$J$10000&gt;=ROUND($EY$3,0)),0),MATCH("DEFAULT_MDA_MAX_MARGIN_GUIDENCE",'Margin Guidence Table'!$A$1:$AG$1,0))),0))</f>
        <v>0</v>
      </c>
      <c r="FO16" s="784">
        <f t="array" ref="FO16">IF('Customer Inputs'!$W$10="End",0,IFERROR(IF($FI16="SEGMENT",INDEX('Margin Guidence Table'!$A$1:$AG$10000,MATCH(1,('Margin Guidence Table'!$A$1:$A$10000=FG16)*('Margin Guidence Table'!$I$1:$I$10000&lt;=ROUND($EY$3,0))*('Margin Guidence Table'!$J$1:$J$10000&gt;=ROUND($EY$3,0)),0),MATCH("PA_PCT_SALES",'Margin Guidence Table'!$A$1:$AG$1,0)),INDEX('Margin Guidence Table'!$A$1:$AG$10000,MATCH(1,('Margin Guidence Table'!$A$1:$A$10000=FG16)*('Margin Guidence Table'!$I$1:$I$10000&lt;=ROUND($EY$3,0))*('Margin Guidence Table'!$J$1:$J$10000&gt;=ROUND($EY$3,0)),0),MATCH("DEFAULT_PA_PCT_SALES",'Margin Guidence Table'!$A$1:$AG$1,0))),0))</f>
        <v>0</v>
      </c>
      <c r="FP16" s="784">
        <f t="array" ref="FP16">IF('Customer Inputs'!$W$10="End",0,IFERROR(IF($FI16="SEGMENT",INDEX('Margin Guidence Table'!$A$1:$AG$10000,MATCH(1,('Margin Guidence Table'!$A$1:$A$10000=FG16)*('Margin Guidence Table'!$I$1:$I$10000&lt;=ROUND($EY$3,0))*('Margin Guidence Table'!$J$1:$J$10000&gt;=ROUND($EY$3,0)),0),MATCH("SELF_FUND_PCT_SALES",'Margin Guidence Table'!$A$1:$AG$1,0)),INDEX('Margin Guidence Table'!$A$1:$AG$10000,MATCH(1,('Margin Guidence Table'!$A$1:$A$10000=FG16)*('Margin Guidence Table'!$I$1:$I$10000&lt;=ROUND($EY$3,0))*('Margin Guidence Table'!$J$1:$J$10000&gt;=ROUND($EY$3,0)),0),MATCH("DEFAULT_SELF_FUND_PCT_SALES",'Margin Guidence Table'!$A$1:$AG$1,0))),0))</f>
        <v>0</v>
      </c>
      <c r="FQ16" s="784">
        <f t="array" ref="FQ16">IF('Customer Inputs'!$W$10="End",0,IF($EZ$2="Existing",IFERROR(SUMIFS('Existing Customers'!$V:$V,'Existing Customers'!$H:$H,$EX16,'Existing Customers'!$A:$A,$EY$1)/SUMIFS('Existing Customers'!$Q:$Q,'Existing Customers'!$H:$H,$EX16,'Existing Customers'!$A:$A,$EY$1),0),IFERROR(IF($FI16="SEGMENT",INDEX('Margin Guidence Table'!$A$1:$AG$10000,MATCH(1,('Margin Guidence Table'!$A$1:$A$10000=FG16)*('Margin Guidence Table'!$I$1:$I$10000&lt;=ROUND($EY$3,0))*('Margin Guidence Table'!$J$1:$J$10000&gt;=ROUND($EY$3,0)),0),MATCH("CIA_MEDIAN_MARGIN_GUIDENCE",'Margin Guidence Table'!$A$1:$AG$1,0)),INDEX('Margin Guidence Table'!$A$1:$AG$10000,MATCH(1,('Margin Guidence Table'!$A$1:$A$10000=FG16)*('Margin Guidence Table'!$I$1:$I$10000&lt;=ROUND($EY$3,0))*('Margin Guidence Table'!$J$1:$J$10000&gt;=ROUND($EY$3,0)),0),MATCH("DEFAULT_CIA_MEDIAN_MARGIN_GUIDENCE",'Margin Guidence Table'!$A$1:$AG$1,0))),0)))</f>
        <v>0</v>
      </c>
      <c r="FR16" s="126"/>
      <c r="FS16" s="18">
        <f t="array" ref="FS16">IF('Customer Inputs'!$W$11="End",0,IFERROR(IF($GF16="SEGMENT",INDEX('Margin Guidence Table'!$A$1:$AG$10000,MATCH(1,('Margin Guidence Table'!$A$1:$A$10000=$GD16)*('Margin Guidence Table'!$I$1:$I$10000&lt;=ROUND($FV$3,0))*('Margin Guidence Table'!$J$1:$J$10000&gt;=ROUND($FV$3,0)),0),MATCH("PCT_SALES",'Margin Guidence Table'!$A$1:$AG$1,0)),INDEX('Margin Guidence Table'!$A$1:$AG$10000,MATCH(1,('Margin Guidence Table'!$A$1:$A$10000=$GD16)*('Margin Guidence Table'!$I$1:$I$10000&lt;=ROUND($FV$3,0))*('Margin Guidence Table'!$J$1:$J$10000&gt;=ROUND($FV$3,0)),0),MATCH("DEFAULT_PCT_SALES",'Margin Guidence Table'!$A$1:$AG$1,0))),0))</f>
        <v>0</v>
      </c>
      <c r="FT16" s="297" t="e">
        <f t="shared" si="42"/>
        <v>#DIV/0!</v>
      </c>
      <c r="FU16" s="99" t="s">
        <v>1296</v>
      </c>
      <c r="FV16" s="91">
        <f>IF('Customer Inputs'!$W$11="End",0,IFERROR(IF(AND($FV$2&lt;&gt;"Enter Spend&gt;&gt;&gt;",$FW$2="EXISTING"),SUMIFS('Existing Customers'!$Q:$Q,'Existing Customers'!$A:$A,$FV$1,'Existing Customers'!$H:$H,$FU16)*$FV$4,$FV$3*$FT16),0))</f>
        <v>0</v>
      </c>
      <c r="FW16" s="86">
        <f>IF('Customer Inputs'!$W$11="End",0,IFERROR(IF(AND($FV$2&lt;&gt;"Enter Spend&gt;&gt;&gt;",$FW$2="EXISTING"),SUMIFS('Existing Customers'!$N:$N,'Existing Customers'!$A:$A,$FV$1,'Existing Customers'!$H:$H,$FU16)*$FV$4,$FV16/$GG16),0))</f>
        <v>0</v>
      </c>
      <c r="FX16" s="92">
        <f>IF('Customer Inputs'!$W$11="End",0,IFERROR(IF(AND($FV$2&lt;&gt;"Enter Spend&gt;&gt;&gt;",$FW$2="EXISTING"),SUMIFS('Existing Customers'!$O:$O,'Existing Customers'!$H:$H,$FU16,'Existing Customers'!$A:$A,$FV$1)*$FV$4,$FW16*$FV$8),0))</f>
        <v>0</v>
      </c>
      <c r="FY16" s="92">
        <f>IF('Customer Inputs'!$W$11="End",0,IFERROR(IF(AND($FV$2&lt;&gt;"Enter Spend&gt;&gt;&gt;",$FW$2="EXISTING"),SUMIFS('Existing Customers'!$P:$P,'Existing Customers'!$A:$A,$FV$1,'Existing Customers'!$H:$H,$FU16)*$FV$4,$FV16/$GH16),0))</f>
        <v>0</v>
      </c>
      <c r="FZ16" s="93">
        <f>IF('Customer Inputs'!$W$11="End",0,IFERROR(IF(AND($FV$2&lt;&gt;"Enter Spend&gt;&gt;&gt;",$FW$2="EXISTING"),SUMIFS('Existing Customers'!$V:$V,'Existing Customers'!$H:$H,$FU16,'Existing Customers'!$A:$A,$FV$1)*$FV$4,0),0))</f>
        <v>0</v>
      </c>
      <c r="GA16" s="93">
        <f>IF('Customer Inputs'!$W$11="End",0,IFERROR(IF(AND($FV$2&lt;&gt;"Enter Spend&gt;&gt;&gt;",$FW$2="EXISTING"),SUMIFS('Existing Customers'!$R:$R,'Existing Customers'!$H:$H,$FU16,'Existing Customers'!$A:$A,$FV$1)*$FV$4,0),0))</f>
        <v>0</v>
      </c>
      <c r="GB16" s="780">
        <f>IF('Customer Inputs'!$W$11="End",0,IFERROR(IF(AND($FV$2&lt;&gt;"Enter Spend&gt;&gt;&gt;",$FW$2="EXISTING"),SUMIFS('Existing Customers'!$S:$S,'Existing Customers'!$H:$H,$FU16,'Existing Customers'!$A:$A,$FV$1)/SUMIFS('Existing Customers'!$Q:$Q,'Existing Customers'!$A:$A,$FV$1,'Existing Customers'!$H:$H,$FU16),GL16),0))</f>
        <v>0</v>
      </c>
      <c r="GC16" s="780">
        <f>IF('Customer Inputs'!$W$11="End",0,IFERROR(IF(AND($FV$2&lt;&gt;"Enter Spend&gt;&gt;&gt;",$FW$2="EXISTING"),SUMIFS('Existing Customers'!$U:$U,'Existing Customers'!$H:$H,$FU16,'Existing Customers'!$A:$A,$FV$1)/SUMIFS('Existing Customers'!$Q:$Q,'Existing Customers'!$A:$A,$FV$1,'Existing Customers'!$H:$H,$FU16),GM16),0))</f>
        <v>0</v>
      </c>
      <c r="GD16" s="783" t="e">
        <f>_xlfn.CONCAT('Customer Inputs'!$AH$11,"_",FU16)</f>
        <v>#N/A</v>
      </c>
      <c r="GE16" s="783">
        <f t="array" ref="GE16">IF('Customer Inputs'!$W$11="End",0,IFERROR(INDEX('Margin Guidence Table'!$A$1:$AG$10000,MATCH(1,('Margin Guidence Table'!$A$1:$A$10000=GD16)*('Margin Guidence Table'!$I$1:$I$10000&lt;=ROUND($FV$3,0))*('Margin Guidence Table'!$J$1:$J$10000&gt;=ROUND($FV$3,0)),0),MATCH("DATA_POINTS",'Margin Guidence Table'!$A$1:$AG$1,0)),0))</f>
        <v>0</v>
      </c>
      <c r="GF16" s="780" t="str">
        <f t="shared" si="43"/>
        <v>DEFAULT</v>
      </c>
      <c r="GG16" s="780">
        <f t="array" ref="GG16">IF('Customer Inputs'!$W$11="End",0,IFERROR(IF($GF16="SEGMENT",INDEX('Margin Guidence Table'!$A$1:$AG$10000,MATCH(1,('Margin Guidence Table'!$A$1:$A$10000=GD16)*('Margin Guidence Table'!$I$1:$I$10000&lt;=ROUND($FV$3,0))*('Margin Guidence Table'!$J$1:$J$10000&gt;=ROUND($FV$3,0)),0),MATCH("SALES_CASE",'Margin Guidence Table'!$A$1:$AG$1,0)),INDEX('Margin Guidence Table'!$A$1:$AG$10000,MATCH(1,('Margin Guidence Table'!$A$1:$A$10000=GD16)*('Margin Guidence Table'!$I$1:$I$10000&lt;=ROUND($FV$3,0))*('Margin Guidence Table'!$J$1:$J$10000&gt;=ROUND($FV$3,0)),0),MATCH("DEFAULT_SALES_CASE",'Margin Guidence Table'!$A$1:$AG$1,0))),0))</f>
        <v>0</v>
      </c>
      <c r="GH16" s="780">
        <f t="array" ref="GH16">IF('Customer Inputs'!$W$11="End",0,IFERROR(IF($GF16="SEGMENT",INDEX('Margin Guidence Table'!$A$1:$AG$10000,MATCH(1,('Margin Guidence Table'!$A$1:$A$10000=GD16)*('Margin Guidence Table'!$I$1:$I$10000&lt;=ROUND($FV$3,0))*('Margin Guidence Table'!$J$1:$J$10000&gt;=ROUND($FV$3,0)),0),MATCH("SALES_LBS",'Margin Guidence Table'!$A$1:$AG$1,0)),INDEX('Margin Guidence Table'!$A$1:$AG$10000,MATCH(1,('Margin Guidence Table'!$A$1:$A$10000=GD16)*('Margin Guidence Table'!$I$1:$I$10000&lt;=ROUND($FV$3,0))*('Margin Guidence Table'!$J$1:$J$10000&gt;=ROUND($FV$3,0)),0),MATCH("DEFAULT_SALES_LBS",'Margin Guidence Table'!$A$1:$AG$1,0))),0))</f>
        <v>0</v>
      </c>
      <c r="GI16" s="784">
        <f t="array" ref="GI16">IF('Customer Inputs'!$W$11="End",0,IFERROR(IF($GF16="SEGMENT",INDEX('Margin Guidence Table'!$A$1:$AG$10000,MATCH(1,('Margin Guidence Table'!$A$1:$A$10000=GD16)*('Margin Guidence Table'!$I$1:$I$10000&lt;=ROUND($FV$3,0))*('Margin Guidence Table'!$J$1:$J$10000&gt;=ROUND($FV$3,0)),0),MATCH("MDA_MIN_MARGIN_GUIDENCE",'Margin Guidence Table'!$A$1:$AG$1,0)),INDEX('Margin Guidence Table'!$A$1:$AG$10000,MATCH(1,('Margin Guidence Table'!$A$1:$A$10000=GD16)*('Margin Guidence Table'!$I$1:$I$10000&lt;=ROUND($FV$3,0))*('Margin Guidence Table'!$J$1:$J$10000&gt;=ROUND($FV$3,0)),0),MATCH("DEFAULT_MDA_MIN_MARGIN_GUIDENCE",'Margin Guidence Table'!$A$1:$AG$1,0))),0))</f>
        <v>0</v>
      </c>
      <c r="GJ16" s="784">
        <f t="array" ref="GJ16">IF('Customer Inputs'!$W$11="End",0,IFERROR(IF($GF16="SEGMENT",INDEX('Margin Guidence Table'!$A$1:$AG$10000,MATCH(1,('Margin Guidence Table'!$A$1:$A$10000=GD16)*('Margin Guidence Table'!$I$1:$I$10000&lt;=ROUND($FV$3,0))*('Margin Guidence Table'!$J$1:$J$10000&gt;=ROUND($FV$3,0)),0),MATCH("MDA_MEDIAN_MARGIN_GUIDENCE",'Margin Guidence Table'!$A$1:$AG$1,0)),INDEX('Margin Guidence Table'!$A$1:$AG$10000,MATCH(1,('Margin Guidence Table'!$A$1:$A$10000=GD16)*('Margin Guidence Table'!$I$1:$I$10000&lt;=ROUND($FV$3,0))*('Margin Guidence Table'!$J$1:$J$10000&gt;=ROUND($FV$3,0)),0),MATCH("DEFAULT_MDA_MEDIAN_MARGIN_GUIDENCE",'Margin Guidence Table'!$A$1:$AG$1,0))),0))</f>
        <v>0</v>
      </c>
      <c r="GK16" s="784">
        <f t="array" ref="GK16">IF('Customer Inputs'!$W$11="End",0,IFERROR(IF($GF16="SEGMENT",INDEX('Margin Guidence Table'!$A$1:$AG$10000,MATCH(1,('Margin Guidence Table'!$A$1:$A$10000=GD16)*('Margin Guidence Table'!$I$1:$I$10000&lt;=ROUND($FV$3,0))*('Margin Guidence Table'!$J$1:$J$10000&gt;=ROUND($FV$3,0)),0),MATCH("MDA_MAX_MARGIN_GUIDENCE",'Margin Guidence Table'!$A$1:$AG$1,0)),INDEX('Margin Guidence Table'!$A$1:$AG$10000,MATCH(1,('Margin Guidence Table'!$A$1:$A$10000=GD16)*('Margin Guidence Table'!$I$1:$I$10000&lt;=ROUND($FV$3,0))*('Margin Guidence Table'!$J$1:$J$10000&gt;=ROUND($FV$3,0)),0),MATCH("DEFAULT_MDA_MAX_MARGIN_GUIDENCE",'Margin Guidence Table'!$A$1:$AG$1,0))),0))</f>
        <v>0</v>
      </c>
      <c r="GL16" s="784">
        <f t="array" ref="GL16">IF('Customer Inputs'!$W$11="End",0,IFERROR(IF($GF16="SEGMENT",INDEX('Margin Guidence Table'!$A$1:$AG$10000,MATCH(1,('Margin Guidence Table'!$A$1:$A$10000=GD16)*('Margin Guidence Table'!$I$1:$I$10000&lt;=ROUND($FV$3,0))*('Margin Guidence Table'!$J$1:$J$10000&gt;=ROUND($FV$3,0)),0),MATCH("PA_PCT_SALES",'Margin Guidence Table'!$A$1:$AG$1,0)),INDEX('Margin Guidence Table'!$A$1:$AG$10000,MATCH(1,('Margin Guidence Table'!$A$1:$A$10000=GD16)*('Margin Guidence Table'!$I$1:$I$10000&lt;=ROUND($FV$3,0))*('Margin Guidence Table'!$J$1:$J$10000&gt;=ROUND($FV$3,0)),0),MATCH("DEFAULT_PA_PCT_SALES",'Margin Guidence Table'!$A$1:$AG$1,0))),0))</f>
        <v>0</v>
      </c>
      <c r="GM16" s="784">
        <f t="array" ref="GM16">IF('Customer Inputs'!$W$11="End",0,IFERROR(IF($GF16="SEGMENT",INDEX('Margin Guidence Table'!$A$1:$AG$10000,MATCH(1,('Margin Guidence Table'!$A$1:$A$10000=GD16)*('Margin Guidence Table'!$I$1:$I$10000&lt;=ROUND($FV$3,0))*('Margin Guidence Table'!$J$1:$J$10000&gt;=ROUND($FV$3,0)),0),MATCH("SELF_FUND_PCT_SALES",'Margin Guidence Table'!$A$1:$AG$1,0)),INDEX('Margin Guidence Table'!$A$1:$AG$10000,MATCH(1,('Margin Guidence Table'!$A$1:$A$10000=GD16)*('Margin Guidence Table'!$I$1:$I$10000&lt;=ROUND($FV$3,0))*('Margin Guidence Table'!$J$1:$J$10000&gt;=ROUND($FV$3,0)),0),MATCH("DEFAULT_SELF_FUND_PCT_SALES",'Margin Guidence Table'!$A$1:$AG$1,0))),0))</f>
        <v>0</v>
      </c>
      <c r="GN16" s="784">
        <f t="array" ref="GN16">IF('Customer Inputs'!$W$11="End",0,IF($FW$2="Existing",IFERROR(SUMIFS('Existing Customers'!$V:$V,'Existing Customers'!$H:$H,$FU16,'Existing Customers'!$A:$A,$FV$1)/SUMIFS('Existing Customers'!$Q:$Q,'Existing Customers'!$H:$H,$FU16,'Existing Customers'!$A:$A,$FV$1),0),IFERROR(IF($GF16="SEGMENT",INDEX('Margin Guidence Table'!$A$1:$AG$10000,MATCH(1,('Margin Guidence Table'!$A$1:$A$10000=GD16)*('Margin Guidence Table'!$I$1:$I$10000&lt;=ROUND($FV$3,0))*('Margin Guidence Table'!$J$1:$J$10000&gt;=ROUND($FV$3,0)),0),MATCH("CIA_MEDIAN_MARGIN_GUIDENCE",'Margin Guidence Table'!$A$1:$AG$1,0)),INDEX('Margin Guidence Table'!$A$1:$AG$10000,MATCH(1,('Margin Guidence Table'!$A$1:$A$10000=GD16)*('Margin Guidence Table'!$I$1:$I$10000&lt;=ROUND($FV$3,0))*('Margin Guidence Table'!$J$1:$J$10000&gt;=ROUND($FV$3,0)),0),MATCH("DEFAULT_CIA_MEDIAN_MARGIN_GUIDENCE",'Margin Guidence Table'!$A$1:$AG$1,0))),0)))</f>
        <v>0</v>
      </c>
      <c r="GO16" s="126"/>
      <c r="GP16" s="18">
        <f t="array" ref="GP16">IF('Customer Inputs'!$W$12="End",0,IFERROR(IF($HC16="SEGMENT",INDEX('Margin Guidence Table'!$A$1:$AG$10000,MATCH(1,('Margin Guidence Table'!$A$1:$A$10000=$HA16)*('Margin Guidence Table'!$I$1:$I$10000&lt;=ROUND($GS$3,0))*('Margin Guidence Table'!$J$1:$J$10000&gt;=ROUND($GS$3,0)),0),MATCH("PCT_SALES",'Margin Guidence Table'!$A$1:$AG$1,0)),INDEX('Margin Guidence Table'!$A$1:$AG$10000,MATCH(1,('Margin Guidence Table'!$A$1:$A$10000=$HA16)*('Margin Guidence Table'!$I$1:$I$10000&lt;=ROUND($GS$3,0))*('Margin Guidence Table'!$J$1:$J$10000&gt;=ROUND($GS$3,0)),0),MATCH("DEFAULT_PCT_SALES",'Margin Guidence Table'!$A$1:$AG$1,0))),0))</f>
        <v>0</v>
      </c>
      <c r="GQ16" s="297" t="e">
        <f t="shared" si="44"/>
        <v>#DIV/0!</v>
      </c>
      <c r="GR16" s="99" t="s">
        <v>1296</v>
      </c>
      <c r="GS16" s="91">
        <f>IF('Customer Inputs'!$W$12="End",0,IFERROR(IF(AND($GS$2&lt;&gt;"Enter Spend&gt;&gt;&gt;",$GT$2="EXISTING"),SUMIFS('Existing Customers'!$Q:$Q,'Existing Customers'!$A:$A,$GS$1,'Existing Customers'!$H:$H,$GR16)*$GS$4,$GS$3*$GQ16),0))</f>
        <v>0</v>
      </c>
      <c r="GT16" s="86">
        <f>IF('Customer Inputs'!$W$12="End",0,IFERROR(IF(AND($GS$2&lt;&gt;"Enter Spend&gt;&gt;&gt;",$GT$2="EXISTING"),SUMIFS('Existing Customers'!$N:$N,'Existing Customers'!$A:$A,$GS$1,'Existing Customers'!$H:$H,$GR16)*$GS$4,$GS16/$HD16),0))</f>
        <v>0</v>
      </c>
      <c r="GU16" s="92">
        <f>IF('Customer Inputs'!$W$12="End",0,IFERROR(IF(AND($GS$2&lt;&gt;"Enter Spend&gt;&gt;&gt;",$GT$2="EXISTING"),SUMIFS('Existing Customers'!$O:$O,'Existing Customers'!$H:$H,$GR16,'Existing Customers'!$A:$A,$GS$1)*$GS$4,$GT16*$GS$8),0))</f>
        <v>0</v>
      </c>
      <c r="GV16" s="92">
        <f>IF('Customer Inputs'!$W$12="End",0,IFERROR(IF(AND($GS$2&lt;&gt;"Enter Spend&gt;&gt;&gt;",$GT$2="EXISTING"),SUMIFS('Existing Customers'!$P:$P,'Existing Customers'!$A:$A,$GS$1,'Existing Customers'!$H:$H,$GR16)*$GS$4,$GS16/$HE16),0))</f>
        <v>0</v>
      </c>
      <c r="GW16" s="93">
        <f>IF('Customer Inputs'!$W$12="End",0,IFERROR(IF(AND($GS$2&lt;&gt;"Enter Spend&gt;&gt;&gt;",$GT$2="EXISTING"),SUMIFS('Existing Customers'!$V:$V,'Existing Customers'!$H:$H,$GR16,'Existing Customers'!$A:$A,$GS$1)*$GS$4,0),0))</f>
        <v>0</v>
      </c>
      <c r="GX16" s="93">
        <f>IF('Customer Inputs'!$W$12="End",0,IFERROR(IF(AND($GS$2&lt;&gt;"Enter Spend&gt;&gt;&gt;",$GT$2="EXISTING"),SUMIFS('Existing Customers'!$R:$R,'Existing Customers'!$H:$H,$GR16,'Existing Customers'!$A:$A,$GS$1)*$GS$4,0),0))</f>
        <v>0</v>
      </c>
      <c r="GY16" s="780">
        <f>IF('Customer Inputs'!$W$12="End",0,IFERROR(IF(AND($GS$2&lt;&gt;"Enter Spend&gt;&gt;&gt;",$GT$2="EXISTING"),SUMIFS('Existing Customers'!$S:$S,'Existing Customers'!$H:$H,$GR16,'Existing Customers'!$A:$A,$GS$1)/SUMIFS('Existing Customers'!$Q:$Q,'Existing Customers'!$A:$A,$GS$1,'Existing Customers'!$H:$H,$GR16),HI16),0))</f>
        <v>0</v>
      </c>
      <c r="GZ16" s="780">
        <f>IF('Customer Inputs'!$W$12="End",0,IFERROR(IF(AND($GS$2&lt;&gt;"Enter Spend&gt;&gt;&gt;",$GT$2="EXISTING"),SUMIFS('Existing Customers'!$U:$U,'Existing Customers'!$H:$H,$GR16,'Existing Customers'!$A:$A,$GS$1)/SUMIFS('Existing Customers'!$Q:$Q,'Existing Customers'!$A:$A,$GS$1,'Existing Customers'!$H:$H,$GR16),HJ16),0))</f>
        <v>0</v>
      </c>
      <c r="HA16" s="783" t="e">
        <f>_xlfn.CONCAT('Customer Inputs'!$AH$12,"_",GR16)</f>
        <v>#N/A</v>
      </c>
      <c r="HB16" s="783">
        <f t="array" ref="HB16">IF('Customer Inputs'!$W$12="End",0,IFERROR(INDEX('Margin Guidence Table'!$A$1:$AG$10000,MATCH(1,('Margin Guidence Table'!$A$1:$A$10000=HA16)*('Margin Guidence Table'!$I$1:$I$10000&lt;=ROUND($GS$3,0))*('Margin Guidence Table'!$J$1:$J$10000&gt;=ROUND($GS$3,0)),0),MATCH("DATA_POINTS",'Margin Guidence Table'!$A$1:$AG$1,0)),0))</f>
        <v>0</v>
      </c>
      <c r="HC16" s="780" t="str">
        <f t="shared" si="45"/>
        <v>DEFAULT</v>
      </c>
      <c r="HD16" s="780">
        <f t="array" ref="HD16">IF('Customer Inputs'!$W$12="End",0,IFERROR(IF($HC16="SEGMENT",INDEX('Margin Guidence Table'!$A$1:$AG$10000,MATCH(1,('Margin Guidence Table'!$A$1:$A$10000=HA16)*('Margin Guidence Table'!$I$1:$I$10000&lt;=ROUND($GS$3,0))*('Margin Guidence Table'!$J$1:$J$10000&gt;=ROUND($GS$3,0)),0),MATCH("SALES_CASE",'Margin Guidence Table'!$A$1:$AG$1,0)),INDEX('Margin Guidence Table'!$A$1:$AG$10000,MATCH(1,('Margin Guidence Table'!$A$1:$A$10000=HA16)*('Margin Guidence Table'!$I$1:$I$10000&lt;=ROUND($GS$3,0))*('Margin Guidence Table'!$J$1:$J$10000&gt;=ROUND($GS$3,0)),0),MATCH("DEFAULT_SALES_CASE",'Margin Guidence Table'!$A$1:$AG$1,0))),0))</f>
        <v>0</v>
      </c>
      <c r="HE16" s="780">
        <f t="array" ref="HE16">IF('Customer Inputs'!$W$12="End",0,IFERROR(IF($HC16="SEGMENT",INDEX('Margin Guidence Table'!$A$1:$AG$10000,MATCH(1,('Margin Guidence Table'!$A$1:$A$10000=HA16)*('Margin Guidence Table'!$I$1:$I$10000&lt;=ROUND($GS$3,0))*('Margin Guidence Table'!$J$1:$J$10000&gt;=ROUND($GS$3,0)),0),MATCH("SALES_LBS",'Margin Guidence Table'!$A$1:$AG$1,0)),INDEX('Margin Guidence Table'!$A$1:$AG$10000,MATCH(1,('Margin Guidence Table'!$A$1:$A$10000=HA16)*('Margin Guidence Table'!$I$1:$I$10000&lt;=ROUND($GS$3,0))*('Margin Guidence Table'!$J$1:$J$10000&gt;=ROUND($GS$3,0)),0),MATCH("DEFAULT_SALES_LBS",'Margin Guidence Table'!$A$1:$AG$1,0))),0))</f>
        <v>0</v>
      </c>
      <c r="HF16" s="784">
        <f t="array" ref="HF16">IF('Customer Inputs'!$W$12="End",0,IFERROR(IF($HC16="SEGMENT",INDEX('Margin Guidence Table'!$A$1:$AG$10000,MATCH(1,('Margin Guidence Table'!$A$1:$A$10000=HA16)*('Margin Guidence Table'!$I$1:$I$10000&lt;=ROUND($GS$3,0))*('Margin Guidence Table'!$J$1:$J$10000&gt;=ROUND($GS$3,0)),0),MATCH("MDA_MIN_MARGIN_GUIDENCE",'Margin Guidence Table'!$A$1:$AG$1,0)),INDEX('Margin Guidence Table'!$A$1:$AG$10000,MATCH(1,('Margin Guidence Table'!$A$1:$A$10000=HA16)*('Margin Guidence Table'!$I$1:$I$10000&lt;=ROUND($GS$3,0))*('Margin Guidence Table'!$J$1:$J$10000&gt;=ROUND($GS$3,0)),0),MATCH("DEFAULT_MDA_MIN_MARGIN_GUIDENCE",'Margin Guidence Table'!$A$1:$AG$1,0))),0))</f>
        <v>0</v>
      </c>
      <c r="HG16" s="784">
        <f t="array" ref="HG16">IF('Customer Inputs'!$W$12="End",0,IFERROR(IF($HC16="SEGMENT",INDEX('Margin Guidence Table'!$A$1:$AG$10000,MATCH(1,('Margin Guidence Table'!$A$1:$A$10000=HA16)*('Margin Guidence Table'!$I$1:$I$10000&lt;=ROUND($GS$3,0))*('Margin Guidence Table'!$J$1:$J$10000&gt;=ROUND($GS$3,0)),0),MATCH("MDA_MEDIAN_MARGIN_GUIDENCE",'Margin Guidence Table'!$A$1:$AG$1,0)),INDEX('Margin Guidence Table'!$A$1:$AG$10000,MATCH(1,('Margin Guidence Table'!$A$1:$A$10000=HA16)*('Margin Guidence Table'!$I$1:$I$10000&lt;=ROUND($GS$3,0))*('Margin Guidence Table'!$J$1:$J$10000&gt;=ROUND($GS$3,0)),0),MATCH("DEFAULT_MDA_MEDIAN_MARGIN_GUIDENCE",'Margin Guidence Table'!$A$1:$AG$1,0))),0))</f>
        <v>0</v>
      </c>
      <c r="HH16" s="784">
        <f t="array" ref="HH16">IF('Customer Inputs'!$W$12="End",0,IFERROR(IF($HC16="SEGMENT",INDEX('Margin Guidence Table'!$A$1:$AG$10000,MATCH(1,('Margin Guidence Table'!$A$1:$A$10000=HA16)*('Margin Guidence Table'!$I$1:$I$10000&lt;=ROUND($GS$3,0))*('Margin Guidence Table'!$J$1:$J$10000&gt;=ROUND($GS$3,0)),0),MATCH("MDA_MAX_MARGIN_GUIDENCE",'Margin Guidence Table'!$A$1:$AG$1,0)),INDEX('Margin Guidence Table'!$A$1:$AG$10000,MATCH(1,('Margin Guidence Table'!$A$1:$A$10000=HA16)*('Margin Guidence Table'!$I$1:$I$10000&lt;=ROUND($GS$3,0))*('Margin Guidence Table'!$J$1:$J$10000&gt;=ROUND($GS$3,0)),0),MATCH("DEFAULT_MDA_MAX_MARGIN_GUIDENCE",'Margin Guidence Table'!$A$1:$AG$1,0))),0))</f>
        <v>0</v>
      </c>
      <c r="HI16" s="784">
        <f t="array" ref="HI16">IF('Customer Inputs'!$W$12="End",0,IFERROR(IF($HC16="SEGMENT",INDEX('Margin Guidence Table'!$A$1:$AG$10000,MATCH(1,('Margin Guidence Table'!$A$1:$A$10000=HA16)*('Margin Guidence Table'!$I$1:$I$10000&lt;=ROUND($GS$3,0))*('Margin Guidence Table'!$J$1:$J$10000&gt;=ROUND($GS$3,0)),0),MATCH("PA_PCT_SALES",'Margin Guidence Table'!$A$1:$AG$1,0)),INDEX('Margin Guidence Table'!$A$1:$AG$10000,MATCH(1,('Margin Guidence Table'!$A$1:$A$10000=HA16)*('Margin Guidence Table'!$I$1:$I$10000&lt;=ROUND($GS$3,0))*('Margin Guidence Table'!$J$1:$J$10000&gt;=ROUND($GS$3,0)),0),MATCH("DEFAULT_PA_PCT_SALES",'Margin Guidence Table'!$A$1:$AG$1,0))),0))</f>
        <v>0</v>
      </c>
      <c r="HJ16" s="784">
        <f t="array" ref="HJ16">IF('Customer Inputs'!$W$12="End",0,IFERROR(IF($HC16="SEGMENT",INDEX('Margin Guidence Table'!$A$1:$AG$10000,MATCH(1,('Margin Guidence Table'!$A$1:$A$10000=HA16)*('Margin Guidence Table'!$I$1:$I$10000&lt;=ROUND($GS$3,0))*('Margin Guidence Table'!$J$1:$J$10000&gt;=ROUND($GS$3,0)),0),MATCH("SELF_FUND_PCT_SALES",'Margin Guidence Table'!$A$1:$AG$1,0)),INDEX('Margin Guidence Table'!$A$1:$AG$10000,MATCH(1,('Margin Guidence Table'!$A$1:$A$10000=HA16)*('Margin Guidence Table'!$I$1:$I$10000&lt;=ROUND($GS$3,0))*('Margin Guidence Table'!$J$1:$J$10000&gt;=ROUND($GS$3,0)),0),MATCH("DEFAULT_SELF_FUND_PCT_SALES",'Margin Guidence Table'!$A$1:$AG$1,0))),0))</f>
        <v>0</v>
      </c>
      <c r="HK16" s="784">
        <f t="array" ref="HK16">IF('Customer Inputs'!$W$12="End",0,IF($GT$2="Existing",IFERROR(SUMIFS('Existing Customers'!$V:$V,'Existing Customers'!$H:$H,$GR16,'Existing Customers'!$A:$A,$GS$1)/SUMIFS('Existing Customers'!$Q:$Q,'Existing Customers'!$H:$H,$GR16,'Existing Customers'!$A:$A,$GS$1),0),IFERROR(IF($HC16="SEGMENT",INDEX('Margin Guidence Table'!$A$1:$AG$10000,MATCH(1,('Margin Guidence Table'!$A$1:$A$10000=HA16)*('Margin Guidence Table'!$I$1:$I$10000&lt;=ROUND($GS$3,0))*('Margin Guidence Table'!$J$1:$J$10000&gt;=ROUND($GS$3,0)),0),MATCH("CIA_MEDIAN_MARGIN_GUIDENCE",'Margin Guidence Table'!$A$1:$AG$1,0)),INDEX('Margin Guidence Table'!$A$1:$AG$10000,MATCH(1,('Margin Guidence Table'!$A$1:$A$10000=HA16)*('Margin Guidence Table'!$I$1:$I$10000&lt;=ROUND($GS$3,0))*('Margin Guidence Table'!$J$1:$J$10000&gt;=ROUND($GS$3,0)),0),MATCH("DEFAULT_CIA_MEDIAN_MARGIN_GUIDENCE",'Margin Guidence Table'!$A$1:$AG$1,0))),0)))</f>
        <v>0</v>
      </c>
      <c r="HL16" s="126"/>
      <c r="HM16" s="18">
        <f t="array" ref="HM16">IF('Customer Inputs'!$W$13="End",0,IFERROR(IF($HZ16="SEGMENT",INDEX('Margin Guidence Table'!$A$1:$AG$10000,MATCH(1,('Margin Guidence Table'!$A$1:$A$10000=$HX16)*('Margin Guidence Table'!$I$1:$I$10000&lt;=ROUND($HP$3,0))*('Margin Guidence Table'!$J$1:$J$10000&gt;=ROUND($HP$3,0)),0),MATCH("PCT_SALES",'Margin Guidence Table'!$A$1:$AG$1,0)),INDEX('Margin Guidence Table'!$A$1:$AG$10000,MATCH(1,('Margin Guidence Table'!$A$1:$A$10000=$HX16)*('Margin Guidence Table'!$I$1:$I$10000&lt;=ROUND($HP$3,0))*('Margin Guidence Table'!$J$1:$J$10000&gt;=ROUND($HP$3,0)),0),MATCH("DEFAULT_PCT_SALES",'Margin Guidence Table'!$A$1:$AG$1,0))),0))</f>
        <v>0</v>
      </c>
      <c r="HN16" s="297" t="e">
        <f t="shared" si="46"/>
        <v>#DIV/0!</v>
      </c>
      <c r="HO16" s="99" t="s">
        <v>1296</v>
      </c>
      <c r="HP16" s="91">
        <f>IF('Customer Inputs'!$W$13="End",0,IFERROR(IF(AND($HP$2&lt;&gt;"Enter Spend&gt;&gt;&gt;",$HQ$2="EXISTING"),SUMIFS('Existing Customers'!$Q:$Q,'Existing Customers'!$A:$A,$HP$1,'Existing Customers'!$H:$H,$HO16)*$HP$4,$HP$3*$HN16),0))</f>
        <v>0</v>
      </c>
      <c r="HQ16" s="86">
        <f>IF('Customer Inputs'!$W$13="End",0,IFERROR(IF(AND($HP$2&lt;&gt;"Enter Spend&gt;&gt;&gt;",$HQ$2="EXISTING"),SUMIFS('Existing Customers'!$N:$N,'Existing Customers'!$A:$A,$HP$1,'Existing Customers'!$H:$H,$HO16)*$HP$4,$HP16/$IA16),0))</f>
        <v>0</v>
      </c>
      <c r="HR16" s="92">
        <f>IF('Customer Inputs'!$W$13="End",0,IFERROR(IF(AND($HP$2&lt;&gt;"Enter Spend&gt;&gt;&gt;",$HQ$2="EXISTING"),SUMIFS('Existing Customers'!$O:$O,'Existing Customers'!$H:$H,$HO16,'Existing Customers'!$A:$A,$HP$1)*$HP$4,$HQ16*$HP$8),0))</f>
        <v>0</v>
      </c>
      <c r="HS16" s="92">
        <f>IF('Customer Inputs'!$W$13="End",0,IFERROR(IF(AND($HP$2&lt;&gt;"Enter Spend&gt;&gt;&gt;",$HQ$2="EXISTING"),SUMIFS('Existing Customers'!$P:$P,'Existing Customers'!$A:$A,$HP$1,'Existing Customers'!$H:$H,$HO16)*$HP$4,$HP16/$IB16),0))</f>
        <v>0</v>
      </c>
      <c r="HT16" s="93">
        <f>IF('Customer Inputs'!$W$13="End",0,IFERROR(IF(AND($HP$2&lt;&gt;"Enter Spend&gt;&gt;&gt;",$HQ$2="EXISTING"),SUMIFS('Existing Customers'!$V:$V,'Existing Customers'!$H:$H,$HO16,'Existing Customers'!$A:$A,$HP$1)*$HP$4,0),0))</f>
        <v>0</v>
      </c>
      <c r="HU16" s="93">
        <f>IF('Customer Inputs'!$W$13="End",0,IFERROR(IF(AND($HP$2&lt;&gt;"Enter Spend&gt;&gt;&gt;",$HQ$2="EXISTING"),SUMIFS('Existing Customers'!$R:$R,'Existing Customers'!$H:$H,$HO16,'Existing Customers'!$A:$A,$HP$1)*$HP$4,0),0))</f>
        <v>0</v>
      </c>
      <c r="HV16" s="780">
        <f>IF('Customer Inputs'!$W$13="End",0,IFERROR(IF(AND($HP$2&lt;&gt;"Enter Spend&gt;&gt;&gt;",$HQ$2="EXISTING"),SUMIFS('Existing Customers'!$S:$S,'Existing Customers'!$H:$H,$HO16,'Existing Customers'!$A:$A,$HP$1)/SUMIFS('Existing Customers'!$Q:$Q,'Existing Customers'!$A:$A,$HP$1,'Existing Customers'!$H:$H,$HO16),IF16),0))</f>
        <v>0</v>
      </c>
      <c r="HW16" s="780">
        <f>IF('Customer Inputs'!$W$13="End",0,IFERROR(IF(AND($HP$2&lt;&gt;"Enter Spend&gt;&gt;&gt;",$HQ$2="EXISTING"),SUMIFS('Existing Customers'!$U:$U,'Existing Customers'!$H:$H,$HO16,'Existing Customers'!$A:$A,$HP$1)/SUMIFS('Existing Customers'!$Q:$Q,'Existing Customers'!$A:$A,$HP$1,'Existing Customers'!$H:$H,$HO16),IG16),0))</f>
        <v>0</v>
      </c>
      <c r="HX16" s="783" t="e">
        <f>_xlfn.CONCAT('Customer Inputs'!$AH$13,"_",HO16)</f>
        <v>#N/A</v>
      </c>
      <c r="HY16" s="783">
        <f t="array" ref="HY16">IF('Customer Inputs'!$W$13="End",0,IFERROR(INDEX('Margin Guidence Table'!$A$1:$AG$10000,MATCH(1,('Margin Guidence Table'!$A$1:$A$10000=HX16)*('Margin Guidence Table'!$I$1:$I$10000&lt;=ROUND($HP$3,0))*('Margin Guidence Table'!$J$1:$J$10000&gt;=ROUND($HP$3,0)),0),MATCH("DATA_POINTS",'Margin Guidence Table'!$A$1:$AG$1,0)),0))</f>
        <v>0</v>
      </c>
      <c r="HZ16" s="780" t="str">
        <f t="shared" si="47"/>
        <v>DEFAULT</v>
      </c>
      <c r="IA16" s="780">
        <f t="array" ref="IA16">IF('Customer Inputs'!$W$13="End",0,IFERROR(IF($HZ16="SEGMENT",INDEX('Margin Guidence Table'!$A$1:$AG$10000,MATCH(1,('Margin Guidence Table'!$A$1:$A$10000=HX16)*('Margin Guidence Table'!$I$1:$I$10000&lt;=ROUND($HP$3,0))*('Margin Guidence Table'!$J$1:$J$10000&gt;=ROUND($HP$3,0)),0),MATCH("SALES_CASE",'Margin Guidence Table'!$A$1:$AG$1,0)),INDEX('Margin Guidence Table'!$A$1:$AG$10000,MATCH(1,('Margin Guidence Table'!$A$1:$A$10000=HX16)*('Margin Guidence Table'!$I$1:$I$10000&lt;=ROUND($HP$3,0))*('Margin Guidence Table'!$J$1:$J$10000&gt;=ROUND($HP$3,0)),0),MATCH("DEFAULT_SALES_CASE",'Margin Guidence Table'!$A$1:$AG$1,0))),0))</f>
        <v>0</v>
      </c>
      <c r="IB16" s="780">
        <f t="array" ref="IB16">IF('Customer Inputs'!$W$13="End",0,IFERROR(IF($HZ16="SEGMENT",INDEX('Margin Guidence Table'!$A$1:$AG$10000,MATCH(1,('Margin Guidence Table'!$A$1:$A$10000=HX16)*('Margin Guidence Table'!$I$1:$I$10000&lt;=ROUND($HP$3,0))*('Margin Guidence Table'!$J$1:$J$10000&gt;=ROUND($HP$3,0)),0),MATCH("SALES_LBS",'Margin Guidence Table'!$A$1:$AG$1,0)),INDEX('Margin Guidence Table'!$A$1:$AG$10000,MATCH(1,('Margin Guidence Table'!$A$1:$A$10000=HX16)*('Margin Guidence Table'!$I$1:$I$10000&lt;=ROUND($HP$3,0))*('Margin Guidence Table'!$J$1:$J$10000&gt;=ROUND($HP$3,0)),0),MATCH("DEFAULT_SALES_LBS",'Margin Guidence Table'!$A$1:$AG$1,0))),0))</f>
        <v>0</v>
      </c>
      <c r="IC16" s="784">
        <f t="array" ref="IC16">IF('Customer Inputs'!$W$13="End",0,IFERROR(IF($HZ16="SEGMENT",INDEX('Margin Guidence Table'!$A$1:$AG$10000,MATCH(1,('Margin Guidence Table'!$A$1:$A$10000=HX16)*('Margin Guidence Table'!$I$1:$I$10000&lt;=ROUND($HP$3,0))*('Margin Guidence Table'!$J$1:$J$10000&gt;=ROUND($HP$3,0)),0),MATCH("MDA_MIN_MARGIN_GUIDENCE",'Margin Guidence Table'!$A$1:$AG$1,0)),INDEX('Margin Guidence Table'!$A$1:$AG$10000,MATCH(1,('Margin Guidence Table'!$A$1:$A$10000=HX16)*('Margin Guidence Table'!$I$1:$I$10000&lt;=ROUND($HP$3,0))*('Margin Guidence Table'!$J$1:$J$10000&gt;=ROUND($HP$3,0)),0),MATCH("DEFAULT_MDA_MIN_MARGIN_GUIDENCE",'Margin Guidence Table'!$A$1:$AG$1,0))),0))</f>
        <v>0</v>
      </c>
      <c r="ID16" s="784">
        <f t="array" ref="ID16">IF('Customer Inputs'!$W$13="End",0,IFERROR(IF($HZ16="SEGMENT",INDEX('Margin Guidence Table'!$A$1:$AG$10000,MATCH(1,('Margin Guidence Table'!$A$1:$A$10000=HX16)*('Margin Guidence Table'!$I$1:$I$10000&lt;=ROUND($HP$3,0))*('Margin Guidence Table'!$J$1:$J$10000&gt;=ROUND($HP$3,0)),0),MATCH("MDA_MEDIAN_MARGIN_GUIDENCE",'Margin Guidence Table'!$A$1:$AG$1,0)),INDEX('Margin Guidence Table'!$A$1:$AG$10000,MATCH(1,('Margin Guidence Table'!$A$1:$A$10000=HX16)*('Margin Guidence Table'!$I$1:$I$10000&lt;=ROUND($HP$3,0))*('Margin Guidence Table'!$J$1:$J$10000&gt;=ROUND($HP$3,0)),0),MATCH("DEFAULT_MDA_MEDIAN_MARGIN_GUIDENCE",'Margin Guidence Table'!$A$1:$AG$1,0))),0))</f>
        <v>0</v>
      </c>
      <c r="IE16" s="784">
        <f t="array" ref="IE16">IF('Customer Inputs'!$W$13="End",0,IFERROR(IF($HZ16="SEGMENT",INDEX('Margin Guidence Table'!$A$1:$AG$10000,MATCH(1,('Margin Guidence Table'!$A$1:$A$10000=HX16)*('Margin Guidence Table'!$I$1:$I$10000&lt;=ROUND($HP$3,0))*('Margin Guidence Table'!$J$1:$J$10000&gt;=ROUND($HP$3,0)),0),MATCH("MDA_MAX_MARGIN_GUIDENCE",'Margin Guidence Table'!$A$1:$AG$1,0)),INDEX('Margin Guidence Table'!$A$1:$AG$10000,MATCH(1,('Margin Guidence Table'!$A$1:$A$10000=HX16)*('Margin Guidence Table'!$I$1:$I$10000&lt;=ROUND($HP$3,0))*('Margin Guidence Table'!$J$1:$J$10000&gt;=ROUND($HP$3,0)),0),MATCH("DEFAULT_MDA_MAX_MARGIN_GUIDENCE",'Margin Guidence Table'!$A$1:$AG$1,0))),0))</f>
        <v>0</v>
      </c>
      <c r="IF16" s="784">
        <f t="array" ref="IF16">IF('Customer Inputs'!$W$13="End",0,IFERROR(IF($HZ16="SEGMENT",INDEX('Margin Guidence Table'!$A$1:$AG$10000,MATCH(1,('Margin Guidence Table'!$A$1:$A$10000=HX16)*('Margin Guidence Table'!$I$1:$I$10000&lt;=ROUND($HP$3,0))*('Margin Guidence Table'!$J$1:$J$10000&gt;=ROUND($HP$3,0)),0),MATCH("PA_PCT_SALES",'Margin Guidence Table'!$A$1:$AG$1,0)),INDEX('Margin Guidence Table'!$A$1:$AG$10000,MATCH(1,('Margin Guidence Table'!$A$1:$A$10000=HX16)*('Margin Guidence Table'!$I$1:$I$10000&lt;=ROUND($HP$3,0))*('Margin Guidence Table'!$J$1:$J$10000&gt;=ROUND($HP$3,0)),0),MATCH("DEFAULT_PA_PCT_SALES",'Margin Guidence Table'!$A$1:$AG$1,0))),0))</f>
        <v>0</v>
      </c>
      <c r="IG16" s="784">
        <f t="array" ref="IG16">IF('Customer Inputs'!$W$13="End",0,IFERROR(IF($HZ16="SEGMENT",INDEX('Margin Guidence Table'!$A$1:$AG$10000,MATCH(1,('Margin Guidence Table'!$A$1:$A$10000=HX16)*('Margin Guidence Table'!$I$1:$I$10000&lt;=ROUND($HP$3,0))*('Margin Guidence Table'!$J$1:$J$10000&gt;=ROUND($HP$3,0)),0),MATCH("SELF_FUND_PCT_SALES",'Margin Guidence Table'!$A$1:$AG$1,0)),INDEX('Margin Guidence Table'!$A$1:$AG$10000,MATCH(1,('Margin Guidence Table'!$A$1:$A$10000=HX16)*('Margin Guidence Table'!$I$1:$I$10000&lt;=ROUND($HP$3,0))*('Margin Guidence Table'!$J$1:$J$10000&gt;=ROUND($HP$3,0)),0),MATCH("DEFAULT_SELF_FUND_PCT_SALES",'Margin Guidence Table'!$A$1:$AG$1,0))),0))</f>
        <v>0</v>
      </c>
      <c r="IH16" s="784">
        <f t="array" ref="IH16">IF('Customer Inputs'!$W$13="End",0,IF($HQ$2="Existing",IFERROR(SUMIFS('Existing Customers'!$V:$V,'Existing Customers'!$H:$H,$HO16,'Existing Customers'!$A:$A,$HP$1)/SUMIFS('Existing Customers'!$Q:$Q,'Existing Customers'!$H:$H,$HO16,'Existing Customers'!$A:$A,$HP$1),0),IFERROR(IF($HZ16="SEGMENT",INDEX('Margin Guidence Table'!$A$1:$AG$10000,MATCH(1,('Margin Guidence Table'!$A$1:$A$10000=HX16)*('Margin Guidence Table'!$I$1:$I$10000&lt;=ROUND($HP$3,0))*('Margin Guidence Table'!$J$1:$J$10000&gt;=ROUND($HP$3,0)),0),MATCH("CIA_MEDIAN_MARGIN_GUIDENCE",'Margin Guidence Table'!$A$1:$AG$1,0)),INDEX('Margin Guidence Table'!$A$1:$AG$10000,MATCH(1,('Margin Guidence Table'!$A$1:$A$10000=HX16)*('Margin Guidence Table'!$I$1:$I$10000&lt;=ROUND($HP$3,0))*('Margin Guidence Table'!$J$1:$J$10000&gt;=ROUND($HP$3,0)),0),MATCH("DEFAULT_CIA_MEDIAN_MARGIN_GUIDENCE",'Margin Guidence Table'!$A$1:$AG$1,0))),0)))</f>
        <v>0</v>
      </c>
      <c r="II16" s="126"/>
      <c r="IJ16" s="18">
        <f t="array" ref="IJ16">IF('Customer Inputs'!$W$14="End",0,IFERROR(IF($IW16="SEGMENT",INDEX('Margin Guidence Table'!$A:$AC,MATCH(1,('Margin Guidence Table'!$A:$A=$IU16)*('Margin Guidence Table'!$H:$H&lt;=ROUND($IM$3,0))*('Margin Guidence Table'!$G:$G&gt;=ROUND($IM$3,0)),0),MATCH("PCT_SALES",'Margin Guidence Table'!$A$1:$AG$1,0)),INDEX('Margin Guidence Table'!$A:$AC,MATCH(1,('Margin Guidence Table'!$A:$A=$IU16)*('Margin Guidence Table'!$H:$H&lt;=ROUND($IM$3,0))*('Margin Guidence Table'!$G:$G&gt;=ROUND($IM$3,0)),0),MATCH("DEFAULT_PCT_SALES",'Margin Guidence Table'!$A$1:$AG$1,0))),0))</f>
        <v>0</v>
      </c>
      <c r="IK16" s="297" t="e">
        <f t="shared" si="48"/>
        <v>#DIV/0!</v>
      </c>
      <c r="IL16" s="99" t="s">
        <v>1296</v>
      </c>
      <c r="IM16" s="91">
        <f>IF('Customer Inputs'!$W$14="End",0,IFERROR(IF(AND($IM$2&lt;&gt;"Enter Spend&gt;&gt;&gt;",$IN$2="EXISTING"),SUMIFS('Existing Customers'!$Q:$Q,'Existing Customers'!$A:$A,$IM$1,'Existing Customers'!$H:$H,$IL16)*$IM$4,$IM$3*$IK16),0))</f>
        <v>0</v>
      </c>
      <c r="IN16" s="86">
        <f>IF('Customer Inputs'!$W$14="End",0,IFERROR(IF(AND($IM$2&lt;&gt;"Enter Spend&gt;&gt;&gt;",$IN$2="EXISTING"),SUMIFS('Existing Customers'!$N:$N,'Existing Customers'!$A:$A,$IM$1,'Existing Customers'!$H:$H,$IL16)*$IM$4,$IM16/$IX16),0))</f>
        <v>0</v>
      </c>
      <c r="IO16" s="92">
        <f>IF('Customer Inputs'!$W$14="End",0,IFERROR(IF(AND($IM$2&lt;&gt;"Enter Spend&gt;&gt;&gt;",$IN$2="EXISTING"),SUMIFS('Existing Customers'!$O:$O,'Existing Customers'!$H:$H,$IL16,'Existing Customers'!$A:$A,$IM$1)*$IM$4,$IN16*$IM$8),0))</f>
        <v>0</v>
      </c>
      <c r="IP16" s="92">
        <f>IF('Customer Inputs'!$W$14="End",0,IFERROR(IF(AND($IM$2&lt;&gt;"Enter Spend&gt;&gt;&gt;",$IN$2="EXISTING"),SUMIFS('Existing Customers'!$P:$P,'Existing Customers'!$A:$A,$IM$1,'Existing Customers'!$H:$H,$IL16)*$IM$4,$IM16/$IY16),0))</f>
        <v>0</v>
      </c>
      <c r="IQ16" s="303">
        <f>IF('Customer Inputs'!$W$14="End",0,IFERROR(IF(AND($IM$2&lt;&gt;"Enter Spend&gt;&gt;&gt;",$IN$2="EXISTING"),SUMIFS('Existing Customers'!$V:$V,'Existing Customers'!$H:$H,$IL16,'Existing Customers'!$A:$A,$IM$1)*$IM$4,0),0))</f>
        <v>0</v>
      </c>
      <c r="IR16" s="93">
        <f>IF('Customer Inputs'!$W$14="End",0,IFERROR(IF(AND($IM$2&lt;&gt;"Enter Spend&gt;&gt;&gt;",$IN$2="EXISTING"),SUMIFS('Existing Customers'!$R:$R,'Existing Customers'!$H:$H,$IL16,'Existing Customers'!$A:$A,$IM$1)*$IM$4,0),0))</f>
        <v>0</v>
      </c>
      <c r="IS16" s="780">
        <f>IF('Customer Inputs'!$W$14="End",0,IFERROR(IF(AND($IM$2&lt;&gt;"Enter Spend&gt;&gt;&gt;",$IN$2="EXISTING"),SUMIFS('Existing Customers'!$S:$S,'Existing Customers'!$H:$H,$IL16,'Existing Customers'!$A:$A,$IM$1)/SUMIFS('Existing Customers'!$Q:$Q,'Existing Customers'!$A:$A,$IM$1,'Existing Customers'!$H:$H,$IL16),JC16),0))</f>
        <v>0</v>
      </c>
      <c r="IT16" s="780">
        <f>IF('Customer Inputs'!$W$14="End",0,IFERROR(IF(AND($IM$2&lt;&gt;"Enter Spend&gt;&gt;&gt;",$IN$2="EXISTING"),SUMIFS('Existing Customers'!$U:$U,'Existing Customers'!$H:$H,$IL16,'Existing Customers'!$A:$A,$IM$1)/SUMIFS('Existing Customers'!$Q:$Q,'Existing Customers'!$A:$A,$IM$1,'Existing Customers'!$H:$H,$IL16),JD16),0))</f>
        <v>0</v>
      </c>
      <c r="IU16" s="783" t="e">
        <f>_xlfn.CONCAT('Customer Inputs'!$AH$14,"_",IL16)</f>
        <v>#N/A</v>
      </c>
      <c r="IV16" s="783">
        <f t="array" ref="IV16">IF('Customer Inputs'!$W$14="End",0,IFERROR(INDEX('Margin Guidence Table'!$A$1:$AG$10000,MATCH(1,('Margin Guidence Table'!$A$1:$A$10000=IU16)*('Margin Guidence Table'!$I$1:$I$10000&lt;=ROUND($IM$3,0))*('Margin Guidence Table'!$J$1:$J$10000&gt;=ROUND($IM$3,0)),0),MATCH("DATA_POINTS",'Margin Guidence Table'!$A$1:$AG$1,0)),0))</f>
        <v>0</v>
      </c>
      <c r="IW16" s="780" t="str">
        <f t="shared" si="49"/>
        <v>DEFAULT</v>
      </c>
      <c r="IX16" s="780">
        <f t="array" ref="IX16">IF('Customer Inputs'!$W$14="End",0,IFERROR(IF($IW16="SEGMENT",INDEX('Margin Guidence Table'!$A$1:$AG$10000,MATCH(1,('Margin Guidence Table'!$A$1:$A$10000=IU16)*('Margin Guidence Table'!$I$1:$I$10000&lt;=ROUND($IM$3,0))*('Margin Guidence Table'!$J$1:$J$10000&gt;=ROUND($IM$3,0)),0),MATCH("SALES_CASE",'Margin Guidence Table'!$A$1:$AG$1,0)),INDEX('Margin Guidence Table'!$A$1:$AG$10000,MATCH(1,('Margin Guidence Table'!$A$1:$A$10000=IU16)*('Margin Guidence Table'!$I$1:$I$10000&lt;=ROUND($IM$3,0))*('Margin Guidence Table'!$J$1:$J$10000&gt;=ROUND($IM$3,0)),0),MATCH("DEFAULT_SALES_CASE",'Margin Guidence Table'!$A$1:$AG$1,0))),0))</f>
        <v>0</v>
      </c>
      <c r="IY16" s="780">
        <f t="array" ref="IY16">IF('Customer Inputs'!$W$14="End",0,IFERROR(IF($IW16="SEGMENT",INDEX('Margin Guidence Table'!$A$1:$AG$10000,MATCH(1,('Margin Guidence Table'!$A$1:$A$10000=IU16)*('Margin Guidence Table'!$I$1:$I$10000&lt;=ROUND($IM$3,0))*('Margin Guidence Table'!$J$1:$J$10000&gt;=ROUND($IM$3,0)),0),MATCH("SALES_LBS",'Margin Guidence Table'!$A$1:$AG$1,0)),INDEX('Margin Guidence Table'!$A$1:$AG$10000,MATCH(1,('Margin Guidence Table'!$A$1:$A$10000=IU16)*('Margin Guidence Table'!$I$1:$I$10000&lt;=ROUND($IM$3,0))*('Margin Guidence Table'!$J$1:$J$10000&gt;=ROUND($IM$3,0)),0),MATCH("DEFAULT_SALES_LBS",'Margin Guidence Table'!$A$1:$AG$1,0))),0))</f>
        <v>0</v>
      </c>
      <c r="IZ16" s="784">
        <f t="array" ref="IZ16">IF('Customer Inputs'!$W$14="End",0,IFERROR(IF($IW16="SEGMENT",INDEX('Margin Guidence Table'!$A$1:$AG$10000,MATCH(1,('Margin Guidence Table'!$A$1:$A$10000=IU16)*('Margin Guidence Table'!$I$1:$I$10000&lt;=ROUND($IM$3,0))*('Margin Guidence Table'!$J$1:$J$10000&gt;=ROUND($IM$3,0)),0),MATCH("MDA_MIN_MARGIN_GUIDENCE",'Margin Guidence Table'!$A$1:$AG$1,0)),INDEX('Margin Guidence Table'!$A$1:$AG$10000,MATCH(1,('Margin Guidence Table'!$A$1:$A$10000=IU16)*('Margin Guidence Table'!$I$1:$I$10000&lt;=ROUND($IM$3,0))*('Margin Guidence Table'!$J$1:$J$10000&gt;=ROUND($IM$3,0)),0),MATCH("DEFAULT_MDA_MIN_MARGIN_GUIDENCE",'Margin Guidence Table'!$A$1:$AG$1,0))),0))</f>
        <v>0</v>
      </c>
      <c r="JA16" s="784">
        <f t="array" ref="JA16">IF('Customer Inputs'!$W$14="End",0,IFERROR(IF($IW16="SEGMENT",INDEX('Margin Guidence Table'!$A$1:$AG$10000,MATCH(1,('Margin Guidence Table'!$A$1:$A$10000=IU16)*('Margin Guidence Table'!$I$1:$I$10000&lt;=ROUND($IM$3,0))*('Margin Guidence Table'!$J$1:$J$10000&gt;=ROUND($IM$3,0)),0),MATCH("MDA_MEDIAN_MARGIN_GUIDENCE",'Margin Guidence Table'!$A$1:$AG$1,0)),INDEX('Margin Guidence Table'!$A$1:$AG$10000,MATCH(1,('Margin Guidence Table'!$A$1:$A$10000=IU16)*('Margin Guidence Table'!$I$1:$I$10000&lt;=ROUND($IM$3,0))*('Margin Guidence Table'!$J$1:$J$10000&gt;=ROUND($IM$3,0)),0),MATCH("DEFAULT_MDA_MEDIAN_MARGIN_GUIDENCE",'Margin Guidence Table'!$A$1:$AG$1,0))),0))</f>
        <v>0</v>
      </c>
      <c r="JB16" s="784">
        <f t="array" ref="JB16">IF('Customer Inputs'!$W$14="End",0,IFERROR(IF($IW16="SEGMENT",INDEX('Margin Guidence Table'!$A$1:$AG$10000,MATCH(1,('Margin Guidence Table'!$A$1:$A$10000=IU16)*('Margin Guidence Table'!$I$1:$I$10000&lt;=ROUND($IM$3,0))*('Margin Guidence Table'!$J$1:$J$10000&gt;=ROUND($IM$3,0)),0),MATCH("MDA_MAX_MARGIN_GUIDENCE",'Margin Guidence Table'!$A$1:$AG$1,0)),INDEX('Margin Guidence Table'!$A$1:$AG$10000,MATCH(1,('Margin Guidence Table'!$A$1:$A$10000=IU16)*('Margin Guidence Table'!$I$1:$I$10000&lt;=ROUND($IM$3,0))*('Margin Guidence Table'!$J$1:$J$10000&gt;=ROUND($IM$3,0)),0),MATCH("DEFAULT_MDA_MAX_MARGIN_GUIDENCE",'Margin Guidence Table'!$A$1:$AG$1,0))),0))</f>
        <v>0</v>
      </c>
      <c r="JC16" s="784">
        <f t="array" ref="JC16">IF('Customer Inputs'!$W$14="End",0,IFERROR(IF($IW16="SEGMENT",INDEX('Margin Guidence Table'!$A$1:$AG$10000,MATCH(1,('Margin Guidence Table'!$A$1:$A$10000=IU16)*('Margin Guidence Table'!$I$1:$I$10000&lt;=ROUND($IM$3,0))*('Margin Guidence Table'!$J$1:$J$10000&gt;=ROUND($IM$3,0)),0),MATCH("PA_PCT_SALES",'Margin Guidence Table'!$A$1:$AG$1,0)),INDEX('Margin Guidence Table'!$A$1:$AG$10000,MATCH(1,('Margin Guidence Table'!$A$1:$A$10000=IU16)*('Margin Guidence Table'!$I$1:$I$10000&lt;=ROUND($IM$3,0))*('Margin Guidence Table'!$J$1:$J$10000&gt;=ROUND($IM$3,0)),0),MATCH("DEFAULT_PA_PCT_SALES",'Margin Guidence Table'!$A$1:$AG$1,0))),0))</f>
        <v>0</v>
      </c>
      <c r="JD16" s="784">
        <f t="array" ref="JD16">IF('Customer Inputs'!$W$14="End",0,IFERROR(IF($IW16="SEGMENT",INDEX('Margin Guidence Table'!$A$1:$AG$10000,MATCH(1,('Margin Guidence Table'!$A$1:$A$10000=IU16)*('Margin Guidence Table'!$I$1:$I$10000&lt;=ROUND($IM$3,0))*('Margin Guidence Table'!$J$1:$J$10000&gt;=ROUND($IM$3,0)),0),MATCH("SELF_FUND_PCT_SALES",'Margin Guidence Table'!$A$1:$AG$1,0)),INDEX('Margin Guidence Table'!$A$1:$AG$10000,MATCH(1,('Margin Guidence Table'!$A$1:$A$10000=IU16)*('Margin Guidence Table'!$I$1:$I$10000&lt;=ROUND($IM$3,0))*('Margin Guidence Table'!$J$1:$J$10000&gt;=ROUND($IM$3,0)),0),MATCH("DEFAULT_SELF_FUND_PCT_SALES",'Margin Guidence Table'!$A$1:$AG$1,0))),0))</f>
        <v>0</v>
      </c>
      <c r="JE16" s="784">
        <f t="array" ref="JE16">IF('Customer Inputs'!$W$14="End",0,IF($IN$2="Existing",IFERROR(SUMIFS('Existing Customers'!$V:$V,'Existing Customers'!$H:$H,$IL16,'Existing Customers'!$A:$A,$IM$1)/SUMIFS('Existing Customers'!$Q:$Q,'Existing Customers'!$H:$H,$IL16,'Existing Customers'!$A:$A,$IM$1),0),IFERROR(IF($IW16="SEGMENT",INDEX('Margin Guidence Table'!$A$1:$AG$10000,MATCH(1,('Margin Guidence Table'!$A$1:$A$10000=IU16)*('Margin Guidence Table'!$I$1:$I$10000&lt;=ROUND($IM$3,0))*('Margin Guidence Table'!$J$1:$J$10000&gt;=ROUND($IM$3,0)),0),MATCH("CIA_MEDIAN_MARGIN_GUIDENCE",'Margin Guidence Table'!$A$1:$AG$1,0)),INDEX('Margin Guidence Table'!$A$1:$AG$10000,MATCH(1,('Margin Guidence Table'!$A$1:$A$10000=IU16)*('Margin Guidence Table'!$I$1:$I$10000&lt;=ROUND($IM$3,0))*('Margin Guidence Table'!$J$1:$J$10000&gt;=ROUND($IM$3,0)),0),MATCH("DEFAULT_CIA_MEDIAN_MARGIN_GUIDENCE",'Margin Guidence Table'!$A$1:$AG$1,0))),0)))</f>
        <v>0</v>
      </c>
      <c r="JF16" s="126"/>
      <c r="JG16" s="18">
        <f t="array" ref="JG16">IF('Customer Inputs'!$W$15="End",0,IFERROR(IF($JT16="SEGMENT",INDEX('Margin Guidence Table'!$A$1:$AG$10000,MATCH(1,('Margin Guidence Table'!$A$1:$A$10000=$JR16)*('Margin Guidence Table'!$I$1:$I$10000&lt;=ROUND($JJ$3,0))*('Margin Guidence Table'!$J$1:$J$10000&gt;=ROUND($JJ$3,0)),0),MATCH("PCT_SALES",'Margin Guidence Table'!$A$1:$AG$1,0)),INDEX('Margin Guidence Table'!$A$1:$AG$10000,MATCH(1,('Margin Guidence Table'!$A$1:$A$10000=$JR16)*('Margin Guidence Table'!$I$1:$I$10000&lt;=ROUND($JJ$3,0))*('Margin Guidence Table'!$J$1:$J$10000&gt;=ROUND($JJ$3,0)),0),MATCH("DEFAULT_PCT_SALES",'Margin Guidence Table'!$A$1:$AG$1,0))),0))</f>
        <v>0</v>
      </c>
      <c r="JH16" s="297" t="e">
        <f t="shared" si="50"/>
        <v>#DIV/0!</v>
      </c>
      <c r="JI16" s="99" t="s">
        <v>1296</v>
      </c>
      <c r="JJ16" s="91">
        <f>IF('Customer Inputs'!$W$15="End",0,IFERROR(IF(AND($JJ$2&lt;&gt;"Enter Spend&gt;&gt;&gt;",$JK$2="EXISTING"),SUMIFS('Existing Customers'!$Q:$Q,'Existing Customers'!$A:$A,$JJ$1,'Existing Customers'!$H:$H,$JI16)*$JJ$4,$JJ$3*$JH16),0))</f>
        <v>0</v>
      </c>
      <c r="JK16" s="86">
        <f>IF('Customer Inputs'!$W$15="End",0,IFERROR(IF(AND($JJ$2&lt;&gt;"Enter Spend&gt;&gt;&gt;",$JK$2="EXISTING"),SUMIFS('Existing Customers'!$N:$N,'Existing Customers'!$A:$A,$JJ$1,'Existing Customers'!$H:$H,$JI16)*$JJ$4,$JJ16/$JU16),0))</f>
        <v>0</v>
      </c>
      <c r="JL16" s="92">
        <f>IF('Customer Inputs'!$W$15="End",0,IFERROR(IF(AND($JJ$2&lt;&gt;"Enter Spend&gt;&gt;&gt;",$JK$2="EXISTING"),SUMIFS('Existing Customers'!$O:$O,'Existing Customers'!$H:$H,$JI16,'Existing Customers'!$A:$A,$JJ$1)*$JJ$4,$JK16*$JJ$8),0))</f>
        <v>0</v>
      </c>
      <c r="JM16" s="92">
        <f>IF('Customer Inputs'!$W$15="End",0,IFERROR(IF(AND($JJ$2&lt;&gt;"Enter Spend&gt;&gt;&gt;",$JK$2="EXISTING"),SUMIFS('Existing Customers'!$P:$P,'Existing Customers'!$A:$A,$JJ$1,'Existing Customers'!$H:$H,$JI16)*$JJ$4,$JJ16/$JV16),0))</f>
        <v>0</v>
      </c>
      <c r="JN16" s="303">
        <f>IF('Customer Inputs'!$W$15="End",0,IFERROR(IF(AND($JJ$2&lt;&gt;"Enter Spend&gt;&gt;&gt;",$JK$2="EXISTING"),SUMIFS('Existing Customers'!$V:$V,'Existing Customers'!$H:$H,$JI16,'Existing Customers'!$A:$A,$JJ$1)*$JJ$4,0),0))</f>
        <v>0</v>
      </c>
      <c r="JO16" s="93">
        <f>IF('Customer Inputs'!$W$15="End",0,IFERROR(IF(AND($JJ$2&lt;&gt;"Enter Spend&gt;&gt;&gt;",$JK$2="EXISTING"),SUMIFS('Existing Customers'!$R:$R,'Existing Customers'!$H:$H,$JI16,'Existing Customers'!$A:$A,$JJ$1)*$JJ$4,0),0))</f>
        <v>0</v>
      </c>
      <c r="JP16" s="780">
        <f>IF('Customer Inputs'!$W$15="End",0,IFERROR(IF(AND($JJ$2&lt;&gt;"Enter Spend&gt;&gt;&gt;",$JK$2="EXISTING"),SUMIFS('Existing Customers'!$S:$S,'Existing Customers'!$H:$H,$JI16,'Existing Customers'!$A:$A,$JJ$1)/SUMIFS('Existing Customers'!$Q:$Q,'Existing Customers'!$A:$A,$JJ$1,'Existing Customers'!$H:$H,$JI16),JZ16),0))</f>
        <v>0</v>
      </c>
      <c r="JQ16" s="780">
        <f>IF('Customer Inputs'!$W$15="End",0,IFERROR(IF(AND($JJ$2&lt;&gt;"Enter Spend&gt;&gt;&gt;",$JK$2="EXISTING"),SUMIFS('Existing Customers'!$U:$U,'Existing Customers'!$H:$H,$JI16,'Existing Customers'!$A:$A,$JJ$1)/SUMIFS('Existing Customers'!$Q:$Q,'Existing Customers'!$A:$A,$JJ$1,'Existing Customers'!$H:$H,$JI16),KA16),0))</f>
        <v>0</v>
      </c>
      <c r="JR16" s="783" t="e">
        <f>_xlfn.CONCAT('Customer Inputs'!$AH$15,"_",JI16)</f>
        <v>#N/A</v>
      </c>
      <c r="JS16" s="783">
        <f t="array" ref="JS16">IF('Customer Inputs'!$W$15="End",0,IFERROR(INDEX('Margin Guidence Table'!$A$1:$AG$10000,MATCH(1,('Margin Guidence Table'!$A$1:$A$10000=JR16)*('Margin Guidence Table'!$I$1:$I$10000&lt;=ROUND($JJ$3,0))*('Margin Guidence Table'!$J$1:$J$10000&gt;=ROUND($JJ$3,0)),0),MATCH("DATA_POINTS",'Margin Guidence Table'!$A$1:$AG$1,0)),0))</f>
        <v>0</v>
      </c>
      <c r="JT16" s="780" t="str">
        <f t="shared" si="51"/>
        <v>DEFAULT</v>
      </c>
      <c r="JU16" s="780">
        <f t="array" ref="JU16">IF('Customer Inputs'!$W$15="End",0,IFERROR(IF($JT16="SEGMENT",INDEX('Margin Guidence Table'!$A$1:$AG$10000,MATCH(1,('Margin Guidence Table'!$A$1:$A$10000=JR16)*('Margin Guidence Table'!$I$1:$I$10000&lt;=ROUND($JJ$3,0))*('Margin Guidence Table'!$J$1:$J$10000&gt;=ROUND($JJ$3,0)),0),MATCH("SALES_CASE",'Margin Guidence Table'!$A$1:$AG$1,0)),INDEX('Margin Guidence Table'!$A$1:$AG$10000,MATCH(1,('Margin Guidence Table'!$A$1:$A$10000=JR16)*('Margin Guidence Table'!$I$1:$I$10000&lt;=ROUND($JJ$3,0))*('Margin Guidence Table'!$J$1:$J$10000&gt;=ROUND($JJ$3,0)),0),MATCH("DEFAULT_SALES_CASE",'Margin Guidence Table'!$A$1:$AG$1,0))),0))</f>
        <v>0</v>
      </c>
      <c r="JV16" s="780">
        <f t="array" ref="JV16">IF('Customer Inputs'!$W$15="End",0,IFERROR(IF($JT16="SEGMENT",INDEX('Margin Guidence Table'!$A$1:$AG$10000,MATCH(1,('Margin Guidence Table'!$A$1:$A$10000=JR16)*('Margin Guidence Table'!$I$1:$I$10000&lt;=ROUND($JJ$3,0))*('Margin Guidence Table'!$J$1:$J$10000&gt;=ROUND($JJ$3,0)),0),MATCH("SALES_LBS",'Margin Guidence Table'!$A$1:$AG$1,0)),INDEX('Margin Guidence Table'!$A$1:$AG$10000,MATCH(1,('Margin Guidence Table'!$A$1:$A$10000=JR16)*('Margin Guidence Table'!$I$1:$I$10000&lt;=ROUND($JJ$3,0))*('Margin Guidence Table'!$J$1:$J$10000&gt;=ROUND($JJ$3,0)),0),MATCH("DEFAULT_SALES_LBS",'Margin Guidence Table'!$A$1:$AG$1,0))),0))</f>
        <v>0</v>
      </c>
      <c r="JW16" s="784">
        <f t="array" ref="JW16">IF('Customer Inputs'!$W$15="End",0,IFERROR(IF($JT16="SEGMENT",INDEX('Margin Guidence Table'!$A$1:$AG$10000,MATCH(1,('Margin Guidence Table'!$A$1:$A$10000=JR16)*('Margin Guidence Table'!$I$1:$I$10000&lt;=ROUND($JJ$3,0))*('Margin Guidence Table'!$J$1:$J$10000&gt;=ROUND($JJ$3,0)),0),MATCH("MDA_MIN_MARGIN_GUIDENCE",'Margin Guidence Table'!$A$1:$AG$1,0)),INDEX('Margin Guidence Table'!$A$1:$AG$10000,MATCH(1,('Margin Guidence Table'!$A$1:$A$10000=JR16)*('Margin Guidence Table'!$I$1:$I$10000&lt;=ROUND($JJ$3,0))*('Margin Guidence Table'!$J$1:$J$10000&gt;=ROUND($JJ$3,0)),0),MATCH("DEFAULT_MDA_MIN_MARGIN_GUIDENCE",'Margin Guidence Table'!$A$1:$AG$1,0))),0))</f>
        <v>0</v>
      </c>
      <c r="JX16" s="784">
        <f t="array" ref="JX16">IF('Customer Inputs'!$W$15="End",0,IFERROR(IF($JT16="SEGMENT",INDEX('Margin Guidence Table'!$A$1:$AG$10000,MATCH(1,('Margin Guidence Table'!$A$1:$A$10000=JR16)*('Margin Guidence Table'!$I$1:$I$10000&lt;=ROUND($JJ$3,0))*('Margin Guidence Table'!$J$1:$J$10000&gt;=ROUND($JJ$3,0)),0),MATCH("MDA_MEDIAN_MARGIN_GUIDENCE",'Margin Guidence Table'!$A$1:$AG$1,0)),INDEX('Margin Guidence Table'!$A$1:$AG$10000,MATCH(1,('Margin Guidence Table'!$A$1:$A$10000=JR16)*('Margin Guidence Table'!$I$1:$I$10000&lt;=ROUND($JJ$3,0))*('Margin Guidence Table'!$J$1:$J$10000&gt;=ROUND($JJ$3,0)),0),MATCH("DEFAULT_MDA_MEDIAN_MARGIN_GUIDENCE",'Margin Guidence Table'!$A$1:$AG$1,0))),0))</f>
        <v>0</v>
      </c>
      <c r="JY16" s="784">
        <f t="array" ref="JY16">IF('Customer Inputs'!$W$15="End",0,IFERROR(IF($JT16="SEGMENT",INDEX('Margin Guidence Table'!$A$1:$AG$10000,MATCH(1,('Margin Guidence Table'!$A$1:$A$10000=JR16)*('Margin Guidence Table'!$I$1:$I$10000&lt;=ROUND($JJ$3,0))*('Margin Guidence Table'!$J$1:$J$10000&gt;=ROUND($JJ$3,0)),0),MATCH("MDA_MAX_MARGIN_GUIDENCE",'Margin Guidence Table'!$A$1:$AG$1,0)),INDEX('Margin Guidence Table'!$A$1:$AG$10000,MATCH(1,('Margin Guidence Table'!$A$1:$A$10000=JR16)*('Margin Guidence Table'!$I$1:$I$10000&lt;=ROUND($JJ$3,0))*('Margin Guidence Table'!$J$1:$J$10000&gt;=ROUND($JJ$3,0)),0),MATCH("DEFAULT_MDA_MAX_MARGIN_GUIDENCE",'Margin Guidence Table'!$A$1:$AG$1,0))),0))</f>
        <v>0</v>
      </c>
      <c r="JZ16" s="784">
        <f t="array" ref="JZ16">IF('Customer Inputs'!$W$15="End",0,IFERROR(IF($JT16="SEGMENT",INDEX('Margin Guidence Table'!$A$1:$AG$10000,MATCH(1,('Margin Guidence Table'!$A$1:$A$10000=JR16)*('Margin Guidence Table'!$I$1:$I$10000&lt;=ROUND($JJ$3,0))*('Margin Guidence Table'!$J$1:$J$10000&gt;=ROUND($JJ$3,0)),0),MATCH("PA_PCT_SALES",'Margin Guidence Table'!$A$1:$AG$1,0)),INDEX('Margin Guidence Table'!$A$1:$AG$10000,MATCH(1,('Margin Guidence Table'!$A$1:$A$10000=JR16)*('Margin Guidence Table'!$I$1:$I$10000&lt;=ROUND($JJ$3,0))*('Margin Guidence Table'!$J$1:$J$10000&gt;=ROUND($JJ$3,0)),0),MATCH("DEFAULT_PA_PCT_SALES",'Margin Guidence Table'!$A$1:$AG$1,0))),0))</f>
        <v>0</v>
      </c>
      <c r="KA16" s="784" cm="1">
        <f t="array" ref="KA16">IF('Customer Inputs'!$W$15="End",0,IFERROR(IF($JT16="SEGMENT",INDEX('Margin Guidence Table'!$A$1:$AG$10000,MATCH(1,('Margin Guidence Table'!$A$1:$A$10000=JR16)*('Margin Guidence Table'!$I$1:$I$10000&lt;=ROUND($JJ$3,0))*('Margin Guidence Table'!$J$1:$J$10000&gt;=ROUND($JJ$3,0)),0),MATCH("SELF_FUND_PCT_SALES",'Margin Guidence Table'!$A$1:$AG$1,0)),INDEX('Margin Guidence Table'!$A$1:$AG$10000,MATCH(1,('Margin Guidence Table'!$A$1:$A$10000=JR16)*('Margin Guidence Table'!$I$1:$I$10000&lt;=ROUND($JJ$3,0))*('Margin Guidence Table'!$J$1:$J$10000&gt;=ROUND($JJ$3,0)),0),MATCH("DEFAULT_SELF_FUND_PCT_SALES",'Margin Guidence Table'!$A$1:$AG$1,0))),0))</f>
        <v>0</v>
      </c>
      <c r="KB16" s="784">
        <f t="array" ref="KB16">IF('Customer Inputs'!$W$15="End",0,IF($JK$2="Existing",IFERROR(SUMIFS('Existing Customers'!$V:$V,'Existing Customers'!$H:$H,$JI16,'Existing Customers'!$A:$A,$JJ$1)/SUMIFS('Existing Customers'!$Q:$Q,'Existing Customers'!$H:$H,$JI16,'Existing Customers'!$A:$A,$JJ$1),0),IFERROR(IF($JT16="SEGMENT",INDEX('Margin Guidence Table'!$A$1:$AG$10000,MATCH(1,('Margin Guidence Table'!$A$1:$A$10000=JR16)*('Margin Guidence Table'!$I$1:$I$10000&lt;=ROUND($JJ$3,0))*('Margin Guidence Table'!$J$1:$J$10000&gt;=ROUND($JJ$3,0)),0),MATCH("CIA_MEDIAN_MARGIN_GUIDENCE",'Margin Guidence Table'!$A$1:$AG$1,0)),INDEX('Margin Guidence Table'!$A$1:$AG$10000,MATCH(1,('Margin Guidence Table'!$A$1:$A$10000=JR16)*('Margin Guidence Table'!$I$1:$I$10000&lt;=ROUND($JJ$3,0))*('Margin Guidence Table'!$J$1:$J$10000&gt;=ROUND($JJ$3,0)),0),MATCH("DEFAULT_CIA_MEDIAN_MARGIN_GUIDENCE",'Margin Guidence Table'!$A$1:$AG$1,0))),0)))</f>
        <v>0</v>
      </c>
      <c r="KC16" s="784"/>
      <c r="KD16" s="18">
        <f t="array" ref="KD16">IF('Customer Inputs'!$W$16="End",0,IFERROR(IF($KQ16="SEGMENT",INDEX('Margin Guidence Table'!$A$1:$AG$10000,MATCH(1,('Margin Guidence Table'!$A$1:$A$10000=$KO16)*('Margin Guidence Table'!$I$1:$I$10000&lt;=ROUND($KG$3,0))*('Margin Guidence Table'!$J$1:$J$10000&gt;=ROUND($KG$3,0)),0),MATCH("PCT_SALES",'Margin Guidence Table'!$A$1:$AG$1,0)),INDEX('Margin Guidence Table'!$A$1:$AG$10000,MATCH(1,('Margin Guidence Table'!$A$1:$A$10000=$KO16)*('Margin Guidence Table'!$I$1:$I$10000&lt;=ROUND($KG$3,0))*('Margin Guidence Table'!$J$1:$J$10000&gt;=ROUND($KG$3,0)),0),MATCH("DEFAULT_PCT_SALES",'Margin Guidence Table'!$A$1:$AG$1,0))),0))</f>
        <v>0</v>
      </c>
      <c r="KE16" s="1713" t="e">
        <f t="shared" si="52"/>
        <v>#DIV/0!</v>
      </c>
      <c r="KF16" s="99" t="s">
        <v>1296</v>
      </c>
      <c r="KG16" s="91">
        <f>IF('Customer Inputs'!$W$16="End",0,IFERROR(IF(AND($KG$2&lt;&gt;"Enter Spend&gt;&gt;&gt;",$KH$2="EXISTING"),SUMIFS('Existing Customers'!$Q:$Q,'Existing Customers'!$A:$A,$KG$1,'Existing Customers'!$H:$H,$KF16)*$KG$4,$KG$3*$KE16),0))</f>
        <v>0</v>
      </c>
      <c r="KH16" s="86">
        <f>IF('Customer Inputs'!$W$16="End",0,IFERROR(IF(AND($KG$2&lt;&gt;"Enter Spend&gt;&gt;&gt;",$KH$2="EXISTING"),SUMIFS('Existing Customers'!$N:$N,'Existing Customers'!$A:$A,$KG$1,'Existing Customers'!$H:$H,$KF16)*$KG$4,$KG16/$KR16),0))</f>
        <v>0</v>
      </c>
      <c r="KI16" s="92">
        <f>IF('Customer Inputs'!$W$16="End",0,IFERROR(IF(AND($KG$2&lt;&gt;"Enter Spend&gt;&gt;&gt;",$KH$2="EXISTING"),SUMIFS('Existing Customers'!$O:$O,'Existing Customers'!$H:$H,$KF16,'Existing Customers'!$A:$A,$KG$1)*$KG$4,$KH16*$KG$8),0))</f>
        <v>0</v>
      </c>
      <c r="KJ16" s="92">
        <f>IF('Customer Inputs'!$W$16="End",0,IFERROR(IF(AND($KG$2&lt;&gt;"Enter Spend&gt;&gt;&gt;",$KH$2="EXISTING"),SUMIFS('Existing Customers'!$P:$P,'Existing Customers'!$A:$A,$KG$1,'Existing Customers'!$H:$H,$KF16)*$KG$4,$KG16/$KS16),0))</f>
        <v>0</v>
      </c>
      <c r="KK16" s="303">
        <f>IF('Customer Inputs'!$W$16="End",0,IFERROR(IF(AND($KG$2&lt;&gt;"Enter Spend&gt;&gt;&gt;",$KH$2="EXISTING"),SUMIFS('Existing Customers'!$V:$V,'Existing Customers'!$H:$H,$KF16,'Existing Customers'!$A:$A,$KG$1)*$KG$4,0),0))</f>
        <v>0</v>
      </c>
      <c r="KL16" s="93">
        <f>IF('Customer Inputs'!$W$16="End",0,IFERROR(IF(AND($KG$2&lt;&gt;"Enter Spend&gt;&gt;&gt;",$KH$2="EXISTING"),SUMIFS('Existing Customers'!$R:$R,'Existing Customers'!$H:$H,$KF16,'Existing Customers'!$A:$A,$KG$1)*$KG$4,0),0))</f>
        <v>0</v>
      </c>
      <c r="KM16" s="780">
        <f>IF('Customer Inputs'!$W$16="End",0,IFERROR(IF(AND($KG$2&lt;&gt;"Enter Spend&gt;&gt;&gt;",$KH$2="EXISTING"),SUMIFS('Existing Customers'!$S:$S,'Existing Customers'!$H:$H,$KF16,'Existing Customers'!$A:$A,$KG$1)/SUMIFS('Existing Customers'!$Q:$Q,'Existing Customers'!$A:$A,$KG$1,'Existing Customers'!$H:$H,$KF16),KW16),0))</f>
        <v>0</v>
      </c>
      <c r="KN16" s="780">
        <f>IF('Customer Inputs'!$W$16="End",0,IFERROR(IF(AND($KG$2&lt;&gt;"Enter Spend&gt;&gt;&gt;",$KH$2="EXISTING"),SUMIFS('Existing Customers'!$U:$U,'Existing Customers'!$H:$H,$KF16,'Existing Customers'!$A:$A,$KG$1)/SUMIFS('Existing Customers'!$Q:$Q,'Existing Customers'!$A:$A,$KG$1,'Existing Customers'!$H:$H,$KF16),KX16),0))</f>
        <v>0</v>
      </c>
      <c r="KO16" s="783" t="e">
        <f>_xlfn.CONCAT('Customer Inputs'!$AH$16,"_",KF16)</f>
        <v>#N/A</v>
      </c>
      <c r="KP16" s="783">
        <f t="array" ref="KP16">IF('Customer Inputs'!$W$16="End",0,IFERROR(INDEX('Margin Guidence Table'!$A$1:$AG$10000,MATCH(1,('Margin Guidence Table'!$A$1:$A$10000=KO16)*('Margin Guidence Table'!$I$1:$I$10000&lt;=ROUND($KG$3,0))*('Margin Guidence Table'!$J$1:$J$10000&gt;=ROUND($KG$3,0)),0),MATCH("DATA_POINTS",'Margin Guidence Table'!$A$1:$AG$1,0)),0))</f>
        <v>0</v>
      </c>
      <c r="KQ16" s="780" t="str">
        <f t="shared" si="53"/>
        <v>DEFAULT</v>
      </c>
      <c r="KR16" s="780">
        <f t="array" ref="KR16">IF('Customer Inputs'!$W$16="End",0,IFERROR(IF($KQ16="SEGMENT",INDEX('Margin Guidence Table'!$A$1:$AG$10000,MATCH(1,('Margin Guidence Table'!$A$1:$A$10000=KO16)*('Margin Guidence Table'!$I$1:$I$10000&lt;=ROUND($KG$3,0))*('Margin Guidence Table'!$J$1:$J$10000&gt;=ROUND($KG$3,0)),0),MATCH("SALES_CASE",'Margin Guidence Table'!$A$1:$AG$1,0)),INDEX('Margin Guidence Table'!$A$1:$AG$10000,MATCH(1,('Margin Guidence Table'!$A$1:$A$10000=KO16)*('Margin Guidence Table'!$I$1:$I$10000&lt;=ROUND($KG$3,0))*('Margin Guidence Table'!$J$1:$J$10000&gt;=ROUND($KG$3,0)),0),MATCH("DEFAULT_SALES_CASE",'Margin Guidence Table'!$A$1:$AG$1,0))),0))</f>
        <v>0</v>
      </c>
      <c r="KS16" s="780">
        <f t="array" ref="KS16">IF('Customer Inputs'!$W$16="End",0,IFERROR(IF($KQ16="SEGMENT",INDEX('Margin Guidence Table'!$A$1:$AG$10000,MATCH(1,('Margin Guidence Table'!$A$1:$A$10000=KO16)*('Margin Guidence Table'!$I$1:$I$10000&lt;=ROUND($KG$3,0))*('Margin Guidence Table'!$J$1:$J$10000&gt;=ROUND($KG$3,0)),0),MATCH("SALES_LBS",'Margin Guidence Table'!$A$1:$AG$1,0)),INDEX('Margin Guidence Table'!$A$1:$AG$10000,MATCH(1,('Margin Guidence Table'!$A$1:$A$10000=KO16)*('Margin Guidence Table'!$I$1:$I$10000&lt;=ROUND($KG$3,0))*('Margin Guidence Table'!$J$1:$J$10000&gt;=ROUND($KG$3,0)),0),MATCH("DEFAULT_SALES_LBS",'Margin Guidence Table'!$A$1:$AG$1,0))),0))</f>
        <v>0</v>
      </c>
      <c r="KT16" s="784">
        <f t="array" ref="KT16">IF('Customer Inputs'!$W$16="End",0,IFERROR(IF($KQ16="SEGMENT",INDEX('Margin Guidence Table'!$A$1:$AG$10000,MATCH(1,('Margin Guidence Table'!$A$1:$A$10000=KO16)*('Margin Guidence Table'!$I$1:$I$10000&lt;=ROUND($KG$3,0))*('Margin Guidence Table'!$J$1:$J$10000&gt;=ROUND($KG$3,0)),0),MATCH("MDA_MIN_MARGIN_GUIDENCE",'Margin Guidence Table'!$A$1:$AG$1,0)),INDEX('Margin Guidence Table'!$A$1:$AG$10000,MATCH(1,('Margin Guidence Table'!$A$1:$A$10000=KO16)*('Margin Guidence Table'!$I$1:$I$10000&lt;=ROUND($KG$3,0))*('Margin Guidence Table'!$J$1:$J$10000&gt;=ROUND($KG$3,0)),0),MATCH("DEFAULT_MDA_MIN_MARGIN_GUIDENCE",'Margin Guidence Table'!$A$1:$AG$1,0))),0))</f>
        <v>0</v>
      </c>
      <c r="KU16" s="784">
        <f t="array" ref="KU16">IF('Customer Inputs'!$W$16="End",0,IFERROR(IF($KQ16="SEGMENT",INDEX('Margin Guidence Table'!$A$1:$AG$10000,MATCH(1,('Margin Guidence Table'!$A$1:$A$10000=KO16)*('Margin Guidence Table'!$I$1:$I$10000&lt;=ROUND($KG$3,0))*('Margin Guidence Table'!$J$1:$J$10000&gt;=ROUND($KG$3,0)),0),MATCH("MDA_MEDIAN_MARGIN_GUIDENCE",'Margin Guidence Table'!$A$1:$AG$1,0)),INDEX('Margin Guidence Table'!$A$1:$AG$10000,MATCH(1,('Margin Guidence Table'!$A$1:$A$10000=KO16)*('Margin Guidence Table'!$I$1:$I$10000&lt;=ROUND($KG$3,0))*('Margin Guidence Table'!$J$1:$J$10000&gt;=ROUND($KG$3,0)),0),MATCH("DEFAULT_MDA_MEDIAN_MARGIN_GUIDENCE",'Margin Guidence Table'!$A$1:$AG$1,0))),0))</f>
        <v>0</v>
      </c>
      <c r="KV16" s="784">
        <f t="array" ref="KV16">IF('Customer Inputs'!$W$16="End",0,IFERROR(IF($KQ16="SEGMENT",INDEX('Margin Guidence Table'!$A$1:$AG$10000,MATCH(1,('Margin Guidence Table'!$A$1:$A$10000=KO16)*('Margin Guidence Table'!$I$1:$I$10000&lt;=ROUND($KG$3,0))*('Margin Guidence Table'!$J$1:$J$10000&gt;=ROUND($KG$3,0)),0),MATCH("MDA_MAX_MARGIN_GUIDENCE",'Margin Guidence Table'!$A$1:$AG$1,0)),INDEX('Margin Guidence Table'!$A$1:$AG$10000,MATCH(1,('Margin Guidence Table'!$A$1:$A$10000=KO16)*('Margin Guidence Table'!$I$1:$I$10000&lt;=ROUND($KG$3,0))*('Margin Guidence Table'!$J$1:$J$10000&gt;=ROUND($KG$3,0)),0),MATCH("DEFAULT_MDA_MAX_MARGIN_GUIDENCE",'Margin Guidence Table'!$A$1:$AG$1,0))),0))</f>
        <v>0</v>
      </c>
      <c r="KW16" s="784">
        <f t="array" ref="KW16">IF('Customer Inputs'!$W$16="End",0,IFERROR(IF($KQ16="SEGMENT",INDEX('Margin Guidence Table'!$A$1:$AG$10000,MATCH(1,('Margin Guidence Table'!$A$1:$A$10000=KO16)*('Margin Guidence Table'!$I$1:$I$10000&lt;=ROUND($KG$3,0))*('Margin Guidence Table'!$J$1:$J$10000&gt;=ROUND($KG$3,0)),0),MATCH("PA_PCT_SALES",'Margin Guidence Table'!$A$1:$AG$1,0)),INDEX('Margin Guidence Table'!$A$1:$AG$10000,MATCH(1,('Margin Guidence Table'!$A$1:$A$10000=KO16)*('Margin Guidence Table'!$I$1:$I$10000&lt;=ROUND($KG$3,0))*('Margin Guidence Table'!$J$1:$J$10000&gt;=ROUND($KG$3,0)),0),MATCH("DEFAULT_PA_PCT_SALES",'Margin Guidence Table'!$A$1:$AG$1,0))),0))</f>
        <v>0</v>
      </c>
      <c r="KX16" s="784">
        <f t="array" ref="KX16">IF('Customer Inputs'!$W$16="End",0,IFERROR(IF($KQ16="SEGMENT",INDEX('Margin Guidence Table'!$A$1:$AG$10000,MATCH(1,('Margin Guidence Table'!$A$1:$A$10000=KO16)*('Margin Guidence Table'!$I$1:$I$10000&lt;=ROUND($KG$3,0))*('Margin Guidence Table'!$J$1:$J$10000&gt;=ROUND($KG$3,0)),0),MATCH("SELF_FUND_PCT_SALES",'Margin Guidence Table'!$A$1:$AG$1,0)),INDEX('Margin Guidence Table'!$A$1:$AG$10000,MATCH(1,('Margin Guidence Table'!$A$1:$A$10000=KO16)*('Margin Guidence Table'!$I$1:$I$10000&lt;=ROUND($KG$3,0))*('Margin Guidence Table'!$J$1:$J$10000&gt;=ROUND($KG$3,0)),0),MATCH("DEFAULT_SELF_FUND_PCT_SALES",'Margin Guidence Table'!$A$1:$AG$1,0))),0))</f>
        <v>0</v>
      </c>
      <c r="KY16" s="784">
        <f t="array" ref="KY16">IF('Customer Inputs'!$W$16="End",0,IF($KH$2="Existing",IFERROR(SUMIFS('Existing Customers'!$V:$V,'Existing Customers'!$H:$H,$KF16,'Existing Customers'!$A:$A,$KG$1)/SUMIFS('Existing Customers'!$Q:$Q,'Existing Customers'!$H:$H,$KF16,'Existing Customers'!$A:$A,$KG$1),0),IFERROR(IF($KQ16="SEGMENT",INDEX('Margin Guidence Table'!$A$1:$AG$10000,MATCH(1,('Margin Guidence Table'!$A$1:$A$10000=KO16)*('Margin Guidence Table'!$I$1:$I$10000&lt;=ROUND($KG$3,0))*('Margin Guidence Table'!$J$1:$J$10000&gt;=ROUND($KG$3,0)),0),MATCH("CIA_MEDIAN_MARGIN_GUIDENCE",'Margin Guidence Table'!$A$1:$AG$1,0)),INDEX('Margin Guidence Table'!$A$1:$AG$10000,MATCH(1,('Margin Guidence Table'!$A$1:$A$10000=KO16)*('Margin Guidence Table'!$I$1:$I$10000&lt;=ROUND($KG$3,0))*('Margin Guidence Table'!$J$1:$J$10000&gt;=ROUND($KG$3,0)),0),MATCH("DEFAULT_CIA_MEDIAN_MARGIN_GUIDENCE",'Margin Guidence Table'!$A$1:$AG$1,0))),0)))</f>
        <v>0</v>
      </c>
      <c r="KZ16" s="784"/>
      <c r="LA16" s="18">
        <f t="array" ref="LA16">IF('Customer Inputs'!$W$17="End",0,IFERROR(IF($LN16="SEGMENT",INDEX('Margin Guidence Table'!$A$1:$AG$10000,MATCH(1,('Margin Guidence Table'!$A$1:$A$10000=$LL16)*('Margin Guidence Table'!$I$1:$I$10000&lt;=ROUND($LD$3,0))*('Margin Guidence Table'!$J$1:$J$10000&gt;=ROUND($LD$3,0)),0),MATCH("PCT_SALES",'Margin Guidence Table'!$A$1:$AG$1,0)),INDEX('Margin Guidence Table'!$A$1:$AG$10000,MATCH(1,('Margin Guidence Table'!$A$1:$A$10000=$LL16)*('Margin Guidence Table'!$I$1:$I$10000&lt;=ROUND($LD$3,0))*('Margin Guidence Table'!$J$1:$J$10000&gt;=ROUND($LD$3,0)),0),MATCH("DEFAULT_PCT_SALES",'Margin Guidence Table'!$A$1:$AG$1,0))),0))</f>
        <v>0</v>
      </c>
      <c r="LB16" s="1713" t="e">
        <f t="shared" si="54"/>
        <v>#DIV/0!</v>
      </c>
      <c r="LC16" s="99" t="s">
        <v>1296</v>
      </c>
      <c r="LD16" s="91">
        <f>IF('Customer Inputs'!$W$17="End",0,IFERROR(IF(AND($LD$2&lt;&gt;"Enter Spend&gt;&gt;&gt;",$LE$2="EXISTING"),SUMIFS('Existing Customers'!$Q:$Q,'Existing Customers'!$A:$A,$LD$1,'Existing Customers'!$H:$H,$LC16)*$LD$4,$LD$3*$LB16),0))</f>
        <v>0</v>
      </c>
      <c r="LE16" s="86">
        <f>IF('Customer Inputs'!$W$17="End",0,IFERROR(IF(AND($LD$2&lt;&gt;"Enter Spend&gt;&gt;&gt;",$LE$2="EXISTING"),SUMIFS('Existing Customers'!$N:$N,'Existing Customers'!$A:$A,$LD$1,'Existing Customers'!$H:$H,$LC16)*$LD$4,$LD16/$LO16),0))</f>
        <v>0</v>
      </c>
      <c r="LF16" s="92">
        <f>IF('Customer Inputs'!$W$17="End",0,IFERROR(IF(AND($LD$2&lt;&gt;"Enter Spend&gt;&gt;&gt;",$LE$2="EXISTING"),SUMIFS('Existing Customers'!$O:$O,'Existing Customers'!$H:$H,$LC16,'Existing Customers'!$A:$A,$LD$1)*$LD$4,$LE16*$LD$8),0))</f>
        <v>0</v>
      </c>
      <c r="LG16" s="92">
        <f>IF('Customer Inputs'!$W$17="End",0,IFERROR(IF(AND($LD$2&lt;&gt;"Enter Spend&gt;&gt;&gt;",$LE$2="EXISTING"),SUMIFS('Existing Customers'!$P:$P,'Existing Customers'!$A:$A,$LD$1,'Existing Customers'!$H:$H,$LC16)*$LD$4,$LD16/$LP16),0))</f>
        <v>0</v>
      </c>
      <c r="LH16" s="303">
        <f>IF('Customer Inputs'!$W$17="End",0,IFERROR(IF(AND($LD$2&lt;&gt;"Enter Spend&gt;&gt;&gt;",$LE$2="EXISTING"),SUMIFS('Existing Customers'!$V:$V,'Existing Customers'!$H:$H,$LC16,'Existing Customers'!$A:$A,$LD$1)*$LD$4,0),0))</f>
        <v>0</v>
      </c>
      <c r="LI16" s="93">
        <f>IF('Customer Inputs'!$W$17="End",0,IFERROR(IF(AND($LD$2&lt;&gt;"Enter Spend&gt;&gt;&gt;",$LE$2="EXISTING"),SUMIFS('Existing Customers'!$R:$R,'Existing Customers'!$H:$H,$LC16,'Existing Customers'!$A:$A,$LD$1)*$LD$4,0),0))</f>
        <v>0</v>
      </c>
      <c r="LJ16" s="780">
        <f>IF('Customer Inputs'!$W$17="End",0,IFERROR(IF(AND($LD$2&lt;&gt;"Enter Spend&gt;&gt;&gt;",$LE$2="EXISTING"),SUMIFS('Existing Customers'!$S:$S,'Existing Customers'!$H:$H,$LC16,'Existing Customers'!$A:$A,$LD$1)/SUMIFS('Existing Customers'!$Q:$Q,'Existing Customers'!$A:$A,$LD$1,'Existing Customers'!$H:$H,$LC16),LT16),0))</f>
        <v>0</v>
      </c>
      <c r="LK16" s="780">
        <f>IF('Customer Inputs'!$W$17="End",0,IFERROR(IF(AND($LD$2&lt;&gt;"Enter Spend&gt;&gt;&gt;",$LE$2="EXISTING"),SUMIFS('Existing Customers'!$U:$U,'Existing Customers'!$H:$H,$LC16,'Existing Customers'!$A:$A,$LD$1)/SUMIFS('Existing Customers'!$Q:$Q,'Existing Customers'!$A:$A,$LD$1,'Existing Customers'!$H:$H,$LC16),LU16),0))</f>
        <v>0</v>
      </c>
      <c r="LL16" s="783" t="e">
        <f>_xlfn.CONCAT('Customer Inputs'!$AH$17,"_",LC16)</f>
        <v>#N/A</v>
      </c>
      <c r="LM16" s="783">
        <f t="array" ref="LM16">IF('Customer Inputs'!$W$17="End",0,IFERROR(INDEX('Margin Guidence Table'!$A$1:$AG$10000,MATCH(1,('Margin Guidence Table'!$A$1:$A$10000=LL16)*('Margin Guidence Table'!$I$1:$I$10000&lt;=ROUND($LD$3,0))*('Margin Guidence Table'!$J$1:$J$10000&gt;=ROUND($LD$3,0)),0),MATCH("DATA_POINTS",'Margin Guidence Table'!$A$1:$AG$1,0)),0))</f>
        <v>0</v>
      </c>
      <c r="LN16" s="780" t="str">
        <f t="shared" si="55"/>
        <v>DEFAULT</v>
      </c>
      <c r="LO16" s="780">
        <f t="array" ref="LO16">IF('Customer Inputs'!$W$17="End",0,IFERROR(IF($LN16="SEGMENT",INDEX('Margin Guidence Table'!$A$1:$AG$10000,MATCH(1,('Margin Guidence Table'!$A$1:$A$10000=LL16)*('Margin Guidence Table'!$I$1:$I$10000&lt;=ROUND($LD$3,0))*('Margin Guidence Table'!$J$1:$J$10000&gt;=ROUND($LD$3,0)),0),MATCH("SALES_CASE",'Margin Guidence Table'!$A$1:$AG$1,0)),INDEX('Margin Guidence Table'!$A$1:$AG$10000,MATCH(1,('Margin Guidence Table'!$A$1:$A$10000=LL16)*('Margin Guidence Table'!$I$1:$I$10000&lt;=ROUND($LD$3,0))*('Margin Guidence Table'!$J$1:$J$10000&gt;=ROUND($LD$3,0)),0),MATCH("DEFAULT_SALES_CASE",'Margin Guidence Table'!$A$1:$AG$1,0))),0))</f>
        <v>0</v>
      </c>
      <c r="LP16" s="780">
        <f t="array" ref="LP16">IF('Customer Inputs'!$W$17="End",0,IFERROR(IF($LN16="SEGMENT",INDEX('Margin Guidence Table'!$A$1:$AG$10000,MATCH(1,('Margin Guidence Table'!$A$1:$A$10000=LL16)*('Margin Guidence Table'!$I$1:$I$10000&lt;=ROUND($LD$3,0))*('Margin Guidence Table'!$J$1:$J$10000&gt;=ROUND($LD$3,0)),0),MATCH("SALES_LBS",'Margin Guidence Table'!$A$1:$AG$1,0)),INDEX('Margin Guidence Table'!$A$1:$AG$10000,MATCH(1,('Margin Guidence Table'!$A$1:$A$10000=LL16)*('Margin Guidence Table'!$I$1:$I$10000&lt;=ROUND($LD$3,0))*('Margin Guidence Table'!$J$1:$J$10000&gt;=ROUND($LD$3,0)),0),MATCH("DEFAULT_SALES_LBS",'Margin Guidence Table'!$A$1:$AG$1,0))),0))</f>
        <v>0</v>
      </c>
      <c r="LQ16" s="784">
        <f t="array" ref="LQ16">IF('Customer Inputs'!$W$17="End",0,IFERROR(IF($LN16="SEGMENT",INDEX('Margin Guidence Table'!$A$1:$AG$10000,MATCH(1,('Margin Guidence Table'!$A$1:$A$10000=LL16)*('Margin Guidence Table'!$I$1:$I$10000&lt;=ROUND($LD$3,0))*('Margin Guidence Table'!$J$1:$J$10000&gt;=ROUND($LD$3,0)),0),MATCH("MDA_MIN_MARGIN_GUIDENCE",'Margin Guidence Table'!$A$1:$AG$1,0)),INDEX('Margin Guidence Table'!$A$1:$AG$10000,MATCH(1,('Margin Guidence Table'!$A$1:$A$10000=LL16)*('Margin Guidence Table'!$I$1:$I$10000&lt;=ROUND($LD$3,0))*('Margin Guidence Table'!$J$1:$J$10000&gt;=ROUND($LD$3,0)),0),MATCH("DEFAULT_MDA_MIN_MARGIN_GUIDENCE",'Margin Guidence Table'!$A$1:$AG$1,0))),0))</f>
        <v>0</v>
      </c>
      <c r="LR16" s="784">
        <f t="array" ref="LR16">IF('Customer Inputs'!$W$17="End",0,IFERROR(IF($LN16="SEGMENT",INDEX('Margin Guidence Table'!$A$1:$AG$10000,MATCH(1,('Margin Guidence Table'!$A$1:$A$10000=LL16)*('Margin Guidence Table'!$I$1:$I$10000&lt;=ROUND($LD$3,0))*('Margin Guidence Table'!$J$1:$J$10000&gt;=ROUND($LD$3,0)),0),MATCH("MDA_MEDIAN_MARGIN_GUIDENCE",'Margin Guidence Table'!$A$1:$AG$1,0)),INDEX('Margin Guidence Table'!$A$1:$AG$10000,MATCH(1,('Margin Guidence Table'!$A$1:$A$10000=LL16)*('Margin Guidence Table'!$I$1:$I$10000&lt;=ROUND($LD$3,0))*('Margin Guidence Table'!$J$1:$J$10000&gt;=ROUND($LD$3,0)),0),MATCH("DEFAULT_MDA_MEDIAN_MARGIN_GUIDENCE",'Margin Guidence Table'!$A$1:$AG$1,0))),0))</f>
        <v>0</v>
      </c>
      <c r="LS16" s="784">
        <f t="array" ref="LS16">IF('Customer Inputs'!$W$17="End",0,IFERROR(IF($LN16="SEGMENT",INDEX('Margin Guidence Table'!$A$1:$AG$10000,MATCH(1,('Margin Guidence Table'!$A$1:$A$10000=LL16)*('Margin Guidence Table'!$I$1:$I$10000&lt;=ROUND($LD$3,0))*('Margin Guidence Table'!$J$1:$J$10000&gt;=ROUND($LD$3,0)),0),MATCH("MDA_MAX_MARGIN_GUIDENCE",'Margin Guidence Table'!$A$1:$AG$1,0)),INDEX('Margin Guidence Table'!$A$1:$AG$10000,MATCH(1,('Margin Guidence Table'!$A$1:$A$10000=LL16)*('Margin Guidence Table'!$I$1:$I$10000&lt;=ROUND($LD$3,0))*('Margin Guidence Table'!$J$1:$J$10000&gt;=ROUND($LD$3,0)),0),MATCH("DEFAULT_MDA_MAX_MARGIN_GUIDENCE",'Margin Guidence Table'!$A$1:$AG$1,0))),0))</f>
        <v>0</v>
      </c>
      <c r="LT16" s="784">
        <f t="array" ref="LT16">IF('Customer Inputs'!$W$17="End",0,IFERROR(IF($LN16="SEGMENT",INDEX('Margin Guidence Table'!$A$1:$AG$10000,MATCH(1,('Margin Guidence Table'!$A$1:$A$10000=LL16)*('Margin Guidence Table'!$I$1:$I$10000&lt;=ROUND($LD$3,0))*('Margin Guidence Table'!$J$1:$J$10000&gt;=ROUND($LD$3,0)),0),MATCH("PA_PCT_SALES",'Margin Guidence Table'!$A$1:$AG$1,0)),INDEX('Margin Guidence Table'!$A$1:$AG$10000,MATCH(1,('Margin Guidence Table'!$A$1:$A$10000=LL16)*('Margin Guidence Table'!$I$1:$I$10000&lt;=ROUND($LD$3,0))*('Margin Guidence Table'!$J$1:$J$10000&gt;=ROUND($LD$3,0)),0),MATCH("DEFAULT_PA_PCT_SALES",'Margin Guidence Table'!$A$1:$AG$1,0))),0))</f>
        <v>0</v>
      </c>
      <c r="LU16" s="784">
        <f t="array" ref="LU16">IF('Customer Inputs'!$W$17="End",0,IFERROR(IF($LN16="SEGMENT",INDEX('Margin Guidence Table'!$A$1:$AG$10000,MATCH(1,('Margin Guidence Table'!$A$1:$A$10000=LL16)*('Margin Guidence Table'!$I$1:$I$10000&lt;=ROUND($LD$3,0))*('Margin Guidence Table'!$J$1:$J$10000&gt;=ROUND($LD$3,0)),0),MATCH("SELF_FUND_PCT_SALES",'Margin Guidence Table'!$A$1:$AG$1,0)),INDEX('Margin Guidence Table'!$A$1:$AG$10000,MATCH(1,('Margin Guidence Table'!$A$1:$A$10000=LL16)*('Margin Guidence Table'!$I$1:$I$10000&lt;=ROUND($LD$3,0))*('Margin Guidence Table'!$J$1:$J$10000&gt;=ROUND($LD$3,0)),0),MATCH("DEFAULT_SELF_FUND_PCT_SALES",'Margin Guidence Table'!$A$1:$AG$1,0))),0))</f>
        <v>0</v>
      </c>
      <c r="LV16" s="784">
        <f t="array" ref="LV16">IF('Customer Inputs'!$W$17="End",0,IF($LE$2="Existing",IFERROR(SUMIFS('Existing Customers'!$V:$V,'Existing Customers'!$H:$H,$LC16,'Existing Customers'!$A:$A,$LD$1)/SUMIFS('Existing Customers'!$Q:$Q,'Existing Customers'!$H:$H,$LC16,'Existing Customers'!$A:$A,$LD$1),0),IFERROR(IF($LN16="SEGMENT",INDEX('Margin Guidence Table'!$A$1:$AG$10000,MATCH(1,('Margin Guidence Table'!$A$1:$A$10000=LL16)*('Margin Guidence Table'!$I$1:$I$10000&lt;=ROUND($LD$3,0))*('Margin Guidence Table'!$J$1:$J$10000&gt;=ROUND($LD$3,0)),0),MATCH("CIA_MEDIAN_MARGIN_GUIDENCE",'Margin Guidence Table'!$A$1:$AG$1,0)),INDEX('Margin Guidence Table'!$A$1:$AG$10000,MATCH(1,('Margin Guidence Table'!$A$1:$A$10000=LL16)*('Margin Guidence Table'!$I$1:$I$10000&lt;=ROUND($LD$3,0))*('Margin Guidence Table'!$J$1:$J$10000&gt;=ROUND($LD$3,0)),0),MATCH("DEFAULT_CIA_MEDIAN_MARGIN_GUIDENCE",'Margin Guidence Table'!$A$1:$AG$1,0))),0)))</f>
        <v>0</v>
      </c>
      <c r="LW16" s="784"/>
      <c r="LX16" s="18">
        <f t="array" ref="LX16">IF('Customer Inputs'!$W$18="End",0,IFERROR(IF($MK16="SEGMENT",INDEX('Margin Guidence Table'!$A$1:$AG$10000,MATCH(1,('Margin Guidence Table'!$A$1:$A$10000=$MI16)*('Margin Guidence Table'!$I$1:$I$10000&lt;=ROUND($MA$3,0))*('Margin Guidence Table'!$J$1:$J$10000&gt;=ROUND($MA$3,0)),0),MATCH("PCT_SALES",'Margin Guidence Table'!$A$1:$AG$1,0)),INDEX('Margin Guidence Table'!$A$1:$AG$10000,MATCH(1,('Margin Guidence Table'!$A$1:$A$10000=$MI16)*('Margin Guidence Table'!$I$1:$I$10000&lt;=ROUND($MA$3,0))*('Margin Guidence Table'!$J$1:$J$10000&gt;=ROUND($MA$3,0)),0),MATCH("DEFAULT_PCT_SALES",'Margin Guidence Table'!$A$1:$AG$1,0))),0))</f>
        <v>0</v>
      </c>
      <c r="LY16" s="1713" t="e">
        <f t="shared" si="56"/>
        <v>#DIV/0!</v>
      </c>
      <c r="LZ16" s="99" t="s">
        <v>1296</v>
      </c>
      <c r="MA16" s="91">
        <f>IF('Customer Inputs'!$W$18="End",0,IFERROR(IF(AND($MA$2&lt;&gt;"Enter Spend&gt;&gt;&gt;",$MB$2="EXISTING"),SUMIFS('Existing Customers'!$Q:$Q,'Existing Customers'!$A:$A,$MA$1,'Existing Customers'!$H:$H,$LZ16)*$MA$4,$MA$3*$LY16),0))</f>
        <v>0</v>
      </c>
      <c r="MB16" s="86">
        <f>IF('Customer Inputs'!$W$18="End",0,IFERROR(IF(AND($MA$2&lt;&gt;"Enter Spend&gt;&gt;&gt;",$MB$2="EXISTING"),SUMIFS('Existing Customers'!$N:$N,'Existing Customers'!$A:$A,$MA$1,'Existing Customers'!$H:$H,$LZ16)*$MA$4,$MA16/$ML16),0))</f>
        <v>0</v>
      </c>
      <c r="MC16" s="92">
        <f>IF('Customer Inputs'!$W$18="End",0,IFERROR(IF(AND($MA$2&lt;&gt;"Enter Spend&gt;&gt;&gt;",$MB$2="EXISTING"),SUMIFS('Existing Customers'!$O:$O,'Existing Customers'!$H:$H,$LZ16,'Existing Customers'!$A:$A,$MA$1)*$MA$4,$MB16*$MA$8),0))</f>
        <v>0</v>
      </c>
      <c r="MD16" s="92">
        <f>IF('Customer Inputs'!$W$18="End",0,IFERROR(IF(AND($MA$2&lt;&gt;"Enter Spend&gt;&gt;&gt;",$MB$2="EXISTING"),SUMIFS('Existing Customers'!$P:$P,'Existing Customers'!$A:$A,$MA$1,'Existing Customers'!$H:$H,$LZ16)*$MA$4,$MA16/$MM16),0))</f>
        <v>0</v>
      </c>
      <c r="ME16" s="303">
        <f>IF('Customer Inputs'!$W$18="End",0,IFERROR(IF(AND($MA$2&lt;&gt;"Enter Spend&gt;&gt;&gt;",$MB$2="EXISTING"),SUMIFS('Existing Customers'!$V:$V,'Existing Customers'!$H:$H,$LZ16,'Existing Customers'!$A:$A,$MA$1)*$MA$4,0),0))</f>
        <v>0</v>
      </c>
      <c r="MF16" s="93">
        <f>IF('Customer Inputs'!$W$18="End",0,IFERROR(IF(AND($MA$2&lt;&gt;"Enter Spend&gt;&gt;&gt;",$MB$2="EXISTING"),SUMIFS('Existing Customers'!$R:$R,'Existing Customers'!$H:$H,$LZ16,'Existing Customers'!$A:$A,$MA$1)*$MA$4,0),0))</f>
        <v>0</v>
      </c>
      <c r="MG16" s="780">
        <f>IF('Customer Inputs'!$W$18="End",0,IFERROR(IF(AND($MA$2&lt;&gt;"Enter Spend&gt;&gt;&gt;",$MB$2="EXISTING"),SUMIFS('Existing Customers'!$S:$S,'Existing Customers'!$H:$H,$LZ16,'Existing Customers'!$A:$A,$MA$1)/SUMIFS('Existing Customers'!$Q:$Q,'Existing Customers'!$A:$A,$MA$1,'Existing Customers'!$H:$H,$LZ16),MQ16),0))</f>
        <v>0</v>
      </c>
      <c r="MH16" s="780">
        <f>IF('Customer Inputs'!$W$18="End",0,IFERROR(IF(AND($MA$2&lt;&gt;"Enter Spend&gt;&gt;&gt;",$MB$2="EXISTING"),SUMIFS('Existing Customers'!$U:$U,'Existing Customers'!$H:$H,$LZ16,'Existing Customers'!$A:$A,$MA$1)/SUMIFS('Existing Customers'!$Q:$Q,'Existing Customers'!$A:$A,$MA$1,'Existing Customers'!$H:$H,$LZ16),MR16),0))</f>
        <v>0</v>
      </c>
      <c r="MI16" s="783" t="e">
        <f>_xlfn.CONCAT('Customer Inputs'!$AH$18,"_",LZ16)</f>
        <v>#N/A</v>
      </c>
      <c r="MJ16" s="783">
        <f t="array" ref="MJ16">IF('Customer Inputs'!$W$18="End",0,IFERROR(INDEX('Margin Guidence Table'!$A$1:$AG$10000,MATCH(1,('Margin Guidence Table'!$A$1:$A$10000=MI16)*('Margin Guidence Table'!$I$1:$I$10000&lt;=ROUND($MA$3,0))*('Margin Guidence Table'!$J$1:$J$10000&gt;=ROUND($MA$3,0)),0),MATCH("DATA_POINTS",'Margin Guidence Table'!$A$1:$AG$1,0)),0))</f>
        <v>0</v>
      </c>
      <c r="MK16" s="780" t="str">
        <f t="shared" si="57"/>
        <v>DEFAULT</v>
      </c>
      <c r="ML16" s="780">
        <f t="array" ref="ML16">IF('Customer Inputs'!$W$18="End",0,IFERROR(IF($MK16="SEGMENT",INDEX('Margin Guidence Table'!$A$1:$AG$10000,MATCH(1,('Margin Guidence Table'!$A$1:$A$10000=MI16)*('Margin Guidence Table'!$I$1:$I$10000&lt;=ROUND($MA$3,0))*('Margin Guidence Table'!$J$1:$J$10000&gt;=ROUND($MA$3,0)),0),MATCH("SALES_CASE",'Margin Guidence Table'!$A$1:$AG$1,0)),INDEX('Margin Guidence Table'!$A$1:$AG$10000,MATCH(1,('Margin Guidence Table'!$A$1:$A$10000=MI16)*('Margin Guidence Table'!$I$1:$I$10000&lt;=ROUND($MA$3,0))*('Margin Guidence Table'!$J$1:$J$10000&gt;=ROUND($MA$3,0)),0),MATCH("DEFAULT_SALES_CASE",'Margin Guidence Table'!$A$1:$AG$1,0))),0))</f>
        <v>0</v>
      </c>
      <c r="MM16" s="780">
        <f t="array" ref="MM16">IF('Customer Inputs'!$W$18="End",0,IFERROR(IF($MK16="SEGMENT",INDEX('Margin Guidence Table'!$A$1:$AG$10000,MATCH(1,('Margin Guidence Table'!$A$1:$A$10000=MI16)*('Margin Guidence Table'!$I$1:$I$10000&lt;=ROUND($MA$3,0))*('Margin Guidence Table'!$J$1:$J$10000&gt;=ROUND($MA$3,0)),0),MATCH("SALES_LBS",'Margin Guidence Table'!$A$1:$AG$1,0)),INDEX('Margin Guidence Table'!$A$1:$AG$10000,MATCH(1,('Margin Guidence Table'!$A$1:$A$10000=MI16)*('Margin Guidence Table'!$I$1:$I$10000&lt;=ROUND($MA$3,0))*('Margin Guidence Table'!$J$1:$J$10000&gt;=ROUND($MA$3,0)),0),MATCH("DEFAULT_SALES_LBS",'Margin Guidence Table'!$A$1:$AG$1,0))),0))</f>
        <v>0</v>
      </c>
      <c r="MN16" s="784">
        <f t="array" ref="MN16">IF('Customer Inputs'!$W$18="End",0,IFERROR(IF($MK16="SEGMENT",INDEX('Margin Guidence Table'!$A$1:$AG$10000,MATCH(1,('Margin Guidence Table'!$A$1:$A$10000=MI16)*('Margin Guidence Table'!$I$1:$I$10000&lt;=ROUND($MA$3,0))*('Margin Guidence Table'!$J$1:$J$10000&gt;=ROUND($MA$3,0)),0),MATCH("MDA_MIN_MARGIN_GUIDENCE",'Margin Guidence Table'!$A$1:$AG$1,0)),INDEX('Margin Guidence Table'!$A$1:$AG$10000,MATCH(1,('Margin Guidence Table'!$A$1:$A$10000=MI16)*('Margin Guidence Table'!$I$1:$I$10000&lt;=ROUND($MA$3,0))*('Margin Guidence Table'!$J$1:$J$10000&gt;=ROUND($MA$3,0)),0),MATCH("DEFAULT_MDA_MIN_MARGIN_GUIDENCE",'Margin Guidence Table'!$A$1:$AG$1,0))),0))</f>
        <v>0</v>
      </c>
      <c r="MO16" s="784">
        <f t="array" ref="MO16">IF('Customer Inputs'!$W$18="End",0,IFERROR(IF($MK16="SEGMENT",INDEX('Margin Guidence Table'!$A$1:$AG$10000,MATCH(1,('Margin Guidence Table'!$A$1:$A$10000=MI16)*('Margin Guidence Table'!$I$1:$I$10000&lt;=ROUND($MA$3,0))*('Margin Guidence Table'!$J$1:$J$10000&gt;=ROUND($MA$3,0)),0),MATCH("MDA_MEDIAN_MARGIN_GUIDENCE",'Margin Guidence Table'!$A$1:$AG$1,0)),INDEX('Margin Guidence Table'!$A$1:$AG$10000,MATCH(1,('Margin Guidence Table'!$A$1:$A$10000=MI16)*('Margin Guidence Table'!$I$1:$I$10000&lt;=ROUND($MA$3,0))*('Margin Guidence Table'!$J$1:$J$10000&gt;=ROUND($MA$3,0)),0),MATCH("DEFAULT_MDA_MEDIAN_MARGIN_GUIDENCE",'Margin Guidence Table'!$A$1:$AG$1,0))),0))</f>
        <v>0</v>
      </c>
      <c r="MP16" s="784">
        <f t="array" ref="MP16">IF('Customer Inputs'!$W$18="End",0,IFERROR(IF($MK16="SEGMENT",INDEX('Margin Guidence Table'!$A$1:$AG$10000,MATCH(1,('Margin Guidence Table'!$A$1:$A$10000=MI16)*('Margin Guidence Table'!$I$1:$I$10000&lt;=ROUND($MA$3,0))*('Margin Guidence Table'!$J$1:$J$10000&gt;=ROUND($MA$3,0)),0),MATCH("MDA_MAX_MARGIN_GUIDENCE",'Margin Guidence Table'!$A$1:$AG$1,0)),INDEX('Margin Guidence Table'!$A$1:$AG$10000,MATCH(1,('Margin Guidence Table'!$A$1:$A$10000=MI16)*('Margin Guidence Table'!$I$1:$I$10000&lt;=ROUND($MA$3,0))*('Margin Guidence Table'!$J$1:$J$10000&gt;=ROUND($MA$3,0)),0),MATCH("DEFAULT_MDA_MAX_MARGIN_GUIDENCE",'Margin Guidence Table'!$A$1:$AG$1,0))),0))</f>
        <v>0</v>
      </c>
      <c r="MQ16" s="784">
        <f t="array" ref="MQ16">IF('Customer Inputs'!$W$18="End",0,IFERROR(IF($MK16="SEGMENT",INDEX('Margin Guidence Table'!$A$1:$AG$10000,MATCH(1,('Margin Guidence Table'!$A$1:$A$10000=MI16)*('Margin Guidence Table'!$I$1:$I$10000&lt;=ROUND($MA$3,0))*('Margin Guidence Table'!$J$1:$J$10000&gt;=ROUND($MA$3,0)),0),MATCH("PA_PCT_SALES",'Margin Guidence Table'!$A$1:$AG$1,0)),INDEX('Margin Guidence Table'!$A$1:$AG$10000,MATCH(1,('Margin Guidence Table'!$A$1:$A$10000=MI16)*('Margin Guidence Table'!$I$1:$I$10000&lt;=ROUND($MA$3,0))*('Margin Guidence Table'!$J$1:$J$10000&gt;=ROUND($MA$3,0)),0),MATCH("DEFAULT_PA_PCT_SALES",'Margin Guidence Table'!$A$1:$AG$1,0))),0))</f>
        <v>0</v>
      </c>
      <c r="MR16" s="784">
        <f t="array" ref="MR16">IF('Customer Inputs'!$W$18="End",0,IFERROR(IF($MK16="SEGMENT",INDEX('Margin Guidence Table'!$A$1:$AG$10000,MATCH(1,('Margin Guidence Table'!$A$1:$A$10000=MI16)*('Margin Guidence Table'!$I$1:$I$10000&lt;=ROUND($MA$3,0))*('Margin Guidence Table'!$J$1:$J$10000&gt;=ROUND($MA$3,0)),0),MATCH("SELF_FUND_PCT_SALES",'Margin Guidence Table'!$A$1:$AG$1,0)),INDEX('Margin Guidence Table'!$A$1:$AG$10000,MATCH(1,('Margin Guidence Table'!$A$1:$A$10000=MI16)*('Margin Guidence Table'!$I$1:$I$10000&lt;=ROUND($MA$3,0))*('Margin Guidence Table'!$J$1:$J$10000&gt;=ROUND($MA$3,0)),0),MATCH("DEFAULT_SELF_FUND_PCT_SALES",'Margin Guidence Table'!$A$1:$AG$1,0))),0))</f>
        <v>0</v>
      </c>
      <c r="MS16" s="784">
        <f t="array" ref="MS16">IF('Customer Inputs'!$W$18="End",0,IF($MB$2="Existing",IFERROR(SUMIFS('Existing Customers'!$V:$V,'Existing Customers'!$H:$H,$LZ16,'Existing Customers'!$A:$A,$MA$1)/SUMIFS('Existing Customers'!$Q:$Q,'Existing Customers'!$H:$H,$LZ16,'Existing Customers'!$A:$A,$MA$1),0),IFERROR(IF($MK16="SEGMENT",INDEX('Margin Guidence Table'!$A$1:$AG$10000,MATCH(1,('Margin Guidence Table'!$A$1:$A$10000=MI16)*('Margin Guidence Table'!$I$1:$I$10000&lt;=ROUND($MA$3,0))*('Margin Guidence Table'!$J$1:$J$10000&gt;=ROUND($MA$3,0)),0),MATCH("CIA_MEDIAN_MARGIN_GUIDENCE",'Margin Guidence Table'!$A$1:$AG$1,0)),INDEX('Margin Guidence Table'!$A$1:$AG$10000,MATCH(1,('Margin Guidence Table'!$A$1:$A$10000=MI16)*('Margin Guidence Table'!$I$1:$I$10000&lt;=ROUND($MA$3,0))*('Margin Guidence Table'!$J$1:$J$10000&gt;=ROUND($MA$3,0)),0),MATCH("DEFAULT_CIA_MEDIAN_MARGIN_GUIDENCE",'Margin Guidence Table'!$A$1:$AG$1,0))),0)))</f>
        <v>0</v>
      </c>
      <c r="MT16" s="784"/>
      <c r="MU16" s="18">
        <f t="array" ref="MU16">IF('Customer Inputs'!$W$19="End",0,IFERROR(IF($NH16="SEGMENT",INDEX('Margin Guidence Table'!$A$1:$AG$10000,MATCH(1,('Margin Guidence Table'!$A$1:$A$10000=$NF16)*('Margin Guidence Table'!$I$1:$I$10000&lt;=ROUND($MX$3,0))*('Margin Guidence Table'!$J$1:$J$10000&gt;=ROUND($MX$3,0)),0),MATCH("PCT_SALES",'Margin Guidence Table'!$A$1:$AG$1,0)),INDEX('Margin Guidence Table'!$A$1:$AG$10000,MATCH(1,('Margin Guidence Table'!$A$1:$A$10000=$NF16)*('Margin Guidence Table'!$I$1:$I$10000&lt;=ROUND($MX$3,0))*('Margin Guidence Table'!$J$1:$J$10000&gt;=ROUND($MX$3,0)),0),MATCH("DEFAULT_PCT_SALES",'Margin Guidence Table'!$A$1:$AG$1,0))),0))</f>
        <v>0</v>
      </c>
      <c r="MV16" s="1713" t="e">
        <f t="shared" si="58"/>
        <v>#DIV/0!</v>
      </c>
      <c r="MW16" s="99" t="s">
        <v>1296</v>
      </c>
      <c r="MX16" s="91">
        <f>IF('Customer Inputs'!$W$19="End",0,IFERROR(IF(AND($MX$2&lt;&gt;"Enter Spend&gt;&gt;&gt;",$MY$2="EXISTING"),SUMIFS('Existing Customers'!$Q:$Q,'Existing Customers'!$A:$A,$MX$1,'Existing Customers'!$H:$H,$MW16)*$MX$4,$MX$3*$MV16),0))</f>
        <v>0</v>
      </c>
      <c r="MY16" s="86">
        <f>IF('Customer Inputs'!$W$19="End",0,IFERROR(IF(AND($MX$2&lt;&gt;"Enter Spend&gt;&gt;&gt;",$MY$2="EXISTING"),SUMIFS('Existing Customers'!$N:$N,'Existing Customers'!$A:$A,$MX$1,'Existing Customers'!$H:$H,$MW16)*$MX$4,$MX16/$NI16),0))</f>
        <v>0</v>
      </c>
      <c r="MZ16" s="92">
        <f>IF('Customer Inputs'!$W$19="End",0,IFERROR(IF(AND($MX$2&lt;&gt;"Enter Spend&gt;&gt;&gt;",$MY$2="EXISTING"),SUMIFS('Existing Customers'!$O:$O,'Existing Customers'!$H:$H,$MW16,'Existing Customers'!$A:$A,$MX$1)*$MX$4,$MY16*$MX$8),0))</f>
        <v>0</v>
      </c>
      <c r="NA16" s="92">
        <f>IF('Customer Inputs'!$W$19="End",0,IFERROR(IF(AND($MX$2&lt;&gt;"Enter Spend&gt;&gt;&gt;",$MY$2="EXISTING"),SUMIFS('Existing Customers'!$P:$P,'Existing Customers'!$A:$A,$MX$1,'Existing Customers'!$H:$H,$MW16)*$MX$4,$MX16/$NJ16),0))</f>
        <v>0</v>
      </c>
      <c r="NB16" s="303">
        <f>IF('Customer Inputs'!$W$19="End",0,IFERROR(IF(AND($MX$2&lt;&gt;"Enter Spend&gt;&gt;&gt;",$MY$2="EXISTING"),SUMIFS('Existing Customers'!$V:$V,'Existing Customers'!$H:$H,$MW16,'Existing Customers'!$A:$A,$MX$1)*$MX$4,0),0))</f>
        <v>0</v>
      </c>
      <c r="NC16" s="93">
        <f>IF('Customer Inputs'!$W$19="End",0,IFERROR(IF(AND($MX$2&lt;&gt;"Enter Spend&gt;&gt;&gt;",$MY$2="EXISTING"),SUMIFS('Existing Customers'!$R:$R,'Existing Customers'!$H:$H,$MW16,'Existing Customers'!$A:$A,$MX$1)*$MX$4,0),0))</f>
        <v>0</v>
      </c>
      <c r="ND16" s="780">
        <f>IF('Customer Inputs'!$W$19="End",0,IFERROR(IF(AND($MX$2&lt;&gt;"Enter Spend&gt;&gt;&gt;",$MY$2="EXISTING"),SUMIFS('Existing Customers'!$S:$S,'Existing Customers'!$H:$H,$MW16,'Existing Customers'!$A:$A,$MX$1)/SUMIFS('Existing Customers'!$Q:$Q,'Existing Customers'!$A:$A,$MX$1,'Existing Customers'!$H:$H,$MW16),NN16),0))</f>
        <v>0</v>
      </c>
      <c r="NE16" s="780">
        <f>IF('Customer Inputs'!$W$19="End",0,IFERROR(IF(AND($MX$2&lt;&gt;"Enter Spend&gt;&gt;&gt;",$MY$2="EXISTING"),SUMIFS('Existing Customers'!$U:$U,'Existing Customers'!$H:$H,$MW16,'Existing Customers'!$A:$A,$MX$1)/SUMIFS('Existing Customers'!$Q:$Q,'Existing Customers'!$A:$A,$MX$1,'Existing Customers'!$H:$H,$MW16),NO16),0))</f>
        <v>0</v>
      </c>
      <c r="NF16" s="783" t="e">
        <f>_xlfn.CONCAT('Customer Inputs'!$AH$19,"_",MW16)</f>
        <v>#N/A</v>
      </c>
      <c r="NG16" s="783">
        <f t="array" ref="NG16">IF('Customer Inputs'!$W$19="End",0,IFERROR(INDEX('Margin Guidence Table'!$A$1:$AG$10000,MATCH(1,('Margin Guidence Table'!$A$1:$A$10000=NF16)*('Margin Guidence Table'!$I$1:$I$10000&lt;=ROUND($MX$3,0))*('Margin Guidence Table'!$J$1:$J$10000&gt;=ROUND($MX$3,0)),0),MATCH("DATA_POINTS",'Margin Guidence Table'!$A$1:$AG$1,0)),0))</f>
        <v>0</v>
      </c>
      <c r="NH16" s="780" t="str">
        <f t="shared" si="59"/>
        <v>DEFAULT</v>
      </c>
      <c r="NI16" s="780">
        <f t="array" ref="NI16">IF('Customer Inputs'!$W$19="End",0,IFERROR(IF($NH16="SEGMENT",INDEX('Margin Guidence Table'!$A$1:$AG$10000,MATCH(1,('Margin Guidence Table'!$A$1:$A$10000=NF16)*('Margin Guidence Table'!$I$1:$I$10000&lt;=ROUND($MX$3,0))*('Margin Guidence Table'!$J$1:$J$10000&gt;=ROUND($MX$3,0)),0),MATCH("SALES_CASE",'Margin Guidence Table'!$A$1:$AG$1,0)),INDEX('Margin Guidence Table'!$A$1:$AG$10000,MATCH(1,('Margin Guidence Table'!$A$1:$A$10000=NF16)*('Margin Guidence Table'!$I$1:$I$10000&lt;=ROUND($MX$3,0))*('Margin Guidence Table'!$J$1:$J$10000&gt;=ROUND($MX$3,0)),0),MATCH("DEFAULT_SALES_CASE",'Margin Guidence Table'!$A$1:$AG$1,0))),0))</f>
        <v>0</v>
      </c>
      <c r="NJ16" s="780">
        <f t="array" ref="NJ16">IF('Customer Inputs'!$W$19="End",0,IFERROR(IF($NH16="SEGMENT",INDEX('Margin Guidence Table'!$A$1:$AG$10000,MATCH(1,('Margin Guidence Table'!$A$1:$A$10000=NF16)*('Margin Guidence Table'!$I$1:$I$10000&lt;=ROUND($MX$3,0))*('Margin Guidence Table'!$J$1:$J$10000&gt;=ROUND($MX$3,0)),0),MATCH("SALES_LBS",'Margin Guidence Table'!$A$1:$AG$1,0)),INDEX('Margin Guidence Table'!$A$1:$AG$10000,MATCH(1,('Margin Guidence Table'!$A$1:$A$10000=NF16)*('Margin Guidence Table'!$I$1:$I$10000&lt;=ROUND($MX$3,0))*('Margin Guidence Table'!$J$1:$J$10000&gt;=ROUND($MX$3,0)),0),MATCH("DEFAULT_SALES_LBS",'Margin Guidence Table'!$A$1:$AG$1,0))),0))</f>
        <v>0</v>
      </c>
      <c r="NK16" s="784">
        <f t="array" ref="NK16">IF('Customer Inputs'!$W$19="End",0,IFERROR(IF($NH16="SEGMENT",INDEX('Margin Guidence Table'!$A$1:$AG$10000,MATCH(1,('Margin Guidence Table'!$A$1:$A$10000=NF16)*('Margin Guidence Table'!$I$1:$I$10000&lt;=ROUND($MX$3,0))*('Margin Guidence Table'!$J$1:$J$10000&gt;=ROUND($MX$3,0)),0),MATCH("MDA_MIN_MARGIN_GUIDENCE",'Margin Guidence Table'!$A$1:$AG$1,0)),INDEX('Margin Guidence Table'!$A$1:$AG$10000,MATCH(1,('Margin Guidence Table'!$A$1:$A$10000=NF16)*('Margin Guidence Table'!$I$1:$I$10000&lt;=ROUND($MX$3,0))*('Margin Guidence Table'!$J$1:$J$10000&gt;=ROUND($MX$3,0)),0),MATCH("DEFAULT_MDA_MIN_MARGIN_GUIDENCE",'Margin Guidence Table'!$A$1:$AG$1,0))),0))</f>
        <v>0</v>
      </c>
      <c r="NL16" s="784">
        <f t="array" ref="NL16">IF('Customer Inputs'!$W$19="End",0,IFERROR(IF($NH16="SEGMENT",INDEX('Margin Guidence Table'!$A$1:$AG$10000,MATCH(1,('Margin Guidence Table'!$A$1:$A$10000=NF16)*('Margin Guidence Table'!$I$1:$I$10000&lt;=ROUND($MX$3,0))*('Margin Guidence Table'!$J$1:$J$10000&gt;=ROUND($MX$3,0)),0),MATCH("MDA_MEDIAN_MARGIN_GUIDENCE",'Margin Guidence Table'!$A$1:$AG$1,0)),INDEX('Margin Guidence Table'!$A$1:$AG$10000,MATCH(1,('Margin Guidence Table'!$A$1:$A$10000=NF16)*('Margin Guidence Table'!$I$1:$I$10000&lt;=ROUND($MX$3,0))*('Margin Guidence Table'!$J$1:$J$10000&gt;=ROUND($MX$3,0)),0),MATCH("DEFAULT_MDA_MEDIAN_MARGIN_GUIDENCE",'Margin Guidence Table'!$A$1:$AG$1,0))),0))</f>
        <v>0</v>
      </c>
      <c r="NM16" s="784">
        <f t="array" ref="NM16">IF('Customer Inputs'!$W$19="End",0,IFERROR(IF($NH16="SEGMENT",INDEX('Margin Guidence Table'!$A$1:$AG$10000,MATCH(1,('Margin Guidence Table'!$A$1:$A$10000=NF16)*('Margin Guidence Table'!$I$1:$I$10000&lt;=ROUND($MX$3,0))*('Margin Guidence Table'!$J$1:$J$10000&gt;=ROUND($MX$3,0)),0),MATCH("MDA_MAX_MARGIN_GUIDENCE",'Margin Guidence Table'!$A$1:$AG$1,0)),INDEX('Margin Guidence Table'!$A$1:$AG$10000,MATCH(1,('Margin Guidence Table'!$A$1:$A$10000=NF16)*('Margin Guidence Table'!$I$1:$I$10000&lt;=ROUND($MX$3,0))*('Margin Guidence Table'!$J$1:$J$10000&gt;=ROUND($MX$3,0)),0),MATCH("DEFAULT_MDA_MAX_MARGIN_GUIDENCE",'Margin Guidence Table'!$A$1:$AG$1,0))),0))</f>
        <v>0</v>
      </c>
      <c r="NN16" s="784">
        <f t="array" ref="NN16">IF('Customer Inputs'!$W$19="End",0,IFERROR(IF($NH16="SEGMENT",INDEX('Margin Guidence Table'!$A$1:$AG$10000,MATCH(1,('Margin Guidence Table'!$A$1:$A$10000=NF16)*('Margin Guidence Table'!$I$1:$I$10000&lt;=ROUND($MX$3,0))*('Margin Guidence Table'!$J$1:$J$10000&gt;=ROUND($MX$3,0)),0),MATCH("PA_PCT_SALES",'Margin Guidence Table'!$A$1:$AG$1,0)),INDEX('Margin Guidence Table'!$A$1:$AG$10000,MATCH(1,('Margin Guidence Table'!$A$1:$A$10000=NF16)*('Margin Guidence Table'!$I$1:$I$10000&lt;=ROUND($MX$3,0))*('Margin Guidence Table'!$J$1:$J$10000&gt;=ROUND($MX$3,0)),0),MATCH("DEFAULT_PA_PCT_SALES",'Margin Guidence Table'!$A$1:$AG$1,0))),0))</f>
        <v>0</v>
      </c>
      <c r="NO16" s="784">
        <f t="array" ref="NO16">IF('Customer Inputs'!$W$19="End",0,IFERROR(IF($NH16="SEGMENT",INDEX('Margin Guidence Table'!$A$1:$AG$10000,MATCH(1,('Margin Guidence Table'!$A$1:$A$10000=NF16)*('Margin Guidence Table'!$I$1:$I$10000&lt;=ROUND($MX$3,0))*('Margin Guidence Table'!$J$1:$J$10000&gt;=ROUND($MX$3,0)),0),MATCH("SELF_FUND_PCT_SALES",'Margin Guidence Table'!$A$1:$AG$1,0)),INDEX('Margin Guidence Table'!$A$1:$AG$10000,MATCH(1,('Margin Guidence Table'!$A$1:$A$10000=NF16)*('Margin Guidence Table'!$I$1:$I$10000&lt;=ROUND($MX$3,0))*('Margin Guidence Table'!$J$1:$J$10000&gt;=ROUND($MX$3,0)),0),MATCH("DEFAULT_SELF_FUND_PCT_SALES",'Margin Guidence Table'!$A$1:$AG$1,0))),0))</f>
        <v>0</v>
      </c>
      <c r="NP16" s="784">
        <f t="array" ref="NP16">IF('Customer Inputs'!$W$19="End",0,IF($MY$2="Existing",IFERROR(SUMIFS('Existing Customers'!$V:$V,'Existing Customers'!$H:$H,$MW16,'Existing Customers'!$A:$A,$MX$1)/SUMIFS('Existing Customers'!$Q:$Q,'Existing Customers'!$H:$H,$MW16,'Existing Customers'!$A:$A,$MX$1),0),IFERROR(IF($NH16="SEGMENT",INDEX('Margin Guidence Table'!$A$1:$AG$10000,MATCH(1,('Margin Guidence Table'!$A$1:$A$10000=NF16)*('Margin Guidence Table'!$I$1:$I$10000&lt;=ROUND($MX$3,0))*('Margin Guidence Table'!$J$1:$J$10000&gt;=ROUND($MX$3,0)),0),MATCH("CIA_MEDIAN_MARGIN_GUIDENCE",'Margin Guidence Table'!$A$1:$AG$1,0)),INDEX('Margin Guidence Table'!$A$1:$AG$10000,MATCH(1,('Margin Guidence Table'!$A$1:$A$10000=NF16)*('Margin Guidence Table'!$I$1:$I$10000&lt;=ROUND($MX$3,0))*('Margin Guidence Table'!$J$1:$J$10000&gt;=ROUND($MX$3,0)),0),MATCH("DEFAULT_CIA_MEDIAN_MARGIN_GUIDENCE",'Margin Guidence Table'!$A$1:$AG$1,0))),0)))</f>
        <v>0</v>
      </c>
      <c r="NQ16" s="784"/>
      <c r="NR16" s="18">
        <f t="array" ref="NR16">IF('Customer Inputs'!$W$20="End",0,IFERROR(IF($OE16="SEGMENT",INDEX('Margin Guidence Table'!$A$1:$AG$10000,MATCH(1,('Margin Guidence Table'!$A$1:$A$10000=$OC16)*('Margin Guidence Table'!$I$1:$I$10000&lt;=ROUND($NU$3,0))*('Margin Guidence Table'!$J$1:$J$10000&gt;=ROUND($NU$3,0)),0),MATCH("PCT_SALES",'Margin Guidence Table'!$A$1:$AG$1,0)),INDEX('Margin Guidence Table'!$A$1:$AG$10000,MATCH(1,('Margin Guidence Table'!$A$1:$A$10000=$OC16)*('Margin Guidence Table'!$I$1:$I$10000&lt;=ROUND($NU$3,0))*('Margin Guidence Table'!$J$1:$J$10000&gt;=ROUND($NU$3,0)),0),MATCH("DEFAULT_PCT_SALES",'Margin Guidence Table'!$A$1:$AG$1,0))),0))</f>
        <v>0</v>
      </c>
      <c r="NS16" s="1713" t="e">
        <f t="shared" si="60"/>
        <v>#DIV/0!</v>
      </c>
      <c r="NT16" s="99" t="s">
        <v>1296</v>
      </c>
      <c r="NU16" s="91">
        <f>IF('Customer Inputs'!$W$20="End",0,IFERROR(IF(AND($NU$2&lt;&gt;"Enter Spend&gt;&gt;&gt;",$NV$2="EXISTING"),SUMIFS('Existing Customers'!$Q:$Q,'Existing Customers'!$A:$A,$NU$1,'Existing Customers'!$H:$H,$NT16)*$NU$4,$NU$3*$NS16),0))</f>
        <v>0</v>
      </c>
      <c r="NV16" s="86">
        <f>IF('Customer Inputs'!$W$20="End",0,IFERROR(IF(AND($NU$2&lt;&gt;"Enter Spend&gt;&gt;&gt;",$NV$2="EXISTING"),SUMIFS('Existing Customers'!$N:$N,'Existing Customers'!$A:$A,$NU$1,'Existing Customers'!$H:$H,$NT16)*$NU$4,$NU16/$OF16),0))</f>
        <v>0</v>
      </c>
      <c r="NW16" s="92">
        <f>IF('Customer Inputs'!$W$20="End",0,IFERROR(IF(AND($NU$2&lt;&gt;"Enter Spend&gt;&gt;&gt;",$NV$2="EXISTING"),SUMIFS('Existing Customers'!$O:$O,'Existing Customers'!$H:$H,$NT16,'Existing Customers'!$A:$A,$NU$1)*$NU$4,$NV16*$NU$8),0))</f>
        <v>0</v>
      </c>
      <c r="NX16" s="92">
        <f>IF('Customer Inputs'!$W$20="End",0,IFERROR(IF(AND($NU$2&lt;&gt;"Enter Spend&gt;&gt;&gt;",$NV$2="EXISTING"),SUMIFS('Existing Customers'!$P:$P,'Existing Customers'!$A:$A,$NU$1,'Existing Customers'!$H:$H,$NT16)*$NU$4,$NU16/$OG16),0))</f>
        <v>0</v>
      </c>
      <c r="NY16" s="303">
        <f>IF('Customer Inputs'!$W$20="End",0,IFERROR(IF(AND($NU$2&lt;&gt;"Enter Spend&gt;&gt;&gt;",$NV$2="EXISTING"),SUMIFS('Existing Customers'!$V:$V,'Existing Customers'!$H:$H,$NT16,'Existing Customers'!$A:$A,$NU$1)*$NU$4,0),0))</f>
        <v>0</v>
      </c>
      <c r="NZ16" s="93">
        <f>IF('Customer Inputs'!$W$20="End",0,IFERROR(IF(AND($NU$2&lt;&gt;"Enter Spend&gt;&gt;&gt;",$NV$2="EXISTING"),SUMIFS('Existing Customers'!$R:$R,'Existing Customers'!$H:$H,$NT16,'Existing Customers'!$A:$A,$NU$1)*$NU$4,0),0))</f>
        <v>0</v>
      </c>
      <c r="OA16" s="780">
        <f>IF('Customer Inputs'!$W$20="End",0,IFERROR(IF(AND($NU$2&lt;&gt;"Enter Spend&gt;&gt;&gt;",$NV$2="EXISTING"),SUMIFS('Existing Customers'!$S:$S,'Existing Customers'!$H:$H,$NT16,'Existing Customers'!$A:$A,$NU$1)/SUMIFS('Existing Customers'!$Q:$Q,'Existing Customers'!$A:$A,$NU$1,'Existing Customers'!$H:$H,$NT16),OK16),0))</f>
        <v>0</v>
      </c>
      <c r="OB16" s="780">
        <f>IF('Customer Inputs'!$W$20="End",0,IFERROR(IF(AND($NU$2&lt;&gt;"Enter Spend&gt;&gt;&gt;",$NV$2="EXISTING"),SUMIFS('Existing Customers'!$U:$U,'Existing Customers'!$H:$H,$NT16,'Existing Customers'!$A:$A,$NU$1)/SUMIFS('Existing Customers'!$Q:$Q,'Existing Customers'!$A:$A,$NU$1,'Existing Customers'!$H:$H,$NT16),OL16),0))</f>
        <v>0</v>
      </c>
      <c r="OC16" s="783" t="e">
        <f>_xlfn.CONCAT('Customer Inputs'!$AH$20,"_",NT16)</f>
        <v>#N/A</v>
      </c>
      <c r="OD16" s="783">
        <f t="array" ref="OD16">IF('Customer Inputs'!$W$20="End",0,IFERROR(INDEX('Margin Guidence Table'!$A$1:$AG$10000,MATCH(1,('Margin Guidence Table'!$A$1:$A$10000=OC16)*('Margin Guidence Table'!$I$1:$I$10000&lt;=ROUND($NU$3,0))*('Margin Guidence Table'!$J$1:$J$10000&gt;=ROUND($NU$3,0)),0),MATCH("DATA_POINTS",'Margin Guidence Table'!$A$1:$AG$1,0)),0))</f>
        <v>0</v>
      </c>
      <c r="OE16" s="780" t="str">
        <f t="shared" si="61"/>
        <v>DEFAULT</v>
      </c>
      <c r="OF16" s="780">
        <f t="array" ref="OF16">IF('Customer Inputs'!$W$20="End",0,IFERROR(IF($OE16="SEGMENT",INDEX('Margin Guidence Table'!$A$1:$AG$10000,MATCH(1,('Margin Guidence Table'!$A$1:$A$10000=OC16)*('Margin Guidence Table'!$I$1:$I$10000&lt;=ROUND($NU$3,0))*('Margin Guidence Table'!$J$1:$J$10000&gt;=ROUND($NU$3,0)),0),MATCH("SALES_CASE",'Margin Guidence Table'!$A$1:$AG$1,0)),INDEX('Margin Guidence Table'!$A$1:$AG$10000,MATCH(1,('Margin Guidence Table'!$A$1:$A$10000=OC16)*('Margin Guidence Table'!$I$1:$I$10000&lt;=ROUND($NU$3,0))*('Margin Guidence Table'!$J$1:$J$10000&gt;=ROUND($NU$3,0)),0),MATCH("DEFAULT_SALES_CASE",'Margin Guidence Table'!$A$1:$AG$1,0))),0))</f>
        <v>0</v>
      </c>
      <c r="OG16" s="780">
        <f t="array" ref="OG16">IF('Customer Inputs'!$W$20="End",0,IFERROR(IF($OE16="SEGMENT",INDEX('Margin Guidence Table'!$A$1:$AG$10000,MATCH(1,('Margin Guidence Table'!$A$1:$A$10000=OC16)*('Margin Guidence Table'!$I$1:$I$10000&lt;=ROUND($NU$3,0))*('Margin Guidence Table'!$J$1:$J$10000&gt;=ROUND($NU$3,0)),0),MATCH("SALES_LBS",'Margin Guidence Table'!$A$1:$AG$1,0)),INDEX('Margin Guidence Table'!$A$1:$AG$10000,MATCH(1,('Margin Guidence Table'!$A$1:$A$10000=OC16)*('Margin Guidence Table'!$I$1:$I$10000&lt;=ROUND($NU$3,0))*('Margin Guidence Table'!$J$1:$J$10000&gt;=ROUND($NU$3,0)),0),MATCH("DEFAULT_SALES_LBS",'Margin Guidence Table'!$A$1:$AG$1,0))),0))</f>
        <v>0</v>
      </c>
      <c r="OH16" s="784">
        <f t="array" ref="OH16">IF('Customer Inputs'!$W$20="End",0,IFERROR(IF($OE16="SEGMENT",INDEX('Margin Guidence Table'!$A$1:$AG$10000,MATCH(1,('Margin Guidence Table'!$A$1:$A$10000=OC16)*('Margin Guidence Table'!$I$1:$I$10000&lt;=ROUND($NU$3,0))*('Margin Guidence Table'!$J$1:$J$10000&gt;=ROUND($NU$3,0)),0),MATCH("MDA_MIN_MARGIN_GUIDENCE",'Margin Guidence Table'!$A$1:$AG$1,0)),INDEX('Margin Guidence Table'!$A$1:$AG$10000,MATCH(1,('Margin Guidence Table'!$A$1:$A$10000=OC16)*('Margin Guidence Table'!$I$1:$I$10000&lt;=ROUND($NU$3,0))*('Margin Guidence Table'!$J$1:$J$10000&gt;=ROUND($NU$3,0)),0),MATCH("DEFAULT_MDA_MIN_MARGIN_GUIDENCE",'Margin Guidence Table'!$A$1:$AG$1,0))),0))</f>
        <v>0</v>
      </c>
      <c r="OI16" s="784">
        <f t="array" ref="OI16">IF('Customer Inputs'!$W$20="End",0,IFERROR(IF($OE16="SEGMENT",INDEX('Margin Guidence Table'!$A$1:$AG$10000,MATCH(1,('Margin Guidence Table'!$A$1:$A$10000=OC16)*('Margin Guidence Table'!$I$1:$I$10000&lt;=ROUND($NU$3,0))*('Margin Guidence Table'!$J$1:$J$10000&gt;=ROUND($NU$3,0)),0),MATCH("MDA_MEDIAN_MARGIN_GUIDENCE",'Margin Guidence Table'!$A$1:$AG$1,0)),INDEX('Margin Guidence Table'!$A$1:$AG$10000,MATCH(1,('Margin Guidence Table'!$A$1:$A$10000=OC16)*('Margin Guidence Table'!$I$1:$I$10000&lt;=ROUND($NU$3,0))*('Margin Guidence Table'!$J$1:$J$10000&gt;=ROUND($NU$3,0)),0),MATCH("DEFAULT_MDA_MEDIAN_MARGIN_GUIDENCE",'Margin Guidence Table'!$A$1:$AG$1,0))),0))</f>
        <v>0</v>
      </c>
      <c r="OJ16" s="784">
        <f t="array" ref="OJ16">IF('Customer Inputs'!$W$20="End",0,IFERROR(IF($OE16="SEGMENT",INDEX('Margin Guidence Table'!$A$1:$AG$10000,MATCH(1,('Margin Guidence Table'!$A$1:$A$10000=OC16)*('Margin Guidence Table'!$I$1:$I$10000&lt;=ROUND($NU$3,0))*('Margin Guidence Table'!$J$1:$J$10000&gt;=ROUND($NU$3,0)),0),MATCH("MDA_MAX_MARGIN_GUIDENCE",'Margin Guidence Table'!$A$1:$AG$1,0)),INDEX('Margin Guidence Table'!$A$1:$AG$10000,MATCH(1,('Margin Guidence Table'!$A$1:$A$10000=OC16)*('Margin Guidence Table'!$I$1:$I$10000&lt;=ROUND($NU$3,0))*('Margin Guidence Table'!$J$1:$J$10000&gt;=ROUND($NU$3,0)),0),MATCH("DEFAULT_MDA_MAX_MARGIN_GUIDENCE",'Margin Guidence Table'!$A$1:$AG$1,0))),0))</f>
        <v>0</v>
      </c>
      <c r="OK16" s="784">
        <f t="array" ref="OK16">IF('Customer Inputs'!$W$20="End",0,IFERROR(IF($OE16="SEGMENT",INDEX('Margin Guidence Table'!$A$1:$AG$10000,MATCH(1,('Margin Guidence Table'!$A$1:$A$10000=OC16)*('Margin Guidence Table'!$I$1:$I$10000&lt;=ROUND($NU$3,0))*('Margin Guidence Table'!$J$1:$J$10000&gt;=ROUND($NU$3,0)),0),MATCH("PA_PCT_SALES",'Margin Guidence Table'!$A$1:$AG$1,0)),INDEX('Margin Guidence Table'!$A$1:$AG$10000,MATCH(1,('Margin Guidence Table'!$A$1:$A$10000=OC16)*('Margin Guidence Table'!$I$1:$I$10000&lt;=ROUND($NU$3,0))*('Margin Guidence Table'!$J$1:$J$10000&gt;=ROUND($NU$3,0)),0),MATCH("DEFAULT_PA_PCT_SALES",'Margin Guidence Table'!$A$1:$AG$1,0))),0))</f>
        <v>0</v>
      </c>
      <c r="OL16" s="784">
        <f t="array" ref="OL16">IF('Customer Inputs'!$W$20="End",0,IFERROR(IF($OE16="SEGMENT",INDEX('Margin Guidence Table'!$A$1:$AG$10000,MATCH(1,('Margin Guidence Table'!$A$1:$A$10000=OC16)*('Margin Guidence Table'!$I$1:$I$10000&lt;=ROUND($NU$3,0))*('Margin Guidence Table'!$J$1:$J$10000&gt;=ROUND($NU$3,0)),0),MATCH("SELF_FUND_PCT_SALES",'Margin Guidence Table'!$A$1:$AG$1,0)),INDEX('Margin Guidence Table'!$A$1:$AG$10000,MATCH(1,('Margin Guidence Table'!$A$1:$A$10000=OC16)*('Margin Guidence Table'!$I$1:$I$10000&lt;=ROUND($NU$3,0))*('Margin Guidence Table'!$J$1:$J$10000&gt;=ROUND($NU$3,0)),0),MATCH("DEFAULT_SELF_FUND_PCT_SALES",'Margin Guidence Table'!$A$1:$AG$1,0))),0))</f>
        <v>0</v>
      </c>
      <c r="OM16" s="784">
        <f t="array" ref="OM16">IF('Customer Inputs'!$W$20="End",0,IF($NV$2="Existing",IFERROR(SUMIFS('Existing Customers'!$V:$V,'Existing Customers'!$H:$H,$NT16,'Existing Customers'!$A:$A,$NU$1)/SUMIFS('Existing Customers'!$Q:$Q,'Existing Customers'!$H:$H,$NT16,'Existing Customers'!$A:$A,$NU$1),0),IFERROR(IF($OE16="SEGMENT",INDEX('Margin Guidence Table'!$A$1:$AG$10000,MATCH(1,('Margin Guidence Table'!$A$1:$A$10000=OC16)*('Margin Guidence Table'!$I$1:$I$10000&lt;=ROUND($NU$3,0))*('Margin Guidence Table'!$J$1:$J$10000&gt;=ROUND($NU$3,0)),0),MATCH("CIA_MEDIAN_MARGIN_GUIDENCE",'Margin Guidence Table'!$A$1:$AG$1,0)),INDEX('Margin Guidence Table'!$A$1:$AG$10000,MATCH(1,('Margin Guidence Table'!$A$1:$A$10000=OC16)*('Margin Guidence Table'!$I$1:$I$10000&lt;=ROUND($NU$3,0))*('Margin Guidence Table'!$J$1:$J$10000&gt;=ROUND($NU$3,0)),0),MATCH("DEFAULT_CIA_MEDIAN_MARGIN_GUIDENCE",'Margin Guidence Table'!$A$1:$AG$1,0))),0)))</f>
        <v>0</v>
      </c>
      <c r="ON16" s="784"/>
      <c r="OO16" s="18">
        <f t="array" ref="OO16">IF('Customer Inputs'!$W$21="End",0,IFERROR(IF($PB16="SEGMENT",INDEX('Margin Guidence Table'!$A$1:$AG$10000,MATCH(1,('Margin Guidence Table'!$A$1:$A$10000=$OZ16)*('Margin Guidence Table'!$I$1:$I$10000&lt;=ROUND($OR$3,0))*('Margin Guidence Table'!$J$1:$J$10000&gt;=ROUND($OR$3,0)),0),MATCH("PCT_SALES",'Margin Guidence Table'!$A$1:$AG$1,0)),INDEX('Margin Guidence Table'!$A$1:$AG$10000,MATCH(1,('Margin Guidence Table'!$A$1:$A$10000=$OZ16)*('Margin Guidence Table'!$I$1:$I$10000&lt;=ROUND($OR$3,0))*('Margin Guidence Table'!$J$1:$J$10000&gt;=ROUND($OR$3,0)),0),MATCH("DEFAULT_PCT_SALES",'Margin Guidence Table'!$A$1:$AG$1,0))),0))</f>
        <v>0</v>
      </c>
      <c r="OP16" s="1713" t="e">
        <f t="shared" si="62"/>
        <v>#DIV/0!</v>
      </c>
      <c r="OQ16" s="99" t="s">
        <v>1296</v>
      </c>
      <c r="OR16" s="91">
        <f>IF('Customer Inputs'!$W$21="End",0,IFERROR(IF(AND($OR$2&lt;&gt;"Enter Spend&gt;&gt;&gt;",$OS$2="EXISTING"),SUMIFS('Existing Customers'!$Q:$Q,'Existing Customers'!$A:$A,$OR$1,'Existing Customers'!$H:$H,$OQ16)*$OR$4,$OR$3*$OP16),0))</f>
        <v>0</v>
      </c>
      <c r="OS16" s="86">
        <f>IF('Customer Inputs'!$W$21="End",0,IFERROR(IF(AND($OR$2&lt;&gt;"Enter Spend&gt;&gt;&gt;",$OS$2="EXISTING"),SUMIFS('Existing Customers'!$N:$N,'Existing Customers'!$A:$A,$OR$1,'Existing Customers'!$H:$H,$OQ16)*$OR$4,$OR16/$PC16),0))</f>
        <v>0</v>
      </c>
      <c r="OT16" s="92">
        <f>IF('Customer Inputs'!$W$21="End",0,IFERROR(IF(AND($OR$2&lt;&gt;"Enter Spend&gt;&gt;&gt;",$OS$2="EXISTING"),SUMIFS('Existing Customers'!$O:$O,'Existing Customers'!$H:$H,$OQ16,'Existing Customers'!$A:$A,$OR$1)*$OR$4,$OS16*$OR$8),0))</f>
        <v>0</v>
      </c>
      <c r="OU16" s="92">
        <f>IF('Customer Inputs'!$W$21="End",0,IFERROR(IF(AND($OR$2&lt;&gt;"Enter Spend&gt;&gt;&gt;",$OS$2="EXISTING"),SUMIFS('Existing Customers'!$P:$P,'Existing Customers'!$A:$A,$OR$1,'Existing Customers'!$H:$H,$OQ16)*$OR$4,$OR16/$PD16),0))</f>
        <v>0</v>
      </c>
      <c r="OV16" s="303">
        <f>IF('Customer Inputs'!$W$21="End",0,IFERROR(IF(AND($OR$2&lt;&gt;"Enter Spend&gt;&gt;&gt;",$OS$2="EXISTING"),SUMIFS('Existing Customers'!$V:$V,'Existing Customers'!$H:$H,$OQ16,'Existing Customers'!$A:$A,$OR$1)*$OR$4,0),0))</f>
        <v>0</v>
      </c>
      <c r="OW16" s="93">
        <f>IF('Customer Inputs'!$W$21="End",0,IFERROR(IF(AND($OR$2&lt;&gt;"Enter Spend&gt;&gt;&gt;",$OS$2="EXISTING"),SUMIFS('Existing Customers'!$R:$R,'Existing Customers'!$H:$H,$OP16,'Existing Customers'!$A:$A,$OR$1)*$OR$4,0),0))</f>
        <v>0</v>
      </c>
      <c r="OX16" s="780">
        <f>IF('Customer Inputs'!$W$21="End",0,IFERROR(IF(AND($OR$2&lt;&gt;"Enter Spend&gt;&gt;&gt;",$OS$2="EXISTING"),SUMIFS('Existing Customers'!$S:$S,'Existing Customers'!$H:$H,$OQ16,'Existing Customers'!$A:$A,$OR$1)/SUMIFS('Existing Customers'!$Q:$Q,'Existing Customers'!$A:$A,$OR$1,'Existing Customers'!$H:$H,$OQ16),PH16),0))</f>
        <v>0</v>
      </c>
      <c r="OY16" s="780">
        <f>IF('Customer Inputs'!$W$21="End",0,IFERROR(IF(AND($OR$2&lt;&gt;"Enter Spend&gt;&gt;&gt;",$OS$2="EXISTING"),SUMIFS('Existing Customers'!$U:$U,'Existing Customers'!$H:$H,$OQ16,'Existing Customers'!$A:$A,$OR$1)/SUMIFS('Existing Customers'!$Q:$Q,'Existing Customers'!$A:$A,$OR$1,'Existing Customers'!$H:$H,$OQ16),PI16),0))</f>
        <v>0</v>
      </c>
      <c r="OZ16" s="783" t="e">
        <f>_xlfn.CONCAT('Customer Inputs'!$AH$21,"_",OQ16)</f>
        <v>#N/A</v>
      </c>
      <c r="PA16" s="783">
        <f t="array" ref="PA16">IF('Customer Inputs'!$W$22="End",0,IFERROR(INDEX('Margin Guidence Table'!$A$1:$AG$10000,MATCH(1,('Margin Guidence Table'!$A$1:$A$10000=OZ16)*('Margin Guidence Table'!$I$1:$I$10000&lt;=ROUND($OR$3,0))*('Margin Guidence Table'!$J$1:$J$10000&gt;=ROUND($OR$3,0)),0),MATCH("DATA_POINTS",'Margin Guidence Table'!$A$1:$AG$1,0)),0))</f>
        <v>0</v>
      </c>
      <c r="PB16" s="780" t="str">
        <f t="shared" si="63"/>
        <v>DEFAULT</v>
      </c>
      <c r="PC16" s="780">
        <f t="array" ref="PC16">IF('Customer Inputs'!$W$21="End",0,IFERROR(IF($PB16="SEGMENT",INDEX('Margin Guidence Table'!$A$1:$AG$10000,MATCH(1,('Margin Guidence Table'!$A$1:$A$10000=OZ16)*('Margin Guidence Table'!$I$1:$I$10000&lt;=ROUND($OR$3,0))*('Margin Guidence Table'!$J$1:$J$10000&gt;=ROUND($OR$3,0)),0),MATCH("SALES_CASE",'Margin Guidence Table'!$A$1:$AG$1,0)),INDEX('Margin Guidence Table'!$A$1:$AG$10000,MATCH(1,('Margin Guidence Table'!$A$1:$A$10000=OZ16)*('Margin Guidence Table'!$I$1:$I$10000&lt;=ROUND($OR$3,0))*('Margin Guidence Table'!$J$1:$J$10000&gt;=ROUND($OR$3,0)),0),MATCH("DEFAULT_SALES_CASE",'Margin Guidence Table'!$A$1:$AG$1,0))),0))</f>
        <v>0</v>
      </c>
      <c r="PD16" s="780">
        <f t="array" ref="PD16">IF('Customer Inputs'!$W$21="End",0,IFERROR(IF($PB16="SEGMENT",INDEX('Margin Guidence Table'!$A$1:$AG$10000,MATCH(1,('Margin Guidence Table'!$A$1:$A$10000=OZ16)*('Margin Guidence Table'!$I$1:$I$10000&lt;=ROUND($OR$3,0))*('Margin Guidence Table'!$J$1:$J$10000&gt;=ROUND($OR$3,0)),0),MATCH("SALES_LBS",'Margin Guidence Table'!$A$1:$AG$1,0)),INDEX('Margin Guidence Table'!$A$1:$AG$10000,MATCH(1,('Margin Guidence Table'!$A$1:$A$10000=OZ16)*('Margin Guidence Table'!$I$1:$I$10000&lt;=ROUND($OR$3,0))*('Margin Guidence Table'!$J$1:$J$10000&gt;=ROUND($OR$3,0)),0),MATCH("DEFAULT_SALES_LBS",'Margin Guidence Table'!$A$1:$AG$1,0))),0))</f>
        <v>0</v>
      </c>
      <c r="PE16" s="784">
        <f t="array" ref="PE16">IF('Customer Inputs'!$W$21="End",0,IFERROR(IF($PB16="SEGMENT",INDEX('Margin Guidence Table'!$A$1:$AG$10000,MATCH(1,('Margin Guidence Table'!$A$1:$A$10000=OZ16)*('Margin Guidence Table'!$I$1:$I$10000&lt;=ROUND($OR$3,0))*('Margin Guidence Table'!$J$1:$J$10000&gt;=ROUND($OR$3,0)),0),MATCH("MDA_MIN_MARGIN_GUIDENCE",'Margin Guidence Table'!$A$1:$AG$1,0)),INDEX('Margin Guidence Table'!$A$1:$AG$10000,MATCH(1,('Margin Guidence Table'!$A$1:$A$10000=OZ16)*('Margin Guidence Table'!$I$1:$I$10000&lt;=ROUND($OR$3,0))*('Margin Guidence Table'!$J$1:$J$10000&gt;=ROUND($OR$3,0)),0),MATCH("DEFAULT_MDA_MIN_MARGIN_GUIDENCE",'Margin Guidence Table'!$A$1:$AG$1,0))),0))</f>
        <v>0</v>
      </c>
      <c r="PF16" s="784">
        <f t="array" ref="PF16">IF('Customer Inputs'!$W$21="End",0,IFERROR(IF($PB16="SEGMENT",INDEX('Margin Guidence Table'!$A$1:$AG$10000,MATCH(1,('Margin Guidence Table'!$A$1:$A$10000=OZ16)*('Margin Guidence Table'!$I$1:$I$10000&lt;=ROUND($OR$3,0))*('Margin Guidence Table'!$J$1:$J$10000&gt;=ROUND($OR$3,0)),0),MATCH("MDA_MEDIAN_MARGIN_GUIDENCE",'Margin Guidence Table'!$A$1:$AG$1,0)),INDEX('Margin Guidence Table'!$A$1:$AG$10000,MATCH(1,('Margin Guidence Table'!$A$1:$A$10000=OZ16)*('Margin Guidence Table'!$I$1:$I$10000&lt;=ROUND($OR$3,0))*('Margin Guidence Table'!$J$1:$J$10000&gt;=ROUND($OR$3,0)),0),MATCH("DEFAULT_MDA_MEDIAN_MARGIN_GUIDENCE",'Margin Guidence Table'!$A$1:$AG$1,0))),0))</f>
        <v>0</v>
      </c>
      <c r="PG16" s="784">
        <f t="array" ref="PG16">IF('Customer Inputs'!$W$21="End",0,IFERROR(IF($PB16="SEGMENT",INDEX('Margin Guidence Table'!$A$1:$AG$10000,MATCH(1,('Margin Guidence Table'!$A$1:$A$10000=OZ16)*('Margin Guidence Table'!$I$1:$I$10000&lt;=ROUND($OR$3,0))*('Margin Guidence Table'!$J$1:$J$10000&gt;=ROUND($OR$3,0)),0),MATCH("MDA_MAX_MARGIN_GUIDENCE",'Margin Guidence Table'!$A$1:$AG$1,0)),INDEX('Margin Guidence Table'!$A$1:$AG$10000,MATCH(1,('Margin Guidence Table'!$A$1:$A$10000=OZ16)*('Margin Guidence Table'!$I$1:$I$10000&lt;=ROUND($OR$3,0))*('Margin Guidence Table'!$J$1:$J$10000&gt;=ROUND($OR$3,0)),0),MATCH("DEFAULT_MDA_MAX_MARGIN_GUIDENCE",'Margin Guidence Table'!$A$1:$AG$1,0))),0))</f>
        <v>0</v>
      </c>
      <c r="PH16" s="784">
        <f t="array" ref="PH16">IF('Customer Inputs'!$W$21="End",0,IFERROR(IF($PB16="SEGMENT",INDEX('Margin Guidence Table'!$A$1:$AG$10000,MATCH(1,('Margin Guidence Table'!$A$1:$A$10000=OZ16)*('Margin Guidence Table'!$I$1:$I$10000&lt;=ROUND($OR$3,0))*('Margin Guidence Table'!$J$1:$J$10000&gt;=ROUND($OR$3,0)),0),MATCH("PA_PCT_SALES",'Margin Guidence Table'!$A$1:$AG$1,0)),INDEX('Margin Guidence Table'!$A$1:$AG$10000,MATCH(1,('Margin Guidence Table'!$A$1:$A$10000=OZ16)*('Margin Guidence Table'!$I$1:$I$10000&lt;=ROUND($OR$3,0))*('Margin Guidence Table'!$J$1:$J$10000&gt;=ROUND($OR$3,0)),0),MATCH("DEFAULT_PA_PCT_SALES",'Margin Guidence Table'!$A$1:$AG$1,0))),0))</f>
        <v>0</v>
      </c>
      <c r="PI16" s="784">
        <f t="array" ref="PI16">IF('Customer Inputs'!$W$21="End",0,IFERROR(IF($PB16="SEGMENT",INDEX('Margin Guidence Table'!$A$1:$AG$10000,MATCH(1,('Margin Guidence Table'!$A$1:$A$10000=OZ16)*('Margin Guidence Table'!$I$1:$I$10000&lt;=ROUND($OR$3,0))*('Margin Guidence Table'!$J$1:$J$10000&gt;=ROUND($OR$3,0)),0),MATCH("SELF_FUND_PCT_SALES",'Margin Guidence Table'!$A$1:$AG$1,0)),INDEX('Margin Guidence Table'!$A$1:$AG$10000,MATCH(1,('Margin Guidence Table'!$A$1:$A$10000=OZ16)*('Margin Guidence Table'!$I$1:$I$10000&lt;=ROUND($OR$3,0))*('Margin Guidence Table'!$J$1:$J$10000&gt;=ROUND($OR$3,0)),0),MATCH("DEFAULT_SELF_FUND_PCT_SALES",'Margin Guidence Table'!$A$1:$AG$1,0))),0))</f>
        <v>0</v>
      </c>
      <c r="PJ16" s="784">
        <f t="array" ref="PJ16">IF('Customer Inputs'!$W$21="End",0,IF($OS$2="Existing",IFERROR(SUMIFS('Existing Customers'!$V:$V,'Existing Customers'!$H:$H,$OQ16,'Existing Customers'!$A:$A,$OR$1)/SUMIFS('Existing Customers'!$Q:$Q,'Existing Customers'!$H:$H,$OQ16,'Existing Customers'!$A:$A,$OR$1),0),IFERROR(IF($PB16="SEGMENT",INDEX('Margin Guidence Table'!$A$1:$AG$10000,MATCH(1,('Margin Guidence Table'!$A$1:$A$10000=OZ16)*('Margin Guidence Table'!$I$1:$I$10000&lt;=ROUND($OR$3,0))*('Margin Guidence Table'!$J$1:$J$10000&gt;=ROUND($OR$3,0)),0),MATCH("CIA_MEDIAN_MARGIN_GUIDENCE",'Margin Guidence Table'!$A$1:$AG$1,0)),INDEX('Margin Guidence Table'!$A$1:$AG$10000,MATCH(1,('Margin Guidence Table'!$A$1:$A$10000=OZ16)*('Margin Guidence Table'!$I$1:$I$10000&lt;=ROUND($OR$3,0))*('Margin Guidence Table'!$J$1:$J$10000&gt;=ROUND($OR$3,0)),0),MATCH("DEFAULT_CIA_MEDIAN_MARGIN_GUIDENCE",'Margin Guidence Table'!$A$1:$AG$1,0))),0)))</f>
        <v>0</v>
      </c>
      <c r="PK16" s="784"/>
      <c r="PL16" s="18">
        <f t="array" ref="PL16">IF('Customer Inputs'!$W$22="End",0,IFERROR(IF($PY16="SEGMENT",INDEX('Margin Guidence Table'!$A$1:$AG$10000,MATCH(1,('Margin Guidence Table'!$A$1:$A$10000=$PW16)*('Margin Guidence Table'!$I$1:$I$10000&lt;=ROUND($PO$3,0))*('Margin Guidence Table'!$J$1:$J$10000&gt;=ROUND($PO$3,0)),0),MATCH("PCT_SALES",'Margin Guidence Table'!$A$1:$AG$1,0)),INDEX('Margin Guidence Table'!$A$1:$AG$10000,MATCH(1,('Margin Guidence Table'!$A$1:$A$10000=$PW16)*('Margin Guidence Table'!$I$1:$I$10000&lt;=ROUND($PO$3,0))*('Margin Guidence Table'!$J$1:$J$10000&gt;=ROUND($PO$3,0)),0),MATCH("DEFAULT_PCT_SALES",'Margin Guidence Table'!$A$1:$AG$1,0))),0))</f>
        <v>0</v>
      </c>
      <c r="PM16" s="1713" t="e">
        <f t="shared" si="64"/>
        <v>#DIV/0!</v>
      </c>
      <c r="PN16" s="99" t="s">
        <v>1296</v>
      </c>
      <c r="PO16" s="91">
        <f>IF('Customer Inputs'!$W$22="End",0,IFERROR(IF(AND($PO$2&lt;&gt;"Enter Spend&gt;&gt;&gt;",$PP$2="EXISTING"),SUMIFS('Existing Customers'!$Q:$Q,'Existing Customers'!$A:$A,$PO$1,'Existing Customers'!$H:$H,$PN16)*$PO$4,$PO$3*$PM16),0))</f>
        <v>0</v>
      </c>
      <c r="PP16" s="86">
        <f>IF('Customer Inputs'!$W$22="End",0,IFERROR(IF(AND($PO$2&lt;&gt;"Enter Spend&gt;&gt;&gt;",$PP$2="EXISTING"),SUMIFS('Existing Customers'!$N:$N,'Existing Customers'!$A:$A,$PO$1,'Existing Customers'!$H:$H,$PN16)*$PO$4,$PO16/$PZ16),0))</f>
        <v>0</v>
      </c>
      <c r="PQ16" s="92">
        <f>IF('Customer Inputs'!$W$22="End",0,IFERROR(IF(AND($PO$2&lt;&gt;"Enter Spend&gt;&gt;&gt;",$PP$2="EXISTING"),SUMIFS('Existing Customers'!$O:$O,'Existing Customers'!$H:$H,$PN16,'Existing Customers'!$A:$A,$PO$1)*$PO$4,$PP16*$PO$8),0))</f>
        <v>0</v>
      </c>
      <c r="PR16" s="92">
        <f>IF('Customer Inputs'!$W$22="End",0,IFERROR(IF(AND($PO$2&lt;&gt;"Enter Spend&gt;&gt;&gt;",$PP$2="EXISTING"),SUMIFS('Existing Customers'!$P:$P,'Existing Customers'!$A:$A,$PO$1,'Existing Customers'!$H:$H,$PN16)*$PO$4,$PO16/$QA16),0))</f>
        <v>0</v>
      </c>
      <c r="PS16" s="303">
        <f>IF('Customer Inputs'!$W$22="End",0,IFERROR(IF(AND($PO$2&lt;&gt;"Enter Spend&gt;&gt;&gt;",$PP$2="EXISTING"),SUMIFS('Existing Customers'!$V:$V,'Existing Customers'!$H:$H,$PN16,'Existing Customers'!$A:$A,$PO$1)*$PO$4,0),0))</f>
        <v>0</v>
      </c>
      <c r="PT16" s="93">
        <f>IF('Customer Inputs'!$W$22="End",0,IFERROR(IF(AND($PO$2&lt;&gt;"Enter Spend&gt;&gt;&gt;",$PP$2="EXISTING"),SUMIFS('Existing Customers'!$R:$R,'Existing Customers'!$H:$H,$PN16,'Existing Customers'!$A:$A,$PO$1)*$PO$4,0),0))</f>
        <v>0</v>
      </c>
      <c r="PU16" s="780">
        <f>IF('Customer Inputs'!$W$22="End",0,IFERROR(IF(AND($PO$2&lt;&gt;"Enter Spend&gt;&gt;&gt;",$PP$2="EXISTING"),SUMIFS('Existing Customers'!$S:$S,'Existing Customers'!$H:$H,$PN16,'Existing Customers'!$A:$A,$PO$1)/SUMIFS('Existing Customers'!$Q:$Q,'Existing Customers'!$A:$A,$PO$1,'Existing Customers'!$H:$H,$PN16),QE16),0))</f>
        <v>0</v>
      </c>
      <c r="PV16" s="780">
        <f>IF('Customer Inputs'!$W$22="End",0,IFERROR(IF(AND($PO$2&lt;&gt;"Enter Spend&gt;&gt;&gt;",$PP$2="EXISTING"),SUMIFS('Existing Customers'!$U:$U,'Existing Customers'!$H:$H,$PN16,'Existing Customers'!$A:$A,$PO$1)/SUMIFS('Existing Customers'!$Q:$Q,'Existing Customers'!$A:$A,$PO$1,'Existing Customers'!$H:$H,$PN16),QF16),0))</f>
        <v>0</v>
      </c>
      <c r="PW16" s="783" t="e">
        <f>_xlfn.CONCAT('Customer Inputs'!$AH$22,"_",PN16)</f>
        <v>#N/A</v>
      </c>
      <c r="PX16" s="783">
        <f t="array" ref="PX16">IF('Customer Inputs'!$W$22="End",0,IFERROR(INDEX('Margin Guidence Table'!$A$1:$AG$10000,MATCH(1,('Margin Guidence Table'!$A$1:$A$10000=PW16)*('Margin Guidence Table'!$I$1:$I$10000&lt;=ROUND($PO$3,0))*('Margin Guidence Table'!$J$1:$J$10000&gt;=ROUND($PO$3,0)),0),MATCH("DATA_POINTS",'Margin Guidence Table'!$A$1:$AG$1,0)),0))</f>
        <v>0</v>
      </c>
      <c r="PY16" s="780" t="str">
        <f t="shared" si="65"/>
        <v>DEFAULT</v>
      </c>
      <c r="PZ16" s="780">
        <f t="array" ref="PZ16">IF('Customer Inputs'!$W$22="End",0,IFERROR(IF($PY16="SEGMENT",INDEX('Margin Guidence Table'!$A$1:$AG$10000,MATCH(1,('Margin Guidence Table'!$A$1:$A$10000=PW16)*('Margin Guidence Table'!$I$1:$I$10000&lt;=ROUND($PO$3,0))*('Margin Guidence Table'!$J$1:$J$10000&gt;=ROUND($PO$3,0)),0),MATCH("SALES_CASE",'Margin Guidence Table'!$A$1:$AG$1,0)),INDEX('Margin Guidence Table'!$A$1:$AG$10000,MATCH(1,('Margin Guidence Table'!$A$1:$A$10000=PW16)*('Margin Guidence Table'!$I$1:$I$10000&lt;=ROUND($PO$3,0))*('Margin Guidence Table'!$J$1:$J$10000&gt;=ROUND($PO$3,0)),0),MATCH("DEFAULT_SALES_CASE",'Margin Guidence Table'!$A$1:$AG$1,0))),0))</f>
        <v>0</v>
      </c>
      <c r="QA16" s="780">
        <f t="array" ref="QA16">IF('Customer Inputs'!$W$22="End",0,IFERROR(IF($PY16="SEGMENT",INDEX('Margin Guidence Table'!$A$1:$AG$10000,MATCH(1,('Margin Guidence Table'!$A$1:$A$10000=PW16)*('Margin Guidence Table'!$I$1:$I$10000&lt;=ROUND($PO$3,0))*('Margin Guidence Table'!$J$1:$J$10000&gt;=ROUND($PO$3,0)),0),MATCH("SALES_LBS",'Margin Guidence Table'!$A$1:$AG$1,0)),INDEX('Margin Guidence Table'!$A$1:$AG$10000,MATCH(1,('Margin Guidence Table'!$A$1:$A$10000=PW16)*('Margin Guidence Table'!$I$1:$I$10000&lt;=ROUND($PO$3,0))*('Margin Guidence Table'!$J$1:$J$10000&gt;=ROUND($PO$3,0)),0),MATCH("DEFAULT_SALES_LBS",'Margin Guidence Table'!$A$1:$AG$1,0))),0))</f>
        <v>0</v>
      </c>
      <c r="QB16" s="784">
        <f t="array" ref="QB16">IF('Customer Inputs'!$W$22="End",0,IFERROR(IF($PY16="SEGMENT",INDEX('Margin Guidence Table'!$A$1:$AG$10000,MATCH(1,('Margin Guidence Table'!$A$1:$A$10000=PW16)*('Margin Guidence Table'!$I$1:$I$10000&lt;=ROUND($PO$3,0))*('Margin Guidence Table'!$J$1:$J$10000&gt;=ROUND($PO$3,0)),0),MATCH("MDA_MIN_MARGIN_GUIDENCE",'Margin Guidence Table'!$A$1:$AG$1,0)),INDEX('Margin Guidence Table'!$A$1:$AG$10000,MATCH(1,('Margin Guidence Table'!$A$1:$A$10000=PW16)*('Margin Guidence Table'!$I$1:$I$10000&lt;=ROUND($PO$3,0))*('Margin Guidence Table'!$J$1:$J$10000&gt;=ROUND($PO$3,0)),0),MATCH("DEFAULT_MDA_MIN_MARGIN_GUIDENCE",'Margin Guidence Table'!$A$1:$AG$1,0))),0))</f>
        <v>0</v>
      </c>
      <c r="QC16" s="784">
        <f t="array" ref="QC16">IF('Customer Inputs'!$W$22="End",0,IFERROR(IF($PY16="SEGMENT",INDEX('Margin Guidence Table'!$A$1:$AG$10000,MATCH(1,('Margin Guidence Table'!$A$1:$A$10000=PW16)*('Margin Guidence Table'!$I$1:$I$10000&lt;=ROUND($PO$3,0))*('Margin Guidence Table'!$J$1:$J$10000&gt;=ROUND($PO$3,0)),0),MATCH("MDA_MEDIAN_MARGIN_GUIDENCE",'Margin Guidence Table'!$A$1:$AG$1,0)),INDEX('Margin Guidence Table'!$A$1:$AG$10000,MATCH(1,('Margin Guidence Table'!$A$1:$A$10000=PW16)*('Margin Guidence Table'!$I$1:$I$10000&lt;=ROUND($PO$3,0))*('Margin Guidence Table'!$J$1:$J$10000&gt;=ROUND($PO$3,0)),0),MATCH("DEFAULT_MDA_MEDIAN_MARGIN_GUIDENCE",'Margin Guidence Table'!$A$1:$AG$1,0))),0))</f>
        <v>0</v>
      </c>
      <c r="QD16" s="784">
        <f t="array" ref="QD16">IF('Customer Inputs'!$W$22="End",0,IFERROR(IF($PY16="SEGMENT",INDEX('Margin Guidence Table'!$A$1:$AG$10000,MATCH(1,('Margin Guidence Table'!$A$1:$A$10000=PW16)*('Margin Guidence Table'!$I$1:$I$10000&lt;=ROUND($PO$3,0))*('Margin Guidence Table'!$J$1:$J$10000&gt;=ROUND($PO$3,0)),0),MATCH("MDA_MAX_MARGIN_GUIDENCE",'Margin Guidence Table'!$A$1:$AG$1,0)),INDEX('Margin Guidence Table'!$A$1:$AG$10000,MATCH(1,('Margin Guidence Table'!$A$1:$A$10000=PW16)*('Margin Guidence Table'!$I$1:$I$10000&lt;=ROUND($PO$3,0))*('Margin Guidence Table'!$J$1:$J$10000&gt;=ROUND($PO$3,0)),0),MATCH("DEFAULT_MDA_MAX_MARGIN_GUIDENCE",'Margin Guidence Table'!$A$1:$AG$1,0))),0))</f>
        <v>0</v>
      </c>
      <c r="QE16" s="784">
        <f t="array" ref="QE16">IF('Customer Inputs'!$W$22="End",0,IFERROR(IF($PY16="SEGMENT",INDEX('Margin Guidence Table'!$A$1:$AG$10000,MATCH(1,('Margin Guidence Table'!$A$1:$A$10000=PW16)*('Margin Guidence Table'!$I$1:$I$10000&lt;=ROUND($PO$3,0))*('Margin Guidence Table'!$J$1:$J$10000&gt;=ROUND($PO$3,0)),0),MATCH("PA_PCT_SALES",'Margin Guidence Table'!$A$1:$AG$1,0)),INDEX('Margin Guidence Table'!$A$1:$AG$10000,MATCH(1,('Margin Guidence Table'!$A$1:$A$10000=PW16)*('Margin Guidence Table'!$I$1:$I$10000&lt;=ROUND($PO$3,0))*('Margin Guidence Table'!$J$1:$J$10000&gt;=ROUND($PO$3,0)),0),MATCH("DEFAULT_PA_PCT_SALES",'Margin Guidence Table'!$A$1:$AG$1,0))),0))</f>
        <v>0</v>
      </c>
      <c r="QF16" s="784">
        <f t="array" ref="QF16">IF('Customer Inputs'!$W$22="End",0,IFERROR(IF($PY16="SEGMENT",INDEX('Margin Guidence Table'!$A$1:$AG$10000,MATCH(1,('Margin Guidence Table'!$A$1:$A$10000=PW16)*('Margin Guidence Table'!$I$1:$I$10000&lt;=ROUND($PO$3,0))*('Margin Guidence Table'!$J$1:$J$10000&gt;=ROUND($PO$3,0)),0),MATCH("SELF_FUND_PCT_SALES",'Margin Guidence Table'!$A$1:$AG$1,0)),INDEX('Margin Guidence Table'!$A$1:$AG$10000,MATCH(1,('Margin Guidence Table'!$A$1:$A$10000=PW16)*('Margin Guidence Table'!$I$1:$I$10000&lt;=ROUND($PO$3,0))*('Margin Guidence Table'!$J$1:$J$10000&gt;=ROUND($PO$3,0)),0),MATCH("DEFAULT_SELF_FUND_PCT_SALES",'Margin Guidence Table'!$A$1:$AG$1,0))),0))</f>
        <v>0</v>
      </c>
      <c r="QG16" s="784">
        <f t="array" ref="QG16">IF('Customer Inputs'!$W$22="End",0,IF($PP$2="Existing",IFERROR(SUMIFS('Existing Customers'!$V:$V,'Existing Customers'!$H:$H,$PN16,'Existing Customers'!$A:$A,$PO$1)/SUMIFS('Existing Customers'!$Q:$Q,'Existing Customers'!$H:$H,$PN16,'Existing Customers'!$A:$A,$PO$1),0),IFERROR(IF($PY16="SEGMENT",INDEX('Margin Guidence Table'!$A$1:$AG$10000,MATCH(1,('Margin Guidence Table'!$A$1:$A$10000=PW16)*('Margin Guidence Table'!$I$1:$I$10000&lt;=ROUND($PO$3,0))*('Margin Guidence Table'!$J$1:$J$10000&gt;=ROUND($PO$3,0)),0),MATCH("CIA_MEDIAN_MARGIN_GUIDENCE",'Margin Guidence Table'!$A$1:$AG$1,0)),INDEX('Margin Guidence Table'!$A$1:$AG$10000,MATCH(1,('Margin Guidence Table'!$A$1:$A$10000=PW16)*('Margin Guidence Table'!$I$1:$I$10000&lt;=ROUND($PO$3,0))*('Margin Guidence Table'!$J$1:$J$10000&gt;=ROUND($PO$3,0)),0),MATCH("DEFAULT_CIA_MEDIAN_MARGIN_GUIDENCE",'Margin Guidence Table'!$A$1:$AG$1,0))),0)))</f>
        <v>0</v>
      </c>
      <c r="QH16" s="784"/>
      <c r="QI16" s="18">
        <f t="array" ref="QI16">IF('Customer Inputs'!$W$23="End",0,IFERROR(IF($QV16="SEGMENT",INDEX('Margin Guidence Table'!$A$1:$AG$10000,MATCH(1,('Margin Guidence Table'!$A$1:$A$10000=$QT16)*('Margin Guidence Table'!$I$1:$I$10000&lt;=ROUND($QL$3,0))*('Margin Guidence Table'!$J$1:$J$10000&gt;=ROUND($QL$3,0)),0),MATCH("PCT_SALES",'Margin Guidence Table'!$A$1:$AG$1,0)),INDEX('Margin Guidence Table'!$A$1:$AG$10000,MATCH(1,('Margin Guidence Table'!$A$1:$A$10000=$QT16)*('Margin Guidence Table'!$I$1:$I$10000&lt;=ROUND($QL$3,0))*('Margin Guidence Table'!$J$1:$J$10000&gt;=ROUND($QL$3,0)),0),MATCH("DEFAULT_PCT_SALES",'Margin Guidence Table'!$A$1:$AG$1,0))),0))</f>
        <v>0</v>
      </c>
      <c r="QJ16" s="1713" t="e">
        <f t="shared" si="66"/>
        <v>#DIV/0!</v>
      </c>
      <c r="QK16" s="99" t="s">
        <v>1296</v>
      </c>
      <c r="QL16" s="91">
        <f>IF('Customer Inputs'!$W$23="End",0,IFERROR(IF(AND($QL$2&lt;&gt;"Enter Spend&gt;&gt;&gt;",$QM$2="EXISTING"),SUMIFS('Existing Customers'!$Q:$Q,'Existing Customers'!$A:$A,$QL$1,'Existing Customers'!$H:$H,$QK16)*$QL$4,$QL$3*$QJ16),0))</f>
        <v>0</v>
      </c>
      <c r="QM16" s="86">
        <f>IF('Customer Inputs'!$W$23="End",0,IFERROR(IF(AND($QL$2&lt;&gt;"Enter Spend&gt;&gt;&gt;",$QM$2="EXISTING"),SUMIFS('Existing Customers'!$N:$N,'Existing Customers'!$A:$A,$QL$1,'Existing Customers'!$H:$H,$QK16)*$QL$4,$QL16/$QW16),0))</f>
        <v>0</v>
      </c>
      <c r="QN16" s="92">
        <f>IF('Customer Inputs'!$W$23="End",0,IFERROR(IF(AND($QL$2&lt;&gt;"Enter Spend&gt;&gt;&gt;",$QM$2="EXISTING"),SUMIFS('Existing Customers'!$O:$O,'Existing Customers'!$H:$H,$QK16,'Existing Customers'!$A:$A,$QL$1)*$QL$4,$QM16*$QL$8),0))</f>
        <v>0</v>
      </c>
      <c r="QO16" s="92">
        <f>IF('Customer Inputs'!$W$23="End",0,IFERROR(IF(AND($QL$2&lt;&gt;"Enter Spend&gt;&gt;&gt;",$QM$2="EXISTING"),SUMIFS('Existing Customers'!$P:$P,'Existing Customers'!$A:$A,$QL$1,'Existing Customers'!$H:$H,$QK16)*$QL$4,$QL16/$QX16),0))</f>
        <v>0</v>
      </c>
      <c r="QP16" s="303">
        <f>IF('Customer Inputs'!$W$23="End",0,IFERROR(IF(AND($QL$2&lt;&gt;"Enter Spend&gt;&gt;&gt;",$QM$2="EXISTING"),SUMIFS('Existing Customers'!$V:$V,'Existing Customers'!$H:$H,$QK16,'Existing Customers'!$A:$A,$QL$1)*$QL$4,0),0))</f>
        <v>0</v>
      </c>
      <c r="QQ16" s="93">
        <f>IF('Customer Inputs'!$W$23="End",0,IFERROR(IF(AND($QL$2&lt;&gt;"Enter Spend&gt;&gt;&gt;",$QM$2="EXISTING"),SUMIFS('Existing Customers'!$R:$R,'Existing Customers'!$H:$H,$QK16,'Existing Customers'!$A:$A,$QL$1)*$QL$4,0),0))</f>
        <v>0</v>
      </c>
      <c r="QR16" s="780">
        <f>IF('Customer Inputs'!$W$23="End",0,IFERROR(IF(AND($QL$2&lt;&gt;"Enter Spend&gt;&gt;&gt;",$QM$2="EXISTING"),SUMIFS('Existing Customers'!$S:$S,'Existing Customers'!$H:$H,$QK16,'Existing Customers'!$A:$A,$QL$1)/SUMIFS('Existing Customers'!$Q:$Q,'Existing Customers'!$A:$A,$QL$1,'Existing Customers'!$H:$H,$QK16),RB16),0))</f>
        <v>0</v>
      </c>
      <c r="QS16" s="780">
        <f>IF('Customer Inputs'!$W$23="End",0,IFERROR(IF(AND($QL$2&lt;&gt;"Enter Spend&gt;&gt;&gt;",$QM$2="EXISTING"),SUMIFS('Existing Customers'!$U:$U,'Existing Customers'!$H:$H,$QK16,'Existing Customers'!$A:$A,$QL$1)/SUMIFS('Existing Customers'!$Q:$Q,'Existing Customers'!$A:$A,$QL$1,'Existing Customers'!$H:$H,$QK16),RC16),0))</f>
        <v>0</v>
      </c>
      <c r="QT16" s="783" t="e">
        <f>_xlfn.CONCAT('Customer Inputs'!$AH$23,"_",QK16)</f>
        <v>#N/A</v>
      </c>
      <c r="QU16" s="783">
        <f t="array" ref="QU16">IF('Customer Inputs'!$W$23="End",0,IFERROR(INDEX('Margin Guidence Table'!$A$1:$AG$10000,MATCH(1,('Margin Guidence Table'!$A$1:$A$10000=QT16)*('Margin Guidence Table'!$I$1:$I$10000&lt;=ROUND($QL$3,0))*('Margin Guidence Table'!$J$1:$J$10000&gt;=ROUND($QL$3,0)),0),MATCH("DATA_POINTS",'Margin Guidence Table'!$A$1:$AG$1,0)),0))</f>
        <v>0</v>
      </c>
      <c r="QV16" s="780" t="str">
        <f t="shared" si="67"/>
        <v>DEFAULT</v>
      </c>
      <c r="QW16" s="780">
        <f t="array" ref="QW16">IF('Customer Inputs'!$W$23="End",0,IFERROR(IF($QV16="SEGMENT",INDEX('Margin Guidence Table'!$A$1:$AG$10000,MATCH(1,('Margin Guidence Table'!$A$1:$A$10000=QT16)*('Margin Guidence Table'!$I$1:$I$10000&lt;=ROUND($QL$3,0))*('Margin Guidence Table'!$J$1:$J$10000&gt;=ROUND($QL$3,0)),0),MATCH("SALES_CASE",'Margin Guidence Table'!$A$1:$AG$1,0)),INDEX('Margin Guidence Table'!$A$1:$AG$10000,MATCH(1,('Margin Guidence Table'!$A$1:$A$10000=QT16)*('Margin Guidence Table'!$I$1:$I$10000&lt;=ROUND($QL$3,0))*('Margin Guidence Table'!$J$1:$J$10000&gt;=ROUND($QL$3,0)),0),MATCH("DEFAULT_SALES_CASE",'Margin Guidence Table'!$A$1:$AG$1,0))),0))</f>
        <v>0</v>
      </c>
      <c r="QX16" s="780">
        <f t="array" ref="QX16">IF('Customer Inputs'!$W$23="End",0,IFERROR(IF($QV16="SEGMENT",INDEX('Margin Guidence Table'!$A$1:$AG$10000,MATCH(1,('Margin Guidence Table'!$A$1:$A$10000=QT16)*('Margin Guidence Table'!$I$1:$I$10000&lt;=ROUND($QL$3,0))*('Margin Guidence Table'!$J$1:$J$10000&gt;=ROUND($QL$3,0)),0),MATCH("SALES_LBS",'Margin Guidence Table'!$A$1:$AG$1,0)),INDEX('Margin Guidence Table'!$A$1:$AG$10000,MATCH(1,('Margin Guidence Table'!$A$1:$A$10000=QT16)*('Margin Guidence Table'!$I$1:$I$10000&lt;=ROUND($QL$3,0))*('Margin Guidence Table'!$J$1:$J$10000&gt;=ROUND($QL$3,0)),0),MATCH("DEFAULT_SALES_LBS",'Margin Guidence Table'!$A$1:$AG$1,0))),0))</f>
        <v>0</v>
      </c>
      <c r="QY16" s="784">
        <f t="array" ref="QY16">IF('Customer Inputs'!$W$23="End",0,IFERROR(IF($QV16="SEGMENT",INDEX('Margin Guidence Table'!$A$1:$AG$10000,MATCH(1,('Margin Guidence Table'!$A$1:$A$10000=QT16)*('Margin Guidence Table'!$I$1:$I$10000&lt;=ROUND($QL$3,0))*('Margin Guidence Table'!$J$1:$J$10000&gt;=ROUND($QL$3,0)),0),MATCH("MDA_MIN_MARGIN_GUIDENCE",'Margin Guidence Table'!$A$1:$AG$1,0)),INDEX('Margin Guidence Table'!$A$1:$AG$10000,MATCH(1,('Margin Guidence Table'!$A$1:$A$10000=QT16)*('Margin Guidence Table'!$I$1:$I$10000&lt;=ROUND($QL$3,0))*('Margin Guidence Table'!$J$1:$J$10000&gt;=ROUND($QL$3,0)),0),MATCH("DEFAULT_MDA_MIN_MARGIN_GUIDENCE",'Margin Guidence Table'!$A$1:$AG$1,0))),0))</f>
        <v>0</v>
      </c>
      <c r="QZ16" s="784">
        <f t="array" ref="QZ16">IF('Customer Inputs'!$W$23="End",0,IFERROR(IF($QV16="SEGMENT",INDEX('Margin Guidence Table'!$A$1:$AG$10000,MATCH(1,('Margin Guidence Table'!$A$1:$A$10000=QT16)*('Margin Guidence Table'!$I$1:$I$10000&lt;=ROUND($QL$3,0))*('Margin Guidence Table'!$J$1:$J$10000&gt;=ROUND($QL$3,0)),0),MATCH("MDA_MEDIAN_MARGIN_GUIDENCE",'Margin Guidence Table'!$A$1:$AG$1,0)),INDEX('Margin Guidence Table'!$A$1:$AG$10000,MATCH(1,('Margin Guidence Table'!$A$1:$A$10000=QT16)*('Margin Guidence Table'!$I$1:$I$10000&lt;=ROUND($QL$3,0))*('Margin Guidence Table'!$J$1:$J$10000&gt;=ROUND($QL$3,0)),0),MATCH("DEFAULT_MDA_MEDIAN_MARGIN_GUIDENCE",'Margin Guidence Table'!$A$1:$AG$1,0))),0))</f>
        <v>0</v>
      </c>
      <c r="RA16" s="784">
        <f t="array" ref="RA16">IF('Customer Inputs'!$W$23="End",0,IFERROR(IF($QV16="SEGMENT",INDEX('Margin Guidence Table'!$A$1:$AG$10000,MATCH(1,('Margin Guidence Table'!$A$1:$A$10000=QT16)*('Margin Guidence Table'!$I$1:$I$10000&lt;=ROUND($QL$3,0))*('Margin Guidence Table'!$J$1:$J$10000&gt;=ROUND($QL$3,0)),0),MATCH("MDA_MAX_MARGIN_GUIDENCE",'Margin Guidence Table'!$A$1:$AG$1,0)),INDEX('Margin Guidence Table'!$A$1:$AG$10000,MATCH(1,('Margin Guidence Table'!$A$1:$A$10000=QT16)*('Margin Guidence Table'!$I$1:$I$10000&lt;=ROUND($QL$3,0))*('Margin Guidence Table'!$J$1:$J$10000&gt;=ROUND($QL$3,0)),0),MATCH("DEFAULT_MDA_MAX_MARGIN_GUIDENCE",'Margin Guidence Table'!$A$1:$AG$1,0))),0))</f>
        <v>0</v>
      </c>
      <c r="RB16" s="784">
        <f t="array" ref="RB16">IF('Customer Inputs'!$W$23="End",0,IFERROR(IF($QV16="SEGMENT",INDEX('Margin Guidence Table'!$A$1:$AG$10000,MATCH(1,('Margin Guidence Table'!$A$1:$A$10000=QT16)*('Margin Guidence Table'!$I$1:$I$10000&lt;=ROUND($QL$3,0))*('Margin Guidence Table'!$J$1:$J$10000&gt;=ROUND($QL$3,0)),0),MATCH("PA_PCT_SALES",'Margin Guidence Table'!$A$1:$AG$1,0)),INDEX('Margin Guidence Table'!$A$1:$AG$10000,MATCH(1,('Margin Guidence Table'!$A$1:$A$10000=QT16)*('Margin Guidence Table'!$I$1:$I$10000&lt;=ROUND($QL$3,0))*('Margin Guidence Table'!$J$1:$J$10000&gt;=ROUND($QL$3,0)),0),MATCH("DEFAULT_PA_PCT_SALES",'Margin Guidence Table'!$A$1:$AG$1,0))),0))</f>
        <v>0</v>
      </c>
      <c r="RC16" s="784">
        <f t="array" ref="RC16">IF('Customer Inputs'!$W$23="End",0,IFERROR(IF($QV16="SEGMENT",INDEX('Margin Guidence Table'!$A$1:$AG$10000,MATCH(1,('Margin Guidence Table'!$A$1:$A$10000=QT16)*('Margin Guidence Table'!$I$1:$I$10000&lt;=ROUND($QL$3,0))*('Margin Guidence Table'!$J$1:$J$10000&gt;=ROUND($QL$3,0)),0),MATCH("SELF_FUND_PCT_SALES",'Margin Guidence Table'!$A$1:$AG$1,0)),INDEX('Margin Guidence Table'!$A$1:$AG$10000,MATCH(1,('Margin Guidence Table'!$A$1:$A$10000=QT16)*('Margin Guidence Table'!$I$1:$I$10000&lt;=ROUND($QL$3,0))*('Margin Guidence Table'!$J$1:$J$10000&gt;=ROUND($QL$3,0)),0),MATCH("DEFAULT_SELF_FUND_PCT_SALES",'Margin Guidence Table'!$A$1:$AG$1,0))),0))</f>
        <v>0</v>
      </c>
      <c r="RD16" s="784">
        <f t="array" ref="RD16">IF('Customer Inputs'!$W$23="End",0,IF($QM$2="Existing",IFERROR(SUMIFS('Existing Customers'!$V:$V,'Existing Customers'!$H:$H,$QK16,'Existing Customers'!$A:$A,$QL$1)/SUMIFS('Existing Customers'!$Q:$Q,'Existing Customers'!$H:$H,$QK16,'Existing Customers'!$A:$A,$QL$1),0),IFERROR(IF($QV16="SEGMENT",INDEX('Margin Guidence Table'!$A$1:$AG$10000,MATCH(1,('Margin Guidence Table'!$A$1:$A$10000=QT16)*('Margin Guidence Table'!$I$1:$I$10000&lt;=ROUND($QL$3,0))*('Margin Guidence Table'!$J$1:$J$10000&gt;=ROUND($QL$3,0)),0),MATCH("CIA_MEDIAN_MARGIN_GUIDENCE",'Margin Guidence Table'!$A$1:$AG$1,0)),INDEX('Margin Guidence Table'!$A$1:$AG$10000,MATCH(1,('Margin Guidence Table'!$A$1:$A$10000=QT16)*('Margin Guidence Table'!$I$1:$I$10000&lt;=ROUND($QL$3,0))*('Margin Guidence Table'!$J$1:$J$10000&gt;=ROUND($QL$3,0)),0),MATCH("DEFAULT_CIA_MEDIAN_MARGIN_GUIDENCE",'Margin Guidence Table'!$A$1:$AG$1,0))),0)))</f>
        <v>0</v>
      </c>
      <c r="RE16" s="784"/>
      <c r="RF16" s="18">
        <f t="array" ref="RF16">IF('Customer Inputs'!$W$24="End",0,IFERROR(IF($RS16="SEGMENT",INDEX('Margin Guidence Table'!$A$1:$AG$10000,MATCH(1,('Margin Guidence Table'!$A$1:$A$10000=$RQ16)*('Margin Guidence Table'!$I$1:$I$10000&lt;=ROUND($RI$3,0))*('Margin Guidence Table'!$J$1:$J$10000&gt;=ROUND($RI$3,0)),0),MATCH("PCT_SALES",'Margin Guidence Table'!$A$1:$AG$1,0)),INDEX('Margin Guidence Table'!$A$1:$AG$10000,MATCH(1,('Margin Guidence Table'!$A$1:$A$10000=$RQ16)*('Margin Guidence Table'!$I$1:$I$10000&lt;=ROUND($RI$3,0))*('Margin Guidence Table'!$J$1:$J$10000&gt;=ROUND($RI$3,0)),0),MATCH("DEFAULT_PCT_SALES",'Margin Guidence Table'!$A$1:$AG$1,0))),0))</f>
        <v>0</v>
      </c>
      <c r="RG16" s="1713" t="e">
        <f t="shared" si="68"/>
        <v>#DIV/0!</v>
      </c>
      <c r="RH16" s="99" t="s">
        <v>1296</v>
      </c>
      <c r="RI16" s="91">
        <f>IF('Customer Inputs'!$W$24="End",0,IFERROR(IF(AND($RI$2&lt;&gt;"Enter Spend&gt;&gt;&gt;",$RJ$2="EXISTING"),SUMIFS('Existing Customers'!$Q:$Q,'Existing Customers'!$A:$A,$RI$1,'Existing Customers'!$H:$H,$RH16)*$RI$4,$RI$3*$RG16),0))</f>
        <v>0</v>
      </c>
      <c r="RJ16" s="86">
        <f>IF('Customer Inputs'!$W$24="End",0,IFERROR(IF(AND($RI$2&lt;&gt;"Enter Spend&gt;&gt;&gt;",$RJ$2="EXISTING"),SUMIFS('Existing Customers'!$N:$N,'Existing Customers'!$A:$A,$RI$1,'Existing Customers'!$H:$H,$RH16)*$RI$4,$RI16/$RT16),0))</f>
        <v>0</v>
      </c>
      <c r="RK16" s="92">
        <f>IF('Customer Inputs'!$W$24="End",0,IFERROR(IF(AND($RI$2&lt;&gt;"Enter Spend&gt;&gt;&gt;",$RJ$2="EXISTING"),SUMIFS('Existing Customers'!$O:$O,'Existing Customers'!$H:$H,$RH16,'Existing Customers'!$A:$A,$RI$1)*$RI$4,$RJ16*$RI$8),0))</f>
        <v>0</v>
      </c>
      <c r="RL16" s="92">
        <f>IF('Customer Inputs'!$W$24="End",0,IFERROR(IF(AND($RI$2&lt;&gt;"Enter Spend&gt;&gt;&gt;",$RJ$2="EXISTING"),SUMIFS('Existing Customers'!$P:$P,'Existing Customers'!$A:$A,$RI$1,'Existing Customers'!$H:$H,$RH16)*$RI$4,$RI16/$RU16),0))</f>
        <v>0</v>
      </c>
      <c r="RM16" s="303">
        <f>IF('Customer Inputs'!$W$24="End",0,IFERROR(IF(AND($RI$2&lt;&gt;"Enter Spend&gt;&gt;&gt;",$RJ$2="EXISTING"),SUMIFS('Existing Customers'!$V:$V,'Existing Customers'!$H:$H,$RH16,'Existing Customers'!$A:$A,$RI$1)*$RI$4,0),0))</f>
        <v>0</v>
      </c>
      <c r="RN16" s="93">
        <f>IF('Customer Inputs'!$W$24="End",0,IFERROR(IF(AND($RI$2&lt;&gt;"Enter Spend&gt;&gt;&gt;",$RJ$2="EXISTING"),SUMIFS('Existing Customers'!$R:$R,'Existing Customers'!$H:$H,$RH16,'Existing Customers'!$A:$A,$RI$1)*$RI$4,0),0))</f>
        <v>0</v>
      </c>
      <c r="RO16" s="780">
        <f>IF('Customer Inputs'!$W$24="End",0,IFERROR(IF(AND($RI$2&lt;&gt;"Enter Spend&gt;&gt;&gt;",$RJ$2="EXISTING"),SUMIFS('Existing Customers'!$S:$S,'Existing Customers'!$H:$H,$RH16,'Existing Customers'!$A:$A,$RI$1)/SUMIFS('Existing Customers'!$Q:$Q,'Existing Customers'!$A:$A,$RI$1,'Existing Customers'!$H:$H,$RH16),RY16),0))</f>
        <v>0</v>
      </c>
      <c r="RP16" s="780">
        <f>IF('Customer Inputs'!$W$24="End",0,IFERROR(IF(AND($RI$2&lt;&gt;"Enter Spend&gt;&gt;&gt;",$RJ$2="EXISTING"),SUMIFS('Existing Customers'!$U:$U,'Existing Customers'!$H:$H,$RH16,'Existing Customers'!$A:$A,$RI$1)/SUMIFS('Existing Customers'!$Q:$Q,'Existing Customers'!$A:$A,$RI$1,'Existing Customers'!$H:$H,$RH16),RZ16),0))</f>
        <v>0</v>
      </c>
      <c r="RQ16" s="783" t="e">
        <f>_xlfn.CONCAT('Customer Inputs'!$AH$24,"_",RH16)</f>
        <v>#N/A</v>
      </c>
      <c r="RR16" s="783">
        <f t="array" ref="RR16">IF('Customer Inputs'!$W$24="End",0,IFERROR(INDEX('Margin Guidence Table'!$A$1:$AG$10000,MATCH(1,('Margin Guidence Table'!$A$1:$A$10000=RQ16)*('Margin Guidence Table'!$I$1:$I$10000&lt;=ROUND($RI$3,0))*('Margin Guidence Table'!$J$1:$J$10000&gt;=ROUND($RI$3,0)),0),MATCH("DATA_POINTS",'Margin Guidence Table'!$A$1:$AG$1,0)),0))</f>
        <v>0</v>
      </c>
      <c r="RS16" s="780" t="str">
        <f t="shared" si="69"/>
        <v>DEFAULT</v>
      </c>
      <c r="RT16" s="780">
        <f t="array" ref="RT16">IF('Customer Inputs'!$W$24="End",0,IFERROR(IF($RS16="SEGMENT",INDEX('Margin Guidence Table'!$A$1:$AG$10000,MATCH(1,('Margin Guidence Table'!$A$1:$A$10000=RQ16)*('Margin Guidence Table'!$I$1:$I$10000&lt;=ROUND($RI$3,0))*('Margin Guidence Table'!$J$1:$J$10000&gt;=ROUND($RI$3,0)),0),MATCH("SALES_CASE",'Margin Guidence Table'!$A$1:$AG$1,0)),INDEX('Margin Guidence Table'!$A$1:$AG$10000,MATCH(1,('Margin Guidence Table'!$A$1:$A$10000=RQ16)*('Margin Guidence Table'!$I$1:$I$10000&lt;=ROUND($RI$3,0))*('Margin Guidence Table'!$J$1:$J$10000&gt;=ROUND($RI$3,0)),0),MATCH("DEFAULT_SALES_CASE",'Margin Guidence Table'!$A$1:$AG$1,0))),0))</f>
        <v>0</v>
      </c>
      <c r="RU16" s="780">
        <f t="array" ref="RU16">IF('Customer Inputs'!$W$24="End",0,IFERROR(IF($RS16="SEGMENT",INDEX('Margin Guidence Table'!$A$1:$AG$10000,MATCH(1,('Margin Guidence Table'!$A$1:$A$10000=RQ16)*('Margin Guidence Table'!$I$1:$I$10000&lt;=ROUND($RI$3,0))*('Margin Guidence Table'!$J$1:$J$10000&gt;=ROUND($RI$3,0)),0),MATCH("SALES_LBS",'Margin Guidence Table'!$A$1:$AG$1,0)),INDEX('Margin Guidence Table'!$A$1:$AG$10000,MATCH(1,('Margin Guidence Table'!$A$1:$A$10000=RQ16)*('Margin Guidence Table'!$I$1:$I$10000&lt;=ROUND($RI$3,0))*('Margin Guidence Table'!$J$1:$J$10000&gt;=ROUND($RI$3,0)),0),MATCH("DEFAULT_SALES_LBS",'Margin Guidence Table'!$A$1:$AG$1,0))),0))</f>
        <v>0</v>
      </c>
      <c r="RV16" s="784">
        <f t="array" ref="RV16">IF('Customer Inputs'!$W$24="End",0,IFERROR(IF($RS16="SEGMENT",INDEX('Margin Guidence Table'!$A$1:$AG$10000,MATCH(1,('Margin Guidence Table'!$A$1:$A$10000=RQ16)*('Margin Guidence Table'!$I$1:$I$10000&lt;=ROUND($RI$3,0))*('Margin Guidence Table'!$J$1:$J$10000&gt;=ROUND($RI$3,0)),0),MATCH("MDA_MIN_MARGIN_GUIDENCE",'Margin Guidence Table'!$A$1:$AG$1,0)),INDEX('Margin Guidence Table'!$A$1:$AG$10000,MATCH(1,('Margin Guidence Table'!$A$1:$A$10000=RQ16)*('Margin Guidence Table'!$I$1:$I$10000&lt;=ROUND($RI$3,0))*('Margin Guidence Table'!$J$1:$J$10000&gt;=ROUND($RI$3,0)),0),MATCH("DEFAULT_MDA_MIN_MARGIN_GUIDENCE",'Margin Guidence Table'!$A$1:$AG$1,0))),0))</f>
        <v>0</v>
      </c>
      <c r="RW16" s="784">
        <f t="array" ref="RW16">IF('Customer Inputs'!$W$24="End",0,IFERROR(IF($RS16="SEGMENT",INDEX('Margin Guidence Table'!$A$1:$AG$10000,MATCH(1,('Margin Guidence Table'!$A$1:$A$10000=RQ16)*('Margin Guidence Table'!$I$1:$I$10000&lt;=ROUND($RI$3,0))*('Margin Guidence Table'!$J$1:$J$10000&gt;=ROUND($RI$3,0)),0),MATCH("MDA_MEDIAN_MARGIN_GUIDENCE",'Margin Guidence Table'!$A$1:$AG$1,0)),INDEX('Margin Guidence Table'!$A$1:$AG$10000,MATCH(1,('Margin Guidence Table'!$A$1:$A$10000=RQ16)*('Margin Guidence Table'!$I$1:$I$10000&lt;=ROUND($RI$3,0))*('Margin Guidence Table'!$J$1:$J$10000&gt;=ROUND($RI$3,0)),0),MATCH("DEFAULT_MDA_MEDIAN_MARGIN_GUIDENCE",'Margin Guidence Table'!$A$1:$AG$1,0))),0))</f>
        <v>0</v>
      </c>
      <c r="RX16" s="784">
        <f t="array" ref="RX16">IF('Customer Inputs'!$W$24="End",0,IFERROR(IF($RS16="SEGMENT",INDEX('Margin Guidence Table'!$A$1:$AG$10000,MATCH(1,('Margin Guidence Table'!$A$1:$A$10000=RQ16)*('Margin Guidence Table'!$I$1:$I$10000&lt;=ROUND($RI$3,0))*('Margin Guidence Table'!$J$1:$J$10000&gt;=ROUND($RI$3,0)),0),MATCH("MDA_MAX_MARGIN_GUIDENCE",'Margin Guidence Table'!$A$1:$AG$1,0)),INDEX('Margin Guidence Table'!$A$1:$AG$10000,MATCH(1,('Margin Guidence Table'!$A$1:$A$10000=RQ16)*('Margin Guidence Table'!$I$1:$I$10000&lt;=ROUND($RI$3,0))*('Margin Guidence Table'!$J$1:$J$10000&gt;=ROUND($RI$3,0)),0),MATCH("DEFAULT_MDA_MAX_MARGIN_GUIDENCE",'Margin Guidence Table'!$A$1:$AG$1,0))),0))</f>
        <v>0</v>
      </c>
      <c r="RY16" s="784">
        <f t="array" ref="RY16">IF('Customer Inputs'!$W$24="End",0,IFERROR(IF($RS16="SEGMENT",INDEX('Margin Guidence Table'!$A$1:$AG$10000,MATCH(1,('Margin Guidence Table'!$A$1:$A$10000=RQ16)*('Margin Guidence Table'!$I$1:$I$10000&lt;=ROUND($RI$3,0))*('Margin Guidence Table'!$J$1:$J$10000&gt;=ROUND($RI$3,0)),0),MATCH("PA_PCT_SALES",'Margin Guidence Table'!$A$1:$AG$1,0)),INDEX('Margin Guidence Table'!$A$1:$AG$10000,MATCH(1,('Margin Guidence Table'!$A$1:$A$10000=RQ16)*('Margin Guidence Table'!$I$1:$I$10000&lt;=ROUND($RI$3,0))*('Margin Guidence Table'!$J$1:$J$10000&gt;=ROUND($RI$3,0)),0),MATCH("DEFAULT_PA_PCT_SALES",'Margin Guidence Table'!$A$1:$AG$1,0))),0))</f>
        <v>0</v>
      </c>
      <c r="RZ16" s="784">
        <f t="array" ref="RZ16">IF('Customer Inputs'!$W$24="End",0,IFERROR(IF($RS16="SEGMENT",INDEX('Margin Guidence Table'!$A$1:$AG$10000,MATCH(1,('Margin Guidence Table'!$A$1:$A$10000=RQ16)*('Margin Guidence Table'!$I$1:$I$10000&lt;=ROUND($RI$3,0))*('Margin Guidence Table'!$J$1:$J$10000&gt;=ROUND($RI$3,0)),0),MATCH("SELF_FUND_PCT_SALES",'Margin Guidence Table'!$A$1:$AG$1,0)),INDEX('Margin Guidence Table'!$A$1:$AG$10000,MATCH(1,('Margin Guidence Table'!$A$1:$A$10000=RQ16)*('Margin Guidence Table'!$I$1:$I$10000&lt;=ROUND($RI$3,0))*('Margin Guidence Table'!$J$1:$J$10000&gt;=ROUND($RI$3,0)),0),MATCH("DEFAULT_SELF_FUND_PCT_SALES",'Margin Guidence Table'!$A$1:$AG$1,0))),0))</f>
        <v>0</v>
      </c>
      <c r="SA16" s="784">
        <f t="array" ref="SA16">IF('Customer Inputs'!$W$24="End",0,IF($RJ$2="Existing",IFERROR(SUMIFS('Existing Customers'!$V:$V,'Existing Customers'!$H:$H,$RH16,'Existing Customers'!$A:$A,$RI$1)/SUMIFS('Existing Customers'!$Q:$Q,'Existing Customers'!$H:$H,$RH16,'Existing Customers'!$A:$A,$RI$1),0),IFERROR(IF($RS16="SEGMENT",INDEX('Margin Guidence Table'!$A$1:$AG$10000,MATCH(1,('Margin Guidence Table'!$A$1:$A$10000=RQ16)*('Margin Guidence Table'!$I$1:$I$10000&lt;=ROUND($RI$3,0))*('Margin Guidence Table'!$J$1:$J$10000&gt;=ROUND($RI$3,0)),0),MATCH("CIA_MEDIAN_MARGIN_GUIDENCE",'Margin Guidence Table'!$A$1:$AG$1,0)),INDEX('Margin Guidence Table'!$A$1:$AG$10000,MATCH(1,('Margin Guidence Table'!$A$1:$A$10000=RQ16)*('Margin Guidence Table'!$I$1:$I$10000&lt;=ROUND($RI$3,0))*('Margin Guidence Table'!$J$1:$J$10000&gt;=ROUND($RI$3,0)),0),MATCH("DEFAULT_CIA_MEDIAN_MARGIN_GUIDENCE",'Margin Guidence Table'!$A$1:$AG$1,0))),0)))</f>
        <v>0</v>
      </c>
      <c r="SB16" s="784"/>
      <c r="SC16" s="18">
        <f t="array" ref="SC16">IF('Customer Inputs'!$W$25="End",0,IFERROR(IF($SP16="SEGMENT",INDEX('Margin Guidence Table'!$A$1:$AG$10000,MATCH(1,('Margin Guidence Table'!$A$1:$A$10000=$SN16)*('Margin Guidence Table'!$I$1:$I$10000&lt;=ROUND($SF$3,0))*('Margin Guidence Table'!$J$1:$J$10000&gt;=ROUND($SF$3,0)),0),MATCH("PCT_SALES",'Margin Guidence Table'!$A$1:$AG$1,0)),INDEX('Margin Guidence Table'!$A$1:$AG$10000,MATCH(1,('Margin Guidence Table'!$A$1:$A$10000=$SN16)*('Margin Guidence Table'!$I$1:$I$10000&lt;=ROUND($SF$3,0))*('Margin Guidence Table'!$J$1:$J$10000&gt;=ROUND($SF$3,0)),0),MATCH("DEFAULT_PCT_SALES",'Margin Guidence Table'!$A$1:$AG$1,0))),0))</f>
        <v>0</v>
      </c>
      <c r="SD16" s="1713" t="e">
        <f t="shared" si="70"/>
        <v>#DIV/0!</v>
      </c>
      <c r="SE16" s="99" t="s">
        <v>1296</v>
      </c>
      <c r="SF16" s="91">
        <f>IF('Customer Inputs'!$W$25="End",0,IFERROR(IF(AND($SF$2&lt;&gt;"Enter Spend&gt;&gt;&gt;",$SG$2="EXISTING"),SUMIFS('Existing Customers'!$Q:$Q,'Existing Customers'!$A:$A,$SF$1,'Existing Customers'!$H:$H,$SE16)*$SF$4,$SF$3*$SD16),0))</f>
        <v>0</v>
      </c>
      <c r="SG16" s="86">
        <f>IF('Customer Inputs'!$W$25="End",0,IFERROR(IF(AND($SF$2&lt;&gt;"Enter Spend&gt;&gt;&gt;",$SG$2="EXISTING"),SUMIFS('Existing Customers'!$N:$N,'Existing Customers'!$A:$A,$SF$1,'Existing Customers'!$H:$H,$SE16)*$SF$4,$SF16/$SQ16),0))</f>
        <v>0</v>
      </c>
      <c r="SH16" s="92">
        <f>IF('Customer Inputs'!$W$25="End",0,IFERROR(IF(AND($SF$2&lt;&gt;"Enter Spend&gt;&gt;&gt;",$SG$2="EXISTING"),SUMIFS('Existing Customers'!$O:$O,'Existing Customers'!$H:$H,$SE16,'Existing Customers'!$A:$A,$SF$1)*$SF$4,$SG16*$SF$8),0))</f>
        <v>0</v>
      </c>
      <c r="SI16" s="92">
        <f>IF('Customer Inputs'!$W$25="End",0,IFERROR(IF(AND($SF$2&lt;&gt;"Enter Spend&gt;&gt;&gt;",$SG$2="EXISTING"),SUMIFS('Existing Customers'!$P:$P,'Existing Customers'!$A:$A,$SF$1,'Existing Customers'!$H:$H,$SE16)*$SF$4,$SF16/$SR16),0))</f>
        <v>0</v>
      </c>
      <c r="SJ16" s="303">
        <f>IF('Customer Inputs'!$W$25="End",0,IFERROR(IF(AND($SF$2&lt;&gt;"Enter Spend&gt;&gt;&gt;",$SG$2="EXISTING"),SUMIFS('Existing Customers'!$V:$V,'Existing Customers'!$H:$H,$SE16,'Existing Customers'!$A:$A,$SF$1)*$SF$4,0),0))</f>
        <v>0</v>
      </c>
      <c r="SK16" s="93">
        <f>IF('Customer Inputs'!$W$25="End",0,IFERROR(IF(AND($SF$2&lt;&gt;"Enter Spend&gt;&gt;&gt;",$SG$2="EXISTING"),SUMIFS('Existing Customers'!$R:$R,'Existing Customers'!$H:$H,$SE16,'Existing Customers'!$A:$A,$SF$1)*$SF$4,0),0))</f>
        <v>0</v>
      </c>
      <c r="SL16" s="780">
        <f>IF('Customer Inputs'!$W$25="End",0,IFERROR(IF(AND($SF$2&lt;&gt;"Enter Spend&gt;&gt;&gt;",$SG$2="EXISTING"),SUMIFS('Existing Customers'!$S:$S,'Existing Customers'!$H:$H,$SE16,'Existing Customers'!$A:$A,$SF$1)/SUMIFS('Existing Customers'!$Q:$Q,'Existing Customers'!$A:$A,$SF$1,'Existing Customers'!$H:$H,$SE16),SV16),0))</f>
        <v>0</v>
      </c>
      <c r="SM16" s="780">
        <f>IF('Customer Inputs'!$W$25="End",0,IFERROR(IF(AND($SF$2&lt;&gt;"Enter Spend&gt;&gt;&gt;",$SG$2="EXISTING"),SUMIFS('Existing Customers'!$U:$U,'Existing Customers'!$H:$H,$SE16,'Existing Customers'!$A:$A,$SF$1)/SUMIFS('Existing Customers'!$Q:$Q,'Existing Customers'!$A:$A,$SF$1,'Existing Customers'!$H:$H,$SE16),SW16),0))</f>
        <v>0</v>
      </c>
      <c r="SN16" s="783" t="e">
        <f>_xlfn.CONCAT('Customer Inputs'!$AH$25,"_",SE16)</f>
        <v>#N/A</v>
      </c>
      <c r="SO16" s="783">
        <f t="array" ref="SO16">IF('Customer Inputs'!$W$25="End",0,IFERROR(INDEX('Margin Guidence Table'!$A$1:$AG$10000,MATCH(1,('Margin Guidence Table'!$A$1:$A$10000=SN16)*('Margin Guidence Table'!$I$1:$I$10000&lt;=ROUND($SF$3,0))*('Margin Guidence Table'!$J$1:$J$10000&gt;=ROUND($SF$3,0)),0),MATCH("DATA_POINTS",'Margin Guidence Table'!$A$1:$AG$1,0)),0))</f>
        <v>0</v>
      </c>
      <c r="SP16" s="780" t="str">
        <f t="shared" si="71"/>
        <v>DEFAULT</v>
      </c>
      <c r="SQ16" s="780">
        <f t="array" ref="SQ16">IF('Customer Inputs'!$W$25="End",0,IFERROR(IF($SP16="SEGMENT",INDEX('Margin Guidence Table'!$A$1:$AG$10000,MATCH(1,('Margin Guidence Table'!$A$1:$A$10000=SN16)*('Margin Guidence Table'!$I$1:$I$10000&lt;=ROUND($SF$3,0))*('Margin Guidence Table'!$J$1:$J$10000&gt;=ROUND($SF$3,0)),0),MATCH("SALES_CASE",'Margin Guidence Table'!$A$1:$AG$1,0)),INDEX('Margin Guidence Table'!$A$1:$AG$10000,MATCH(1,('Margin Guidence Table'!$A$1:$A$10000=SN16)*('Margin Guidence Table'!$I$1:$I$10000&lt;=ROUND($SF$3,0))*('Margin Guidence Table'!$J$1:$J$10000&gt;=ROUND($SF$3,0)),0),MATCH("DEFAULT_SALES_CASE",'Margin Guidence Table'!$A$1:$AG$1,0))),0))</f>
        <v>0</v>
      </c>
      <c r="SR16" s="780">
        <f t="array" ref="SR16">IF('Customer Inputs'!$W$25="End",0,IFERROR(IF($SP16="SEGMENT",INDEX('Margin Guidence Table'!$A$1:$AG$10000,MATCH(1,('Margin Guidence Table'!$A$1:$A$10000=SN16)*('Margin Guidence Table'!$I$1:$I$10000&lt;=ROUND($SF$3,0))*('Margin Guidence Table'!$J$1:$J$10000&gt;=ROUND($SF$3,0)),0),MATCH("SALES_LBS",'Margin Guidence Table'!$A$1:$AG$1,0)),INDEX('Margin Guidence Table'!$A$1:$AG$10000,MATCH(1,('Margin Guidence Table'!$A$1:$A$10000=SN16)*('Margin Guidence Table'!$I$1:$I$10000&lt;=ROUND($SF$3,0))*('Margin Guidence Table'!$J$1:$J$10000&gt;=ROUND($SF$3,0)),0),MATCH("DEFAULT_SALES_LBS",'Margin Guidence Table'!$A$1:$AG$1,0))),0))</f>
        <v>0</v>
      </c>
      <c r="SS16" s="784">
        <f t="array" ref="SS16">IF('Customer Inputs'!$W$25="End",0,IFERROR(IF($SP16="SEGMENT",INDEX('Margin Guidence Table'!$A$1:$AG$10000,MATCH(1,('Margin Guidence Table'!$A$1:$A$10000=SN16)*('Margin Guidence Table'!$I$1:$I$10000&lt;=ROUND($SF$3,0))*('Margin Guidence Table'!$J$1:$J$10000&gt;=ROUND($SF$3,0)),0),MATCH("MDA_MIN_MARGIN_GUIDENCE",'Margin Guidence Table'!$A$1:$AG$1,0)),INDEX('Margin Guidence Table'!$A$1:$AG$10000,MATCH(1,('Margin Guidence Table'!$A$1:$A$10000=SN16)*('Margin Guidence Table'!$I$1:$I$10000&lt;=ROUND($SF$3,0))*('Margin Guidence Table'!$J$1:$J$10000&gt;=ROUND($SF$3,0)),0),MATCH("DEFAULT_MDA_MIN_MARGIN_GUIDENCE",'Margin Guidence Table'!$A$1:$AG$1,0))),0))</f>
        <v>0</v>
      </c>
      <c r="ST16" s="784">
        <f t="array" ref="ST16">IF('Customer Inputs'!$W$25="End",0,IFERROR(IF($SP16="SEGMENT",INDEX('Margin Guidence Table'!$A$1:$AG$10000,MATCH(1,('Margin Guidence Table'!$A$1:$A$10000=SN16)*('Margin Guidence Table'!$I$1:$I$10000&lt;=ROUND($SF$3,0))*('Margin Guidence Table'!$J$1:$J$10000&gt;=ROUND($SF$3,0)),0),MATCH("MDA_MEDIAN_MARGIN_GUIDENCE",'Margin Guidence Table'!$A$1:$AG$1,0)),INDEX('Margin Guidence Table'!$A$1:$AG$10000,MATCH(1,('Margin Guidence Table'!$A$1:$A$10000=SN16)*('Margin Guidence Table'!$I$1:$I$10000&lt;=ROUND($SF$3,0))*('Margin Guidence Table'!$J$1:$J$10000&gt;=ROUND($SF$3,0)),0),MATCH("DEFAULT_MDA_MEDIAN_MARGIN_GUIDENCE",'Margin Guidence Table'!$A$1:$AG$1,0))),0))</f>
        <v>0</v>
      </c>
      <c r="SU16" s="784">
        <f t="array" ref="SU16">IF('Customer Inputs'!$W$25="End",0,IFERROR(IF($SP16="SEGMENT",INDEX('Margin Guidence Table'!$A$1:$AG$10000,MATCH(1,('Margin Guidence Table'!$A$1:$A$10000=SN16)*('Margin Guidence Table'!$I$1:$I$10000&lt;=ROUND($SF$3,0))*('Margin Guidence Table'!$J$1:$J$10000&gt;=ROUND($SF$3,0)),0),MATCH("MDA_MAX_MARGIN_GUIDENCE",'Margin Guidence Table'!$A$1:$AG$1,0)),INDEX('Margin Guidence Table'!$A$1:$AG$10000,MATCH(1,('Margin Guidence Table'!$A$1:$A$10000=SN16)*('Margin Guidence Table'!$I$1:$I$10000&lt;=ROUND($SF$3,0))*('Margin Guidence Table'!$J$1:$J$10000&gt;=ROUND($SF$3,0)),0),MATCH("DEFAULT_MDA_MAX_MARGIN_GUIDENCE",'Margin Guidence Table'!$A$1:$AG$1,0))),0))</f>
        <v>0</v>
      </c>
      <c r="SV16" s="784">
        <f t="array" ref="SV16">IF('Customer Inputs'!$W$25="End",0,IFERROR(IF($SP16="SEGMENT",INDEX('Margin Guidence Table'!$A$1:$AG$10000,MATCH(1,('Margin Guidence Table'!$A$1:$A$10000=SN16)*('Margin Guidence Table'!$I$1:$I$10000&lt;=ROUND($SF$3,0))*('Margin Guidence Table'!$J$1:$J$10000&gt;=ROUND($SF$3,0)),0),MATCH("PA_PCT_SALES",'Margin Guidence Table'!$A$1:$AG$1,0)),INDEX('Margin Guidence Table'!$A$1:$AG$10000,MATCH(1,('Margin Guidence Table'!$A$1:$A$10000=SN16)*('Margin Guidence Table'!$I$1:$I$10000&lt;=ROUND($SF$3,0))*('Margin Guidence Table'!$J$1:$J$10000&gt;=ROUND($SF$3,0)),0),MATCH("DEFAULT_PA_PCT_SALES",'Margin Guidence Table'!$A$1:$AG$1,0))),0))</f>
        <v>0</v>
      </c>
      <c r="SW16" s="784">
        <f t="array" ref="SW16">IF('Customer Inputs'!$W$25="End",0,IFERROR(IF($SP16="SEGMENT",INDEX('Margin Guidence Table'!$A$1:$AG$10000,MATCH(1,('Margin Guidence Table'!$A$1:$A$10000=SN16)*('Margin Guidence Table'!$I$1:$I$10000&lt;=ROUND($SF$3,0))*('Margin Guidence Table'!$J$1:$J$10000&gt;=ROUND($SF$3,0)),0),MATCH("SELF_FUND_PCT_SALES",'Margin Guidence Table'!$A$1:$AG$1,0)),INDEX('Margin Guidence Table'!$A$1:$AG$10000,MATCH(1,('Margin Guidence Table'!$A$1:$A$10000=SN16)*('Margin Guidence Table'!$I$1:$I$10000&lt;=ROUND($SF$3,0))*('Margin Guidence Table'!$J$1:$J$10000&gt;=ROUND($SF$3,0)),0),MATCH("DEFAULT_SELF_FUND_PCT_SALES",'Margin Guidence Table'!$A$1:$AG$1,0))),0))</f>
        <v>0</v>
      </c>
      <c r="SX16" s="784">
        <f t="array" ref="SX16">IF('Customer Inputs'!$W$25="End",0,IF($SG$2="Existing",IFERROR(SUMIFS('Existing Customers'!$V:$V,'Existing Customers'!$H:$H,$SE16,'Existing Customers'!$A:$A,$SF$1)/SUMIFS('Existing Customers'!$Q:$Q,'Existing Customers'!$H:$H,$SE16,'Existing Customers'!$A:$A,$SF$1),0),IFERROR(IF($SP16="SEGMENT",INDEX('Margin Guidence Table'!$A$1:$AG$10000,MATCH(1,('Margin Guidence Table'!$A$1:$A$10000=SN16)*('Margin Guidence Table'!$I$1:$I$10000&lt;=ROUND($SF$3,0))*('Margin Guidence Table'!$J$1:$J$10000&gt;=ROUND($SF$3,0)),0),MATCH("CIA_MEDIAN_MARGIN_GUIDENCE",'Margin Guidence Table'!$A$1:$AG$1,0)),INDEX('Margin Guidence Table'!$A$1:$AG$10000,MATCH(1,('Margin Guidence Table'!$A$1:$A$10000=SN16)*('Margin Guidence Table'!$I$1:$I$10000&lt;=ROUND($SF$3,0))*('Margin Guidence Table'!$J$1:$J$10000&gt;=ROUND($SF$3,0)),0),MATCH("DEFAULT_CIA_MEDIAN_MARGIN_GUIDENCE",'Margin Guidence Table'!$A$1:$AG$1,0))),0)))</f>
        <v>0</v>
      </c>
      <c r="SY16" s="784"/>
      <c r="SZ16" s="1705"/>
      <c r="TA16" s="99" t="s">
        <v>1296</v>
      </c>
      <c r="TB16" s="94"/>
      <c r="TC16" s="86"/>
      <c r="TD16" s="86"/>
      <c r="TE16" s="86"/>
      <c r="TF16" s="111"/>
      <c r="TG16" s="95"/>
      <c r="TH16" s="126"/>
      <c r="TI16" s="1705"/>
      <c r="TJ16" s="99" t="s">
        <v>1296</v>
      </c>
      <c r="TK16" s="94"/>
      <c r="TL16" s="86"/>
      <c r="TM16" s="86"/>
      <c r="TN16" s="86"/>
      <c r="TO16" s="111"/>
      <c r="TP16" s="95"/>
      <c r="TQ16" s="1705"/>
      <c r="TR16" s="1705"/>
    </row>
    <row r="17" spans="1:538" ht="15.75" thickBot="1" x14ac:dyDescent="0.3">
      <c r="A17" s="1705"/>
      <c r="B17" s="99" t="s">
        <v>102</v>
      </c>
      <c r="C17" s="346">
        <f t="shared" si="0"/>
        <v>0</v>
      </c>
      <c r="D17" s="358">
        <f t="shared" si="1"/>
        <v>0</v>
      </c>
      <c r="E17" s="358">
        <f t="shared" si="2"/>
        <v>0</v>
      </c>
      <c r="F17" s="358">
        <f t="shared" si="3"/>
        <v>0</v>
      </c>
      <c r="G17" s="1428">
        <f t="shared" si="4"/>
        <v>0</v>
      </c>
      <c r="H17" s="1428">
        <f t="shared" si="5"/>
        <v>0</v>
      </c>
      <c r="I17" s="359">
        <f t="shared" si="6"/>
        <v>0</v>
      </c>
      <c r="J17" s="358">
        <f t="shared" si="7"/>
        <v>0</v>
      </c>
      <c r="K17" s="778">
        <f t="shared" si="8"/>
        <v>0</v>
      </c>
      <c r="L17" s="778">
        <f t="shared" si="9"/>
        <v>0</v>
      </c>
      <c r="M17" s="778">
        <f t="shared" si="10"/>
        <v>0</v>
      </c>
      <c r="N17" s="1428">
        <f>IF('PIM Model'!D13="$/CS",IFERROR(ROUND(SUM(BX17*$BV$35+CU17*$CS$35+DR17*$DP$35+EO17*$EM$35+FL17*$FJ$35+GI17*$GG$35+HF17*$HD$35+IC17*$IA$35+IZ17*$IX$35+JW17*$JU$35+KT17*$KR$35+LQ17*$LO$35+MN17*$ML$35+NK17*$NI$35+OH17*$OF$35+PE17*$PC$35+QB17*$PZ$35+QY17*$QW$35+RV17*$RT$35+SS17*$SQ$35)/$G$35,2),0),IF('PIM Model'!D13="$/LB",IFERROR(ROUND(SUM(BX17*$BW$35+CU17*$CT$35+DR17*$DQ$35+EO17*$EN$35+FL17*$FK$35+GI17*$GH$35+HF17*$HE$35+IC17*$IB$35+IZ17*$IY$35+JW17*$JV$35+KT17*$KS$35+LQ17*$LP$35+MN17*$MM$35+NK17*$NJ$35+OH17*$OG$35+PE17*$PD$35+QB17*$QA$35+QY17*$QX$35+RV17*$RU$35+SS17*$SR$35)/$H$35,2),0),0))</f>
        <v>0</v>
      </c>
      <c r="O17" s="1428">
        <f>IF('PIM Model'!D13="$/CS",IFERROR(ROUND(SUM(BY17*$BV$35+CV17*$CS$35+DS17*$DP$35+EP17*$EM$35+FM17*$FJ$35+GJ17*$GG$35+HG17*$HD$35+ID17*$IA$35+JA17*$IX$35+JX17*$JU$35+KU17*$KR$35+LR17*$LO$35+MO17*$ML$35+NL17*$NI$35+OI17*$OF$35+PF17*$PC$35+QC17*$PZ$35+QZ17*$QW$35+RW17*$RT$35+ST17*$SQ$35)/$G$35,2),0),IF('PIM Model'!D13="$/LB",IFERROR(ROUND(SUM(BY17*$BW$35+CV17*$CT$35+DS17*$DQ$35+EP17*$EN$35+FM17*$FK$35+GJ17*$GH$35+HG17*$HE$35+ID17*$IB$35+JA17*$IY$35+JX17*$JV$35+KU17*$KS$35+LR17*$LP$35+MO17*$MM$35+NL17*$NJ$35+OI17*$OG$35+PF17*$PD$35+QC17*$QA$35+QZ17*$QX$35+RW17*$RU$35+ST17*$SR$35)/$H$35,2),0),0))</f>
        <v>0</v>
      </c>
      <c r="P17" s="1428">
        <f>IF('PIM Model'!D13="$/CS",IFERROR(ROUND(SUM(BZ17*$BV$35+CW17*$CS$35+DT17*$DP$35+EQ17*$EM$35+FN17*$FJ$35+GK17*$GG$35+HH17*$HD$35+IE17*$IA$35+JB17*$IX$35+JY17*$JU$35+KV17*$KR$35+LS17*$LO$35+MP17*$ML$35+NM17*$NI$35+OJ17*$OF$35+PG17*$PC$35+QD17*$PZ$35+RA17*$QW$35+RX17*$RT$35+SU17*$SQ$35)/$G$35,2),0),IF('PIM Model'!D13="$/LB",IFERROR(ROUND(SUM(BZ17*$BW$35+CW17*$CT$35+DT17*$DQ$35+EQ17*$EN$35+FN17*$FK$35+GK17*$GH$35+HH17*$HE$35+IE17*$IB$35+JB17*$IY$35+JY17*$JV$35+KV17*$KS$35+LS17*$LP$35+MP17*$MM$35+NM17*$NJ$35+OJ17*$OG$35+PG17*$PD$35+QD17*$QA$35+RA17*$QX$35+RX17*$RU$35+SU17*$SR$35)/$H$35,2),0),0))</f>
        <v>0</v>
      </c>
      <c r="Q17" s="358">
        <f t="shared" si="11"/>
        <v>0</v>
      </c>
      <c r="R17" s="358">
        <f t="shared" si="12"/>
        <v>0</v>
      </c>
      <c r="S17" s="779">
        <f t="shared" si="13"/>
        <v>0</v>
      </c>
      <c r="T17" s="779">
        <f t="shared" si="14"/>
        <v>0</v>
      </c>
      <c r="U17" s="779">
        <f t="shared" si="15"/>
        <v>0</v>
      </c>
      <c r="V17" s="779">
        <f t="shared" si="16"/>
        <v>0</v>
      </c>
      <c r="W17" s="779">
        <f t="shared" si="17"/>
        <v>0</v>
      </c>
      <c r="X17" s="1705"/>
      <c r="Y17" s="1705" t="str">
        <f>'PIM Model'!E13</f>
        <v>INCLUDE</v>
      </c>
      <c r="Z17" s="1705">
        <f t="shared" si="18"/>
        <v>0</v>
      </c>
      <c r="AA17" s="1705">
        <f t="shared" si="19"/>
        <v>0</v>
      </c>
      <c r="AB17" s="99" t="s">
        <v>102</v>
      </c>
      <c r="AC17" s="107">
        <f t="shared" si="20"/>
        <v>0</v>
      </c>
      <c r="AD17" s="108">
        <f t="shared" si="21"/>
        <v>0</v>
      </c>
      <c r="AE17" s="108">
        <f t="shared" si="22"/>
        <v>0</v>
      </c>
      <c r="AF17" s="108">
        <f t="shared" si="23"/>
        <v>0</v>
      </c>
      <c r="AG17" s="110">
        <f t="shared" si="24"/>
        <v>0</v>
      </c>
      <c r="AH17" s="114">
        <f t="shared" si="25"/>
        <v>0</v>
      </c>
      <c r="AI17" s="301"/>
      <c r="AJ17" s="99" t="s">
        <v>102</v>
      </c>
      <c r="AK17" s="346">
        <f t="shared" si="26"/>
        <v>0</v>
      </c>
      <c r="AL17" s="347">
        <f t="shared" si="26"/>
        <v>0</v>
      </c>
      <c r="AM17" s="347">
        <f t="shared" si="26"/>
        <v>0</v>
      </c>
      <c r="AN17" s="350">
        <f t="shared" si="27"/>
        <v>0</v>
      </c>
      <c r="AO17" s="351">
        <f t="shared" si="28"/>
        <v>0</v>
      </c>
      <c r="AP17" s="301"/>
      <c r="AQ17" s="99" t="s">
        <v>102</v>
      </c>
      <c r="AR17" s="346">
        <f t="shared" si="29"/>
        <v>0</v>
      </c>
      <c r="AS17" s="347">
        <f t="shared" si="30"/>
        <v>0</v>
      </c>
      <c r="AT17" s="351"/>
      <c r="AU17" s="301"/>
      <c r="AV17" s="1708" t="str">
        <f>IF('PIM Ranges'!$AK15='PIM Ranges'!$AY$11,IF($AR17&lt;'PIM Ranges'!$AZ$11,"Q1",IF($AR17&lt;'PIM Ranges'!$BA$11,"Q2",IF($AR17&lt;'PIM Ranges'!$BB$11,"Q3",IF($AR17&lt;'PIM Ranges'!$BC$11,"Q4","Q5")))),IF('PIM Ranges'!$AK15='PIM Ranges'!$AY$12,IF($AR17&lt;'PIM Ranges'!$AZ$12,"Q1",IF($AR17&lt;'PIM Ranges'!$BA$12,"Q2",IF($AR17&lt;'PIM Ranges'!$BB$12,"Q3",IF($AR17&lt;'PIM Ranges'!$BC$12,"Q4","Q5")))),IF('PIM Ranges'!$AK15='PIM Ranges'!$AY$13,IF($AR17&lt;'PIM Ranges'!$AZ$13,"Q1",IF($AR17&lt;'PIM Ranges'!$BA$13,"Q2",IF($AR17&lt;'PIM Ranges'!$BB$13,"Q3",IF($AR17&lt;'PIM Ranges'!$BC$13,"Q4","Q5")))),IF('PIM Ranges'!$AK15='PIM Ranges'!$AY$14,IF($AR17&lt;'PIM Ranges'!$AZ$14,"Q1",IF($AR17&lt;'PIM Ranges'!$BA$14,"Q2",IF($AR17&lt;'PIM Ranges'!$BB$14,"Q3",IF($AR17&lt;'PIM Ranges'!$BC$14,"Q4","Q5")))),IF('PIM Ranges'!$AK15='PIM Ranges'!$AY$15,IF($AR17&lt;'PIM Ranges'!$AZ$15,"Q1",IF($AR17&lt;'PIM Ranges'!$BA$15,"Q2",IF($AR17&lt;'PIM Ranges'!$BB$15,"Q3",IF($AR17&lt;'PIM Ranges'!$BC$15,"Q4","Q5")))),IF('PIM Ranges'!$AK15='PIM Ranges'!$AY$16,IF($AR17&lt;'PIM Ranges'!$AZ$16,"Q1",IF($AR17&lt;'PIM Ranges'!$BA$16,"Q2",IF($AR17&lt;'PIM Ranges'!$BB$16,"Q3",IF($AR17&lt;'PIM Ranges'!$BC$16,"Q4","Q5")))),IF('PIM Ranges'!$AK15='PIM Ranges'!$AY$17,IF($AR17&lt;'PIM Ranges'!$AZ$17,"Q1",IF($AR17&lt;'PIM Ranges'!$BA$17,"Q2",IF($AR17&lt;'PIM Ranges'!$BB$17,"Q3",IF($AR17&lt;'PIM Ranges'!$BC$17,"Q4","Q5")))),IF('PIM Ranges'!$AK15='PIM Ranges'!$AY$18,IF($AR17&lt;'PIM Ranges'!$AZ$18,"Q1",IF($AR17&lt;'PIM Ranges'!$BA$18,"Q2",IF($AR17&lt;'PIM Ranges'!$BB$18,"Q3",IF($AR17&lt;'PIM Ranges'!$BC$18,"Q4","Q5")))),IF('PIM Ranges'!$AK15='PIM Ranges'!$AY$19,IF($AR17&lt;'PIM Ranges'!$AZ$19,"Q1",IF($AR17&lt;'PIM Ranges'!$BA$19,"Q2",IF($AR17&lt;'PIM Ranges'!$BB$19,"Q3",IF($AR17&lt;'PIM Ranges'!$BC$19,"Q4","Q5")))),IF('PIM Ranges'!$AK15='PIM Ranges'!$AY$20,IF($AR17&lt;'PIM Ranges'!$AZ$20,"Q1",IF($AR17&lt;'PIM Ranges'!$BA$20,"Q2",IF($AR17&lt;'PIM Ranges'!$BB$20,"Q3",IF($AR17&lt;'PIM Ranges'!$BC$20,"Q4","Q5")))),IF('PIM Ranges'!$AK15='PIM Ranges'!$AY$21,IF($AR17&lt;'PIM Ranges'!$AZ$21,"Q1",IF($AR17&lt;'PIM Ranges'!$BA$21,"Q2",IF($AR17&lt;'PIM Ranges'!$BB$21,"Q3",IF($AR17&lt;'PIM Ranges'!$BC$21,"Q4","Q5")))),IF('PIM Ranges'!$AK15='PIM Ranges'!$AY$22,IF($AR17&lt;'PIM Ranges'!$AZ$22,"Q1",IF($AR17&lt;'PIM Ranges'!$BA$22,"Q2",IF($AR17&lt;'PIM Ranges'!$BB$22,"Q3",IF($AR17&lt;'PIM Ranges'!$BC$22,"Q4","Q5")))),IF('PIM Ranges'!$AK15='PIM Ranges'!$AY$23,IF($AR17&lt;'PIM Ranges'!$AZ$23,"Q1",IF($AR17&lt;'PIM Ranges'!$BA$23,"Q2",IF($AR17&lt;'PIM Ranges'!$BB$23,"Q3",IF($AR17&lt;'PIM Ranges'!$BC$23,"Q4","Q5")))),IF('PIM Ranges'!$AK15='PIM Ranges'!$AY$24,IF($AR17&lt;'PIM Ranges'!$AZ$24,"Q1",IF($AR17&lt;'PIM Ranges'!$BA$24,"Q2",IF($AR17&lt;'PIM Ranges'!$BB$24,"Q3",IF($AR17&lt;'PIM Ranges'!$BC$24,"Q4","Q5")))),IF('PIM Ranges'!$AK15='PIM Ranges'!$AY$25,IF($AR17&lt;'PIM Ranges'!$AZ$25,"Q1",IF($AR17&lt;'PIM Ranges'!$BA$25,"Q2",IF($AR17&lt;'PIM Ranges'!$BB$25,"Q3",IF($AR17&lt;'PIM Ranges'!$BC$25,"Q4","Q5")))),IF('PIM Ranges'!$AK15='PIM Ranges'!$AY$26,IF($AR17&lt;'PIM Ranges'!$AZ$26,"Q1",IF($AR17&lt;'PIM Ranges'!$BA$26,"Q2",IF($AR17&lt;'PIM Ranges'!$BB$26,"Q3",IF($AR17&lt;'PIM Ranges'!$BC$26,"Q4","Q5")))),IF('PIM Ranges'!$AK15='PIM Ranges'!$AY$27,IF($AR17&lt;'PIM Ranges'!$AZ$27,"Q1",IF($AR17&lt;'PIM Ranges'!$BA$27,"Q2",IF($AR17&lt;'PIM Ranges'!$BB$27,"Q3",IF($AR17&lt;'PIM Ranges'!$BC$27,"Q4","Q5")))),IF('PIM Ranges'!$AK15='PIM Ranges'!$AY$28,IF($AR17&lt;'PIM Ranges'!$AZ$28,"Q1",IF($AR17&lt;'PIM Ranges'!$BA$28,"Q2",IF($AR17&lt;'PIM Ranges'!$BB$28,"Q3",IF($AR17&lt;'PIM Ranges'!$BC$28,"Q4","Q5")))),IF('PIM Ranges'!$AK15='PIM Ranges'!$AY$29,IF($AR17&lt;'PIM Ranges'!$AZ$29,"Q1",IF($AR17&lt;'PIM Ranges'!$BA$29,"Q2",IF($AR17&lt;'PIM Ranges'!$BB$29,"Q3",IF($AR17&lt;'PIM Ranges'!$BC$29,"Q4","Q5")))),IF('PIM Ranges'!$AK15='PIM Ranges'!$AY$30,IF($AR17&lt;'PIM Ranges'!$AZ$30,"Q1",IF($AR17&lt;'PIM Ranges'!$BA$30,"Q2",IF($AR17&lt;'PIM Ranges'!$BB$30,"Q3",IF($AR17&lt;'PIM Ranges'!$BC$30,"Q4","Q5")))),IF('PIM Ranges'!$AK15='PIM Ranges'!$AY$31,IF($AR17&lt;'PIM Ranges'!$AZ$31,"Q1",IF($AR17&lt;'PIM Ranges'!$BA$31,"Q2",IF($AR17&lt;'PIM Ranges'!$BB$31,"Q3",IF($AR17&lt;'PIM Ranges'!$BC$31,"Q4","Q5")))),IF('PIM Ranges'!$AK15='PIM Ranges'!$AY$32,IF($AR17&lt;'PIM Ranges'!$AZ$32,"Q1",IF($AR17&lt;'PIM Ranges'!$BA$32,"Q2",IF($AR17&lt;'PIM Ranges'!$BB$32,"Q3",IF($AR17&lt;'PIM Ranges'!$BC$32,"Q4","Q5"))))))))))))))))))))))))))</f>
        <v>Q1</v>
      </c>
      <c r="AW17" s="301">
        <f>VLOOKUP($AQ17&amp;$AV17,'IMargin Quartiles'!$A:$F,6,FALSE)</f>
        <v>0.18</v>
      </c>
      <c r="AX17" s="301"/>
      <c r="AY17" s="1708" t="str">
        <f>IF('PIM Ranges'!$AK15='PIM Ranges'!$AY$11,IF('PIM Ranges'!$AL15&lt;'PIM Ranges'!$AZ$11,"Q1",IF('PIM Ranges'!$AL15&lt;'PIM Ranges'!$BA$11,"Q2",IF('PIM Ranges'!$AL15&lt;'PIM Ranges'!$BB$11,"Q3",IF('PIM Ranges'!$AL15&lt;'PIM Ranges'!$BC$11,"Q4","Q5")))),IF('PIM Ranges'!$AK15='PIM Ranges'!$AY$12,IF('PIM Ranges'!$AL15&lt;'PIM Ranges'!$AZ$12,"Q1",IF('PIM Ranges'!$AL15&lt;'PIM Ranges'!$BA$12,"Q2",IF('PIM Ranges'!$AL15&lt;'PIM Ranges'!$BB$12,"Q3",IF('PIM Ranges'!$AL15&lt;'PIM Ranges'!$BC$12,"Q4","Q5")))),IF('PIM Ranges'!$AK15='PIM Ranges'!$AY$13,IF('PIM Ranges'!$AL15&lt;'PIM Ranges'!$AZ$13,"Q1",IF('PIM Ranges'!$AL15&lt;'PIM Ranges'!$BA$13,"Q2",IF('PIM Ranges'!$AL15&lt;'PIM Ranges'!$BB$13,"Q3",IF('PIM Ranges'!$AL15&lt;'PIM Ranges'!$BC$13,"Q4","Q5")))),IF('PIM Ranges'!$AK15='PIM Ranges'!$AY$14,IF('PIM Ranges'!$AL15&lt;'PIM Ranges'!$AZ$14,"Q1",IF('PIM Ranges'!$AL15&lt;'PIM Ranges'!$BA$14,"Q2",IF('PIM Ranges'!$AL15&lt;'PIM Ranges'!$BB$14,"Q3",IF('PIM Ranges'!$AL15&lt;'PIM Ranges'!$BC$14,"Q4","Q5")))),IF('PIM Ranges'!$AK15='PIM Ranges'!$AY$15,IF('PIM Ranges'!$AL15&lt;'PIM Ranges'!$AZ$15,"Q1",IF('PIM Ranges'!$AL15&lt;'PIM Ranges'!$BA$15,"Q2",IF('PIM Ranges'!$AL15&lt;'PIM Ranges'!$BB$15,"Q3",IF('PIM Ranges'!$AL15&lt;'PIM Ranges'!$BC$15,"Q4","Q5")))),IF('PIM Ranges'!$AK15='PIM Ranges'!$AY$16,IF('PIM Ranges'!$AL15&lt;'PIM Ranges'!$AZ$16,"Q1",IF('PIM Ranges'!$AL15&lt;'PIM Ranges'!$BA$16,"Q2",IF('PIM Ranges'!$AL15&lt;'PIM Ranges'!$BB$16,"Q3",IF('PIM Ranges'!$AL15&lt;'PIM Ranges'!$BC$16,"Q4","Q5")))),IF('PIM Ranges'!$AK15='PIM Ranges'!$AY$17,IF('PIM Ranges'!$AL15&lt;'PIM Ranges'!$AZ$17,"Q1",IF('PIM Ranges'!$AL15&lt;'PIM Ranges'!$BA$17,"Q2",IF('PIM Ranges'!$AL15&lt;'PIM Ranges'!$BB$17,"Q3",IF('PIM Ranges'!$AL15&lt;'PIM Ranges'!$BC$17,"Q4","Q5")))),IF('PIM Ranges'!$AK15='PIM Ranges'!$AY$18,IF('PIM Ranges'!$AL15&lt;'PIM Ranges'!$AZ$18,"Q1",IF('PIM Ranges'!$AL15&lt;'PIM Ranges'!$BA$18,"Q2",IF('PIM Ranges'!$AL15&lt;'PIM Ranges'!$BB$18,"Q3",IF('PIM Ranges'!$AL15&lt;'PIM Ranges'!$BC$18,"Q4","Q5")))),IF('PIM Ranges'!$AK15='PIM Ranges'!$AY$19,IF('PIM Ranges'!$AL15&lt;'PIM Ranges'!$AZ$19,"Q1",IF('PIM Ranges'!$AL15&lt;'PIM Ranges'!$BA$19,"Q2",IF('PIM Ranges'!$AL15&lt;'PIM Ranges'!$BB$19,"Q3",IF('PIM Ranges'!$AL15&lt;'PIM Ranges'!$BC$19,"Q4","Q5")))),IF('PIM Ranges'!$AK15='PIM Ranges'!$AY$20,IF('PIM Ranges'!$AL15&lt;'PIM Ranges'!$AZ$20,"Q1",IF('PIM Ranges'!$AL15&lt;'PIM Ranges'!$BA$20,"Q2",IF('PIM Ranges'!$AL15&lt;'PIM Ranges'!$BB$20,"Q3",IF('PIM Ranges'!$AL15&lt;'PIM Ranges'!$BC$20,"Q4","Q5")))),IF('PIM Ranges'!$AK15='PIM Ranges'!$AY$21,IF('PIM Ranges'!$AL15&lt;'PIM Ranges'!$AZ$21,"Q1",IF('PIM Ranges'!$AL15&lt;'PIM Ranges'!$BA$21,"Q2",IF('PIM Ranges'!$AL15&lt;'PIM Ranges'!$BB$21,"Q3",IF('PIM Ranges'!$AL15&lt;'PIM Ranges'!$BC$21,"Q4","Q5")))),IF('PIM Ranges'!$AK15='PIM Ranges'!$AY$22,IF('PIM Ranges'!$AL15&lt;'PIM Ranges'!$AZ$22,"Q1",IF('PIM Ranges'!$AL15&lt;'PIM Ranges'!$BA$22,"Q2",IF('PIM Ranges'!$AL15&lt;'PIM Ranges'!$BB$22,"Q3",IF('PIM Ranges'!$AL15&lt;'PIM Ranges'!$BC$22,"Q4","Q5")))),IF('PIM Ranges'!$AK15='PIM Ranges'!$AY$23,IF('PIM Ranges'!$AL15&lt;'PIM Ranges'!$AZ$23,"Q1",IF('PIM Ranges'!$AL15&lt;'PIM Ranges'!$BA$23,"Q2",IF('PIM Ranges'!$AL15&lt;'PIM Ranges'!$BB$23,"Q3",IF('PIM Ranges'!$AL15&lt;'PIM Ranges'!$BC$23,"Q4","Q5")))),IF('PIM Ranges'!$AK15='PIM Ranges'!$AY$24,IF('PIM Ranges'!$AL15&lt;'PIM Ranges'!$AZ$24,"Q1",IF('PIM Ranges'!$AL15&lt;'PIM Ranges'!$BA$24,"Q2",IF('PIM Ranges'!$AL15&lt;'PIM Ranges'!$BB$24,"Q3",IF('PIM Ranges'!$AL15&lt;'PIM Ranges'!$BC$24,"Q4","Q5")))),IF('PIM Ranges'!$AK15='PIM Ranges'!$AY$25,IF('PIM Ranges'!$AL15&lt;'PIM Ranges'!$AZ$25,"Q1",IF('PIM Ranges'!$AL15&lt;'PIM Ranges'!$BA$25,"Q2",IF('PIM Ranges'!$AL15&lt;'PIM Ranges'!$BB$25,"Q3",IF('PIM Ranges'!$AL15&lt;'PIM Ranges'!$BC$25,"Q4","Q5")))),IF('PIM Ranges'!$AK15='PIM Ranges'!$AY$26,IF('PIM Ranges'!$AL15&lt;'PIM Ranges'!$AZ$26,"Q1",IF('PIM Ranges'!$AL15&lt;'PIM Ranges'!$BA$26,"Q2",IF('PIM Ranges'!$AL15&lt;'PIM Ranges'!$BB$26,"Q3",IF('PIM Ranges'!$AL15&lt;'PIM Ranges'!$BC$26,"Q4","Q5")))),IF('PIM Ranges'!$AK15='PIM Ranges'!$AY$27,IF('PIM Ranges'!$AL15&lt;'PIM Ranges'!$AZ$27,"Q1",IF('PIM Ranges'!$AL15&lt;'PIM Ranges'!$BA$27,"Q2",IF('PIM Ranges'!$AL15&lt;'PIM Ranges'!$BB$27,"Q3",IF('PIM Ranges'!$AL15&lt;'PIM Ranges'!$BC$27,"Q4","Q5")))),IF('PIM Ranges'!$AK15='PIM Ranges'!$AY$28,IF('PIM Ranges'!$AL15&lt;'PIM Ranges'!$AZ$28,"Q1",IF('PIM Ranges'!$AL15&lt;'PIM Ranges'!$BA$28,"Q2",IF('PIM Ranges'!$AL15&lt;'PIM Ranges'!$BB$28,"Q3",IF('PIM Ranges'!$AL15&lt;'PIM Ranges'!$BC$28,"Q4","Q5")))),IF('PIM Ranges'!$AK15='PIM Ranges'!$AY$29,IF('PIM Ranges'!$AL15&lt;'PIM Ranges'!$AZ$29,"Q1",IF('PIM Ranges'!$AL15&lt;'PIM Ranges'!$BA$29,"Q2",IF('PIM Ranges'!$AL15&lt;'PIM Ranges'!$BB$29,"Q3",IF('PIM Ranges'!$AL15&lt;'PIM Ranges'!$BC$29,"Q4","Q5")))),IF('PIM Ranges'!$AK15='PIM Ranges'!$AY$30,IF('PIM Ranges'!$AL15&lt;'PIM Ranges'!$AZ$30,"Q1",IF('PIM Ranges'!$AL15&lt;'PIM Ranges'!$BA$30,"Q2",IF('PIM Ranges'!$AL15&lt;'PIM Ranges'!$BB$30,"Q3",IF('PIM Ranges'!$AL15&lt;'PIM Ranges'!$BC$30,"Q4","Q5")))),IF('PIM Ranges'!$AK15='PIM Ranges'!$AY$31,IF('PIM Ranges'!$AL15&lt;'PIM Ranges'!$AZ$31,"Q1",IF('PIM Ranges'!$AL15&lt;'PIM Ranges'!$BA$31,"Q2",IF('PIM Ranges'!$AL15&lt;'PIM Ranges'!$BB$31,"Q3",IF('PIM Ranges'!$AL15&lt;'PIM Ranges'!$BC$31,"Q4","Q5")))),IF('PIM Ranges'!$AK15='PIM Ranges'!$AY$32,IF('PIM Ranges'!$AL15&lt;'PIM Ranges'!$AZ$32,"Q1",IF('PIM Ranges'!$AL15&lt;'PIM Ranges'!$BA$32,"Q2",IF('PIM Ranges'!$AL15&lt;'PIM Ranges'!$BB$32,"Q3",IF('PIM Ranges'!$AL15&lt;'PIM Ranges'!$BC$32,"Q4","Q5"))))))))))))))))))))))))))</f>
        <v>Q1</v>
      </c>
      <c r="AZ17" s="301">
        <f t="shared" si="31"/>
        <v>0</v>
      </c>
      <c r="BA17" s="39">
        <f>'PIM Model'!C13</f>
        <v>0</v>
      </c>
      <c r="BB17" s="301"/>
      <c r="BC17" s="301"/>
      <c r="BD17" s="301" t="e">
        <f t="shared" si="72"/>
        <v>#DIV/0!</v>
      </c>
      <c r="BE17" s="301"/>
      <c r="BF17" s="301"/>
      <c r="BG17" s="105">
        <v>6</v>
      </c>
      <c r="BH17" s="18">
        <f t="array" ref="BH17">IF('Customer Inputs'!$W$6="End",0,IFERROR(IF($BU17="SEGMENT",INDEX('Margin Guidence Table'!$A$1:$AG$10000,MATCH(1,('Margin Guidence Table'!$A$1:$A$10000=$BS17)*('Margin Guidence Table'!$I$1:$I$10000&lt;=ROUND($BK$3,0))*('Margin Guidence Table'!$J$1:$J$10000&gt;=ROUND($BK$3,0)),0),MATCH("PCT_SALES",'Margin Guidence Table'!$A$1:$AG$1,0)),INDEX('Margin Guidence Table'!$A$1:$AG$10000,MATCH(1,('Margin Guidence Table'!$A$1:$A$10000=$BS17)*('Margin Guidence Table'!$I$1:$I$10000&lt;=ROUND($BK$3,0))*('Margin Guidence Table'!$J$1:$J$10000&gt;=ROUND($BK$3,0)),0),MATCH("DEFAULT_PCT_SALES",'Margin Guidence Table'!$A$1:$AG$1,0))),0))</f>
        <v>0</v>
      </c>
      <c r="BI17" s="297" t="e">
        <f t="shared" si="32"/>
        <v>#DIV/0!</v>
      </c>
      <c r="BJ17" s="99" t="s">
        <v>102</v>
      </c>
      <c r="BK17" s="91">
        <f>IF('Customer Inputs'!$W$6="End",0,IFERROR(IF(AND($BK$2&lt;&gt;"Enter Spend&gt;&gt;&gt;",$BL$2="EXISTING"),SUMIFS('Existing Customers'!$Q:$Q,'Existing Customers'!$A:$A,$BK$1,'Existing Customers'!$H:$H,$BJ17)*$BK$4,$BK$3*$BI17),0))</f>
        <v>0</v>
      </c>
      <c r="BL17" s="92">
        <f>IF('Customer Inputs'!$W$6="End",0,IFERROR(IF(AND($BK$2&lt;&gt;"Enter Spend&gt;&gt;&gt;",$BL$2="EXISTING"),SUMIFS('Existing Customers'!$N:$N,'Existing Customers'!$A:$A,$BK$1,'Existing Customers'!$H:$H,$BJ17)*$BK$4,$BK17/$BV17),0))</f>
        <v>0</v>
      </c>
      <c r="BM17" s="92">
        <f>IF('Customer Inputs'!$W$6="End",0,IFERROR(IF(AND($BK$2&lt;&gt;"Enter Spend&gt;&gt;&gt;",$BL$2="EXISTING"),SUMIFS('Existing Customers'!$O:$O,'Existing Customers'!$H:$H,$BJ17,'Existing Customers'!$A:$A,$BK$1)*$BK$4,$BL17*$BK$8),0))</f>
        <v>0</v>
      </c>
      <c r="BN17" s="92">
        <f>IF('Customer Inputs'!$W$6="End",0,IFERROR(IF(AND($BK$2&lt;&gt;"Enter Spend&gt;&gt;&gt;",$BL$2="EXISTING"),SUMIFS('Existing Customers'!$P:$P,'Existing Customers'!$A:$A,$BK$1,'Existing Customers'!$H:$H,$BJ17)*$BK$4,$BK17/$BW17),0))</f>
        <v>0</v>
      </c>
      <c r="BO17" s="303">
        <f>IF('Customer Inputs'!$W$6="End",0,IFERROR(IF(AND($BK$2&lt;&gt;"Enter Spend&gt;&gt;&gt;",$BL$2="EXISTING"),SUMIFS('Existing Customers'!$V:$V,'Existing Customers'!$H:$H,$BJ17,'Existing Customers'!$A:$A,$BK$1)*$BK$4,0),0))</f>
        <v>0</v>
      </c>
      <c r="BP17" s="93">
        <f>IF('Customer Inputs'!$W$6="End",0,IFERROR(IF(AND($BK$2&lt;&gt;"Enter Spend&gt;&gt;&gt;",$BL$2="EXISTING"),SUMIFS('Existing Customers'!$R:$R,'Existing Customers'!$H:$H,$BJ17,'Existing Customers'!$A:$A,$BK$1)*$BK$4,0),0))</f>
        <v>0</v>
      </c>
      <c r="BQ17" s="93">
        <f>IF('Customer Inputs'!$W$6="End",0,IFERROR(IF(AND($BK$2&lt;&gt;"Enter Spend&gt;&gt;&gt;",$BL$2="EXISTING"),SUMIFS('Existing Customers'!$S:$S,'Existing Customers'!$H:$H,$BJ17,'Existing Customers'!$A:$A,$BK$1)/SUMIFS('Existing Customers'!$Q:$Q,'Existing Customers'!$A:$A,$BK$1,'Existing Customers'!$H:$H,$BJ17),CA17),0))</f>
        <v>0</v>
      </c>
      <c r="BR17" s="93">
        <f>IF('Customer Inputs'!$W$6="End",0,IFERROR(IF(AND($BK$2&lt;&gt;"Enter Spend&gt;&gt;&gt;",$BL$2="EXISTING"),SUMIFS('Existing Customers'!$U:$U,'Existing Customers'!$H:$H,$BJ17,'Existing Customers'!$A:$A,$BK$1)/SUMIFS('Existing Customers'!$Q:$Q,'Existing Customers'!$A:$A,$BK$1,'Existing Customers'!$H:$H,$BJ17),CB17),0))</f>
        <v>0</v>
      </c>
      <c r="BS17" s="782" t="e">
        <f>_xlfn.CONCAT('Customer Inputs'!$AH$6,"_",BJ17)</f>
        <v>#N/A</v>
      </c>
      <c r="BT17" s="783">
        <f t="array" ref="BT17">IF('Customer Inputs'!$W$6="End",0,IFERROR(INDEX('Margin Guidence Table'!$A$1:$AG$10000,MATCH(1,('Margin Guidence Table'!$A$1:$A$10000=$BS17)*('Margin Guidence Table'!$I$1:$I$10000&lt;=ROUND($BK$3,0))*('Margin Guidence Table'!$J$1:$J$10000&gt;=ROUND($BK$3,0)),0),MATCH("DATA_POINTS",'Margin Guidence Table'!$A$1:$AG$1,0)),0))</f>
        <v>0</v>
      </c>
      <c r="BU17" s="780" t="str">
        <f t="shared" si="33"/>
        <v>DEFAULT</v>
      </c>
      <c r="BV17" s="780">
        <f t="array" ref="BV17">IF('Customer Inputs'!$W$6="End",0,IFERROR(IF($BU17="SEGMENT",INDEX('Margin Guidence Table'!$A$1:$AG$10000,MATCH(1,('Margin Guidence Table'!$A$1:$A$10000=$BS17)*('Margin Guidence Table'!$I$1:$I$10000&lt;=ROUND($BK$3,0))*('Margin Guidence Table'!$J$1:$J$10000&gt;=ROUND($BK$3,0)),0),MATCH("SALES_CASE",'Margin Guidence Table'!$A$1:$AG$1,0)),INDEX('Margin Guidence Table'!$A$1:$AG$10000,MATCH(1,('Margin Guidence Table'!$A$1:$A$10000=$BS17)*('Margin Guidence Table'!$I$1:$I$10000&lt;=ROUND($BK$3,0))*('Margin Guidence Table'!$J$1:$J$10000&gt;=ROUND($BK$3,0)),0),MATCH("DEFAULT_SALES_CASE",'Margin Guidence Table'!$A$1:$AG$1,0))),0))</f>
        <v>0</v>
      </c>
      <c r="BW17" s="780">
        <f t="array" ref="BW17">IF('Customer Inputs'!$W$6="End",0,IFERROR(IF($BU17="SEGMENT",INDEX('Margin Guidence Table'!$A$1:$AG$10000,MATCH(1,('Margin Guidence Table'!$A$1:$A$10000=$BS17)*('Margin Guidence Table'!$I$1:$I$10000&lt;=ROUND($BK$3,0))*('Margin Guidence Table'!$J$1:$J$10000&gt;=ROUND($BK$3,0)),0),MATCH("SALES_LBS",'Margin Guidence Table'!$A$1:$AG$1,0)),INDEX('Margin Guidence Table'!$A$1:$AG$10000,MATCH(1,('Margin Guidence Table'!$A$1:$A$10000=$BS17)*('Margin Guidence Table'!$I$1:$I$10000&lt;=ROUND($BK$3,0))*('Margin Guidence Table'!$J$1:$J$10000&gt;=ROUND($BK$3,0)),0),MATCH("DEFAULT_SALES_LBS",'Margin Guidence Table'!$A$1:$AG$1,0))),0))</f>
        <v>0</v>
      </c>
      <c r="BX17" s="784">
        <f t="array" ref="BX17">IF('Customer Inputs'!$W$6="End",0,IFERROR(IF($BU17="SEGMENT",INDEX('Margin Guidence Table'!$A$1:$AG$10000,MATCH(1,('Margin Guidence Table'!$A$1:$A$10000=$BS17)*('Margin Guidence Table'!$I$1:$I$10000&lt;=ROUND($BK$3,0))*('Margin Guidence Table'!$J$1:$J$10000&gt;=ROUND($BK$3,0)),0),MATCH("MDA_MIN_MARGIN_GUIDENCE",'Margin Guidence Table'!$A$1:$AG$1,0)),INDEX('Margin Guidence Table'!$A$1:$AG$10000,MATCH(1,('Margin Guidence Table'!$A$1:$A$10000=$BS17)*('Margin Guidence Table'!$I$1:$I$10000&lt;=ROUND($BK$3,0))*('Margin Guidence Table'!$J$1:$J$10000&gt;=ROUND($BK$3,0)),0),MATCH("DEFAULT_MDA_MIN_MARGIN_GUIDENCE",'Margin Guidence Table'!$A$1:$AG$1,0))),0))</f>
        <v>0</v>
      </c>
      <c r="BY17" s="784">
        <f t="array" ref="BY17">IF('Customer Inputs'!$W$6="End",0,IFERROR(IF($BU17="SEGMENT",INDEX('Margin Guidence Table'!$A$1:$AG$10000,MATCH(1,('Margin Guidence Table'!$A$1:$A$10000=$BS17)*('Margin Guidence Table'!$I$1:$I$10000&lt;=ROUND($BK$3,0))*('Margin Guidence Table'!$J$1:$J$10000&gt;=ROUND($BK$3,0)),0),MATCH("MDA_MEDIAN_MARGIN_GUIDENCE",'Margin Guidence Table'!$A$1:$AG$1,0)),INDEX('Margin Guidence Table'!$A$1:$AG$10000,MATCH(1,('Margin Guidence Table'!$A$1:$A$10000=$BS17)*('Margin Guidence Table'!$I$1:$I$10000&lt;=ROUND($BK$3,0))*('Margin Guidence Table'!$J$1:$J$10000&gt;=ROUND($BK$3,0)),0),MATCH("DEFAULT_MDA_MEDIAN_MARGIN_GUIDENCE",'Margin Guidence Table'!$A$1:$AG$1,0))),0))</f>
        <v>0</v>
      </c>
      <c r="BZ17" s="784">
        <f t="array" ref="BZ17">IF('Customer Inputs'!$W$6="End",0,IFERROR(IF($BU17="SEGMENT",INDEX('Margin Guidence Table'!$A$1:$AG$10000,MATCH(1,('Margin Guidence Table'!$A$1:$A$10000=$BS17)*('Margin Guidence Table'!$I$1:$I$10000&lt;=ROUND($BK$3,0))*('Margin Guidence Table'!$J$1:$J$10000&gt;=ROUND($BK$3,0)),0),MATCH("MDA_MAX_MARGIN_GUIDENCE",'Margin Guidence Table'!$A$1:$AG$1,0)),INDEX('Margin Guidence Table'!$A$1:$AG$10000,MATCH(1,('Margin Guidence Table'!$A$1:$A$10000=$BS17)*('Margin Guidence Table'!$I$1:$I$10000&lt;=ROUND($BK$3,0))*('Margin Guidence Table'!$J$1:$J$10000&gt;=ROUND($BK$3,0)),0),MATCH("DEFAULT_MDA_MAX_MARGIN_GUIDENCE",'Margin Guidence Table'!$A$1:$AG$1,0))),0))</f>
        <v>0</v>
      </c>
      <c r="CA17" s="784">
        <f t="array" ref="CA17">IF('Customer Inputs'!$W$6="End",0,IFERROR(IF($BU17="SEGMENT",INDEX('Margin Guidence Table'!$A$1:$AG$10000,MATCH(1,('Margin Guidence Table'!$A$1:$A$10000=$BS17)*('Margin Guidence Table'!$I$1:$I$10000&lt;=ROUND($BK$3,0))*('Margin Guidence Table'!$J$1:$J$10000&gt;=ROUND($BK$3,0)),0),MATCH("PA_PCT_SALES",'Margin Guidence Table'!$A$1:$AG$1,0)),INDEX('Margin Guidence Table'!$A$1:$AG$10000,MATCH(1,('Margin Guidence Table'!$A$1:$A$10000=$BS17)*('Margin Guidence Table'!$I$1:$I$10000&lt;=ROUND($BK$3,0))*('Margin Guidence Table'!$J$1:$J$10000&gt;=ROUND($BK$3,0)),0),MATCH("DEFAULT_PA_PCT_SALES",'Margin Guidence Table'!$A$1:$AG$1,0))),0))</f>
        <v>0</v>
      </c>
      <c r="CB17" s="784">
        <f t="array" ref="CB17">IF('Customer Inputs'!$W$6="End",0,IFERROR(IF($BU17="SEGMENT",INDEX('Margin Guidence Table'!$A$1:$AG$10000,MATCH(1,('Margin Guidence Table'!$A$1:$A$10000=$BS17)*('Margin Guidence Table'!$I$1:$I$10000&lt;=ROUND($BK$3,0))*('Margin Guidence Table'!$J$1:$J$10000&gt;=ROUND($BK$3,0)),0),MATCH("SELF_FUND_PCT_SALES",'Margin Guidence Table'!$A$1:$AG$1,0)),INDEX('Margin Guidence Table'!$A$1:$AG$10000,MATCH(1,('Margin Guidence Table'!$A$1:$A$10000=$BS17)*('Margin Guidence Table'!$I$1:$I$10000&lt;=ROUND($BK$3,0))*('Margin Guidence Table'!$J$1:$J$10000&gt;=ROUND($BK$3,0)),0),MATCH("DEFAULT_SELF_FUND_PCT_SALES",'Margin Guidence Table'!$A$1:$AG$1,0))),0))</f>
        <v>0</v>
      </c>
      <c r="CC17" s="784">
        <f t="array" ref="CC17">IF('Customer Inputs'!$W$6="End",0,IF($BL$2="Existing",IFERROR(SUMIFS('Existing Customers'!$V:$V,'Existing Customers'!$H:$H,$BJ17,'Existing Customers'!$A:$A,$BK$1)/SUMIFS('Existing Customers'!$Q:$Q,'Existing Customers'!$H:$H,$BJ17,'Existing Customers'!$A:$A,$BK$1),0),IFERROR(IF($BU17="SEGMENT",INDEX('Margin Guidence Table'!$A$1:$AG$10000,MATCH(1,('Margin Guidence Table'!$A$1:$A$10000=$BS17)*('Margin Guidence Table'!$I$1:$I$10000&lt;=ROUND($BK$3,0))*('Margin Guidence Table'!$J$1:$J$10000&gt;=ROUND($BK$3,0)),0),MATCH("CIA_MEDIAN_MARGIN_GUIDENCE",'Margin Guidence Table'!$A$1:$AG$1,0)),INDEX('Margin Guidence Table'!$A$1:$AG$10000,MATCH(1,('Margin Guidence Table'!$A$1:$A$10000=$BS17)*('Margin Guidence Table'!$I$1:$I$10000&lt;=ROUND($BK$3,0))*('Margin Guidence Table'!$J$1:$J$10000&gt;=ROUND($BK$3,0)),0),MATCH("DEFAULT_CIA_MEDIAN_MARGIN_GUIDENCE",'Margin Guidence Table'!$A$1:$AG$1,0))),0)))</f>
        <v>0</v>
      </c>
      <c r="CD17" s="126"/>
      <c r="CE17" s="18">
        <f t="array" ref="CE17">IF('Customer Inputs'!$W$7="End",0,IFERROR(IF($CR17="SEGMENT",INDEX('Margin Guidence Table'!$A$1:$AG$10000,MATCH(1,('Margin Guidence Table'!$A$1:$A$10000=$CP17)*('Margin Guidence Table'!$I$1:$I$10000&lt;=ROUND($CH$3,0))*('Margin Guidence Table'!$J$1:$J$10000&gt;=ROUND($CH$3,0)),0),MATCH("PCT_SALES",'Margin Guidence Table'!$A$1:$AG$1,0)),INDEX('Margin Guidence Table'!$A$1:$AG$10000,MATCH(1,('Margin Guidence Table'!$A$1:$A$10000=$CP17)*('Margin Guidence Table'!$I$1:$I$10000&lt;=ROUND($CH$3,0))*('Margin Guidence Table'!$J$1:$J$10000&gt;=ROUND($CH$3,0)),0),MATCH("DEFAULT_PCT_SALES",'Margin Guidence Table'!$A$1:$AG$1,0))),0))</f>
        <v>0</v>
      </c>
      <c r="CF17" s="297" t="e">
        <f t="shared" si="34"/>
        <v>#DIV/0!</v>
      </c>
      <c r="CG17" s="99" t="s">
        <v>102</v>
      </c>
      <c r="CH17" s="91">
        <f>IF('Customer Inputs'!$W$7="End",0,IFERROR(IF(AND($CH$2&lt;&gt;"Enter Spend&gt;&gt;&gt;",$CI$2="EXISTING"),SUMIFS('Existing Customers'!$Q:$Q,'Existing Customers'!$A:$A,$CH$1,'Existing Customers'!$H:$H,$CG17)*$CH$4,$CH$3*$CF17),0))</f>
        <v>0</v>
      </c>
      <c r="CI17" s="86">
        <f>IF('Customer Inputs'!$W$7="End",0,IFERROR(IF(AND($CH$2&lt;&gt;"Enter Spend&gt;&gt;&gt;",$CI$2="EXISTING"),SUMIFS('Existing Customers'!$N:$N,'Existing Customers'!$A:$A,$CH$1,'Existing Customers'!$H:$H,$CG17)*$CH$4,$CH17/$CS17),0))</f>
        <v>0</v>
      </c>
      <c r="CJ17" s="92">
        <f>IF('Customer Inputs'!$W$7="End",0,IFERROR(IF(AND($CH$2&lt;&gt;"Enter Spend&gt;&gt;&gt;",$CI$2="EXISTING"),SUMIFS('Existing Customers'!$O:$O,'Existing Customers'!$H:$H,$CG17,'Existing Customers'!$A:$A,$CH$1)*$CH$4,$CI17*$CH$8),0))</f>
        <v>0</v>
      </c>
      <c r="CK17" s="92">
        <f>IF('Customer Inputs'!$W$7="End",0,IFERROR(IF(AND($CH$2&lt;&gt;"Enter Spend&gt;&gt;&gt;",$CI$2="EXISTING"),SUMIFS('Existing Customers'!$P:$P,'Existing Customers'!$A:$A,$CH$1,'Existing Customers'!$H:$H,$CG17)*$CH$4,$CH17/$CT17),0))</f>
        <v>0</v>
      </c>
      <c r="CL17" s="93">
        <f>IF('Customer Inputs'!$W$7="End",0,IFERROR(IF(AND($CH$2&lt;&gt;"Enter Spend&gt;&gt;&gt;",$CI$2="EXISTING"),SUMIFS('Existing Customers'!$V:$V,'Existing Customers'!$H:$H,$CG17,'Existing Customers'!$A:$A,$CH$1)*$CH$4,0),0))</f>
        <v>0</v>
      </c>
      <c r="CM17" s="93">
        <f>IF('Customer Inputs'!$W$7="End",0,IFERROR(IF(AND($CH$2&lt;&gt;"Enter Spend&gt;&gt;&gt;",$CI$2="EXISTING"),SUMIFS('Existing Customers'!$R:$R,'Existing Customers'!$H:$H,$CG17,'Existing Customers'!$A:$A,$CH$1)*$CH$4,0),0))</f>
        <v>0</v>
      </c>
      <c r="CN17" s="780">
        <f>IF('Customer Inputs'!$W$7="End",0,IFERROR(IF(AND($CH$2&lt;&gt;"Enter Spend&gt;&gt;&gt;",$CI$2="EXISTING"),SUMIFS('Existing Customers'!$S:$S,'Existing Customers'!$H:$H,$CG17,'Existing Customers'!$A:$A,$CH$1)/SUMIFS('Existing Customers'!$Q:$Q,'Existing Customers'!$A:$A,$CH$1,'Existing Customers'!$H:$H,$CG17),CX17),0))</f>
        <v>0</v>
      </c>
      <c r="CO17" s="780">
        <f>IF('Customer Inputs'!$W$7="End",0,IFERROR(IF(AND($CH$2&lt;&gt;"Enter Spend&gt;&gt;&gt;",$CI$2="EXISTING"),SUMIFS('Existing Customers'!$U:$U,'Existing Customers'!$H:$H,$CG17,'Existing Customers'!$A:$A,$CH$1)/SUMIFS('Existing Customers'!$Q:$Q,'Existing Customers'!$A:$A,$CH$1,'Existing Customers'!$H:$H,$CG17),CY17),0))</f>
        <v>0</v>
      </c>
      <c r="CP17" s="783" t="e">
        <f>_xlfn.CONCAT('Customer Inputs'!$AH$7,"_",CG17)</f>
        <v>#N/A</v>
      </c>
      <c r="CQ17" s="783">
        <f t="array" ref="CQ17">IFERROR(INDEX('Margin Guidence Table'!$A$1:$AG$10000,MATCH(1,('Margin Guidence Table'!$A$1:$A$10000=$CP17)*('Margin Guidence Table'!$I$1:$I$10000&lt;=ROUND($CH$3,0))*('Margin Guidence Table'!$J$1:$J$10000&gt;=ROUND($CH$3,0)),0),MATCH("DATA_POINTS",'Margin Guidence Table'!$A$1:$AG$1,0)),0)</f>
        <v>0</v>
      </c>
      <c r="CR17" s="780" t="str">
        <f t="shared" si="35"/>
        <v>DEFAULT</v>
      </c>
      <c r="CS17" s="780">
        <f t="array" ref="CS17">IF('Customer Inputs'!$W$7="End",0,IFERROR(IF($CR17="SEGMENT",INDEX('Margin Guidence Table'!$A$1:$AG$10000,MATCH(1,('Margin Guidence Table'!$A$1:$A$10000=$CP17)*('Margin Guidence Table'!$I$1:$I$10000&lt;=ROUND($CH$3,0))*('Margin Guidence Table'!$J$1:$J$10000&gt;=ROUND($CH$3,0)),0),MATCH("SALES_CASE",'Margin Guidence Table'!$A$1:$AG$1,0)),INDEX('Margin Guidence Table'!$A$1:$AG$10000,MATCH(1,('Margin Guidence Table'!$A$1:$A$10000=$CP17)*('Margin Guidence Table'!$I$1:$I$10000&lt;=ROUND($CH$3,0))*('Margin Guidence Table'!$J$1:$J$10000&gt;=ROUND($CH$3,0)),0),MATCH("DEFAULT_SALES_CASE",'Margin Guidence Table'!$A$1:$AG$1,0))),0))</f>
        <v>0</v>
      </c>
      <c r="CT17" s="780">
        <f t="array" ref="CT17">IF('Customer Inputs'!$W$7="End",0,IFERROR(IF($CR17="SEGMENT",INDEX('Margin Guidence Table'!$A$1:$AG$10000,MATCH(1,('Margin Guidence Table'!$A$1:$A$10000=$CP17)*('Margin Guidence Table'!$I$1:$I$10000&lt;=ROUND($CH$3,0))*('Margin Guidence Table'!$J$1:$J$10000&gt;=ROUND($CH$3,0)),0),MATCH("SALES_LBS",'Margin Guidence Table'!$A$1:$AG$1,0)),INDEX('Margin Guidence Table'!$A$1:$AG$10000,MATCH(1,('Margin Guidence Table'!$A$1:$A$10000=$CP17)*('Margin Guidence Table'!$I$1:$I$10000&lt;=ROUND($CH$3,0))*('Margin Guidence Table'!$J$1:$J$10000&gt;=ROUND($CH$3,0)),0),MATCH("DEFAULT_SALES_LBS",'Margin Guidence Table'!$A$1:$AG$1,0))),0))</f>
        <v>0</v>
      </c>
      <c r="CU17" s="784">
        <f t="array" ref="CU17">IF('Customer Inputs'!$W$7="End",0,IFERROR(IF($CR17="SEGMENT",INDEX('Margin Guidence Table'!$A$1:$AG$10000,MATCH(1,('Margin Guidence Table'!$A$1:$A$10000=$CP17)*('Margin Guidence Table'!$I$1:$I$10000&lt;=ROUND($CH$3,0))*('Margin Guidence Table'!$J$1:$J$10000&gt;=ROUND($CH$3,0)),0),MATCH("MDA_MIN_MARGIN_GUIDENCE",'Margin Guidence Table'!$A$1:$AG$1,0)),INDEX('Margin Guidence Table'!$A$1:$AG$10000,MATCH(1,('Margin Guidence Table'!$A$1:$A$10000=$CP17)*('Margin Guidence Table'!$I$1:$I$10000&lt;=ROUND($CH$3,0))*('Margin Guidence Table'!$J$1:$J$10000&gt;=ROUND($CH$3,0)),0),MATCH("DEFAULT_MDA_MIN_MARGIN_GUIDENCE",'Margin Guidence Table'!$A$1:$AG$1,0))),0))</f>
        <v>0</v>
      </c>
      <c r="CV17" s="784">
        <f t="array" ref="CV17">IF('Customer Inputs'!$W$7="End",0,IFERROR(IF($CR17="SEGMENT",INDEX('Margin Guidence Table'!$A$1:$AG$10000,MATCH(1,('Margin Guidence Table'!$A$1:$A$10000=$CP17)*('Margin Guidence Table'!$I$1:$I$10000&lt;=ROUND($CH$3,0))*('Margin Guidence Table'!$J$1:$J$10000&gt;=ROUND($CH$3,0)),0),MATCH("MDA_MEDIAN_MARGIN_GUIDENCE",'Margin Guidence Table'!$A$1:$AG$1,0)),INDEX('Margin Guidence Table'!$A$1:$AG$10000,MATCH(1,('Margin Guidence Table'!$A$1:$A$10000=$CP17)*('Margin Guidence Table'!$I$1:$I$10000&lt;=ROUND($CH$3,0))*('Margin Guidence Table'!$J$1:$J$10000&gt;=ROUND($CH$3,0)),0),MATCH("DEFAULT_MDA_MEDIAN_MARGIN_GUIDENCE",'Margin Guidence Table'!$A$1:$AG$1,0))),0))</f>
        <v>0</v>
      </c>
      <c r="CW17" s="784">
        <f t="array" ref="CW17">IF('Customer Inputs'!$W$7="End",0,IFERROR(IF($CR17="SEGMENT",INDEX('Margin Guidence Table'!$A$1:$AG$10000,MATCH(1,('Margin Guidence Table'!$A$1:$A$10000=$CP17)*('Margin Guidence Table'!$I$1:$I$10000&lt;=ROUND($CH$3,0))*('Margin Guidence Table'!$J$1:$J$10000&gt;=ROUND($CH$3,0)),0),MATCH("MDA_MAX_MARGIN_GUIDENCE",'Margin Guidence Table'!$A$1:$AG$1,0)),INDEX('Margin Guidence Table'!$A$1:$AG$10000,MATCH(1,('Margin Guidence Table'!$A$1:$A$10000=$CP17)*('Margin Guidence Table'!$I$1:$I$10000&lt;=ROUND($CH$3,0))*('Margin Guidence Table'!$J$1:$J$10000&gt;=ROUND($CH$3,0)),0),MATCH("DEFAULT_MDA_MAX_MARGIN_GUIDENCE",'Margin Guidence Table'!$A$1:$AG$1,0))),0))</f>
        <v>0</v>
      </c>
      <c r="CX17" s="784">
        <f t="array" ref="CX17">IF('Customer Inputs'!$W$7="End",0,IFERROR(IF($CR17="SEGMENT",INDEX('Margin Guidence Table'!$A$1:$AG$10000,MATCH(1,('Margin Guidence Table'!$A$1:$A$10000=$CP17)*('Margin Guidence Table'!$I$1:$I$10000&lt;=ROUND($CH$3,0))*('Margin Guidence Table'!$J$1:$J$10000&gt;=ROUND($CH$3,0)),0),MATCH("PA_PCT_SALES",'Margin Guidence Table'!$A$1:$AG$1,0)),INDEX('Margin Guidence Table'!$A$1:$AG$10000,MATCH(1,('Margin Guidence Table'!$A$1:$A$10000=$CP17)*('Margin Guidence Table'!$I$1:$I$10000&lt;=ROUND($CH$3,0))*('Margin Guidence Table'!$J$1:$J$10000&gt;=ROUND($CH$3,0)),0),MATCH("DEFAULT_PA_PCT_SALES",'Margin Guidence Table'!$A$1:$AG$1,0))),0))</f>
        <v>0</v>
      </c>
      <c r="CY17" s="784">
        <f t="array" ref="CY17">IF('Customer Inputs'!$W$7="End",0,IFERROR(IF($CR17="SEGMENT",INDEX('Margin Guidence Table'!$A$1:$AG$10000,MATCH(1,('Margin Guidence Table'!$A$1:$A$10000=$CP17)*('Margin Guidence Table'!$I$1:$I$10000&lt;=ROUND($CH$3,0))*('Margin Guidence Table'!$J$1:$J$10000&gt;=ROUND($CH$3,0)),0),MATCH("SELF_FUND_PCT_SALES",'Margin Guidence Table'!$A$1:$AG$1,0)),INDEX('Margin Guidence Table'!$A$1:$AG$10000,MATCH(1,('Margin Guidence Table'!$A$1:$A$10000=$CP17)*('Margin Guidence Table'!$I$1:$I$10000&lt;=ROUND($CH$3,0))*('Margin Guidence Table'!$J$1:$J$10000&gt;=ROUND($CH$3,0)),0),MATCH("DEFAULT_SELF_FUND_PCT_SALES",'Margin Guidence Table'!$A$1:$AG$1,0))),0))</f>
        <v>0</v>
      </c>
      <c r="CZ17" s="784">
        <f t="array" ref="CZ17">IF('Customer Inputs'!$W$7="End",0,IF($CI$2="Existing",IFERROR(SUMIFS('Existing Customers'!$V:$V,'Existing Customers'!$H:$H,$CG17,'Existing Customers'!$A:$A,$CH$1)/SUMIFS('Existing Customers'!$Q:$Q,'Existing Customers'!$H:$H,$CG17,'Existing Customers'!$A:$A,$CH$1),0),IFERROR(IF($CR17="SEGMENT",INDEX('Margin Guidence Table'!$A$1:$AG$10000,MATCH(1,('Margin Guidence Table'!$A$1:$A$10000=$CP17)*('Margin Guidence Table'!$I$1:$I$10000&lt;=ROUND($CH$3,0))*('Margin Guidence Table'!$J$1:$J$10000&gt;=ROUND($CH$3,0)),0),MATCH("CIA_MEDIAN_MARGIN_GUIDENCE",'Margin Guidence Table'!$A$1:$AG$1,0)),INDEX('Margin Guidence Table'!$A$1:$AG$10000,MATCH(1,('Margin Guidence Table'!$A$1:$A$10000=$CP17)*('Margin Guidence Table'!$I$1:$I$10000&lt;=ROUND($CH$3,0))*('Margin Guidence Table'!$J$1:$J$10000&gt;=ROUND($CH$3,0)),0),MATCH("DEFAULT_CIA_MEDIAN_MARGIN_GUIDENCE",'Margin Guidence Table'!$A$1:$AG$1,0))),0)))</f>
        <v>0</v>
      </c>
      <c r="DA17" s="126"/>
      <c r="DB17" s="18">
        <f t="array" ref="DB17">IF('Customer Inputs'!$W$8="End",0,IFERROR(IF($DO17="SEGMENT",INDEX('Margin Guidence Table'!$A$1:$AG$10000,MATCH(1,('Margin Guidence Table'!$A$1:$A$10000=$DM17)*('Margin Guidence Table'!$I$1:$I$10000&lt;=ROUND($DE$3,0))*('Margin Guidence Table'!$J$1:$J$10000&gt;=ROUND($DE$3,0)),0),MATCH("PCT_SALES",'Margin Guidence Table'!$A$1:$AG$1,0)),INDEX('Margin Guidence Table'!$A$1:$AG$10000,MATCH(1,('Margin Guidence Table'!$A$1:$A$10000=$DM17)*('Margin Guidence Table'!$I$1:$I$10000&lt;=ROUND($DE$3,0))*('Margin Guidence Table'!$J$1:$J$10000&gt;=ROUND($DE$3,0)),0),MATCH("DEFAULT_PCT_SALES",'Margin Guidence Table'!$A$1:$AG$1,0))),0))</f>
        <v>0</v>
      </c>
      <c r="DC17" s="297" t="e">
        <f t="shared" si="36"/>
        <v>#DIV/0!</v>
      </c>
      <c r="DD17" s="99" t="s">
        <v>102</v>
      </c>
      <c r="DE17" s="91">
        <f>IF('Customer Inputs'!$W$8="End",0,IFERROR(IF(AND($DE$2&lt;&gt;"Enter Spend&gt;&gt;&gt;",$DF$2="EXISTING"),SUMIFS('Existing Customers'!$Q:$Q,'Existing Customers'!$A:$A,$DE$1,'Existing Customers'!$H:$H,$DD17)*$DE$4,$DE$3*$DC17),0))</f>
        <v>0</v>
      </c>
      <c r="DF17" s="86">
        <f>IF('Customer Inputs'!$W$8="End",0,IFERROR(IF(AND($DE$2&lt;&gt;"Enter Spend&gt;&gt;&gt;",$DF$2="EXISTING"),SUMIFS('Existing Customers'!$N:$N,'Existing Customers'!$A:$A,$DE$1,'Existing Customers'!$H:$H,$DD17)*$DE$4,$DE17/$DP17),0))</f>
        <v>0</v>
      </c>
      <c r="DG17" s="92">
        <f>IF('Customer Inputs'!$W$8="End",0,IFERROR(IF(AND($DE$2&lt;&gt;"Enter Spend&gt;&gt;&gt;",$DF$2="EXISTING"),SUMIFS('Existing Customers'!$O:$O,'Existing Customers'!$H:$H,$DD17,'Existing Customers'!$A:$A,$DE$1)*$DE$4,$DF17*$DE$8),0))</f>
        <v>0</v>
      </c>
      <c r="DH17" s="92">
        <f>IF('Customer Inputs'!$W$8="End",0,IFERROR(IF(AND($DE$2&lt;&gt;"Enter Spend&gt;&gt;&gt;",$DF$2="EXISTING"),SUMIFS('Existing Customers'!$P:$P,'Existing Customers'!$A:$A,$DE$1,'Existing Customers'!$H:$H,$DD17)*$DE$4,$DE17/$DQ17),0))</f>
        <v>0</v>
      </c>
      <c r="DI17" s="93">
        <f>IF('Customer Inputs'!$W$8="End",0,IFERROR(IF(AND($DE$2&lt;&gt;"Enter Spend&gt;&gt;&gt;",$DF$2="EXISTING"),SUMIFS('Existing Customers'!$V:$V,'Existing Customers'!$H:$H,$DD17,'Existing Customers'!$A:$A,$DE$1)*$DE$4,0),0))</f>
        <v>0</v>
      </c>
      <c r="DJ17" s="93">
        <f>IF('Customer Inputs'!$W$8="End",0,IFERROR(IF(AND($DE$2&lt;&gt;"Enter Spend&gt;&gt;&gt;",$DF$2="EXISTING"),SUMIFS('Existing Customers'!$R:$R,'Existing Customers'!$H:$H,$DD17,'Existing Customers'!$A:$A,$DE$1)*$DE$4,0),0))</f>
        <v>0</v>
      </c>
      <c r="DK17" s="780">
        <f>IF('Customer Inputs'!$W$8="End",0,IFERROR(IF(AND($DE$2&lt;&gt;"Enter Spend&gt;&gt;&gt;",$DF$2="EXISTING"),SUMIFS('Existing Customers'!$S:$S,'Existing Customers'!$H:$H,$DD17,'Existing Customers'!$A:$A,$DE$1)/SUMIFS('Existing Customers'!$Q:$Q,'Existing Customers'!$A:$A,$DE$1,'Existing Customers'!$H:$H,$DD17),DU17),0))</f>
        <v>0</v>
      </c>
      <c r="DL17" s="780">
        <f>IF('Customer Inputs'!$W$8="End",0,IFERROR(IF(AND($DE$2&lt;&gt;"Enter Spend&gt;&gt;&gt;",$DF$2="EXISTING"),SUMIFS('Existing Customers'!$U:$U,'Existing Customers'!$H:$H,$DD17,'Existing Customers'!$A:$A,$DE$1)/SUMIFS('Existing Customers'!$Q:$Q,'Existing Customers'!$A:$A,$DE$1,'Existing Customers'!$H:$H,$DD17),DV17),0))</f>
        <v>0</v>
      </c>
      <c r="DM17" s="783" t="e">
        <f>_xlfn.CONCAT('Customer Inputs'!$AH$8,"_",DD17)</f>
        <v>#N/A</v>
      </c>
      <c r="DN17" s="783">
        <f t="array" ref="DN17">IF('Customer Inputs'!$W$8="End",0,IFERROR(INDEX('Margin Guidence Table'!$A$1:$AG$10000,MATCH(1,('Margin Guidence Table'!$A$1:$A$10000=DM17)*('Margin Guidence Table'!$I$1:$I$10000&lt;=ROUND($DE$3,0))*('Margin Guidence Table'!$J$1:$J$10000&gt;=ROUND($DE$3,0)),0),MATCH("DATA_POINTS",'Margin Guidence Table'!$A$1:$AG$1,0)),0))</f>
        <v>0</v>
      </c>
      <c r="DO17" s="780" t="str">
        <f t="shared" si="37"/>
        <v>DEFAULT</v>
      </c>
      <c r="DP17" s="780">
        <f t="array" ref="DP17">IF('Customer Inputs'!$W$8="End",0,IFERROR(IF($DO17="SEGMENT",INDEX('Margin Guidence Table'!$A$1:$AG$10000,MATCH(1,('Margin Guidence Table'!$A$1:$A$10000=DM17)*('Margin Guidence Table'!$I$1:$I$10000&lt;=ROUND($DE$3,0))*('Margin Guidence Table'!$J$1:$J$10000&gt;=ROUND($DE$3,0)),0),MATCH("SALES_CASE",'Margin Guidence Table'!$A$1:$AG$1,0)),INDEX('Margin Guidence Table'!$A$1:$AG$10000,MATCH(1,('Margin Guidence Table'!$A$1:$A$10000=DM17)*('Margin Guidence Table'!$I$1:$I$10000&lt;=ROUND($DE$3,0))*('Margin Guidence Table'!$J$1:$J$10000&gt;=ROUND($DE$3,0)),0),MATCH("DEFAULT_SALES_CASE",'Margin Guidence Table'!$A$1:$AG$1,0))),0))</f>
        <v>0</v>
      </c>
      <c r="DQ17" s="780">
        <f t="array" ref="DQ17">IF('Customer Inputs'!$W$8="End",0,IFERROR(IF($DO17="SEGMENT",INDEX('Margin Guidence Table'!$A$1:$AG$10000,MATCH(1,('Margin Guidence Table'!$A$1:$A$10000=DM17)*('Margin Guidence Table'!$I$1:$I$10000&lt;=ROUND($DE$3,0))*('Margin Guidence Table'!$J$1:$J$10000&gt;=ROUND($DE$3,0)),0),MATCH("SALES_LBS",'Margin Guidence Table'!$A$1:$AG$1,0)),INDEX('Margin Guidence Table'!$A$1:$AG$10000,MATCH(1,('Margin Guidence Table'!$A$1:$A$10000=DM17)*('Margin Guidence Table'!$I$1:$I$10000&lt;=ROUND($DE$3,0))*('Margin Guidence Table'!$J$1:$J$10000&gt;=ROUND($DE$3,0)),0),MATCH("DEFAULT_SALES_LBS",'Margin Guidence Table'!$A$1:$AG$1,0))),0))</f>
        <v>0</v>
      </c>
      <c r="DR17" s="784">
        <f t="array" ref="DR17">IF('Customer Inputs'!$W$8="End",0,IFERROR(IF($DO17="SEGMENT",INDEX('Margin Guidence Table'!$A$1:$AG$10000,MATCH(1,('Margin Guidence Table'!$A$1:$A$10000=DM17)*('Margin Guidence Table'!$I$1:$I$10000&lt;=ROUND($DE$3,0))*('Margin Guidence Table'!$J$1:$J$10000&gt;=ROUND($DE$3,0)),0),MATCH("MDA_MIN_MARGIN_GUIDENCE",'Margin Guidence Table'!$A$1:$AG$1,0)),INDEX('Margin Guidence Table'!$A$1:$AG$10000,MATCH(1,('Margin Guidence Table'!$A$1:$A$10000=DM17)*('Margin Guidence Table'!$I$1:$I$10000&lt;=ROUND($DE$3,0))*('Margin Guidence Table'!$J$1:$J$10000&gt;=ROUND($DE$3,0)),0),MATCH("DEFAULT_MDA_MIN_MARGIN_GUIDENCE",'Margin Guidence Table'!$A$1:$AG$1,0))),0))</f>
        <v>0</v>
      </c>
      <c r="DS17" s="784">
        <f t="array" ref="DS17">IF('Customer Inputs'!$W$8="End",0,IFERROR(IF($DO17="SEGMENT",INDEX('Margin Guidence Table'!$A$1:$AG$10000,MATCH(1,('Margin Guidence Table'!$A$1:$A$10000=DM17)*('Margin Guidence Table'!$I$1:$I$10000&lt;=ROUND($DE$3,0))*('Margin Guidence Table'!$J$1:$J$10000&gt;=ROUND($DE$3,0)),0),MATCH("MDA_MEDIAN_MARGIN_GUIDENCE",'Margin Guidence Table'!$A$1:$AG$1,0)),INDEX('Margin Guidence Table'!$A$1:$AG$10000,MATCH(1,('Margin Guidence Table'!$A$1:$A$10000=DM17)*('Margin Guidence Table'!$I$1:$I$10000&lt;=ROUND($DE$3,0))*('Margin Guidence Table'!$J$1:$J$10000&gt;=ROUND($DE$3,0)),0),MATCH("DEFAULT_MDA_MEDIAN_MARGIN_GUIDENCE",'Margin Guidence Table'!$A$1:$AG$1,0))),0))</f>
        <v>0</v>
      </c>
      <c r="DT17" s="784">
        <f t="array" ref="DT17">IF('Customer Inputs'!$W$8="End",0,IFERROR(IF($DO17="SEGMENT",INDEX('Margin Guidence Table'!$A$1:$AG$10000,MATCH(1,('Margin Guidence Table'!$A$1:$A$10000=DM17)*('Margin Guidence Table'!$I$1:$I$10000&lt;=ROUND($DE$3,0))*('Margin Guidence Table'!$J$1:$J$10000&gt;=ROUND($DE$3,0)),0),MATCH("MDA_MAX_MARGIN_GUIDENCE",'Margin Guidence Table'!$A$1:$AG$1,0)),INDEX('Margin Guidence Table'!$A$1:$AG$10000,MATCH(1,('Margin Guidence Table'!$A$1:$A$10000=DM17)*('Margin Guidence Table'!$I$1:$I$10000&lt;=ROUND($DE$3,0))*('Margin Guidence Table'!$J$1:$J$10000&gt;=ROUND($DE$3,0)),0),MATCH("DEFAULT_MDA_MAX_MARGIN_GUIDENCE",'Margin Guidence Table'!$A$1:$AG$1,0))),0))</f>
        <v>0</v>
      </c>
      <c r="DU17" s="784">
        <f t="array" ref="DU17">IF('Customer Inputs'!$W$8="End",0,IFERROR(IF($DO17="SEGMENT",INDEX('Margin Guidence Table'!$A$1:$AG$10000,MATCH(1,('Margin Guidence Table'!$A$1:$A$10000=DM17)*('Margin Guidence Table'!$I$1:$I$10000&lt;=ROUND($DE$3,0))*('Margin Guidence Table'!$J$1:$J$10000&gt;=ROUND($DE$3,0)),0),MATCH("PA_PCT_SALES",'Margin Guidence Table'!$A$1:$AG$1,0)),INDEX('Margin Guidence Table'!$A$1:$AG$10000,MATCH(1,('Margin Guidence Table'!$A$1:$A$10000=DM17)*('Margin Guidence Table'!$I$1:$I$10000&lt;=ROUND($DE$3,0))*('Margin Guidence Table'!$J$1:$J$10000&gt;=ROUND($DE$3,0)),0),MATCH("DEFAULT_PA_PCT_SALES",'Margin Guidence Table'!$A$1:$AG$1,0))),0))</f>
        <v>0</v>
      </c>
      <c r="DV17" s="784">
        <f t="array" ref="DV17">IF('Customer Inputs'!$W$8="End",0,IFERROR(IF($DO17="SEGMENT",INDEX('Margin Guidence Table'!$A$1:$AG$10000,MATCH(1,('Margin Guidence Table'!$A$1:$A$10000=DM17)*('Margin Guidence Table'!$I$1:$I$10000&lt;=ROUND($DE$3,0))*('Margin Guidence Table'!$J$1:$J$10000&gt;=ROUND($DE$3,0)),0),MATCH("SELF_FUND_PCT_SALES",'Margin Guidence Table'!$A$1:$AG$1,0)),INDEX('Margin Guidence Table'!$A$1:$AG$10000,MATCH(1,('Margin Guidence Table'!$A$1:$A$10000=DM17)*('Margin Guidence Table'!$I$1:$I$10000&lt;=ROUND($DE$3,0))*('Margin Guidence Table'!$J$1:$J$10000&gt;=ROUND($DE$3,0)),0),MATCH("DEFAULT_SELF_FUND_PCT_SALES",'Margin Guidence Table'!$A$1:$AG$1,0))),0))</f>
        <v>0</v>
      </c>
      <c r="DW17" s="784">
        <f t="array" ref="DW17">IF('Customer Inputs'!$W$8="End",0,IF($DF$2="Existing",IFERROR(SUMIFS('Existing Customers'!$V:$V,'Existing Customers'!$H:$H,$DD17,'Existing Customers'!$A:$A,$DE$1)/SUMIFS('Existing Customers'!$Q:$Q,'Existing Customers'!$H:$H,$DD17,'Existing Customers'!$A:$A,$DE$1),0),IFERROR(IF($DO17="SEGMENT",INDEX('Margin Guidence Table'!$A$1:$AG$10000,MATCH(1,('Margin Guidence Table'!$A$1:$A$10000=DM17)*('Margin Guidence Table'!$I$1:$I$10000&lt;=ROUND($DE$3,0))*('Margin Guidence Table'!$J$1:$J$10000&gt;=ROUND($DE$3,0)),0),MATCH("CIA_MEDIAN_MARGIN_GUIDENCE",'Margin Guidence Table'!$A$1:$AG$1,0)),INDEX('Margin Guidence Table'!$A$1:$AG$10000,MATCH(1,('Margin Guidence Table'!$A$1:$A$10000=DM17)*('Margin Guidence Table'!$I$1:$I$10000&lt;=ROUND($DE$3,0))*('Margin Guidence Table'!$J$1:$J$10000&gt;=ROUND($DE$3,0)),0),MATCH("DEFAULT_CIA_MEDIAN_MARGIN_GUIDENCE",'Margin Guidence Table'!$A$1:$AG$1,0))),0)))</f>
        <v>0</v>
      </c>
      <c r="DX17" s="126"/>
      <c r="DY17" s="18">
        <f t="array" ref="DY17">IF('Customer Inputs'!$W$9="End",0,IFERROR(IF($EL17="SEGMENT",INDEX('Margin Guidence Table'!$A$1:$AG$10000,MATCH(1,('Margin Guidence Table'!$A$1:$A$10000=$EJ17)*('Margin Guidence Table'!$I$1:$I$10000&lt;=ROUND($EB$3,0))*('Margin Guidence Table'!$J$1:$J$10000&gt;=ROUND($EB$3,0)),0),MATCH("PCT_SALES",'Margin Guidence Table'!$A$1:$AG$1,0)),INDEX('Margin Guidence Table'!$A$1:$AG$10000,MATCH(1,('Margin Guidence Table'!$A$1:$A$10000=$EJ17)*('Margin Guidence Table'!$I$1:$I$10000&lt;=ROUND($EB$3,0))*('Margin Guidence Table'!$J$1:$J$10000&gt;=ROUND($EB$3,0)),0),MATCH("DEFAULT_PCT_SALES",'Margin Guidence Table'!$A$1:$AG$1,0))),0))</f>
        <v>0</v>
      </c>
      <c r="DZ17" s="297" t="e">
        <f t="shared" si="38"/>
        <v>#DIV/0!</v>
      </c>
      <c r="EA17" s="99" t="s">
        <v>102</v>
      </c>
      <c r="EB17" s="91">
        <f>IF('Customer Inputs'!$W$9="End",0,IFERROR(IF(AND($EB$2&lt;&gt;"Enter Spend&gt;&gt;&gt;",$EC$2="EXISTING"),SUMIFS('Existing Customers'!$Q:$Q,'Existing Customers'!$A:$A,$EB$1,'Existing Customers'!$H:$H,$EA17)*$EB$4,$EB$3*$DZ17),0))</f>
        <v>0</v>
      </c>
      <c r="EC17" s="86">
        <f>IF('Customer Inputs'!$W$9="End",0,IFERROR(IF(AND($EB$2&lt;&gt;"Enter Spend&gt;&gt;&gt;",$EC$2="EXISTING"),SUMIFS('Existing Customers'!$N:$N,'Existing Customers'!$A:$A,$EB$1,'Existing Customers'!$H:$H,$EA17)*$EB$4,$EB17/$EM17),0))</f>
        <v>0</v>
      </c>
      <c r="ED17" s="92">
        <f>IF('Customer Inputs'!$W$9="End",0,IFERROR(IF(AND($EB$2&lt;&gt;"Enter Spend&gt;&gt;&gt;",$EC$2="EXISTING"),SUMIFS('Existing Customers'!$O:$O,'Existing Customers'!$H:$H,$EA17,'Existing Customers'!$A:$A,$EB$1)*$EB$4,$EC17*$EB$8),0))</f>
        <v>0</v>
      </c>
      <c r="EE17" s="92">
        <f>IF('Customer Inputs'!$W$9="End",0,IFERROR(IF(AND($EB$2&lt;&gt;"Enter Spend&gt;&gt;&gt;",$EC$2="EXISTING"),SUMIFS('Existing Customers'!$P:$P,'Existing Customers'!$A:$A,$EB$1,'Existing Customers'!$H:$H,$EA17)*$EB$4,$EB17/$EN17),0))</f>
        <v>0</v>
      </c>
      <c r="EF17" s="93">
        <f>IF('Customer Inputs'!$W$9="End",0,IFERROR(IF(AND($EB$2&lt;&gt;"Enter Spend&gt;&gt;&gt;",$EC$2="EXISTING"),SUMIFS('Existing Customers'!$V:$V,'Existing Customers'!$H:$H,$EA17,'Existing Customers'!$A:$A,$EB$1)*$EB$4,0),0))</f>
        <v>0</v>
      </c>
      <c r="EG17" s="93">
        <f>IF('Customer Inputs'!$W$9="End",0,IFERROR(IF(AND($EB$2&lt;&gt;"Enter Spend&gt;&gt;&gt;",$EC$2="EXISTING"),SUMIFS('Existing Customers'!$R:$R,'Existing Customers'!$H:$H,$EA17,'Existing Customers'!$A:$A,$EB$1)*$EB$4,0),0))</f>
        <v>0</v>
      </c>
      <c r="EH17" s="780">
        <f>IF('Customer Inputs'!$W$9="End",0,IFERROR(IF(AND($EB$2&lt;&gt;"Enter Spend&gt;&gt;&gt;",$EC$2="EXISTING"),SUMIFS('Existing Customers'!$S:$S,'Existing Customers'!$H:$H,$EA17,'Existing Customers'!$A:$A,$EB$1)/SUMIFS('Existing Customers'!$Q:$Q,'Existing Customers'!$A:$A,$EB$1,'Existing Customers'!$H:$H,$EA17),ER17),0))</f>
        <v>0</v>
      </c>
      <c r="EI17" s="780">
        <f>IF('Customer Inputs'!$W$9="End",0,IFERROR(IF(AND($EB$2&lt;&gt;"Enter Spend&gt;&gt;&gt;",$EC$2="EXISTING"),SUMIFS('Existing Customers'!$U:$U,'Existing Customers'!$H:$H,$EA17,'Existing Customers'!$A:$A,$EB$1)/SUMIFS('Existing Customers'!$Q:$Q,'Existing Customers'!$A:$A,$EB$1,'Existing Customers'!$H:$H,$EA17),ES17),0))</f>
        <v>0</v>
      </c>
      <c r="EJ17" s="783" t="e">
        <f>_xlfn.CONCAT('Customer Inputs'!$AH$9,"_",EA17)</f>
        <v>#N/A</v>
      </c>
      <c r="EK17" s="783">
        <f t="array" ref="EK17">IF('Customer Inputs'!$W$9="End",0,IFERROR(INDEX('Margin Guidence Table'!$A$1:$AG$10000,MATCH(1,('Margin Guidence Table'!$A$1:$A$10000=EJ17)*('Margin Guidence Table'!$I$1:$I$10000&lt;=ROUND($EB$3,0))*('Margin Guidence Table'!$J$1:$J$10000&gt;=ROUND($EB$3,0)),0),MATCH("DATA_POINTS",'Margin Guidence Table'!$A$1:$AG$1,0)),0))</f>
        <v>0</v>
      </c>
      <c r="EL17" s="780" t="str">
        <f t="shared" si="39"/>
        <v>DEFAULT</v>
      </c>
      <c r="EM17" s="780">
        <f t="array" ref="EM17">IF('Customer Inputs'!$W$9="End",0,IFERROR(IF($EL17="SEGMENT",INDEX('Margin Guidence Table'!$A$1:$AG$10000,MATCH(1,('Margin Guidence Table'!$A$1:$A$10000=EJ17)*('Margin Guidence Table'!$I$1:$I$10000&lt;=ROUND($EB$3,0))*('Margin Guidence Table'!$J$1:$J$10000&gt;=ROUND($EB$3,0)),0),MATCH("SALES_CASE",'Margin Guidence Table'!$A$1:$AG$1,0)),INDEX('Margin Guidence Table'!$A$1:$AG$10000,MATCH(1,('Margin Guidence Table'!$A$1:$A$10000=EJ17)*('Margin Guidence Table'!$I$1:$I$10000&lt;=ROUND($EB$3,0))*('Margin Guidence Table'!$J$1:$J$10000&gt;=ROUND($EB$3,0)),0),MATCH("DEFAULT_SALES_CASE",'Margin Guidence Table'!$A$1:$AG$1,0))),0))</f>
        <v>0</v>
      </c>
      <c r="EN17" s="780">
        <f t="array" ref="EN17">IF('Customer Inputs'!$W$9="End",0,IFERROR(IF($EL17="SEGMENT",INDEX('Margin Guidence Table'!$A$1:$AG$10000,MATCH(1,('Margin Guidence Table'!$A$1:$A$10000=EJ17)*('Margin Guidence Table'!$I$1:$I$10000&lt;=ROUND($EB$3,0))*('Margin Guidence Table'!$J$1:$J$10000&gt;=ROUND($EB$3,0)),0),MATCH("SALES_LBS",'Margin Guidence Table'!$A$1:$AG$1,0)),INDEX('Margin Guidence Table'!$A$1:$AG$10000,MATCH(1,('Margin Guidence Table'!$A$1:$A$10000=EJ17)*('Margin Guidence Table'!$I$1:$I$10000&lt;=ROUND($EB$3,0))*('Margin Guidence Table'!$J$1:$J$10000&gt;=ROUND($EB$3,0)),0),MATCH("DEFAULT_SALES_LBS",'Margin Guidence Table'!$A$1:$AG$1,0))),0))</f>
        <v>0</v>
      </c>
      <c r="EO17" s="784">
        <f t="array" ref="EO17">IF('Customer Inputs'!$W$9="End",0,IFERROR(IF($EL17="SEGMENT",INDEX('Margin Guidence Table'!$A$1:$AG$10000,MATCH(1,('Margin Guidence Table'!$A$1:$A$10000=EJ17)*('Margin Guidence Table'!$I$1:$I$10000&lt;=ROUND($EB$3,0))*('Margin Guidence Table'!$J$1:$J$10000&gt;=ROUND($EB$3,0)),0),MATCH("MDA_MIN_MARGIN_GUIDENCE",'Margin Guidence Table'!$A$1:$AG$1,0)),INDEX('Margin Guidence Table'!$A$1:$AG$10000,MATCH(1,('Margin Guidence Table'!$A$1:$A$10000=EJ17)*('Margin Guidence Table'!$I$1:$I$10000&lt;=ROUND($EB$3,0))*('Margin Guidence Table'!$J$1:$J$10000&gt;=ROUND($EB$3,0)),0),MATCH("DEFAULT_MDA_MIN_MARGIN_GUIDENCE",'Margin Guidence Table'!$A$1:$AG$1,0))),0))</f>
        <v>0</v>
      </c>
      <c r="EP17" s="784">
        <f t="array" ref="EP17">IF('Customer Inputs'!$W$9="End",0,IFERROR(IF($EL17="SEGMENT",INDEX('Margin Guidence Table'!$A$1:$AG$10000,MATCH(1,('Margin Guidence Table'!$A$1:$A$10000=EJ17)*('Margin Guidence Table'!$I$1:$I$10000&lt;=ROUND($EB$3,0))*('Margin Guidence Table'!$J$1:$J$10000&gt;=ROUND($EB$3,0)),0),MATCH("MDA_MEDIAN_MARGIN_GUIDENCE",'Margin Guidence Table'!$A$1:$AG$1,0)),INDEX('Margin Guidence Table'!$A$1:$AG$10000,MATCH(1,('Margin Guidence Table'!$A$1:$A$10000=EJ17)*('Margin Guidence Table'!$I$1:$I$10000&lt;=ROUND($EB$3,0))*('Margin Guidence Table'!$J$1:$J$10000&gt;=ROUND($EB$3,0)),0),MATCH("DEFAULT_MDA_MEDIAN_MARGIN_GUIDENCE",'Margin Guidence Table'!$A$1:$AG$1,0))),0))</f>
        <v>0</v>
      </c>
      <c r="EQ17" s="784">
        <f t="array" ref="EQ17">IF('Customer Inputs'!$W$9="End",0,IFERROR(IF($EL17="SEGMENT",INDEX('Margin Guidence Table'!$A$1:$AG$10000,MATCH(1,('Margin Guidence Table'!$A$1:$A$10000=EJ17)*('Margin Guidence Table'!$I$1:$I$10000&lt;=ROUND($EB$3,0))*('Margin Guidence Table'!$J$1:$J$10000&gt;=ROUND($EB$3,0)),0),MATCH("MDA_MAX_MARGIN_GUIDENCE",'Margin Guidence Table'!$A$1:$AG$1,0)),INDEX('Margin Guidence Table'!$A$1:$AG$10000,MATCH(1,('Margin Guidence Table'!$A$1:$A$10000=EJ17)*('Margin Guidence Table'!$I$1:$I$10000&lt;=ROUND($EB$3,0))*('Margin Guidence Table'!$J$1:$J$10000&gt;=ROUND($EB$3,0)),0),MATCH("DEFAULT_MDA_MAX_MARGIN_GUIDENCE",'Margin Guidence Table'!$A$1:$AG$1,0))),0))</f>
        <v>0</v>
      </c>
      <c r="ER17" s="784">
        <f t="array" ref="ER17">IF('Customer Inputs'!$W$9="End",0,IFERROR(IF($EL17="SEGMENT",INDEX('Margin Guidence Table'!$A$1:$AG$10000,MATCH(1,('Margin Guidence Table'!$A$1:$A$10000=EJ17)*('Margin Guidence Table'!$I$1:$I$10000&lt;=ROUND($EB$3,0))*('Margin Guidence Table'!$J$1:$J$10000&gt;=ROUND($EB$3,0)),0),MATCH("PA_PCT_SALES",'Margin Guidence Table'!$A$1:$AG$1,0)),INDEX('Margin Guidence Table'!$A$1:$AG$10000,MATCH(1,('Margin Guidence Table'!$A$1:$A$10000=EJ17)*('Margin Guidence Table'!$I$1:$I$10000&lt;=ROUND($EB$3,0))*('Margin Guidence Table'!$J$1:$J$10000&gt;=ROUND($EB$3,0)),0),MATCH("DEFAULT_PA_PCT_SALES",'Margin Guidence Table'!$A$1:$AG$1,0))),0))</f>
        <v>0</v>
      </c>
      <c r="ES17" s="784">
        <f t="array" ref="ES17">IF('Customer Inputs'!$W$9="End",0,IFERROR(IF($EL17="SEGMENT",INDEX('Margin Guidence Table'!$A$1:$AG$10000,MATCH(1,('Margin Guidence Table'!$A$1:$A$10000=EJ17)*('Margin Guidence Table'!$I$1:$I$10000&lt;=ROUND($EB$3,0))*('Margin Guidence Table'!$J$1:$J$10000&gt;=ROUND($EB$3,0)),0),MATCH("SELF_FUND_PCT_SALES",'Margin Guidence Table'!$A$1:$AG$1,0)),INDEX('Margin Guidence Table'!$A$1:$AG$10000,MATCH(1,('Margin Guidence Table'!$A$1:$A$10000=EJ17)*('Margin Guidence Table'!$I$1:$I$10000&lt;=ROUND($EB$3,0))*('Margin Guidence Table'!$J$1:$J$10000&gt;=ROUND($EB$3,0)),0),MATCH("DEFAULT_SELF_FUND_PCT_SALES",'Margin Guidence Table'!$A$1:$AG$1,0))),0))</f>
        <v>0</v>
      </c>
      <c r="ET17" s="784">
        <f t="array" ref="ET17">IF('Customer Inputs'!$W$9="End",0,IF($EC$2="Existing",IFERROR(SUMIFS('Existing Customers'!$V:$V,'Existing Customers'!$H:$H,$EA17,'Existing Customers'!$A:$A,$EB$1)/SUMIFS('Existing Customers'!$Q:$Q,'Existing Customers'!$H:$H,$EA17,'Existing Customers'!$A:$A,$EB$1),0),IFERROR(IF($EL17="SEGMENT",INDEX('Margin Guidence Table'!$A$1:$AG$10000,MATCH(1,('Margin Guidence Table'!$A$1:$A$10000=EJ17)*('Margin Guidence Table'!$I$1:$I$10000&lt;=ROUND($EB$3,0))*('Margin Guidence Table'!$J$1:$J$10000&gt;=ROUND($EB$3,0)),0),MATCH("CIA_MEDIAN_MARGIN_GUIDENCE",'Margin Guidence Table'!$A$1:$AG$1,0)),INDEX('Margin Guidence Table'!$A$1:$AG$10000,MATCH(1,('Margin Guidence Table'!$A$1:$A$10000=EJ17)*('Margin Guidence Table'!$I$1:$I$10000&lt;=ROUND($EB$3,0))*('Margin Guidence Table'!$J$1:$J$10000&gt;=ROUND($EB$3,0)),0),MATCH("DEFAULT_CIA_MEDIAN_MARGIN_GUIDENCE",'Margin Guidence Table'!$A$1:$AG$1,0))),0)))</f>
        <v>0</v>
      </c>
      <c r="EU17" s="126"/>
      <c r="EV17" s="18">
        <f t="array" ref="EV17">IF('Customer Inputs'!$W$10="End",0,IFERROR(IF($FI17="SEGMENT",INDEX('Margin Guidence Table'!$A$1:$AG$10000,MATCH(1,('Margin Guidence Table'!$A$1:$A$10000=$FG17)*('Margin Guidence Table'!$I$1:$I$10000&lt;=ROUND($EY$3,0))*('Margin Guidence Table'!$J$1:$J$10000&gt;=ROUND($EY$3,0)),0),MATCH("PCT_SALES",'Margin Guidence Table'!$A$1:$AG$1,0)),INDEX('Margin Guidence Table'!$A$1:$AG$10000,MATCH(1,('Margin Guidence Table'!$A$1:$A$10000=$FG17)*('Margin Guidence Table'!$I$1:$I$10000&lt;=ROUND($EY$3,0))*('Margin Guidence Table'!$J$1:$J$10000&gt;=ROUND($EY$3,0)),0),MATCH("DEFAULT_PCT_SALES",'Margin Guidence Table'!$A$1:$AG$1,0))),0))</f>
        <v>0</v>
      </c>
      <c r="EW17" s="297" t="e">
        <f t="shared" si="40"/>
        <v>#DIV/0!</v>
      </c>
      <c r="EX17" s="99" t="s">
        <v>102</v>
      </c>
      <c r="EY17" s="91">
        <f>IF('Customer Inputs'!$W$10="End",0,IFERROR(IF(AND($EY$2&lt;&gt;"Enter Spend&gt;&gt;&gt;",$EZ$2="EXISTING"),SUMIFS('Existing Customers'!$Q:$Q,'Existing Customers'!$A:$A,$EY$1,'Existing Customers'!$H:$H,$EX17)*$EY$4,$EY$3*$EW17),0))</f>
        <v>0</v>
      </c>
      <c r="EZ17" s="86">
        <f>IF('Customer Inputs'!$W$10="End",0,IFERROR(IF(AND($EY$2&lt;&gt;"Enter Spend&gt;&gt;&gt;",$EZ$2="EXISTING"),SUMIFS('Existing Customers'!$N:$N,'Existing Customers'!$A:$A,$EY$1,'Existing Customers'!$H:$H,$EX17)*$EY$4,$EY17/$FJ17),0))</f>
        <v>0</v>
      </c>
      <c r="FA17" s="92">
        <f>IF('Customer Inputs'!$W$10="End",0,IFERROR(IF(AND($EY$2&lt;&gt;"Enter Spend&gt;&gt;&gt;",$EZ$2="EXISTING"),SUMIFS('Existing Customers'!$O:$O,'Existing Customers'!$H:$H,$EX17,'Existing Customers'!$A:$A,$EY$1)*$EY$4,$EZ17*$EY$8),0))</f>
        <v>0</v>
      </c>
      <c r="FB17" s="92">
        <f>IF('Customer Inputs'!$W$10="End",0,IFERROR(IF(AND($EY$2&lt;&gt;"Enter Spend&gt;&gt;&gt;",$EZ$2="EXISTING"),SUMIFS('Existing Customers'!$P:$P,'Existing Customers'!$A:$A,$EY$1,'Existing Customers'!$H:$H,$EX17)*$EY$4,$EY17/$FK17),0))</f>
        <v>0</v>
      </c>
      <c r="FC17" s="93">
        <f>IF('Customer Inputs'!$W$10="End",0,IFERROR(IF(AND($EY$2&lt;&gt;"Enter Spend&gt;&gt;&gt;",$EZ$2="EXISTING"),SUMIFS('Existing Customers'!$V:$V,'Existing Customers'!$H:$H,$EX17,'Existing Customers'!$A:$A,$EY$1)*$EY$4,0),0))</f>
        <v>0</v>
      </c>
      <c r="FD17" s="93">
        <f>IF('Customer Inputs'!$W$10="End",0,IFERROR(IF(AND($EY$2&lt;&gt;"Enter Spend&gt;&gt;&gt;",$EZ$2="EXISTING"),SUMIFS('Existing Customers'!$R:$R,'Existing Customers'!$H:$H,$EX17,'Existing Customers'!$A:$A,$EY$1)*$EY$4,0),0))</f>
        <v>0</v>
      </c>
      <c r="FE17" s="780">
        <f>IF('Customer Inputs'!$W$10="End",0,IFERROR(IF(AND($EY$2&lt;&gt;"Enter Spend&gt;&gt;&gt;",$EZ$2="EXISTING"),SUMIFS('Existing Customers'!$S:$S,'Existing Customers'!$H:$H,$EX17,'Existing Customers'!$A:$A,$EY$1)/SUMIFS('Existing Customers'!$Q:$Q,'Existing Customers'!$A:$A,$EY$1,'Existing Customers'!$H:$H,$EX17),FO17),0))</f>
        <v>0</v>
      </c>
      <c r="FF17" s="780">
        <f>IF('Customer Inputs'!$W$10="End",0,IFERROR(IF(AND($EY$2&lt;&gt;"Enter Spend&gt;&gt;&gt;",$EZ$2="EXISTING"),SUMIFS('Existing Customers'!$U:$U,'Existing Customers'!$H:$H,$EX17,'Existing Customers'!$A:$A,$EY$1)/SUMIFS('Existing Customers'!$Q:$Q,'Existing Customers'!$A:$A,$EY$1,'Existing Customers'!$H:$H,$EX17),FP17),0))</f>
        <v>0</v>
      </c>
      <c r="FG17" s="783" t="e">
        <f>_xlfn.CONCAT('Customer Inputs'!$AH$10,"_",EX17)</f>
        <v>#N/A</v>
      </c>
      <c r="FH17" s="783">
        <f t="array" ref="FH17">IF('Customer Inputs'!$W$10="End",0,IFERROR(INDEX('Margin Guidence Table'!$A$1:$AG$10000,MATCH(1,('Margin Guidence Table'!$A$1:$A$10000=FG17)*('Margin Guidence Table'!$I$1:$I$10000&lt;=ROUND($EY$3,0))*('Margin Guidence Table'!$J$1:$J$10000&gt;=ROUND($EY$3,0)),0),MATCH("DATA_POINTS",'Margin Guidence Table'!$A$1:$AG$1,0)),0))</f>
        <v>0</v>
      </c>
      <c r="FI17" s="780" t="str">
        <f t="shared" si="41"/>
        <v>DEFAULT</v>
      </c>
      <c r="FJ17" s="780">
        <f t="array" ref="FJ17">IF('Customer Inputs'!$W$10="End",0,IFERROR(IF($FI17="SEGMENT",INDEX('Margin Guidence Table'!$A$1:$AG$10000,MATCH(1,('Margin Guidence Table'!$A$1:$A$10000=FG17)*('Margin Guidence Table'!$I$1:$I$10000&lt;=ROUND($EY$3,0))*('Margin Guidence Table'!$J$1:$J$10000&gt;=ROUND($EY$3,0)),0),MATCH("SALES_CASE",'Margin Guidence Table'!$A$1:$AG$1,0)),INDEX('Margin Guidence Table'!$A$1:$AG$10000,MATCH(1,('Margin Guidence Table'!$A$1:$A$10000=FG17)*('Margin Guidence Table'!$I$1:$I$10000&lt;=ROUND($EY$3,0))*('Margin Guidence Table'!$J$1:$J$10000&gt;=ROUND($EY$3,0)),0),MATCH("DEFAULT_SALES_CASE",'Margin Guidence Table'!$A$1:$AG$1,0))),0))</f>
        <v>0</v>
      </c>
      <c r="FK17" s="780">
        <f t="array" ref="FK17">IF('Customer Inputs'!$W$10="End",0,IFERROR(IF($FI17="SEGMENT",INDEX('Margin Guidence Table'!$A$1:$AG$10000,MATCH(1,('Margin Guidence Table'!$A$1:$A$10000=FG17)*('Margin Guidence Table'!$I$1:$I$10000&lt;=ROUND($EY$3,0))*('Margin Guidence Table'!$J$1:$J$10000&gt;=ROUND($EY$3,0)),0),MATCH("SALES_LBS",'Margin Guidence Table'!$A$1:$AG$1,0)),INDEX('Margin Guidence Table'!$A$1:$AG$10000,MATCH(1,('Margin Guidence Table'!$A$1:$A$10000=FG17)*('Margin Guidence Table'!$I$1:$I$10000&lt;=ROUND($EY$3,0))*('Margin Guidence Table'!$J$1:$J$10000&gt;=ROUND($EY$3,0)),0),MATCH("DEFAULT_SALES_LBS",'Margin Guidence Table'!$A$1:$AG$1,0))),0))</f>
        <v>0</v>
      </c>
      <c r="FL17" s="784">
        <f t="array" ref="FL17">IF('Customer Inputs'!$W$10="End",0,IFERROR(IF($FI17="SEGMENT",INDEX('Margin Guidence Table'!$A$1:$AG$10000,MATCH(1,('Margin Guidence Table'!$A$1:$A$10000=FG17)*('Margin Guidence Table'!$I$1:$I$10000&lt;=ROUND($EY$3,0))*('Margin Guidence Table'!$J$1:$J$10000&gt;=ROUND($EY$3,0)),0),MATCH("MDA_MIN_MARGIN_GUIDENCE",'Margin Guidence Table'!$A$1:$AG$1,0)),INDEX('Margin Guidence Table'!$A$1:$AG$10000,MATCH(1,('Margin Guidence Table'!$A$1:$A$10000=FG17)*('Margin Guidence Table'!$I$1:$I$10000&lt;=ROUND($EY$3,0))*('Margin Guidence Table'!$J$1:$J$10000&gt;=ROUND($EY$3,0)),0),MATCH("DEFAULT_MDA_MIN_MARGIN_GUIDENCE",'Margin Guidence Table'!$A$1:$AG$1,0))),0))</f>
        <v>0</v>
      </c>
      <c r="FM17" s="784">
        <f t="array" ref="FM17">IF('Customer Inputs'!$W$10="End",0,IFERROR(IF($FI17="SEGMENT",INDEX('Margin Guidence Table'!$A$1:$AG$10000,MATCH(1,('Margin Guidence Table'!$A$1:$A$10000=FG17)*('Margin Guidence Table'!$I$1:$I$10000&lt;=ROUND($EY$3,0))*('Margin Guidence Table'!$J$1:$J$10000&gt;=ROUND($EY$3,0)),0),MATCH("MDA_MEDIAN_MARGIN_GUIDENCE",'Margin Guidence Table'!$A$1:$AG$1,0)),INDEX('Margin Guidence Table'!$A$1:$AG$10000,MATCH(1,('Margin Guidence Table'!$A$1:$A$10000=FG17)*('Margin Guidence Table'!$I$1:$I$10000&lt;=ROUND($EY$3,0))*('Margin Guidence Table'!$J$1:$J$10000&gt;=ROUND($EY$3,0)),0),MATCH("DEFAULT_MDA_MEDIAN_MARGIN_GUIDENCE",'Margin Guidence Table'!$A$1:$AG$1,0))),0))</f>
        <v>0</v>
      </c>
      <c r="FN17" s="784">
        <f t="array" ref="FN17">IF('Customer Inputs'!$W$10="End",0,IFERROR(IF($FI17="SEGMENT",INDEX('Margin Guidence Table'!$A$1:$AG$10000,MATCH(1,('Margin Guidence Table'!$A$1:$A$10000=FG17)*('Margin Guidence Table'!$I$1:$I$10000&lt;=ROUND($EY$3,0))*('Margin Guidence Table'!$J$1:$J$10000&gt;=ROUND($EY$3,0)),0),MATCH("MDA_MAX_MARGIN_GUIDENCE",'Margin Guidence Table'!$A$1:$AG$1,0)),INDEX('Margin Guidence Table'!$A$1:$AG$10000,MATCH(1,('Margin Guidence Table'!$A$1:$A$10000=FG17)*('Margin Guidence Table'!$I$1:$I$10000&lt;=ROUND($EY$3,0))*('Margin Guidence Table'!$J$1:$J$10000&gt;=ROUND($EY$3,0)),0),MATCH("DEFAULT_MDA_MAX_MARGIN_GUIDENCE",'Margin Guidence Table'!$A$1:$AG$1,0))),0))</f>
        <v>0</v>
      </c>
      <c r="FO17" s="784">
        <f t="array" ref="FO17">IF('Customer Inputs'!$W$10="End",0,IFERROR(IF($FI17="SEGMENT",INDEX('Margin Guidence Table'!$A$1:$AG$10000,MATCH(1,('Margin Guidence Table'!$A$1:$A$10000=FG17)*('Margin Guidence Table'!$I$1:$I$10000&lt;=ROUND($EY$3,0))*('Margin Guidence Table'!$J$1:$J$10000&gt;=ROUND($EY$3,0)),0),MATCH("PA_PCT_SALES",'Margin Guidence Table'!$A$1:$AG$1,0)),INDEX('Margin Guidence Table'!$A$1:$AG$10000,MATCH(1,('Margin Guidence Table'!$A$1:$A$10000=FG17)*('Margin Guidence Table'!$I$1:$I$10000&lt;=ROUND($EY$3,0))*('Margin Guidence Table'!$J$1:$J$10000&gt;=ROUND($EY$3,0)),0),MATCH("DEFAULT_PA_PCT_SALES",'Margin Guidence Table'!$A$1:$AG$1,0))),0))</f>
        <v>0</v>
      </c>
      <c r="FP17" s="784">
        <f t="array" ref="FP17">IF('Customer Inputs'!$W$10="End",0,IFERROR(IF($FI17="SEGMENT",INDEX('Margin Guidence Table'!$A$1:$AG$10000,MATCH(1,('Margin Guidence Table'!$A$1:$A$10000=FG17)*('Margin Guidence Table'!$I$1:$I$10000&lt;=ROUND($EY$3,0))*('Margin Guidence Table'!$J$1:$J$10000&gt;=ROUND($EY$3,0)),0),MATCH("SELF_FUND_PCT_SALES",'Margin Guidence Table'!$A$1:$AG$1,0)),INDEX('Margin Guidence Table'!$A$1:$AG$10000,MATCH(1,('Margin Guidence Table'!$A$1:$A$10000=FG17)*('Margin Guidence Table'!$I$1:$I$10000&lt;=ROUND($EY$3,0))*('Margin Guidence Table'!$J$1:$J$10000&gt;=ROUND($EY$3,0)),0),MATCH("DEFAULT_SELF_FUND_PCT_SALES",'Margin Guidence Table'!$A$1:$AG$1,0))),0))</f>
        <v>0</v>
      </c>
      <c r="FQ17" s="784">
        <f t="array" ref="FQ17">IF('Customer Inputs'!$W$10="End",0,IF($EZ$2="Existing",IFERROR(SUMIFS('Existing Customers'!$V:$V,'Existing Customers'!$H:$H,$EX17,'Existing Customers'!$A:$A,$EY$1)/SUMIFS('Existing Customers'!$Q:$Q,'Existing Customers'!$H:$H,$EX17,'Existing Customers'!$A:$A,$EY$1),0),IFERROR(IF($FI17="SEGMENT",INDEX('Margin Guidence Table'!$A$1:$AG$10000,MATCH(1,('Margin Guidence Table'!$A$1:$A$10000=FG17)*('Margin Guidence Table'!$I$1:$I$10000&lt;=ROUND($EY$3,0))*('Margin Guidence Table'!$J$1:$J$10000&gt;=ROUND($EY$3,0)),0),MATCH("CIA_MEDIAN_MARGIN_GUIDENCE",'Margin Guidence Table'!$A$1:$AG$1,0)),INDEX('Margin Guidence Table'!$A$1:$AG$10000,MATCH(1,('Margin Guidence Table'!$A$1:$A$10000=FG17)*('Margin Guidence Table'!$I$1:$I$10000&lt;=ROUND($EY$3,0))*('Margin Guidence Table'!$J$1:$J$10000&gt;=ROUND($EY$3,0)),0),MATCH("DEFAULT_CIA_MEDIAN_MARGIN_GUIDENCE",'Margin Guidence Table'!$A$1:$AG$1,0))),0)))</f>
        <v>0</v>
      </c>
      <c r="FR17" s="126"/>
      <c r="FS17" s="18">
        <f t="array" ref="FS17">IF('Customer Inputs'!$W$11="End",0,IFERROR(IF($GF17="SEGMENT",INDEX('Margin Guidence Table'!$A$1:$AG$10000,MATCH(1,('Margin Guidence Table'!$A$1:$A$10000=$GD17)*('Margin Guidence Table'!$I$1:$I$10000&lt;=ROUND($FV$3,0))*('Margin Guidence Table'!$J$1:$J$10000&gt;=ROUND($FV$3,0)),0),MATCH("PCT_SALES",'Margin Guidence Table'!$A$1:$AG$1,0)),INDEX('Margin Guidence Table'!$A$1:$AG$10000,MATCH(1,('Margin Guidence Table'!$A$1:$A$10000=$GD17)*('Margin Guidence Table'!$I$1:$I$10000&lt;=ROUND($FV$3,0))*('Margin Guidence Table'!$J$1:$J$10000&gt;=ROUND($FV$3,0)),0),MATCH("DEFAULT_PCT_SALES",'Margin Guidence Table'!$A$1:$AG$1,0))),0))</f>
        <v>0</v>
      </c>
      <c r="FT17" s="297" t="e">
        <f t="shared" si="42"/>
        <v>#DIV/0!</v>
      </c>
      <c r="FU17" s="99" t="s">
        <v>102</v>
      </c>
      <c r="FV17" s="91">
        <f>IF('Customer Inputs'!$W$11="End",0,IFERROR(IF(AND($FV$2&lt;&gt;"Enter Spend&gt;&gt;&gt;",$FW$2="EXISTING"),SUMIFS('Existing Customers'!$Q:$Q,'Existing Customers'!$A:$A,$FV$1,'Existing Customers'!$H:$H,$FU17)*$FV$4,$FV$3*$FT17),0))</f>
        <v>0</v>
      </c>
      <c r="FW17" s="86">
        <f>IF('Customer Inputs'!$W$11="End",0,IFERROR(IF(AND($FV$2&lt;&gt;"Enter Spend&gt;&gt;&gt;",$FW$2="EXISTING"),SUMIFS('Existing Customers'!$N:$N,'Existing Customers'!$A:$A,$FV$1,'Existing Customers'!$H:$H,$FU17)*$FV$4,$FV17/$GG17),0))</f>
        <v>0</v>
      </c>
      <c r="FX17" s="92">
        <f>IF('Customer Inputs'!$W$11="End",0,IFERROR(IF(AND($FV$2&lt;&gt;"Enter Spend&gt;&gt;&gt;",$FW$2="EXISTING"),SUMIFS('Existing Customers'!$O:$O,'Existing Customers'!$H:$H,$FU17,'Existing Customers'!$A:$A,$FV$1)*$FV$4,$FW17*$FV$8),0))</f>
        <v>0</v>
      </c>
      <c r="FY17" s="92">
        <f>IF('Customer Inputs'!$W$11="End",0,IFERROR(IF(AND($FV$2&lt;&gt;"Enter Spend&gt;&gt;&gt;",$FW$2="EXISTING"),SUMIFS('Existing Customers'!$P:$P,'Existing Customers'!$A:$A,$FV$1,'Existing Customers'!$H:$H,$FU17)*$FV$4,$FV17/$GH17),0))</f>
        <v>0</v>
      </c>
      <c r="FZ17" s="93">
        <f>IF('Customer Inputs'!$W$11="End",0,IFERROR(IF(AND($FV$2&lt;&gt;"Enter Spend&gt;&gt;&gt;",$FW$2="EXISTING"),SUMIFS('Existing Customers'!$V:$V,'Existing Customers'!$H:$H,$FU17,'Existing Customers'!$A:$A,$FV$1)*$FV$4,0),0))</f>
        <v>0</v>
      </c>
      <c r="GA17" s="93">
        <f>IF('Customer Inputs'!$W$11="End",0,IFERROR(IF(AND($FV$2&lt;&gt;"Enter Spend&gt;&gt;&gt;",$FW$2="EXISTING"),SUMIFS('Existing Customers'!$R:$R,'Existing Customers'!$H:$H,$FU17,'Existing Customers'!$A:$A,$FV$1)*$FV$4,0),0))</f>
        <v>0</v>
      </c>
      <c r="GB17" s="780">
        <f>IF('Customer Inputs'!$W$11="End",0,IFERROR(IF(AND($FV$2&lt;&gt;"Enter Spend&gt;&gt;&gt;",$FW$2="EXISTING"),SUMIFS('Existing Customers'!$S:$S,'Existing Customers'!$H:$H,$FU17,'Existing Customers'!$A:$A,$FV$1)/SUMIFS('Existing Customers'!$Q:$Q,'Existing Customers'!$A:$A,$FV$1,'Existing Customers'!$H:$H,$FU17),GL17),0))</f>
        <v>0</v>
      </c>
      <c r="GC17" s="780">
        <f>IF('Customer Inputs'!$W$11="End",0,IFERROR(IF(AND($FV$2&lt;&gt;"Enter Spend&gt;&gt;&gt;",$FW$2="EXISTING"),SUMIFS('Existing Customers'!$U:$U,'Existing Customers'!$H:$H,$FU17,'Existing Customers'!$A:$A,$FV$1)/SUMIFS('Existing Customers'!$Q:$Q,'Existing Customers'!$A:$A,$FV$1,'Existing Customers'!$H:$H,$FU17),GM17),0))</f>
        <v>0</v>
      </c>
      <c r="GD17" s="783" t="e">
        <f>_xlfn.CONCAT('Customer Inputs'!$AH$11,"_",FU17)</f>
        <v>#N/A</v>
      </c>
      <c r="GE17" s="783">
        <f t="array" ref="GE17">IF('Customer Inputs'!$W$11="End",0,IFERROR(INDEX('Margin Guidence Table'!$A$1:$AG$10000,MATCH(1,('Margin Guidence Table'!$A$1:$A$10000=GD17)*('Margin Guidence Table'!$I$1:$I$10000&lt;=ROUND($FV$3,0))*('Margin Guidence Table'!$J$1:$J$10000&gt;=ROUND($FV$3,0)),0),MATCH("DATA_POINTS",'Margin Guidence Table'!$A$1:$AG$1,0)),0))</f>
        <v>0</v>
      </c>
      <c r="GF17" s="780" t="str">
        <f t="shared" si="43"/>
        <v>DEFAULT</v>
      </c>
      <c r="GG17" s="780">
        <f t="array" ref="GG17">IF('Customer Inputs'!$W$11="End",0,IFERROR(IF($GF17="SEGMENT",INDEX('Margin Guidence Table'!$A$1:$AG$10000,MATCH(1,('Margin Guidence Table'!$A$1:$A$10000=GD17)*('Margin Guidence Table'!$I$1:$I$10000&lt;=ROUND($FV$3,0))*('Margin Guidence Table'!$J$1:$J$10000&gt;=ROUND($FV$3,0)),0),MATCH("SALES_CASE",'Margin Guidence Table'!$A$1:$AG$1,0)),INDEX('Margin Guidence Table'!$A$1:$AG$10000,MATCH(1,('Margin Guidence Table'!$A$1:$A$10000=GD17)*('Margin Guidence Table'!$I$1:$I$10000&lt;=ROUND($FV$3,0))*('Margin Guidence Table'!$J$1:$J$10000&gt;=ROUND($FV$3,0)),0),MATCH("DEFAULT_SALES_CASE",'Margin Guidence Table'!$A$1:$AG$1,0))),0))</f>
        <v>0</v>
      </c>
      <c r="GH17" s="780">
        <f t="array" ref="GH17">IF('Customer Inputs'!$W$11="End",0,IFERROR(IF($GF17="SEGMENT",INDEX('Margin Guidence Table'!$A$1:$AG$10000,MATCH(1,('Margin Guidence Table'!$A$1:$A$10000=GD17)*('Margin Guidence Table'!$I$1:$I$10000&lt;=ROUND($FV$3,0))*('Margin Guidence Table'!$J$1:$J$10000&gt;=ROUND($FV$3,0)),0),MATCH("SALES_LBS",'Margin Guidence Table'!$A$1:$AG$1,0)),INDEX('Margin Guidence Table'!$A$1:$AG$10000,MATCH(1,('Margin Guidence Table'!$A$1:$A$10000=GD17)*('Margin Guidence Table'!$I$1:$I$10000&lt;=ROUND($FV$3,0))*('Margin Guidence Table'!$J$1:$J$10000&gt;=ROUND($FV$3,0)),0),MATCH("DEFAULT_SALES_LBS",'Margin Guidence Table'!$A$1:$AG$1,0))),0))</f>
        <v>0</v>
      </c>
      <c r="GI17" s="784">
        <f t="array" ref="GI17">IF('Customer Inputs'!$W$11="End",0,IFERROR(IF($GF17="SEGMENT",INDEX('Margin Guidence Table'!$A$1:$AG$10000,MATCH(1,('Margin Guidence Table'!$A$1:$A$10000=GD17)*('Margin Guidence Table'!$I$1:$I$10000&lt;=ROUND($FV$3,0))*('Margin Guidence Table'!$J$1:$J$10000&gt;=ROUND($FV$3,0)),0),MATCH("MDA_MIN_MARGIN_GUIDENCE",'Margin Guidence Table'!$A$1:$AG$1,0)),INDEX('Margin Guidence Table'!$A$1:$AG$10000,MATCH(1,('Margin Guidence Table'!$A$1:$A$10000=GD17)*('Margin Guidence Table'!$I$1:$I$10000&lt;=ROUND($FV$3,0))*('Margin Guidence Table'!$J$1:$J$10000&gt;=ROUND($FV$3,0)),0),MATCH("DEFAULT_MDA_MIN_MARGIN_GUIDENCE",'Margin Guidence Table'!$A$1:$AG$1,0))),0))</f>
        <v>0</v>
      </c>
      <c r="GJ17" s="784">
        <f t="array" ref="GJ17">IF('Customer Inputs'!$W$11="End",0,IFERROR(IF($GF17="SEGMENT",INDEX('Margin Guidence Table'!$A$1:$AG$10000,MATCH(1,('Margin Guidence Table'!$A$1:$A$10000=GD17)*('Margin Guidence Table'!$I$1:$I$10000&lt;=ROUND($FV$3,0))*('Margin Guidence Table'!$J$1:$J$10000&gt;=ROUND($FV$3,0)),0),MATCH("MDA_MEDIAN_MARGIN_GUIDENCE",'Margin Guidence Table'!$A$1:$AG$1,0)),INDEX('Margin Guidence Table'!$A$1:$AG$10000,MATCH(1,('Margin Guidence Table'!$A$1:$A$10000=GD17)*('Margin Guidence Table'!$I$1:$I$10000&lt;=ROUND($FV$3,0))*('Margin Guidence Table'!$J$1:$J$10000&gt;=ROUND($FV$3,0)),0),MATCH("DEFAULT_MDA_MEDIAN_MARGIN_GUIDENCE",'Margin Guidence Table'!$A$1:$AG$1,0))),0))</f>
        <v>0</v>
      </c>
      <c r="GK17" s="784">
        <f t="array" ref="GK17">IF('Customer Inputs'!$W$11="End",0,IFERROR(IF($GF17="SEGMENT",INDEX('Margin Guidence Table'!$A$1:$AG$10000,MATCH(1,('Margin Guidence Table'!$A$1:$A$10000=GD17)*('Margin Guidence Table'!$I$1:$I$10000&lt;=ROUND($FV$3,0))*('Margin Guidence Table'!$J$1:$J$10000&gt;=ROUND($FV$3,0)),0),MATCH("MDA_MAX_MARGIN_GUIDENCE",'Margin Guidence Table'!$A$1:$AG$1,0)),INDEX('Margin Guidence Table'!$A$1:$AG$10000,MATCH(1,('Margin Guidence Table'!$A$1:$A$10000=GD17)*('Margin Guidence Table'!$I$1:$I$10000&lt;=ROUND($FV$3,0))*('Margin Guidence Table'!$J$1:$J$10000&gt;=ROUND($FV$3,0)),0),MATCH("DEFAULT_MDA_MAX_MARGIN_GUIDENCE",'Margin Guidence Table'!$A$1:$AG$1,0))),0))</f>
        <v>0</v>
      </c>
      <c r="GL17" s="784">
        <f t="array" ref="GL17">IF('Customer Inputs'!$W$11="End",0,IFERROR(IF($GF17="SEGMENT",INDEX('Margin Guidence Table'!$A$1:$AG$10000,MATCH(1,('Margin Guidence Table'!$A$1:$A$10000=GD17)*('Margin Guidence Table'!$I$1:$I$10000&lt;=ROUND($FV$3,0))*('Margin Guidence Table'!$J$1:$J$10000&gt;=ROUND($FV$3,0)),0),MATCH("PA_PCT_SALES",'Margin Guidence Table'!$A$1:$AG$1,0)),INDEX('Margin Guidence Table'!$A$1:$AG$10000,MATCH(1,('Margin Guidence Table'!$A$1:$A$10000=GD17)*('Margin Guidence Table'!$I$1:$I$10000&lt;=ROUND($FV$3,0))*('Margin Guidence Table'!$J$1:$J$10000&gt;=ROUND($FV$3,0)),0),MATCH("DEFAULT_PA_PCT_SALES",'Margin Guidence Table'!$A$1:$AG$1,0))),0))</f>
        <v>0</v>
      </c>
      <c r="GM17" s="784">
        <f t="array" ref="GM17">IF('Customer Inputs'!$W$11="End",0,IFERROR(IF($GF17="SEGMENT",INDEX('Margin Guidence Table'!$A$1:$AG$10000,MATCH(1,('Margin Guidence Table'!$A$1:$A$10000=GD17)*('Margin Guidence Table'!$I$1:$I$10000&lt;=ROUND($FV$3,0))*('Margin Guidence Table'!$J$1:$J$10000&gt;=ROUND($FV$3,0)),0),MATCH("SELF_FUND_PCT_SALES",'Margin Guidence Table'!$A$1:$AG$1,0)),INDEX('Margin Guidence Table'!$A$1:$AG$10000,MATCH(1,('Margin Guidence Table'!$A$1:$A$10000=GD17)*('Margin Guidence Table'!$I$1:$I$10000&lt;=ROUND($FV$3,0))*('Margin Guidence Table'!$J$1:$J$10000&gt;=ROUND($FV$3,0)),0),MATCH("DEFAULT_SELF_FUND_PCT_SALES",'Margin Guidence Table'!$A$1:$AG$1,0))),0))</f>
        <v>0</v>
      </c>
      <c r="GN17" s="784">
        <f t="array" ref="GN17">IF('Customer Inputs'!$W$11="End",0,IF($FW$2="Existing",IFERROR(SUMIFS('Existing Customers'!$V:$V,'Existing Customers'!$H:$H,$FU17,'Existing Customers'!$A:$A,$FV$1)/SUMIFS('Existing Customers'!$Q:$Q,'Existing Customers'!$H:$H,$FU17,'Existing Customers'!$A:$A,$FV$1),0),IFERROR(IF($GF17="SEGMENT",INDEX('Margin Guidence Table'!$A$1:$AG$10000,MATCH(1,('Margin Guidence Table'!$A$1:$A$10000=GD17)*('Margin Guidence Table'!$I$1:$I$10000&lt;=ROUND($FV$3,0))*('Margin Guidence Table'!$J$1:$J$10000&gt;=ROUND($FV$3,0)),0),MATCH("CIA_MEDIAN_MARGIN_GUIDENCE",'Margin Guidence Table'!$A$1:$AG$1,0)),INDEX('Margin Guidence Table'!$A$1:$AG$10000,MATCH(1,('Margin Guidence Table'!$A$1:$A$10000=GD17)*('Margin Guidence Table'!$I$1:$I$10000&lt;=ROUND($FV$3,0))*('Margin Guidence Table'!$J$1:$J$10000&gt;=ROUND($FV$3,0)),0),MATCH("DEFAULT_CIA_MEDIAN_MARGIN_GUIDENCE",'Margin Guidence Table'!$A$1:$AG$1,0))),0)))</f>
        <v>0</v>
      </c>
      <c r="GO17" s="126"/>
      <c r="GP17" s="18">
        <f t="array" ref="GP17">IF('Customer Inputs'!$W$12="End",0,IFERROR(IF($HC17="SEGMENT",INDEX('Margin Guidence Table'!$A$1:$AG$10000,MATCH(1,('Margin Guidence Table'!$A$1:$A$10000=$HA17)*('Margin Guidence Table'!$I$1:$I$10000&lt;=ROUND($GS$3,0))*('Margin Guidence Table'!$J$1:$J$10000&gt;=ROUND($GS$3,0)),0),MATCH("PCT_SALES",'Margin Guidence Table'!$A$1:$AG$1,0)),INDEX('Margin Guidence Table'!$A$1:$AG$10000,MATCH(1,('Margin Guidence Table'!$A$1:$A$10000=$HA17)*('Margin Guidence Table'!$I$1:$I$10000&lt;=ROUND($GS$3,0))*('Margin Guidence Table'!$J$1:$J$10000&gt;=ROUND($GS$3,0)),0),MATCH("DEFAULT_PCT_SALES",'Margin Guidence Table'!$A$1:$AG$1,0))),0))</f>
        <v>0</v>
      </c>
      <c r="GQ17" s="297" t="e">
        <f t="shared" si="44"/>
        <v>#DIV/0!</v>
      </c>
      <c r="GR17" s="99" t="s">
        <v>102</v>
      </c>
      <c r="GS17" s="91">
        <f>IF('Customer Inputs'!$W$12="End",0,IFERROR(IF(AND($GS$2&lt;&gt;"Enter Spend&gt;&gt;&gt;",$GT$2="EXISTING"),SUMIFS('Existing Customers'!$Q:$Q,'Existing Customers'!$A:$A,$GS$1,'Existing Customers'!$H:$H,$GR17)*$GS$4,$GS$3*$GQ17),0))</f>
        <v>0</v>
      </c>
      <c r="GT17" s="86">
        <f>IF('Customer Inputs'!$W$12="End",0,IFERROR(IF(AND($GS$2&lt;&gt;"Enter Spend&gt;&gt;&gt;",$GT$2="EXISTING"),SUMIFS('Existing Customers'!$N:$N,'Existing Customers'!$A:$A,$GS$1,'Existing Customers'!$H:$H,$GR17)*$GS$4,$GS17/$HD17),0))</f>
        <v>0</v>
      </c>
      <c r="GU17" s="92">
        <f>IF('Customer Inputs'!$W$12="End",0,IFERROR(IF(AND($GS$2&lt;&gt;"Enter Spend&gt;&gt;&gt;",$GT$2="EXISTING"),SUMIFS('Existing Customers'!$O:$O,'Existing Customers'!$H:$H,$GR17,'Existing Customers'!$A:$A,$GS$1)*$GS$4,$GT17*$GS$8),0))</f>
        <v>0</v>
      </c>
      <c r="GV17" s="92">
        <f>IF('Customer Inputs'!$W$12="End",0,IFERROR(IF(AND($GS$2&lt;&gt;"Enter Spend&gt;&gt;&gt;",$GT$2="EXISTING"),SUMIFS('Existing Customers'!$P:$P,'Existing Customers'!$A:$A,$GS$1,'Existing Customers'!$H:$H,$GR17)*$GS$4,$GS17/$HE17),0))</f>
        <v>0</v>
      </c>
      <c r="GW17" s="93">
        <f>IF('Customer Inputs'!$W$12="End",0,IFERROR(IF(AND($GS$2&lt;&gt;"Enter Spend&gt;&gt;&gt;",$GT$2="EXISTING"),SUMIFS('Existing Customers'!$V:$V,'Existing Customers'!$H:$H,$GR17,'Existing Customers'!$A:$A,$GS$1)*$GS$4,0),0))</f>
        <v>0</v>
      </c>
      <c r="GX17" s="93">
        <f>IF('Customer Inputs'!$W$12="End",0,IFERROR(IF(AND($GS$2&lt;&gt;"Enter Spend&gt;&gt;&gt;",$GT$2="EXISTING"),SUMIFS('Existing Customers'!$R:$R,'Existing Customers'!$H:$H,$GR17,'Existing Customers'!$A:$A,$GS$1)*$GS$4,0),0))</f>
        <v>0</v>
      </c>
      <c r="GY17" s="780">
        <f>IF('Customer Inputs'!$W$12="End",0,IFERROR(IF(AND($GS$2&lt;&gt;"Enter Spend&gt;&gt;&gt;",$GT$2="EXISTING"),SUMIFS('Existing Customers'!$S:$S,'Existing Customers'!$H:$H,$GR17,'Existing Customers'!$A:$A,$GS$1)/SUMIFS('Existing Customers'!$Q:$Q,'Existing Customers'!$A:$A,$GS$1,'Existing Customers'!$H:$H,$GR17),HI17),0))</f>
        <v>0</v>
      </c>
      <c r="GZ17" s="780">
        <f>IF('Customer Inputs'!$W$12="End",0,IFERROR(IF(AND($GS$2&lt;&gt;"Enter Spend&gt;&gt;&gt;",$GT$2="EXISTING"),SUMIFS('Existing Customers'!$U:$U,'Existing Customers'!$H:$H,$GR17,'Existing Customers'!$A:$A,$GS$1)/SUMIFS('Existing Customers'!$Q:$Q,'Existing Customers'!$A:$A,$GS$1,'Existing Customers'!$H:$H,$GR17),HJ17),0))</f>
        <v>0</v>
      </c>
      <c r="HA17" s="783" t="e">
        <f>_xlfn.CONCAT('Customer Inputs'!$AH$12,"_",GR17)</f>
        <v>#N/A</v>
      </c>
      <c r="HB17" s="783">
        <f t="array" ref="HB17">IF('Customer Inputs'!$W$12="End",0,IFERROR(INDEX('Margin Guidence Table'!$A$1:$AG$10000,MATCH(1,('Margin Guidence Table'!$A$1:$A$10000=HA17)*('Margin Guidence Table'!$I$1:$I$10000&lt;=ROUND($GS$3,0))*('Margin Guidence Table'!$J$1:$J$10000&gt;=ROUND($GS$3,0)),0),MATCH("DATA_POINTS",'Margin Guidence Table'!$A$1:$AG$1,0)),0))</f>
        <v>0</v>
      </c>
      <c r="HC17" s="780" t="str">
        <f t="shared" si="45"/>
        <v>DEFAULT</v>
      </c>
      <c r="HD17" s="780">
        <f t="array" ref="HD17">IF('Customer Inputs'!$W$12="End",0,IFERROR(IF($HC17="SEGMENT",INDEX('Margin Guidence Table'!$A$1:$AG$10000,MATCH(1,('Margin Guidence Table'!$A$1:$A$10000=HA17)*('Margin Guidence Table'!$I$1:$I$10000&lt;=ROUND($GS$3,0))*('Margin Guidence Table'!$J$1:$J$10000&gt;=ROUND($GS$3,0)),0),MATCH("SALES_CASE",'Margin Guidence Table'!$A$1:$AG$1,0)),INDEX('Margin Guidence Table'!$A$1:$AG$10000,MATCH(1,('Margin Guidence Table'!$A$1:$A$10000=HA17)*('Margin Guidence Table'!$I$1:$I$10000&lt;=ROUND($GS$3,0))*('Margin Guidence Table'!$J$1:$J$10000&gt;=ROUND($GS$3,0)),0),MATCH("DEFAULT_SALES_CASE",'Margin Guidence Table'!$A$1:$AG$1,0))),0))</f>
        <v>0</v>
      </c>
      <c r="HE17" s="780">
        <f t="array" ref="HE17">IF('Customer Inputs'!$W$12="End",0,IFERROR(IF($HC17="SEGMENT",INDEX('Margin Guidence Table'!$A$1:$AG$10000,MATCH(1,('Margin Guidence Table'!$A$1:$A$10000=HA17)*('Margin Guidence Table'!$I$1:$I$10000&lt;=ROUND($GS$3,0))*('Margin Guidence Table'!$J$1:$J$10000&gt;=ROUND($GS$3,0)),0),MATCH("SALES_LBS",'Margin Guidence Table'!$A$1:$AG$1,0)),INDEX('Margin Guidence Table'!$A$1:$AG$10000,MATCH(1,('Margin Guidence Table'!$A$1:$A$10000=HA17)*('Margin Guidence Table'!$I$1:$I$10000&lt;=ROUND($GS$3,0))*('Margin Guidence Table'!$J$1:$J$10000&gt;=ROUND($GS$3,0)),0),MATCH("DEFAULT_SALES_LBS",'Margin Guidence Table'!$A$1:$AG$1,0))),0))</f>
        <v>0</v>
      </c>
      <c r="HF17" s="784">
        <f t="array" ref="HF17">IF('Customer Inputs'!$W$12="End",0,IFERROR(IF($HC17="SEGMENT",INDEX('Margin Guidence Table'!$A$1:$AG$10000,MATCH(1,('Margin Guidence Table'!$A$1:$A$10000=HA17)*('Margin Guidence Table'!$I$1:$I$10000&lt;=ROUND($GS$3,0))*('Margin Guidence Table'!$J$1:$J$10000&gt;=ROUND($GS$3,0)),0),MATCH("MDA_MIN_MARGIN_GUIDENCE",'Margin Guidence Table'!$A$1:$AG$1,0)),INDEX('Margin Guidence Table'!$A$1:$AG$10000,MATCH(1,('Margin Guidence Table'!$A$1:$A$10000=HA17)*('Margin Guidence Table'!$I$1:$I$10000&lt;=ROUND($GS$3,0))*('Margin Guidence Table'!$J$1:$J$10000&gt;=ROUND($GS$3,0)),0),MATCH("DEFAULT_MDA_MIN_MARGIN_GUIDENCE",'Margin Guidence Table'!$A$1:$AG$1,0))),0))</f>
        <v>0</v>
      </c>
      <c r="HG17" s="784">
        <f t="array" ref="HG17">IF('Customer Inputs'!$W$12="End",0,IFERROR(IF($HC17="SEGMENT",INDEX('Margin Guidence Table'!$A$1:$AG$10000,MATCH(1,('Margin Guidence Table'!$A$1:$A$10000=HA17)*('Margin Guidence Table'!$I$1:$I$10000&lt;=ROUND($GS$3,0))*('Margin Guidence Table'!$J$1:$J$10000&gt;=ROUND($GS$3,0)),0),MATCH("MDA_MEDIAN_MARGIN_GUIDENCE",'Margin Guidence Table'!$A$1:$AG$1,0)),INDEX('Margin Guidence Table'!$A$1:$AG$10000,MATCH(1,('Margin Guidence Table'!$A$1:$A$10000=HA17)*('Margin Guidence Table'!$I$1:$I$10000&lt;=ROUND($GS$3,0))*('Margin Guidence Table'!$J$1:$J$10000&gt;=ROUND($GS$3,0)),0),MATCH("DEFAULT_MDA_MEDIAN_MARGIN_GUIDENCE",'Margin Guidence Table'!$A$1:$AG$1,0))),0))</f>
        <v>0</v>
      </c>
      <c r="HH17" s="784">
        <f t="array" ref="HH17">IF('Customer Inputs'!$W$12="End",0,IFERROR(IF($HC17="SEGMENT",INDEX('Margin Guidence Table'!$A$1:$AG$10000,MATCH(1,('Margin Guidence Table'!$A$1:$A$10000=HA17)*('Margin Guidence Table'!$I$1:$I$10000&lt;=ROUND($GS$3,0))*('Margin Guidence Table'!$J$1:$J$10000&gt;=ROUND($GS$3,0)),0),MATCH("MDA_MAX_MARGIN_GUIDENCE",'Margin Guidence Table'!$A$1:$AG$1,0)),INDEX('Margin Guidence Table'!$A$1:$AG$10000,MATCH(1,('Margin Guidence Table'!$A$1:$A$10000=HA17)*('Margin Guidence Table'!$I$1:$I$10000&lt;=ROUND($GS$3,0))*('Margin Guidence Table'!$J$1:$J$10000&gt;=ROUND($GS$3,0)),0),MATCH("DEFAULT_MDA_MAX_MARGIN_GUIDENCE",'Margin Guidence Table'!$A$1:$AG$1,0))),0))</f>
        <v>0</v>
      </c>
      <c r="HI17" s="784">
        <f t="array" ref="HI17">IF('Customer Inputs'!$W$12="End",0,IFERROR(IF($HC17="SEGMENT",INDEX('Margin Guidence Table'!$A$1:$AG$10000,MATCH(1,('Margin Guidence Table'!$A$1:$A$10000=HA17)*('Margin Guidence Table'!$I$1:$I$10000&lt;=ROUND($GS$3,0))*('Margin Guidence Table'!$J$1:$J$10000&gt;=ROUND($GS$3,0)),0),MATCH("PA_PCT_SALES",'Margin Guidence Table'!$A$1:$AG$1,0)),INDEX('Margin Guidence Table'!$A$1:$AG$10000,MATCH(1,('Margin Guidence Table'!$A$1:$A$10000=HA17)*('Margin Guidence Table'!$I$1:$I$10000&lt;=ROUND($GS$3,0))*('Margin Guidence Table'!$J$1:$J$10000&gt;=ROUND($GS$3,0)),0),MATCH("DEFAULT_PA_PCT_SALES",'Margin Guidence Table'!$A$1:$AG$1,0))),0))</f>
        <v>0</v>
      </c>
      <c r="HJ17" s="784">
        <f t="array" ref="HJ17">IF('Customer Inputs'!$W$12="End",0,IFERROR(IF($HC17="SEGMENT",INDEX('Margin Guidence Table'!$A$1:$AG$10000,MATCH(1,('Margin Guidence Table'!$A$1:$A$10000=HA17)*('Margin Guidence Table'!$I$1:$I$10000&lt;=ROUND($GS$3,0))*('Margin Guidence Table'!$J$1:$J$10000&gt;=ROUND($GS$3,0)),0),MATCH("SELF_FUND_PCT_SALES",'Margin Guidence Table'!$A$1:$AG$1,0)),INDEX('Margin Guidence Table'!$A$1:$AG$10000,MATCH(1,('Margin Guidence Table'!$A$1:$A$10000=HA17)*('Margin Guidence Table'!$I$1:$I$10000&lt;=ROUND($GS$3,0))*('Margin Guidence Table'!$J$1:$J$10000&gt;=ROUND($GS$3,0)),0),MATCH("DEFAULT_SELF_FUND_PCT_SALES",'Margin Guidence Table'!$A$1:$AG$1,0))),0))</f>
        <v>0</v>
      </c>
      <c r="HK17" s="784">
        <f t="array" ref="HK17">IF('Customer Inputs'!$W$12="End",0,IF($GT$2="Existing",IFERROR(SUMIFS('Existing Customers'!$V:$V,'Existing Customers'!$H:$H,$GR17,'Existing Customers'!$A:$A,$GS$1)/SUMIFS('Existing Customers'!$Q:$Q,'Existing Customers'!$H:$H,$GR17,'Existing Customers'!$A:$A,$GS$1),0),IFERROR(IF($HC17="SEGMENT",INDEX('Margin Guidence Table'!$A$1:$AG$10000,MATCH(1,('Margin Guidence Table'!$A$1:$A$10000=HA17)*('Margin Guidence Table'!$I$1:$I$10000&lt;=ROUND($GS$3,0))*('Margin Guidence Table'!$J$1:$J$10000&gt;=ROUND($GS$3,0)),0),MATCH("CIA_MEDIAN_MARGIN_GUIDENCE",'Margin Guidence Table'!$A$1:$AG$1,0)),INDEX('Margin Guidence Table'!$A$1:$AG$10000,MATCH(1,('Margin Guidence Table'!$A$1:$A$10000=HA17)*('Margin Guidence Table'!$I$1:$I$10000&lt;=ROUND($GS$3,0))*('Margin Guidence Table'!$J$1:$J$10000&gt;=ROUND($GS$3,0)),0),MATCH("DEFAULT_CIA_MEDIAN_MARGIN_GUIDENCE",'Margin Guidence Table'!$A$1:$AG$1,0))),0)))</f>
        <v>0</v>
      </c>
      <c r="HL17" s="126"/>
      <c r="HM17" s="18">
        <f t="array" ref="HM17">IF('Customer Inputs'!$W$13="End",0,IFERROR(IF($HZ17="SEGMENT",INDEX('Margin Guidence Table'!$A$1:$AG$10000,MATCH(1,('Margin Guidence Table'!$A$1:$A$10000=$HX17)*('Margin Guidence Table'!$I$1:$I$10000&lt;=ROUND($HP$3,0))*('Margin Guidence Table'!$J$1:$J$10000&gt;=ROUND($HP$3,0)),0),MATCH("PCT_SALES",'Margin Guidence Table'!$A$1:$AG$1,0)),INDEX('Margin Guidence Table'!$A$1:$AG$10000,MATCH(1,('Margin Guidence Table'!$A$1:$A$10000=$HX17)*('Margin Guidence Table'!$I$1:$I$10000&lt;=ROUND($HP$3,0))*('Margin Guidence Table'!$J$1:$J$10000&gt;=ROUND($HP$3,0)),0),MATCH("DEFAULT_PCT_SALES",'Margin Guidence Table'!$A$1:$AG$1,0))),0))</f>
        <v>0</v>
      </c>
      <c r="HN17" s="297" t="e">
        <f t="shared" si="46"/>
        <v>#DIV/0!</v>
      </c>
      <c r="HO17" s="99" t="s">
        <v>102</v>
      </c>
      <c r="HP17" s="91">
        <f>IF('Customer Inputs'!$W$13="End",0,IFERROR(IF(AND($HP$2&lt;&gt;"Enter Spend&gt;&gt;&gt;",$HQ$2="EXISTING"),SUMIFS('Existing Customers'!$Q:$Q,'Existing Customers'!$A:$A,$HP$1,'Existing Customers'!$H:$H,$HO17)*$HP$4,$HP$3*$HN17),0))</f>
        <v>0</v>
      </c>
      <c r="HQ17" s="86">
        <f>IF('Customer Inputs'!$W$13="End",0,IFERROR(IF(AND($HP$2&lt;&gt;"Enter Spend&gt;&gt;&gt;",$HQ$2="EXISTING"),SUMIFS('Existing Customers'!$N:$N,'Existing Customers'!$A:$A,$HP$1,'Existing Customers'!$H:$H,$HO17)*$HP$4,$HP17/$IA17),0))</f>
        <v>0</v>
      </c>
      <c r="HR17" s="92">
        <f>IF('Customer Inputs'!$W$13="End",0,IFERROR(IF(AND($HP$2&lt;&gt;"Enter Spend&gt;&gt;&gt;",$HQ$2="EXISTING"),SUMIFS('Existing Customers'!$O:$O,'Existing Customers'!$H:$H,$HO17,'Existing Customers'!$A:$A,$HP$1)*$HP$4,$HQ17*$HP$8),0))</f>
        <v>0</v>
      </c>
      <c r="HS17" s="92">
        <f>IF('Customer Inputs'!$W$13="End",0,IFERROR(IF(AND($HP$2&lt;&gt;"Enter Spend&gt;&gt;&gt;",$HQ$2="EXISTING"),SUMIFS('Existing Customers'!$P:$P,'Existing Customers'!$A:$A,$HP$1,'Existing Customers'!$H:$H,$HO17)*$HP$4,$HP17/$IB17),0))</f>
        <v>0</v>
      </c>
      <c r="HT17" s="93">
        <f>IF('Customer Inputs'!$W$13="End",0,IFERROR(IF(AND($HP$2&lt;&gt;"Enter Spend&gt;&gt;&gt;",$HQ$2="EXISTING"),SUMIFS('Existing Customers'!$V:$V,'Existing Customers'!$H:$H,$HO17,'Existing Customers'!$A:$A,$HP$1)*$HP$4,0),0))</f>
        <v>0</v>
      </c>
      <c r="HU17" s="93">
        <f>IF('Customer Inputs'!$W$13="End",0,IFERROR(IF(AND($HP$2&lt;&gt;"Enter Spend&gt;&gt;&gt;",$HQ$2="EXISTING"),SUMIFS('Existing Customers'!$R:$R,'Existing Customers'!$H:$H,$HO17,'Existing Customers'!$A:$A,$HP$1)*$HP$4,0),0))</f>
        <v>0</v>
      </c>
      <c r="HV17" s="780">
        <f>IF('Customer Inputs'!$W$13="End",0,IFERROR(IF(AND($HP$2&lt;&gt;"Enter Spend&gt;&gt;&gt;",$HQ$2="EXISTING"),SUMIFS('Existing Customers'!$S:$S,'Existing Customers'!$H:$H,$HO17,'Existing Customers'!$A:$A,$HP$1)/SUMIFS('Existing Customers'!$Q:$Q,'Existing Customers'!$A:$A,$HP$1,'Existing Customers'!$H:$H,$HO17),IF17),0))</f>
        <v>0</v>
      </c>
      <c r="HW17" s="780">
        <f>IF('Customer Inputs'!$W$13="End",0,IFERROR(IF(AND($HP$2&lt;&gt;"Enter Spend&gt;&gt;&gt;",$HQ$2="EXISTING"),SUMIFS('Existing Customers'!$U:$U,'Existing Customers'!$H:$H,$HO17,'Existing Customers'!$A:$A,$HP$1)/SUMIFS('Existing Customers'!$Q:$Q,'Existing Customers'!$A:$A,$HP$1,'Existing Customers'!$H:$H,$HO17),IG17),0))</f>
        <v>0</v>
      </c>
      <c r="HX17" s="783" t="e">
        <f>_xlfn.CONCAT('Customer Inputs'!$AH$13,"_",HO17)</f>
        <v>#N/A</v>
      </c>
      <c r="HY17" s="783">
        <f t="array" ref="HY17">IF('Customer Inputs'!$W$13="End",0,IFERROR(INDEX('Margin Guidence Table'!$A$1:$AG$10000,MATCH(1,('Margin Guidence Table'!$A$1:$A$10000=HX17)*('Margin Guidence Table'!$I$1:$I$10000&lt;=ROUND($HP$3,0))*('Margin Guidence Table'!$J$1:$J$10000&gt;=ROUND($HP$3,0)),0),MATCH("DATA_POINTS",'Margin Guidence Table'!$A$1:$AG$1,0)),0))</f>
        <v>0</v>
      </c>
      <c r="HZ17" s="780" t="str">
        <f t="shared" si="47"/>
        <v>DEFAULT</v>
      </c>
      <c r="IA17" s="780">
        <f t="array" ref="IA17">IF('Customer Inputs'!$W$13="End",0,IFERROR(IF($HZ17="SEGMENT",INDEX('Margin Guidence Table'!$A$1:$AG$10000,MATCH(1,('Margin Guidence Table'!$A$1:$A$10000=HX17)*('Margin Guidence Table'!$I$1:$I$10000&lt;=ROUND($HP$3,0))*('Margin Guidence Table'!$J$1:$J$10000&gt;=ROUND($HP$3,0)),0),MATCH("SALES_CASE",'Margin Guidence Table'!$A$1:$AG$1,0)),INDEX('Margin Guidence Table'!$A$1:$AG$10000,MATCH(1,('Margin Guidence Table'!$A$1:$A$10000=HX17)*('Margin Guidence Table'!$I$1:$I$10000&lt;=ROUND($HP$3,0))*('Margin Guidence Table'!$J$1:$J$10000&gt;=ROUND($HP$3,0)),0),MATCH("DEFAULT_SALES_CASE",'Margin Guidence Table'!$A$1:$AG$1,0))),0))</f>
        <v>0</v>
      </c>
      <c r="IB17" s="780">
        <f t="array" ref="IB17">IF('Customer Inputs'!$W$13="End",0,IFERROR(IF($HZ17="SEGMENT",INDEX('Margin Guidence Table'!$A$1:$AG$10000,MATCH(1,('Margin Guidence Table'!$A$1:$A$10000=HX17)*('Margin Guidence Table'!$I$1:$I$10000&lt;=ROUND($HP$3,0))*('Margin Guidence Table'!$J$1:$J$10000&gt;=ROUND($HP$3,0)),0),MATCH("SALES_LBS",'Margin Guidence Table'!$A$1:$AG$1,0)),INDEX('Margin Guidence Table'!$A$1:$AG$10000,MATCH(1,('Margin Guidence Table'!$A$1:$A$10000=HX17)*('Margin Guidence Table'!$I$1:$I$10000&lt;=ROUND($HP$3,0))*('Margin Guidence Table'!$J$1:$J$10000&gt;=ROUND($HP$3,0)),0),MATCH("DEFAULT_SALES_LBS",'Margin Guidence Table'!$A$1:$AG$1,0))),0))</f>
        <v>0</v>
      </c>
      <c r="IC17" s="784">
        <f t="array" ref="IC17">IF('Customer Inputs'!$W$13="End",0,IFERROR(IF($HZ17="SEGMENT",INDEX('Margin Guidence Table'!$A$1:$AG$10000,MATCH(1,('Margin Guidence Table'!$A$1:$A$10000=HX17)*('Margin Guidence Table'!$I$1:$I$10000&lt;=ROUND($HP$3,0))*('Margin Guidence Table'!$J$1:$J$10000&gt;=ROUND($HP$3,0)),0),MATCH("MDA_MIN_MARGIN_GUIDENCE",'Margin Guidence Table'!$A$1:$AG$1,0)),INDEX('Margin Guidence Table'!$A$1:$AG$10000,MATCH(1,('Margin Guidence Table'!$A$1:$A$10000=HX17)*('Margin Guidence Table'!$I$1:$I$10000&lt;=ROUND($HP$3,0))*('Margin Guidence Table'!$J$1:$J$10000&gt;=ROUND($HP$3,0)),0),MATCH("DEFAULT_MDA_MIN_MARGIN_GUIDENCE",'Margin Guidence Table'!$A$1:$AG$1,0))),0))</f>
        <v>0</v>
      </c>
      <c r="ID17" s="784">
        <f t="array" ref="ID17">IF('Customer Inputs'!$W$13="End",0,IFERROR(IF($HZ17="SEGMENT",INDEX('Margin Guidence Table'!$A$1:$AG$10000,MATCH(1,('Margin Guidence Table'!$A$1:$A$10000=HX17)*('Margin Guidence Table'!$I$1:$I$10000&lt;=ROUND($HP$3,0))*('Margin Guidence Table'!$J$1:$J$10000&gt;=ROUND($HP$3,0)),0),MATCH("MDA_MEDIAN_MARGIN_GUIDENCE",'Margin Guidence Table'!$A$1:$AG$1,0)),INDEX('Margin Guidence Table'!$A$1:$AG$10000,MATCH(1,('Margin Guidence Table'!$A$1:$A$10000=HX17)*('Margin Guidence Table'!$I$1:$I$10000&lt;=ROUND($HP$3,0))*('Margin Guidence Table'!$J$1:$J$10000&gt;=ROUND($HP$3,0)),0),MATCH("DEFAULT_MDA_MEDIAN_MARGIN_GUIDENCE",'Margin Guidence Table'!$A$1:$AG$1,0))),0))</f>
        <v>0</v>
      </c>
      <c r="IE17" s="784">
        <f t="array" ref="IE17">IF('Customer Inputs'!$W$13="End",0,IFERROR(IF($HZ17="SEGMENT",INDEX('Margin Guidence Table'!$A$1:$AG$10000,MATCH(1,('Margin Guidence Table'!$A$1:$A$10000=HX17)*('Margin Guidence Table'!$I$1:$I$10000&lt;=ROUND($HP$3,0))*('Margin Guidence Table'!$J$1:$J$10000&gt;=ROUND($HP$3,0)),0),MATCH("MDA_MAX_MARGIN_GUIDENCE",'Margin Guidence Table'!$A$1:$AG$1,0)),INDEX('Margin Guidence Table'!$A$1:$AG$10000,MATCH(1,('Margin Guidence Table'!$A$1:$A$10000=HX17)*('Margin Guidence Table'!$I$1:$I$10000&lt;=ROUND($HP$3,0))*('Margin Guidence Table'!$J$1:$J$10000&gt;=ROUND($HP$3,0)),0),MATCH("DEFAULT_MDA_MAX_MARGIN_GUIDENCE",'Margin Guidence Table'!$A$1:$AG$1,0))),0))</f>
        <v>0</v>
      </c>
      <c r="IF17" s="784">
        <f t="array" ref="IF17">IF('Customer Inputs'!$W$13="End",0,IFERROR(IF($HZ17="SEGMENT",INDEX('Margin Guidence Table'!$A$1:$AG$10000,MATCH(1,('Margin Guidence Table'!$A$1:$A$10000=HX17)*('Margin Guidence Table'!$I$1:$I$10000&lt;=ROUND($HP$3,0))*('Margin Guidence Table'!$J$1:$J$10000&gt;=ROUND($HP$3,0)),0),MATCH("PA_PCT_SALES",'Margin Guidence Table'!$A$1:$AG$1,0)),INDEX('Margin Guidence Table'!$A$1:$AG$10000,MATCH(1,('Margin Guidence Table'!$A$1:$A$10000=HX17)*('Margin Guidence Table'!$I$1:$I$10000&lt;=ROUND($HP$3,0))*('Margin Guidence Table'!$J$1:$J$10000&gt;=ROUND($HP$3,0)),0),MATCH("DEFAULT_PA_PCT_SALES",'Margin Guidence Table'!$A$1:$AG$1,0))),0))</f>
        <v>0</v>
      </c>
      <c r="IG17" s="784">
        <f t="array" ref="IG17">IF('Customer Inputs'!$W$13="End",0,IFERROR(IF($HZ17="SEGMENT",INDEX('Margin Guidence Table'!$A$1:$AG$10000,MATCH(1,('Margin Guidence Table'!$A$1:$A$10000=HX17)*('Margin Guidence Table'!$I$1:$I$10000&lt;=ROUND($HP$3,0))*('Margin Guidence Table'!$J$1:$J$10000&gt;=ROUND($HP$3,0)),0),MATCH("SELF_FUND_PCT_SALES",'Margin Guidence Table'!$A$1:$AG$1,0)),INDEX('Margin Guidence Table'!$A$1:$AG$10000,MATCH(1,('Margin Guidence Table'!$A$1:$A$10000=HX17)*('Margin Guidence Table'!$I$1:$I$10000&lt;=ROUND($HP$3,0))*('Margin Guidence Table'!$J$1:$J$10000&gt;=ROUND($HP$3,0)),0),MATCH("DEFAULT_SELF_FUND_PCT_SALES",'Margin Guidence Table'!$A$1:$AG$1,0))),0))</f>
        <v>0</v>
      </c>
      <c r="IH17" s="784">
        <f t="array" ref="IH17">IF('Customer Inputs'!$W$13="End",0,IF($HQ$2="Existing",IFERROR(SUMIFS('Existing Customers'!$V:$V,'Existing Customers'!$H:$H,$HO17,'Existing Customers'!$A:$A,$HP$1)/SUMIFS('Existing Customers'!$Q:$Q,'Existing Customers'!$H:$H,$HO17,'Existing Customers'!$A:$A,$HP$1),0),IFERROR(IF($HZ17="SEGMENT",INDEX('Margin Guidence Table'!$A$1:$AG$10000,MATCH(1,('Margin Guidence Table'!$A$1:$A$10000=HX17)*('Margin Guidence Table'!$I$1:$I$10000&lt;=ROUND($HP$3,0))*('Margin Guidence Table'!$J$1:$J$10000&gt;=ROUND($HP$3,0)),0),MATCH("CIA_MEDIAN_MARGIN_GUIDENCE",'Margin Guidence Table'!$A$1:$AG$1,0)),INDEX('Margin Guidence Table'!$A$1:$AG$10000,MATCH(1,('Margin Guidence Table'!$A$1:$A$10000=HX17)*('Margin Guidence Table'!$I$1:$I$10000&lt;=ROUND($HP$3,0))*('Margin Guidence Table'!$J$1:$J$10000&gt;=ROUND($HP$3,0)),0),MATCH("DEFAULT_CIA_MEDIAN_MARGIN_GUIDENCE",'Margin Guidence Table'!$A$1:$AG$1,0))),0)))</f>
        <v>0</v>
      </c>
      <c r="II17" s="126"/>
      <c r="IJ17" s="18">
        <f t="array" ref="IJ17">IF('Customer Inputs'!$W$14="End",0,IFERROR(IF($IW17="SEGMENT",INDEX('Margin Guidence Table'!$A:$AC,MATCH(1,('Margin Guidence Table'!$A:$A=$IU17)*('Margin Guidence Table'!$H:$H&lt;=ROUND($IM$3,0))*('Margin Guidence Table'!$G:$G&gt;=ROUND($IM$3,0)),0),MATCH("PCT_SALES",'Margin Guidence Table'!$A$1:$AG$1,0)),INDEX('Margin Guidence Table'!$A:$AC,MATCH(1,('Margin Guidence Table'!$A:$A=$IU17)*('Margin Guidence Table'!$H:$H&lt;=ROUND($IM$3,0))*('Margin Guidence Table'!$G:$G&gt;=ROUND($IM$3,0)),0),MATCH("DEFAULT_PCT_SALES",'Margin Guidence Table'!$A$1:$AG$1,0))),0))</f>
        <v>0</v>
      </c>
      <c r="IK17" s="297" t="e">
        <f t="shared" si="48"/>
        <v>#DIV/0!</v>
      </c>
      <c r="IL17" s="99" t="s">
        <v>102</v>
      </c>
      <c r="IM17" s="91">
        <f>IF('Customer Inputs'!$W$14="End",0,IFERROR(IF(AND($IM$2&lt;&gt;"Enter Spend&gt;&gt;&gt;",$IN$2="EXISTING"),SUMIFS('Existing Customers'!$Q:$Q,'Existing Customers'!$A:$A,$IM$1,'Existing Customers'!$H:$H,$IL17)*$IM$4,$IM$3*$IK17),0))</f>
        <v>0</v>
      </c>
      <c r="IN17" s="86">
        <f>IF('Customer Inputs'!$W$14="End",0,IFERROR(IF(AND($IM$2&lt;&gt;"Enter Spend&gt;&gt;&gt;",$IN$2="EXISTING"),SUMIFS('Existing Customers'!$N:$N,'Existing Customers'!$A:$A,$IM$1,'Existing Customers'!$H:$H,$IL17)*$IM$4,$IM17/$IX17),0))</f>
        <v>0</v>
      </c>
      <c r="IO17" s="92">
        <f>IF('Customer Inputs'!$W$14="End",0,IFERROR(IF(AND($IM$2&lt;&gt;"Enter Spend&gt;&gt;&gt;",$IN$2="EXISTING"),SUMIFS('Existing Customers'!$O:$O,'Existing Customers'!$H:$H,$IL17,'Existing Customers'!$A:$A,$IM$1)*$IM$4,$IN17*$IM$8),0))</f>
        <v>0</v>
      </c>
      <c r="IP17" s="92">
        <f>IF('Customer Inputs'!$W$14="End",0,IFERROR(IF(AND($IM$2&lt;&gt;"Enter Spend&gt;&gt;&gt;",$IN$2="EXISTING"),SUMIFS('Existing Customers'!$P:$P,'Existing Customers'!$A:$A,$IM$1,'Existing Customers'!$H:$H,$IL17)*$IM$4,$IM17/$IY17),0))</f>
        <v>0</v>
      </c>
      <c r="IQ17" s="303">
        <f>IF('Customer Inputs'!$W$14="End",0,IFERROR(IF(AND($IM$2&lt;&gt;"Enter Spend&gt;&gt;&gt;",$IN$2="EXISTING"),SUMIFS('Existing Customers'!$V:$V,'Existing Customers'!$H:$H,$IL17,'Existing Customers'!$A:$A,$IM$1)*$IM$4,0),0))</f>
        <v>0</v>
      </c>
      <c r="IR17" s="93">
        <f>IF('Customer Inputs'!$W$14="End",0,IFERROR(IF(AND($IM$2&lt;&gt;"Enter Spend&gt;&gt;&gt;",$IN$2="EXISTING"),SUMIFS('Existing Customers'!$R:$R,'Existing Customers'!$H:$H,$IL17,'Existing Customers'!$A:$A,$IM$1)*$IM$4,0),0))</f>
        <v>0</v>
      </c>
      <c r="IS17" s="780">
        <f>IF('Customer Inputs'!$W$14="End",0,IFERROR(IF(AND($IM$2&lt;&gt;"Enter Spend&gt;&gt;&gt;",$IN$2="EXISTING"),SUMIFS('Existing Customers'!$S:$S,'Existing Customers'!$H:$H,$IL17,'Existing Customers'!$A:$A,$IM$1)/SUMIFS('Existing Customers'!$Q:$Q,'Existing Customers'!$A:$A,$IM$1,'Existing Customers'!$H:$H,$IL17),JC17),0))</f>
        <v>0</v>
      </c>
      <c r="IT17" s="780">
        <f>IF('Customer Inputs'!$W$14="End",0,IFERROR(IF(AND($IM$2&lt;&gt;"Enter Spend&gt;&gt;&gt;",$IN$2="EXISTING"),SUMIFS('Existing Customers'!$U:$U,'Existing Customers'!$H:$H,$IL17,'Existing Customers'!$A:$A,$IM$1)/SUMIFS('Existing Customers'!$Q:$Q,'Existing Customers'!$A:$A,$IM$1,'Existing Customers'!$H:$H,$IL17),JD17),0))</f>
        <v>0</v>
      </c>
      <c r="IU17" s="783" t="e">
        <f>_xlfn.CONCAT('Customer Inputs'!$AH$14,"_",IL17)</f>
        <v>#N/A</v>
      </c>
      <c r="IV17" s="783">
        <f t="array" ref="IV17">IF('Customer Inputs'!$W$14="End",0,IFERROR(INDEX('Margin Guidence Table'!$A$1:$AG$10000,MATCH(1,('Margin Guidence Table'!$A$1:$A$10000=IU17)*('Margin Guidence Table'!$I$1:$I$10000&lt;=ROUND($IM$3,0))*('Margin Guidence Table'!$J$1:$J$10000&gt;=ROUND($IM$3,0)),0),MATCH("DATA_POINTS",'Margin Guidence Table'!$A$1:$AG$1,0)),0))</f>
        <v>0</v>
      </c>
      <c r="IW17" s="780" t="str">
        <f t="shared" si="49"/>
        <v>DEFAULT</v>
      </c>
      <c r="IX17" s="780">
        <f t="array" ref="IX17">IF('Customer Inputs'!$W$14="End",0,IFERROR(IF($IW17="SEGMENT",INDEX('Margin Guidence Table'!$A$1:$AG$10000,MATCH(1,('Margin Guidence Table'!$A$1:$A$10000=IU17)*('Margin Guidence Table'!$I$1:$I$10000&lt;=ROUND($IM$3,0))*('Margin Guidence Table'!$J$1:$J$10000&gt;=ROUND($IM$3,0)),0),MATCH("SALES_CASE",'Margin Guidence Table'!$A$1:$AG$1,0)),INDEX('Margin Guidence Table'!$A$1:$AG$10000,MATCH(1,('Margin Guidence Table'!$A$1:$A$10000=IU17)*('Margin Guidence Table'!$I$1:$I$10000&lt;=ROUND($IM$3,0))*('Margin Guidence Table'!$J$1:$J$10000&gt;=ROUND($IM$3,0)),0),MATCH("DEFAULT_SALES_CASE",'Margin Guidence Table'!$A$1:$AG$1,0))),0))</f>
        <v>0</v>
      </c>
      <c r="IY17" s="780">
        <f t="array" ref="IY17">IF('Customer Inputs'!$W$14="End",0,IFERROR(IF($IW17="SEGMENT",INDEX('Margin Guidence Table'!$A$1:$AG$10000,MATCH(1,('Margin Guidence Table'!$A$1:$A$10000=IU17)*('Margin Guidence Table'!$I$1:$I$10000&lt;=ROUND($IM$3,0))*('Margin Guidence Table'!$J$1:$J$10000&gt;=ROUND($IM$3,0)),0),MATCH("SALES_LBS",'Margin Guidence Table'!$A$1:$AG$1,0)),INDEX('Margin Guidence Table'!$A$1:$AG$10000,MATCH(1,('Margin Guidence Table'!$A$1:$A$10000=IU17)*('Margin Guidence Table'!$I$1:$I$10000&lt;=ROUND($IM$3,0))*('Margin Guidence Table'!$J$1:$J$10000&gt;=ROUND($IM$3,0)),0),MATCH("DEFAULT_SALES_LBS",'Margin Guidence Table'!$A$1:$AG$1,0))),0))</f>
        <v>0</v>
      </c>
      <c r="IZ17" s="784">
        <f t="array" ref="IZ17">IF('Customer Inputs'!$W$14="End",0,IFERROR(IF($IW17="SEGMENT",INDEX('Margin Guidence Table'!$A$1:$AG$10000,MATCH(1,('Margin Guidence Table'!$A$1:$A$10000=IU17)*('Margin Guidence Table'!$I$1:$I$10000&lt;=ROUND($IM$3,0))*('Margin Guidence Table'!$J$1:$J$10000&gt;=ROUND($IM$3,0)),0),MATCH("MDA_MIN_MARGIN_GUIDENCE",'Margin Guidence Table'!$A$1:$AG$1,0)),INDEX('Margin Guidence Table'!$A$1:$AG$10000,MATCH(1,('Margin Guidence Table'!$A$1:$A$10000=IU17)*('Margin Guidence Table'!$I$1:$I$10000&lt;=ROUND($IM$3,0))*('Margin Guidence Table'!$J$1:$J$10000&gt;=ROUND($IM$3,0)),0),MATCH("DEFAULT_MDA_MIN_MARGIN_GUIDENCE",'Margin Guidence Table'!$A$1:$AG$1,0))),0))</f>
        <v>0</v>
      </c>
      <c r="JA17" s="784">
        <f t="array" ref="JA17">IF('Customer Inputs'!$W$14="End",0,IFERROR(IF($IW17="SEGMENT",INDEX('Margin Guidence Table'!$A$1:$AG$10000,MATCH(1,('Margin Guidence Table'!$A$1:$A$10000=IU17)*('Margin Guidence Table'!$I$1:$I$10000&lt;=ROUND($IM$3,0))*('Margin Guidence Table'!$J$1:$J$10000&gt;=ROUND($IM$3,0)),0),MATCH("MDA_MEDIAN_MARGIN_GUIDENCE",'Margin Guidence Table'!$A$1:$AG$1,0)),INDEX('Margin Guidence Table'!$A$1:$AG$10000,MATCH(1,('Margin Guidence Table'!$A$1:$A$10000=IU17)*('Margin Guidence Table'!$I$1:$I$10000&lt;=ROUND($IM$3,0))*('Margin Guidence Table'!$J$1:$J$10000&gt;=ROUND($IM$3,0)),0),MATCH("DEFAULT_MDA_MEDIAN_MARGIN_GUIDENCE",'Margin Guidence Table'!$A$1:$AG$1,0))),0))</f>
        <v>0</v>
      </c>
      <c r="JB17" s="784">
        <f t="array" ref="JB17">IF('Customer Inputs'!$W$14="End",0,IFERROR(IF($IW17="SEGMENT",INDEX('Margin Guidence Table'!$A$1:$AG$10000,MATCH(1,('Margin Guidence Table'!$A$1:$A$10000=IU17)*('Margin Guidence Table'!$I$1:$I$10000&lt;=ROUND($IM$3,0))*('Margin Guidence Table'!$J$1:$J$10000&gt;=ROUND($IM$3,0)),0),MATCH("MDA_MAX_MARGIN_GUIDENCE",'Margin Guidence Table'!$A$1:$AG$1,0)),INDEX('Margin Guidence Table'!$A$1:$AG$10000,MATCH(1,('Margin Guidence Table'!$A$1:$A$10000=IU17)*('Margin Guidence Table'!$I$1:$I$10000&lt;=ROUND($IM$3,0))*('Margin Guidence Table'!$J$1:$J$10000&gt;=ROUND($IM$3,0)),0),MATCH("DEFAULT_MDA_MAX_MARGIN_GUIDENCE",'Margin Guidence Table'!$A$1:$AG$1,0))),0))</f>
        <v>0</v>
      </c>
      <c r="JC17" s="784">
        <f t="array" ref="JC17">IF('Customer Inputs'!$W$14="End",0,IFERROR(IF($IW17="SEGMENT",INDEX('Margin Guidence Table'!$A$1:$AG$10000,MATCH(1,('Margin Guidence Table'!$A$1:$A$10000=IU17)*('Margin Guidence Table'!$I$1:$I$10000&lt;=ROUND($IM$3,0))*('Margin Guidence Table'!$J$1:$J$10000&gt;=ROUND($IM$3,0)),0),MATCH("PA_PCT_SALES",'Margin Guidence Table'!$A$1:$AG$1,0)),INDEX('Margin Guidence Table'!$A$1:$AG$10000,MATCH(1,('Margin Guidence Table'!$A$1:$A$10000=IU17)*('Margin Guidence Table'!$I$1:$I$10000&lt;=ROUND($IM$3,0))*('Margin Guidence Table'!$J$1:$J$10000&gt;=ROUND($IM$3,0)),0),MATCH("DEFAULT_PA_PCT_SALES",'Margin Guidence Table'!$A$1:$AG$1,0))),0))</f>
        <v>0</v>
      </c>
      <c r="JD17" s="784">
        <f t="array" ref="JD17">IF('Customer Inputs'!$W$14="End",0,IFERROR(IF($IW17="SEGMENT",INDEX('Margin Guidence Table'!$A$1:$AG$10000,MATCH(1,('Margin Guidence Table'!$A$1:$A$10000=IU17)*('Margin Guidence Table'!$I$1:$I$10000&lt;=ROUND($IM$3,0))*('Margin Guidence Table'!$J$1:$J$10000&gt;=ROUND($IM$3,0)),0),MATCH("SELF_FUND_PCT_SALES",'Margin Guidence Table'!$A$1:$AG$1,0)),INDEX('Margin Guidence Table'!$A$1:$AG$10000,MATCH(1,('Margin Guidence Table'!$A$1:$A$10000=IU17)*('Margin Guidence Table'!$I$1:$I$10000&lt;=ROUND($IM$3,0))*('Margin Guidence Table'!$J$1:$J$10000&gt;=ROUND($IM$3,0)),0),MATCH("DEFAULT_SELF_FUND_PCT_SALES",'Margin Guidence Table'!$A$1:$AG$1,0))),0))</f>
        <v>0</v>
      </c>
      <c r="JE17" s="784">
        <f t="array" ref="JE17">IF('Customer Inputs'!$W$14="End",0,IF($IN$2="Existing",IFERROR(SUMIFS('Existing Customers'!$V:$V,'Existing Customers'!$H:$H,$IL17,'Existing Customers'!$A:$A,$IM$1)/SUMIFS('Existing Customers'!$Q:$Q,'Existing Customers'!$H:$H,$IL17,'Existing Customers'!$A:$A,$IM$1),0),IFERROR(IF($IW17="SEGMENT",INDEX('Margin Guidence Table'!$A$1:$AG$10000,MATCH(1,('Margin Guidence Table'!$A$1:$A$10000=IU17)*('Margin Guidence Table'!$I$1:$I$10000&lt;=ROUND($IM$3,0))*('Margin Guidence Table'!$J$1:$J$10000&gt;=ROUND($IM$3,0)),0),MATCH("CIA_MEDIAN_MARGIN_GUIDENCE",'Margin Guidence Table'!$A$1:$AG$1,0)),INDEX('Margin Guidence Table'!$A$1:$AG$10000,MATCH(1,('Margin Guidence Table'!$A$1:$A$10000=IU17)*('Margin Guidence Table'!$I$1:$I$10000&lt;=ROUND($IM$3,0))*('Margin Guidence Table'!$J$1:$J$10000&gt;=ROUND($IM$3,0)),0),MATCH("DEFAULT_CIA_MEDIAN_MARGIN_GUIDENCE",'Margin Guidence Table'!$A$1:$AG$1,0))),0)))</f>
        <v>0</v>
      </c>
      <c r="JF17" s="126"/>
      <c r="JG17" s="18">
        <f t="array" ref="JG17">IF('Customer Inputs'!$W$15="End",0,IFERROR(IF($JT17="SEGMENT",INDEX('Margin Guidence Table'!$A$1:$AG$10000,MATCH(1,('Margin Guidence Table'!$A$1:$A$10000=$JR17)*('Margin Guidence Table'!$I$1:$I$10000&lt;=ROUND($JJ$3,0))*('Margin Guidence Table'!$J$1:$J$10000&gt;=ROUND($JJ$3,0)),0),MATCH("PCT_SALES",'Margin Guidence Table'!$A$1:$AG$1,0)),INDEX('Margin Guidence Table'!$A$1:$AG$10000,MATCH(1,('Margin Guidence Table'!$A$1:$A$10000=$JR17)*('Margin Guidence Table'!$I$1:$I$10000&lt;=ROUND($JJ$3,0))*('Margin Guidence Table'!$J$1:$J$10000&gt;=ROUND($JJ$3,0)),0),MATCH("DEFAULT_PCT_SALES",'Margin Guidence Table'!$A$1:$AG$1,0))),0))</f>
        <v>0</v>
      </c>
      <c r="JH17" s="297" t="e">
        <f t="shared" si="50"/>
        <v>#DIV/0!</v>
      </c>
      <c r="JI17" s="99" t="s">
        <v>102</v>
      </c>
      <c r="JJ17" s="91">
        <f>IF('Customer Inputs'!$W$15="End",0,IFERROR(IF(AND($JJ$2&lt;&gt;"Enter Spend&gt;&gt;&gt;",$JK$2="EXISTING"),SUMIFS('Existing Customers'!$Q:$Q,'Existing Customers'!$A:$A,$JJ$1,'Existing Customers'!$H:$H,$JI17)*$JJ$4,$JJ$3*$JH17),0))</f>
        <v>0</v>
      </c>
      <c r="JK17" s="86">
        <f>IF('Customer Inputs'!$W$15="End",0,IFERROR(IF(AND($JJ$2&lt;&gt;"Enter Spend&gt;&gt;&gt;",$JK$2="EXISTING"),SUMIFS('Existing Customers'!$N:$N,'Existing Customers'!$A:$A,$JJ$1,'Existing Customers'!$H:$H,$JI17)*$JJ$4,$JJ17/$JU17),0))</f>
        <v>0</v>
      </c>
      <c r="JL17" s="92">
        <f>IF('Customer Inputs'!$W$15="End",0,IFERROR(IF(AND($JJ$2&lt;&gt;"Enter Spend&gt;&gt;&gt;",$JK$2="EXISTING"),SUMIFS('Existing Customers'!$O:$O,'Existing Customers'!$H:$H,$JI17,'Existing Customers'!$A:$A,$JJ$1)*$JJ$4,$JK17*$JJ$8),0))</f>
        <v>0</v>
      </c>
      <c r="JM17" s="92">
        <f>IF('Customer Inputs'!$W$15="End",0,IFERROR(IF(AND($JJ$2&lt;&gt;"Enter Spend&gt;&gt;&gt;",$JK$2="EXISTING"),SUMIFS('Existing Customers'!$P:$P,'Existing Customers'!$A:$A,$JJ$1,'Existing Customers'!$H:$H,$JI17)*$JJ$4,$JJ17/$JV17),0))</f>
        <v>0</v>
      </c>
      <c r="JN17" s="303">
        <f>IF('Customer Inputs'!$W$15="End",0,IFERROR(IF(AND($JJ$2&lt;&gt;"Enter Spend&gt;&gt;&gt;",$JK$2="EXISTING"),SUMIFS('Existing Customers'!$V:$V,'Existing Customers'!$H:$H,$JI17,'Existing Customers'!$A:$A,$JJ$1)*$JJ$4,0),0))</f>
        <v>0</v>
      </c>
      <c r="JO17" s="93">
        <f>IF('Customer Inputs'!$W$15="End",0,IFERROR(IF(AND($JJ$2&lt;&gt;"Enter Spend&gt;&gt;&gt;",$JK$2="EXISTING"),SUMIFS('Existing Customers'!$R:$R,'Existing Customers'!$H:$H,$JI17,'Existing Customers'!$A:$A,$JJ$1)*$JJ$4,0),0))</f>
        <v>0</v>
      </c>
      <c r="JP17" s="780">
        <f>IF('Customer Inputs'!$W$15="End",0,IFERROR(IF(AND($JJ$2&lt;&gt;"Enter Spend&gt;&gt;&gt;",$JK$2="EXISTING"),SUMIFS('Existing Customers'!$S:$S,'Existing Customers'!$H:$H,$JI17,'Existing Customers'!$A:$A,$JJ$1)/SUMIFS('Existing Customers'!$Q:$Q,'Existing Customers'!$A:$A,$JJ$1,'Existing Customers'!$H:$H,$JI17),JZ17),0))</f>
        <v>0</v>
      </c>
      <c r="JQ17" s="780">
        <f>IF('Customer Inputs'!$W$15="End",0,IFERROR(IF(AND($JJ$2&lt;&gt;"Enter Spend&gt;&gt;&gt;",$JK$2="EXISTING"),SUMIFS('Existing Customers'!$U:$U,'Existing Customers'!$H:$H,$JI17,'Existing Customers'!$A:$A,$JJ$1)/SUMIFS('Existing Customers'!$Q:$Q,'Existing Customers'!$A:$A,$JJ$1,'Existing Customers'!$H:$H,$JI17),KA17),0))</f>
        <v>0</v>
      </c>
      <c r="JR17" s="783" t="e">
        <f>_xlfn.CONCAT('Customer Inputs'!$AH$15,"_",JI17)</f>
        <v>#N/A</v>
      </c>
      <c r="JS17" s="783">
        <f t="array" ref="JS17">IF('Customer Inputs'!$W$15="End",0,IFERROR(INDEX('Margin Guidence Table'!$A$1:$AG$10000,MATCH(1,('Margin Guidence Table'!$A$1:$A$10000=JR17)*('Margin Guidence Table'!$I$1:$I$10000&lt;=ROUND($JJ$3,0))*('Margin Guidence Table'!$J$1:$J$10000&gt;=ROUND($JJ$3,0)),0),MATCH("DATA_POINTS",'Margin Guidence Table'!$A$1:$AG$1,0)),0))</f>
        <v>0</v>
      </c>
      <c r="JT17" s="780" t="str">
        <f t="shared" si="51"/>
        <v>DEFAULT</v>
      </c>
      <c r="JU17" s="780">
        <f t="array" ref="JU17">IF('Customer Inputs'!$W$15="End",0,IFERROR(IF($JT17="SEGMENT",INDEX('Margin Guidence Table'!$A$1:$AG$10000,MATCH(1,('Margin Guidence Table'!$A$1:$A$10000=JR17)*('Margin Guidence Table'!$I$1:$I$10000&lt;=ROUND($JJ$3,0))*('Margin Guidence Table'!$J$1:$J$10000&gt;=ROUND($JJ$3,0)),0),MATCH("SALES_CASE",'Margin Guidence Table'!$A$1:$AG$1,0)),INDEX('Margin Guidence Table'!$A$1:$AG$10000,MATCH(1,('Margin Guidence Table'!$A$1:$A$10000=JR17)*('Margin Guidence Table'!$I$1:$I$10000&lt;=ROUND($JJ$3,0))*('Margin Guidence Table'!$J$1:$J$10000&gt;=ROUND($JJ$3,0)),0),MATCH("DEFAULT_SALES_CASE",'Margin Guidence Table'!$A$1:$AG$1,0))),0))</f>
        <v>0</v>
      </c>
      <c r="JV17" s="780">
        <f t="array" ref="JV17">IF('Customer Inputs'!$W$15="End",0,IFERROR(IF($JT17="SEGMENT",INDEX('Margin Guidence Table'!$A$1:$AG$10000,MATCH(1,('Margin Guidence Table'!$A$1:$A$10000=JR17)*('Margin Guidence Table'!$I$1:$I$10000&lt;=ROUND($JJ$3,0))*('Margin Guidence Table'!$J$1:$J$10000&gt;=ROUND($JJ$3,0)),0),MATCH("SALES_LBS",'Margin Guidence Table'!$A$1:$AG$1,0)),INDEX('Margin Guidence Table'!$A$1:$AG$10000,MATCH(1,('Margin Guidence Table'!$A$1:$A$10000=JR17)*('Margin Guidence Table'!$I$1:$I$10000&lt;=ROUND($JJ$3,0))*('Margin Guidence Table'!$J$1:$J$10000&gt;=ROUND($JJ$3,0)),0),MATCH("DEFAULT_SALES_LBS",'Margin Guidence Table'!$A$1:$AG$1,0))),0))</f>
        <v>0</v>
      </c>
      <c r="JW17" s="784">
        <f t="array" ref="JW17">IF('Customer Inputs'!$W$15="End",0,IFERROR(IF($JT17="SEGMENT",INDEX('Margin Guidence Table'!$A$1:$AG$10000,MATCH(1,('Margin Guidence Table'!$A$1:$A$10000=JR17)*('Margin Guidence Table'!$I$1:$I$10000&lt;=ROUND($JJ$3,0))*('Margin Guidence Table'!$J$1:$J$10000&gt;=ROUND($JJ$3,0)),0),MATCH("MDA_MIN_MARGIN_GUIDENCE",'Margin Guidence Table'!$A$1:$AG$1,0)),INDEX('Margin Guidence Table'!$A$1:$AG$10000,MATCH(1,('Margin Guidence Table'!$A$1:$A$10000=JR17)*('Margin Guidence Table'!$I$1:$I$10000&lt;=ROUND($JJ$3,0))*('Margin Guidence Table'!$J$1:$J$10000&gt;=ROUND($JJ$3,0)),0),MATCH("DEFAULT_MDA_MIN_MARGIN_GUIDENCE",'Margin Guidence Table'!$A$1:$AG$1,0))),0))</f>
        <v>0</v>
      </c>
      <c r="JX17" s="784">
        <f t="array" ref="JX17">IF('Customer Inputs'!$W$15="End",0,IFERROR(IF($JT17="SEGMENT",INDEX('Margin Guidence Table'!$A$1:$AG$10000,MATCH(1,('Margin Guidence Table'!$A$1:$A$10000=JR17)*('Margin Guidence Table'!$I$1:$I$10000&lt;=ROUND($JJ$3,0))*('Margin Guidence Table'!$J$1:$J$10000&gt;=ROUND($JJ$3,0)),0),MATCH("MDA_MEDIAN_MARGIN_GUIDENCE",'Margin Guidence Table'!$A$1:$AG$1,0)),INDEX('Margin Guidence Table'!$A$1:$AG$10000,MATCH(1,('Margin Guidence Table'!$A$1:$A$10000=JR17)*('Margin Guidence Table'!$I$1:$I$10000&lt;=ROUND($JJ$3,0))*('Margin Guidence Table'!$J$1:$J$10000&gt;=ROUND($JJ$3,0)),0),MATCH("DEFAULT_MDA_MEDIAN_MARGIN_GUIDENCE",'Margin Guidence Table'!$A$1:$AG$1,0))),0))</f>
        <v>0</v>
      </c>
      <c r="JY17" s="784">
        <f t="array" ref="JY17">IF('Customer Inputs'!$W$15="End",0,IFERROR(IF($JT17="SEGMENT",INDEX('Margin Guidence Table'!$A$1:$AG$10000,MATCH(1,('Margin Guidence Table'!$A$1:$A$10000=JR17)*('Margin Guidence Table'!$I$1:$I$10000&lt;=ROUND($JJ$3,0))*('Margin Guidence Table'!$J$1:$J$10000&gt;=ROUND($JJ$3,0)),0),MATCH("MDA_MAX_MARGIN_GUIDENCE",'Margin Guidence Table'!$A$1:$AG$1,0)),INDEX('Margin Guidence Table'!$A$1:$AG$10000,MATCH(1,('Margin Guidence Table'!$A$1:$A$10000=JR17)*('Margin Guidence Table'!$I$1:$I$10000&lt;=ROUND($JJ$3,0))*('Margin Guidence Table'!$J$1:$J$10000&gt;=ROUND($JJ$3,0)),0),MATCH("DEFAULT_MDA_MAX_MARGIN_GUIDENCE",'Margin Guidence Table'!$A$1:$AG$1,0))),0))</f>
        <v>0</v>
      </c>
      <c r="JZ17" s="784">
        <f t="array" ref="JZ17">IF('Customer Inputs'!$W$15="End",0,IFERROR(IF($JT17="SEGMENT",INDEX('Margin Guidence Table'!$A$1:$AG$10000,MATCH(1,('Margin Guidence Table'!$A$1:$A$10000=JR17)*('Margin Guidence Table'!$I$1:$I$10000&lt;=ROUND($JJ$3,0))*('Margin Guidence Table'!$J$1:$J$10000&gt;=ROUND($JJ$3,0)),0),MATCH("PA_PCT_SALES",'Margin Guidence Table'!$A$1:$AG$1,0)),INDEX('Margin Guidence Table'!$A$1:$AG$10000,MATCH(1,('Margin Guidence Table'!$A$1:$A$10000=JR17)*('Margin Guidence Table'!$I$1:$I$10000&lt;=ROUND($JJ$3,0))*('Margin Guidence Table'!$J$1:$J$10000&gt;=ROUND($JJ$3,0)),0),MATCH("DEFAULT_PA_PCT_SALES",'Margin Guidence Table'!$A$1:$AG$1,0))),0))</f>
        <v>0</v>
      </c>
      <c r="KA17" s="784" cm="1">
        <f t="array" ref="KA17">IF('Customer Inputs'!$W$15="End",0,IFERROR(IF($JT17="SEGMENT",INDEX('Margin Guidence Table'!$A$1:$AG$10000,MATCH(1,('Margin Guidence Table'!$A$1:$A$10000=JR17)*('Margin Guidence Table'!$I$1:$I$10000&lt;=ROUND($JJ$3,0))*('Margin Guidence Table'!$J$1:$J$10000&gt;=ROUND($JJ$3,0)),0),MATCH("SELF_FUND_PCT_SALES",'Margin Guidence Table'!$A$1:$AG$1,0)),INDEX('Margin Guidence Table'!$A$1:$AG$10000,MATCH(1,('Margin Guidence Table'!$A$1:$A$10000=JR17)*('Margin Guidence Table'!$I$1:$I$10000&lt;=ROUND($JJ$3,0))*('Margin Guidence Table'!$J$1:$J$10000&gt;=ROUND($JJ$3,0)),0),MATCH("DEFAULT_SELF_FUND_PCT_SALES",'Margin Guidence Table'!$A$1:$AG$1,0))),0))</f>
        <v>0</v>
      </c>
      <c r="KB17" s="784">
        <f t="array" ref="KB17">IF('Customer Inputs'!$W$15="End",0,IF($JK$2="Existing",IFERROR(SUMIFS('Existing Customers'!$V:$V,'Existing Customers'!$H:$H,$JI17,'Existing Customers'!$A:$A,$JJ$1)/SUMIFS('Existing Customers'!$Q:$Q,'Existing Customers'!$H:$H,$JI17,'Existing Customers'!$A:$A,$JJ$1),0),IFERROR(IF($JT17="SEGMENT",INDEX('Margin Guidence Table'!$A$1:$AG$10000,MATCH(1,('Margin Guidence Table'!$A$1:$A$10000=JR17)*('Margin Guidence Table'!$I$1:$I$10000&lt;=ROUND($JJ$3,0))*('Margin Guidence Table'!$J$1:$J$10000&gt;=ROUND($JJ$3,0)),0),MATCH("CIA_MEDIAN_MARGIN_GUIDENCE",'Margin Guidence Table'!$A$1:$AG$1,0)),INDEX('Margin Guidence Table'!$A$1:$AG$10000,MATCH(1,('Margin Guidence Table'!$A$1:$A$10000=JR17)*('Margin Guidence Table'!$I$1:$I$10000&lt;=ROUND($JJ$3,0))*('Margin Guidence Table'!$J$1:$J$10000&gt;=ROUND($JJ$3,0)),0),MATCH("DEFAULT_CIA_MEDIAN_MARGIN_GUIDENCE",'Margin Guidence Table'!$A$1:$AG$1,0))),0)))</f>
        <v>0</v>
      </c>
      <c r="KC17" s="784"/>
      <c r="KD17" s="18">
        <f t="array" ref="KD17">IF('Customer Inputs'!$W$16="End",0,IFERROR(IF($KQ17="SEGMENT",INDEX('Margin Guidence Table'!$A$1:$AG$10000,MATCH(1,('Margin Guidence Table'!$A$1:$A$10000=$KO17)*('Margin Guidence Table'!$I$1:$I$10000&lt;=ROUND($KG$3,0))*('Margin Guidence Table'!$J$1:$J$10000&gt;=ROUND($KG$3,0)),0),MATCH("PCT_SALES",'Margin Guidence Table'!$A$1:$AG$1,0)),INDEX('Margin Guidence Table'!$A$1:$AG$10000,MATCH(1,('Margin Guidence Table'!$A$1:$A$10000=$KO17)*('Margin Guidence Table'!$I$1:$I$10000&lt;=ROUND($KG$3,0))*('Margin Guidence Table'!$J$1:$J$10000&gt;=ROUND($KG$3,0)),0),MATCH("DEFAULT_PCT_SALES",'Margin Guidence Table'!$A$1:$AG$1,0))),0))</f>
        <v>0</v>
      </c>
      <c r="KE17" s="1713" t="e">
        <f t="shared" si="52"/>
        <v>#DIV/0!</v>
      </c>
      <c r="KF17" s="99" t="s">
        <v>102</v>
      </c>
      <c r="KG17" s="91">
        <f>IF('Customer Inputs'!$W$16="End",0,IFERROR(IF(AND($KG$2&lt;&gt;"Enter Spend&gt;&gt;&gt;",$KH$2="EXISTING"),SUMIFS('Existing Customers'!$Q:$Q,'Existing Customers'!$A:$A,$KG$1,'Existing Customers'!$H:$H,$KF17)*$KG$4,$KG$3*$KE17),0))</f>
        <v>0</v>
      </c>
      <c r="KH17" s="86">
        <f>IF('Customer Inputs'!$W$16="End",0,IFERROR(IF(AND($KG$2&lt;&gt;"Enter Spend&gt;&gt;&gt;",$KH$2="EXISTING"),SUMIFS('Existing Customers'!$N:$N,'Existing Customers'!$A:$A,$KG$1,'Existing Customers'!$H:$H,$KF17)*$KG$4,$KG17/$KR17),0))</f>
        <v>0</v>
      </c>
      <c r="KI17" s="92">
        <f>IF('Customer Inputs'!$W$16="End",0,IFERROR(IF(AND($KG$2&lt;&gt;"Enter Spend&gt;&gt;&gt;",$KH$2="EXISTING"),SUMIFS('Existing Customers'!$O:$O,'Existing Customers'!$H:$H,$KF17,'Existing Customers'!$A:$A,$KG$1)*$KG$4,$KH17*$KG$8),0))</f>
        <v>0</v>
      </c>
      <c r="KJ17" s="92">
        <f>IF('Customer Inputs'!$W$16="End",0,IFERROR(IF(AND($KG$2&lt;&gt;"Enter Spend&gt;&gt;&gt;",$KH$2="EXISTING"),SUMIFS('Existing Customers'!$P:$P,'Existing Customers'!$A:$A,$KG$1,'Existing Customers'!$H:$H,$KF17)*$KG$4,$KG17/$KS17),0))</f>
        <v>0</v>
      </c>
      <c r="KK17" s="303">
        <f>IF('Customer Inputs'!$W$16="End",0,IFERROR(IF(AND($KG$2&lt;&gt;"Enter Spend&gt;&gt;&gt;",$KH$2="EXISTING"),SUMIFS('Existing Customers'!$V:$V,'Existing Customers'!$H:$H,$KF17,'Existing Customers'!$A:$A,$KG$1)*$KG$4,0),0))</f>
        <v>0</v>
      </c>
      <c r="KL17" s="93">
        <f>IF('Customer Inputs'!$W$16="End",0,IFERROR(IF(AND($KG$2&lt;&gt;"Enter Spend&gt;&gt;&gt;",$KH$2="EXISTING"),SUMIFS('Existing Customers'!$R:$R,'Existing Customers'!$H:$H,$KF17,'Existing Customers'!$A:$A,$KG$1)*$KG$4,0),0))</f>
        <v>0</v>
      </c>
      <c r="KM17" s="780">
        <f>IF('Customer Inputs'!$W$16="End",0,IFERROR(IF(AND($KG$2&lt;&gt;"Enter Spend&gt;&gt;&gt;",$KH$2="EXISTING"),SUMIFS('Existing Customers'!$S:$S,'Existing Customers'!$H:$H,$KF17,'Existing Customers'!$A:$A,$KG$1)/SUMIFS('Existing Customers'!$Q:$Q,'Existing Customers'!$A:$A,$KG$1,'Existing Customers'!$H:$H,$KF17),KW17),0))</f>
        <v>0</v>
      </c>
      <c r="KN17" s="780">
        <f>IF('Customer Inputs'!$W$16="End",0,IFERROR(IF(AND($KG$2&lt;&gt;"Enter Spend&gt;&gt;&gt;",$KH$2="EXISTING"),SUMIFS('Existing Customers'!$U:$U,'Existing Customers'!$H:$H,$KF17,'Existing Customers'!$A:$A,$KG$1)/SUMIFS('Existing Customers'!$Q:$Q,'Existing Customers'!$A:$A,$KG$1,'Existing Customers'!$H:$H,$KF17),KX17),0))</f>
        <v>0</v>
      </c>
      <c r="KO17" s="783" t="e">
        <f>_xlfn.CONCAT('Customer Inputs'!$AH$16,"_",KF17)</f>
        <v>#N/A</v>
      </c>
      <c r="KP17" s="783">
        <f t="array" ref="KP17">IF('Customer Inputs'!$W$16="End",0,IFERROR(INDEX('Margin Guidence Table'!$A$1:$AG$10000,MATCH(1,('Margin Guidence Table'!$A$1:$A$10000=KO17)*('Margin Guidence Table'!$I$1:$I$10000&lt;=ROUND($KG$3,0))*('Margin Guidence Table'!$J$1:$J$10000&gt;=ROUND($KG$3,0)),0),MATCH("DATA_POINTS",'Margin Guidence Table'!$A$1:$AG$1,0)),0))</f>
        <v>0</v>
      </c>
      <c r="KQ17" s="780" t="str">
        <f t="shared" si="53"/>
        <v>DEFAULT</v>
      </c>
      <c r="KR17" s="780">
        <f t="array" ref="KR17">IF('Customer Inputs'!$W$16="End",0,IFERROR(IF($KQ17="SEGMENT",INDEX('Margin Guidence Table'!$A$1:$AG$10000,MATCH(1,('Margin Guidence Table'!$A$1:$A$10000=KO17)*('Margin Guidence Table'!$I$1:$I$10000&lt;=ROUND($KG$3,0))*('Margin Guidence Table'!$J$1:$J$10000&gt;=ROUND($KG$3,0)),0),MATCH("SALES_CASE",'Margin Guidence Table'!$A$1:$AG$1,0)),INDEX('Margin Guidence Table'!$A$1:$AG$10000,MATCH(1,('Margin Guidence Table'!$A$1:$A$10000=KO17)*('Margin Guidence Table'!$I$1:$I$10000&lt;=ROUND($KG$3,0))*('Margin Guidence Table'!$J$1:$J$10000&gt;=ROUND($KG$3,0)),0),MATCH("DEFAULT_SALES_CASE",'Margin Guidence Table'!$A$1:$AG$1,0))),0))</f>
        <v>0</v>
      </c>
      <c r="KS17" s="780">
        <f t="array" ref="KS17">IF('Customer Inputs'!$W$16="End",0,IFERROR(IF($KQ17="SEGMENT",INDEX('Margin Guidence Table'!$A$1:$AG$10000,MATCH(1,('Margin Guidence Table'!$A$1:$A$10000=KO17)*('Margin Guidence Table'!$I$1:$I$10000&lt;=ROUND($KG$3,0))*('Margin Guidence Table'!$J$1:$J$10000&gt;=ROUND($KG$3,0)),0),MATCH("SALES_LBS",'Margin Guidence Table'!$A$1:$AG$1,0)),INDEX('Margin Guidence Table'!$A$1:$AG$10000,MATCH(1,('Margin Guidence Table'!$A$1:$A$10000=KO17)*('Margin Guidence Table'!$I$1:$I$10000&lt;=ROUND($KG$3,0))*('Margin Guidence Table'!$J$1:$J$10000&gt;=ROUND($KG$3,0)),0),MATCH("DEFAULT_SALES_LBS",'Margin Guidence Table'!$A$1:$AG$1,0))),0))</f>
        <v>0</v>
      </c>
      <c r="KT17" s="784">
        <f t="array" ref="KT17">IF('Customer Inputs'!$W$16="End",0,IFERROR(IF($KQ17="SEGMENT",INDEX('Margin Guidence Table'!$A$1:$AG$10000,MATCH(1,('Margin Guidence Table'!$A$1:$A$10000=KO17)*('Margin Guidence Table'!$I$1:$I$10000&lt;=ROUND($KG$3,0))*('Margin Guidence Table'!$J$1:$J$10000&gt;=ROUND($KG$3,0)),0),MATCH("MDA_MIN_MARGIN_GUIDENCE",'Margin Guidence Table'!$A$1:$AG$1,0)),INDEX('Margin Guidence Table'!$A$1:$AG$10000,MATCH(1,('Margin Guidence Table'!$A$1:$A$10000=KO17)*('Margin Guidence Table'!$I$1:$I$10000&lt;=ROUND($KG$3,0))*('Margin Guidence Table'!$J$1:$J$10000&gt;=ROUND($KG$3,0)),0),MATCH("DEFAULT_MDA_MIN_MARGIN_GUIDENCE",'Margin Guidence Table'!$A$1:$AG$1,0))),0))</f>
        <v>0</v>
      </c>
      <c r="KU17" s="784">
        <f t="array" ref="KU17">IF('Customer Inputs'!$W$16="End",0,IFERROR(IF($KQ17="SEGMENT",INDEX('Margin Guidence Table'!$A$1:$AG$10000,MATCH(1,('Margin Guidence Table'!$A$1:$A$10000=KO17)*('Margin Guidence Table'!$I$1:$I$10000&lt;=ROUND($KG$3,0))*('Margin Guidence Table'!$J$1:$J$10000&gt;=ROUND($KG$3,0)),0),MATCH("MDA_MEDIAN_MARGIN_GUIDENCE",'Margin Guidence Table'!$A$1:$AG$1,0)),INDEX('Margin Guidence Table'!$A$1:$AG$10000,MATCH(1,('Margin Guidence Table'!$A$1:$A$10000=KO17)*('Margin Guidence Table'!$I$1:$I$10000&lt;=ROUND($KG$3,0))*('Margin Guidence Table'!$J$1:$J$10000&gt;=ROUND($KG$3,0)),0),MATCH("DEFAULT_MDA_MEDIAN_MARGIN_GUIDENCE",'Margin Guidence Table'!$A$1:$AG$1,0))),0))</f>
        <v>0</v>
      </c>
      <c r="KV17" s="784">
        <f t="array" ref="KV17">IF('Customer Inputs'!$W$16="End",0,IFERROR(IF($KQ17="SEGMENT",INDEX('Margin Guidence Table'!$A$1:$AG$10000,MATCH(1,('Margin Guidence Table'!$A$1:$A$10000=KO17)*('Margin Guidence Table'!$I$1:$I$10000&lt;=ROUND($KG$3,0))*('Margin Guidence Table'!$J$1:$J$10000&gt;=ROUND($KG$3,0)),0),MATCH("MDA_MAX_MARGIN_GUIDENCE",'Margin Guidence Table'!$A$1:$AG$1,0)),INDEX('Margin Guidence Table'!$A$1:$AG$10000,MATCH(1,('Margin Guidence Table'!$A$1:$A$10000=KO17)*('Margin Guidence Table'!$I$1:$I$10000&lt;=ROUND($KG$3,0))*('Margin Guidence Table'!$J$1:$J$10000&gt;=ROUND($KG$3,0)),0),MATCH("DEFAULT_MDA_MAX_MARGIN_GUIDENCE",'Margin Guidence Table'!$A$1:$AG$1,0))),0))</f>
        <v>0</v>
      </c>
      <c r="KW17" s="784">
        <f t="array" ref="KW17">IF('Customer Inputs'!$W$16="End",0,IFERROR(IF($KQ17="SEGMENT",INDEX('Margin Guidence Table'!$A$1:$AG$10000,MATCH(1,('Margin Guidence Table'!$A$1:$A$10000=KO17)*('Margin Guidence Table'!$I$1:$I$10000&lt;=ROUND($KG$3,0))*('Margin Guidence Table'!$J$1:$J$10000&gt;=ROUND($KG$3,0)),0),MATCH("PA_PCT_SALES",'Margin Guidence Table'!$A$1:$AG$1,0)),INDEX('Margin Guidence Table'!$A$1:$AG$10000,MATCH(1,('Margin Guidence Table'!$A$1:$A$10000=KO17)*('Margin Guidence Table'!$I$1:$I$10000&lt;=ROUND($KG$3,0))*('Margin Guidence Table'!$J$1:$J$10000&gt;=ROUND($KG$3,0)),0),MATCH("DEFAULT_PA_PCT_SALES",'Margin Guidence Table'!$A$1:$AG$1,0))),0))</f>
        <v>0</v>
      </c>
      <c r="KX17" s="784">
        <f t="array" ref="KX17">IF('Customer Inputs'!$W$16="End",0,IFERROR(IF($KQ17="SEGMENT",INDEX('Margin Guidence Table'!$A$1:$AG$10000,MATCH(1,('Margin Guidence Table'!$A$1:$A$10000=KO17)*('Margin Guidence Table'!$I$1:$I$10000&lt;=ROUND($KG$3,0))*('Margin Guidence Table'!$J$1:$J$10000&gt;=ROUND($KG$3,0)),0),MATCH("SELF_FUND_PCT_SALES",'Margin Guidence Table'!$A$1:$AG$1,0)),INDEX('Margin Guidence Table'!$A$1:$AG$10000,MATCH(1,('Margin Guidence Table'!$A$1:$A$10000=KO17)*('Margin Guidence Table'!$I$1:$I$10000&lt;=ROUND($KG$3,0))*('Margin Guidence Table'!$J$1:$J$10000&gt;=ROUND($KG$3,0)),0),MATCH("DEFAULT_SELF_FUND_PCT_SALES",'Margin Guidence Table'!$A$1:$AG$1,0))),0))</f>
        <v>0</v>
      </c>
      <c r="KY17" s="784">
        <f t="array" ref="KY17">IF('Customer Inputs'!$W$16="End",0,IF($KH$2="Existing",IFERROR(SUMIFS('Existing Customers'!$V:$V,'Existing Customers'!$H:$H,$KF17,'Existing Customers'!$A:$A,$KG$1)/SUMIFS('Existing Customers'!$Q:$Q,'Existing Customers'!$H:$H,$KF17,'Existing Customers'!$A:$A,$KG$1),0),IFERROR(IF($KQ17="SEGMENT",INDEX('Margin Guidence Table'!$A$1:$AG$10000,MATCH(1,('Margin Guidence Table'!$A$1:$A$10000=KO17)*('Margin Guidence Table'!$I$1:$I$10000&lt;=ROUND($KG$3,0))*('Margin Guidence Table'!$J$1:$J$10000&gt;=ROUND($KG$3,0)),0),MATCH("CIA_MEDIAN_MARGIN_GUIDENCE",'Margin Guidence Table'!$A$1:$AG$1,0)),INDEX('Margin Guidence Table'!$A$1:$AG$10000,MATCH(1,('Margin Guidence Table'!$A$1:$A$10000=KO17)*('Margin Guidence Table'!$I$1:$I$10000&lt;=ROUND($KG$3,0))*('Margin Guidence Table'!$J$1:$J$10000&gt;=ROUND($KG$3,0)),0),MATCH("DEFAULT_CIA_MEDIAN_MARGIN_GUIDENCE",'Margin Guidence Table'!$A$1:$AG$1,0))),0)))</f>
        <v>0</v>
      </c>
      <c r="KZ17" s="784"/>
      <c r="LA17" s="18">
        <f t="array" ref="LA17">IF('Customer Inputs'!$W$17="End",0,IFERROR(IF($LN17="SEGMENT",INDEX('Margin Guidence Table'!$A$1:$AG$10000,MATCH(1,('Margin Guidence Table'!$A$1:$A$10000=$LL17)*('Margin Guidence Table'!$I$1:$I$10000&lt;=ROUND($LD$3,0))*('Margin Guidence Table'!$J$1:$J$10000&gt;=ROUND($LD$3,0)),0),MATCH("PCT_SALES",'Margin Guidence Table'!$A$1:$AG$1,0)),INDEX('Margin Guidence Table'!$A$1:$AG$10000,MATCH(1,('Margin Guidence Table'!$A$1:$A$10000=$LL17)*('Margin Guidence Table'!$I$1:$I$10000&lt;=ROUND($LD$3,0))*('Margin Guidence Table'!$J$1:$J$10000&gt;=ROUND($LD$3,0)),0),MATCH("DEFAULT_PCT_SALES",'Margin Guidence Table'!$A$1:$AG$1,0))),0))</f>
        <v>0</v>
      </c>
      <c r="LB17" s="1713" t="e">
        <f t="shared" si="54"/>
        <v>#DIV/0!</v>
      </c>
      <c r="LC17" s="99" t="s">
        <v>102</v>
      </c>
      <c r="LD17" s="91">
        <f>IF('Customer Inputs'!$W$17="End",0,IFERROR(IF(AND($LD$2&lt;&gt;"Enter Spend&gt;&gt;&gt;",$LE$2="EXISTING"),SUMIFS('Existing Customers'!$Q:$Q,'Existing Customers'!$A:$A,$LD$1,'Existing Customers'!$H:$H,$LC17)*$LD$4,$LD$3*$LB17),0))</f>
        <v>0</v>
      </c>
      <c r="LE17" s="86">
        <f>IF('Customer Inputs'!$W$17="End",0,IFERROR(IF(AND($LD$2&lt;&gt;"Enter Spend&gt;&gt;&gt;",$LE$2="EXISTING"),SUMIFS('Existing Customers'!$N:$N,'Existing Customers'!$A:$A,$LD$1,'Existing Customers'!$H:$H,$LC17)*$LD$4,$LD17/$LO17),0))</f>
        <v>0</v>
      </c>
      <c r="LF17" s="92">
        <f>IF('Customer Inputs'!$W$17="End",0,IFERROR(IF(AND($LD$2&lt;&gt;"Enter Spend&gt;&gt;&gt;",$LE$2="EXISTING"),SUMIFS('Existing Customers'!$O:$O,'Existing Customers'!$H:$H,$LC17,'Existing Customers'!$A:$A,$LD$1)*$LD$4,$LE17*$LD$8),0))</f>
        <v>0</v>
      </c>
      <c r="LG17" s="92">
        <f>IF('Customer Inputs'!$W$17="End",0,IFERROR(IF(AND($LD$2&lt;&gt;"Enter Spend&gt;&gt;&gt;",$LE$2="EXISTING"),SUMIFS('Existing Customers'!$P:$P,'Existing Customers'!$A:$A,$LD$1,'Existing Customers'!$H:$H,$LC17)*$LD$4,$LD17/$LP17),0))</f>
        <v>0</v>
      </c>
      <c r="LH17" s="303">
        <f>IF('Customer Inputs'!$W$17="End",0,IFERROR(IF(AND($LD$2&lt;&gt;"Enter Spend&gt;&gt;&gt;",$LE$2="EXISTING"),SUMIFS('Existing Customers'!$V:$V,'Existing Customers'!$H:$H,$LC17,'Existing Customers'!$A:$A,$LD$1)*$LD$4,0),0))</f>
        <v>0</v>
      </c>
      <c r="LI17" s="93">
        <f>IF('Customer Inputs'!$W$17="End",0,IFERROR(IF(AND($LD$2&lt;&gt;"Enter Spend&gt;&gt;&gt;",$LE$2="EXISTING"),SUMIFS('Existing Customers'!$R:$R,'Existing Customers'!$H:$H,$LC17,'Existing Customers'!$A:$A,$LD$1)*$LD$4,0),0))</f>
        <v>0</v>
      </c>
      <c r="LJ17" s="780">
        <f>IF('Customer Inputs'!$W$17="End",0,IFERROR(IF(AND($LD$2&lt;&gt;"Enter Spend&gt;&gt;&gt;",$LE$2="EXISTING"),SUMIFS('Existing Customers'!$S:$S,'Existing Customers'!$H:$H,$LC17,'Existing Customers'!$A:$A,$LD$1)/SUMIFS('Existing Customers'!$Q:$Q,'Existing Customers'!$A:$A,$LD$1,'Existing Customers'!$H:$H,$LC17),LT17),0))</f>
        <v>0</v>
      </c>
      <c r="LK17" s="780">
        <f>IF('Customer Inputs'!$W$17="End",0,IFERROR(IF(AND($LD$2&lt;&gt;"Enter Spend&gt;&gt;&gt;",$LE$2="EXISTING"),SUMIFS('Existing Customers'!$U:$U,'Existing Customers'!$H:$H,$LC17,'Existing Customers'!$A:$A,$LD$1)/SUMIFS('Existing Customers'!$Q:$Q,'Existing Customers'!$A:$A,$LD$1,'Existing Customers'!$H:$H,$LC17),LU17),0))</f>
        <v>0</v>
      </c>
      <c r="LL17" s="783" t="e">
        <f>_xlfn.CONCAT('Customer Inputs'!$AH$17,"_",LC17)</f>
        <v>#N/A</v>
      </c>
      <c r="LM17" s="783">
        <f t="array" ref="LM17">IF('Customer Inputs'!$W$17="End",0,IFERROR(INDEX('Margin Guidence Table'!$A$1:$AG$10000,MATCH(1,('Margin Guidence Table'!$A$1:$A$10000=LL17)*('Margin Guidence Table'!$I$1:$I$10000&lt;=ROUND($LD$3,0))*('Margin Guidence Table'!$J$1:$J$10000&gt;=ROUND($LD$3,0)),0),MATCH("DATA_POINTS",'Margin Guidence Table'!$A$1:$AG$1,0)),0))</f>
        <v>0</v>
      </c>
      <c r="LN17" s="780" t="str">
        <f t="shared" si="55"/>
        <v>DEFAULT</v>
      </c>
      <c r="LO17" s="780">
        <f t="array" ref="LO17">IF('Customer Inputs'!$W$17="End",0,IFERROR(IF($LN17="SEGMENT",INDEX('Margin Guidence Table'!$A$1:$AG$10000,MATCH(1,('Margin Guidence Table'!$A$1:$A$10000=LL17)*('Margin Guidence Table'!$I$1:$I$10000&lt;=ROUND($LD$3,0))*('Margin Guidence Table'!$J$1:$J$10000&gt;=ROUND($LD$3,0)),0),MATCH("SALES_CASE",'Margin Guidence Table'!$A$1:$AG$1,0)),INDEX('Margin Guidence Table'!$A$1:$AG$10000,MATCH(1,('Margin Guidence Table'!$A$1:$A$10000=LL17)*('Margin Guidence Table'!$I$1:$I$10000&lt;=ROUND($LD$3,0))*('Margin Guidence Table'!$J$1:$J$10000&gt;=ROUND($LD$3,0)),0),MATCH("DEFAULT_SALES_CASE",'Margin Guidence Table'!$A$1:$AG$1,0))),0))</f>
        <v>0</v>
      </c>
      <c r="LP17" s="780">
        <f t="array" ref="LP17">IF('Customer Inputs'!$W$17="End",0,IFERROR(IF($LN17="SEGMENT",INDEX('Margin Guidence Table'!$A$1:$AG$10000,MATCH(1,('Margin Guidence Table'!$A$1:$A$10000=LL17)*('Margin Guidence Table'!$I$1:$I$10000&lt;=ROUND($LD$3,0))*('Margin Guidence Table'!$J$1:$J$10000&gt;=ROUND($LD$3,0)),0),MATCH("SALES_LBS",'Margin Guidence Table'!$A$1:$AG$1,0)),INDEX('Margin Guidence Table'!$A$1:$AG$10000,MATCH(1,('Margin Guidence Table'!$A$1:$A$10000=LL17)*('Margin Guidence Table'!$I$1:$I$10000&lt;=ROUND($LD$3,0))*('Margin Guidence Table'!$J$1:$J$10000&gt;=ROUND($LD$3,0)),0),MATCH("DEFAULT_SALES_LBS",'Margin Guidence Table'!$A$1:$AG$1,0))),0))</f>
        <v>0</v>
      </c>
      <c r="LQ17" s="784">
        <f t="array" ref="LQ17">IF('Customer Inputs'!$W$17="End",0,IFERROR(IF($LN17="SEGMENT",INDEX('Margin Guidence Table'!$A$1:$AG$10000,MATCH(1,('Margin Guidence Table'!$A$1:$A$10000=LL17)*('Margin Guidence Table'!$I$1:$I$10000&lt;=ROUND($LD$3,0))*('Margin Guidence Table'!$J$1:$J$10000&gt;=ROUND($LD$3,0)),0),MATCH("MDA_MIN_MARGIN_GUIDENCE",'Margin Guidence Table'!$A$1:$AG$1,0)),INDEX('Margin Guidence Table'!$A$1:$AG$10000,MATCH(1,('Margin Guidence Table'!$A$1:$A$10000=LL17)*('Margin Guidence Table'!$I$1:$I$10000&lt;=ROUND($LD$3,0))*('Margin Guidence Table'!$J$1:$J$10000&gt;=ROUND($LD$3,0)),0),MATCH("DEFAULT_MDA_MIN_MARGIN_GUIDENCE",'Margin Guidence Table'!$A$1:$AG$1,0))),0))</f>
        <v>0</v>
      </c>
      <c r="LR17" s="784">
        <f t="array" ref="LR17">IF('Customer Inputs'!$W$17="End",0,IFERROR(IF($LN17="SEGMENT",INDEX('Margin Guidence Table'!$A$1:$AG$10000,MATCH(1,('Margin Guidence Table'!$A$1:$A$10000=LL17)*('Margin Guidence Table'!$I$1:$I$10000&lt;=ROUND($LD$3,0))*('Margin Guidence Table'!$J$1:$J$10000&gt;=ROUND($LD$3,0)),0),MATCH("MDA_MEDIAN_MARGIN_GUIDENCE",'Margin Guidence Table'!$A$1:$AG$1,0)),INDEX('Margin Guidence Table'!$A$1:$AG$10000,MATCH(1,('Margin Guidence Table'!$A$1:$A$10000=LL17)*('Margin Guidence Table'!$I$1:$I$10000&lt;=ROUND($LD$3,0))*('Margin Guidence Table'!$J$1:$J$10000&gt;=ROUND($LD$3,0)),0),MATCH("DEFAULT_MDA_MEDIAN_MARGIN_GUIDENCE",'Margin Guidence Table'!$A$1:$AG$1,0))),0))</f>
        <v>0</v>
      </c>
      <c r="LS17" s="784">
        <f t="array" ref="LS17">IF('Customer Inputs'!$W$17="End",0,IFERROR(IF($LN17="SEGMENT",INDEX('Margin Guidence Table'!$A$1:$AG$10000,MATCH(1,('Margin Guidence Table'!$A$1:$A$10000=LL17)*('Margin Guidence Table'!$I$1:$I$10000&lt;=ROUND($LD$3,0))*('Margin Guidence Table'!$J$1:$J$10000&gt;=ROUND($LD$3,0)),0),MATCH("MDA_MAX_MARGIN_GUIDENCE",'Margin Guidence Table'!$A$1:$AG$1,0)),INDEX('Margin Guidence Table'!$A$1:$AG$10000,MATCH(1,('Margin Guidence Table'!$A$1:$A$10000=LL17)*('Margin Guidence Table'!$I$1:$I$10000&lt;=ROUND($LD$3,0))*('Margin Guidence Table'!$J$1:$J$10000&gt;=ROUND($LD$3,0)),0),MATCH("DEFAULT_MDA_MAX_MARGIN_GUIDENCE",'Margin Guidence Table'!$A$1:$AG$1,0))),0))</f>
        <v>0</v>
      </c>
      <c r="LT17" s="784">
        <f t="array" ref="LT17">IF('Customer Inputs'!$W$17="End",0,IFERROR(IF($LN17="SEGMENT",INDEX('Margin Guidence Table'!$A$1:$AG$10000,MATCH(1,('Margin Guidence Table'!$A$1:$A$10000=LL17)*('Margin Guidence Table'!$I$1:$I$10000&lt;=ROUND($LD$3,0))*('Margin Guidence Table'!$J$1:$J$10000&gt;=ROUND($LD$3,0)),0),MATCH("PA_PCT_SALES",'Margin Guidence Table'!$A$1:$AG$1,0)),INDEX('Margin Guidence Table'!$A$1:$AG$10000,MATCH(1,('Margin Guidence Table'!$A$1:$A$10000=LL17)*('Margin Guidence Table'!$I$1:$I$10000&lt;=ROUND($LD$3,0))*('Margin Guidence Table'!$J$1:$J$10000&gt;=ROUND($LD$3,0)),0),MATCH("DEFAULT_PA_PCT_SALES",'Margin Guidence Table'!$A$1:$AG$1,0))),0))</f>
        <v>0</v>
      </c>
      <c r="LU17" s="784">
        <f t="array" ref="LU17">IF('Customer Inputs'!$W$17="End",0,IFERROR(IF($LN17="SEGMENT",INDEX('Margin Guidence Table'!$A$1:$AG$10000,MATCH(1,('Margin Guidence Table'!$A$1:$A$10000=LL17)*('Margin Guidence Table'!$I$1:$I$10000&lt;=ROUND($LD$3,0))*('Margin Guidence Table'!$J$1:$J$10000&gt;=ROUND($LD$3,0)),0),MATCH("SELF_FUND_PCT_SALES",'Margin Guidence Table'!$A$1:$AG$1,0)),INDEX('Margin Guidence Table'!$A$1:$AG$10000,MATCH(1,('Margin Guidence Table'!$A$1:$A$10000=LL17)*('Margin Guidence Table'!$I$1:$I$10000&lt;=ROUND($LD$3,0))*('Margin Guidence Table'!$J$1:$J$10000&gt;=ROUND($LD$3,0)),0),MATCH("DEFAULT_SELF_FUND_PCT_SALES",'Margin Guidence Table'!$A$1:$AG$1,0))),0))</f>
        <v>0</v>
      </c>
      <c r="LV17" s="784">
        <f t="array" ref="LV17">IF('Customer Inputs'!$W$17="End",0,IF($LE$2="Existing",IFERROR(SUMIFS('Existing Customers'!$V:$V,'Existing Customers'!$H:$H,$LC17,'Existing Customers'!$A:$A,$LD$1)/SUMIFS('Existing Customers'!$Q:$Q,'Existing Customers'!$H:$H,$LC17,'Existing Customers'!$A:$A,$LD$1),0),IFERROR(IF($LN17="SEGMENT",INDEX('Margin Guidence Table'!$A$1:$AG$10000,MATCH(1,('Margin Guidence Table'!$A$1:$A$10000=LL17)*('Margin Guidence Table'!$I$1:$I$10000&lt;=ROUND($LD$3,0))*('Margin Guidence Table'!$J$1:$J$10000&gt;=ROUND($LD$3,0)),0),MATCH("CIA_MEDIAN_MARGIN_GUIDENCE",'Margin Guidence Table'!$A$1:$AG$1,0)),INDEX('Margin Guidence Table'!$A$1:$AG$10000,MATCH(1,('Margin Guidence Table'!$A$1:$A$10000=LL17)*('Margin Guidence Table'!$I$1:$I$10000&lt;=ROUND($LD$3,0))*('Margin Guidence Table'!$J$1:$J$10000&gt;=ROUND($LD$3,0)),0),MATCH("DEFAULT_CIA_MEDIAN_MARGIN_GUIDENCE",'Margin Guidence Table'!$A$1:$AG$1,0))),0)))</f>
        <v>0</v>
      </c>
      <c r="LW17" s="784"/>
      <c r="LX17" s="18">
        <f t="array" ref="LX17">IF('Customer Inputs'!$W$18="End",0,IFERROR(IF($MK17="SEGMENT",INDEX('Margin Guidence Table'!$A$1:$AG$10000,MATCH(1,('Margin Guidence Table'!$A$1:$A$10000=$MI17)*('Margin Guidence Table'!$I$1:$I$10000&lt;=ROUND($MA$3,0))*('Margin Guidence Table'!$J$1:$J$10000&gt;=ROUND($MA$3,0)),0),MATCH("PCT_SALES",'Margin Guidence Table'!$A$1:$AG$1,0)),INDEX('Margin Guidence Table'!$A$1:$AG$10000,MATCH(1,('Margin Guidence Table'!$A$1:$A$10000=$MI17)*('Margin Guidence Table'!$I$1:$I$10000&lt;=ROUND($MA$3,0))*('Margin Guidence Table'!$J$1:$J$10000&gt;=ROUND($MA$3,0)),0),MATCH("DEFAULT_PCT_SALES",'Margin Guidence Table'!$A$1:$AG$1,0))),0))</f>
        <v>0</v>
      </c>
      <c r="LY17" s="1713" t="e">
        <f t="shared" si="56"/>
        <v>#DIV/0!</v>
      </c>
      <c r="LZ17" s="99" t="s">
        <v>102</v>
      </c>
      <c r="MA17" s="91">
        <f>IF('Customer Inputs'!$W$18="End",0,IFERROR(IF(AND($MA$2&lt;&gt;"Enter Spend&gt;&gt;&gt;",$MB$2="EXISTING"),SUMIFS('Existing Customers'!$Q:$Q,'Existing Customers'!$A:$A,$MA$1,'Existing Customers'!$H:$H,$LZ17)*$MA$4,$MA$3*$LY17),0))</f>
        <v>0</v>
      </c>
      <c r="MB17" s="86">
        <f>IF('Customer Inputs'!$W$18="End",0,IFERROR(IF(AND($MA$2&lt;&gt;"Enter Spend&gt;&gt;&gt;",$MB$2="EXISTING"),SUMIFS('Existing Customers'!$N:$N,'Existing Customers'!$A:$A,$MA$1,'Existing Customers'!$H:$H,$LZ17)*$MA$4,$MA17/$ML17),0))</f>
        <v>0</v>
      </c>
      <c r="MC17" s="92">
        <f>IF('Customer Inputs'!$W$18="End",0,IFERROR(IF(AND($MA$2&lt;&gt;"Enter Spend&gt;&gt;&gt;",$MB$2="EXISTING"),SUMIFS('Existing Customers'!$O:$O,'Existing Customers'!$H:$H,$LZ17,'Existing Customers'!$A:$A,$MA$1)*$MA$4,$MB17*$MA$8),0))</f>
        <v>0</v>
      </c>
      <c r="MD17" s="92">
        <f>IF('Customer Inputs'!$W$18="End",0,IFERROR(IF(AND($MA$2&lt;&gt;"Enter Spend&gt;&gt;&gt;",$MB$2="EXISTING"),SUMIFS('Existing Customers'!$P:$P,'Existing Customers'!$A:$A,$MA$1,'Existing Customers'!$H:$H,$LZ17)*$MA$4,$MA17/$MM17),0))</f>
        <v>0</v>
      </c>
      <c r="ME17" s="303">
        <f>IF('Customer Inputs'!$W$18="End",0,IFERROR(IF(AND($MA$2&lt;&gt;"Enter Spend&gt;&gt;&gt;",$MB$2="EXISTING"),SUMIFS('Existing Customers'!$V:$V,'Existing Customers'!$H:$H,$LZ17,'Existing Customers'!$A:$A,$MA$1)*$MA$4,0),0))</f>
        <v>0</v>
      </c>
      <c r="MF17" s="93">
        <f>IF('Customer Inputs'!$W$18="End",0,IFERROR(IF(AND($MA$2&lt;&gt;"Enter Spend&gt;&gt;&gt;",$MB$2="EXISTING"),SUMIFS('Existing Customers'!$R:$R,'Existing Customers'!$H:$H,$LZ17,'Existing Customers'!$A:$A,$MA$1)*$MA$4,0),0))</f>
        <v>0</v>
      </c>
      <c r="MG17" s="780">
        <f>IF('Customer Inputs'!$W$18="End",0,IFERROR(IF(AND($MA$2&lt;&gt;"Enter Spend&gt;&gt;&gt;",$MB$2="EXISTING"),SUMIFS('Existing Customers'!$S:$S,'Existing Customers'!$H:$H,$LZ17,'Existing Customers'!$A:$A,$MA$1)/SUMIFS('Existing Customers'!$Q:$Q,'Existing Customers'!$A:$A,$MA$1,'Existing Customers'!$H:$H,$LZ17),MQ17),0))</f>
        <v>0</v>
      </c>
      <c r="MH17" s="780">
        <f>IF('Customer Inputs'!$W$18="End",0,IFERROR(IF(AND($MA$2&lt;&gt;"Enter Spend&gt;&gt;&gt;",$MB$2="EXISTING"),SUMIFS('Existing Customers'!$U:$U,'Existing Customers'!$H:$H,$LZ17,'Existing Customers'!$A:$A,$MA$1)/SUMIFS('Existing Customers'!$Q:$Q,'Existing Customers'!$A:$A,$MA$1,'Existing Customers'!$H:$H,$LZ17),MR17),0))</f>
        <v>0</v>
      </c>
      <c r="MI17" s="783" t="e">
        <f>_xlfn.CONCAT('Customer Inputs'!$AH$18,"_",LZ17)</f>
        <v>#N/A</v>
      </c>
      <c r="MJ17" s="783">
        <f t="array" ref="MJ17">IF('Customer Inputs'!$W$18="End",0,IFERROR(INDEX('Margin Guidence Table'!$A$1:$AG$10000,MATCH(1,('Margin Guidence Table'!$A$1:$A$10000=MI17)*('Margin Guidence Table'!$I$1:$I$10000&lt;=ROUND($MA$3,0))*('Margin Guidence Table'!$J$1:$J$10000&gt;=ROUND($MA$3,0)),0),MATCH("DATA_POINTS",'Margin Guidence Table'!$A$1:$AG$1,0)),0))</f>
        <v>0</v>
      </c>
      <c r="MK17" s="780" t="str">
        <f t="shared" si="57"/>
        <v>DEFAULT</v>
      </c>
      <c r="ML17" s="780">
        <f t="array" ref="ML17">IF('Customer Inputs'!$W$18="End",0,IFERROR(IF($MK17="SEGMENT",INDEX('Margin Guidence Table'!$A$1:$AG$10000,MATCH(1,('Margin Guidence Table'!$A$1:$A$10000=MI17)*('Margin Guidence Table'!$I$1:$I$10000&lt;=ROUND($MA$3,0))*('Margin Guidence Table'!$J$1:$J$10000&gt;=ROUND($MA$3,0)),0),MATCH("SALES_CASE",'Margin Guidence Table'!$A$1:$AG$1,0)),INDEX('Margin Guidence Table'!$A$1:$AG$10000,MATCH(1,('Margin Guidence Table'!$A$1:$A$10000=MI17)*('Margin Guidence Table'!$I$1:$I$10000&lt;=ROUND($MA$3,0))*('Margin Guidence Table'!$J$1:$J$10000&gt;=ROUND($MA$3,0)),0),MATCH("DEFAULT_SALES_CASE",'Margin Guidence Table'!$A$1:$AG$1,0))),0))</f>
        <v>0</v>
      </c>
      <c r="MM17" s="780">
        <f t="array" ref="MM17">IF('Customer Inputs'!$W$18="End",0,IFERROR(IF($MK17="SEGMENT",INDEX('Margin Guidence Table'!$A$1:$AG$10000,MATCH(1,('Margin Guidence Table'!$A$1:$A$10000=MI17)*('Margin Guidence Table'!$I$1:$I$10000&lt;=ROUND($MA$3,0))*('Margin Guidence Table'!$J$1:$J$10000&gt;=ROUND($MA$3,0)),0),MATCH("SALES_LBS",'Margin Guidence Table'!$A$1:$AG$1,0)),INDEX('Margin Guidence Table'!$A$1:$AG$10000,MATCH(1,('Margin Guidence Table'!$A$1:$A$10000=MI17)*('Margin Guidence Table'!$I$1:$I$10000&lt;=ROUND($MA$3,0))*('Margin Guidence Table'!$J$1:$J$10000&gt;=ROUND($MA$3,0)),0),MATCH("DEFAULT_SALES_LBS",'Margin Guidence Table'!$A$1:$AG$1,0))),0))</f>
        <v>0</v>
      </c>
      <c r="MN17" s="784">
        <f t="array" ref="MN17">IF('Customer Inputs'!$W$18="End",0,IFERROR(IF($MK17="SEGMENT",INDEX('Margin Guidence Table'!$A$1:$AG$10000,MATCH(1,('Margin Guidence Table'!$A$1:$A$10000=MI17)*('Margin Guidence Table'!$I$1:$I$10000&lt;=ROUND($MA$3,0))*('Margin Guidence Table'!$J$1:$J$10000&gt;=ROUND($MA$3,0)),0),MATCH("MDA_MIN_MARGIN_GUIDENCE",'Margin Guidence Table'!$A$1:$AG$1,0)),INDEX('Margin Guidence Table'!$A$1:$AG$10000,MATCH(1,('Margin Guidence Table'!$A$1:$A$10000=MI17)*('Margin Guidence Table'!$I$1:$I$10000&lt;=ROUND($MA$3,0))*('Margin Guidence Table'!$J$1:$J$10000&gt;=ROUND($MA$3,0)),0),MATCH("DEFAULT_MDA_MIN_MARGIN_GUIDENCE",'Margin Guidence Table'!$A$1:$AG$1,0))),0))</f>
        <v>0</v>
      </c>
      <c r="MO17" s="784">
        <f t="array" ref="MO17">IF('Customer Inputs'!$W$18="End",0,IFERROR(IF($MK17="SEGMENT",INDEX('Margin Guidence Table'!$A$1:$AG$10000,MATCH(1,('Margin Guidence Table'!$A$1:$A$10000=MI17)*('Margin Guidence Table'!$I$1:$I$10000&lt;=ROUND($MA$3,0))*('Margin Guidence Table'!$J$1:$J$10000&gt;=ROUND($MA$3,0)),0),MATCH("MDA_MEDIAN_MARGIN_GUIDENCE",'Margin Guidence Table'!$A$1:$AG$1,0)),INDEX('Margin Guidence Table'!$A$1:$AG$10000,MATCH(1,('Margin Guidence Table'!$A$1:$A$10000=MI17)*('Margin Guidence Table'!$I$1:$I$10000&lt;=ROUND($MA$3,0))*('Margin Guidence Table'!$J$1:$J$10000&gt;=ROUND($MA$3,0)),0),MATCH("DEFAULT_MDA_MEDIAN_MARGIN_GUIDENCE",'Margin Guidence Table'!$A$1:$AG$1,0))),0))</f>
        <v>0</v>
      </c>
      <c r="MP17" s="784">
        <f t="array" ref="MP17">IF('Customer Inputs'!$W$18="End",0,IFERROR(IF($MK17="SEGMENT",INDEX('Margin Guidence Table'!$A$1:$AG$10000,MATCH(1,('Margin Guidence Table'!$A$1:$A$10000=MI17)*('Margin Guidence Table'!$I$1:$I$10000&lt;=ROUND($MA$3,0))*('Margin Guidence Table'!$J$1:$J$10000&gt;=ROUND($MA$3,0)),0),MATCH("MDA_MAX_MARGIN_GUIDENCE",'Margin Guidence Table'!$A$1:$AG$1,0)),INDEX('Margin Guidence Table'!$A$1:$AG$10000,MATCH(1,('Margin Guidence Table'!$A$1:$A$10000=MI17)*('Margin Guidence Table'!$I$1:$I$10000&lt;=ROUND($MA$3,0))*('Margin Guidence Table'!$J$1:$J$10000&gt;=ROUND($MA$3,0)),0),MATCH("DEFAULT_MDA_MAX_MARGIN_GUIDENCE",'Margin Guidence Table'!$A$1:$AG$1,0))),0))</f>
        <v>0</v>
      </c>
      <c r="MQ17" s="784">
        <f t="array" ref="MQ17">IF('Customer Inputs'!$W$18="End",0,IFERROR(IF($MK17="SEGMENT",INDEX('Margin Guidence Table'!$A$1:$AG$10000,MATCH(1,('Margin Guidence Table'!$A$1:$A$10000=MI17)*('Margin Guidence Table'!$I$1:$I$10000&lt;=ROUND($MA$3,0))*('Margin Guidence Table'!$J$1:$J$10000&gt;=ROUND($MA$3,0)),0),MATCH("PA_PCT_SALES",'Margin Guidence Table'!$A$1:$AG$1,0)),INDEX('Margin Guidence Table'!$A$1:$AG$10000,MATCH(1,('Margin Guidence Table'!$A$1:$A$10000=MI17)*('Margin Guidence Table'!$I$1:$I$10000&lt;=ROUND($MA$3,0))*('Margin Guidence Table'!$J$1:$J$10000&gt;=ROUND($MA$3,0)),0),MATCH("DEFAULT_PA_PCT_SALES",'Margin Guidence Table'!$A$1:$AG$1,0))),0))</f>
        <v>0</v>
      </c>
      <c r="MR17" s="784">
        <f t="array" ref="MR17">IF('Customer Inputs'!$W$18="End",0,IFERROR(IF($MK17="SEGMENT",INDEX('Margin Guidence Table'!$A$1:$AG$10000,MATCH(1,('Margin Guidence Table'!$A$1:$A$10000=MI17)*('Margin Guidence Table'!$I$1:$I$10000&lt;=ROUND($MA$3,0))*('Margin Guidence Table'!$J$1:$J$10000&gt;=ROUND($MA$3,0)),0),MATCH("SELF_FUND_PCT_SALES",'Margin Guidence Table'!$A$1:$AG$1,0)),INDEX('Margin Guidence Table'!$A$1:$AG$10000,MATCH(1,('Margin Guidence Table'!$A$1:$A$10000=MI17)*('Margin Guidence Table'!$I$1:$I$10000&lt;=ROUND($MA$3,0))*('Margin Guidence Table'!$J$1:$J$10000&gt;=ROUND($MA$3,0)),0),MATCH("DEFAULT_SELF_FUND_PCT_SALES",'Margin Guidence Table'!$A$1:$AG$1,0))),0))</f>
        <v>0</v>
      </c>
      <c r="MS17" s="784">
        <f t="array" ref="MS17">IF('Customer Inputs'!$W$18="End",0,IF($MB$2="Existing",IFERROR(SUMIFS('Existing Customers'!$V:$V,'Existing Customers'!$H:$H,$LZ17,'Existing Customers'!$A:$A,$MA$1)/SUMIFS('Existing Customers'!$Q:$Q,'Existing Customers'!$H:$H,$LZ17,'Existing Customers'!$A:$A,$MA$1),0),IFERROR(IF($MK17="SEGMENT",INDEX('Margin Guidence Table'!$A$1:$AG$10000,MATCH(1,('Margin Guidence Table'!$A$1:$A$10000=MI17)*('Margin Guidence Table'!$I$1:$I$10000&lt;=ROUND($MA$3,0))*('Margin Guidence Table'!$J$1:$J$10000&gt;=ROUND($MA$3,0)),0),MATCH("CIA_MEDIAN_MARGIN_GUIDENCE",'Margin Guidence Table'!$A$1:$AG$1,0)),INDEX('Margin Guidence Table'!$A$1:$AG$10000,MATCH(1,('Margin Guidence Table'!$A$1:$A$10000=MI17)*('Margin Guidence Table'!$I$1:$I$10000&lt;=ROUND($MA$3,0))*('Margin Guidence Table'!$J$1:$J$10000&gt;=ROUND($MA$3,0)),0),MATCH("DEFAULT_CIA_MEDIAN_MARGIN_GUIDENCE",'Margin Guidence Table'!$A$1:$AG$1,0))),0)))</f>
        <v>0</v>
      </c>
      <c r="MT17" s="784"/>
      <c r="MU17" s="18">
        <f t="array" ref="MU17">IF('Customer Inputs'!$W$19="End",0,IFERROR(IF($NH17="SEGMENT",INDEX('Margin Guidence Table'!$A$1:$AG$10000,MATCH(1,('Margin Guidence Table'!$A$1:$A$10000=$NF17)*('Margin Guidence Table'!$I$1:$I$10000&lt;=ROUND($MX$3,0))*('Margin Guidence Table'!$J$1:$J$10000&gt;=ROUND($MX$3,0)),0),MATCH("PCT_SALES",'Margin Guidence Table'!$A$1:$AG$1,0)),INDEX('Margin Guidence Table'!$A$1:$AG$10000,MATCH(1,('Margin Guidence Table'!$A$1:$A$10000=$NF17)*('Margin Guidence Table'!$I$1:$I$10000&lt;=ROUND($MX$3,0))*('Margin Guidence Table'!$J$1:$J$10000&gt;=ROUND($MX$3,0)),0),MATCH("DEFAULT_PCT_SALES",'Margin Guidence Table'!$A$1:$AG$1,0))),0))</f>
        <v>0</v>
      </c>
      <c r="MV17" s="1713" t="e">
        <f t="shared" si="58"/>
        <v>#DIV/0!</v>
      </c>
      <c r="MW17" s="99" t="s">
        <v>102</v>
      </c>
      <c r="MX17" s="91">
        <f>IF('Customer Inputs'!$W$19="End",0,IFERROR(IF(AND($MX$2&lt;&gt;"Enter Spend&gt;&gt;&gt;",$MY$2="EXISTING"),SUMIFS('Existing Customers'!$Q:$Q,'Existing Customers'!$A:$A,$MX$1,'Existing Customers'!$H:$H,$MW17)*$MX$4,$MX$3*$MV17),0))</f>
        <v>0</v>
      </c>
      <c r="MY17" s="86">
        <f>IF('Customer Inputs'!$W$19="End",0,IFERROR(IF(AND($MX$2&lt;&gt;"Enter Spend&gt;&gt;&gt;",$MY$2="EXISTING"),SUMIFS('Existing Customers'!$N:$N,'Existing Customers'!$A:$A,$MX$1,'Existing Customers'!$H:$H,$MW17)*$MX$4,$MX17/$NI17),0))</f>
        <v>0</v>
      </c>
      <c r="MZ17" s="92">
        <f>IF('Customer Inputs'!$W$19="End",0,IFERROR(IF(AND($MX$2&lt;&gt;"Enter Spend&gt;&gt;&gt;",$MY$2="EXISTING"),SUMIFS('Existing Customers'!$O:$O,'Existing Customers'!$H:$H,$MW17,'Existing Customers'!$A:$A,$MX$1)*$MX$4,$MY17*$MX$8),0))</f>
        <v>0</v>
      </c>
      <c r="NA17" s="92">
        <f>IF('Customer Inputs'!$W$19="End",0,IFERROR(IF(AND($MX$2&lt;&gt;"Enter Spend&gt;&gt;&gt;",$MY$2="EXISTING"),SUMIFS('Existing Customers'!$P:$P,'Existing Customers'!$A:$A,$MX$1,'Existing Customers'!$H:$H,$MW17)*$MX$4,$MX17/$NJ17),0))</f>
        <v>0</v>
      </c>
      <c r="NB17" s="303">
        <f>IF('Customer Inputs'!$W$19="End",0,IFERROR(IF(AND($MX$2&lt;&gt;"Enter Spend&gt;&gt;&gt;",$MY$2="EXISTING"),SUMIFS('Existing Customers'!$V:$V,'Existing Customers'!$H:$H,$MW17,'Existing Customers'!$A:$A,$MX$1)*$MX$4,0),0))</f>
        <v>0</v>
      </c>
      <c r="NC17" s="93">
        <f>IF('Customer Inputs'!$W$19="End",0,IFERROR(IF(AND($MX$2&lt;&gt;"Enter Spend&gt;&gt;&gt;",$MY$2="EXISTING"),SUMIFS('Existing Customers'!$R:$R,'Existing Customers'!$H:$H,$MW17,'Existing Customers'!$A:$A,$MX$1)*$MX$4,0),0))</f>
        <v>0</v>
      </c>
      <c r="ND17" s="780">
        <f>IF('Customer Inputs'!$W$19="End",0,IFERROR(IF(AND($MX$2&lt;&gt;"Enter Spend&gt;&gt;&gt;",$MY$2="EXISTING"),SUMIFS('Existing Customers'!$S:$S,'Existing Customers'!$H:$H,$MW17,'Existing Customers'!$A:$A,$MX$1)/SUMIFS('Existing Customers'!$Q:$Q,'Existing Customers'!$A:$A,$MX$1,'Existing Customers'!$H:$H,$MW17),NN17),0))</f>
        <v>0</v>
      </c>
      <c r="NE17" s="780">
        <f>IF('Customer Inputs'!$W$19="End",0,IFERROR(IF(AND($MX$2&lt;&gt;"Enter Spend&gt;&gt;&gt;",$MY$2="EXISTING"),SUMIFS('Existing Customers'!$U:$U,'Existing Customers'!$H:$H,$MW17,'Existing Customers'!$A:$A,$MX$1)/SUMIFS('Existing Customers'!$Q:$Q,'Existing Customers'!$A:$A,$MX$1,'Existing Customers'!$H:$H,$MW17),NO17),0))</f>
        <v>0</v>
      </c>
      <c r="NF17" s="783" t="e">
        <f>_xlfn.CONCAT('Customer Inputs'!$AH$19,"_",MW17)</f>
        <v>#N/A</v>
      </c>
      <c r="NG17" s="783">
        <f t="array" ref="NG17">IF('Customer Inputs'!$W$19="End",0,IFERROR(INDEX('Margin Guidence Table'!$A$1:$AG$10000,MATCH(1,('Margin Guidence Table'!$A$1:$A$10000=NF17)*('Margin Guidence Table'!$I$1:$I$10000&lt;=ROUND($MX$3,0))*('Margin Guidence Table'!$J$1:$J$10000&gt;=ROUND($MX$3,0)),0),MATCH("DATA_POINTS",'Margin Guidence Table'!$A$1:$AG$1,0)),0))</f>
        <v>0</v>
      </c>
      <c r="NH17" s="780" t="str">
        <f t="shared" si="59"/>
        <v>DEFAULT</v>
      </c>
      <c r="NI17" s="780">
        <f t="array" ref="NI17">IF('Customer Inputs'!$W$19="End",0,IFERROR(IF($NH17="SEGMENT",INDEX('Margin Guidence Table'!$A$1:$AG$10000,MATCH(1,('Margin Guidence Table'!$A$1:$A$10000=NF17)*('Margin Guidence Table'!$I$1:$I$10000&lt;=ROUND($MX$3,0))*('Margin Guidence Table'!$J$1:$J$10000&gt;=ROUND($MX$3,0)),0),MATCH("SALES_CASE",'Margin Guidence Table'!$A$1:$AG$1,0)),INDEX('Margin Guidence Table'!$A$1:$AG$10000,MATCH(1,('Margin Guidence Table'!$A$1:$A$10000=NF17)*('Margin Guidence Table'!$I$1:$I$10000&lt;=ROUND($MX$3,0))*('Margin Guidence Table'!$J$1:$J$10000&gt;=ROUND($MX$3,0)),0),MATCH("DEFAULT_SALES_CASE",'Margin Guidence Table'!$A$1:$AG$1,0))),0))</f>
        <v>0</v>
      </c>
      <c r="NJ17" s="780">
        <f t="array" ref="NJ17">IF('Customer Inputs'!$W$19="End",0,IFERROR(IF($NH17="SEGMENT",INDEX('Margin Guidence Table'!$A$1:$AG$10000,MATCH(1,('Margin Guidence Table'!$A$1:$A$10000=NF17)*('Margin Guidence Table'!$I$1:$I$10000&lt;=ROUND($MX$3,0))*('Margin Guidence Table'!$J$1:$J$10000&gt;=ROUND($MX$3,0)),0),MATCH("SALES_LBS",'Margin Guidence Table'!$A$1:$AG$1,0)),INDEX('Margin Guidence Table'!$A$1:$AG$10000,MATCH(1,('Margin Guidence Table'!$A$1:$A$10000=NF17)*('Margin Guidence Table'!$I$1:$I$10000&lt;=ROUND($MX$3,0))*('Margin Guidence Table'!$J$1:$J$10000&gt;=ROUND($MX$3,0)),0),MATCH("DEFAULT_SALES_LBS",'Margin Guidence Table'!$A$1:$AG$1,0))),0))</f>
        <v>0</v>
      </c>
      <c r="NK17" s="784">
        <f t="array" ref="NK17">IF('Customer Inputs'!$W$19="End",0,IFERROR(IF($NH17="SEGMENT",INDEX('Margin Guidence Table'!$A$1:$AG$10000,MATCH(1,('Margin Guidence Table'!$A$1:$A$10000=NF17)*('Margin Guidence Table'!$I$1:$I$10000&lt;=ROUND($MX$3,0))*('Margin Guidence Table'!$J$1:$J$10000&gt;=ROUND($MX$3,0)),0),MATCH("MDA_MIN_MARGIN_GUIDENCE",'Margin Guidence Table'!$A$1:$AG$1,0)),INDEX('Margin Guidence Table'!$A$1:$AG$10000,MATCH(1,('Margin Guidence Table'!$A$1:$A$10000=NF17)*('Margin Guidence Table'!$I$1:$I$10000&lt;=ROUND($MX$3,0))*('Margin Guidence Table'!$J$1:$J$10000&gt;=ROUND($MX$3,0)),0),MATCH("DEFAULT_MDA_MIN_MARGIN_GUIDENCE",'Margin Guidence Table'!$A$1:$AG$1,0))),0))</f>
        <v>0</v>
      </c>
      <c r="NL17" s="784">
        <f t="array" ref="NL17">IF('Customer Inputs'!$W$19="End",0,IFERROR(IF($NH17="SEGMENT",INDEX('Margin Guidence Table'!$A$1:$AG$10000,MATCH(1,('Margin Guidence Table'!$A$1:$A$10000=NF17)*('Margin Guidence Table'!$I$1:$I$10000&lt;=ROUND($MX$3,0))*('Margin Guidence Table'!$J$1:$J$10000&gt;=ROUND($MX$3,0)),0),MATCH("MDA_MEDIAN_MARGIN_GUIDENCE",'Margin Guidence Table'!$A$1:$AG$1,0)),INDEX('Margin Guidence Table'!$A$1:$AG$10000,MATCH(1,('Margin Guidence Table'!$A$1:$A$10000=NF17)*('Margin Guidence Table'!$I$1:$I$10000&lt;=ROUND($MX$3,0))*('Margin Guidence Table'!$J$1:$J$10000&gt;=ROUND($MX$3,0)),0),MATCH("DEFAULT_MDA_MEDIAN_MARGIN_GUIDENCE",'Margin Guidence Table'!$A$1:$AG$1,0))),0))</f>
        <v>0</v>
      </c>
      <c r="NM17" s="784">
        <f t="array" ref="NM17">IF('Customer Inputs'!$W$19="End",0,IFERROR(IF($NH17="SEGMENT",INDEX('Margin Guidence Table'!$A$1:$AG$10000,MATCH(1,('Margin Guidence Table'!$A$1:$A$10000=NF17)*('Margin Guidence Table'!$I$1:$I$10000&lt;=ROUND($MX$3,0))*('Margin Guidence Table'!$J$1:$J$10000&gt;=ROUND($MX$3,0)),0),MATCH("MDA_MAX_MARGIN_GUIDENCE",'Margin Guidence Table'!$A$1:$AG$1,0)),INDEX('Margin Guidence Table'!$A$1:$AG$10000,MATCH(1,('Margin Guidence Table'!$A$1:$A$10000=NF17)*('Margin Guidence Table'!$I$1:$I$10000&lt;=ROUND($MX$3,0))*('Margin Guidence Table'!$J$1:$J$10000&gt;=ROUND($MX$3,0)),0),MATCH("DEFAULT_MDA_MAX_MARGIN_GUIDENCE",'Margin Guidence Table'!$A$1:$AG$1,0))),0))</f>
        <v>0</v>
      </c>
      <c r="NN17" s="784">
        <f t="array" ref="NN17">IF('Customer Inputs'!$W$19="End",0,IFERROR(IF($NH17="SEGMENT",INDEX('Margin Guidence Table'!$A$1:$AG$10000,MATCH(1,('Margin Guidence Table'!$A$1:$A$10000=NF17)*('Margin Guidence Table'!$I$1:$I$10000&lt;=ROUND($MX$3,0))*('Margin Guidence Table'!$J$1:$J$10000&gt;=ROUND($MX$3,0)),0),MATCH("PA_PCT_SALES",'Margin Guidence Table'!$A$1:$AG$1,0)),INDEX('Margin Guidence Table'!$A$1:$AG$10000,MATCH(1,('Margin Guidence Table'!$A$1:$A$10000=NF17)*('Margin Guidence Table'!$I$1:$I$10000&lt;=ROUND($MX$3,0))*('Margin Guidence Table'!$J$1:$J$10000&gt;=ROUND($MX$3,0)),0),MATCH("DEFAULT_PA_PCT_SALES",'Margin Guidence Table'!$A$1:$AG$1,0))),0))</f>
        <v>0</v>
      </c>
      <c r="NO17" s="784">
        <f t="array" ref="NO17">IF('Customer Inputs'!$W$19="End",0,IFERROR(IF($NH17="SEGMENT",INDEX('Margin Guidence Table'!$A$1:$AG$10000,MATCH(1,('Margin Guidence Table'!$A$1:$A$10000=NF17)*('Margin Guidence Table'!$I$1:$I$10000&lt;=ROUND($MX$3,0))*('Margin Guidence Table'!$J$1:$J$10000&gt;=ROUND($MX$3,0)),0),MATCH("SELF_FUND_PCT_SALES",'Margin Guidence Table'!$A$1:$AG$1,0)),INDEX('Margin Guidence Table'!$A$1:$AG$10000,MATCH(1,('Margin Guidence Table'!$A$1:$A$10000=NF17)*('Margin Guidence Table'!$I$1:$I$10000&lt;=ROUND($MX$3,0))*('Margin Guidence Table'!$J$1:$J$10000&gt;=ROUND($MX$3,0)),0),MATCH("DEFAULT_SELF_FUND_PCT_SALES",'Margin Guidence Table'!$A$1:$AG$1,0))),0))</f>
        <v>0</v>
      </c>
      <c r="NP17" s="784">
        <f t="array" ref="NP17">IF('Customer Inputs'!$W$19="End",0,IF($MY$2="Existing",IFERROR(SUMIFS('Existing Customers'!$V:$V,'Existing Customers'!$H:$H,$MW17,'Existing Customers'!$A:$A,$MX$1)/SUMIFS('Existing Customers'!$Q:$Q,'Existing Customers'!$H:$H,$MW17,'Existing Customers'!$A:$A,$MX$1),0),IFERROR(IF($NH17="SEGMENT",INDEX('Margin Guidence Table'!$A$1:$AG$10000,MATCH(1,('Margin Guidence Table'!$A$1:$A$10000=NF17)*('Margin Guidence Table'!$I$1:$I$10000&lt;=ROUND($MX$3,0))*('Margin Guidence Table'!$J$1:$J$10000&gt;=ROUND($MX$3,0)),0),MATCH("CIA_MEDIAN_MARGIN_GUIDENCE",'Margin Guidence Table'!$A$1:$AG$1,0)),INDEX('Margin Guidence Table'!$A$1:$AG$10000,MATCH(1,('Margin Guidence Table'!$A$1:$A$10000=NF17)*('Margin Guidence Table'!$I$1:$I$10000&lt;=ROUND($MX$3,0))*('Margin Guidence Table'!$J$1:$J$10000&gt;=ROUND($MX$3,0)),0),MATCH("DEFAULT_CIA_MEDIAN_MARGIN_GUIDENCE",'Margin Guidence Table'!$A$1:$AG$1,0))),0)))</f>
        <v>0</v>
      </c>
      <c r="NQ17" s="784"/>
      <c r="NR17" s="18">
        <f t="array" ref="NR17">IF('Customer Inputs'!$W$20="End",0,IFERROR(IF($OE17="SEGMENT",INDEX('Margin Guidence Table'!$A$1:$AG$10000,MATCH(1,('Margin Guidence Table'!$A$1:$A$10000=$OC17)*('Margin Guidence Table'!$I$1:$I$10000&lt;=ROUND($NU$3,0))*('Margin Guidence Table'!$J$1:$J$10000&gt;=ROUND($NU$3,0)),0),MATCH("PCT_SALES",'Margin Guidence Table'!$A$1:$AG$1,0)),INDEX('Margin Guidence Table'!$A$1:$AG$10000,MATCH(1,('Margin Guidence Table'!$A$1:$A$10000=$OC17)*('Margin Guidence Table'!$I$1:$I$10000&lt;=ROUND($NU$3,0))*('Margin Guidence Table'!$J$1:$J$10000&gt;=ROUND($NU$3,0)),0),MATCH("DEFAULT_PCT_SALES",'Margin Guidence Table'!$A$1:$AG$1,0))),0))</f>
        <v>0</v>
      </c>
      <c r="NS17" s="1713" t="e">
        <f t="shared" si="60"/>
        <v>#DIV/0!</v>
      </c>
      <c r="NT17" s="99" t="s">
        <v>102</v>
      </c>
      <c r="NU17" s="91">
        <f>IF('Customer Inputs'!$W$20="End",0,IFERROR(IF(AND($NU$2&lt;&gt;"Enter Spend&gt;&gt;&gt;",$NV$2="EXISTING"),SUMIFS('Existing Customers'!$Q:$Q,'Existing Customers'!$A:$A,$NU$1,'Existing Customers'!$H:$H,$NT17)*$NU$4,$NU$3*$NS17),0))</f>
        <v>0</v>
      </c>
      <c r="NV17" s="86">
        <f>IF('Customer Inputs'!$W$20="End",0,IFERROR(IF(AND($NU$2&lt;&gt;"Enter Spend&gt;&gt;&gt;",$NV$2="EXISTING"),SUMIFS('Existing Customers'!$N:$N,'Existing Customers'!$A:$A,$NU$1,'Existing Customers'!$H:$H,$NT17)*$NU$4,$NU17/$OF17),0))</f>
        <v>0</v>
      </c>
      <c r="NW17" s="92">
        <f>IF('Customer Inputs'!$W$20="End",0,IFERROR(IF(AND($NU$2&lt;&gt;"Enter Spend&gt;&gt;&gt;",$NV$2="EXISTING"),SUMIFS('Existing Customers'!$O:$O,'Existing Customers'!$H:$H,$NT17,'Existing Customers'!$A:$A,$NU$1)*$NU$4,$NV17*$NU$8),0))</f>
        <v>0</v>
      </c>
      <c r="NX17" s="92">
        <f>IF('Customer Inputs'!$W$20="End",0,IFERROR(IF(AND($NU$2&lt;&gt;"Enter Spend&gt;&gt;&gt;",$NV$2="EXISTING"),SUMIFS('Existing Customers'!$P:$P,'Existing Customers'!$A:$A,$NU$1,'Existing Customers'!$H:$H,$NT17)*$NU$4,$NU17/$OG17),0))</f>
        <v>0</v>
      </c>
      <c r="NY17" s="303">
        <f>IF('Customer Inputs'!$W$20="End",0,IFERROR(IF(AND($NU$2&lt;&gt;"Enter Spend&gt;&gt;&gt;",$NV$2="EXISTING"),SUMIFS('Existing Customers'!$V:$V,'Existing Customers'!$H:$H,$NT17,'Existing Customers'!$A:$A,$NU$1)*$NU$4,0),0))</f>
        <v>0</v>
      </c>
      <c r="NZ17" s="93">
        <f>IF('Customer Inputs'!$W$20="End",0,IFERROR(IF(AND($NU$2&lt;&gt;"Enter Spend&gt;&gt;&gt;",$NV$2="EXISTING"),SUMIFS('Existing Customers'!$R:$R,'Existing Customers'!$H:$H,$NT17,'Existing Customers'!$A:$A,$NU$1)*$NU$4,0),0))</f>
        <v>0</v>
      </c>
      <c r="OA17" s="780">
        <f>IF('Customer Inputs'!$W$20="End",0,IFERROR(IF(AND($NU$2&lt;&gt;"Enter Spend&gt;&gt;&gt;",$NV$2="EXISTING"),SUMIFS('Existing Customers'!$S:$S,'Existing Customers'!$H:$H,$NT17,'Existing Customers'!$A:$A,$NU$1)/SUMIFS('Existing Customers'!$Q:$Q,'Existing Customers'!$A:$A,$NU$1,'Existing Customers'!$H:$H,$NT17),OK17),0))</f>
        <v>0</v>
      </c>
      <c r="OB17" s="780">
        <f>IF('Customer Inputs'!$W$20="End",0,IFERROR(IF(AND($NU$2&lt;&gt;"Enter Spend&gt;&gt;&gt;",$NV$2="EXISTING"),SUMIFS('Existing Customers'!$U:$U,'Existing Customers'!$H:$H,$NT17,'Existing Customers'!$A:$A,$NU$1)/SUMIFS('Existing Customers'!$Q:$Q,'Existing Customers'!$A:$A,$NU$1,'Existing Customers'!$H:$H,$NT17),OL17),0))</f>
        <v>0</v>
      </c>
      <c r="OC17" s="783" t="e">
        <f>_xlfn.CONCAT('Customer Inputs'!$AH$20,"_",NT17)</f>
        <v>#N/A</v>
      </c>
      <c r="OD17" s="783">
        <f t="array" ref="OD17">IF('Customer Inputs'!$W$20="End",0,IFERROR(INDEX('Margin Guidence Table'!$A$1:$AG$10000,MATCH(1,('Margin Guidence Table'!$A$1:$A$10000=OC17)*('Margin Guidence Table'!$I$1:$I$10000&lt;=ROUND($NU$3,0))*('Margin Guidence Table'!$J$1:$J$10000&gt;=ROUND($NU$3,0)),0),MATCH("DATA_POINTS",'Margin Guidence Table'!$A$1:$AG$1,0)),0))</f>
        <v>0</v>
      </c>
      <c r="OE17" s="780" t="str">
        <f t="shared" si="61"/>
        <v>DEFAULT</v>
      </c>
      <c r="OF17" s="780">
        <f t="array" ref="OF17">IF('Customer Inputs'!$W$20="End",0,IFERROR(IF($OE17="SEGMENT",INDEX('Margin Guidence Table'!$A$1:$AG$10000,MATCH(1,('Margin Guidence Table'!$A$1:$A$10000=OC17)*('Margin Guidence Table'!$I$1:$I$10000&lt;=ROUND($NU$3,0))*('Margin Guidence Table'!$J$1:$J$10000&gt;=ROUND($NU$3,0)),0),MATCH("SALES_CASE",'Margin Guidence Table'!$A$1:$AG$1,0)),INDEX('Margin Guidence Table'!$A$1:$AG$10000,MATCH(1,('Margin Guidence Table'!$A$1:$A$10000=OC17)*('Margin Guidence Table'!$I$1:$I$10000&lt;=ROUND($NU$3,0))*('Margin Guidence Table'!$J$1:$J$10000&gt;=ROUND($NU$3,0)),0),MATCH("DEFAULT_SALES_CASE",'Margin Guidence Table'!$A$1:$AG$1,0))),0))</f>
        <v>0</v>
      </c>
      <c r="OG17" s="780">
        <f t="array" ref="OG17">IF('Customer Inputs'!$W$20="End",0,IFERROR(IF($OE17="SEGMENT",INDEX('Margin Guidence Table'!$A$1:$AG$10000,MATCH(1,('Margin Guidence Table'!$A$1:$A$10000=OC17)*('Margin Guidence Table'!$I$1:$I$10000&lt;=ROUND($NU$3,0))*('Margin Guidence Table'!$J$1:$J$10000&gt;=ROUND($NU$3,0)),0),MATCH("SALES_LBS",'Margin Guidence Table'!$A$1:$AG$1,0)),INDEX('Margin Guidence Table'!$A$1:$AG$10000,MATCH(1,('Margin Guidence Table'!$A$1:$A$10000=OC17)*('Margin Guidence Table'!$I$1:$I$10000&lt;=ROUND($NU$3,0))*('Margin Guidence Table'!$J$1:$J$10000&gt;=ROUND($NU$3,0)),0),MATCH("DEFAULT_SALES_LBS",'Margin Guidence Table'!$A$1:$AG$1,0))),0))</f>
        <v>0</v>
      </c>
      <c r="OH17" s="784">
        <f t="array" ref="OH17">IF('Customer Inputs'!$W$20="End",0,IFERROR(IF($OE17="SEGMENT",INDEX('Margin Guidence Table'!$A$1:$AG$10000,MATCH(1,('Margin Guidence Table'!$A$1:$A$10000=OC17)*('Margin Guidence Table'!$I$1:$I$10000&lt;=ROUND($NU$3,0))*('Margin Guidence Table'!$J$1:$J$10000&gt;=ROUND($NU$3,0)),0),MATCH("MDA_MIN_MARGIN_GUIDENCE",'Margin Guidence Table'!$A$1:$AG$1,0)),INDEX('Margin Guidence Table'!$A$1:$AG$10000,MATCH(1,('Margin Guidence Table'!$A$1:$A$10000=OC17)*('Margin Guidence Table'!$I$1:$I$10000&lt;=ROUND($NU$3,0))*('Margin Guidence Table'!$J$1:$J$10000&gt;=ROUND($NU$3,0)),0),MATCH("DEFAULT_MDA_MIN_MARGIN_GUIDENCE",'Margin Guidence Table'!$A$1:$AG$1,0))),0))</f>
        <v>0</v>
      </c>
      <c r="OI17" s="784">
        <f t="array" ref="OI17">IF('Customer Inputs'!$W$20="End",0,IFERROR(IF($OE17="SEGMENT",INDEX('Margin Guidence Table'!$A$1:$AG$10000,MATCH(1,('Margin Guidence Table'!$A$1:$A$10000=OC17)*('Margin Guidence Table'!$I$1:$I$10000&lt;=ROUND($NU$3,0))*('Margin Guidence Table'!$J$1:$J$10000&gt;=ROUND($NU$3,0)),0),MATCH("MDA_MEDIAN_MARGIN_GUIDENCE",'Margin Guidence Table'!$A$1:$AG$1,0)),INDEX('Margin Guidence Table'!$A$1:$AG$10000,MATCH(1,('Margin Guidence Table'!$A$1:$A$10000=OC17)*('Margin Guidence Table'!$I$1:$I$10000&lt;=ROUND($NU$3,0))*('Margin Guidence Table'!$J$1:$J$10000&gt;=ROUND($NU$3,0)),0),MATCH("DEFAULT_MDA_MEDIAN_MARGIN_GUIDENCE",'Margin Guidence Table'!$A$1:$AG$1,0))),0))</f>
        <v>0</v>
      </c>
      <c r="OJ17" s="784">
        <f t="array" ref="OJ17">IF('Customer Inputs'!$W$20="End",0,IFERROR(IF($OE17="SEGMENT",INDEX('Margin Guidence Table'!$A$1:$AG$10000,MATCH(1,('Margin Guidence Table'!$A$1:$A$10000=OC17)*('Margin Guidence Table'!$I$1:$I$10000&lt;=ROUND($NU$3,0))*('Margin Guidence Table'!$J$1:$J$10000&gt;=ROUND($NU$3,0)),0),MATCH("MDA_MAX_MARGIN_GUIDENCE",'Margin Guidence Table'!$A$1:$AG$1,0)),INDEX('Margin Guidence Table'!$A$1:$AG$10000,MATCH(1,('Margin Guidence Table'!$A$1:$A$10000=OC17)*('Margin Guidence Table'!$I$1:$I$10000&lt;=ROUND($NU$3,0))*('Margin Guidence Table'!$J$1:$J$10000&gt;=ROUND($NU$3,0)),0),MATCH("DEFAULT_MDA_MAX_MARGIN_GUIDENCE",'Margin Guidence Table'!$A$1:$AG$1,0))),0))</f>
        <v>0</v>
      </c>
      <c r="OK17" s="784">
        <f t="array" ref="OK17">IF('Customer Inputs'!$W$20="End",0,IFERROR(IF($OE17="SEGMENT",INDEX('Margin Guidence Table'!$A$1:$AG$10000,MATCH(1,('Margin Guidence Table'!$A$1:$A$10000=OC17)*('Margin Guidence Table'!$I$1:$I$10000&lt;=ROUND($NU$3,0))*('Margin Guidence Table'!$J$1:$J$10000&gt;=ROUND($NU$3,0)),0),MATCH("PA_PCT_SALES",'Margin Guidence Table'!$A$1:$AG$1,0)),INDEX('Margin Guidence Table'!$A$1:$AG$10000,MATCH(1,('Margin Guidence Table'!$A$1:$A$10000=OC17)*('Margin Guidence Table'!$I$1:$I$10000&lt;=ROUND($NU$3,0))*('Margin Guidence Table'!$J$1:$J$10000&gt;=ROUND($NU$3,0)),0),MATCH("DEFAULT_PA_PCT_SALES",'Margin Guidence Table'!$A$1:$AG$1,0))),0))</f>
        <v>0</v>
      </c>
      <c r="OL17" s="784">
        <f t="array" ref="OL17">IF('Customer Inputs'!$W$20="End",0,IFERROR(IF($OE17="SEGMENT",INDEX('Margin Guidence Table'!$A$1:$AG$10000,MATCH(1,('Margin Guidence Table'!$A$1:$A$10000=OC17)*('Margin Guidence Table'!$I$1:$I$10000&lt;=ROUND($NU$3,0))*('Margin Guidence Table'!$J$1:$J$10000&gt;=ROUND($NU$3,0)),0),MATCH("SELF_FUND_PCT_SALES",'Margin Guidence Table'!$A$1:$AG$1,0)),INDEX('Margin Guidence Table'!$A$1:$AG$10000,MATCH(1,('Margin Guidence Table'!$A$1:$A$10000=OC17)*('Margin Guidence Table'!$I$1:$I$10000&lt;=ROUND($NU$3,0))*('Margin Guidence Table'!$J$1:$J$10000&gt;=ROUND($NU$3,0)),0),MATCH("DEFAULT_SELF_FUND_PCT_SALES",'Margin Guidence Table'!$A$1:$AG$1,0))),0))</f>
        <v>0</v>
      </c>
      <c r="OM17" s="784">
        <f t="array" ref="OM17">IF('Customer Inputs'!$W$20="End",0,IF($NV$2="Existing",IFERROR(SUMIFS('Existing Customers'!$V:$V,'Existing Customers'!$H:$H,$NT17,'Existing Customers'!$A:$A,$NU$1)/SUMIFS('Existing Customers'!$Q:$Q,'Existing Customers'!$H:$H,$NT17,'Existing Customers'!$A:$A,$NU$1),0),IFERROR(IF($OE17="SEGMENT",INDEX('Margin Guidence Table'!$A$1:$AG$10000,MATCH(1,('Margin Guidence Table'!$A$1:$A$10000=OC17)*('Margin Guidence Table'!$I$1:$I$10000&lt;=ROUND($NU$3,0))*('Margin Guidence Table'!$J$1:$J$10000&gt;=ROUND($NU$3,0)),0),MATCH("CIA_MEDIAN_MARGIN_GUIDENCE",'Margin Guidence Table'!$A$1:$AG$1,0)),INDEX('Margin Guidence Table'!$A$1:$AG$10000,MATCH(1,('Margin Guidence Table'!$A$1:$A$10000=OC17)*('Margin Guidence Table'!$I$1:$I$10000&lt;=ROUND($NU$3,0))*('Margin Guidence Table'!$J$1:$J$10000&gt;=ROUND($NU$3,0)),0),MATCH("DEFAULT_CIA_MEDIAN_MARGIN_GUIDENCE",'Margin Guidence Table'!$A$1:$AG$1,0))),0)))</f>
        <v>0</v>
      </c>
      <c r="ON17" s="784"/>
      <c r="OO17" s="18">
        <f t="array" ref="OO17">IF('Customer Inputs'!$W$21="End",0,IFERROR(IF($PB17="SEGMENT",INDEX('Margin Guidence Table'!$A$1:$AG$10000,MATCH(1,('Margin Guidence Table'!$A$1:$A$10000=$OZ17)*('Margin Guidence Table'!$I$1:$I$10000&lt;=ROUND($OR$3,0))*('Margin Guidence Table'!$J$1:$J$10000&gt;=ROUND($OR$3,0)),0),MATCH("PCT_SALES",'Margin Guidence Table'!$A$1:$AG$1,0)),INDEX('Margin Guidence Table'!$A$1:$AG$10000,MATCH(1,('Margin Guidence Table'!$A$1:$A$10000=$OZ17)*('Margin Guidence Table'!$I$1:$I$10000&lt;=ROUND($OR$3,0))*('Margin Guidence Table'!$J$1:$J$10000&gt;=ROUND($OR$3,0)),0),MATCH("DEFAULT_PCT_SALES",'Margin Guidence Table'!$A$1:$AG$1,0))),0))</f>
        <v>0</v>
      </c>
      <c r="OP17" s="1713" t="e">
        <f t="shared" si="62"/>
        <v>#DIV/0!</v>
      </c>
      <c r="OQ17" s="99" t="s">
        <v>102</v>
      </c>
      <c r="OR17" s="91">
        <f>IF('Customer Inputs'!$W$21="End",0,IFERROR(IF(AND($OR$2&lt;&gt;"Enter Spend&gt;&gt;&gt;",$OS$2="EXISTING"),SUMIFS('Existing Customers'!$Q:$Q,'Existing Customers'!$A:$A,$OR$1,'Existing Customers'!$H:$H,$OQ17)*$OR$4,$OR$3*$OP17),0))</f>
        <v>0</v>
      </c>
      <c r="OS17" s="86">
        <f>IF('Customer Inputs'!$W$21="End",0,IFERROR(IF(AND($OR$2&lt;&gt;"Enter Spend&gt;&gt;&gt;",$OS$2="EXISTING"),SUMIFS('Existing Customers'!$N:$N,'Existing Customers'!$A:$A,$OR$1,'Existing Customers'!$H:$H,$OQ17)*$OR$4,$OR17/$PC17),0))</f>
        <v>0</v>
      </c>
      <c r="OT17" s="92">
        <f>IF('Customer Inputs'!$W$21="End",0,IFERROR(IF(AND($OR$2&lt;&gt;"Enter Spend&gt;&gt;&gt;",$OS$2="EXISTING"),SUMIFS('Existing Customers'!$O:$O,'Existing Customers'!$H:$H,$OQ17,'Existing Customers'!$A:$A,$OR$1)*$OR$4,$OS17*$OR$8),0))</f>
        <v>0</v>
      </c>
      <c r="OU17" s="92">
        <f>IF('Customer Inputs'!$W$21="End",0,IFERROR(IF(AND($OR$2&lt;&gt;"Enter Spend&gt;&gt;&gt;",$OS$2="EXISTING"),SUMIFS('Existing Customers'!$P:$P,'Existing Customers'!$A:$A,$OR$1,'Existing Customers'!$H:$H,$OQ17)*$OR$4,$OR17/$PD17),0))</f>
        <v>0</v>
      </c>
      <c r="OV17" s="303">
        <f>IF('Customer Inputs'!$W$21="End",0,IFERROR(IF(AND($OR$2&lt;&gt;"Enter Spend&gt;&gt;&gt;",$OS$2="EXISTING"),SUMIFS('Existing Customers'!$V:$V,'Existing Customers'!$H:$H,$OQ17,'Existing Customers'!$A:$A,$OR$1)*$OR$4,0),0))</f>
        <v>0</v>
      </c>
      <c r="OW17" s="93">
        <f>IF('Customer Inputs'!$W$21="End",0,IFERROR(IF(AND($OR$2&lt;&gt;"Enter Spend&gt;&gt;&gt;",$OS$2="EXISTING"),SUMIFS('Existing Customers'!$R:$R,'Existing Customers'!$H:$H,$OP17,'Existing Customers'!$A:$A,$OR$1)*$OR$4,0),0))</f>
        <v>0</v>
      </c>
      <c r="OX17" s="780">
        <f>IF('Customer Inputs'!$W$21="End",0,IFERROR(IF(AND($OR$2&lt;&gt;"Enter Spend&gt;&gt;&gt;",$OS$2="EXISTING"),SUMIFS('Existing Customers'!$S:$S,'Existing Customers'!$H:$H,$OQ17,'Existing Customers'!$A:$A,$OR$1)/SUMIFS('Existing Customers'!$Q:$Q,'Existing Customers'!$A:$A,$OR$1,'Existing Customers'!$H:$H,$OQ17),PH17),0))</f>
        <v>0</v>
      </c>
      <c r="OY17" s="780">
        <f>IF('Customer Inputs'!$W$21="End",0,IFERROR(IF(AND($OR$2&lt;&gt;"Enter Spend&gt;&gt;&gt;",$OS$2="EXISTING"),SUMIFS('Existing Customers'!$U:$U,'Existing Customers'!$H:$H,$OQ17,'Existing Customers'!$A:$A,$OR$1)/SUMIFS('Existing Customers'!$Q:$Q,'Existing Customers'!$A:$A,$OR$1,'Existing Customers'!$H:$H,$OQ17),PI17),0))</f>
        <v>0</v>
      </c>
      <c r="OZ17" s="783" t="e">
        <f>_xlfn.CONCAT('Customer Inputs'!$AH$21,"_",OQ17)</f>
        <v>#N/A</v>
      </c>
      <c r="PA17" s="783">
        <f t="array" ref="PA17">IF('Customer Inputs'!$W$22="End",0,IFERROR(INDEX('Margin Guidence Table'!$A$1:$AG$10000,MATCH(1,('Margin Guidence Table'!$A$1:$A$10000=OZ17)*('Margin Guidence Table'!$I$1:$I$10000&lt;=ROUND($OR$3,0))*('Margin Guidence Table'!$J$1:$J$10000&gt;=ROUND($OR$3,0)),0),MATCH("DATA_POINTS",'Margin Guidence Table'!$A$1:$AG$1,0)),0))</f>
        <v>0</v>
      </c>
      <c r="PB17" s="780" t="str">
        <f t="shared" si="63"/>
        <v>DEFAULT</v>
      </c>
      <c r="PC17" s="780">
        <f t="array" ref="PC17">IF('Customer Inputs'!$W$21="End",0,IFERROR(IF($PB17="SEGMENT",INDEX('Margin Guidence Table'!$A$1:$AG$10000,MATCH(1,('Margin Guidence Table'!$A$1:$A$10000=OZ17)*('Margin Guidence Table'!$I$1:$I$10000&lt;=ROUND($OR$3,0))*('Margin Guidence Table'!$J$1:$J$10000&gt;=ROUND($OR$3,0)),0),MATCH("SALES_CASE",'Margin Guidence Table'!$A$1:$AG$1,0)),INDEX('Margin Guidence Table'!$A$1:$AG$10000,MATCH(1,('Margin Guidence Table'!$A$1:$A$10000=OZ17)*('Margin Guidence Table'!$I$1:$I$10000&lt;=ROUND($OR$3,0))*('Margin Guidence Table'!$J$1:$J$10000&gt;=ROUND($OR$3,0)),0),MATCH("DEFAULT_SALES_CASE",'Margin Guidence Table'!$A$1:$AG$1,0))),0))</f>
        <v>0</v>
      </c>
      <c r="PD17" s="780">
        <f t="array" ref="PD17">IF('Customer Inputs'!$W$21="End",0,IFERROR(IF($PB17="SEGMENT",INDEX('Margin Guidence Table'!$A$1:$AG$10000,MATCH(1,('Margin Guidence Table'!$A$1:$A$10000=OZ17)*('Margin Guidence Table'!$I$1:$I$10000&lt;=ROUND($OR$3,0))*('Margin Guidence Table'!$J$1:$J$10000&gt;=ROUND($OR$3,0)),0),MATCH("SALES_LBS",'Margin Guidence Table'!$A$1:$AG$1,0)),INDEX('Margin Guidence Table'!$A$1:$AG$10000,MATCH(1,('Margin Guidence Table'!$A$1:$A$10000=OZ17)*('Margin Guidence Table'!$I$1:$I$10000&lt;=ROUND($OR$3,0))*('Margin Guidence Table'!$J$1:$J$10000&gt;=ROUND($OR$3,0)),0),MATCH("DEFAULT_SALES_LBS",'Margin Guidence Table'!$A$1:$AG$1,0))),0))</f>
        <v>0</v>
      </c>
      <c r="PE17" s="784">
        <f t="array" ref="PE17">IF('Customer Inputs'!$W$21="End",0,IFERROR(IF($PB17="SEGMENT",INDEX('Margin Guidence Table'!$A$1:$AG$10000,MATCH(1,('Margin Guidence Table'!$A$1:$A$10000=OZ17)*('Margin Guidence Table'!$I$1:$I$10000&lt;=ROUND($OR$3,0))*('Margin Guidence Table'!$J$1:$J$10000&gt;=ROUND($OR$3,0)),0),MATCH("MDA_MIN_MARGIN_GUIDENCE",'Margin Guidence Table'!$A$1:$AG$1,0)),INDEX('Margin Guidence Table'!$A$1:$AG$10000,MATCH(1,('Margin Guidence Table'!$A$1:$A$10000=OZ17)*('Margin Guidence Table'!$I$1:$I$10000&lt;=ROUND($OR$3,0))*('Margin Guidence Table'!$J$1:$J$10000&gt;=ROUND($OR$3,0)),0),MATCH("DEFAULT_MDA_MIN_MARGIN_GUIDENCE",'Margin Guidence Table'!$A$1:$AG$1,0))),0))</f>
        <v>0</v>
      </c>
      <c r="PF17" s="784">
        <f t="array" ref="PF17">IF('Customer Inputs'!$W$21="End",0,IFERROR(IF($PB17="SEGMENT",INDEX('Margin Guidence Table'!$A$1:$AG$10000,MATCH(1,('Margin Guidence Table'!$A$1:$A$10000=OZ17)*('Margin Guidence Table'!$I$1:$I$10000&lt;=ROUND($OR$3,0))*('Margin Guidence Table'!$J$1:$J$10000&gt;=ROUND($OR$3,0)),0),MATCH("MDA_MEDIAN_MARGIN_GUIDENCE",'Margin Guidence Table'!$A$1:$AG$1,0)),INDEX('Margin Guidence Table'!$A$1:$AG$10000,MATCH(1,('Margin Guidence Table'!$A$1:$A$10000=OZ17)*('Margin Guidence Table'!$I$1:$I$10000&lt;=ROUND($OR$3,0))*('Margin Guidence Table'!$J$1:$J$10000&gt;=ROUND($OR$3,0)),0),MATCH("DEFAULT_MDA_MEDIAN_MARGIN_GUIDENCE",'Margin Guidence Table'!$A$1:$AG$1,0))),0))</f>
        <v>0</v>
      </c>
      <c r="PG17" s="784">
        <f t="array" ref="PG17">IF('Customer Inputs'!$W$21="End",0,IFERROR(IF($PB17="SEGMENT",INDEX('Margin Guidence Table'!$A$1:$AG$10000,MATCH(1,('Margin Guidence Table'!$A$1:$A$10000=OZ17)*('Margin Guidence Table'!$I$1:$I$10000&lt;=ROUND($OR$3,0))*('Margin Guidence Table'!$J$1:$J$10000&gt;=ROUND($OR$3,0)),0),MATCH("MDA_MAX_MARGIN_GUIDENCE",'Margin Guidence Table'!$A$1:$AG$1,0)),INDEX('Margin Guidence Table'!$A$1:$AG$10000,MATCH(1,('Margin Guidence Table'!$A$1:$A$10000=OZ17)*('Margin Guidence Table'!$I$1:$I$10000&lt;=ROUND($OR$3,0))*('Margin Guidence Table'!$J$1:$J$10000&gt;=ROUND($OR$3,0)),0),MATCH("DEFAULT_MDA_MAX_MARGIN_GUIDENCE",'Margin Guidence Table'!$A$1:$AG$1,0))),0))</f>
        <v>0</v>
      </c>
      <c r="PH17" s="784">
        <f t="array" ref="PH17">IF('Customer Inputs'!$W$21="End",0,IFERROR(IF($PB17="SEGMENT",INDEX('Margin Guidence Table'!$A$1:$AG$10000,MATCH(1,('Margin Guidence Table'!$A$1:$A$10000=OZ17)*('Margin Guidence Table'!$I$1:$I$10000&lt;=ROUND($OR$3,0))*('Margin Guidence Table'!$J$1:$J$10000&gt;=ROUND($OR$3,0)),0),MATCH("PA_PCT_SALES",'Margin Guidence Table'!$A$1:$AG$1,0)),INDEX('Margin Guidence Table'!$A$1:$AG$10000,MATCH(1,('Margin Guidence Table'!$A$1:$A$10000=OZ17)*('Margin Guidence Table'!$I$1:$I$10000&lt;=ROUND($OR$3,0))*('Margin Guidence Table'!$J$1:$J$10000&gt;=ROUND($OR$3,0)),0),MATCH("DEFAULT_PA_PCT_SALES",'Margin Guidence Table'!$A$1:$AG$1,0))),0))</f>
        <v>0</v>
      </c>
      <c r="PI17" s="784">
        <f t="array" ref="PI17">IF('Customer Inputs'!$W$21="End",0,IFERROR(IF($PB17="SEGMENT",INDEX('Margin Guidence Table'!$A$1:$AG$10000,MATCH(1,('Margin Guidence Table'!$A$1:$A$10000=OZ17)*('Margin Guidence Table'!$I$1:$I$10000&lt;=ROUND($OR$3,0))*('Margin Guidence Table'!$J$1:$J$10000&gt;=ROUND($OR$3,0)),0),MATCH("SELF_FUND_PCT_SALES",'Margin Guidence Table'!$A$1:$AG$1,0)),INDEX('Margin Guidence Table'!$A$1:$AG$10000,MATCH(1,('Margin Guidence Table'!$A$1:$A$10000=OZ17)*('Margin Guidence Table'!$I$1:$I$10000&lt;=ROUND($OR$3,0))*('Margin Guidence Table'!$J$1:$J$10000&gt;=ROUND($OR$3,0)),0),MATCH("DEFAULT_SELF_FUND_PCT_SALES",'Margin Guidence Table'!$A$1:$AG$1,0))),0))</f>
        <v>0</v>
      </c>
      <c r="PJ17" s="784">
        <f t="array" ref="PJ17">IF('Customer Inputs'!$W$21="End",0,IF($OS$2="Existing",IFERROR(SUMIFS('Existing Customers'!$V:$V,'Existing Customers'!$H:$H,$OQ17,'Existing Customers'!$A:$A,$OR$1)/SUMIFS('Existing Customers'!$Q:$Q,'Existing Customers'!$H:$H,$OQ17,'Existing Customers'!$A:$A,$OR$1),0),IFERROR(IF($PB17="SEGMENT",INDEX('Margin Guidence Table'!$A$1:$AG$10000,MATCH(1,('Margin Guidence Table'!$A$1:$A$10000=OZ17)*('Margin Guidence Table'!$I$1:$I$10000&lt;=ROUND($OR$3,0))*('Margin Guidence Table'!$J$1:$J$10000&gt;=ROUND($OR$3,0)),0),MATCH("CIA_MEDIAN_MARGIN_GUIDENCE",'Margin Guidence Table'!$A$1:$AG$1,0)),INDEX('Margin Guidence Table'!$A$1:$AG$10000,MATCH(1,('Margin Guidence Table'!$A$1:$A$10000=OZ17)*('Margin Guidence Table'!$I$1:$I$10000&lt;=ROUND($OR$3,0))*('Margin Guidence Table'!$J$1:$J$10000&gt;=ROUND($OR$3,0)),0),MATCH("DEFAULT_CIA_MEDIAN_MARGIN_GUIDENCE",'Margin Guidence Table'!$A$1:$AG$1,0))),0)))</f>
        <v>0</v>
      </c>
      <c r="PK17" s="784"/>
      <c r="PL17" s="18">
        <f t="array" ref="PL17">IF('Customer Inputs'!$W$22="End",0,IFERROR(IF($PY17="SEGMENT",INDEX('Margin Guidence Table'!$A$1:$AG$10000,MATCH(1,('Margin Guidence Table'!$A$1:$A$10000=$PW17)*('Margin Guidence Table'!$I$1:$I$10000&lt;=ROUND($PO$3,0))*('Margin Guidence Table'!$J$1:$J$10000&gt;=ROUND($PO$3,0)),0),MATCH("PCT_SALES",'Margin Guidence Table'!$A$1:$AG$1,0)),INDEX('Margin Guidence Table'!$A$1:$AG$10000,MATCH(1,('Margin Guidence Table'!$A$1:$A$10000=$PW17)*('Margin Guidence Table'!$I$1:$I$10000&lt;=ROUND($PO$3,0))*('Margin Guidence Table'!$J$1:$J$10000&gt;=ROUND($PO$3,0)),0),MATCH("DEFAULT_PCT_SALES",'Margin Guidence Table'!$A$1:$AG$1,0))),0))</f>
        <v>0</v>
      </c>
      <c r="PM17" s="1713" t="e">
        <f t="shared" si="64"/>
        <v>#DIV/0!</v>
      </c>
      <c r="PN17" s="99" t="s">
        <v>102</v>
      </c>
      <c r="PO17" s="91">
        <f>IF('Customer Inputs'!$W$22="End",0,IFERROR(IF(AND($PO$2&lt;&gt;"Enter Spend&gt;&gt;&gt;",$PP$2="EXISTING"),SUMIFS('Existing Customers'!$Q:$Q,'Existing Customers'!$A:$A,$PO$1,'Existing Customers'!$H:$H,$PN17)*$PO$4,$PO$3*$PM17),0))</f>
        <v>0</v>
      </c>
      <c r="PP17" s="86">
        <f>IF('Customer Inputs'!$W$22="End",0,IFERROR(IF(AND($PO$2&lt;&gt;"Enter Spend&gt;&gt;&gt;",$PP$2="EXISTING"),SUMIFS('Existing Customers'!$N:$N,'Existing Customers'!$A:$A,$PO$1,'Existing Customers'!$H:$H,$PN17)*$PO$4,$PO17/$PZ17),0))</f>
        <v>0</v>
      </c>
      <c r="PQ17" s="92">
        <f>IF('Customer Inputs'!$W$22="End",0,IFERROR(IF(AND($PO$2&lt;&gt;"Enter Spend&gt;&gt;&gt;",$PP$2="EXISTING"),SUMIFS('Existing Customers'!$O:$O,'Existing Customers'!$H:$H,$PN17,'Existing Customers'!$A:$A,$PO$1)*$PO$4,$PP17*$PO$8),0))</f>
        <v>0</v>
      </c>
      <c r="PR17" s="92">
        <f>IF('Customer Inputs'!$W$22="End",0,IFERROR(IF(AND($PO$2&lt;&gt;"Enter Spend&gt;&gt;&gt;",$PP$2="EXISTING"),SUMIFS('Existing Customers'!$P:$P,'Existing Customers'!$A:$A,$PO$1,'Existing Customers'!$H:$H,$PN17)*$PO$4,$PO17/$QA17),0))</f>
        <v>0</v>
      </c>
      <c r="PS17" s="303">
        <f>IF('Customer Inputs'!$W$22="End",0,IFERROR(IF(AND($PO$2&lt;&gt;"Enter Spend&gt;&gt;&gt;",$PP$2="EXISTING"),SUMIFS('Existing Customers'!$V:$V,'Existing Customers'!$H:$H,$PN17,'Existing Customers'!$A:$A,$PO$1)*$PO$4,0),0))</f>
        <v>0</v>
      </c>
      <c r="PT17" s="93">
        <f>IF('Customer Inputs'!$W$22="End",0,IFERROR(IF(AND($PO$2&lt;&gt;"Enter Spend&gt;&gt;&gt;",$PP$2="EXISTING"),SUMIFS('Existing Customers'!$R:$R,'Existing Customers'!$H:$H,$PN17,'Existing Customers'!$A:$A,$PO$1)*$PO$4,0),0))</f>
        <v>0</v>
      </c>
      <c r="PU17" s="780">
        <f>IF('Customer Inputs'!$W$22="End",0,IFERROR(IF(AND($PO$2&lt;&gt;"Enter Spend&gt;&gt;&gt;",$PP$2="EXISTING"),SUMIFS('Existing Customers'!$S:$S,'Existing Customers'!$H:$H,$PN17,'Existing Customers'!$A:$A,$PO$1)/SUMIFS('Existing Customers'!$Q:$Q,'Existing Customers'!$A:$A,$PO$1,'Existing Customers'!$H:$H,$PN17),QE17),0))</f>
        <v>0</v>
      </c>
      <c r="PV17" s="780">
        <f>IF('Customer Inputs'!$W$22="End",0,IFERROR(IF(AND($PO$2&lt;&gt;"Enter Spend&gt;&gt;&gt;",$PP$2="EXISTING"),SUMIFS('Existing Customers'!$U:$U,'Existing Customers'!$H:$H,$PN17,'Existing Customers'!$A:$A,$PO$1)/SUMIFS('Existing Customers'!$Q:$Q,'Existing Customers'!$A:$A,$PO$1,'Existing Customers'!$H:$H,$PN17),QF17),0))</f>
        <v>0</v>
      </c>
      <c r="PW17" s="783" t="e">
        <f>_xlfn.CONCAT('Customer Inputs'!$AH$22,"_",PN17)</f>
        <v>#N/A</v>
      </c>
      <c r="PX17" s="783">
        <f t="array" ref="PX17">IF('Customer Inputs'!$W$22="End",0,IFERROR(INDEX('Margin Guidence Table'!$A$1:$AG$10000,MATCH(1,('Margin Guidence Table'!$A$1:$A$10000=PW17)*('Margin Guidence Table'!$I$1:$I$10000&lt;=ROUND($PO$3,0))*('Margin Guidence Table'!$J$1:$J$10000&gt;=ROUND($PO$3,0)),0),MATCH("DATA_POINTS",'Margin Guidence Table'!$A$1:$AG$1,0)),0))</f>
        <v>0</v>
      </c>
      <c r="PY17" s="780" t="str">
        <f t="shared" si="65"/>
        <v>DEFAULT</v>
      </c>
      <c r="PZ17" s="780">
        <f t="array" ref="PZ17">IF('Customer Inputs'!$W$22="End",0,IFERROR(IF($PY17="SEGMENT",INDEX('Margin Guidence Table'!$A$1:$AG$10000,MATCH(1,('Margin Guidence Table'!$A$1:$A$10000=PW17)*('Margin Guidence Table'!$I$1:$I$10000&lt;=ROUND($PO$3,0))*('Margin Guidence Table'!$J$1:$J$10000&gt;=ROUND($PO$3,0)),0),MATCH("SALES_CASE",'Margin Guidence Table'!$A$1:$AG$1,0)),INDEX('Margin Guidence Table'!$A$1:$AG$10000,MATCH(1,('Margin Guidence Table'!$A$1:$A$10000=PW17)*('Margin Guidence Table'!$I$1:$I$10000&lt;=ROUND($PO$3,0))*('Margin Guidence Table'!$J$1:$J$10000&gt;=ROUND($PO$3,0)),0),MATCH("DEFAULT_SALES_CASE",'Margin Guidence Table'!$A$1:$AG$1,0))),0))</f>
        <v>0</v>
      </c>
      <c r="QA17" s="780">
        <f t="array" ref="QA17">IF('Customer Inputs'!$W$22="End",0,IFERROR(IF($PY17="SEGMENT",INDEX('Margin Guidence Table'!$A$1:$AG$10000,MATCH(1,('Margin Guidence Table'!$A$1:$A$10000=PW17)*('Margin Guidence Table'!$I$1:$I$10000&lt;=ROUND($PO$3,0))*('Margin Guidence Table'!$J$1:$J$10000&gt;=ROUND($PO$3,0)),0),MATCH("SALES_LBS",'Margin Guidence Table'!$A$1:$AG$1,0)),INDEX('Margin Guidence Table'!$A$1:$AG$10000,MATCH(1,('Margin Guidence Table'!$A$1:$A$10000=PW17)*('Margin Guidence Table'!$I$1:$I$10000&lt;=ROUND($PO$3,0))*('Margin Guidence Table'!$J$1:$J$10000&gt;=ROUND($PO$3,0)),0),MATCH("DEFAULT_SALES_LBS",'Margin Guidence Table'!$A$1:$AG$1,0))),0))</f>
        <v>0</v>
      </c>
      <c r="QB17" s="784">
        <f t="array" ref="QB17">IF('Customer Inputs'!$W$22="End",0,IFERROR(IF($PY17="SEGMENT",INDEX('Margin Guidence Table'!$A$1:$AG$10000,MATCH(1,('Margin Guidence Table'!$A$1:$A$10000=PW17)*('Margin Guidence Table'!$I$1:$I$10000&lt;=ROUND($PO$3,0))*('Margin Guidence Table'!$J$1:$J$10000&gt;=ROUND($PO$3,0)),0),MATCH("MDA_MIN_MARGIN_GUIDENCE",'Margin Guidence Table'!$A$1:$AG$1,0)),INDEX('Margin Guidence Table'!$A$1:$AG$10000,MATCH(1,('Margin Guidence Table'!$A$1:$A$10000=PW17)*('Margin Guidence Table'!$I$1:$I$10000&lt;=ROUND($PO$3,0))*('Margin Guidence Table'!$J$1:$J$10000&gt;=ROUND($PO$3,0)),0),MATCH("DEFAULT_MDA_MIN_MARGIN_GUIDENCE",'Margin Guidence Table'!$A$1:$AG$1,0))),0))</f>
        <v>0</v>
      </c>
      <c r="QC17" s="784">
        <f t="array" ref="QC17">IF('Customer Inputs'!$W$22="End",0,IFERROR(IF($PY17="SEGMENT",INDEX('Margin Guidence Table'!$A$1:$AG$10000,MATCH(1,('Margin Guidence Table'!$A$1:$A$10000=PW17)*('Margin Guidence Table'!$I$1:$I$10000&lt;=ROUND($PO$3,0))*('Margin Guidence Table'!$J$1:$J$10000&gt;=ROUND($PO$3,0)),0),MATCH("MDA_MEDIAN_MARGIN_GUIDENCE",'Margin Guidence Table'!$A$1:$AG$1,0)),INDEX('Margin Guidence Table'!$A$1:$AG$10000,MATCH(1,('Margin Guidence Table'!$A$1:$A$10000=PW17)*('Margin Guidence Table'!$I$1:$I$10000&lt;=ROUND($PO$3,0))*('Margin Guidence Table'!$J$1:$J$10000&gt;=ROUND($PO$3,0)),0),MATCH("DEFAULT_MDA_MEDIAN_MARGIN_GUIDENCE",'Margin Guidence Table'!$A$1:$AG$1,0))),0))</f>
        <v>0</v>
      </c>
      <c r="QD17" s="784">
        <f t="array" ref="QD17">IF('Customer Inputs'!$W$22="End",0,IFERROR(IF($PY17="SEGMENT",INDEX('Margin Guidence Table'!$A$1:$AG$10000,MATCH(1,('Margin Guidence Table'!$A$1:$A$10000=PW17)*('Margin Guidence Table'!$I$1:$I$10000&lt;=ROUND($PO$3,0))*('Margin Guidence Table'!$J$1:$J$10000&gt;=ROUND($PO$3,0)),0),MATCH("MDA_MAX_MARGIN_GUIDENCE",'Margin Guidence Table'!$A$1:$AG$1,0)),INDEX('Margin Guidence Table'!$A$1:$AG$10000,MATCH(1,('Margin Guidence Table'!$A$1:$A$10000=PW17)*('Margin Guidence Table'!$I$1:$I$10000&lt;=ROUND($PO$3,0))*('Margin Guidence Table'!$J$1:$J$10000&gt;=ROUND($PO$3,0)),0),MATCH("DEFAULT_MDA_MAX_MARGIN_GUIDENCE",'Margin Guidence Table'!$A$1:$AG$1,0))),0))</f>
        <v>0</v>
      </c>
      <c r="QE17" s="784">
        <f t="array" ref="QE17">IF('Customer Inputs'!$W$22="End",0,IFERROR(IF($PY17="SEGMENT",INDEX('Margin Guidence Table'!$A$1:$AG$10000,MATCH(1,('Margin Guidence Table'!$A$1:$A$10000=PW17)*('Margin Guidence Table'!$I$1:$I$10000&lt;=ROUND($PO$3,0))*('Margin Guidence Table'!$J$1:$J$10000&gt;=ROUND($PO$3,0)),0),MATCH("PA_PCT_SALES",'Margin Guidence Table'!$A$1:$AG$1,0)),INDEX('Margin Guidence Table'!$A$1:$AG$10000,MATCH(1,('Margin Guidence Table'!$A$1:$A$10000=PW17)*('Margin Guidence Table'!$I$1:$I$10000&lt;=ROUND($PO$3,0))*('Margin Guidence Table'!$J$1:$J$10000&gt;=ROUND($PO$3,0)),0),MATCH("DEFAULT_PA_PCT_SALES",'Margin Guidence Table'!$A$1:$AG$1,0))),0))</f>
        <v>0</v>
      </c>
      <c r="QF17" s="784">
        <f t="array" ref="QF17">IF('Customer Inputs'!$W$22="End",0,IFERROR(IF($PY17="SEGMENT",INDEX('Margin Guidence Table'!$A$1:$AG$10000,MATCH(1,('Margin Guidence Table'!$A$1:$A$10000=PW17)*('Margin Guidence Table'!$I$1:$I$10000&lt;=ROUND($PO$3,0))*('Margin Guidence Table'!$J$1:$J$10000&gt;=ROUND($PO$3,0)),0),MATCH("SELF_FUND_PCT_SALES",'Margin Guidence Table'!$A$1:$AG$1,0)),INDEX('Margin Guidence Table'!$A$1:$AG$10000,MATCH(1,('Margin Guidence Table'!$A$1:$A$10000=PW17)*('Margin Guidence Table'!$I$1:$I$10000&lt;=ROUND($PO$3,0))*('Margin Guidence Table'!$J$1:$J$10000&gt;=ROUND($PO$3,0)),0),MATCH("DEFAULT_SELF_FUND_PCT_SALES",'Margin Guidence Table'!$A$1:$AG$1,0))),0))</f>
        <v>0</v>
      </c>
      <c r="QG17" s="784">
        <f t="array" ref="QG17">IF('Customer Inputs'!$W$22="End",0,IF($PP$2="Existing",IFERROR(SUMIFS('Existing Customers'!$V:$V,'Existing Customers'!$H:$H,$PN17,'Existing Customers'!$A:$A,$PO$1)/SUMIFS('Existing Customers'!$Q:$Q,'Existing Customers'!$H:$H,$PN17,'Existing Customers'!$A:$A,$PO$1),0),IFERROR(IF($PY17="SEGMENT",INDEX('Margin Guidence Table'!$A$1:$AG$10000,MATCH(1,('Margin Guidence Table'!$A$1:$A$10000=PW17)*('Margin Guidence Table'!$I$1:$I$10000&lt;=ROUND($PO$3,0))*('Margin Guidence Table'!$J$1:$J$10000&gt;=ROUND($PO$3,0)),0),MATCH("CIA_MEDIAN_MARGIN_GUIDENCE",'Margin Guidence Table'!$A$1:$AG$1,0)),INDEX('Margin Guidence Table'!$A$1:$AG$10000,MATCH(1,('Margin Guidence Table'!$A$1:$A$10000=PW17)*('Margin Guidence Table'!$I$1:$I$10000&lt;=ROUND($PO$3,0))*('Margin Guidence Table'!$J$1:$J$10000&gt;=ROUND($PO$3,0)),0),MATCH("DEFAULT_CIA_MEDIAN_MARGIN_GUIDENCE",'Margin Guidence Table'!$A$1:$AG$1,0))),0)))</f>
        <v>0</v>
      </c>
      <c r="QH17" s="784"/>
      <c r="QI17" s="18">
        <f t="array" ref="QI17">IF('Customer Inputs'!$W$23="End",0,IFERROR(IF($QV17="SEGMENT",INDEX('Margin Guidence Table'!$A$1:$AG$10000,MATCH(1,('Margin Guidence Table'!$A$1:$A$10000=$QT17)*('Margin Guidence Table'!$I$1:$I$10000&lt;=ROUND($QL$3,0))*('Margin Guidence Table'!$J$1:$J$10000&gt;=ROUND($QL$3,0)),0),MATCH("PCT_SALES",'Margin Guidence Table'!$A$1:$AG$1,0)),INDEX('Margin Guidence Table'!$A$1:$AG$10000,MATCH(1,('Margin Guidence Table'!$A$1:$A$10000=$QT17)*('Margin Guidence Table'!$I$1:$I$10000&lt;=ROUND($QL$3,0))*('Margin Guidence Table'!$J$1:$J$10000&gt;=ROUND($QL$3,0)),0),MATCH("DEFAULT_PCT_SALES",'Margin Guidence Table'!$A$1:$AG$1,0))),0))</f>
        <v>0</v>
      </c>
      <c r="QJ17" s="1713" t="e">
        <f t="shared" si="66"/>
        <v>#DIV/0!</v>
      </c>
      <c r="QK17" s="99" t="s">
        <v>102</v>
      </c>
      <c r="QL17" s="91">
        <f>IF('Customer Inputs'!$W$23="End",0,IFERROR(IF(AND($QL$2&lt;&gt;"Enter Spend&gt;&gt;&gt;",$QM$2="EXISTING"),SUMIFS('Existing Customers'!$Q:$Q,'Existing Customers'!$A:$A,$QL$1,'Existing Customers'!$H:$H,$QK17)*$QL$4,$QL$3*$QJ17),0))</f>
        <v>0</v>
      </c>
      <c r="QM17" s="86">
        <f>IF('Customer Inputs'!$W$23="End",0,IFERROR(IF(AND($QL$2&lt;&gt;"Enter Spend&gt;&gt;&gt;",$QM$2="EXISTING"),SUMIFS('Existing Customers'!$N:$N,'Existing Customers'!$A:$A,$QL$1,'Existing Customers'!$H:$H,$QK17)*$QL$4,$QL17/$QW17),0))</f>
        <v>0</v>
      </c>
      <c r="QN17" s="92">
        <f>IF('Customer Inputs'!$W$23="End",0,IFERROR(IF(AND($QL$2&lt;&gt;"Enter Spend&gt;&gt;&gt;",$QM$2="EXISTING"),SUMIFS('Existing Customers'!$O:$O,'Existing Customers'!$H:$H,$QK17,'Existing Customers'!$A:$A,$QL$1)*$QL$4,$QM17*$QL$8),0))</f>
        <v>0</v>
      </c>
      <c r="QO17" s="92">
        <f>IF('Customer Inputs'!$W$23="End",0,IFERROR(IF(AND($QL$2&lt;&gt;"Enter Spend&gt;&gt;&gt;",$QM$2="EXISTING"),SUMIFS('Existing Customers'!$P:$P,'Existing Customers'!$A:$A,$QL$1,'Existing Customers'!$H:$H,$QK17)*$QL$4,$QL17/$QX17),0))</f>
        <v>0</v>
      </c>
      <c r="QP17" s="303">
        <f>IF('Customer Inputs'!$W$23="End",0,IFERROR(IF(AND($QL$2&lt;&gt;"Enter Spend&gt;&gt;&gt;",$QM$2="EXISTING"),SUMIFS('Existing Customers'!$V:$V,'Existing Customers'!$H:$H,$QK17,'Existing Customers'!$A:$A,$QL$1)*$QL$4,0),0))</f>
        <v>0</v>
      </c>
      <c r="QQ17" s="93">
        <f>IF('Customer Inputs'!$W$23="End",0,IFERROR(IF(AND($QL$2&lt;&gt;"Enter Spend&gt;&gt;&gt;",$QM$2="EXISTING"),SUMIFS('Existing Customers'!$R:$R,'Existing Customers'!$H:$H,$QK17,'Existing Customers'!$A:$A,$QL$1)*$QL$4,0),0))</f>
        <v>0</v>
      </c>
      <c r="QR17" s="780">
        <f>IF('Customer Inputs'!$W$23="End",0,IFERROR(IF(AND($QL$2&lt;&gt;"Enter Spend&gt;&gt;&gt;",$QM$2="EXISTING"),SUMIFS('Existing Customers'!$S:$S,'Existing Customers'!$H:$H,$QK17,'Existing Customers'!$A:$A,$QL$1)/SUMIFS('Existing Customers'!$Q:$Q,'Existing Customers'!$A:$A,$QL$1,'Existing Customers'!$H:$H,$QK17),RB17),0))</f>
        <v>0</v>
      </c>
      <c r="QS17" s="780">
        <f>IF('Customer Inputs'!$W$23="End",0,IFERROR(IF(AND($QL$2&lt;&gt;"Enter Spend&gt;&gt;&gt;",$QM$2="EXISTING"),SUMIFS('Existing Customers'!$U:$U,'Existing Customers'!$H:$H,$QK17,'Existing Customers'!$A:$A,$QL$1)/SUMIFS('Existing Customers'!$Q:$Q,'Existing Customers'!$A:$A,$QL$1,'Existing Customers'!$H:$H,$QK17),RC17),0))</f>
        <v>0</v>
      </c>
      <c r="QT17" s="783" t="e">
        <f>_xlfn.CONCAT('Customer Inputs'!$AH$23,"_",QK17)</f>
        <v>#N/A</v>
      </c>
      <c r="QU17" s="783">
        <f t="array" ref="QU17">IF('Customer Inputs'!$W$23="End",0,IFERROR(INDEX('Margin Guidence Table'!$A$1:$AG$10000,MATCH(1,('Margin Guidence Table'!$A$1:$A$10000=QT17)*('Margin Guidence Table'!$I$1:$I$10000&lt;=ROUND($QL$3,0))*('Margin Guidence Table'!$J$1:$J$10000&gt;=ROUND($QL$3,0)),0),MATCH("DATA_POINTS",'Margin Guidence Table'!$A$1:$AG$1,0)),0))</f>
        <v>0</v>
      </c>
      <c r="QV17" s="780" t="str">
        <f t="shared" si="67"/>
        <v>DEFAULT</v>
      </c>
      <c r="QW17" s="780">
        <f t="array" ref="QW17">IF('Customer Inputs'!$W$23="End",0,IFERROR(IF($QV17="SEGMENT",INDEX('Margin Guidence Table'!$A$1:$AG$10000,MATCH(1,('Margin Guidence Table'!$A$1:$A$10000=QT17)*('Margin Guidence Table'!$I$1:$I$10000&lt;=ROUND($QL$3,0))*('Margin Guidence Table'!$J$1:$J$10000&gt;=ROUND($QL$3,0)),0),MATCH("SALES_CASE",'Margin Guidence Table'!$A$1:$AG$1,0)),INDEX('Margin Guidence Table'!$A$1:$AG$10000,MATCH(1,('Margin Guidence Table'!$A$1:$A$10000=QT17)*('Margin Guidence Table'!$I$1:$I$10000&lt;=ROUND($QL$3,0))*('Margin Guidence Table'!$J$1:$J$10000&gt;=ROUND($QL$3,0)),0),MATCH("DEFAULT_SALES_CASE",'Margin Guidence Table'!$A$1:$AG$1,0))),0))</f>
        <v>0</v>
      </c>
      <c r="QX17" s="780">
        <f t="array" ref="QX17">IF('Customer Inputs'!$W$23="End",0,IFERROR(IF($QV17="SEGMENT",INDEX('Margin Guidence Table'!$A$1:$AG$10000,MATCH(1,('Margin Guidence Table'!$A$1:$A$10000=QT17)*('Margin Guidence Table'!$I$1:$I$10000&lt;=ROUND($QL$3,0))*('Margin Guidence Table'!$J$1:$J$10000&gt;=ROUND($QL$3,0)),0),MATCH("SALES_LBS",'Margin Guidence Table'!$A$1:$AG$1,0)),INDEX('Margin Guidence Table'!$A$1:$AG$10000,MATCH(1,('Margin Guidence Table'!$A$1:$A$10000=QT17)*('Margin Guidence Table'!$I$1:$I$10000&lt;=ROUND($QL$3,0))*('Margin Guidence Table'!$J$1:$J$10000&gt;=ROUND($QL$3,0)),0),MATCH("DEFAULT_SALES_LBS",'Margin Guidence Table'!$A$1:$AG$1,0))),0))</f>
        <v>0</v>
      </c>
      <c r="QY17" s="784">
        <f t="array" ref="QY17">IF('Customer Inputs'!$W$23="End",0,IFERROR(IF($QV17="SEGMENT",INDEX('Margin Guidence Table'!$A$1:$AG$10000,MATCH(1,('Margin Guidence Table'!$A$1:$A$10000=QT17)*('Margin Guidence Table'!$I$1:$I$10000&lt;=ROUND($QL$3,0))*('Margin Guidence Table'!$J$1:$J$10000&gt;=ROUND($QL$3,0)),0),MATCH("MDA_MIN_MARGIN_GUIDENCE",'Margin Guidence Table'!$A$1:$AG$1,0)),INDEX('Margin Guidence Table'!$A$1:$AG$10000,MATCH(1,('Margin Guidence Table'!$A$1:$A$10000=QT17)*('Margin Guidence Table'!$I$1:$I$10000&lt;=ROUND($QL$3,0))*('Margin Guidence Table'!$J$1:$J$10000&gt;=ROUND($QL$3,0)),0),MATCH("DEFAULT_MDA_MIN_MARGIN_GUIDENCE",'Margin Guidence Table'!$A$1:$AG$1,0))),0))</f>
        <v>0</v>
      </c>
      <c r="QZ17" s="784">
        <f t="array" ref="QZ17">IF('Customer Inputs'!$W$23="End",0,IFERROR(IF($QV17="SEGMENT",INDEX('Margin Guidence Table'!$A$1:$AG$10000,MATCH(1,('Margin Guidence Table'!$A$1:$A$10000=QT17)*('Margin Guidence Table'!$I$1:$I$10000&lt;=ROUND($QL$3,0))*('Margin Guidence Table'!$J$1:$J$10000&gt;=ROUND($QL$3,0)),0),MATCH("MDA_MEDIAN_MARGIN_GUIDENCE",'Margin Guidence Table'!$A$1:$AG$1,0)),INDEX('Margin Guidence Table'!$A$1:$AG$10000,MATCH(1,('Margin Guidence Table'!$A$1:$A$10000=QT17)*('Margin Guidence Table'!$I$1:$I$10000&lt;=ROUND($QL$3,0))*('Margin Guidence Table'!$J$1:$J$10000&gt;=ROUND($QL$3,0)),0),MATCH("DEFAULT_MDA_MEDIAN_MARGIN_GUIDENCE",'Margin Guidence Table'!$A$1:$AG$1,0))),0))</f>
        <v>0</v>
      </c>
      <c r="RA17" s="784">
        <f t="array" ref="RA17">IF('Customer Inputs'!$W$23="End",0,IFERROR(IF($QV17="SEGMENT",INDEX('Margin Guidence Table'!$A$1:$AG$10000,MATCH(1,('Margin Guidence Table'!$A$1:$A$10000=QT17)*('Margin Guidence Table'!$I$1:$I$10000&lt;=ROUND($QL$3,0))*('Margin Guidence Table'!$J$1:$J$10000&gt;=ROUND($QL$3,0)),0),MATCH("MDA_MAX_MARGIN_GUIDENCE",'Margin Guidence Table'!$A$1:$AG$1,0)),INDEX('Margin Guidence Table'!$A$1:$AG$10000,MATCH(1,('Margin Guidence Table'!$A$1:$A$10000=QT17)*('Margin Guidence Table'!$I$1:$I$10000&lt;=ROUND($QL$3,0))*('Margin Guidence Table'!$J$1:$J$10000&gt;=ROUND($QL$3,0)),0),MATCH("DEFAULT_MDA_MAX_MARGIN_GUIDENCE",'Margin Guidence Table'!$A$1:$AG$1,0))),0))</f>
        <v>0</v>
      </c>
      <c r="RB17" s="784">
        <f t="array" ref="RB17">IF('Customer Inputs'!$W$23="End",0,IFERROR(IF($QV17="SEGMENT",INDEX('Margin Guidence Table'!$A$1:$AG$10000,MATCH(1,('Margin Guidence Table'!$A$1:$A$10000=QT17)*('Margin Guidence Table'!$I$1:$I$10000&lt;=ROUND($QL$3,0))*('Margin Guidence Table'!$J$1:$J$10000&gt;=ROUND($QL$3,0)),0),MATCH("PA_PCT_SALES",'Margin Guidence Table'!$A$1:$AG$1,0)),INDEX('Margin Guidence Table'!$A$1:$AG$10000,MATCH(1,('Margin Guidence Table'!$A$1:$A$10000=QT17)*('Margin Guidence Table'!$I$1:$I$10000&lt;=ROUND($QL$3,0))*('Margin Guidence Table'!$J$1:$J$10000&gt;=ROUND($QL$3,0)),0),MATCH("DEFAULT_PA_PCT_SALES",'Margin Guidence Table'!$A$1:$AG$1,0))),0))</f>
        <v>0</v>
      </c>
      <c r="RC17" s="784">
        <f t="array" ref="RC17">IF('Customer Inputs'!$W$23="End",0,IFERROR(IF($QV17="SEGMENT",INDEX('Margin Guidence Table'!$A$1:$AG$10000,MATCH(1,('Margin Guidence Table'!$A$1:$A$10000=QT17)*('Margin Guidence Table'!$I$1:$I$10000&lt;=ROUND($QL$3,0))*('Margin Guidence Table'!$J$1:$J$10000&gt;=ROUND($QL$3,0)),0),MATCH("SELF_FUND_PCT_SALES",'Margin Guidence Table'!$A$1:$AG$1,0)),INDEX('Margin Guidence Table'!$A$1:$AG$10000,MATCH(1,('Margin Guidence Table'!$A$1:$A$10000=QT17)*('Margin Guidence Table'!$I$1:$I$10000&lt;=ROUND($QL$3,0))*('Margin Guidence Table'!$J$1:$J$10000&gt;=ROUND($QL$3,0)),0),MATCH("DEFAULT_SELF_FUND_PCT_SALES",'Margin Guidence Table'!$A$1:$AG$1,0))),0))</f>
        <v>0</v>
      </c>
      <c r="RD17" s="784">
        <f t="array" ref="RD17">IF('Customer Inputs'!$W$23="End",0,IF($QM$2="Existing",IFERROR(SUMIFS('Existing Customers'!$V:$V,'Existing Customers'!$H:$H,$QK17,'Existing Customers'!$A:$A,$QL$1)/SUMIFS('Existing Customers'!$Q:$Q,'Existing Customers'!$H:$H,$QK17,'Existing Customers'!$A:$A,$QL$1),0),IFERROR(IF($QV17="SEGMENT",INDEX('Margin Guidence Table'!$A$1:$AG$10000,MATCH(1,('Margin Guidence Table'!$A$1:$A$10000=QT17)*('Margin Guidence Table'!$I$1:$I$10000&lt;=ROUND($QL$3,0))*('Margin Guidence Table'!$J$1:$J$10000&gt;=ROUND($QL$3,0)),0),MATCH("CIA_MEDIAN_MARGIN_GUIDENCE",'Margin Guidence Table'!$A$1:$AG$1,0)),INDEX('Margin Guidence Table'!$A$1:$AG$10000,MATCH(1,('Margin Guidence Table'!$A$1:$A$10000=QT17)*('Margin Guidence Table'!$I$1:$I$10000&lt;=ROUND($QL$3,0))*('Margin Guidence Table'!$J$1:$J$10000&gt;=ROUND($QL$3,0)),0),MATCH("DEFAULT_CIA_MEDIAN_MARGIN_GUIDENCE",'Margin Guidence Table'!$A$1:$AG$1,0))),0)))</f>
        <v>0</v>
      </c>
      <c r="RE17" s="784"/>
      <c r="RF17" s="18">
        <f t="array" ref="RF17">IF('Customer Inputs'!$W$24="End",0,IFERROR(IF($RS17="SEGMENT",INDEX('Margin Guidence Table'!$A$1:$AG$10000,MATCH(1,('Margin Guidence Table'!$A$1:$A$10000=$RQ17)*('Margin Guidence Table'!$I$1:$I$10000&lt;=ROUND($RI$3,0))*('Margin Guidence Table'!$J$1:$J$10000&gt;=ROUND($RI$3,0)),0),MATCH("PCT_SALES",'Margin Guidence Table'!$A$1:$AG$1,0)),INDEX('Margin Guidence Table'!$A$1:$AG$10000,MATCH(1,('Margin Guidence Table'!$A$1:$A$10000=$RQ17)*('Margin Guidence Table'!$I$1:$I$10000&lt;=ROUND($RI$3,0))*('Margin Guidence Table'!$J$1:$J$10000&gt;=ROUND($RI$3,0)),0),MATCH("DEFAULT_PCT_SALES",'Margin Guidence Table'!$A$1:$AG$1,0))),0))</f>
        <v>0</v>
      </c>
      <c r="RG17" s="1713" t="e">
        <f t="shared" si="68"/>
        <v>#DIV/0!</v>
      </c>
      <c r="RH17" s="99" t="s">
        <v>102</v>
      </c>
      <c r="RI17" s="91">
        <f>IF('Customer Inputs'!$W$24="End",0,IFERROR(IF(AND($RI$2&lt;&gt;"Enter Spend&gt;&gt;&gt;",$RJ$2="EXISTING"),SUMIFS('Existing Customers'!$Q:$Q,'Existing Customers'!$A:$A,$RI$1,'Existing Customers'!$H:$H,$RH17)*$RI$4,$RI$3*$RG17),0))</f>
        <v>0</v>
      </c>
      <c r="RJ17" s="86">
        <f>IF('Customer Inputs'!$W$24="End",0,IFERROR(IF(AND($RI$2&lt;&gt;"Enter Spend&gt;&gt;&gt;",$RJ$2="EXISTING"),SUMIFS('Existing Customers'!$N:$N,'Existing Customers'!$A:$A,$RI$1,'Existing Customers'!$H:$H,$RH17)*$RI$4,$RI17/$RT17),0))</f>
        <v>0</v>
      </c>
      <c r="RK17" s="92">
        <f>IF('Customer Inputs'!$W$24="End",0,IFERROR(IF(AND($RI$2&lt;&gt;"Enter Spend&gt;&gt;&gt;",$RJ$2="EXISTING"),SUMIFS('Existing Customers'!$O:$O,'Existing Customers'!$H:$H,$RH17,'Existing Customers'!$A:$A,$RI$1)*$RI$4,$RJ17*$RI$8),0))</f>
        <v>0</v>
      </c>
      <c r="RL17" s="92">
        <f>IF('Customer Inputs'!$W$24="End",0,IFERROR(IF(AND($RI$2&lt;&gt;"Enter Spend&gt;&gt;&gt;",$RJ$2="EXISTING"),SUMIFS('Existing Customers'!$P:$P,'Existing Customers'!$A:$A,$RI$1,'Existing Customers'!$H:$H,$RH17)*$RI$4,$RI17/$RU17),0))</f>
        <v>0</v>
      </c>
      <c r="RM17" s="303">
        <f>IF('Customer Inputs'!$W$24="End",0,IFERROR(IF(AND($RI$2&lt;&gt;"Enter Spend&gt;&gt;&gt;",$RJ$2="EXISTING"),SUMIFS('Existing Customers'!$V:$V,'Existing Customers'!$H:$H,$RH17,'Existing Customers'!$A:$A,$RI$1)*$RI$4,0),0))</f>
        <v>0</v>
      </c>
      <c r="RN17" s="93">
        <f>IF('Customer Inputs'!$W$24="End",0,IFERROR(IF(AND($RI$2&lt;&gt;"Enter Spend&gt;&gt;&gt;",$RJ$2="EXISTING"),SUMIFS('Existing Customers'!$R:$R,'Existing Customers'!$H:$H,$RH17,'Existing Customers'!$A:$A,$RI$1)*$RI$4,0),0))</f>
        <v>0</v>
      </c>
      <c r="RO17" s="780">
        <f>IF('Customer Inputs'!$W$24="End",0,IFERROR(IF(AND($RI$2&lt;&gt;"Enter Spend&gt;&gt;&gt;",$RJ$2="EXISTING"),SUMIFS('Existing Customers'!$S:$S,'Existing Customers'!$H:$H,$RH17,'Existing Customers'!$A:$A,$RI$1)/SUMIFS('Existing Customers'!$Q:$Q,'Existing Customers'!$A:$A,$RI$1,'Existing Customers'!$H:$H,$RH17),RY17),0))</f>
        <v>0</v>
      </c>
      <c r="RP17" s="780">
        <f>IF('Customer Inputs'!$W$24="End",0,IFERROR(IF(AND($RI$2&lt;&gt;"Enter Spend&gt;&gt;&gt;",$RJ$2="EXISTING"),SUMIFS('Existing Customers'!$U:$U,'Existing Customers'!$H:$H,$RH17,'Existing Customers'!$A:$A,$RI$1)/SUMIFS('Existing Customers'!$Q:$Q,'Existing Customers'!$A:$A,$RI$1,'Existing Customers'!$H:$H,$RH17),RZ17),0))</f>
        <v>0</v>
      </c>
      <c r="RQ17" s="783" t="e">
        <f>_xlfn.CONCAT('Customer Inputs'!$AH$24,"_",RH17)</f>
        <v>#N/A</v>
      </c>
      <c r="RR17" s="783">
        <f t="array" ref="RR17">IF('Customer Inputs'!$W$24="End",0,IFERROR(INDEX('Margin Guidence Table'!$A$1:$AG$10000,MATCH(1,('Margin Guidence Table'!$A$1:$A$10000=RQ17)*('Margin Guidence Table'!$I$1:$I$10000&lt;=ROUND($RI$3,0))*('Margin Guidence Table'!$J$1:$J$10000&gt;=ROUND($RI$3,0)),0),MATCH("DATA_POINTS",'Margin Guidence Table'!$A$1:$AG$1,0)),0))</f>
        <v>0</v>
      </c>
      <c r="RS17" s="780" t="str">
        <f t="shared" si="69"/>
        <v>DEFAULT</v>
      </c>
      <c r="RT17" s="780">
        <f t="array" ref="RT17">IF('Customer Inputs'!$W$24="End",0,IFERROR(IF($RS17="SEGMENT",INDEX('Margin Guidence Table'!$A$1:$AG$10000,MATCH(1,('Margin Guidence Table'!$A$1:$A$10000=RQ17)*('Margin Guidence Table'!$I$1:$I$10000&lt;=ROUND($RI$3,0))*('Margin Guidence Table'!$J$1:$J$10000&gt;=ROUND($RI$3,0)),0),MATCH("SALES_CASE",'Margin Guidence Table'!$A$1:$AG$1,0)),INDEX('Margin Guidence Table'!$A$1:$AG$10000,MATCH(1,('Margin Guidence Table'!$A$1:$A$10000=RQ17)*('Margin Guidence Table'!$I$1:$I$10000&lt;=ROUND($RI$3,0))*('Margin Guidence Table'!$J$1:$J$10000&gt;=ROUND($RI$3,0)),0),MATCH("DEFAULT_SALES_CASE",'Margin Guidence Table'!$A$1:$AG$1,0))),0))</f>
        <v>0</v>
      </c>
      <c r="RU17" s="780">
        <f t="array" ref="RU17">IF('Customer Inputs'!$W$24="End",0,IFERROR(IF($RS17="SEGMENT",INDEX('Margin Guidence Table'!$A$1:$AG$10000,MATCH(1,('Margin Guidence Table'!$A$1:$A$10000=RQ17)*('Margin Guidence Table'!$I$1:$I$10000&lt;=ROUND($RI$3,0))*('Margin Guidence Table'!$J$1:$J$10000&gt;=ROUND($RI$3,0)),0),MATCH("SALES_LBS",'Margin Guidence Table'!$A$1:$AG$1,0)),INDEX('Margin Guidence Table'!$A$1:$AG$10000,MATCH(1,('Margin Guidence Table'!$A$1:$A$10000=RQ17)*('Margin Guidence Table'!$I$1:$I$10000&lt;=ROUND($RI$3,0))*('Margin Guidence Table'!$J$1:$J$10000&gt;=ROUND($RI$3,0)),0),MATCH("DEFAULT_SALES_LBS",'Margin Guidence Table'!$A$1:$AG$1,0))),0))</f>
        <v>0</v>
      </c>
      <c r="RV17" s="784">
        <f t="array" ref="RV17">IF('Customer Inputs'!$W$24="End",0,IFERROR(IF($RS17="SEGMENT",INDEX('Margin Guidence Table'!$A$1:$AG$10000,MATCH(1,('Margin Guidence Table'!$A$1:$A$10000=RQ17)*('Margin Guidence Table'!$I$1:$I$10000&lt;=ROUND($RI$3,0))*('Margin Guidence Table'!$J$1:$J$10000&gt;=ROUND($RI$3,0)),0),MATCH("MDA_MIN_MARGIN_GUIDENCE",'Margin Guidence Table'!$A$1:$AG$1,0)),INDEX('Margin Guidence Table'!$A$1:$AG$10000,MATCH(1,('Margin Guidence Table'!$A$1:$A$10000=RQ17)*('Margin Guidence Table'!$I$1:$I$10000&lt;=ROUND($RI$3,0))*('Margin Guidence Table'!$J$1:$J$10000&gt;=ROUND($RI$3,0)),0),MATCH("DEFAULT_MDA_MIN_MARGIN_GUIDENCE",'Margin Guidence Table'!$A$1:$AG$1,0))),0))</f>
        <v>0</v>
      </c>
      <c r="RW17" s="784">
        <f t="array" ref="RW17">IF('Customer Inputs'!$W$24="End",0,IFERROR(IF($RS17="SEGMENT",INDEX('Margin Guidence Table'!$A$1:$AG$10000,MATCH(1,('Margin Guidence Table'!$A$1:$A$10000=RQ17)*('Margin Guidence Table'!$I$1:$I$10000&lt;=ROUND($RI$3,0))*('Margin Guidence Table'!$J$1:$J$10000&gt;=ROUND($RI$3,0)),0),MATCH("MDA_MEDIAN_MARGIN_GUIDENCE",'Margin Guidence Table'!$A$1:$AG$1,0)),INDEX('Margin Guidence Table'!$A$1:$AG$10000,MATCH(1,('Margin Guidence Table'!$A$1:$A$10000=RQ17)*('Margin Guidence Table'!$I$1:$I$10000&lt;=ROUND($RI$3,0))*('Margin Guidence Table'!$J$1:$J$10000&gt;=ROUND($RI$3,0)),0),MATCH("DEFAULT_MDA_MEDIAN_MARGIN_GUIDENCE",'Margin Guidence Table'!$A$1:$AG$1,0))),0))</f>
        <v>0</v>
      </c>
      <c r="RX17" s="784">
        <f t="array" ref="RX17">IF('Customer Inputs'!$W$24="End",0,IFERROR(IF($RS17="SEGMENT",INDEX('Margin Guidence Table'!$A$1:$AG$10000,MATCH(1,('Margin Guidence Table'!$A$1:$A$10000=RQ17)*('Margin Guidence Table'!$I$1:$I$10000&lt;=ROUND($RI$3,0))*('Margin Guidence Table'!$J$1:$J$10000&gt;=ROUND($RI$3,0)),0),MATCH("MDA_MAX_MARGIN_GUIDENCE",'Margin Guidence Table'!$A$1:$AG$1,0)),INDEX('Margin Guidence Table'!$A$1:$AG$10000,MATCH(1,('Margin Guidence Table'!$A$1:$A$10000=RQ17)*('Margin Guidence Table'!$I$1:$I$10000&lt;=ROUND($RI$3,0))*('Margin Guidence Table'!$J$1:$J$10000&gt;=ROUND($RI$3,0)),0),MATCH("DEFAULT_MDA_MAX_MARGIN_GUIDENCE",'Margin Guidence Table'!$A$1:$AG$1,0))),0))</f>
        <v>0</v>
      </c>
      <c r="RY17" s="784">
        <f t="array" ref="RY17">IF('Customer Inputs'!$W$24="End",0,IFERROR(IF($RS17="SEGMENT",INDEX('Margin Guidence Table'!$A$1:$AG$10000,MATCH(1,('Margin Guidence Table'!$A$1:$A$10000=RQ17)*('Margin Guidence Table'!$I$1:$I$10000&lt;=ROUND($RI$3,0))*('Margin Guidence Table'!$J$1:$J$10000&gt;=ROUND($RI$3,0)),0),MATCH("PA_PCT_SALES",'Margin Guidence Table'!$A$1:$AG$1,0)),INDEX('Margin Guidence Table'!$A$1:$AG$10000,MATCH(1,('Margin Guidence Table'!$A$1:$A$10000=RQ17)*('Margin Guidence Table'!$I$1:$I$10000&lt;=ROUND($RI$3,0))*('Margin Guidence Table'!$J$1:$J$10000&gt;=ROUND($RI$3,0)),0),MATCH("DEFAULT_PA_PCT_SALES",'Margin Guidence Table'!$A$1:$AG$1,0))),0))</f>
        <v>0</v>
      </c>
      <c r="RZ17" s="784">
        <f t="array" ref="RZ17">IF('Customer Inputs'!$W$24="End",0,IFERROR(IF($RS17="SEGMENT",INDEX('Margin Guidence Table'!$A$1:$AG$10000,MATCH(1,('Margin Guidence Table'!$A$1:$A$10000=RQ17)*('Margin Guidence Table'!$I$1:$I$10000&lt;=ROUND($RI$3,0))*('Margin Guidence Table'!$J$1:$J$10000&gt;=ROUND($RI$3,0)),0),MATCH("SELF_FUND_PCT_SALES",'Margin Guidence Table'!$A$1:$AG$1,0)),INDEX('Margin Guidence Table'!$A$1:$AG$10000,MATCH(1,('Margin Guidence Table'!$A$1:$A$10000=RQ17)*('Margin Guidence Table'!$I$1:$I$10000&lt;=ROUND($RI$3,0))*('Margin Guidence Table'!$J$1:$J$10000&gt;=ROUND($RI$3,0)),0),MATCH("DEFAULT_SELF_FUND_PCT_SALES",'Margin Guidence Table'!$A$1:$AG$1,0))),0))</f>
        <v>0</v>
      </c>
      <c r="SA17" s="784">
        <f t="array" ref="SA17">IF('Customer Inputs'!$W$24="End",0,IF($RJ$2="Existing",IFERROR(SUMIFS('Existing Customers'!$V:$V,'Existing Customers'!$H:$H,$RH17,'Existing Customers'!$A:$A,$RI$1)/SUMIFS('Existing Customers'!$Q:$Q,'Existing Customers'!$H:$H,$RH17,'Existing Customers'!$A:$A,$RI$1),0),IFERROR(IF($RS17="SEGMENT",INDEX('Margin Guidence Table'!$A$1:$AG$10000,MATCH(1,('Margin Guidence Table'!$A$1:$A$10000=RQ17)*('Margin Guidence Table'!$I$1:$I$10000&lt;=ROUND($RI$3,0))*('Margin Guidence Table'!$J$1:$J$10000&gt;=ROUND($RI$3,0)),0),MATCH("CIA_MEDIAN_MARGIN_GUIDENCE",'Margin Guidence Table'!$A$1:$AG$1,0)),INDEX('Margin Guidence Table'!$A$1:$AG$10000,MATCH(1,('Margin Guidence Table'!$A$1:$A$10000=RQ17)*('Margin Guidence Table'!$I$1:$I$10000&lt;=ROUND($RI$3,0))*('Margin Guidence Table'!$J$1:$J$10000&gt;=ROUND($RI$3,0)),0),MATCH("DEFAULT_CIA_MEDIAN_MARGIN_GUIDENCE",'Margin Guidence Table'!$A$1:$AG$1,0))),0)))</f>
        <v>0</v>
      </c>
      <c r="SB17" s="784"/>
      <c r="SC17" s="18">
        <f t="array" ref="SC17">IF('Customer Inputs'!$W$25="End",0,IFERROR(IF($SP17="SEGMENT",INDEX('Margin Guidence Table'!$A$1:$AG$10000,MATCH(1,('Margin Guidence Table'!$A$1:$A$10000=$SN17)*('Margin Guidence Table'!$I$1:$I$10000&lt;=ROUND($SF$3,0))*('Margin Guidence Table'!$J$1:$J$10000&gt;=ROUND($SF$3,0)),0),MATCH("PCT_SALES",'Margin Guidence Table'!$A$1:$AG$1,0)),INDEX('Margin Guidence Table'!$A$1:$AG$10000,MATCH(1,('Margin Guidence Table'!$A$1:$A$10000=$SN17)*('Margin Guidence Table'!$I$1:$I$10000&lt;=ROUND($SF$3,0))*('Margin Guidence Table'!$J$1:$J$10000&gt;=ROUND($SF$3,0)),0),MATCH("DEFAULT_PCT_SALES",'Margin Guidence Table'!$A$1:$AG$1,0))),0))</f>
        <v>0</v>
      </c>
      <c r="SD17" s="1713" t="e">
        <f t="shared" si="70"/>
        <v>#DIV/0!</v>
      </c>
      <c r="SE17" s="99" t="s">
        <v>102</v>
      </c>
      <c r="SF17" s="91">
        <f>IF('Customer Inputs'!$W$25="End",0,IFERROR(IF(AND($SF$2&lt;&gt;"Enter Spend&gt;&gt;&gt;",$SG$2="EXISTING"),SUMIFS('Existing Customers'!$Q:$Q,'Existing Customers'!$A:$A,$SF$1,'Existing Customers'!$H:$H,$SE17)*$SF$4,$SF$3*$SD17),0))</f>
        <v>0</v>
      </c>
      <c r="SG17" s="86">
        <f>IF('Customer Inputs'!$W$25="End",0,IFERROR(IF(AND($SF$2&lt;&gt;"Enter Spend&gt;&gt;&gt;",$SG$2="EXISTING"),SUMIFS('Existing Customers'!$N:$N,'Existing Customers'!$A:$A,$SF$1,'Existing Customers'!$H:$H,$SE17)*$SF$4,$SF17/$SQ17),0))</f>
        <v>0</v>
      </c>
      <c r="SH17" s="92">
        <f>IF('Customer Inputs'!$W$25="End",0,IFERROR(IF(AND($SF$2&lt;&gt;"Enter Spend&gt;&gt;&gt;",$SG$2="EXISTING"),SUMIFS('Existing Customers'!$O:$O,'Existing Customers'!$H:$H,$SE17,'Existing Customers'!$A:$A,$SF$1)*$SF$4,$SG17*$SF$8),0))</f>
        <v>0</v>
      </c>
      <c r="SI17" s="92">
        <f>IF('Customer Inputs'!$W$25="End",0,IFERROR(IF(AND($SF$2&lt;&gt;"Enter Spend&gt;&gt;&gt;",$SG$2="EXISTING"),SUMIFS('Existing Customers'!$P:$P,'Existing Customers'!$A:$A,$SF$1,'Existing Customers'!$H:$H,$SE17)*$SF$4,$SF17/$SR17),0))</f>
        <v>0</v>
      </c>
      <c r="SJ17" s="303">
        <f>IF('Customer Inputs'!$W$25="End",0,IFERROR(IF(AND($SF$2&lt;&gt;"Enter Spend&gt;&gt;&gt;",$SG$2="EXISTING"),SUMIFS('Existing Customers'!$V:$V,'Existing Customers'!$H:$H,$SE17,'Existing Customers'!$A:$A,$SF$1)*$SF$4,0),0))</f>
        <v>0</v>
      </c>
      <c r="SK17" s="93">
        <f>IF('Customer Inputs'!$W$25="End",0,IFERROR(IF(AND($SF$2&lt;&gt;"Enter Spend&gt;&gt;&gt;",$SG$2="EXISTING"),SUMIFS('Existing Customers'!$R:$R,'Existing Customers'!$H:$H,$SE17,'Existing Customers'!$A:$A,$SF$1)*$SF$4,0),0))</f>
        <v>0</v>
      </c>
      <c r="SL17" s="780">
        <f>IF('Customer Inputs'!$W$25="End",0,IFERROR(IF(AND($SF$2&lt;&gt;"Enter Spend&gt;&gt;&gt;",$SG$2="EXISTING"),SUMIFS('Existing Customers'!$S:$S,'Existing Customers'!$H:$H,$SE17,'Existing Customers'!$A:$A,$SF$1)/SUMIFS('Existing Customers'!$Q:$Q,'Existing Customers'!$A:$A,$SF$1,'Existing Customers'!$H:$H,$SE17),SV17),0))</f>
        <v>0</v>
      </c>
      <c r="SM17" s="780">
        <f>IF('Customer Inputs'!$W$25="End",0,IFERROR(IF(AND($SF$2&lt;&gt;"Enter Spend&gt;&gt;&gt;",$SG$2="EXISTING"),SUMIFS('Existing Customers'!$U:$U,'Existing Customers'!$H:$H,$SE17,'Existing Customers'!$A:$A,$SF$1)/SUMIFS('Existing Customers'!$Q:$Q,'Existing Customers'!$A:$A,$SF$1,'Existing Customers'!$H:$H,$SE17),SW17),0))</f>
        <v>0</v>
      </c>
      <c r="SN17" s="783" t="e">
        <f>_xlfn.CONCAT('Customer Inputs'!$AH$25,"_",SE17)</f>
        <v>#N/A</v>
      </c>
      <c r="SO17" s="783">
        <f t="array" ref="SO17">IF('Customer Inputs'!$W$25="End",0,IFERROR(INDEX('Margin Guidence Table'!$A$1:$AG$10000,MATCH(1,('Margin Guidence Table'!$A$1:$A$10000=SN17)*('Margin Guidence Table'!$I$1:$I$10000&lt;=ROUND($SF$3,0))*('Margin Guidence Table'!$J$1:$J$10000&gt;=ROUND($SF$3,0)),0),MATCH("DATA_POINTS",'Margin Guidence Table'!$A$1:$AG$1,0)),0))</f>
        <v>0</v>
      </c>
      <c r="SP17" s="780" t="str">
        <f t="shared" si="71"/>
        <v>DEFAULT</v>
      </c>
      <c r="SQ17" s="780">
        <f t="array" ref="SQ17">IF('Customer Inputs'!$W$25="End",0,IFERROR(IF($SP17="SEGMENT",INDEX('Margin Guidence Table'!$A$1:$AG$10000,MATCH(1,('Margin Guidence Table'!$A$1:$A$10000=SN17)*('Margin Guidence Table'!$I$1:$I$10000&lt;=ROUND($SF$3,0))*('Margin Guidence Table'!$J$1:$J$10000&gt;=ROUND($SF$3,0)),0),MATCH("SALES_CASE",'Margin Guidence Table'!$A$1:$AG$1,0)),INDEX('Margin Guidence Table'!$A$1:$AG$10000,MATCH(1,('Margin Guidence Table'!$A$1:$A$10000=SN17)*('Margin Guidence Table'!$I$1:$I$10000&lt;=ROUND($SF$3,0))*('Margin Guidence Table'!$J$1:$J$10000&gt;=ROUND($SF$3,0)),0),MATCH("DEFAULT_SALES_CASE",'Margin Guidence Table'!$A$1:$AG$1,0))),0))</f>
        <v>0</v>
      </c>
      <c r="SR17" s="780">
        <f t="array" ref="SR17">IF('Customer Inputs'!$W$25="End",0,IFERROR(IF($SP17="SEGMENT",INDEX('Margin Guidence Table'!$A$1:$AG$10000,MATCH(1,('Margin Guidence Table'!$A$1:$A$10000=SN17)*('Margin Guidence Table'!$I$1:$I$10000&lt;=ROUND($SF$3,0))*('Margin Guidence Table'!$J$1:$J$10000&gt;=ROUND($SF$3,0)),0),MATCH("SALES_LBS",'Margin Guidence Table'!$A$1:$AG$1,0)),INDEX('Margin Guidence Table'!$A$1:$AG$10000,MATCH(1,('Margin Guidence Table'!$A$1:$A$10000=SN17)*('Margin Guidence Table'!$I$1:$I$10000&lt;=ROUND($SF$3,0))*('Margin Guidence Table'!$J$1:$J$10000&gt;=ROUND($SF$3,0)),0),MATCH("DEFAULT_SALES_LBS",'Margin Guidence Table'!$A$1:$AG$1,0))),0))</f>
        <v>0</v>
      </c>
      <c r="SS17" s="784">
        <f t="array" ref="SS17">IF('Customer Inputs'!$W$25="End",0,IFERROR(IF($SP17="SEGMENT",INDEX('Margin Guidence Table'!$A$1:$AG$10000,MATCH(1,('Margin Guidence Table'!$A$1:$A$10000=SN17)*('Margin Guidence Table'!$I$1:$I$10000&lt;=ROUND($SF$3,0))*('Margin Guidence Table'!$J$1:$J$10000&gt;=ROUND($SF$3,0)),0),MATCH("MDA_MIN_MARGIN_GUIDENCE",'Margin Guidence Table'!$A$1:$AG$1,0)),INDEX('Margin Guidence Table'!$A$1:$AG$10000,MATCH(1,('Margin Guidence Table'!$A$1:$A$10000=SN17)*('Margin Guidence Table'!$I$1:$I$10000&lt;=ROUND($SF$3,0))*('Margin Guidence Table'!$J$1:$J$10000&gt;=ROUND($SF$3,0)),0),MATCH("DEFAULT_MDA_MIN_MARGIN_GUIDENCE",'Margin Guidence Table'!$A$1:$AG$1,0))),0))</f>
        <v>0</v>
      </c>
      <c r="ST17" s="784">
        <f t="array" ref="ST17">IF('Customer Inputs'!$W$25="End",0,IFERROR(IF($SP17="SEGMENT",INDEX('Margin Guidence Table'!$A$1:$AG$10000,MATCH(1,('Margin Guidence Table'!$A$1:$A$10000=SN17)*('Margin Guidence Table'!$I$1:$I$10000&lt;=ROUND($SF$3,0))*('Margin Guidence Table'!$J$1:$J$10000&gt;=ROUND($SF$3,0)),0),MATCH("MDA_MEDIAN_MARGIN_GUIDENCE",'Margin Guidence Table'!$A$1:$AG$1,0)),INDEX('Margin Guidence Table'!$A$1:$AG$10000,MATCH(1,('Margin Guidence Table'!$A$1:$A$10000=SN17)*('Margin Guidence Table'!$I$1:$I$10000&lt;=ROUND($SF$3,0))*('Margin Guidence Table'!$J$1:$J$10000&gt;=ROUND($SF$3,0)),0),MATCH("DEFAULT_MDA_MEDIAN_MARGIN_GUIDENCE",'Margin Guidence Table'!$A$1:$AG$1,0))),0))</f>
        <v>0</v>
      </c>
      <c r="SU17" s="784">
        <f t="array" ref="SU17">IF('Customer Inputs'!$W$25="End",0,IFERROR(IF($SP17="SEGMENT",INDEX('Margin Guidence Table'!$A$1:$AG$10000,MATCH(1,('Margin Guidence Table'!$A$1:$A$10000=SN17)*('Margin Guidence Table'!$I$1:$I$10000&lt;=ROUND($SF$3,0))*('Margin Guidence Table'!$J$1:$J$10000&gt;=ROUND($SF$3,0)),0),MATCH("MDA_MAX_MARGIN_GUIDENCE",'Margin Guidence Table'!$A$1:$AG$1,0)),INDEX('Margin Guidence Table'!$A$1:$AG$10000,MATCH(1,('Margin Guidence Table'!$A$1:$A$10000=SN17)*('Margin Guidence Table'!$I$1:$I$10000&lt;=ROUND($SF$3,0))*('Margin Guidence Table'!$J$1:$J$10000&gt;=ROUND($SF$3,0)),0),MATCH("DEFAULT_MDA_MAX_MARGIN_GUIDENCE",'Margin Guidence Table'!$A$1:$AG$1,0))),0))</f>
        <v>0</v>
      </c>
      <c r="SV17" s="784">
        <f t="array" ref="SV17">IF('Customer Inputs'!$W$25="End",0,IFERROR(IF($SP17="SEGMENT",INDEX('Margin Guidence Table'!$A$1:$AG$10000,MATCH(1,('Margin Guidence Table'!$A$1:$A$10000=SN17)*('Margin Guidence Table'!$I$1:$I$10000&lt;=ROUND($SF$3,0))*('Margin Guidence Table'!$J$1:$J$10000&gt;=ROUND($SF$3,0)),0),MATCH("PA_PCT_SALES",'Margin Guidence Table'!$A$1:$AG$1,0)),INDEX('Margin Guidence Table'!$A$1:$AG$10000,MATCH(1,('Margin Guidence Table'!$A$1:$A$10000=SN17)*('Margin Guidence Table'!$I$1:$I$10000&lt;=ROUND($SF$3,0))*('Margin Guidence Table'!$J$1:$J$10000&gt;=ROUND($SF$3,0)),0),MATCH("DEFAULT_PA_PCT_SALES",'Margin Guidence Table'!$A$1:$AG$1,0))),0))</f>
        <v>0</v>
      </c>
      <c r="SW17" s="784">
        <f t="array" ref="SW17">IF('Customer Inputs'!$W$25="End",0,IFERROR(IF($SP17="SEGMENT",INDEX('Margin Guidence Table'!$A$1:$AG$10000,MATCH(1,('Margin Guidence Table'!$A$1:$A$10000=SN17)*('Margin Guidence Table'!$I$1:$I$10000&lt;=ROUND($SF$3,0))*('Margin Guidence Table'!$J$1:$J$10000&gt;=ROUND($SF$3,0)),0),MATCH("SELF_FUND_PCT_SALES",'Margin Guidence Table'!$A$1:$AG$1,0)),INDEX('Margin Guidence Table'!$A$1:$AG$10000,MATCH(1,('Margin Guidence Table'!$A$1:$A$10000=SN17)*('Margin Guidence Table'!$I$1:$I$10000&lt;=ROUND($SF$3,0))*('Margin Guidence Table'!$J$1:$J$10000&gt;=ROUND($SF$3,0)),0),MATCH("DEFAULT_SELF_FUND_PCT_SALES",'Margin Guidence Table'!$A$1:$AG$1,0))),0))</f>
        <v>0</v>
      </c>
      <c r="SX17" s="784">
        <f t="array" ref="SX17">IF('Customer Inputs'!$W$25="End",0,IF($SG$2="Existing",IFERROR(SUMIFS('Existing Customers'!$V:$V,'Existing Customers'!$H:$H,$SE17,'Existing Customers'!$A:$A,$SF$1)/SUMIFS('Existing Customers'!$Q:$Q,'Existing Customers'!$H:$H,$SE17,'Existing Customers'!$A:$A,$SF$1),0),IFERROR(IF($SP17="SEGMENT",INDEX('Margin Guidence Table'!$A$1:$AG$10000,MATCH(1,('Margin Guidence Table'!$A$1:$A$10000=SN17)*('Margin Guidence Table'!$I$1:$I$10000&lt;=ROUND($SF$3,0))*('Margin Guidence Table'!$J$1:$J$10000&gt;=ROUND($SF$3,0)),0),MATCH("CIA_MEDIAN_MARGIN_GUIDENCE",'Margin Guidence Table'!$A$1:$AG$1,0)),INDEX('Margin Guidence Table'!$A$1:$AG$10000,MATCH(1,('Margin Guidence Table'!$A$1:$A$10000=SN17)*('Margin Guidence Table'!$I$1:$I$10000&lt;=ROUND($SF$3,0))*('Margin Guidence Table'!$J$1:$J$10000&gt;=ROUND($SF$3,0)),0),MATCH("DEFAULT_CIA_MEDIAN_MARGIN_GUIDENCE",'Margin Guidence Table'!$A$1:$AG$1,0))),0)))</f>
        <v>0</v>
      </c>
      <c r="SY17" s="784"/>
      <c r="SZ17" s="1705"/>
      <c r="TA17" s="99" t="s">
        <v>102</v>
      </c>
      <c r="TB17" s="94"/>
      <c r="TC17" s="86"/>
      <c r="TD17" s="86"/>
      <c r="TE17" s="86"/>
      <c r="TF17" s="111"/>
      <c r="TG17" s="95"/>
      <c r="TH17" s="126"/>
      <c r="TI17" s="1705"/>
      <c r="TJ17" s="99" t="s">
        <v>102</v>
      </c>
      <c r="TK17" s="94"/>
      <c r="TL17" s="86"/>
      <c r="TM17" s="86"/>
      <c r="TN17" s="86"/>
      <c r="TO17" s="111"/>
      <c r="TP17" s="95"/>
      <c r="TQ17" s="1705"/>
      <c r="TR17" s="1705"/>
    </row>
    <row r="18" spans="1:538" ht="15.75" thickBot="1" x14ac:dyDescent="0.3">
      <c r="A18" s="1705"/>
      <c r="B18" s="99" t="s">
        <v>100</v>
      </c>
      <c r="C18" s="346">
        <f t="shared" si="0"/>
        <v>0</v>
      </c>
      <c r="D18" s="358">
        <f t="shared" si="1"/>
        <v>0</v>
      </c>
      <c r="E18" s="358">
        <f t="shared" si="2"/>
        <v>0</v>
      </c>
      <c r="F18" s="358">
        <f t="shared" si="3"/>
        <v>0</v>
      </c>
      <c r="G18" s="1428">
        <f t="shared" si="4"/>
        <v>0</v>
      </c>
      <c r="H18" s="1428">
        <f t="shared" si="5"/>
        <v>0</v>
      </c>
      <c r="I18" s="359">
        <f t="shared" si="6"/>
        <v>0</v>
      </c>
      <c r="J18" s="358">
        <f t="shared" si="7"/>
        <v>0</v>
      </c>
      <c r="K18" s="778">
        <f t="shared" si="8"/>
        <v>0</v>
      </c>
      <c r="L18" s="778">
        <f t="shared" si="9"/>
        <v>0</v>
      </c>
      <c r="M18" s="778">
        <f t="shared" si="10"/>
        <v>0</v>
      </c>
      <c r="N18" s="1428">
        <f>IF('PIM Model'!D14="$/CS",IFERROR(ROUND(SUM(BX18*$BV$35+CU18*$CS$35+DR18*$DP$35+EO18*$EM$35+FL18*$FJ$35+GI18*$GG$35+HF18*$HD$35+IC18*$IA$35+IZ18*$IX$35+JW18*$JU$35+KT18*$KR$35+LQ18*$LO$35+MN18*$ML$35+NK18*$NI$35+OH18*$OF$35+PE18*$PC$35+QB18*$PZ$35+QY18*$QW$35+RV18*$RT$35+SS18*$SQ$35)/$G$35,2),0),IF('PIM Model'!D14="$/LB",IFERROR(ROUND(SUM(BX18*$BW$35+CU18*$CT$35+DR18*$DQ$35+EO18*$EN$35+FL18*$FK$35+GI18*$GH$35+HF18*$HE$35+IC18*$IB$35+IZ18*$IY$35+JW18*$JV$35+KT18*$KS$35+LQ18*$LP$35+MN18*$MM$35+NK18*$NJ$35+OH18*$OG$35+PE18*$PD$35+QB18*$QA$35+QY18*$QX$35+RV18*$RU$35+SS18*$SR$35)/$H$35,2),0),0))</f>
        <v>0</v>
      </c>
      <c r="O18" s="1428">
        <f>IF('PIM Model'!D14="$/CS",IFERROR(ROUND(SUM(BY18*$BV$35+CV18*$CS$35+DS18*$DP$35+EP18*$EM$35+FM18*$FJ$35+GJ18*$GG$35+HG18*$HD$35+ID18*$IA$35+JA18*$IX$35+JX18*$JU$35+KU18*$KR$35+LR18*$LO$35+MO18*$ML$35+NL18*$NI$35+OI18*$OF$35+PF18*$PC$35+QC18*$PZ$35+QZ18*$QW$35+RW18*$RT$35+ST18*$SQ$35)/$G$35,2),0),IF('PIM Model'!D14="$/LB",IFERROR(ROUND(SUM(BY18*$BW$35+CV18*$CT$35+DS18*$DQ$35+EP18*$EN$35+FM18*$FK$35+GJ18*$GH$35+HG18*$HE$35+ID18*$IB$35+JA18*$IY$35+JX18*$JV$35+KU18*$KS$35+LR18*$LP$35+MO18*$MM$35+NL18*$NJ$35+OI18*$OG$35+PF18*$PD$35+QC18*$QA$35+QZ18*$QX$35+RW18*$RU$35+ST18*$SR$35)/$H$35,2),0),0))</f>
        <v>0</v>
      </c>
      <c r="P18" s="1428">
        <f>IF('PIM Model'!D14="$/CS",IFERROR(ROUND(SUM(BZ18*$BV$35+CW18*$CS$35+DT18*$DP$35+EQ18*$EM$35+FN18*$FJ$35+GK18*$GG$35+HH18*$HD$35+IE18*$IA$35+JB18*$IX$35+JY18*$JU$35+KV18*$KR$35+LS18*$LO$35+MP18*$ML$35+NM18*$NI$35+OJ18*$OF$35+PG18*$PC$35+QD18*$PZ$35+RA18*$QW$35+RX18*$RT$35+SU18*$SQ$35)/$G$35,2),0),IF('PIM Model'!D14="$/LB",IFERROR(ROUND(SUM(BZ18*$BW$35+CW18*$CT$35+DT18*$DQ$35+EQ18*$EN$35+FN18*$FK$35+GK18*$GH$35+HH18*$HE$35+IE18*$IB$35+JB18*$IY$35+JY18*$JV$35+KV18*$KS$35+LS18*$LP$35+MP18*$MM$35+NM18*$NJ$35+OJ18*$OG$35+PG18*$PD$35+QD18*$QA$35+RA18*$QX$35+RX18*$RU$35+SU18*$SR$35)/$H$35,2),0),0))</f>
        <v>0</v>
      </c>
      <c r="Q18" s="358">
        <f t="shared" si="11"/>
        <v>0</v>
      </c>
      <c r="R18" s="358">
        <f t="shared" si="12"/>
        <v>0</v>
      </c>
      <c r="S18" s="779">
        <f t="shared" si="13"/>
        <v>0</v>
      </c>
      <c r="T18" s="779">
        <f t="shared" si="14"/>
        <v>0</v>
      </c>
      <c r="U18" s="779">
        <f t="shared" si="15"/>
        <v>0</v>
      </c>
      <c r="V18" s="779">
        <f t="shared" si="16"/>
        <v>0</v>
      </c>
      <c r="W18" s="779">
        <f t="shared" si="17"/>
        <v>0</v>
      </c>
      <c r="X18" s="1705"/>
      <c r="Y18" s="1705" t="str">
        <f>'PIM Model'!E14</f>
        <v>INCLUDE</v>
      </c>
      <c r="Z18" s="1705">
        <f t="shared" si="18"/>
        <v>0</v>
      </c>
      <c r="AA18" s="1705">
        <f t="shared" si="19"/>
        <v>0</v>
      </c>
      <c r="AB18" s="99" t="s">
        <v>100</v>
      </c>
      <c r="AC18" s="107">
        <f t="shared" si="20"/>
        <v>0</v>
      </c>
      <c r="AD18" s="108">
        <f t="shared" si="21"/>
        <v>0</v>
      </c>
      <c r="AE18" s="108">
        <f t="shared" si="22"/>
        <v>0</v>
      </c>
      <c r="AF18" s="108">
        <f t="shared" si="23"/>
        <v>0</v>
      </c>
      <c r="AG18" s="110">
        <f t="shared" si="24"/>
        <v>0</v>
      </c>
      <c r="AH18" s="114">
        <f t="shared" si="25"/>
        <v>0</v>
      </c>
      <c r="AI18" s="301"/>
      <c r="AJ18" s="99" t="s">
        <v>100</v>
      </c>
      <c r="AK18" s="346">
        <f t="shared" si="26"/>
        <v>0</v>
      </c>
      <c r="AL18" s="347">
        <f t="shared" si="26"/>
        <v>0</v>
      </c>
      <c r="AM18" s="347">
        <f t="shared" si="26"/>
        <v>0</v>
      </c>
      <c r="AN18" s="350">
        <f t="shared" si="27"/>
        <v>0</v>
      </c>
      <c r="AO18" s="351">
        <f t="shared" si="28"/>
        <v>0</v>
      </c>
      <c r="AP18" s="301"/>
      <c r="AQ18" s="99" t="s">
        <v>100</v>
      </c>
      <c r="AR18" s="346">
        <f t="shared" si="29"/>
        <v>0</v>
      </c>
      <c r="AS18" s="347">
        <f t="shared" si="30"/>
        <v>0</v>
      </c>
      <c r="AT18" s="351"/>
      <c r="AU18" s="301"/>
      <c r="AV18" s="1708" t="str">
        <f>IF('PIM Ranges'!$AK16='PIM Ranges'!$AY$11,IF($AR18&lt;'PIM Ranges'!$AZ$11,"Q1",IF($AR18&lt;'PIM Ranges'!$BA$11,"Q2",IF($AR18&lt;'PIM Ranges'!$BB$11,"Q3",IF($AR18&lt;'PIM Ranges'!$BC$11,"Q4","Q5")))),IF('PIM Ranges'!$AK16='PIM Ranges'!$AY$12,IF($AR18&lt;'PIM Ranges'!$AZ$12,"Q1",IF($AR18&lt;'PIM Ranges'!$BA$12,"Q2",IF($AR18&lt;'PIM Ranges'!$BB$12,"Q3",IF($AR18&lt;'PIM Ranges'!$BC$12,"Q4","Q5")))),IF('PIM Ranges'!$AK16='PIM Ranges'!$AY$13,IF($AR18&lt;'PIM Ranges'!$AZ$13,"Q1",IF($AR18&lt;'PIM Ranges'!$BA$13,"Q2",IF($AR18&lt;'PIM Ranges'!$BB$13,"Q3",IF($AR18&lt;'PIM Ranges'!$BC$13,"Q4","Q5")))),IF('PIM Ranges'!$AK16='PIM Ranges'!$AY$14,IF($AR18&lt;'PIM Ranges'!$AZ$14,"Q1",IF($AR18&lt;'PIM Ranges'!$BA$14,"Q2",IF($AR18&lt;'PIM Ranges'!$BB$14,"Q3",IF($AR18&lt;'PIM Ranges'!$BC$14,"Q4","Q5")))),IF('PIM Ranges'!$AK16='PIM Ranges'!$AY$15,IF($AR18&lt;'PIM Ranges'!$AZ$15,"Q1",IF($AR18&lt;'PIM Ranges'!$BA$15,"Q2",IF($AR18&lt;'PIM Ranges'!$BB$15,"Q3",IF($AR18&lt;'PIM Ranges'!$BC$15,"Q4","Q5")))),IF('PIM Ranges'!$AK16='PIM Ranges'!$AY$16,IF($AR18&lt;'PIM Ranges'!$AZ$16,"Q1",IF($AR18&lt;'PIM Ranges'!$BA$16,"Q2",IF($AR18&lt;'PIM Ranges'!$BB$16,"Q3",IF($AR18&lt;'PIM Ranges'!$BC$16,"Q4","Q5")))),IF('PIM Ranges'!$AK16='PIM Ranges'!$AY$17,IF($AR18&lt;'PIM Ranges'!$AZ$17,"Q1",IF($AR18&lt;'PIM Ranges'!$BA$17,"Q2",IF($AR18&lt;'PIM Ranges'!$BB$17,"Q3",IF($AR18&lt;'PIM Ranges'!$BC$17,"Q4","Q5")))),IF('PIM Ranges'!$AK16='PIM Ranges'!$AY$18,IF($AR18&lt;'PIM Ranges'!$AZ$18,"Q1",IF($AR18&lt;'PIM Ranges'!$BA$18,"Q2",IF($AR18&lt;'PIM Ranges'!$BB$18,"Q3",IF($AR18&lt;'PIM Ranges'!$BC$18,"Q4","Q5")))),IF('PIM Ranges'!$AK16='PIM Ranges'!$AY$19,IF($AR18&lt;'PIM Ranges'!$AZ$19,"Q1",IF($AR18&lt;'PIM Ranges'!$BA$19,"Q2",IF($AR18&lt;'PIM Ranges'!$BB$19,"Q3",IF($AR18&lt;'PIM Ranges'!$BC$19,"Q4","Q5")))),IF('PIM Ranges'!$AK16='PIM Ranges'!$AY$20,IF($AR18&lt;'PIM Ranges'!$AZ$20,"Q1",IF($AR18&lt;'PIM Ranges'!$BA$20,"Q2",IF($AR18&lt;'PIM Ranges'!$BB$20,"Q3",IF($AR18&lt;'PIM Ranges'!$BC$20,"Q4","Q5")))),IF('PIM Ranges'!$AK16='PIM Ranges'!$AY$21,IF($AR18&lt;'PIM Ranges'!$AZ$21,"Q1",IF($AR18&lt;'PIM Ranges'!$BA$21,"Q2",IF($AR18&lt;'PIM Ranges'!$BB$21,"Q3",IF($AR18&lt;'PIM Ranges'!$BC$21,"Q4","Q5")))),IF('PIM Ranges'!$AK16='PIM Ranges'!$AY$22,IF($AR18&lt;'PIM Ranges'!$AZ$22,"Q1",IF($AR18&lt;'PIM Ranges'!$BA$22,"Q2",IF($AR18&lt;'PIM Ranges'!$BB$22,"Q3",IF($AR18&lt;'PIM Ranges'!$BC$22,"Q4","Q5")))),IF('PIM Ranges'!$AK16='PIM Ranges'!$AY$23,IF($AR18&lt;'PIM Ranges'!$AZ$23,"Q1",IF($AR18&lt;'PIM Ranges'!$BA$23,"Q2",IF($AR18&lt;'PIM Ranges'!$BB$23,"Q3",IF($AR18&lt;'PIM Ranges'!$BC$23,"Q4","Q5")))),IF('PIM Ranges'!$AK16='PIM Ranges'!$AY$24,IF($AR18&lt;'PIM Ranges'!$AZ$24,"Q1",IF($AR18&lt;'PIM Ranges'!$BA$24,"Q2",IF($AR18&lt;'PIM Ranges'!$BB$24,"Q3",IF($AR18&lt;'PIM Ranges'!$BC$24,"Q4","Q5")))),IF('PIM Ranges'!$AK16='PIM Ranges'!$AY$25,IF($AR18&lt;'PIM Ranges'!$AZ$25,"Q1",IF($AR18&lt;'PIM Ranges'!$BA$25,"Q2",IF($AR18&lt;'PIM Ranges'!$BB$25,"Q3",IF($AR18&lt;'PIM Ranges'!$BC$25,"Q4","Q5")))),IF('PIM Ranges'!$AK16='PIM Ranges'!$AY$26,IF($AR18&lt;'PIM Ranges'!$AZ$26,"Q1",IF($AR18&lt;'PIM Ranges'!$BA$26,"Q2",IF($AR18&lt;'PIM Ranges'!$BB$26,"Q3",IF($AR18&lt;'PIM Ranges'!$BC$26,"Q4","Q5")))),IF('PIM Ranges'!$AK16='PIM Ranges'!$AY$27,IF($AR18&lt;'PIM Ranges'!$AZ$27,"Q1",IF($AR18&lt;'PIM Ranges'!$BA$27,"Q2",IF($AR18&lt;'PIM Ranges'!$BB$27,"Q3",IF($AR18&lt;'PIM Ranges'!$BC$27,"Q4","Q5")))),IF('PIM Ranges'!$AK16='PIM Ranges'!$AY$28,IF($AR18&lt;'PIM Ranges'!$AZ$28,"Q1",IF($AR18&lt;'PIM Ranges'!$BA$28,"Q2",IF($AR18&lt;'PIM Ranges'!$BB$28,"Q3",IF($AR18&lt;'PIM Ranges'!$BC$28,"Q4","Q5")))),IF('PIM Ranges'!$AK16='PIM Ranges'!$AY$29,IF($AR18&lt;'PIM Ranges'!$AZ$29,"Q1",IF($AR18&lt;'PIM Ranges'!$BA$29,"Q2",IF($AR18&lt;'PIM Ranges'!$BB$29,"Q3",IF($AR18&lt;'PIM Ranges'!$BC$29,"Q4","Q5")))),IF('PIM Ranges'!$AK16='PIM Ranges'!$AY$30,IF($AR18&lt;'PIM Ranges'!$AZ$30,"Q1",IF($AR18&lt;'PIM Ranges'!$BA$30,"Q2",IF($AR18&lt;'PIM Ranges'!$BB$30,"Q3",IF($AR18&lt;'PIM Ranges'!$BC$30,"Q4","Q5")))),IF('PIM Ranges'!$AK16='PIM Ranges'!$AY$31,IF($AR18&lt;'PIM Ranges'!$AZ$31,"Q1",IF($AR18&lt;'PIM Ranges'!$BA$31,"Q2",IF($AR18&lt;'PIM Ranges'!$BB$31,"Q3",IF($AR18&lt;'PIM Ranges'!$BC$31,"Q4","Q5")))),IF('PIM Ranges'!$AK16='PIM Ranges'!$AY$32,IF($AR18&lt;'PIM Ranges'!$AZ$32,"Q1",IF($AR18&lt;'PIM Ranges'!$BA$32,"Q2",IF($AR18&lt;'PIM Ranges'!$BB$32,"Q3",IF($AR18&lt;'PIM Ranges'!$BC$32,"Q4","Q5"))))))))))))))))))))))))))</f>
        <v>Q1</v>
      </c>
      <c r="AW18" s="301">
        <f>VLOOKUP($AQ18&amp;$AV18,'IMargin Quartiles'!$A:$F,6,FALSE)</f>
        <v>0.18</v>
      </c>
      <c r="AX18" s="301"/>
      <c r="AY18" s="1708" t="str">
        <f>IF('PIM Ranges'!$AK16='PIM Ranges'!$AY$11,IF('PIM Ranges'!$AL16&lt;'PIM Ranges'!$AZ$11,"Q1",IF('PIM Ranges'!$AL16&lt;'PIM Ranges'!$BA$11,"Q2",IF('PIM Ranges'!$AL16&lt;'PIM Ranges'!$BB$11,"Q3",IF('PIM Ranges'!$AL16&lt;'PIM Ranges'!$BC$11,"Q4","Q5")))),IF('PIM Ranges'!$AK16='PIM Ranges'!$AY$12,IF('PIM Ranges'!$AL16&lt;'PIM Ranges'!$AZ$12,"Q1",IF('PIM Ranges'!$AL16&lt;'PIM Ranges'!$BA$12,"Q2",IF('PIM Ranges'!$AL16&lt;'PIM Ranges'!$BB$12,"Q3",IF('PIM Ranges'!$AL16&lt;'PIM Ranges'!$BC$12,"Q4","Q5")))),IF('PIM Ranges'!$AK16='PIM Ranges'!$AY$13,IF('PIM Ranges'!$AL16&lt;'PIM Ranges'!$AZ$13,"Q1",IF('PIM Ranges'!$AL16&lt;'PIM Ranges'!$BA$13,"Q2",IF('PIM Ranges'!$AL16&lt;'PIM Ranges'!$BB$13,"Q3",IF('PIM Ranges'!$AL16&lt;'PIM Ranges'!$BC$13,"Q4","Q5")))),IF('PIM Ranges'!$AK16='PIM Ranges'!$AY$14,IF('PIM Ranges'!$AL16&lt;'PIM Ranges'!$AZ$14,"Q1",IF('PIM Ranges'!$AL16&lt;'PIM Ranges'!$BA$14,"Q2",IF('PIM Ranges'!$AL16&lt;'PIM Ranges'!$BB$14,"Q3",IF('PIM Ranges'!$AL16&lt;'PIM Ranges'!$BC$14,"Q4","Q5")))),IF('PIM Ranges'!$AK16='PIM Ranges'!$AY$15,IF('PIM Ranges'!$AL16&lt;'PIM Ranges'!$AZ$15,"Q1",IF('PIM Ranges'!$AL16&lt;'PIM Ranges'!$BA$15,"Q2",IF('PIM Ranges'!$AL16&lt;'PIM Ranges'!$BB$15,"Q3",IF('PIM Ranges'!$AL16&lt;'PIM Ranges'!$BC$15,"Q4","Q5")))),IF('PIM Ranges'!$AK16='PIM Ranges'!$AY$16,IF('PIM Ranges'!$AL16&lt;'PIM Ranges'!$AZ$16,"Q1",IF('PIM Ranges'!$AL16&lt;'PIM Ranges'!$BA$16,"Q2",IF('PIM Ranges'!$AL16&lt;'PIM Ranges'!$BB$16,"Q3",IF('PIM Ranges'!$AL16&lt;'PIM Ranges'!$BC$16,"Q4","Q5")))),IF('PIM Ranges'!$AK16='PIM Ranges'!$AY$17,IF('PIM Ranges'!$AL16&lt;'PIM Ranges'!$AZ$17,"Q1",IF('PIM Ranges'!$AL16&lt;'PIM Ranges'!$BA$17,"Q2",IF('PIM Ranges'!$AL16&lt;'PIM Ranges'!$BB$17,"Q3",IF('PIM Ranges'!$AL16&lt;'PIM Ranges'!$BC$17,"Q4","Q5")))),IF('PIM Ranges'!$AK16='PIM Ranges'!$AY$18,IF('PIM Ranges'!$AL16&lt;'PIM Ranges'!$AZ$18,"Q1",IF('PIM Ranges'!$AL16&lt;'PIM Ranges'!$BA$18,"Q2",IF('PIM Ranges'!$AL16&lt;'PIM Ranges'!$BB$18,"Q3",IF('PIM Ranges'!$AL16&lt;'PIM Ranges'!$BC$18,"Q4","Q5")))),IF('PIM Ranges'!$AK16='PIM Ranges'!$AY$19,IF('PIM Ranges'!$AL16&lt;'PIM Ranges'!$AZ$19,"Q1",IF('PIM Ranges'!$AL16&lt;'PIM Ranges'!$BA$19,"Q2",IF('PIM Ranges'!$AL16&lt;'PIM Ranges'!$BB$19,"Q3",IF('PIM Ranges'!$AL16&lt;'PIM Ranges'!$BC$19,"Q4","Q5")))),IF('PIM Ranges'!$AK16='PIM Ranges'!$AY$20,IF('PIM Ranges'!$AL16&lt;'PIM Ranges'!$AZ$20,"Q1",IF('PIM Ranges'!$AL16&lt;'PIM Ranges'!$BA$20,"Q2",IF('PIM Ranges'!$AL16&lt;'PIM Ranges'!$BB$20,"Q3",IF('PIM Ranges'!$AL16&lt;'PIM Ranges'!$BC$20,"Q4","Q5")))),IF('PIM Ranges'!$AK16='PIM Ranges'!$AY$21,IF('PIM Ranges'!$AL16&lt;'PIM Ranges'!$AZ$21,"Q1",IF('PIM Ranges'!$AL16&lt;'PIM Ranges'!$BA$21,"Q2",IF('PIM Ranges'!$AL16&lt;'PIM Ranges'!$BB$21,"Q3",IF('PIM Ranges'!$AL16&lt;'PIM Ranges'!$BC$21,"Q4","Q5")))),IF('PIM Ranges'!$AK16='PIM Ranges'!$AY$22,IF('PIM Ranges'!$AL16&lt;'PIM Ranges'!$AZ$22,"Q1",IF('PIM Ranges'!$AL16&lt;'PIM Ranges'!$BA$22,"Q2",IF('PIM Ranges'!$AL16&lt;'PIM Ranges'!$BB$22,"Q3",IF('PIM Ranges'!$AL16&lt;'PIM Ranges'!$BC$22,"Q4","Q5")))),IF('PIM Ranges'!$AK16='PIM Ranges'!$AY$23,IF('PIM Ranges'!$AL16&lt;'PIM Ranges'!$AZ$23,"Q1",IF('PIM Ranges'!$AL16&lt;'PIM Ranges'!$BA$23,"Q2",IF('PIM Ranges'!$AL16&lt;'PIM Ranges'!$BB$23,"Q3",IF('PIM Ranges'!$AL16&lt;'PIM Ranges'!$BC$23,"Q4","Q5")))),IF('PIM Ranges'!$AK16='PIM Ranges'!$AY$24,IF('PIM Ranges'!$AL16&lt;'PIM Ranges'!$AZ$24,"Q1",IF('PIM Ranges'!$AL16&lt;'PIM Ranges'!$BA$24,"Q2",IF('PIM Ranges'!$AL16&lt;'PIM Ranges'!$BB$24,"Q3",IF('PIM Ranges'!$AL16&lt;'PIM Ranges'!$BC$24,"Q4","Q5")))),IF('PIM Ranges'!$AK16='PIM Ranges'!$AY$25,IF('PIM Ranges'!$AL16&lt;'PIM Ranges'!$AZ$25,"Q1",IF('PIM Ranges'!$AL16&lt;'PIM Ranges'!$BA$25,"Q2",IF('PIM Ranges'!$AL16&lt;'PIM Ranges'!$BB$25,"Q3",IF('PIM Ranges'!$AL16&lt;'PIM Ranges'!$BC$25,"Q4","Q5")))),IF('PIM Ranges'!$AK16='PIM Ranges'!$AY$26,IF('PIM Ranges'!$AL16&lt;'PIM Ranges'!$AZ$26,"Q1",IF('PIM Ranges'!$AL16&lt;'PIM Ranges'!$BA$26,"Q2",IF('PIM Ranges'!$AL16&lt;'PIM Ranges'!$BB$26,"Q3",IF('PIM Ranges'!$AL16&lt;'PIM Ranges'!$BC$26,"Q4","Q5")))),IF('PIM Ranges'!$AK16='PIM Ranges'!$AY$27,IF('PIM Ranges'!$AL16&lt;'PIM Ranges'!$AZ$27,"Q1",IF('PIM Ranges'!$AL16&lt;'PIM Ranges'!$BA$27,"Q2",IF('PIM Ranges'!$AL16&lt;'PIM Ranges'!$BB$27,"Q3",IF('PIM Ranges'!$AL16&lt;'PIM Ranges'!$BC$27,"Q4","Q5")))),IF('PIM Ranges'!$AK16='PIM Ranges'!$AY$28,IF('PIM Ranges'!$AL16&lt;'PIM Ranges'!$AZ$28,"Q1",IF('PIM Ranges'!$AL16&lt;'PIM Ranges'!$BA$28,"Q2",IF('PIM Ranges'!$AL16&lt;'PIM Ranges'!$BB$28,"Q3",IF('PIM Ranges'!$AL16&lt;'PIM Ranges'!$BC$28,"Q4","Q5")))),IF('PIM Ranges'!$AK16='PIM Ranges'!$AY$29,IF('PIM Ranges'!$AL16&lt;'PIM Ranges'!$AZ$29,"Q1",IF('PIM Ranges'!$AL16&lt;'PIM Ranges'!$BA$29,"Q2",IF('PIM Ranges'!$AL16&lt;'PIM Ranges'!$BB$29,"Q3",IF('PIM Ranges'!$AL16&lt;'PIM Ranges'!$BC$29,"Q4","Q5")))),IF('PIM Ranges'!$AK16='PIM Ranges'!$AY$30,IF('PIM Ranges'!$AL16&lt;'PIM Ranges'!$AZ$30,"Q1",IF('PIM Ranges'!$AL16&lt;'PIM Ranges'!$BA$30,"Q2",IF('PIM Ranges'!$AL16&lt;'PIM Ranges'!$BB$30,"Q3",IF('PIM Ranges'!$AL16&lt;'PIM Ranges'!$BC$30,"Q4","Q5")))),IF('PIM Ranges'!$AK16='PIM Ranges'!$AY$31,IF('PIM Ranges'!$AL16&lt;'PIM Ranges'!$AZ$31,"Q1",IF('PIM Ranges'!$AL16&lt;'PIM Ranges'!$BA$31,"Q2",IF('PIM Ranges'!$AL16&lt;'PIM Ranges'!$BB$31,"Q3",IF('PIM Ranges'!$AL16&lt;'PIM Ranges'!$BC$31,"Q4","Q5")))),IF('PIM Ranges'!$AK16='PIM Ranges'!$AY$32,IF('PIM Ranges'!$AL16&lt;'PIM Ranges'!$AZ$32,"Q1",IF('PIM Ranges'!$AL16&lt;'PIM Ranges'!$BA$32,"Q2",IF('PIM Ranges'!$AL16&lt;'PIM Ranges'!$BB$32,"Q3",IF('PIM Ranges'!$AL16&lt;'PIM Ranges'!$BC$32,"Q4","Q5"))))))))))))))))))))))))))</f>
        <v>Q1</v>
      </c>
      <c r="AZ18" s="301">
        <f t="shared" si="31"/>
        <v>0</v>
      </c>
      <c r="BA18" s="39">
        <f>'PIM Model'!C14</f>
        <v>0</v>
      </c>
      <c r="BB18" s="301"/>
      <c r="BC18" s="301"/>
      <c r="BD18" s="301" t="e">
        <f t="shared" si="72"/>
        <v>#DIV/0!</v>
      </c>
      <c r="BE18" s="301"/>
      <c r="BF18" s="301"/>
      <c r="BG18" s="105">
        <v>7</v>
      </c>
      <c r="BH18" s="18">
        <f t="array" ref="BH18">IF('Customer Inputs'!$W$6="End",0,IFERROR(IF($BU18="SEGMENT",INDEX('Margin Guidence Table'!$A$1:$AG$10000,MATCH(1,('Margin Guidence Table'!$A$1:$A$10000=$BS18)*('Margin Guidence Table'!$I$1:$I$10000&lt;=ROUND($BK$3,0))*('Margin Guidence Table'!$J$1:$J$10000&gt;=ROUND($BK$3,0)),0),MATCH("PCT_SALES",'Margin Guidence Table'!$A$1:$AG$1,0)),INDEX('Margin Guidence Table'!$A$1:$AG$10000,MATCH(1,('Margin Guidence Table'!$A$1:$A$10000=$BS18)*('Margin Guidence Table'!$I$1:$I$10000&lt;=ROUND($BK$3,0))*('Margin Guidence Table'!$J$1:$J$10000&gt;=ROUND($BK$3,0)),0),MATCH("DEFAULT_PCT_SALES",'Margin Guidence Table'!$A$1:$AG$1,0))),0))</f>
        <v>0</v>
      </c>
      <c r="BI18" s="297" t="e">
        <f t="shared" si="32"/>
        <v>#DIV/0!</v>
      </c>
      <c r="BJ18" s="99" t="s">
        <v>100</v>
      </c>
      <c r="BK18" s="91">
        <f>IF('Customer Inputs'!$W$6="End",0,IFERROR(IF(AND($BK$2&lt;&gt;"Enter Spend&gt;&gt;&gt;",$BL$2="EXISTING"),SUMIFS('Existing Customers'!$Q:$Q,'Existing Customers'!$A:$A,$BK$1,'Existing Customers'!$H:$H,$BJ18)*$BK$4,$BK$3*$BI18),0))</f>
        <v>0</v>
      </c>
      <c r="BL18" s="92">
        <f>IF('Customer Inputs'!$W$6="End",0,IFERROR(IF(AND($BK$2&lt;&gt;"Enter Spend&gt;&gt;&gt;",$BL$2="EXISTING"),SUMIFS('Existing Customers'!$N:$N,'Existing Customers'!$A:$A,$BK$1,'Existing Customers'!$H:$H,$BJ18)*$BK$4,$BK18/$BV18),0))</f>
        <v>0</v>
      </c>
      <c r="BM18" s="92">
        <f>IF('Customer Inputs'!$W$6="End",0,IFERROR(IF(AND($BK$2&lt;&gt;"Enter Spend&gt;&gt;&gt;",$BL$2="EXISTING"),SUMIFS('Existing Customers'!$O:$O,'Existing Customers'!$H:$H,$BJ18,'Existing Customers'!$A:$A,$BK$1)*$BK$4,$BL18*$BK$8),0))</f>
        <v>0</v>
      </c>
      <c r="BN18" s="92">
        <f>IF('Customer Inputs'!$W$6="End",0,IFERROR(IF(AND($BK$2&lt;&gt;"Enter Spend&gt;&gt;&gt;",$BL$2="EXISTING"),SUMIFS('Existing Customers'!$P:$P,'Existing Customers'!$A:$A,$BK$1,'Existing Customers'!$H:$H,$BJ18)*$BK$4,$BK18/$BW18),0))</f>
        <v>0</v>
      </c>
      <c r="BO18" s="303">
        <f>IF('Customer Inputs'!$W$6="End",0,IFERROR(IF(AND($BK$2&lt;&gt;"Enter Spend&gt;&gt;&gt;",$BL$2="EXISTING"),SUMIFS('Existing Customers'!$V:$V,'Existing Customers'!$H:$H,$BJ18,'Existing Customers'!$A:$A,$BK$1)*$BK$4,0),0))</f>
        <v>0</v>
      </c>
      <c r="BP18" s="93">
        <f>IF('Customer Inputs'!$W$6="End",0,IFERROR(IF(AND($BK$2&lt;&gt;"Enter Spend&gt;&gt;&gt;",$BL$2="EXISTING"),SUMIFS('Existing Customers'!$R:$R,'Existing Customers'!$H:$H,$BJ18,'Existing Customers'!$A:$A,$BK$1)*$BK$4,0),0))</f>
        <v>0</v>
      </c>
      <c r="BQ18" s="93">
        <f>IF('Customer Inputs'!$W$6="End",0,IFERROR(IF(AND($BK$2&lt;&gt;"Enter Spend&gt;&gt;&gt;",$BL$2="EXISTING"),SUMIFS('Existing Customers'!$S:$S,'Existing Customers'!$H:$H,$BJ18,'Existing Customers'!$A:$A,$BK$1)/SUMIFS('Existing Customers'!$Q:$Q,'Existing Customers'!$A:$A,$BK$1,'Existing Customers'!$H:$H,$BJ18),CA18),0))</f>
        <v>0</v>
      </c>
      <c r="BR18" s="93">
        <f>IF('Customer Inputs'!$W$6="End",0,IFERROR(IF(AND($BK$2&lt;&gt;"Enter Spend&gt;&gt;&gt;",$BL$2="EXISTING"),SUMIFS('Existing Customers'!$U:$U,'Existing Customers'!$H:$H,$BJ18,'Existing Customers'!$A:$A,$BK$1)/SUMIFS('Existing Customers'!$Q:$Q,'Existing Customers'!$A:$A,$BK$1,'Existing Customers'!$H:$H,$BJ18),CB18),0))</f>
        <v>0</v>
      </c>
      <c r="BS18" s="782" t="e">
        <f>_xlfn.CONCAT('Customer Inputs'!$AH$6,"_",BJ18)</f>
        <v>#N/A</v>
      </c>
      <c r="BT18" s="783">
        <f t="array" ref="BT18">IF('Customer Inputs'!$W$6="End",0,IFERROR(INDEX('Margin Guidence Table'!$A$1:$AG$10000,MATCH(1,('Margin Guidence Table'!$A$1:$A$10000=$BS18)*('Margin Guidence Table'!$I$1:$I$10000&lt;=ROUND($BK$3,0))*('Margin Guidence Table'!$J$1:$J$10000&gt;=ROUND($BK$3,0)),0),MATCH("DATA_POINTS",'Margin Guidence Table'!$A$1:$AG$1,0)),0))</f>
        <v>0</v>
      </c>
      <c r="BU18" s="780" t="str">
        <f t="shared" si="33"/>
        <v>DEFAULT</v>
      </c>
      <c r="BV18" s="780">
        <f t="array" ref="BV18">IF('Customer Inputs'!$W$6="End",0,IFERROR(IF($BU18="SEGMENT",INDEX('Margin Guidence Table'!$A$1:$AG$10000,MATCH(1,('Margin Guidence Table'!$A$1:$A$10000=$BS18)*('Margin Guidence Table'!$I$1:$I$10000&lt;=ROUND($BK$3,0))*('Margin Guidence Table'!$J$1:$J$10000&gt;=ROUND($BK$3,0)),0),MATCH("SALES_CASE",'Margin Guidence Table'!$A$1:$AG$1,0)),INDEX('Margin Guidence Table'!$A$1:$AG$10000,MATCH(1,('Margin Guidence Table'!$A$1:$A$10000=$BS18)*('Margin Guidence Table'!$I$1:$I$10000&lt;=ROUND($BK$3,0))*('Margin Guidence Table'!$J$1:$J$10000&gt;=ROUND($BK$3,0)),0),MATCH("DEFAULT_SALES_CASE",'Margin Guidence Table'!$A$1:$AG$1,0))),0))</f>
        <v>0</v>
      </c>
      <c r="BW18" s="780">
        <f t="array" ref="BW18">IF('Customer Inputs'!$W$6="End",0,IFERROR(IF($BU18="SEGMENT",INDEX('Margin Guidence Table'!$A$1:$AG$10000,MATCH(1,('Margin Guidence Table'!$A$1:$A$10000=$BS18)*('Margin Guidence Table'!$I$1:$I$10000&lt;=ROUND($BK$3,0))*('Margin Guidence Table'!$J$1:$J$10000&gt;=ROUND($BK$3,0)),0),MATCH("SALES_LBS",'Margin Guidence Table'!$A$1:$AG$1,0)),INDEX('Margin Guidence Table'!$A$1:$AG$10000,MATCH(1,('Margin Guidence Table'!$A$1:$A$10000=$BS18)*('Margin Guidence Table'!$I$1:$I$10000&lt;=ROUND($BK$3,0))*('Margin Guidence Table'!$J$1:$J$10000&gt;=ROUND($BK$3,0)),0),MATCH("DEFAULT_SALES_LBS",'Margin Guidence Table'!$A$1:$AG$1,0))),0))</f>
        <v>0</v>
      </c>
      <c r="BX18" s="784">
        <f t="array" ref="BX18">IF('Customer Inputs'!$W$6="End",0,IFERROR(IF($BU18="SEGMENT",INDEX('Margin Guidence Table'!$A$1:$AG$10000,MATCH(1,('Margin Guidence Table'!$A$1:$A$10000=$BS18)*('Margin Guidence Table'!$I$1:$I$10000&lt;=ROUND($BK$3,0))*('Margin Guidence Table'!$J$1:$J$10000&gt;=ROUND($BK$3,0)),0),MATCH("MDA_MIN_MARGIN_GUIDENCE",'Margin Guidence Table'!$A$1:$AG$1,0)),INDEX('Margin Guidence Table'!$A$1:$AG$10000,MATCH(1,('Margin Guidence Table'!$A$1:$A$10000=$BS18)*('Margin Guidence Table'!$I$1:$I$10000&lt;=ROUND($BK$3,0))*('Margin Guidence Table'!$J$1:$J$10000&gt;=ROUND($BK$3,0)),0),MATCH("DEFAULT_MDA_MIN_MARGIN_GUIDENCE",'Margin Guidence Table'!$A$1:$AG$1,0))),0))</f>
        <v>0</v>
      </c>
      <c r="BY18" s="784">
        <f t="array" ref="BY18">IF('Customer Inputs'!$W$6="End",0,IFERROR(IF($BU18="SEGMENT",INDEX('Margin Guidence Table'!$A$1:$AG$10000,MATCH(1,('Margin Guidence Table'!$A$1:$A$10000=$BS18)*('Margin Guidence Table'!$I$1:$I$10000&lt;=ROUND($BK$3,0))*('Margin Guidence Table'!$J$1:$J$10000&gt;=ROUND($BK$3,0)),0),MATCH("MDA_MEDIAN_MARGIN_GUIDENCE",'Margin Guidence Table'!$A$1:$AG$1,0)),INDEX('Margin Guidence Table'!$A$1:$AG$10000,MATCH(1,('Margin Guidence Table'!$A$1:$A$10000=$BS18)*('Margin Guidence Table'!$I$1:$I$10000&lt;=ROUND($BK$3,0))*('Margin Guidence Table'!$J$1:$J$10000&gt;=ROUND($BK$3,0)),0),MATCH("DEFAULT_MDA_MEDIAN_MARGIN_GUIDENCE",'Margin Guidence Table'!$A$1:$AG$1,0))),0))</f>
        <v>0</v>
      </c>
      <c r="BZ18" s="784">
        <f t="array" ref="BZ18">IF('Customer Inputs'!$W$6="End",0,IFERROR(IF($BU18="SEGMENT",INDEX('Margin Guidence Table'!$A$1:$AG$10000,MATCH(1,('Margin Guidence Table'!$A$1:$A$10000=$BS18)*('Margin Guidence Table'!$I$1:$I$10000&lt;=ROUND($BK$3,0))*('Margin Guidence Table'!$J$1:$J$10000&gt;=ROUND($BK$3,0)),0),MATCH("MDA_MAX_MARGIN_GUIDENCE",'Margin Guidence Table'!$A$1:$AG$1,0)),INDEX('Margin Guidence Table'!$A$1:$AG$10000,MATCH(1,('Margin Guidence Table'!$A$1:$A$10000=$BS18)*('Margin Guidence Table'!$I$1:$I$10000&lt;=ROUND($BK$3,0))*('Margin Guidence Table'!$J$1:$J$10000&gt;=ROUND($BK$3,0)),0),MATCH("DEFAULT_MDA_MAX_MARGIN_GUIDENCE",'Margin Guidence Table'!$A$1:$AG$1,0))),0))</f>
        <v>0</v>
      </c>
      <c r="CA18" s="784">
        <f t="array" ref="CA18">IF('Customer Inputs'!$W$6="End",0,IFERROR(IF($BU18="SEGMENT",INDEX('Margin Guidence Table'!$A$1:$AG$10000,MATCH(1,('Margin Guidence Table'!$A$1:$A$10000=$BS18)*('Margin Guidence Table'!$I$1:$I$10000&lt;=ROUND($BK$3,0))*('Margin Guidence Table'!$J$1:$J$10000&gt;=ROUND($BK$3,0)),0),MATCH("PA_PCT_SALES",'Margin Guidence Table'!$A$1:$AG$1,0)),INDEX('Margin Guidence Table'!$A$1:$AG$10000,MATCH(1,('Margin Guidence Table'!$A$1:$A$10000=$BS18)*('Margin Guidence Table'!$I$1:$I$10000&lt;=ROUND($BK$3,0))*('Margin Guidence Table'!$J$1:$J$10000&gt;=ROUND($BK$3,0)),0),MATCH("DEFAULT_PA_PCT_SALES",'Margin Guidence Table'!$A$1:$AG$1,0))),0))</f>
        <v>0</v>
      </c>
      <c r="CB18" s="784">
        <f t="array" ref="CB18">IF('Customer Inputs'!$W$6="End",0,IFERROR(IF($BU18="SEGMENT",INDEX('Margin Guidence Table'!$A$1:$AG$10000,MATCH(1,('Margin Guidence Table'!$A$1:$A$10000=$BS18)*('Margin Guidence Table'!$I$1:$I$10000&lt;=ROUND($BK$3,0))*('Margin Guidence Table'!$J$1:$J$10000&gt;=ROUND($BK$3,0)),0),MATCH("SELF_FUND_PCT_SALES",'Margin Guidence Table'!$A$1:$AG$1,0)),INDEX('Margin Guidence Table'!$A$1:$AG$10000,MATCH(1,('Margin Guidence Table'!$A$1:$A$10000=$BS18)*('Margin Guidence Table'!$I$1:$I$10000&lt;=ROUND($BK$3,0))*('Margin Guidence Table'!$J$1:$J$10000&gt;=ROUND($BK$3,0)),0),MATCH("DEFAULT_SELF_FUND_PCT_SALES",'Margin Guidence Table'!$A$1:$AG$1,0))),0))</f>
        <v>0</v>
      </c>
      <c r="CC18" s="784">
        <f t="array" ref="CC18">IF('Customer Inputs'!$W$6="End",0,IF($BL$2="Existing",IFERROR(SUMIFS('Existing Customers'!$V:$V,'Existing Customers'!$H:$H,$BJ18,'Existing Customers'!$A:$A,$BK$1)/SUMIFS('Existing Customers'!$Q:$Q,'Existing Customers'!$H:$H,$BJ18,'Existing Customers'!$A:$A,$BK$1),0),IFERROR(IF($BU18="SEGMENT",INDEX('Margin Guidence Table'!$A$1:$AG$10000,MATCH(1,('Margin Guidence Table'!$A$1:$A$10000=$BS18)*('Margin Guidence Table'!$I$1:$I$10000&lt;=ROUND($BK$3,0))*('Margin Guidence Table'!$J$1:$J$10000&gt;=ROUND($BK$3,0)),0),MATCH("CIA_MEDIAN_MARGIN_GUIDENCE",'Margin Guidence Table'!$A$1:$AG$1,0)),INDEX('Margin Guidence Table'!$A$1:$AG$10000,MATCH(1,('Margin Guidence Table'!$A$1:$A$10000=$BS18)*('Margin Guidence Table'!$I$1:$I$10000&lt;=ROUND($BK$3,0))*('Margin Guidence Table'!$J$1:$J$10000&gt;=ROUND($BK$3,0)),0),MATCH("DEFAULT_CIA_MEDIAN_MARGIN_GUIDENCE",'Margin Guidence Table'!$A$1:$AG$1,0))),0)))</f>
        <v>0</v>
      </c>
      <c r="CD18" s="126"/>
      <c r="CE18" s="18">
        <f t="array" ref="CE18">IF('Customer Inputs'!$W$7="End",0,IFERROR(IF($CR18="SEGMENT",INDEX('Margin Guidence Table'!$A$1:$AG$10000,MATCH(1,('Margin Guidence Table'!$A$1:$A$10000=$CP18)*('Margin Guidence Table'!$I$1:$I$10000&lt;=ROUND($CH$3,0))*('Margin Guidence Table'!$J$1:$J$10000&gt;=ROUND($CH$3,0)),0),MATCH("PCT_SALES",'Margin Guidence Table'!$A$1:$AG$1,0)),INDEX('Margin Guidence Table'!$A$1:$AG$10000,MATCH(1,('Margin Guidence Table'!$A$1:$A$10000=$CP18)*('Margin Guidence Table'!$I$1:$I$10000&lt;=ROUND($CH$3,0))*('Margin Guidence Table'!$J$1:$J$10000&gt;=ROUND($CH$3,0)),0),MATCH("DEFAULT_PCT_SALES",'Margin Guidence Table'!$A$1:$AG$1,0))),0))</f>
        <v>0</v>
      </c>
      <c r="CF18" s="297" t="e">
        <f t="shared" si="34"/>
        <v>#DIV/0!</v>
      </c>
      <c r="CG18" s="99" t="s">
        <v>100</v>
      </c>
      <c r="CH18" s="91">
        <f>IF('Customer Inputs'!$W$7="End",0,IFERROR(IF(AND($CH$2&lt;&gt;"Enter Spend&gt;&gt;&gt;",$CI$2="EXISTING"),SUMIFS('Existing Customers'!$Q:$Q,'Existing Customers'!$A:$A,$CH$1,'Existing Customers'!$H:$H,$CG18)*$CH$4,$CH$3*$CF18),0))</f>
        <v>0</v>
      </c>
      <c r="CI18" s="86">
        <f>IF('Customer Inputs'!$W$7="End",0,IFERROR(IF(AND($CH$2&lt;&gt;"Enter Spend&gt;&gt;&gt;",$CI$2="EXISTING"),SUMIFS('Existing Customers'!$N:$N,'Existing Customers'!$A:$A,$CH$1,'Existing Customers'!$H:$H,$CG18)*$CH$4,$CH18/$CS18),0))</f>
        <v>0</v>
      </c>
      <c r="CJ18" s="92">
        <f>IF('Customer Inputs'!$W$7="End",0,IFERROR(IF(AND($CH$2&lt;&gt;"Enter Spend&gt;&gt;&gt;",$CI$2="EXISTING"),SUMIFS('Existing Customers'!$O:$O,'Existing Customers'!$H:$H,$CG18,'Existing Customers'!$A:$A,$CH$1)*$CH$4,$CI18*$CH$8),0))</f>
        <v>0</v>
      </c>
      <c r="CK18" s="92">
        <f>IF('Customer Inputs'!$W$7="End",0,IFERROR(IF(AND($CH$2&lt;&gt;"Enter Spend&gt;&gt;&gt;",$CI$2="EXISTING"),SUMIFS('Existing Customers'!$P:$P,'Existing Customers'!$A:$A,$CH$1,'Existing Customers'!$H:$H,$CG18)*$CH$4,$CH18/$CT18),0))</f>
        <v>0</v>
      </c>
      <c r="CL18" s="93">
        <f>IF('Customer Inputs'!$W$7="End",0,IFERROR(IF(AND($CH$2&lt;&gt;"Enter Spend&gt;&gt;&gt;",$CI$2="EXISTING"),SUMIFS('Existing Customers'!$V:$V,'Existing Customers'!$H:$H,$CG18,'Existing Customers'!$A:$A,$CH$1)*$CH$4,0),0))</f>
        <v>0</v>
      </c>
      <c r="CM18" s="93">
        <f>IF('Customer Inputs'!$W$7="End",0,IFERROR(IF(AND($CH$2&lt;&gt;"Enter Spend&gt;&gt;&gt;",$CI$2="EXISTING"),SUMIFS('Existing Customers'!$R:$R,'Existing Customers'!$H:$H,$CG18,'Existing Customers'!$A:$A,$CH$1)*$CH$4,0),0))</f>
        <v>0</v>
      </c>
      <c r="CN18" s="780">
        <f>IF('Customer Inputs'!$W$7="End",0,IFERROR(IF(AND($CH$2&lt;&gt;"Enter Spend&gt;&gt;&gt;",$CI$2="EXISTING"),SUMIFS('Existing Customers'!$S:$S,'Existing Customers'!$H:$H,$CG18,'Existing Customers'!$A:$A,$CH$1)/SUMIFS('Existing Customers'!$Q:$Q,'Existing Customers'!$A:$A,$CH$1,'Existing Customers'!$H:$H,$CG18),CX18),0))</f>
        <v>0</v>
      </c>
      <c r="CO18" s="780">
        <f>IF('Customer Inputs'!$W$7="End",0,IFERROR(IF(AND($CH$2&lt;&gt;"Enter Spend&gt;&gt;&gt;",$CI$2="EXISTING"),SUMIFS('Existing Customers'!$U:$U,'Existing Customers'!$H:$H,$CG18,'Existing Customers'!$A:$A,$CH$1)/SUMIFS('Existing Customers'!$Q:$Q,'Existing Customers'!$A:$A,$CH$1,'Existing Customers'!$H:$H,$CG18),CY18),0))</f>
        <v>0</v>
      </c>
      <c r="CP18" s="783" t="e">
        <f>_xlfn.CONCAT('Customer Inputs'!$AH$7,"_",CG18)</f>
        <v>#N/A</v>
      </c>
      <c r="CQ18" s="783">
        <f t="array" ref="CQ18">IFERROR(INDEX('Margin Guidence Table'!$A$1:$AG$10000,MATCH(1,('Margin Guidence Table'!$A$1:$A$10000=$CP18)*('Margin Guidence Table'!$I$1:$I$10000&lt;=ROUND($CH$3,0))*('Margin Guidence Table'!$J$1:$J$10000&gt;=ROUND($CH$3,0)),0),MATCH("DATA_POINTS",'Margin Guidence Table'!$A$1:$AG$1,0)),0)</f>
        <v>0</v>
      </c>
      <c r="CR18" s="780" t="str">
        <f t="shared" si="35"/>
        <v>DEFAULT</v>
      </c>
      <c r="CS18" s="780">
        <f t="array" ref="CS18">IF('Customer Inputs'!$W$7="End",0,IFERROR(IF($CR18="SEGMENT",INDEX('Margin Guidence Table'!$A$1:$AG$10000,MATCH(1,('Margin Guidence Table'!$A$1:$A$10000=$CP18)*('Margin Guidence Table'!$I$1:$I$10000&lt;=ROUND($CH$3,0))*('Margin Guidence Table'!$J$1:$J$10000&gt;=ROUND($CH$3,0)),0),MATCH("SALES_CASE",'Margin Guidence Table'!$A$1:$AG$1,0)),INDEX('Margin Guidence Table'!$A$1:$AG$10000,MATCH(1,('Margin Guidence Table'!$A$1:$A$10000=$CP18)*('Margin Guidence Table'!$I$1:$I$10000&lt;=ROUND($CH$3,0))*('Margin Guidence Table'!$J$1:$J$10000&gt;=ROUND($CH$3,0)),0),MATCH("DEFAULT_SALES_CASE",'Margin Guidence Table'!$A$1:$AG$1,0))),0))</f>
        <v>0</v>
      </c>
      <c r="CT18" s="780">
        <f t="array" ref="CT18">IF('Customer Inputs'!$W$7="End",0,IFERROR(IF($CR18="SEGMENT",INDEX('Margin Guidence Table'!$A$1:$AG$10000,MATCH(1,('Margin Guidence Table'!$A$1:$A$10000=$CP18)*('Margin Guidence Table'!$I$1:$I$10000&lt;=ROUND($CH$3,0))*('Margin Guidence Table'!$J$1:$J$10000&gt;=ROUND($CH$3,0)),0),MATCH("SALES_LBS",'Margin Guidence Table'!$A$1:$AG$1,0)),INDEX('Margin Guidence Table'!$A$1:$AG$10000,MATCH(1,('Margin Guidence Table'!$A$1:$A$10000=$CP18)*('Margin Guidence Table'!$I$1:$I$10000&lt;=ROUND($CH$3,0))*('Margin Guidence Table'!$J$1:$J$10000&gt;=ROUND($CH$3,0)),0),MATCH("DEFAULT_SALES_LBS",'Margin Guidence Table'!$A$1:$AG$1,0))),0))</f>
        <v>0</v>
      </c>
      <c r="CU18" s="784">
        <f t="array" ref="CU18">IF('Customer Inputs'!$W$7="End",0,IFERROR(IF($CR18="SEGMENT",INDEX('Margin Guidence Table'!$A$1:$AG$10000,MATCH(1,('Margin Guidence Table'!$A$1:$A$10000=$CP18)*('Margin Guidence Table'!$I$1:$I$10000&lt;=ROUND($CH$3,0))*('Margin Guidence Table'!$J$1:$J$10000&gt;=ROUND($CH$3,0)),0),MATCH("MDA_MIN_MARGIN_GUIDENCE",'Margin Guidence Table'!$A$1:$AG$1,0)),INDEX('Margin Guidence Table'!$A$1:$AG$10000,MATCH(1,('Margin Guidence Table'!$A$1:$A$10000=$CP18)*('Margin Guidence Table'!$I$1:$I$10000&lt;=ROUND($CH$3,0))*('Margin Guidence Table'!$J$1:$J$10000&gt;=ROUND($CH$3,0)),0),MATCH("DEFAULT_MDA_MIN_MARGIN_GUIDENCE",'Margin Guidence Table'!$A$1:$AG$1,0))),0))</f>
        <v>0</v>
      </c>
      <c r="CV18" s="784">
        <f t="array" ref="CV18">IF('Customer Inputs'!$W$7="End",0,IFERROR(IF($CR18="SEGMENT",INDEX('Margin Guidence Table'!$A$1:$AG$10000,MATCH(1,('Margin Guidence Table'!$A$1:$A$10000=$CP18)*('Margin Guidence Table'!$I$1:$I$10000&lt;=ROUND($CH$3,0))*('Margin Guidence Table'!$J$1:$J$10000&gt;=ROUND($CH$3,0)),0),MATCH("MDA_MEDIAN_MARGIN_GUIDENCE",'Margin Guidence Table'!$A$1:$AG$1,0)),INDEX('Margin Guidence Table'!$A$1:$AG$10000,MATCH(1,('Margin Guidence Table'!$A$1:$A$10000=$CP18)*('Margin Guidence Table'!$I$1:$I$10000&lt;=ROUND($CH$3,0))*('Margin Guidence Table'!$J$1:$J$10000&gt;=ROUND($CH$3,0)),0),MATCH("DEFAULT_MDA_MEDIAN_MARGIN_GUIDENCE",'Margin Guidence Table'!$A$1:$AG$1,0))),0))</f>
        <v>0</v>
      </c>
      <c r="CW18" s="784">
        <f t="array" ref="CW18">IF('Customer Inputs'!$W$7="End",0,IFERROR(IF($CR18="SEGMENT",INDEX('Margin Guidence Table'!$A$1:$AG$10000,MATCH(1,('Margin Guidence Table'!$A$1:$A$10000=$CP18)*('Margin Guidence Table'!$I$1:$I$10000&lt;=ROUND($CH$3,0))*('Margin Guidence Table'!$J$1:$J$10000&gt;=ROUND($CH$3,0)),0),MATCH("MDA_MAX_MARGIN_GUIDENCE",'Margin Guidence Table'!$A$1:$AG$1,0)),INDEX('Margin Guidence Table'!$A$1:$AG$10000,MATCH(1,('Margin Guidence Table'!$A$1:$A$10000=$CP18)*('Margin Guidence Table'!$I$1:$I$10000&lt;=ROUND($CH$3,0))*('Margin Guidence Table'!$J$1:$J$10000&gt;=ROUND($CH$3,0)),0),MATCH("DEFAULT_MDA_MAX_MARGIN_GUIDENCE",'Margin Guidence Table'!$A$1:$AG$1,0))),0))</f>
        <v>0</v>
      </c>
      <c r="CX18" s="784">
        <f t="array" ref="CX18">IF('Customer Inputs'!$W$7="End",0,IFERROR(IF($CR18="SEGMENT",INDEX('Margin Guidence Table'!$A$1:$AG$10000,MATCH(1,('Margin Guidence Table'!$A$1:$A$10000=$CP18)*('Margin Guidence Table'!$I$1:$I$10000&lt;=ROUND($CH$3,0))*('Margin Guidence Table'!$J$1:$J$10000&gt;=ROUND($CH$3,0)),0),MATCH("PA_PCT_SALES",'Margin Guidence Table'!$A$1:$AG$1,0)),INDEX('Margin Guidence Table'!$A$1:$AG$10000,MATCH(1,('Margin Guidence Table'!$A$1:$A$10000=$CP18)*('Margin Guidence Table'!$I$1:$I$10000&lt;=ROUND($CH$3,0))*('Margin Guidence Table'!$J$1:$J$10000&gt;=ROUND($CH$3,0)),0),MATCH("DEFAULT_PA_PCT_SALES",'Margin Guidence Table'!$A$1:$AG$1,0))),0))</f>
        <v>0</v>
      </c>
      <c r="CY18" s="784">
        <f t="array" ref="CY18">IF('Customer Inputs'!$W$7="End",0,IFERROR(IF($CR18="SEGMENT",INDEX('Margin Guidence Table'!$A$1:$AG$10000,MATCH(1,('Margin Guidence Table'!$A$1:$A$10000=$CP18)*('Margin Guidence Table'!$I$1:$I$10000&lt;=ROUND($CH$3,0))*('Margin Guidence Table'!$J$1:$J$10000&gt;=ROUND($CH$3,0)),0),MATCH("SELF_FUND_PCT_SALES",'Margin Guidence Table'!$A$1:$AG$1,0)),INDEX('Margin Guidence Table'!$A$1:$AG$10000,MATCH(1,('Margin Guidence Table'!$A$1:$A$10000=$CP18)*('Margin Guidence Table'!$I$1:$I$10000&lt;=ROUND($CH$3,0))*('Margin Guidence Table'!$J$1:$J$10000&gt;=ROUND($CH$3,0)),0),MATCH("DEFAULT_SELF_FUND_PCT_SALES",'Margin Guidence Table'!$A$1:$AG$1,0))),0))</f>
        <v>0</v>
      </c>
      <c r="CZ18" s="784">
        <f t="array" ref="CZ18">IF('Customer Inputs'!$W$7="End",0,IF($CI$2="Existing",IFERROR(SUMIFS('Existing Customers'!$V:$V,'Existing Customers'!$H:$H,$CG18,'Existing Customers'!$A:$A,$CH$1)/SUMIFS('Existing Customers'!$Q:$Q,'Existing Customers'!$H:$H,$CG18,'Existing Customers'!$A:$A,$CH$1),0),IFERROR(IF($CR18="SEGMENT",INDEX('Margin Guidence Table'!$A$1:$AG$10000,MATCH(1,('Margin Guidence Table'!$A$1:$A$10000=$CP18)*('Margin Guidence Table'!$I$1:$I$10000&lt;=ROUND($CH$3,0))*('Margin Guidence Table'!$J$1:$J$10000&gt;=ROUND($CH$3,0)),0),MATCH("CIA_MEDIAN_MARGIN_GUIDENCE",'Margin Guidence Table'!$A$1:$AG$1,0)),INDEX('Margin Guidence Table'!$A$1:$AG$10000,MATCH(1,('Margin Guidence Table'!$A$1:$A$10000=$CP18)*('Margin Guidence Table'!$I$1:$I$10000&lt;=ROUND($CH$3,0))*('Margin Guidence Table'!$J$1:$J$10000&gt;=ROUND($CH$3,0)),0),MATCH("DEFAULT_CIA_MEDIAN_MARGIN_GUIDENCE",'Margin Guidence Table'!$A$1:$AG$1,0))),0)))</f>
        <v>0</v>
      </c>
      <c r="DA18" s="126"/>
      <c r="DB18" s="18">
        <f t="array" ref="DB18">IF('Customer Inputs'!$W$8="End",0,IFERROR(IF($DO18="SEGMENT",INDEX('Margin Guidence Table'!$A$1:$AG$10000,MATCH(1,('Margin Guidence Table'!$A$1:$A$10000=$DM18)*('Margin Guidence Table'!$I$1:$I$10000&lt;=ROUND($DE$3,0))*('Margin Guidence Table'!$J$1:$J$10000&gt;=ROUND($DE$3,0)),0),MATCH("PCT_SALES",'Margin Guidence Table'!$A$1:$AG$1,0)),INDEX('Margin Guidence Table'!$A$1:$AG$10000,MATCH(1,('Margin Guidence Table'!$A$1:$A$10000=$DM18)*('Margin Guidence Table'!$I$1:$I$10000&lt;=ROUND($DE$3,0))*('Margin Guidence Table'!$J$1:$J$10000&gt;=ROUND($DE$3,0)),0),MATCH("DEFAULT_PCT_SALES",'Margin Guidence Table'!$A$1:$AG$1,0))),0))</f>
        <v>0</v>
      </c>
      <c r="DC18" s="297" t="e">
        <f t="shared" si="36"/>
        <v>#DIV/0!</v>
      </c>
      <c r="DD18" s="99" t="s">
        <v>100</v>
      </c>
      <c r="DE18" s="91">
        <f>IF('Customer Inputs'!$W$8="End",0,IFERROR(IF(AND($DE$2&lt;&gt;"Enter Spend&gt;&gt;&gt;",$DF$2="EXISTING"),SUMIFS('Existing Customers'!$Q:$Q,'Existing Customers'!$A:$A,$DE$1,'Existing Customers'!$H:$H,$DD18)*$DE$4,$DE$3*$DC18),0))</f>
        <v>0</v>
      </c>
      <c r="DF18" s="86">
        <f>IF('Customer Inputs'!$W$8="End",0,IFERROR(IF(AND($DE$2&lt;&gt;"Enter Spend&gt;&gt;&gt;",$DF$2="EXISTING"),SUMIFS('Existing Customers'!$N:$N,'Existing Customers'!$A:$A,$DE$1,'Existing Customers'!$H:$H,$DD18)*$DE$4,$DE18/$DP18),0))</f>
        <v>0</v>
      </c>
      <c r="DG18" s="92">
        <f>IF('Customer Inputs'!$W$8="End",0,IFERROR(IF(AND($DE$2&lt;&gt;"Enter Spend&gt;&gt;&gt;",$DF$2="EXISTING"),SUMIFS('Existing Customers'!$O:$O,'Existing Customers'!$H:$H,$DD18,'Existing Customers'!$A:$A,$DE$1)*$DE$4,$DF18*$DE$8),0))</f>
        <v>0</v>
      </c>
      <c r="DH18" s="92">
        <f>IF('Customer Inputs'!$W$8="End",0,IFERROR(IF(AND($DE$2&lt;&gt;"Enter Spend&gt;&gt;&gt;",$DF$2="EXISTING"),SUMIFS('Existing Customers'!$P:$P,'Existing Customers'!$A:$A,$DE$1,'Existing Customers'!$H:$H,$DD18)*$DE$4,$DE18/$DQ18),0))</f>
        <v>0</v>
      </c>
      <c r="DI18" s="93">
        <f>IF('Customer Inputs'!$W$8="End",0,IFERROR(IF(AND($DE$2&lt;&gt;"Enter Spend&gt;&gt;&gt;",$DF$2="EXISTING"),SUMIFS('Existing Customers'!$V:$V,'Existing Customers'!$H:$H,$DD18,'Existing Customers'!$A:$A,$DE$1)*$DE$4,0),0))</f>
        <v>0</v>
      </c>
      <c r="DJ18" s="93">
        <f>IF('Customer Inputs'!$W$8="End",0,IFERROR(IF(AND($DE$2&lt;&gt;"Enter Spend&gt;&gt;&gt;",$DF$2="EXISTING"),SUMIFS('Existing Customers'!$R:$R,'Existing Customers'!$H:$H,$DD18,'Existing Customers'!$A:$A,$DE$1)*$DE$4,0),0))</f>
        <v>0</v>
      </c>
      <c r="DK18" s="780">
        <f>IF('Customer Inputs'!$W$8="End",0,IFERROR(IF(AND($DE$2&lt;&gt;"Enter Spend&gt;&gt;&gt;",$DF$2="EXISTING"),SUMIFS('Existing Customers'!$S:$S,'Existing Customers'!$H:$H,$DD18,'Existing Customers'!$A:$A,$DE$1)/SUMIFS('Existing Customers'!$Q:$Q,'Existing Customers'!$A:$A,$DE$1,'Existing Customers'!$H:$H,$DD18),DU18),0))</f>
        <v>0</v>
      </c>
      <c r="DL18" s="780">
        <f>IF('Customer Inputs'!$W$8="End",0,IFERROR(IF(AND($DE$2&lt;&gt;"Enter Spend&gt;&gt;&gt;",$DF$2="EXISTING"),SUMIFS('Existing Customers'!$U:$U,'Existing Customers'!$H:$H,$DD18,'Existing Customers'!$A:$A,$DE$1)/SUMIFS('Existing Customers'!$Q:$Q,'Existing Customers'!$A:$A,$DE$1,'Existing Customers'!$H:$H,$DD18),DV18),0))</f>
        <v>0</v>
      </c>
      <c r="DM18" s="783" t="e">
        <f>_xlfn.CONCAT('Customer Inputs'!$AH$8,"_",DD18)</f>
        <v>#N/A</v>
      </c>
      <c r="DN18" s="783">
        <f t="array" ref="DN18">IF('Customer Inputs'!$W$8="End",0,IFERROR(INDEX('Margin Guidence Table'!$A$1:$AG$10000,MATCH(1,('Margin Guidence Table'!$A$1:$A$10000=DM18)*('Margin Guidence Table'!$I$1:$I$10000&lt;=ROUND($DE$3,0))*('Margin Guidence Table'!$J$1:$J$10000&gt;=ROUND($DE$3,0)),0),MATCH("DATA_POINTS",'Margin Guidence Table'!$A$1:$AG$1,0)),0))</f>
        <v>0</v>
      </c>
      <c r="DO18" s="780" t="str">
        <f t="shared" si="37"/>
        <v>DEFAULT</v>
      </c>
      <c r="DP18" s="780">
        <f t="array" ref="DP18">IF('Customer Inputs'!$W$8="End",0,IFERROR(IF($DO18="SEGMENT",INDEX('Margin Guidence Table'!$A$1:$AG$10000,MATCH(1,('Margin Guidence Table'!$A$1:$A$10000=DM18)*('Margin Guidence Table'!$I$1:$I$10000&lt;=ROUND($DE$3,0))*('Margin Guidence Table'!$J$1:$J$10000&gt;=ROUND($DE$3,0)),0),MATCH("SALES_CASE",'Margin Guidence Table'!$A$1:$AG$1,0)),INDEX('Margin Guidence Table'!$A$1:$AG$10000,MATCH(1,('Margin Guidence Table'!$A$1:$A$10000=DM18)*('Margin Guidence Table'!$I$1:$I$10000&lt;=ROUND($DE$3,0))*('Margin Guidence Table'!$J$1:$J$10000&gt;=ROUND($DE$3,0)),0),MATCH("DEFAULT_SALES_CASE",'Margin Guidence Table'!$A$1:$AG$1,0))),0))</f>
        <v>0</v>
      </c>
      <c r="DQ18" s="780">
        <f t="array" ref="DQ18">IF('Customer Inputs'!$W$8="End",0,IFERROR(IF($DO18="SEGMENT",INDEX('Margin Guidence Table'!$A$1:$AG$10000,MATCH(1,('Margin Guidence Table'!$A$1:$A$10000=DM18)*('Margin Guidence Table'!$I$1:$I$10000&lt;=ROUND($DE$3,0))*('Margin Guidence Table'!$J$1:$J$10000&gt;=ROUND($DE$3,0)),0),MATCH("SALES_LBS",'Margin Guidence Table'!$A$1:$AG$1,0)),INDEX('Margin Guidence Table'!$A$1:$AG$10000,MATCH(1,('Margin Guidence Table'!$A$1:$A$10000=DM18)*('Margin Guidence Table'!$I$1:$I$10000&lt;=ROUND($DE$3,0))*('Margin Guidence Table'!$J$1:$J$10000&gt;=ROUND($DE$3,0)),0),MATCH("DEFAULT_SALES_LBS",'Margin Guidence Table'!$A$1:$AG$1,0))),0))</f>
        <v>0</v>
      </c>
      <c r="DR18" s="784">
        <f t="array" ref="DR18">IF('Customer Inputs'!$W$8="End",0,IFERROR(IF($DO18="SEGMENT",INDEX('Margin Guidence Table'!$A$1:$AG$10000,MATCH(1,('Margin Guidence Table'!$A$1:$A$10000=DM18)*('Margin Guidence Table'!$I$1:$I$10000&lt;=ROUND($DE$3,0))*('Margin Guidence Table'!$J$1:$J$10000&gt;=ROUND($DE$3,0)),0),MATCH("MDA_MIN_MARGIN_GUIDENCE",'Margin Guidence Table'!$A$1:$AG$1,0)),INDEX('Margin Guidence Table'!$A$1:$AG$10000,MATCH(1,('Margin Guidence Table'!$A$1:$A$10000=DM18)*('Margin Guidence Table'!$I$1:$I$10000&lt;=ROUND($DE$3,0))*('Margin Guidence Table'!$J$1:$J$10000&gt;=ROUND($DE$3,0)),0),MATCH("DEFAULT_MDA_MIN_MARGIN_GUIDENCE",'Margin Guidence Table'!$A$1:$AG$1,0))),0))</f>
        <v>0</v>
      </c>
      <c r="DS18" s="784">
        <f t="array" ref="DS18">IF('Customer Inputs'!$W$8="End",0,IFERROR(IF($DO18="SEGMENT",INDEX('Margin Guidence Table'!$A$1:$AG$10000,MATCH(1,('Margin Guidence Table'!$A$1:$A$10000=DM18)*('Margin Guidence Table'!$I$1:$I$10000&lt;=ROUND($DE$3,0))*('Margin Guidence Table'!$J$1:$J$10000&gt;=ROUND($DE$3,0)),0),MATCH("MDA_MEDIAN_MARGIN_GUIDENCE",'Margin Guidence Table'!$A$1:$AG$1,0)),INDEX('Margin Guidence Table'!$A$1:$AG$10000,MATCH(1,('Margin Guidence Table'!$A$1:$A$10000=DM18)*('Margin Guidence Table'!$I$1:$I$10000&lt;=ROUND($DE$3,0))*('Margin Guidence Table'!$J$1:$J$10000&gt;=ROUND($DE$3,0)),0),MATCH("DEFAULT_MDA_MEDIAN_MARGIN_GUIDENCE",'Margin Guidence Table'!$A$1:$AG$1,0))),0))</f>
        <v>0</v>
      </c>
      <c r="DT18" s="784">
        <f t="array" ref="DT18">IF('Customer Inputs'!$W$8="End",0,IFERROR(IF($DO18="SEGMENT",INDEX('Margin Guidence Table'!$A$1:$AG$10000,MATCH(1,('Margin Guidence Table'!$A$1:$A$10000=DM18)*('Margin Guidence Table'!$I$1:$I$10000&lt;=ROUND($DE$3,0))*('Margin Guidence Table'!$J$1:$J$10000&gt;=ROUND($DE$3,0)),0),MATCH("MDA_MAX_MARGIN_GUIDENCE",'Margin Guidence Table'!$A$1:$AG$1,0)),INDEX('Margin Guidence Table'!$A$1:$AG$10000,MATCH(1,('Margin Guidence Table'!$A$1:$A$10000=DM18)*('Margin Guidence Table'!$I$1:$I$10000&lt;=ROUND($DE$3,0))*('Margin Guidence Table'!$J$1:$J$10000&gt;=ROUND($DE$3,0)),0),MATCH("DEFAULT_MDA_MAX_MARGIN_GUIDENCE",'Margin Guidence Table'!$A$1:$AG$1,0))),0))</f>
        <v>0</v>
      </c>
      <c r="DU18" s="784">
        <f t="array" ref="DU18">IF('Customer Inputs'!$W$8="End",0,IFERROR(IF($DO18="SEGMENT",INDEX('Margin Guidence Table'!$A$1:$AG$10000,MATCH(1,('Margin Guidence Table'!$A$1:$A$10000=DM18)*('Margin Guidence Table'!$I$1:$I$10000&lt;=ROUND($DE$3,0))*('Margin Guidence Table'!$J$1:$J$10000&gt;=ROUND($DE$3,0)),0),MATCH("PA_PCT_SALES",'Margin Guidence Table'!$A$1:$AG$1,0)),INDEX('Margin Guidence Table'!$A$1:$AG$10000,MATCH(1,('Margin Guidence Table'!$A$1:$A$10000=DM18)*('Margin Guidence Table'!$I$1:$I$10000&lt;=ROUND($DE$3,0))*('Margin Guidence Table'!$J$1:$J$10000&gt;=ROUND($DE$3,0)),0),MATCH("DEFAULT_PA_PCT_SALES",'Margin Guidence Table'!$A$1:$AG$1,0))),0))</f>
        <v>0</v>
      </c>
      <c r="DV18" s="784">
        <f t="array" ref="DV18">IF('Customer Inputs'!$W$8="End",0,IFERROR(IF($DO18="SEGMENT",INDEX('Margin Guidence Table'!$A$1:$AG$10000,MATCH(1,('Margin Guidence Table'!$A$1:$A$10000=DM18)*('Margin Guidence Table'!$I$1:$I$10000&lt;=ROUND($DE$3,0))*('Margin Guidence Table'!$J$1:$J$10000&gt;=ROUND($DE$3,0)),0),MATCH("SELF_FUND_PCT_SALES",'Margin Guidence Table'!$A$1:$AG$1,0)),INDEX('Margin Guidence Table'!$A$1:$AG$10000,MATCH(1,('Margin Guidence Table'!$A$1:$A$10000=DM18)*('Margin Guidence Table'!$I$1:$I$10000&lt;=ROUND($DE$3,0))*('Margin Guidence Table'!$J$1:$J$10000&gt;=ROUND($DE$3,0)),0),MATCH("DEFAULT_SELF_FUND_PCT_SALES",'Margin Guidence Table'!$A$1:$AG$1,0))),0))</f>
        <v>0</v>
      </c>
      <c r="DW18" s="784">
        <f t="array" ref="DW18">IF('Customer Inputs'!$W$8="End",0,IF($DF$2="Existing",IFERROR(SUMIFS('Existing Customers'!$V:$V,'Existing Customers'!$H:$H,$DD18,'Existing Customers'!$A:$A,$DE$1)/SUMIFS('Existing Customers'!$Q:$Q,'Existing Customers'!$H:$H,$DD18,'Existing Customers'!$A:$A,$DE$1),0),IFERROR(IF($DO18="SEGMENT",INDEX('Margin Guidence Table'!$A$1:$AG$10000,MATCH(1,('Margin Guidence Table'!$A$1:$A$10000=DM18)*('Margin Guidence Table'!$I$1:$I$10000&lt;=ROUND($DE$3,0))*('Margin Guidence Table'!$J$1:$J$10000&gt;=ROUND($DE$3,0)),0),MATCH("CIA_MEDIAN_MARGIN_GUIDENCE",'Margin Guidence Table'!$A$1:$AG$1,0)),INDEX('Margin Guidence Table'!$A$1:$AG$10000,MATCH(1,('Margin Guidence Table'!$A$1:$A$10000=DM18)*('Margin Guidence Table'!$I$1:$I$10000&lt;=ROUND($DE$3,0))*('Margin Guidence Table'!$J$1:$J$10000&gt;=ROUND($DE$3,0)),0),MATCH("DEFAULT_CIA_MEDIAN_MARGIN_GUIDENCE",'Margin Guidence Table'!$A$1:$AG$1,0))),0)))</f>
        <v>0</v>
      </c>
      <c r="DX18" s="126"/>
      <c r="DY18" s="18">
        <f t="array" ref="DY18">IF('Customer Inputs'!$W$9="End",0,IFERROR(IF($EL18="SEGMENT",INDEX('Margin Guidence Table'!$A$1:$AG$10000,MATCH(1,('Margin Guidence Table'!$A$1:$A$10000=$EJ18)*('Margin Guidence Table'!$I$1:$I$10000&lt;=ROUND($EB$3,0))*('Margin Guidence Table'!$J$1:$J$10000&gt;=ROUND($EB$3,0)),0),MATCH("PCT_SALES",'Margin Guidence Table'!$A$1:$AG$1,0)),INDEX('Margin Guidence Table'!$A$1:$AG$10000,MATCH(1,('Margin Guidence Table'!$A$1:$A$10000=$EJ18)*('Margin Guidence Table'!$I$1:$I$10000&lt;=ROUND($EB$3,0))*('Margin Guidence Table'!$J$1:$J$10000&gt;=ROUND($EB$3,0)),0),MATCH("DEFAULT_PCT_SALES",'Margin Guidence Table'!$A$1:$AG$1,0))),0))</f>
        <v>0</v>
      </c>
      <c r="DZ18" s="297" t="e">
        <f t="shared" si="38"/>
        <v>#DIV/0!</v>
      </c>
      <c r="EA18" s="99" t="s">
        <v>100</v>
      </c>
      <c r="EB18" s="91">
        <f>IF('Customer Inputs'!$W$9="End",0,IFERROR(IF(AND($EB$2&lt;&gt;"Enter Spend&gt;&gt;&gt;",$EC$2="EXISTING"),SUMIFS('Existing Customers'!$Q:$Q,'Existing Customers'!$A:$A,$EB$1,'Existing Customers'!$H:$H,$EA18)*$EB$4,$EB$3*$DZ18),0))</f>
        <v>0</v>
      </c>
      <c r="EC18" s="86">
        <f>IF('Customer Inputs'!$W$9="End",0,IFERROR(IF(AND($EB$2&lt;&gt;"Enter Spend&gt;&gt;&gt;",$EC$2="EXISTING"),SUMIFS('Existing Customers'!$N:$N,'Existing Customers'!$A:$A,$EB$1,'Existing Customers'!$H:$H,$EA18)*$EB$4,$EB18/$EM18),0))</f>
        <v>0</v>
      </c>
      <c r="ED18" s="92">
        <f>IF('Customer Inputs'!$W$9="End",0,IFERROR(IF(AND($EB$2&lt;&gt;"Enter Spend&gt;&gt;&gt;",$EC$2="EXISTING"),SUMIFS('Existing Customers'!$O:$O,'Existing Customers'!$H:$H,$EA18,'Existing Customers'!$A:$A,$EB$1)*$EB$4,$EC18*$EB$8),0))</f>
        <v>0</v>
      </c>
      <c r="EE18" s="92">
        <f>IF('Customer Inputs'!$W$9="End",0,IFERROR(IF(AND($EB$2&lt;&gt;"Enter Spend&gt;&gt;&gt;",$EC$2="EXISTING"),SUMIFS('Existing Customers'!$P:$P,'Existing Customers'!$A:$A,$EB$1,'Existing Customers'!$H:$H,$EA18)*$EB$4,$EB18/$EN18),0))</f>
        <v>0</v>
      </c>
      <c r="EF18" s="93">
        <f>IF('Customer Inputs'!$W$9="End",0,IFERROR(IF(AND($EB$2&lt;&gt;"Enter Spend&gt;&gt;&gt;",$EC$2="EXISTING"),SUMIFS('Existing Customers'!$V:$V,'Existing Customers'!$H:$H,$EA18,'Existing Customers'!$A:$A,$EB$1)*$EB$4,0),0))</f>
        <v>0</v>
      </c>
      <c r="EG18" s="93">
        <f>IF('Customer Inputs'!$W$9="End",0,IFERROR(IF(AND($EB$2&lt;&gt;"Enter Spend&gt;&gt;&gt;",$EC$2="EXISTING"),SUMIFS('Existing Customers'!$R:$R,'Existing Customers'!$H:$H,$EA18,'Existing Customers'!$A:$A,$EB$1)*$EB$4,0),0))</f>
        <v>0</v>
      </c>
      <c r="EH18" s="780">
        <f>IF('Customer Inputs'!$W$9="End",0,IFERROR(IF(AND($EB$2&lt;&gt;"Enter Spend&gt;&gt;&gt;",$EC$2="EXISTING"),SUMIFS('Existing Customers'!$S:$S,'Existing Customers'!$H:$H,$EA18,'Existing Customers'!$A:$A,$EB$1)/SUMIFS('Existing Customers'!$Q:$Q,'Existing Customers'!$A:$A,$EB$1,'Existing Customers'!$H:$H,$EA18),ER18),0))</f>
        <v>0</v>
      </c>
      <c r="EI18" s="780">
        <f>IF('Customer Inputs'!$W$9="End",0,IFERROR(IF(AND($EB$2&lt;&gt;"Enter Spend&gt;&gt;&gt;",$EC$2="EXISTING"),SUMIFS('Existing Customers'!$U:$U,'Existing Customers'!$H:$H,$EA18,'Existing Customers'!$A:$A,$EB$1)/SUMIFS('Existing Customers'!$Q:$Q,'Existing Customers'!$A:$A,$EB$1,'Existing Customers'!$H:$H,$EA18),ES18),0))</f>
        <v>0</v>
      </c>
      <c r="EJ18" s="783" t="e">
        <f>_xlfn.CONCAT('Customer Inputs'!$AH$9,"_",EA18)</f>
        <v>#N/A</v>
      </c>
      <c r="EK18" s="783">
        <f t="array" ref="EK18">IF('Customer Inputs'!$W$9="End",0,IFERROR(INDEX('Margin Guidence Table'!$A$1:$AG$10000,MATCH(1,('Margin Guidence Table'!$A$1:$A$10000=EJ18)*('Margin Guidence Table'!$I$1:$I$10000&lt;=ROUND($EB$3,0))*('Margin Guidence Table'!$J$1:$J$10000&gt;=ROUND($EB$3,0)),0),MATCH("DATA_POINTS",'Margin Guidence Table'!$A$1:$AG$1,0)),0))</f>
        <v>0</v>
      </c>
      <c r="EL18" s="780" t="str">
        <f t="shared" si="39"/>
        <v>DEFAULT</v>
      </c>
      <c r="EM18" s="780">
        <f t="array" ref="EM18">IF('Customer Inputs'!$W$9="End",0,IFERROR(IF($EL18="SEGMENT",INDEX('Margin Guidence Table'!$A$1:$AG$10000,MATCH(1,('Margin Guidence Table'!$A$1:$A$10000=EJ18)*('Margin Guidence Table'!$I$1:$I$10000&lt;=ROUND($EB$3,0))*('Margin Guidence Table'!$J$1:$J$10000&gt;=ROUND($EB$3,0)),0),MATCH("SALES_CASE",'Margin Guidence Table'!$A$1:$AG$1,0)),INDEX('Margin Guidence Table'!$A$1:$AG$10000,MATCH(1,('Margin Guidence Table'!$A$1:$A$10000=EJ18)*('Margin Guidence Table'!$I$1:$I$10000&lt;=ROUND($EB$3,0))*('Margin Guidence Table'!$J$1:$J$10000&gt;=ROUND($EB$3,0)),0),MATCH("DEFAULT_SALES_CASE",'Margin Guidence Table'!$A$1:$AG$1,0))),0))</f>
        <v>0</v>
      </c>
      <c r="EN18" s="780">
        <f t="array" ref="EN18">IF('Customer Inputs'!$W$9="End",0,IFERROR(IF($EL18="SEGMENT",INDEX('Margin Guidence Table'!$A$1:$AG$10000,MATCH(1,('Margin Guidence Table'!$A$1:$A$10000=EJ18)*('Margin Guidence Table'!$I$1:$I$10000&lt;=ROUND($EB$3,0))*('Margin Guidence Table'!$J$1:$J$10000&gt;=ROUND($EB$3,0)),0),MATCH("SALES_LBS",'Margin Guidence Table'!$A$1:$AG$1,0)),INDEX('Margin Guidence Table'!$A$1:$AG$10000,MATCH(1,('Margin Guidence Table'!$A$1:$A$10000=EJ18)*('Margin Guidence Table'!$I$1:$I$10000&lt;=ROUND($EB$3,0))*('Margin Guidence Table'!$J$1:$J$10000&gt;=ROUND($EB$3,0)),0),MATCH("DEFAULT_SALES_LBS",'Margin Guidence Table'!$A$1:$AG$1,0))),0))</f>
        <v>0</v>
      </c>
      <c r="EO18" s="784">
        <f t="array" ref="EO18">IF('Customer Inputs'!$W$9="End",0,IFERROR(IF($EL18="SEGMENT",INDEX('Margin Guidence Table'!$A$1:$AG$10000,MATCH(1,('Margin Guidence Table'!$A$1:$A$10000=EJ18)*('Margin Guidence Table'!$I$1:$I$10000&lt;=ROUND($EB$3,0))*('Margin Guidence Table'!$J$1:$J$10000&gt;=ROUND($EB$3,0)),0),MATCH("MDA_MIN_MARGIN_GUIDENCE",'Margin Guidence Table'!$A$1:$AG$1,0)),INDEX('Margin Guidence Table'!$A$1:$AG$10000,MATCH(1,('Margin Guidence Table'!$A$1:$A$10000=EJ18)*('Margin Guidence Table'!$I$1:$I$10000&lt;=ROUND($EB$3,0))*('Margin Guidence Table'!$J$1:$J$10000&gt;=ROUND($EB$3,0)),0),MATCH("DEFAULT_MDA_MIN_MARGIN_GUIDENCE",'Margin Guidence Table'!$A$1:$AG$1,0))),0))</f>
        <v>0</v>
      </c>
      <c r="EP18" s="784">
        <f t="array" ref="EP18">IF('Customer Inputs'!$W$9="End",0,IFERROR(IF($EL18="SEGMENT",INDEX('Margin Guidence Table'!$A$1:$AG$10000,MATCH(1,('Margin Guidence Table'!$A$1:$A$10000=EJ18)*('Margin Guidence Table'!$I$1:$I$10000&lt;=ROUND($EB$3,0))*('Margin Guidence Table'!$J$1:$J$10000&gt;=ROUND($EB$3,0)),0),MATCH("MDA_MEDIAN_MARGIN_GUIDENCE",'Margin Guidence Table'!$A$1:$AG$1,0)),INDEX('Margin Guidence Table'!$A$1:$AG$10000,MATCH(1,('Margin Guidence Table'!$A$1:$A$10000=EJ18)*('Margin Guidence Table'!$I$1:$I$10000&lt;=ROUND($EB$3,0))*('Margin Guidence Table'!$J$1:$J$10000&gt;=ROUND($EB$3,0)),0),MATCH("DEFAULT_MDA_MEDIAN_MARGIN_GUIDENCE",'Margin Guidence Table'!$A$1:$AG$1,0))),0))</f>
        <v>0</v>
      </c>
      <c r="EQ18" s="784">
        <f t="array" ref="EQ18">IF('Customer Inputs'!$W$9="End",0,IFERROR(IF($EL18="SEGMENT",INDEX('Margin Guidence Table'!$A$1:$AG$10000,MATCH(1,('Margin Guidence Table'!$A$1:$A$10000=EJ18)*('Margin Guidence Table'!$I$1:$I$10000&lt;=ROUND($EB$3,0))*('Margin Guidence Table'!$J$1:$J$10000&gt;=ROUND($EB$3,0)),0),MATCH("MDA_MAX_MARGIN_GUIDENCE",'Margin Guidence Table'!$A$1:$AG$1,0)),INDEX('Margin Guidence Table'!$A$1:$AG$10000,MATCH(1,('Margin Guidence Table'!$A$1:$A$10000=EJ18)*('Margin Guidence Table'!$I$1:$I$10000&lt;=ROUND($EB$3,0))*('Margin Guidence Table'!$J$1:$J$10000&gt;=ROUND($EB$3,0)),0),MATCH("DEFAULT_MDA_MAX_MARGIN_GUIDENCE",'Margin Guidence Table'!$A$1:$AG$1,0))),0))</f>
        <v>0</v>
      </c>
      <c r="ER18" s="784">
        <f t="array" ref="ER18">IF('Customer Inputs'!$W$9="End",0,IFERROR(IF($EL18="SEGMENT",INDEX('Margin Guidence Table'!$A$1:$AG$10000,MATCH(1,('Margin Guidence Table'!$A$1:$A$10000=EJ18)*('Margin Guidence Table'!$I$1:$I$10000&lt;=ROUND($EB$3,0))*('Margin Guidence Table'!$J$1:$J$10000&gt;=ROUND($EB$3,0)),0),MATCH("PA_PCT_SALES",'Margin Guidence Table'!$A$1:$AG$1,0)),INDEX('Margin Guidence Table'!$A$1:$AG$10000,MATCH(1,('Margin Guidence Table'!$A$1:$A$10000=EJ18)*('Margin Guidence Table'!$I$1:$I$10000&lt;=ROUND($EB$3,0))*('Margin Guidence Table'!$J$1:$J$10000&gt;=ROUND($EB$3,0)),0),MATCH("DEFAULT_PA_PCT_SALES",'Margin Guidence Table'!$A$1:$AG$1,0))),0))</f>
        <v>0</v>
      </c>
      <c r="ES18" s="784">
        <f t="array" ref="ES18">IF('Customer Inputs'!$W$9="End",0,IFERROR(IF($EL18="SEGMENT",INDEX('Margin Guidence Table'!$A$1:$AG$10000,MATCH(1,('Margin Guidence Table'!$A$1:$A$10000=EJ18)*('Margin Guidence Table'!$I$1:$I$10000&lt;=ROUND($EB$3,0))*('Margin Guidence Table'!$J$1:$J$10000&gt;=ROUND($EB$3,0)),0),MATCH("SELF_FUND_PCT_SALES",'Margin Guidence Table'!$A$1:$AG$1,0)),INDEX('Margin Guidence Table'!$A$1:$AG$10000,MATCH(1,('Margin Guidence Table'!$A$1:$A$10000=EJ18)*('Margin Guidence Table'!$I$1:$I$10000&lt;=ROUND($EB$3,0))*('Margin Guidence Table'!$J$1:$J$10000&gt;=ROUND($EB$3,0)),0),MATCH("DEFAULT_SELF_FUND_PCT_SALES",'Margin Guidence Table'!$A$1:$AG$1,0))),0))</f>
        <v>0</v>
      </c>
      <c r="ET18" s="784">
        <f t="array" ref="ET18">IF('Customer Inputs'!$W$9="End",0,IF($EC$2="Existing",IFERROR(SUMIFS('Existing Customers'!$V:$V,'Existing Customers'!$H:$H,$EA18,'Existing Customers'!$A:$A,$EB$1)/SUMIFS('Existing Customers'!$Q:$Q,'Existing Customers'!$H:$H,$EA18,'Existing Customers'!$A:$A,$EB$1),0),IFERROR(IF($EL18="SEGMENT",INDEX('Margin Guidence Table'!$A$1:$AG$10000,MATCH(1,('Margin Guidence Table'!$A$1:$A$10000=EJ18)*('Margin Guidence Table'!$I$1:$I$10000&lt;=ROUND($EB$3,0))*('Margin Guidence Table'!$J$1:$J$10000&gt;=ROUND($EB$3,0)),0),MATCH("CIA_MEDIAN_MARGIN_GUIDENCE",'Margin Guidence Table'!$A$1:$AG$1,0)),INDEX('Margin Guidence Table'!$A$1:$AG$10000,MATCH(1,('Margin Guidence Table'!$A$1:$A$10000=EJ18)*('Margin Guidence Table'!$I$1:$I$10000&lt;=ROUND($EB$3,0))*('Margin Guidence Table'!$J$1:$J$10000&gt;=ROUND($EB$3,0)),0),MATCH("DEFAULT_CIA_MEDIAN_MARGIN_GUIDENCE",'Margin Guidence Table'!$A$1:$AG$1,0))),0)))</f>
        <v>0</v>
      </c>
      <c r="EU18" s="126"/>
      <c r="EV18" s="18">
        <f t="array" ref="EV18">IF('Customer Inputs'!$W$10="End",0,IFERROR(IF($FI18="SEGMENT",INDEX('Margin Guidence Table'!$A$1:$AG$10000,MATCH(1,('Margin Guidence Table'!$A$1:$A$10000=$FG18)*('Margin Guidence Table'!$I$1:$I$10000&lt;=ROUND($EY$3,0))*('Margin Guidence Table'!$J$1:$J$10000&gt;=ROUND($EY$3,0)),0),MATCH("PCT_SALES",'Margin Guidence Table'!$A$1:$AG$1,0)),INDEX('Margin Guidence Table'!$A$1:$AG$10000,MATCH(1,('Margin Guidence Table'!$A$1:$A$10000=$FG18)*('Margin Guidence Table'!$I$1:$I$10000&lt;=ROUND($EY$3,0))*('Margin Guidence Table'!$J$1:$J$10000&gt;=ROUND($EY$3,0)),0),MATCH("DEFAULT_PCT_SALES",'Margin Guidence Table'!$A$1:$AG$1,0))),0))</f>
        <v>0</v>
      </c>
      <c r="EW18" s="297" t="e">
        <f t="shared" si="40"/>
        <v>#DIV/0!</v>
      </c>
      <c r="EX18" s="99" t="s">
        <v>100</v>
      </c>
      <c r="EY18" s="91">
        <f>IF('Customer Inputs'!$W$10="End",0,IFERROR(IF(AND($EY$2&lt;&gt;"Enter Spend&gt;&gt;&gt;",$EZ$2="EXISTING"),SUMIFS('Existing Customers'!$Q:$Q,'Existing Customers'!$A:$A,$EY$1,'Existing Customers'!$H:$H,$EX18)*$EY$4,$EY$3*$EW18),0))</f>
        <v>0</v>
      </c>
      <c r="EZ18" s="86">
        <f>IF('Customer Inputs'!$W$10="End",0,IFERROR(IF(AND($EY$2&lt;&gt;"Enter Spend&gt;&gt;&gt;",$EZ$2="EXISTING"),SUMIFS('Existing Customers'!$N:$N,'Existing Customers'!$A:$A,$EY$1,'Existing Customers'!$H:$H,$EX18)*$EY$4,$EY18/$FJ18),0))</f>
        <v>0</v>
      </c>
      <c r="FA18" s="92">
        <f>IF('Customer Inputs'!$W$10="End",0,IFERROR(IF(AND($EY$2&lt;&gt;"Enter Spend&gt;&gt;&gt;",$EZ$2="EXISTING"),SUMIFS('Existing Customers'!$O:$O,'Existing Customers'!$H:$H,$EX18,'Existing Customers'!$A:$A,$EY$1)*$EY$4,$EZ18*$EY$8),0))</f>
        <v>0</v>
      </c>
      <c r="FB18" s="92">
        <f>IF('Customer Inputs'!$W$10="End",0,IFERROR(IF(AND($EY$2&lt;&gt;"Enter Spend&gt;&gt;&gt;",$EZ$2="EXISTING"),SUMIFS('Existing Customers'!$P:$P,'Existing Customers'!$A:$A,$EY$1,'Existing Customers'!$H:$H,$EX18)*$EY$4,$EY18/$FK18),0))</f>
        <v>0</v>
      </c>
      <c r="FC18" s="93">
        <f>IF('Customer Inputs'!$W$10="End",0,IFERROR(IF(AND($EY$2&lt;&gt;"Enter Spend&gt;&gt;&gt;",$EZ$2="EXISTING"),SUMIFS('Existing Customers'!$V:$V,'Existing Customers'!$H:$H,$EX18,'Existing Customers'!$A:$A,$EY$1)*$EY$4,0),0))</f>
        <v>0</v>
      </c>
      <c r="FD18" s="93">
        <f>IF('Customer Inputs'!$W$10="End",0,IFERROR(IF(AND($EY$2&lt;&gt;"Enter Spend&gt;&gt;&gt;",$EZ$2="EXISTING"),SUMIFS('Existing Customers'!$R:$R,'Existing Customers'!$H:$H,$EX18,'Existing Customers'!$A:$A,$EY$1)*$EY$4,0),0))</f>
        <v>0</v>
      </c>
      <c r="FE18" s="780">
        <f>IF('Customer Inputs'!$W$10="End",0,IFERROR(IF(AND($EY$2&lt;&gt;"Enter Spend&gt;&gt;&gt;",$EZ$2="EXISTING"),SUMIFS('Existing Customers'!$S:$S,'Existing Customers'!$H:$H,$EX18,'Existing Customers'!$A:$A,$EY$1)/SUMIFS('Existing Customers'!$Q:$Q,'Existing Customers'!$A:$A,$EY$1,'Existing Customers'!$H:$H,$EX18),FO18),0))</f>
        <v>0</v>
      </c>
      <c r="FF18" s="780">
        <f>IF('Customer Inputs'!$W$10="End",0,IFERROR(IF(AND($EY$2&lt;&gt;"Enter Spend&gt;&gt;&gt;",$EZ$2="EXISTING"),SUMIFS('Existing Customers'!$U:$U,'Existing Customers'!$H:$H,$EX18,'Existing Customers'!$A:$A,$EY$1)/SUMIFS('Existing Customers'!$Q:$Q,'Existing Customers'!$A:$A,$EY$1,'Existing Customers'!$H:$H,$EX18),FP18),0))</f>
        <v>0</v>
      </c>
      <c r="FG18" s="783" t="e">
        <f>_xlfn.CONCAT('Customer Inputs'!$AH$10,"_",EX18)</f>
        <v>#N/A</v>
      </c>
      <c r="FH18" s="783">
        <f t="array" ref="FH18">IF('Customer Inputs'!$W$10="End",0,IFERROR(INDEX('Margin Guidence Table'!$A$1:$AG$10000,MATCH(1,('Margin Guidence Table'!$A$1:$A$10000=FG18)*('Margin Guidence Table'!$I$1:$I$10000&lt;=ROUND($EY$3,0))*('Margin Guidence Table'!$J$1:$J$10000&gt;=ROUND($EY$3,0)),0),MATCH("DATA_POINTS",'Margin Guidence Table'!$A$1:$AG$1,0)),0))</f>
        <v>0</v>
      </c>
      <c r="FI18" s="780" t="str">
        <f t="shared" si="41"/>
        <v>DEFAULT</v>
      </c>
      <c r="FJ18" s="780">
        <f t="array" ref="FJ18">IF('Customer Inputs'!$W$10="End",0,IFERROR(IF($FI18="SEGMENT",INDEX('Margin Guidence Table'!$A$1:$AG$10000,MATCH(1,('Margin Guidence Table'!$A$1:$A$10000=FG18)*('Margin Guidence Table'!$I$1:$I$10000&lt;=ROUND($EY$3,0))*('Margin Guidence Table'!$J$1:$J$10000&gt;=ROUND($EY$3,0)),0),MATCH("SALES_CASE",'Margin Guidence Table'!$A$1:$AG$1,0)),INDEX('Margin Guidence Table'!$A$1:$AG$10000,MATCH(1,('Margin Guidence Table'!$A$1:$A$10000=FG18)*('Margin Guidence Table'!$I$1:$I$10000&lt;=ROUND($EY$3,0))*('Margin Guidence Table'!$J$1:$J$10000&gt;=ROUND($EY$3,0)),0),MATCH("DEFAULT_SALES_CASE",'Margin Guidence Table'!$A$1:$AG$1,0))),0))</f>
        <v>0</v>
      </c>
      <c r="FK18" s="780">
        <f t="array" ref="FK18">IF('Customer Inputs'!$W$10="End",0,IFERROR(IF($FI18="SEGMENT",INDEX('Margin Guidence Table'!$A$1:$AG$10000,MATCH(1,('Margin Guidence Table'!$A$1:$A$10000=FG18)*('Margin Guidence Table'!$I$1:$I$10000&lt;=ROUND($EY$3,0))*('Margin Guidence Table'!$J$1:$J$10000&gt;=ROUND($EY$3,0)),0),MATCH("SALES_LBS",'Margin Guidence Table'!$A$1:$AG$1,0)),INDEX('Margin Guidence Table'!$A$1:$AG$10000,MATCH(1,('Margin Guidence Table'!$A$1:$A$10000=FG18)*('Margin Guidence Table'!$I$1:$I$10000&lt;=ROUND($EY$3,0))*('Margin Guidence Table'!$J$1:$J$10000&gt;=ROUND($EY$3,0)),0),MATCH("DEFAULT_SALES_LBS",'Margin Guidence Table'!$A$1:$AG$1,0))),0))</f>
        <v>0</v>
      </c>
      <c r="FL18" s="784">
        <f t="array" ref="FL18">IF('Customer Inputs'!$W$10="End",0,IFERROR(IF($FI18="SEGMENT",INDEX('Margin Guidence Table'!$A$1:$AG$10000,MATCH(1,('Margin Guidence Table'!$A$1:$A$10000=FG18)*('Margin Guidence Table'!$I$1:$I$10000&lt;=ROUND($EY$3,0))*('Margin Guidence Table'!$J$1:$J$10000&gt;=ROUND($EY$3,0)),0),MATCH("MDA_MIN_MARGIN_GUIDENCE",'Margin Guidence Table'!$A$1:$AG$1,0)),INDEX('Margin Guidence Table'!$A$1:$AG$10000,MATCH(1,('Margin Guidence Table'!$A$1:$A$10000=FG18)*('Margin Guidence Table'!$I$1:$I$10000&lt;=ROUND($EY$3,0))*('Margin Guidence Table'!$J$1:$J$10000&gt;=ROUND($EY$3,0)),0),MATCH("DEFAULT_MDA_MIN_MARGIN_GUIDENCE",'Margin Guidence Table'!$A$1:$AG$1,0))),0))</f>
        <v>0</v>
      </c>
      <c r="FM18" s="784">
        <f t="array" ref="FM18">IF('Customer Inputs'!$W$10="End",0,IFERROR(IF($FI18="SEGMENT",INDEX('Margin Guidence Table'!$A$1:$AG$10000,MATCH(1,('Margin Guidence Table'!$A$1:$A$10000=FG18)*('Margin Guidence Table'!$I$1:$I$10000&lt;=ROUND($EY$3,0))*('Margin Guidence Table'!$J$1:$J$10000&gt;=ROUND($EY$3,0)),0),MATCH("MDA_MEDIAN_MARGIN_GUIDENCE",'Margin Guidence Table'!$A$1:$AG$1,0)),INDEX('Margin Guidence Table'!$A$1:$AG$10000,MATCH(1,('Margin Guidence Table'!$A$1:$A$10000=FG18)*('Margin Guidence Table'!$I$1:$I$10000&lt;=ROUND($EY$3,0))*('Margin Guidence Table'!$J$1:$J$10000&gt;=ROUND($EY$3,0)),0),MATCH("DEFAULT_MDA_MEDIAN_MARGIN_GUIDENCE",'Margin Guidence Table'!$A$1:$AG$1,0))),0))</f>
        <v>0</v>
      </c>
      <c r="FN18" s="784">
        <f t="array" ref="FN18">IF('Customer Inputs'!$W$10="End",0,IFERROR(IF($FI18="SEGMENT",INDEX('Margin Guidence Table'!$A$1:$AG$10000,MATCH(1,('Margin Guidence Table'!$A$1:$A$10000=FG18)*('Margin Guidence Table'!$I$1:$I$10000&lt;=ROUND($EY$3,0))*('Margin Guidence Table'!$J$1:$J$10000&gt;=ROUND($EY$3,0)),0),MATCH("MDA_MAX_MARGIN_GUIDENCE",'Margin Guidence Table'!$A$1:$AG$1,0)),INDEX('Margin Guidence Table'!$A$1:$AG$10000,MATCH(1,('Margin Guidence Table'!$A$1:$A$10000=FG18)*('Margin Guidence Table'!$I$1:$I$10000&lt;=ROUND($EY$3,0))*('Margin Guidence Table'!$J$1:$J$10000&gt;=ROUND($EY$3,0)),0),MATCH("DEFAULT_MDA_MAX_MARGIN_GUIDENCE",'Margin Guidence Table'!$A$1:$AG$1,0))),0))</f>
        <v>0</v>
      </c>
      <c r="FO18" s="784">
        <f t="array" ref="FO18">IF('Customer Inputs'!$W$10="End",0,IFERROR(IF($FI18="SEGMENT",INDEX('Margin Guidence Table'!$A$1:$AG$10000,MATCH(1,('Margin Guidence Table'!$A$1:$A$10000=FG18)*('Margin Guidence Table'!$I$1:$I$10000&lt;=ROUND($EY$3,0))*('Margin Guidence Table'!$J$1:$J$10000&gt;=ROUND($EY$3,0)),0),MATCH("PA_PCT_SALES",'Margin Guidence Table'!$A$1:$AG$1,0)),INDEX('Margin Guidence Table'!$A$1:$AG$10000,MATCH(1,('Margin Guidence Table'!$A$1:$A$10000=FG18)*('Margin Guidence Table'!$I$1:$I$10000&lt;=ROUND($EY$3,0))*('Margin Guidence Table'!$J$1:$J$10000&gt;=ROUND($EY$3,0)),0),MATCH("DEFAULT_PA_PCT_SALES",'Margin Guidence Table'!$A$1:$AG$1,0))),0))</f>
        <v>0</v>
      </c>
      <c r="FP18" s="784">
        <f t="array" ref="FP18">IF('Customer Inputs'!$W$10="End",0,IFERROR(IF($FI18="SEGMENT",INDEX('Margin Guidence Table'!$A$1:$AG$10000,MATCH(1,('Margin Guidence Table'!$A$1:$A$10000=FG18)*('Margin Guidence Table'!$I$1:$I$10000&lt;=ROUND($EY$3,0))*('Margin Guidence Table'!$J$1:$J$10000&gt;=ROUND($EY$3,0)),0),MATCH("SELF_FUND_PCT_SALES",'Margin Guidence Table'!$A$1:$AG$1,0)),INDEX('Margin Guidence Table'!$A$1:$AG$10000,MATCH(1,('Margin Guidence Table'!$A$1:$A$10000=FG18)*('Margin Guidence Table'!$I$1:$I$10000&lt;=ROUND($EY$3,0))*('Margin Guidence Table'!$J$1:$J$10000&gt;=ROUND($EY$3,0)),0),MATCH("DEFAULT_SELF_FUND_PCT_SALES",'Margin Guidence Table'!$A$1:$AG$1,0))),0))</f>
        <v>0</v>
      </c>
      <c r="FQ18" s="784">
        <f t="array" ref="FQ18">IF('Customer Inputs'!$W$10="End",0,IF($EZ$2="Existing",IFERROR(SUMIFS('Existing Customers'!$V:$V,'Existing Customers'!$H:$H,$EX18,'Existing Customers'!$A:$A,$EY$1)/SUMIFS('Existing Customers'!$Q:$Q,'Existing Customers'!$H:$H,$EX18,'Existing Customers'!$A:$A,$EY$1),0),IFERROR(IF($FI18="SEGMENT",INDEX('Margin Guidence Table'!$A$1:$AG$10000,MATCH(1,('Margin Guidence Table'!$A$1:$A$10000=FG18)*('Margin Guidence Table'!$I$1:$I$10000&lt;=ROUND($EY$3,0))*('Margin Guidence Table'!$J$1:$J$10000&gt;=ROUND($EY$3,0)),0),MATCH("CIA_MEDIAN_MARGIN_GUIDENCE",'Margin Guidence Table'!$A$1:$AG$1,0)),INDEX('Margin Guidence Table'!$A$1:$AG$10000,MATCH(1,('Margin Guidence Table'!$A$1:$A$10000=FG18)*('Margin Guidence Table'!$I$1:$I$10000&lt;=ROUND($EY$3,0))*('Margin Guidence Table'!$J$1:$J$10000&gt;=ROUND($EY$3,0)),0),MATCH("DEFAULT_CIA_MEDIAN_MARGIN_GUIDENCE",'Margin Guidence Table'!$A$1:$AG$1,0))),0)))</f>
        <v>0</v>
      </c>
      <c r="FR18" s="126"/>
      <c r="FS18" s="18">
        <f t="array" ref="FS18">IF('Customer Inputs'!$W$11="End",0,IFERROR(IF($GF18="SEGMENT",INDEX('Margin Guidence Table'!$A$1:$AG$10000,MATCH(1,('Margin Guidence Table'!$A$1:$A$10000=$GD18)*('Margin Guidence Table'!$I$1:$I$10000&lt;=ROUND($FV$3,0))*('Margin Guidence Table'!$J$1:$J$10000&gt;=ROUND($FV$3,0)),0),MATCH("PCT_SALES",'Margin Guidence Table'!$A$1:$AG$1,0)),INDEX('Margin Guidence Table'!$A$1:$AG$10000,MATCH(1,('Margin Guidence Table'!$A$1:$A$10000=$GD18)*('Margin Guidence Table'!$I$1:$I$10000&lt;=ROUND($FV$3,0))*('Margin Guidence Table'!$J$1:$J$10000&gt;=ROUND($FV$3,0)),0),MATCH("DEFAULT_PCT_SALES",'Margin Guidence Table'!$A$1:$AG$1,0))),0))</f>
        <v>0</v>
      </c>
      <c r="FT18" s="297" t="e">
        <f t="shared" si="42"/>
        <v>#DIV/0!</v>
      </c>
      <c r="FU18" s="99" t="s">
        <v>100</v>
      </c>
      <c r="FV18" s="91">
        <f>IF('Customer Inputs'!$W$11="End",0,IFERROR(IF(AND($FV$2&lt;&gt;"Enter Spend&gt;&gt;&gt;",$FW$2="EXISTING"),SUMIFS('Existing Customers'!$Q:$Q,'Existing Customers'!$A:$A,$FV$1,'Existing Customers'!$H:$H,$FU18)*$FV$4,$FV$3*$FT18),0))</f>
        <v>0</v>
      </c>
      <c r="FW18" s="86">
        <f>IF('Customer Inputs'!$W$11="End",0,IFERROR(IF(AND($FV$2&lt;&gt;"Enter Spend&gt;&gt;&gt;",$FW$2="EXISTING"),SUMIFS('Existing Customers'!$N:$N,'Existing Customers'!$A:$A,$FV$1,'Existing Customers'!$H:$H,$FU18)*$FV$4,$FV18/$GG18),0))</f>
        <v>0</v>
      </c>
      <c r="FX18" s="92">
        <f>IF('Customer Inputs'!$W$11="End",0,IFERROR(IF(AND($FV$2&lt;&gt;"Enter Spend&gt;&gt;&gt;",$FW$2="EXISTING"),SUMIFS('Existing Customers'!$O:$O,'Existing Customers'!$H:$H,$FU18,'Existing Customers'!$A:$A,$FV$1)*$FV$4,$FW18*$FV$8),0))</f>
        <v>0</v>
      </c>
      <c r="FY18" s="92">
        <f>IF('Customer Inputs'!$W$11="End",0,IFERROR(IF(AND($FV$2&lt;&gt;"Enter Spend&gt;&gt;&gt;",$FW$2="EXISTING"),SUMIFS('Existing Customers'!$P:$P,'Existing Customers'!$A:$A,$FV$1,'Existing Customers'!$H:$H,$FU18)*$FV$4,$FV18/$GH18),0))</f>
        <v>0</v>
      </c>
      <c r="FZ18" s="93">
        <f>IF('Customer Inputs'!$W$11="End",0,IFERROR(IF(AND($FV$2&lt;&gt;"Enter Spend&gt;&gt;&gt;",$FW$2="EXISTING"),SUMIFS('Existing Customers'!$V:$V,'Existing Customers'!$H:$H,$FU18,'Existing Customers'!$A:$A,$FV$1)*$FV$4,0),0))</f>
        <v>0</v>
      </c>
      <c r="GA18" s="93">
        <f>IF('Customer Inputs'!$W$11="End",0,IFERROR(IF(AND($FV$2&lt;&gt;"Enter Spend&gt;&gt;&gt;",$FW$2="EXISTING"),SUMIFS('Existing Customers'!$R:$R,'Existing Customers'!$H:$H,$FU18,'Existing Customers'!$A:$A,$FV$1)*$FV$4,0),0))</f>
        <v>0</v>
      </c>
      <c r="GB18" s="780">
        <f>IF('Customer Inputs'!$W$11="End",0,IFERROR(IF(AND($FV$2&lt;&gt;"Enter Spend&gt;&gt;&gt;",$FW$2="EXISTING"),SUMIFS('Existing Customers'!$S:$S,'Existing Customers'!$H:$H,$FU18,'Existing Customers'!$A:$A,$FV$1)/SUMIFS('Existing Customers'!$Q:$Q,'Existing Customers'!$A:$A,$FV$1,'Existing Customers'!$H:$H,$FU18),GL18),0))</f>
        <v>0</v>
      </c>
      <c r="GC18" s="780">
        <f>IF('Customer Inputs'!$W$11="End",0,IFERROR(IF(AND($FV$2&lt;&gt;"Enter Spend&gt;&gt;&gt;",$FW$2="EXISTING"),SUMIFS('Existing Customers'!$U:$U,'Existing Customers'!$H:$H,$FU18,'Existing Customers'!$A:$A,$FV$1)/SUMIFS('Existing Customers'!$Q:$Q,'Existing Customers'!$A:$A,$FV$1,'Existing Customers'!$H:$H,$FU18),GM18),0))</f>
        <v>0</v>
      </c>
      <c r="GD18" s="783" t="e">
        <f>_xlfn.CONCAT('Customer Inputs'!$AH$11,"_",FU18)</f>
        <v>#N/A</v>
      </c>
      <c r="GE18" s="783">
        <f t="array" ref="GE18">IF('Customer Inputs'!$W$11="End",0,IFERROR(INDEX('Margin Guidence Table'!$A$1:$AG$10000,MATCH(1,('Margin Guidence Table'!$A$1:$A$10000=GD18)*('Margin Guidence Table'!$I$1:$I$10000&lt;=ROUND($FV$3,0))*('Margin Guidence Table'!$J$1:$J$10000&gt;=ROUND($FV$3,0)),0),MATCH("DATA_POINTS",'Margin Guidence Table'!$A$1:$AG$1,0)),0))</f>
        <v>0</v>
      </c>
      <c r="GF18" s="780" t="str">
        <f t="shared" si="43"/>
        <v>DEFAULT</v>
      </c>
      <c r="GG18" s="780">
        <f t="array" ref="GG18">IF('Customer Inputs'!$W$11="End",0,IFERROR(IF($GF18="SEGMENT",INDEX('Margin Guidence Table'!$A$1:$AG$10000,MATCH(1,('Margin Guidence Table'!$A$1:$A$10000=GD18)*('Margin Guidence Table'!$I$1:$I$10000&lt;=ROUND($FV$3,0))*('Margin Guidence Table'!$J$1:$J$10000&gt;=ROUND($FV$3,0)),0),MATCH("SALES_CASE",'Margin Guidence Table'!$A$1:$AG$1,0)),INDEX('Margin Guidence Table'!$A$1:$AG$10000,MATCH(1,('Margin Guidence Table'!$A$1:$A$10000=GD18)*('Margin Guidence Table'!$I$1:$I$10000&lt;=ROUND($FV$3,0))*('Margin Guidence Table'!$J$1:$J$10000&gt;=ROUND($FV$3,0)),0),MATCH("DEFAULT_SALES_CASE",'Margin Guidence Table'!$A$1:$AG$1,0))),0))</f>
        <v>0</v>
      </c>
      <c r="GH18" s="780">
        <f t="array" ref="GH18">IF('Customer Inputs'!$W$11="End",0,IFERROR(IF($GF18="SEGMENT",INDEX('Margin Guidence Table'!$A$1:$AG$10000,MATCH(1,('Margin Guidence Table'!$A$1:$A$10000=GD18)*('Margin Guidence Table'!$I$1:$I$10000&lt;=ROUND($FV$3,0))*('Margin Guidence Table'!$J$1:$J$10000&gt;=ROUND($FV$3,0)),0),MATCH("SALES_LBS",'Margin Guidence Table'!$A$1:$AG$1,0)),INDEX('Margin Guidence Table'!$A$1:$AG$10000,MATCH(1,('Margin Guidence Table'!$A$1:$A$10000=GD18)*('Margin Guidence Table'!$I$1:$I$10000&lt;=ROUND($FV$3,0))*('Margin Guidence Table'!$J$1:$J$10000&gt;=ROUND($FV$3,0)),0),MATCH("DEFAULT_SALES_LBS",'Margin Guidence Table'!$A$1:$AG$1,0))),0))</f>
        <v>0</v>
      </c>
      <c r="GI18" s="784">
        <f t="array" ref="GI18">IF('Customer Inputs'!$W$11="End",0,IFERROR(IF($GF18="SEGMENT",INDEX('Margin Guidence Table'!$A$1:$AG$10000,MATCH(1,('Margin Guidence Table'!$A$1:$A$10000=GD18)*('Margin Guidence Table'!$I$1:$I$10000&lt;=ROUND($FV$3,0))*('Margin Guidence Table'!$J$1:$J$10000&gt;=ROUND($FV$3,0)),0),MATCH("MDA_MIN_MARGIN_GUIDENCE",'Margin Guidence Table'!$A$1:$AG$1,0)),INDEX('Margin Guidence Table'!$A$1:$AG$10000,MATCH(1,('Margin Guidence Table'!$A$1:$A$10000=GD18)*('Margin Guidence Table'!$I$1:$I$10000&lt;=ROUND($FV$3,0))*('Margin Guidence Table'!$J$1:$J$10000&gt;=ROUND($FV$3,0)),0),MATCH("DEFAULT_MDA_MIN_MARGIN_GUIDENCE",'Margin Guidence Table'!$A$1:$AG$1,0))),0))</f>
        <v>0</v>
      </c>
      <c r="GJ18" s="784">
        <f t="array" ref="GJ18">IF('Customer Inputs'!$W$11="End",0,IFERROR(IF($GF18="SEGMENT",INDEX('Margin Guidence Table'!$A$1:$AG$10000,MATCH(1,('Margin Guidence Table'!$A$1:$A$10000=GD18)*('Margin Guidence Table'!$I$1:$I$10000&lt;=ROUND($FV$3,0))*('Margin Guidence Table'!$J$1:$J$10000&gt;=ROUND($FV$3,0)),0),MATCH("MDA_MEDIAN_MARGIN_GUIDENCE",'Margin Guidence Table'!$A$1:$AG$1,0)),INDEX('Margin Guidence Table'!$A$1:$AG$10000,MATCH(1,('Margin Guidence Table'!$A$1:$A$10000=GD18)*('Margin Guidence Table'!$I$1:$I$10000&lt;=ROUND($FV$3,0))*('Margin Guidence Table'!$J$1:$J$10000&gt;=ROUND($FV$3,0)),0),MATCH("DEFAULT_MDA_MEDIAN_MARGIN_GUIDENCE",'Margin Guidence Table'!$A$1:$AG$1,0))),0))</f>
        <v>0</v>
      </c>
      <c r="GK18" s="784">
        <f t="array" ref="GK18">IF('Customer Inputs'!$W$11="End",0,IFERROR(IF($GF18="SEGMENT",INDEX('Margin Guidence Table'!$A$1:$AG$10000,MATCH(1,('Margin Guidence Table'!$A$1:$A$10000=GD18)*('Margin Guidence Table'!$I$1:$I$10000&lt;=ROUND($FV$3,0))*('Margin Guidence Table'!$J$1:$J$10000&gt;=ROUND($FV$3,0)),0),MATCH("MDA_MAX_MARGIN_GUIDENCE",'Margin Guidence Table'!$A$1:$AG$1,0)),INDEX('Margin Guidence Table'!$A$1:$AG$10000,MATCH(1,('Margin Guidence Table'!$A$1:$A$10000=GD18)*('Margin Guidence Table'!$I$1:$I$10000&lt;=ROUND($FV$3,0))*('Margin Guidence Table'!$J$1:$J$10000&gt;=ROUND($FV$3,0)),0),MATCH("DEFAULT_MDA_MAX_MARGIN_GUIDENCE",'Margin Guidence Table'!$A$1:$AG$1,0))),0))</f>
        <v>0</v>
      </c>
      <c r="GL18" s="784">
        <f t="array" ref="GL18">IF('Customer Inputs'!$W$11="End",0,IFERROR(IF($GF18="SEGMENT",INDEX('Margin Guidence Table'!$A$1:$AG$10000,MATCH(1,('Margin Guidence Table'!$A$1:$A$10000=GD18)*('Margin Guidence Table'!$I$1:$I$10000&lt;=ROUND($FV$3,0))*('Margin Guidence Table'!$J$1:$J$10000&gt;=ROUND($FV$3,0)),0),MATCH("PA_PCT_SALES",'Margin Guidence Table'!$A$1:$AG$1,0)),INDEX('Margin Guidence Table'!$A$1:$AG$10000,MATCH(1,('Margin Guidence Table'!$A$1:$A$10000=GD18)*('Margin Guidence Table'!$I$1:$I$10000&lt;=ROUND($FV$3,0))*('Margin Guidence Table'!$J$1:$J$10000&gt;=ROUND($FV$3,0)),0),MATCH("DEFAULT_PA_PCT_SALES",'Margin Guidence Table'!$A$1:$AG$1,0))),0))</f>
        <v>0</v>
      </c>
      <c r="GM18" s="784">
        <f t="array" ref="GM18">IF('Customer Inputs'!$W$11="End",0,IFERROR(IF($GF18="SEGMENT",INDEX('Margin Guidence Table'!$A$1:$AG$10000,MATCH(1,('Margin Guidence Table'!$A$1:$A$10000=GD18)*('Margin Guidence Table'!$I$1:$I$10000&lt;=ROUND($FV$3,0))*('Margin Guidence Table'!$J$1:$J$10000&gt;=ROUND($FV$3,0)),0),MATCH("SELF_FUND_PCT_SALES",'Margin Guidence Table'!$A$1:$AG$1,0)),INDEX('Margin Guidence Table'!$A$1:$AG$10000,MATCH(1,('Margin Guidence Table'!$A$1:$A$10000=GD18)*('Margin Guidence Table'!$I$1:$I$10000&lt;=ROUND($FV$3,0))*('Margin Guidence Table'!$J$1:$J$10000&gt;=ROUND($FV$3,0)),0),MATCH("DEFAULT_SELF_FUND_PCT_SALES",'Margin Guidence Table'!$A$1:$AG$1,0))),0))</f>
        <v>0</v>
      </c>
      <c r="GN18" s="784">
        <f t="array" ref="GN18">IF('Customer Inputs'!$W$11="End",0,IF($FW$2="Existing",IFERROR(SUMIFS('Existing Customers'!$V:$V,'Existing Customers'!$H:$H,$FU18,'Existing Customers'!$A:$A,$FV$1)/SUMIFS('Existing Customers'!$Q:$Q,'Existing Customers'!$H:$H,$FU18,'Existing Customers'!$A:$A,$FV$1),0),IFERROR(IF($GF18="SEGMENT",INDEX('Margin Guidence Table'!$A$1:$AG$10000,MATCH(1,('Margin Guidence Table'!$A$1:$A$10000=GD18)*('Margin Guidence Table'!$I$1:$I$10000&lt;=ROUND($FV$3,0))*('Margin Guidence Table'!$J$1:$J$10000&gt;=ROUND($FV$3,0)),0),MATCH("CIA_MEDIAN_MARGIN_GUIDENCE",'Margin Guidence Table'!$A$1:$AG$1,0)),INDEX('Margin Guidence Table'!$A$1:$AG$10000,MATCH(1,('Margin Guidence Table'!$A$1:$A$10000=GD18)*('Margin Guidence Table'!$I$1:$I$10000&lt;=ROUND($FV$3,0))*('Margin Guidence Table'!$J$1:$J$10000&gt;=ROUND($FV$3,0)),0),MATCH("DEFAULT_CIA_MEDIAN_MARGIN_GUIDENCE",'Margin Guidence Table'!$A$1:$AG$1,0))),0)))</f>
        <v>0</v>
      </c>
      <c r="GO18" s="126"/>
      <c r="GP18" s="18">
        <f t="array" ref="GP18">IF('Customer Inputs'!$W$12="End",0,IFERROR(IF($HC18="SEGMENT",INDEX('Margin Guidence Table'!$A$1:$AG$10000,MATCH(1,('Margin Guidence Table'!$A$1:$A$10000=$HA18)*('Margin Guidence Table'!$I$1:$I$10000&lt;=ROUND($GS$3,0))*('Margin Guidence Table'!$J$1:$J$10000&gt;=ROUND($GS$3,0)),0),MATCH("PCT_SALES",'Margin Guidence Table'!$A$1:$AG$1,0)),INDEX('Margin Guidence Table'!$A$1:$AG$10000,MATCH(1,('Margin Guidence Table'!$A$1:$A$10000=$HA18)*('Margin Guidence Table'!$I$1:$I$10000&lt;=ROUND($GS$3,0))*('Margin Guidence Table'!$J$1:$J$10000&gt;=ROUND($GS$3,0)),0),MATCH("DEFAULT_PCT_SALES",'Margin Guidence Table'!$A$1:$AG$1,0))),0))</f>
        <v>0</v>
      </c>
      <c r="GQ18" s="297" t="e">
        <f t="shared" si="44"/>
        <v>#DIV/0!</v>
      </c>
      <c r="GR18" s="99" t="s">
        <v>100</v>
      </c>
      <c r="GS18" s="91">
        <f>IF('Customer Inputs'!$W$12="End",0,IFERROR(IF(AND($GS$2&lt;&gt;"Enter Spend&gt;&gt;&gt;",$GT$2="EXISTING"),SUMIFS('Existing Customers'!$Q:$Q,'Existing Customers'!$A:$A,$GS$1,'Existing Customers'!$H:$H,$GR18)*$GS$4,$GS$3*$GQ18),0))</f>
        <v>0</v>
      </c>
      <c r="GT18" s="86">
        <f>IF('Customer Inputs'!$W$12="End",0,IFERROR(IF(AND($GS$2&lt;&gt;"Enter Spend&gt;&gt;&gt;",$GT$2="EXISTING"),SUMIFS('Existing Customers'!$N:$N,'Existing Customers'!$A:$A,$GS$1,'Existing Customers'!$H:$H,$GR18)*$GS$4,$GS18/$HD18),0))</f>
        <v>0</v>
      </c>
      <c r="GU18" s="92">
        <f>IF('Customer Inputs'!$W$12="End",0,IFERROR(IF(AND($GS$2&lt;&gt;"Enter Spend&gt;&gt;&gt;",$GT$2="EXISTING"),SUMIFS('Existing Customers'!$O:$O,'Existing Customers'!$H:$H,$GR18,'Existing Customers'!$A:$A,$GS$1)*$GS$4,$GT18*$GS$8),0))</f>
        <v>0</v>
      </c>
      <c r="GV18" s="92">
        <f>IF('Customer Inputs'!$W$12="End",0,IFERROR(IF(AND($GS$2&lt;&gt;"Enter Spend&gt;&gt;&gt;",$GT$2="EXISTING"),SUMIFS('Existing Customers'!$P:$P,'Existing Customers'!$A:$A,$GS$1,'Existing Customers'!$H:$H,$GR18)*$GS$4,$GS18/$HE18),0))</f>
        <v>0</v>
      </c>
      <c r="GW18" s="93">
        <f>IF('Customer Inputs'!$W$12="End",0,IFERROR(IF(AND($GS$2&lt;&gt;"Enter Spend&gt;&gt;&gt;",$GT$2="EXISTING"),SUMIFS('Existing Customers'!$V:$V,'Existing Customers'!$H:$H,$GR18,'Existing Customers'!$A:$A,$GS$1)*$GS$4,0),0))</f>
        <v>0</v>
      </c>
      <c r="GX18" s="93">
        <f>IF('Customer Inputs'!$W$12="End",0,IFERROR(IF(AND($GS$2&lt;&gt;"Enter Spend&gt;&gt;&gt;",$GT$2="EXISTING"),SUMIFS('Existing Customers'!$R:$R,'Existing Customers'!$H:$H,$GR18,'Existing Customers'!$A:$A,$GS$1)*$GS$4,0),0))</f>
        <v>0</v>
      </c>
      <c r="GY18" s="780">
        <f>IF('Customer Inputs'!$W$12="End",0,IFERROR(IF(AND($GS$2&lt;&gt;"Enter Spend&gt;&gt;&gt;",$GT$2="EXISTING"),SUMIFS('Existing Customers'!$S:$S,'Existing Customers'!$H:$H,$GR18,'Existing Customers'!$A:$A,$GS$1)/SUMIFS('Existing Customers'!$Q:$Q,'Existing Customers'!$A:$A,$GS$1,'Existing Customers'!$H:$H,$GR18),HI18),0))</f>
        <v>0</v>
      </c>
      <c r="GZ18" s="780">
        <f>IF('Customer Inputs'!$W$12="End",0,IFERROR(IF(AND($GS$2&lt;&gt;"Enter Spend&gt;&gt;&gt;",$GT$2="EXISTING"),SUMIFS('Existing Customers'!$U:$U,'Existing Customers'!$H:$H,$GR18,'Existing Customers'!$A:$A,$GS$1)/SUMIFS('Existing Customers'!$Q:$Q,'Existing Customers'!$A:$A,$GS$1,'Existing Customers'!$H:$H,$GR18),HJ18),0))</f>
        <v>0</v>
      </c>
      <c r="HA18" s="783" t="e">
        <f>_xlfn.CONCAT('Customer Inputs'!$AH$12,"_",GR18)</f>
        <v>#N/A</v>
      </c>
      <c r="HB18" s="783">
        <f t="array" ref="HB18">IF('Customer Inputs'!$W$12="End",0,IFERROR(INDEX('Margin Guidence Table'!$A$1:$AG$10000,MATCH(1,('Margin Guidence Table'!$A$1:$A$10000=HA18)*('Margin Guidence Table'!$I$1:$I$10000&lt;=ROUND($GS$3,0))*('Margin Guidence Table'!$J$1:$J$10000&gt;=ROUND($GS$3,0)),0),MATCH("DATA_POINTS",'Margin Guidence Table'!$A$1:$AG$1,0)),0))</f>
        <v>0</v>
      </c>
      <c r="HC18" s="780" t="str">
        <f t="shared" si="45"/>
        <v>DEFAULT</v>
      </c>
      <c r="HD18" s="780">
        <f t="array" ref="HD18">IF('Customer Inputs'!$W$12="End",0,IFERROR(IF($HC18="SEGMENT",INDEX('Margin Guidence Table'!$A$1:$AG$10000,MATCH(1,('Margin Guidence Table'!$A$1:$A$10000=HA18)*('Margin Guidence Table'!$I$1:$I$10000&lt;=ROUND($GS$3,0))*('Margin Guidence Table'!$J$1:$J$10000&gt;=ROUND($GS$3,0)),0),MATCH("SALES_CASE",'Margin Guidence Table'!$A$1:$AG$1,0)),INDEX('Margin Guidence Table'!$A$1:$AG$10000,MATCH(1,('Margin Guidence Table'!$A$1:$A$10000=HA18)*('Margin Guidence Table'!$I$1:$I$10000&lt;=ROUND($GS$3,0))*('Margin Guidence Table'!$J$1:$J$10000&gt;=ROUND($GS$3,0)),0),MATCH("DEFAULT_SALES_CASE",'Margin Guidence Table'!$A$1:$AG$1,0))),0))</f>
        <v>0</v>
      </c>
      <c r="HE18" s="780">
        <f t="array" ref="HE18">IF('Customer Inputs'!$W$12="End",0,IFERROR(IF($HC18="SEGMENT",INDEX('Margin Guidence Table'!$A$1:$AG$10000,MATCH(1,('Margin Guidence Table'!$A$1:$A$10000=HA18)*('Margin Guidence Table'!$I$1:$I$10000&lt;=ROUND($GS$3,0))*('Margin Guidence Table'!$J$1:$J$10000&gt;=ROUND($GS$3,0)),0),MATCH("SALES_LBS",'Margin Guidence Table'!$A$1:$AG$1,0)),INDEX('Margin Guidence Table'!$A$1:$AG$10000,MATCH(1,('Margin Guidence Table'!$A$1:$A$10000=HA18)*('Margin Guidence Table'!$I$1:$I$10000&lt;=ROUND($GS$3,0))*('Margin Guidence Table'!$J$1:$J$10000&gt;=ROUND($GS$3,0)),0),MATCH("DEFAULT_SALES_LBS",'Margin Guidence Table'!$A$1:$AG$1,0))),0))</f>
        <v>0</v>
      </c>
      <c r="HF18" s="784">
        <f t="array" ref="HF18">IF('Customer Inputs'!$W$12="End",0,IFERROR(IF($HC18="SEGMENT",INDEX('Margin Guidence Table'!$A$1:$AG$10000,MATCH(1,('Margin Guidence Table'!$A$1:$A$10000=HA18)*('Margin Guidence Table'!$I$1:$I$10000&lt;=ROUND($GS$3,0))*('Margin Guidence Table'!$J$1:$J$10000&gt;=ROUND($GS$3,0)),0),MATCH("MDA_MIN_MARGIN_GUIDENCE",'Margin Guidence Table'!$A$1:$AG$1,0)),INDEX('Margin Guidence Table'!$A$1:$AG$10000,MATCH(1,('Margin Guidence Table'!$A$1:$A$10000=HA18)*('Margin Guidence Table'!$I$1:$I$10000&lt;=ROUND($GS$3,0))*('Margin Guidence Table'!$J$1:$J$10000&gt;=ROUND($GS$3,0)),0),MATCH("DEFAULT_MDA_MIN_MARGIN_GUIDENCE",'Margin Guidence Table'!$A$1:$AG$1,0))),0))</f>
        <v>0</v>
      </c>
      <c r="HG18" s="784">
        <f t="array" ref="HG18">IF('Customer Inputs'!$W$12="End",0,IFERROR(IF($HC18="SEGMENT",INDEX('Margin Guidence Table'!$A$1:$AG$10000,MATCH(1,('Margin Guidence Table'!$A$1:$A$10000=HA18)*('Margin Guidence Table'!$I$1:$I$10000&lt;=ROUND($GS$3,0))*('Margin Guidence Table'!$J$1:$J$10000&gt;=ROUND($GS$3,0)),0),MATCH("MDA_MEDIAN_MARGIN_GUIDENCE",'Margin Guidence Table'!$A$1:$AG$1,0)),INDEX('Margin Guidence Table'!$A$1:$AG$10000,MATCH(1,('Margin Guidence Table'!$A$1:$A$10000=HA18)*('Margin Guidence Table'!$I$1:$I$10000&lt;=ROUND($GS$3,0))*('Margin Guidence Table'!$J$1:$J$10000&gt;=ROUND($GS$3,0)),0),MATCH("DEFAULT_MDA_MEDIAN_MARGIN_GUIDENCE",'Margin Guidence Table'!$A$1:$AG$1,0))),0))</f>
        <v>0</v>
      </c>
      <c r="HH18" s="784">
        <f t="array" ref="HH18">IF('Customer Inputs'!$W$12="End",0,IFERROR(IF($HC18="SEGMENT",INDEX('Margin Guidence Table'!$A$1:$AG$10000,MATCH(1,('Margin Guidence Table'!$A$1:$A$10000=HA18)*('Margin Guidence Table'!$I$1:$I$10000&lt;=ROUND($GS$3,0))*('Margin Guidence Table'!$J$1:$J$10000&gt;=ROUND($GS$3,0)),0),MATCH("MDA_MAX_MARGIN_GUIDENCE",'Margin Guidence Table'!$A$1:$AG$1,0)),INDEX('Margin Guidence Table'!$A$1:$AG$10000,MATCH(1,('Margin Guidence Table'!$A$1:$A$10000=HA18)*('Margin Guidence Table'!$I$1:$I$10000&lt;=ROUND($GS$3,0))*('Margin Guidence Table'!$J$1:$J$10000&gt;=ROUND($GS$3,0)),0),MATCH("DEFAULT_MDA_MAX_MARGIN_GUIDENCE",'Margin Guidence Table'!$A$1:$AG$1,0))),0))</f>
        <v>0</v>
      </c>
      <c r="HI18" s="784">
        <f t="array" ref="HI18">IF('Customer Inputs'!$W$12="End",0,IFERROR(IF($HC18="SEGMENT",INDEX('Margin Guidence Table'!$A$1:$AG$10000,MATCH(1,('Margin Guidence Table'!$A$1:$A$10000=HA18)*('Margin Guidence Table'!$I$1:$I$10000&lt;=ROUND($GS$3,0))*('Margin Guidence Table'!$J$1:$J$10000&gt;=ROUND($GS$3,0)),0),MATCH("PA_PCT_SALES",'Margin Guidence Table'!$A$1:$AG$1,0)),INDEX('Margin Guidence Table'!$A$1:$AG$10000,MATCH(1,('Margin Guidence Table'!$A$1:$A$10000=HA18)*('Margin Guidence Table'!$I$1:$I$10000&lt;=ROUND($GS$3,0))*('Margin Guidence Table'!$J$1:$J$10000&gt;=ROUND($GS$3,0)),0),MATCH("DEFAULT_PA_PCT_SALES",'Margin Guidence Table'!$A$1:$AG$1,0))),0))</f>
        <v>0</v>
      </c>
      <c r="HJ18" s="784">
        <f t="array" ref="HJ18">IF('Customer Inputs'!$W$12="End",0,IFERROR(IF($HC18="SEGMENT",INDEX('Margin Guidence Table'!$A$1:$AG$10000,MATCH(1,('Margin Guidence Table'!$A$1:$A$10000=HA18)*('Margin Guidence Table'!$I$1:$I$10000&lt;=ROUND($GS$3,0))*('Margin Guidence Table'!$J$1:$J$10000&gt;=ROUND($GS$3,0)),0),MATCH("SELF_FUND_PCT_SALES",'Margin Guidence Table'!$A$1:$AG$1,0)),INDEX('Margin Guidence Table'!$A$1:$AG$10000,MATCH(1,('Margin Guidence Table'!$A$1:$A$10000=HA18)*('Margin Guidence Table'!$I$1:$I$10000&lt;=ROUND($GS$3,0))*('Margin Guidence Table'!$J$1:$J$10000&gt;=ROUND($GS$3,0)),0),MATCH("DEFAULT_SELF_FUND_PCT_SALES",'Margin Guidence Table'!$A$1:$AG$1,0))),0))</f>
        <v>0</v>
      </c>
      <c r="HK18" s="784">
        <f t="array" ref="HK18">IF('Customer Inputs'!$W$12="End",0,IF($GT$2="Existing",IFERROR(SUMIFS('Existing Customers'!$V:$V,'Existing Customers'!$H:$H,$GR18,'Existing Customers'!$A:$A,$GS$1)/SUMIFS('Existing Customers'!$Q:$Q,'Existing Customers'!$H:$H,$GR18,'Existing Customers'!$A:$A,$GS$1),0),IFERROR(IF($HC18="SEGMENT",INDEX('Margin Guidence Table'!$A$1:$AG$10000,MATCH(1,('Margin Guidence Table'!$A$1:$A$10000=HA18)*('Margin Guidence Table'!$I$1:$I$10000&lt;=ROUND($GS$3,0))*('Margin Guidence Table'!$J$1:$J$10000&gt;=ROUND($GS$3,0)),0),MATCH("CIA_MEDIAN_MARGIN_GUIDENCE",'Margin Guidence Table'!$A$1:$AG$1,0)),INDEX('Margin Guidence Table'!$A$1:$AG$10000,MATCH(1,('Margin Guidence Table'!$A$1:$A$10000=HA18)*('Margin Guidence Table'!$I$1:$I$10000&lt;=ROUND($GS$3,0))*('Margin Guidence Table'!$J$1:$J$10000&gt;=ROUND($GS$3,0)),0),MATCH("DEFAULT_CIA_MEDIAN_MARGIN_GUIDENCE",'Margin Guidence Table'!$A$1:$AG$1,0))),0)))</f>
        <v>0</v>
      </c>
      <c r="HL18" s="126"/>
      <c r="HM18" s="18">
        <f t="array" ref="HM18">IF('Customer Inputs'!$W$13="End",0,IFERROR(IF($HZ18="SEGMENT",INDEX('Margin Guidence Table'!$A$1:$AG$10000,MATCH(1,('Margin Guidence Table'!$A$1:$A$10000=$HX18)*('Margin Guidence Table'!$I$1:$I$10000&lt;=ROUND($HP$3,0))*('Margin Guidence Table'!$J$1:$J$10000&gt;=ROUND($HP$3,0)),0),MATCH("PCT_SALES",'Margin Guidence Table'!$A$1:$AG$1,0)),INDEX('Margin Guidence Table'!$A$1:$AG$10000,MATCH(1,('Margin Guidence Table'!$A$1:$A$10000=$HX18)*('Margin Guidence Table'!$I$1:$I$10000&lt;=ROUND($HP$3,0))*('Margin Guidence Table'!$J$1:$J$10000&gt;=ROUND($HP$3,0)),0),MATCH("DEFAULT_PCT_SALES",'Margin Guidence Table'!$A$1:$AG$1,0))),0))</f>
        <v>0</v>
      </c>
      <c r="HN18" s="297" t="e">
        <f t="shared" si="46"/>
        <v>#DIV/0!</v>
      </c>
      <c r="HO18" s="99" t="s">
        <v>100</v>
      </c>
      <c r="HP18" s="91">
        <f>IF('Customer Inputs'!$W$13="End",0,IFERROR(IF(AND($HP$2&lt;&gt;"Enter Spend&gt;&gt;&gt;",$HQ$2="EXISTING"),SUMIFS('Existing Customers'!$Q:$Q,'Existing Customers'!$A:$A,$HP$1,'Existing Customers'!$H:$H,$HO18)*$HP$4,$HP$3*$HN18),0))</f>
        <v>0</v>
      </c>
      <c r="HQ18" s="86">
        <f>IF('Customer Inputs'!$W$13="End",0,IFERROR(IF(AND($HP$2&lt;&gt;"Enter Spend&gt;&gt;&gt;",$HQ$2="EXISTING"),SUMIFS('Existing Customers'!$N:$N,'Existing Customers'!$A:$A,$HP$1,'Existing Customers'!$H:$H,$HO18)*$HP$4,$HP18/$IA18),0))</f>
        <v>0</v>
      </c>
      <c r="HR18" s="92">
        <f>IF('Customer Inputs'!$W$13="End",0,IFERROR(IF(AND($HP$2&lt;&gt;"Enter Spend&gt;&gt;&gt;",$HQ$2="EXISTING"),SUMIFS('Existing Customers'!$O:$O,'Existing Customers'!$H:$H,$HO18,'Existing Customers'!$A:$A,$HP$1)*$HP$4,$HQ18*$HP$8),0))</f>
        <v>0</v>
      </c>
      <c r="HS18" s="92">
        <f>IF('Customer Inputs'!$W$13="End",0,IFERROR(IF(AND($HP$2&lt;&gt;"Enter Spend&gt;&gt;&gt;",$HQ$2="EXISTING"),SUMIFS('Existing Customers'!$P:$P,'Existing Customers'!$A:$A,$HP$1,'Existing Customers'!$H:$H,$HO18)*$HP$4,$HP18/$IB18),0))</f>
        <v>0</v>
      </c>
      <c r="HT18" s="93">
        <f>IF('Customer Inputs'!$W$13="End",0,IFERROR(IF(AND($HP$2&lt;&gt;"Enter Spend&gt;&gt;&gt;",$HQ$2="EXISTING"),SUMIFS('Existing Customers'!$V:$V,'Existing Customers'!$H:$H,$HO18,'Existing Customers'!$A:$A,$HP$1)*$HP$4,0),0))</f>
        <v>0</v>
      </c>
      <c r="HU18" s="93">
        <f>IF('Customer Inputs'!$W$13="End",0,IFERROR(IF(AND($HP$2&lt;&gt;"Enter Spend&gt;&gt;&gt;",$HQ$2="EXISTING"),SUMIFS('Existing Customers'!$R:$R,'Existing Customers'!$H:$H,$HO18,'Existing Customers'!$A:$A,$HP$1)*$HP$4,0),0))</f>
        <v>0</v>
      </c>
      <c r="HV18" s="780">
        <f>IF('Customer Inputs'!$W$13="End",0,IFERROR(IF(AND($HP$2&lt;&gt;"Enter Spend&gt;&gt;&gt;",$HQ$2="EXISTING"),SUMIFS('Existing Customers'!$S:$S,'Existing Customers'!$H:$H,$HO18,'Existing Customers'!$A:$A,$HP$1)/SUMIFS('Existing Customers'!$Q:$Q,'Existing Customers'!$A:$A,$HP$1,'Existing Customers'!$H:$H,$HO18),IF18),0))</f>
        <v>0</v>
      </c>
      <c r="HW18" s="780">
        <f>IF('Customer Inputs'!$W$13="End",0,IFERROR(IF(AND($HP$2&lt;&gt;"Enter Spend&gt;&gt;&gt;",$HQ$2="EXISTING"),SUMIFS('Existing Customers'!$U:$U,'Existing Customers'!$H:$H,$HO18,'Existing Customers'!$A:$A,$HP$1)/SUMIFS('Existing Customers'!$Q:$Q,'Existing Customers'!$A:$A,$HP$1,'Existing Customers'!$H:$H,$HO18),IG18),0))</f>
        <v>0</v>
      </c>
      <c r="HX18" s="783" t="e">
        <f>_xlfn.CONCAT('Customer Inputs'!$AH$13,"_",HO18)</f>
        <v>#N/A</v>
      </c>
      <c r="HY18" s="783">
        <f t="array" ref="HY18">IF('Customer Inputs'!$W$13="End",0,IFERROR(INDEX('Margin Guidence Table'!$A$1:$AG$10000,MATCH(1,('Margin Guidence Table'!$A$1:$A$10000=HX18)*('Margin Guidence Table'!$I$1:$I$10000&lt;=ROUND($HP$3,0))*('Margin Guidence Table'!$J$1:$J$10000&gt;=ROUND($HP$3,0)),0),MATCH("DATA_POINTS",'Margin Guidence Table'!$A$1:$AG$1,0)),0))</f>
        <v>0</v>
      </c>
      <c r="HZ18" s="780" t="str">
        <f t="shared" si="47"/>
        <v>DEFAULT</v>
      </c>
      <c r="IA18" s="780">
        <f t="array" ref="IA18">IF('Customer Inputs'!$W$13="End",0,IFERROR(IF($HZ18="SEGMENT",INDEX('Margin Guidence Table'!$A$1:$AG$10000,MATCH(1,('Margin Guidence Table'!$A$1:$A$10000=HX18)*('Margin Guidence Table'!$I$1:$I$10000&lt;=ROUND($HP$3,0))*('Margin Guidence Table'!$J$1:$J$10000&gt;=ROUND($HP$3,0)),0),MATCH("SALES_CASE",'Margin Guidence Table'!$A$1:$AG$1,0)),INDEX('Margin Guidence Table'!$A$1:$AG$10000,MATCH(1,('Margin Guidence Table'!$A$1:$A$10000=HX18)*('Margin Guidence Table'!$I$1:$I$10000&lt;=ROUND($HP$3,0))*('Margin Guidence Table'!$J$1:$J$10000&gt;=ROUND($HP$3,0)),0),MATCH("DEFAULT_SALES_CASE",'Margin Guidence Table'!$A$1:$AG$1,0))),0))</f>
        <v>0</v>
      </c>
      <c r="IB18" s="780">
        <f t="array" ref="IB18">IF('Customer Inputs'!$W$13="End",0,IFERROR(IF($HZ18="SEGMENT",INDEX('Margin Guidence Table'!$A$1:$AG$10000,MATCH(1,('Margin Guidence Table'!$A$1:$A$10000=HX18)*('Margin Guidence Table'!$I$1:$I$10000&lt;=ROUND($HP$3,0))*('Margin Guidence Table'!$J$1:$J$10000&gt;=ROUND($HP$3,0)),0),MATCH("SALES_LBS",'Margin Guidence Table'!$A$1:$AG$1,0)),INDEX('Margin Guidence Table'!$A$1:$AG$10000,MATCH(1,('Margin Guidence Table'!$A$1:$A$10000=HX18)*('Margin Guidence Table'!$I$1:$I$10000&lt;=ROUND($HP$3,0))*('Margin Guidence Table'!$J$1:$J$10000&gt;=ROUND($HP$3,0)),0),MATCH("DEFAULT_SALES_LBS",'Margin Guidence Table'!$A$1:$AG$1,0))),0))</f>
        <v>0</v>
      </c>
      <c r="IC18" s="784">
        <f t="array" ref="IC18">IF('Customer Inputs'!$W$13="End",0,IFERROR(IF($HZ18="SEGMENT",INDEX('Margin Guidence Table'!$A$1:$AG$10000,MATCH(1,('Margin Guidence Table'!$A$1:$A$10000=HX18)*('Margin Guidence Table'!$I$1:$I$10000&lt;=ROUND($HP$3,0))*('Margin Guidence Table'!$J$1:$J$10000&gt;=ROUND($HP$3,0)),0),MATCH("MDA_MIN_MARGIN_GUIDENCE",'Margin Guidence Table'!$A$1:$AG$1,0)),INDEX('Margin Guidence Table'!$A$1:$AG$10000,MATCH(1,('Margin Guidence Table'!$A$1:$A$10000=HX18)*('Margin Guidence Table'!$I$1:$I$10000&lt;=ROUND($HP$3,0))*('Margin Guidence Table'!$J$1:$J$10000&gt;=ROUND($HP$3,0)),0),MATCH("DEFAULT_MDA_MIN_MARGIN_GUIDENCE",'Margin Guidence Table'!$A$1:$AG$1,0))),0))</f>
        <v>0</v>
      </c>
      <c r="ID18" s="784">
        <f t="array" ref="ID18">IF('Customer Inputs'!$W$13="End",0,IFERROR(IF($HZ18="SEGMENT",INDEX('Margin Guidence Table'!$A$1:$AG$10000,MATCH(1,('Margin Guidence Table'!$A$1:$A$10000=HX18)*('Margin Guidence Table'!$I$1:$I$10000&lt;=ROUND($HP$3,0))*('Margin Guidence Table'!$J$1:$J$10000&gt;=ROUND($HP$3,0)),0),MATCH("MDA_MEDIAN_MARGIN_GUIDENCE",'Margin Guidence Table'!$A$1:$AG$1,0)),INDEX('Margin Guidence Table'!$A$1:$AG$10000,MATCH(1,('Margin Guidence Table'!$A$1:$A$10000=HX18)*('Margin Guidence Table'!$I$1:$I$10000&lt;=ROUND($HP$3,0))*('Margin Guidence Table'!$J$1:$J$10000&gt;=ROUND($HP$3,0)),0),MATCH("DEFAULT_MDA_MEDIAN_MARGIN_GUIDENCE",'Margin Guidence Table'!$A$1:$AG$1,0))),0))</f>
        <v>0</v>
      </c>
      <c r="IE18" s="784">
        <f t="array" ref="IE18">IF('Customer Inputs'!$W$13="End",0,IFERROR(IF($HZ18="SEGMENT",INDEX('Margin Guidence Table'!$A$1:$AG$10000,MATCH(1,('Margin Guidence Table'!$A$1:$A$10000=HX18)*('Margin Guidence Table'!$I$1:$I$10000&lt;=ROUND($HP$3,0))*('Margin Guidence Table'!$J$1:$J$10000&gt;=ROUND($HP$3,0)),0),MATCH("MDA_MAX_MARGIN_GUIDENCE",'Margin Guidence Table'!$A$1:$AG$1,0)),INDEX('Margin Guidence Table'!$A$1:$AG$10000,MATCH(1,('Margin Guidence Table'!$A$1:$A$10000=HX18)*('Margin Guidence Table'!$I$1:$I$10000&lt;=ROUND($HP$3,0))*('Margin Guidence Table'!$J$1:$J$10000&gt;=ROUND($HP$3,0)),0),MATCH("DEFAULT_MDA_MAX_MARGIN_GUIDENCE",'Margin Guidence Table'!$A$1:$AG$1,0))),0))</f>
        <v>0</v>
      </c>
      <c r="IF18" s="784">
        <f t="array" ref="IF18">IF('Customer Inputs'!$W$13="End",0,IFERROR(IF($HZ18="SEGMENT",INDEX('Margin Guidence Table'!$A$1:$AG$10000,MATCH(1,('Margin Guidence Table'!$A$1:$A$10000=HX18)*('Margin Guidence Table'!$I$1:$I$10000&lt;=ROUND($HP$3,0))*('Margin Guidence Table'!$J$1:$J$10000&gt;=ROUND($HP$3,0)),0),MATCH("PA_PCT_SALES",'Margin Guidence Table'!$A$1:$AG$1,0)),INDEX('Margin Guidence Table'!$A$1:$AG$10000,MATCH(1,('Margin Guidence Table'!$A$1:$A$10000=HX18)*('Margin Guidence Table'!$I$1:$I$10000&lt;=ROUND($HP$3,0))*('Margin Guidence Table'!$J$1:$J$10000&gt;=ROUND($HP$3,0)),0),MATCH("DEFAULT_PA_PCT_SALES",'Margin Guidence Table'!$A$1:$AG$1,0))),0))</f>
        <v>0</v>
      </c>
      <c r="IG18" s="784">
        <f t="array" ref="IG18">IF('Customer Inputs'!$W$13="End",0,IFERROR(IF($HZ18="SEGMENT",INDEX('Margin Guidence Table'!$A$1:$AG$10000,MATCH(1,('Margin Guidence Table'!$A$1:$A$10000=HX18)*('Margin Guidence Table'!$I$1:$I$10000&lt;=ROUND($HP$3,0))*('Margin Guidence Table'!$J$1:$J$10000&gt;=ROUND($HP$3,0)),0),MATCH("SELF_FUND_PCT_SALES",'Margin Guidence Table'!$A$1:$AG$1,0)),INDEX('Margin Guidence Table'!$A$1:$AG$10000,MATCH(1,('Margin Guidence Table'!$A$1:$A$10000=HX18)*('Margin Guidence Table'!$I$1:$I$10000&lt;=ROUND($HP$3,0))*('Margin Guidence Table'!$J$1:$J$10000&gt;=ROUND($HP$3,0)),0),MATCH("DEFAULT_SELF_FUND_PCT_SALES",'Margin Guidence Table'!$A$1:$AG$1,0))),0))</f>
        <v>0</v>
      </c>
      <c r="IH18" s="784">
        <f t="array" ref="IH18">IF('Customer Inputs'!$W$13="End",0,IF($HQ$2="Existing",IFERROR(SUMIFS('Existing Customers'!$V:$V,'Existing Customers'!$H:$H,$HO18,'Existing Customers'!$A:$A,$HP$1)/SUMIFS('Existing Customers'!$Q:$Q,'Existing Customers'!$H:$H,$HO18,'Existing Customers'!$A:$A,$HP$1),0),IFERROR(IF($HZ18="SEGMENT",INDEX('Margin Guidence Table'!$A$1:$AG$10000,MATCH(1,('Margin Guidence Table'!$A$1:$A$10000=HX18)*('Margin Guidence Table'!$I$1:$I$10000&lt;=ROUND($HP$3,0))*('Margin Guidence Table'!$J$1:$J$10000&gt;=ROUND($HP$3,0)),0),MATCH("CIA_MEDIAN_MARGIN_GUIDENCE",'Margin Guidence Table'!$A$1:$AG$1,0)),INDEX('Margin Guidence Table'!$A$1:$AG$10000,MATCH(1,('Margin Guidence Table'!$A$1:$A$10000=HX18)*('Margin Guidence Table'!$I$1:$I$10000&lt;=ROUND($HP$3,0))*('Margin Guidence Table'!$J$1:$J$10000&gt;=ROUND($HP$3,0)),0),MATCH("DEFAULT_CIA_MEDIAN_MARGIN_GUIDENCE",'Margin Guidence Table'!$A$1:$AG$1,0))),0)))</f>
        <v>0</v>
      </c>
      <c r="II18" s="126"/>
      <c r="IJ18" s="18">
        <f t="array" ref="IJ18">IF('Customer Inputs'!$W$14="End",0,IFERROR(IF($IW18="SEGMENT",INDEX('Margin Guidence Table'!$A:$AC,MATCH(1,('Margin Guidence Table'!$A:$A=$IU18)*('Margin Guidence Table'!$H:$H&lt;=ROUND($IM$3,0))*('Margin Guidence Table'!$G:$G&gt;=ROUND($IM$3,0)),0),MATCH("PCT_SALES",'Margin Guidence Table'!$A$1:$AG$1,0)),INDEX('Margin Guidence Table'!$A:$AC,MATCH(1,('Margin Guidence Table'!$A:$A=$IU18)*('Margin Guidence Table'!$H:$H&lt;=ROUND($IM$3,0))*('Margin Guidence Table'!$G:$G&gt;=ROUND($IM$3,0)),0),MATCH("DEFAULT_PCT_SALES",'Margin Guidence Table'!$A$1:$AG$1,0))),0))</f>
        <v>0</v>
      </c>
      <c r="IK18" s="297" t="e">
        <f t="shared" si="48"/>
        <v>#DIV/0!</v>
      </c>
      <c r="IL18" s="99" t="s">
        <v>100</v>
      </c>
      <c r="IM18" s="91">
        <f>IF('Customer Inputs'!$W$14="End",0,IFERROR(IF(AND($IM$2&lt;&gt;"Enter Spend&gt;&gt;&gt;",$IN$2="EXISTING"),SUMIFS('Existing Customers'!$Q:$Q,'Existing Customers'!$A:$A,$IM$1,'Existing Customers'!$H:$H,$IL18)*$IM$4,$IM$3*$IK18),0))</f>
        <v>0</v>
      </c>
      <c r="IN18" s="86">
        <f>IF('Customer Inputs'!$W$14="End",0,IFERROR(IF(AND($IM$2&lt;&gt;"Enter Spend&gt;&gt;&gt;",$IN$2="EXISTING"),SUMIFS('Existing Customers'!$N:$N,'Existing Customers'!$A:$A,$IM$1,'Existing Customers'!$H:$H,$IL18)*$IM$4,$IM18/$IX18),0))</f>
        <v>0</v>
      </c>
      <c r="IO18" s="92">
        <f>IF('Customer Inputs'!$W$14="End",0,IFERROR(IF(AND($IM$2&lt;&gt;"Enter Spend&gt;&gt;&gt;",$IN$2="EXISTING"),SUMIFS('Existing Customers'!$O:$O,'Existing Customers'!$H:$H,$IL18,'Existing Customers'!$A:$A,$IM$1)*$IM$4,$IN18*$IM$8),0))</f>
        <v>0</v>
      </c>
      <c r="IP18" s="92">
        <f>IF('Customer Inputs'!$W$14="End",0,IFERROR(IF(AND($IM$2&lt;&gt;"Enter Spend&gt;&gt;&gt;",$IN$2="EXISTING"),SUMIFS('Existing Customers'!$P:$P,'Existing Customers'!$A:$A,$IM$1,'Existing Customers'!$H:$H,$IL18)*$IM$4,$IM18/$IY18),0))</f>
        <v>0</v>
      </c>
      <c r="IQ18" s="303">
        <f>IF('Customer Inputs'!$W$14="End",0,IFERROR(IF(AND($IM$2&lt;&gt;"Enter Spend&gt;&gt;&gt;",$IN$2="EXISTING"),SUMIFS('Existing Customers'!$V:$V,'Existing Customers'!$H:$H,$IL18,'Existing Customers'!$A:$A,$IM$1)*$IM$4,0),0))</f>
        <v>0</v>
      </c>
      <c r="IR18" s="93">
        <f>IF('Customer Inputs'!$W$14="End",0,IFERROR(IF(AND($IM$2&lt;&gt;"Enter Spend&gt;&gt;&gt;",$IN$2="EXISTING"),SUMIFS('Existing Customers'!$R:$R,'Existing Customers'!$H:$H,$IL18,'Existing Customers'!$A:$A,$IM$1)*$IM$4,0),0))</f>
        <v>0</v>
      </c>
      <c r="IS18" s="780">
        <f>IF('Customer Inputs'!$W$14="End",0,IFERROR(IF(AND($IM$2&lt;&gt;"Enter Spend&gt;&gt;&gt;",$IN$2="EXISTING"),SUMIFS('Existing Customers'!$S:$S,'Existing Customers'!$H:$H,$IL18,'Existing Customers'!$A:$A,$IM$1)/SUMIFS('Existing Customers'!$Q:$Q,'Existing Customers'!$A:$A,$IM$1,'Existing Customers'!$H:$H,$IL18),JC18),0))</f>
        <v>0</v>
      </c>
      <c r="IT18" s="780">
        <f>IF('Customer Inputs'!$W$14="End",0,IFERROR(IF(AND($IM$2&lt;&gt;"Enter Spend&gt;&gt;&gt;",$IN$2="EXISTING"),SUMIFS('Existing Customers'!$U:$U,'Existing Customers'!$H:$H,$IL18,'Existing Customers'!$A:$A,$IM$1)/SUMIFS('Existing Customers'!$Q:$Q,'Existing Customers'!$A:$A,$IM$1,'Existing Customers'!$H:$H,$IL18),JD18),0))</f>
        <v>0</v>
      </c>
      <c r="IU18" s="783" t="e">
        <f>_xlfn.CONCAT('Customer Inputs'!$AH$14,"_",IL18)</f>
        <v>#N/A</v>
      </c>
      <c r="IV18" s="783">
        <f t="array" ref="IV18">IF('Customer Inputs'!$W$14="End",0,IFERROR(INDEX('Margin Guidence Table'!$A$1:$AG$10000,MATCH(1,('Margin Guidence Table'!$A$1:$A$10000=IU18)*('Margin Guidence Table'!$I$1:$I$10000&lt;=ROUND($IM$3,0))*('Margin Guidence Table'!$J$1:$J$10000&gt;=ROUND($IM$3,0)),0),MATCH("DATA_POINTS",'Margin Guidence Table'!$A$1:$AG$1,0)),0))</f>
        <v>0</v>
      </c>
      <c r="IW18" s="780" t="str">
        <f t="shared" si="49"/>
        <v>DEFAULT</v>
      </c>
      <c r="IX18" s="780">
        <f t="array" ref="IX18">IF('Customer Inputs'!$W$14="End",0,IFERROR(IF($IW18="SEGMENT",INDEX('Margin Guidence Table'!$A$1:$AG$10000,MATCH(1,('Margin Guidence Table'!$A$1:$A$10000=IU18)*('Margin Guidence Table'!$I$1:$I$10000&lt;=ROUND($IM$3,0))*('Margin Guidence Table'!$J$1:$J$10000&gt;=ROUND($IM$3,0)),0),MATCH("SALES_CASE",'Margin Guidence Table'!$A$1:$AG$1,0)),INDEX('Margin Guidence Table'!$A$1:$AG$10000,MATCH(1,('Margin Guidence Table'!$A$1:$A$10000=IU18)*('Margin Guidence Table'!$I$1:$I$10000&lt;=ROUND($IM$3,0))*('Margin Guidence Table'!$J$1:$J$10000&gt;=ROUND($IM$3,0)),0),MATCH("DEFAULT_SALES_CASE",'Margin Guidence Table'!$A$1:$AG$1,0))),0))</f>
        <v>0</v>
      </c>
      <c r="IY18" s="780">
        <f t="array" ref="IY18">IF('Customer Inputs'!$W$14="End",0,IFERROR(IF($IW18="SEGMENT",INDEX('Margin Guidence Table'!$A$1:$AG$10000,MATCH(1,('Margin Guidence Table'!$A$1:$A$10000=IU18)*('Margin Guidence Table'!$I$1:$I$10000&lt;=ROUND($IM$3,0))*('Margin Guidence Table'!$J$1:$J$10000&gt;=ROUND($IM$3,0)),0),MATCH("SALES_LBS",'Margin Guidence Table'!$A$1:$AG$1,0)),INDEX('Margin Guidence Table'!$A$1:$AG$10000,MATCH(1,('Margin Guidence Table'!$A$1:$A$10000=IU18)*('Margin Guidence Table'!$I$1:$I$10000&lt;=ROUND($IM$3,0))*('Margin Guidence Table'!$J$1:$J$10000&gt;=ROUND($IM$3,0)),0),MATCH("DEFAULT_SALES_LBS",'Margin Guidence Table'!$A$1:$AG$1,0))),0))</f>
        <v>0</v>
      </c>
      <c r="IZ18" s="784">
        <f t="array" ref="IZ18">IF('Customer Inputs'!$W$14="End",0,IFERROR(IF($IW18="SEGMENT",INDEX('Margin Guidence Table'!$A$1:$AG$10000,MATCH(1,('Margin Guidence Table'!$A$1:$A$10000=IU18)*('Margin Guidence Table'!$I$1:$I$10000&lt;=ROUND($IM$3,0))*('Margin Guidence Table'!$J$1:$J$10000&gt;=ROUND($IM$3,0)),0),MATCH("MDA_MIN_MARGIN_GUIDENCE",'Margin Guidence Table'!$A$1:$AG$1,0)),INDEX('Margin Guidence Table'!$A$1:$AG$10000,MATCH(1,('Margin Guidence Table'!$A$1:$A$10000=IU18)*('Margin Guidence Table'!$I$1:$I$10000&lt;=ROUND($IM$3,0))*('Margin Guidence Table'!$J$1:$J$10000&gt;=ROUND($IM$3,0)),0),MATCH("DEFAULT_MDA_MIN_MARGIN_GUIDENCE",'Margin Guidence Table'!$A$1:$AG$1,0))),0))</f>
        <v>0</v>
      </c>
      <c r="JA18" s="784">
        <f t="array" ref="JA18">IF('Customer Inputs'!$W$14="End",0,IFERROR(IF($IW18="SEGMENT",INDEX('Margin Guidence Table'!$A$1:$AG$10000,MATCH(1,('Margin Guidence Table'!$A$1:$A$10000=IU18)*('Margin Guidence Table'!$I$1:$I$10000&lt;=ROUND($IM$3,0))*('Margin Guidence Table'!$J$1:$J$10000&gt;=ROUND($IM$3,0)),0),MATCH("MDA_MEDIAN_MARGIN_GUIDENCE",'Margin Guidence Table'!$A$1:$AG$1,0)),INDEX('Margin Guidence Table'!$A$1:$AG$10000,MATCH(1,('Margin Guidence Table'!$A$1:$A$10000=IU18)*('Margin Guidence Table'!$I$1:$I$10000&lt;=ROUND($IM$3,0))*('Margin Guidence Table'!$J$1:$J$10000&gt;=ROUND($IM$3,0)),0),MATCH("DEFAULT_MDA_MEDIAN_MARGIN_GUIDENCE",'Margin Guidence Table'!$A$1:$AG$1,0))),0))</f>
        <v>0</v>
      </c>
      <c r="JB18" s="784">
        <f t="array" ref="JB18">IF('Customer Inputs'!$W$14="End",0,IFERROR(IF($IW18="SEGMENT",INDEX('Margin Guidence Table'!$A$1:$AG$10000,MATCH(1,('Margin Guidence Table'!$A$1:$A$10000=IU18)*('Margin Guidence Table'!$I$1:$I$10000&lt;=ROUND($IM$3,0))*('Margin Guidence Table'!$J$1:$J$10000&gt;=ROUND($IM$3,0)),0),MATCH("MDA_MAX_MARGIN_GUIDENCE",'Margin Guidence Table'!$A$1:$AG$1,0)),INDEX('Margin Guidence Table'!$A$1:$AG$10000,MATCH(1,('Margin Guidence Table'!$A$1:$A$10000=IU18)*('Margin Guidence Table'!$I$1:$I$10000&lt;=ROUND($IM$3,0))*('Margin Guidence Table'!$J$1:$J$10000&gt;=ROUND($IM$3,0)),0),MATCH("DEFAULT_MDA_MAX_MARGIN_GUIDENCE",'Margin Guidence Table'!$A$1:$AG$1,0))),0))</f>
        <v>0</v>
      </c>
      <c r="JC18" s="784">
        <f t="array" ref="JC18">IF('Customer Inputs'!$W$14="End",0,IFERROR(IF($IW18="SEGMENT",INDEX('Margin Guidence Table'!$A$1:$AG$10000,MATCH(1,('Margin Guidence Table'!$A$1:$A$10000=IU18)*('Margin Guidence Table'!$I$1:$I$10000&lt;=ROUND($IM$3,0))*('Margin Guidence Table'!$J$1:$J$10000&gt;=ROUND($IM$3,0)),0),MATCH("PA_PCT_SALES",'Margin Guidence Table'!$A$1:$AG$1,0)),INDEX('Margin Guidence Table'!$A$1:$AG$10000,MATCH(1,('Margin Guidence Table'!$A$1:$A$10000=IU18)*('Margin Guidence Table'!$I$1:$I$10000&lt;=ROUND($IM$3,0))*('Margin Guidence Table'!$J$1:$J$10000&gt;=ROUND($IM$3,0)),0),MATCH("DEFAULT_PA_PCT_SALES",'Margin Guidence Table'!$A$1:$AG$1,0))),0))</f>
        <v>0</v>
      </c>
      <c r="JD18" s="784">
        <f t="array" ref="JD18">IF('Customer Inputs'!$W$14="End",0,IFERROR(IF($IW18="SEGMENT",INDEX('Margin Guidence Table'!$A$1:$AG$10000,MATCH(1,('Margin Guidence Table'!$A$1:$A$10000=IU18)*('Margin Guidence Table'!$I$1:$I$10000&lt;=ROUND($IM$3,0))*('Margin Guidence Table'!$J$1:$J$10000&gt;=ROUND($IM$3,0)),0),MATCH("SELF_FUND_PCT_SALES",'Margin Guidence Table'!$A$1:$AG$1,0)),INDEX('Margin Guidence Table'!$A$1:$AG$10000,MATCH(1,('Margin Guidence Table'!$A$1:$A$10000=IU18)*('Margin Guidence Table'!$I$1:$I$10000&lt;=ROUND($IM$3,0))*('Margin Guidence Table'!$J$1:$J$10000&gt;=ROUND($IM$3,0)),0),MATCH("DEFAULT_SELF_FUND_PCT_SALES",'Margin Guidence Table'!$A$1:$AG$1,0))),0))</f>
        <v>0</v>
      </c>
      <c r="JE18" s="784">
        <f t="array" ref="JE18">IF('Customer Inputs'!$W$14="End",0,IF($IN$2="Existing",IFERROR(SUMIFS('Existing Customers'!$V:$V,'Existing Customers'!$H:$H,$IL18,'Existing Customers'!$A:$A,$IM$1)/SUMIFS('Existing Customers'!$Q:$Q,'Existing Customers'!$H:$H,$IL18,'Existing Customers'!$A:$A,$IM$1),0),IFERROR(IF($IW18="SEGMENT",INDEX('Margin Guidence Table'!$A$1:$AG$10000,MATCH(1,('Margin Guidence Table'!$A$1:$A$10000=IU18)*('Margin Guidence Table'!$I$1:$I$10000&lt;=ROUND($IM$3,0))*('Margin Guidence Table'!$J$1:$J$10000&gt;=ROUND($IM$3,0)),0),MATCH("CIA_MEDIAN_MARGIN_GUIDENCE",'Margin Guidence Table'!$A$1:$AG$1,0)),INDEX('Margin Guidence Table'!$A$1:$AG$10000,MATCH(1,('Margin Guidence Table'!$A$1:$A$10000=IU18)*('Margin Guidence Table'!$I$1:$I$10000&lt;=ROUND($IM$3,0))*('Margin Guidence Table'!$J$1:$J$10000&gt;=ROUND($IM$3,0)),0),MATCH("DEFAULT_CIA_MEDIAN_MARGIN_GUIDENCE",'Margin Guidence Table'!$A$1:$AG$1,0))),0)))</f>
        <v>0</v>
      </c>
      <c r="JF18" s="126"/>
      <c r="JG18" s="18">
        <f t="array" ref="JG18">IF('Customer Inputs'!$W$15="End",0,IFERROR(IF($JT18="SEGMENT",INDEX('Margin Guidence Table'!$A$1:$AG$10000,MATCH(1,('Margin Guidence Table'!$A$1:$A$10000=$JR18)*('Margin Guidence Table'!$I$1:$I$10000&lt;=ROUND($JJ$3,0))*('Margin Guidence Table'!$J$1:$J$10000&gt;=ROUND($JJ$3,0)),0),MATCH("PCT_SALES",'Margin Guidence Table'!$A$1:$AG$1,0)),INDEX('Margin Guidence Table'!$A$1:$AG$10000,MATCH(1,('Margin Guidence Table'!$A$1:$A$10000=$JR18)*('Margin Guidence Table'!$I$1:$I$10000&lt;=ROUND($JJ$3,0))*('Margin Guidence Table'!$J$1:$J$10000&gt;=ROUND($JJ$3,0)),0),MATCH("DEFAULT_PCT_SALES",'Margin Guidence Table'!$A$1:$AG$1,0))),0))</f>
        <v>0</v>
      </c>
      <c r="JH18" s="297" t="e">
        <f t="shared" si="50"/>
        <v>#DIV/0!</v>
      </c>
      <c r="JI18" s="99" t="s">
        <v>100</v>
      </c>
      <c r="JJ18" s="91">
        <f>IF('Customer Inputs'!$W$15="End",0,IFERROR(IF(AND($JJ$2&lt;&gt;"Enter Spend&gt;&gt;&gt;",$JK$2="EXISTING"),SUMIFS('Existing Customers'!$Q:$Q,'Existing Customers'!$A:$A,$JJ$1,'Existing Customers'!$H:$H,$JI18)*$JJ$4,$JJ$3*$JH18),0))</f>
        <v>0</v>
      </c>
      <c r="JK18" s="86">
        <f>IF('Customer Inputs'!$W$15="End",0,IFERROR(IF(AND($JJ$2&lt;&gt;"Enter Spend&gt;&gt;&gt;",$JK$2="EXISTING"),SUMIFS('Existing Customers'!$N:$N,'Existing Customers'!$A:$A,$JJ$1,'Existing Customers'!$H:$H,$JI18)*$JJ$4,$JJ18/$JU18),0))</f>
        <v>0</v>
      </c>
      <c r="JL18" s="92">
        <f>IF('Customer Inputs'!$W$15="End",0,IFERROR(IF(AND($JJ$2&lt;&gt;"Enter Spend&gt;&gt;&gt;",$JK$2="EXISTING"),SUMIFS('Existing Customers'!$O:$O,'Existing Customers'!$H:$H,$JI18,'Existing Customers'!$A:$A,$JJ$1)*$JJ$4,$JK18*$JJ$8),0))</f>
        <v>0</v>
      </c>
      <c r="JM18" s="92">
        <f>IF('Customer Inputs'!$W$15="End",0,IFERROR(IF(AND($JJ$2&lt;&gt;"Enter Spend&gt;&gt;&gt;",$JK$2="EXISTING"),SUMIFS('Existing Customers'!$P:$P,'Existing Customers'!$A:$A,$JJ$1,'Existing Customers'!$H:$H,$JI18)*$JJ$4,$JJ18/$JV18),0))</f>
        <v>0</v>
      </c>
      <c r="JN18" s="303">
        <f>IF('Customer Inputs'!$W$15="End",0,IFERROR(IF(AND($JJ$2&lt;&gt;"Enter Spend&gt;&gt;&gt;",$JK$2="EXISTING"),SUMIFS('Existing Customers'!$V:$V,'Existing Customers'!$H:$H,$JI18,'Existing Customers'!$A:$A,$JJ$1)*$JJ$4,0),0))</f>
        <v>0</v>
      </c>
      <c r="JO18" s="93">
        <f>IF('Customer Inputs'!$W$15="End",0,IFERROR(IF(AND($JJ$2&lt;&gt;"Enter Spend&gt;&gt;&gt;",$JK$2="EXISTING"),SUMIFS('Existing Customers'!$R:$R,'Existing Customers'!$H:$H,$JI18,'Existing Customers'!$A:$A,$JJ$1)*$JJ$4,0),0))</f>
        <v>0</v>
      </c>
      <c r="JP18" s="780">
        <f>IF('Customer Inputs'!$W$15="End",0,IFERROR(IF(AND($JJ$2&lt;&gt;"Enter Spend&gt;&gt;&gt;",$JK$2="EXISTING"),SUMIFS('Existing Customers'!$S:$S,'Existing Customers'!$H:$H,$JI18,'Existing Customers'!$A:$A,$JJ$1)/SUMIFS('Existing Customers'!$Q:$Q,'Existing Customers'!$A:$A,$JJ$1,'Existing Customers'!$H:$H,$JI18),JZ18),0))</f>
        <v>0</v>
      </c>
      <c r="JQ18" s="780">
        <f>IF('Customer Inputs'!$W$15="End",0,IFERROR(IF(AND($JJ$2&lt;&gt;"Enter Spend&gt;&gt;&gt;",$JK$2="EXISTING"),SUMIFS('Existing Customers'!$U:$U,'Existing Customers'!$H:$H,$JI18,'Existing Customers'!$A:$A,$JJ$1)/SUMIFS('Existing Customers'!$Q:$Q,'Existing Customers'!$A:$A,$JJ$1,'Existing Customers'!$H:$H,$JI18),KA18),0))</f>
        <v>0</v>
      </c>
      <c r="JR18" s="783" t="e">
        <f>_xlfn.CONCAT('Customer Inputs'!$AH$15,"_",JI18)</f>
        <v>#N/A</v>
      </c>
      <c r="JS18" s="783">
        <f t="array" ref="JS18">IF('Customer Inputs'!$W$15="End",0,IFERROR(INDEX('Margin Guidence Table'!$A$1:$AG$10000,MATCH(1,('Margin Guidence Table'!$A$1:$A$10000=JR18)*('Margin Guidence Table'!$I$1:$I$10000&lt;=ROUND($JJ$3,0))*('Margin Guidence Table'!$J$1:$J$10000&gt;=ROUND($JJ$3,0)),0),MATCH("DATA_POINTS",'Margin Guidence Table'!$A$1:$AG$1,0)),0))</f>
        <v>0</v>
      </c>
      <c r="JT18" s="780" t="str">
        <f t="shared" si="51"/>
        <v>DEFAULT</v>
      </c>
      <c r="JU18" s="780">
        <f t="array" ref="JU18">IF('Customer Inputs'!$W$15="End",0,IFERROR(IF($JT18="SEGMENT",INDEX('Margin Guidence Table'!$A$1:$AG$10000,MATCH(1,('Margin Guidence Table'!$A$1:$A$10000=JR18)*('Margin Guidence Table'!$I$1:$I$10000&lt;=ROUND($JJ$3,0))*('Margin Guidence Table'!$J$1:$J$10000&gt;=ROUND($JJ$3,0)),0),MATCH("SALES_CASE",'Margin Guidence Table'!$A$1:$AG$1,0)),INDEX('Margin Guidence Table'!$A$1:$AG$10000,MATCH(1,('Margin Guidence Table'!$A$1:$A$10000=JR18)*('Margin Guidence Table'!$I$1:$I$10000&lt;=ROUND($JJ$3,0))*('Margin Guidence Table'!$J$1:$J$10000&gt;=ROUND($JJ$3,0)),0),MATCH("DEFAULT_SALES_CASE",'Margin Guidence Table'!$A$1:$AG$1,0))),0))</f>
        <v>0</v>
      </c>
      <c r="JV18" s="780">
        <f t="array" ref="JV18">IF('Customer Inputs'!$W$15="End",0,IFERROR(IF($JT18="SEGMENT",INDEX('Margin Guidence Table'!$A$1:$AG$10000,MATCH(1,('Margin Guidence Table'!$A$1:$A$10000=JR18)*('Margin Guidence Table'!$I$1:$I$10000&lt;=ROUND($JJ$3,0))*('Margin Guidence Table'!$J$1:$J$10000&gt;=ROUND($JJ$3,0)),0),MATCH("SALES_LBS",'Margin Guidence Table'!$A$1:$AG$1,0)),INDEX('Margin Guidence Table'!$A$1:$AG$10000,MATCH(1,('Margin Guidence Table'!$A$1:$A$10000=JR18)*('Margin Guidence Table'!$I$1:$I$10000&lt;=ROUND($JJ$3,0))*('Margin Guidence Table'!$J$1:$J$10000&gt;=ROUND($JJ$3,0)),0),MATCH("DEFAULT_SALES_LBS",'Margin Guidence Table'!$A$1:$AG$1,0))),0))</f>
        <v>0</v>
      </c>
      <c r="JW18" s="784">
        <f t="array" ref="JW18">IF('Customer Inputs'!$W$15="End",0,IFERROR(IF($JT18="SEGMENT",INDEX('Margin Guidence Table'!$A$1:$AG$10000,MATCH(1,('Margin Guidence Table'!$A$1:$A$10000=JR18)*('Margin Guidence Table'!$I$1:$I$10000&lt;=ROUND($JJ$3,0))*('Margin Guidence Table'!$J$1:$J$10000&gt;=ROUND($JJ$3,0)),0),MATCH("MDA_MIN_MARGIN_GUIDENCE",'Margin Guidence Table'!$A$1:$AG$1,0)),INDEX('Margin Guidence Table'!$A$1:$AG$10000,MATCH(1,('Margin Guidence Table'!$A$1:$A$10000=JR18)*('Margin Guidence Table'!$I$1:$I$10000&lt;=ROUND($JJ$3,0))*('Margin Guidence Table'!$J$1:$J$10000&gt;=ROUND($JJ$3,0)),0),MATCH("DEFAULT_MDA_MIN_MARGIN_GUIDENCE",'Margin Guidence Table'!$A$1:$AG$1,0))),0))</f>
        <v>0</v>
      </c>
      <c r="JX18" s="784">
        <f t="array" ref="JX18">IF('Customer Inputs'!$W$15="End",0,IFERROR(IF($JT18="SEGMENT",INDEX('Margin Guidence Table'!$A$1:$AG$10000,MATCH(1,('Margin Guidence Table'!$A$1:$A$10000=JR18)*('Margin Guidence Table'!$I$1:$I$10000&lt;=ROUND($JJ$3,0))*('Margin Guidence Table'!$J$1:$J$10000&gt;=ROUND($JJ$3,0)),0),MATCH("MDA_MEDIAN_MARGIN_GUIDENCE",'Margin Guidence Table'!$A$1:$AG$1,0)),INDEX('Margin Guidence Table'!$A$1:$AG$10000,MATCH(1,('Margin Guidence Table'!$A$1:$A$10000=JR18)*('Margin Guidence Table'!$I$1:$I$10000&lt;=ROUND($JJ$3,0))*('Margin Guidence Table'!$J$1:$J$10000&gt;=ROUND($JJ$3,0)),0),MATCH("DEFAULT_MDA_MEDIAN_MARGIN_GUIDENCE",'Margin Guidence Table'!$A$1:$AG$1,0))),0))</f>
        <v>0</v>
      </c>
      <c r="JY18" s="784">
        <f t="array" ref="JY18">IF('Customer Inputs'!$W$15="End",0,IFERROR(IF($JT18="SEGMENT",INDEX('Margin Guidence Table'!$A$1:$AG$10000,MATCH(1,('Margin Guidence Table'!$A$1:$A$10000=JR18)*('Margin Guidence Table'!$I$1:$I$10000&lt;=ROUND($JJ$3,0))*('Margin Guidence Table'!$J$1:$J$10000&gt;=ROUND($JJ$3,0)),0),MATCH("MDA_MAX_MARGIN_GUIDENCE",'Margin Guidence Table'!$A$1:$AG$1,0)),INDEX('Margin Guidence Table'!$A$1:$AG$10000,MATCH(1,('Margin Guidence Table'!$A$1:$A$10000=JR18)*('Margin Guidence Table'!$I$1:$I$10000&lt;=ROUND($JJ$3,0))*('Margin Guidence Table'!$J$1:$J$10000&gt;=ROUND($JJ$3,0)),0),MATCH("DEFAULT_MDA_MAX_MARGIN_GUIDENCE",'Margin Guidence Table'!$A$1:$AG$1,0))),0))</f>
        <v>0</v>
      </c>
      <c r="JZ18" s="784">
        <f t="array" ref="JZ18">IF('Customer Inputs'!$W$15="End",0,IFERROR(IF($JT18="SEGMENT",INDEX('Margin Guidence Table'!$A$1:$AG$10000,MATCH(1,('Margin Guidence Table'!$A$1:$A$10000=JR18)*('Margin Guidence Table'!$I$1:$I$10000&lt;=ROUND($JJ$3,0))*('Margin Guidence Table'!$J$1:$J$10000&gt;=ROUND($JJ$3,0)),0),MATCH("PA_PCT_SALES",'Margin Guidence Table'!$A$1:$AG$1,0)),INDEX('Margin Guidence Table'!$A$1:$AG$10000,MATCH(1,('Margin Guidence Table'!$A$1:$A$10000=JR18)*('Margin Guidence Table'!$I$1:$I$10000&lt;=ROUND($JJ$3,0))*('Margin Guidence Table'!$J$1:$J$10000&gt;=ROUND($JJ$3,0)),0),MATCH("DEFAULT_PA_PCT_SALES",'Margin Guidence Table'!$A$1:$AG$1,0))),0))</f>
        <v>0</v>
      </c>
      <c r="KA18" s="784" cm="1">
        <f t="array" ref="KA18">IF('Customer Inputs'!$W$15="End",0,IFERROR(IF($JT18="SEGMENT",INDEX('Margin Guidence Table'!$A$1:$AG$10000,MATCH(1,('Margin Guidence Table'!$A$1:$A$10000=JR18)*('Margin Guidence Table'!$I$1:$I$10000&lt;=ROUND($JJ$3,0))*('Margin Guidence Table'!$J$1:$J$10000&gt;=ROUND($JJ$3,0)),0),MATCH("SELF_FUND_PCT_SALES",'Margin Guidence Table'!$A$1:$AG$1,0)),INDEX('Margin Guidence Table'!$A$1:$AG$10000,MATCH(1,('Margin Guidence Table'!$A$1:$A$10000=JR18)*('Margin Guidence Table'!$I$1:$I$10000&lt;=ROUND($JJ$3,0))*('Margin Guidence Table'!$J$1:$J$10000&gt;=ROUND($JJ$3,0)),0),MATCH("DEFAULT_SELF_FUND_PCT_SALES",'Margin Guidence Table'!$A$1:$AG$1,0))),0))</f>
        <v>0</v>
      </c>
      <c r="KB18" s="784">
        <f t="array" ref="KB18">IF('Customer Inputs'!$W$15="End",0,IF($JK$2="Existing",IFERROR(SUMIFS('Existing Customers'!$V:$V,'Existing Customers'!$H:$H,$JI18,'Existing Customers'!$A:$A,$JJ$1)/SUMIFS('Existing Customers'!$Q:$Q,'Existing Customers'!$H:$H,$JI18,'Existing Customers'!$A:$A,$JJ$1),0),IFERROR(IF($JT18="SEGMENT",INDEX('Margin Guidence Table'!$A$1:$AG$10000,MATCH(1,('Margin Guidence Table'!$A$1:$A$10000=JR18)*('Margin Guidence Table'!$I$1:$I$10000&lt;=ROUND($JJ$3,0))*('Margin Guidence Table'!$J$1:$J$10000&gt;=ROUND($JJ$3,0)),0),MATCH("CIA_MEDIAN_MARGIN_GUIDENCE",'Margin Guidence Table'!$A$1:$AG$1,0)),INDEX('Margin Guidence Table'!$A$1:$AG$10000,MATCH(1,('Margin Guidence Table'!$A$1:$A$10000=JR18)*('Margin Guidence Table'!$I$1:$I$10000&lt;=ROUND($JJ$3,0))*('Margin Guidence Table'!$J$1:$J$10000&gt;=ROUND($JJ$3,0)),0),MATCH("DEFAULT_CIA_MEDIAN_MARGIN_GUIDENCE",'Margin Guidence Table'!$A$1:$AG$1,0))),0)))</f>
        <v>0</v>
      </c>
      <c r="KC18" s="784"/>
      <c r="KD18" s="18">
        <f t="array" ref="KD18">IF('Customer Inputs'!$W$16="End",0,IFERROR(IF($KQ18="SEGMENT",INDEX('Margin Guidence Table'!$A$1:$AG$10000,MATCH(1,('Margin Guidence Table'!$A$1:$A$10000=$KO18)*('Margin Guidence Table'!$I$1:$I$10000&lt;=ROUND($KG$3,0))*('Margin Guidence Table'!$J$1:$J$10000&gt;=ROUND($KG$3,0)),0),MATCH("PCT_SALES",'Margin Guidence Table'!$A$1:$AG$1,0)),INDEX('Margin Guidence Table'!$A$1:$AG$10000,MATCH(1,('Margin Guidence Table'!$A$1:$A$10000=$KO18)*('Margin Guidence Table'!$I$1:$I$10000&lt;=ROUND($KG$3,0))*('Margin Guidence Table'!$J$1:$J$10000&gt;=ROUND($KG$3,0)),0),MATCH("DEFAULT_PCT_SALES",'Margin Guidence Table'!$A$1:$AG$1,0))),0))</f>
        <v>0</v>
      </c>
      <c r="KE18" s="1713" t="e">
        <f t="shared" si="52"/>
        <v>#DIV/0!</v>
      </c>
      <c r="KF18" s="99" t="s">
        <v>100</v>
      </c>
      <c r="KG18" s="91">
        <f>IF('Customer Inputs'!$W$16="End",0,IFERROR(IF(AND($KG$2&lt;&gt;"Enter Spend&gt;&gt;&gt;",$KH$2="EXISTING"),SUMIFS('Existing Customers'!$Q:$Q,'Existing Customers'!$A:$A,$KG$1,'Existing Customers'!$H:$H,$KF18)*$KG$4,$KG$3*$KE18),0))</f>
        <v>0</v>
      </c>
      <c r="KH18" s="86">
        <f>IF('Customer Inputs'!$W$16="End",0,IFERROR(IF(AND($KG$2&lt;&gt;"Enter Spend&gt;&gt;&gt;",$KH$2="EXISTING"),SUMIFS('Existing Customers'!$N:$N,'Existing Customers'!$A:$A,$KG$1,'Existing Customers'!$H:$H,$KF18)*$KG$4,$KG18/$KR18),0))</f>
        <v>0</v>
      </c>
      <c r="KI18" s="92">
        <f>IF('Customer Inputs'!$W$16="End",0,IFERROR(IF(AND($KG$2&lt;&gt;"Enter Spend&gt;&gt;&gt;",$KH$2="EXISTING"),SUMIFS('Existing Customers'!$O:$O,'Existing Customers'!$H:$H,$KF18,'Existing Customers'!$A:$A,$KG$1)*$KG$4,$KH18*$KG$8),0))</f>
        <v>0</v>
      </c>
      <c r="KJ18" s="92">
        <f>IF('Customer Inputs'!$W$16="End",0,IFERROR(IF(AND($KG$2&lt;&gt;"Enter Spend&gt;&gt;&gt;",$KH$2="EXISTING"),SUMIFS('Existing Customers'!$P:$P,'Existing Customers'!$A:$A,$KG$1,'Existing Customers'!$H:$H,$KF18)*$KG$4,$KG18/$KS18),0))</f>
        <v>0</v>
      </c>
      <c r="KK18" s="303">
        <f>IF('Customer Inputs'!$W$16="End",0,IFERROR(IF(AND($KG$2&lt;&gt;"Enter Spend&gt;&gt;&gt;",$KH$2="EXISTING"),SUMIFS('Existing Customers'!$V:$V,'Existing Customers'!$H:$H,$KF18,'Existing Customers'!$A:$A,$KG$1)*$KG$4,0),0))</f>
        <v>0</v>
      </c>
      <c r="KL18" s="93">
        <f>IF('Customer Inputs'!$W$16="End",0,IFERROR(IF(AND($KG$2&lt;&gt;"Enter Spend&gt;&gt;&gt;",$KH$2="EXISTING"),SUMIFS('Existing Customers'!$R:$R,'Existing Customers'!$H:$H,$KF18,'Existing Customers'!$A:$A,$KG$1)*$KG$4,0),0))</f>
        <v>0</v>
      </c>
      <c r="KM18" s="780">
        <f>IF('Customer Inputs'!$W$16="End",0,IFERROR(IF(AND($KG$2&lt;&gt;"Enter Spend&gt;&gt;&gt;",$KH$2="EXISTING"),SUMIFS('Existing Customers'!$S:$S,'Existing Customers'!$H:$H,$KF18,'Existing Customers'!$A:$A,$KG$1)/SUMIFS('Existing Customers'!$Q:$Q,'Existing Customers'!$A:$A,$KG$1,'Existing Customers'!$H:$H,$KF18),KW18),0))</f>
        <v>0</v>
      </c>
      <c r="KN18" s="780">
        <f>IF('Customer Inputs'!$W$16="End",0,IFERROR(IF(AND($KG$2&lt;&gt;"Enter Spend&gt;&gt;&gt;",$KH$2="EXISTING"),SUMIFS('Existing Customers'!$U:$U,'Existing Customers'!$H:$H,$KF18,'Existing Customers'!$A:$A,$KG$1)/SUMIFS('Existing Customers'!$Q:$Q,'Existing Customers'!$A:$A,$KG$1,'Existing Customers'!$H:$H,$KF18),KX18),0))</f>
        <v>0</v>
      </c>
      <c r="KO18" s="783" t="e">
        <f>_xlfn.CONCAT('Customer Inputs'!$AH$16,"_",KF18)</f>
        <v>#N/A</v>
      </c>
      <c r="KP18" s="783">
        <f t="array" ref="KP18">IF('Customer Inputs'!$W$16="End",0,IFERROR(INDEX('Margin Guidence Table'!$A$1:$AG$10000,MATCH(1,('Margin Guidence Table'!$A$1:$A$10000=KO18)*('Margin Guidence Table'!$I$1:$I$10000&lt;=ROUND($KG$3,0))*('Margin Guidence Table'!$J$1:$J$10000&gt;=ROUND($KG$3,0)),0),MATCH("DATA_POINTS",'Margin Guidence Table'!$A$1:$AG$1,0)),0))</f>
        <v>0</v>
      </c>
      <c r="KQ18" s="780" t="str">
        <f t="shared" si="53"/>
        <v>DEFAULT</v>
      </c>
      <c r="KR18" s="780">
        <f t="array" ref="KR18">IF('Customer Inputs'!$W$16="End",0,IFERROR(IF($KQ18="SEGMENT",INDEX('Margin Guidence Table'!$A$1:$AG$10000,MATCH(1,('Margin Guidence Table'!$A$1:$A$10000=KO18)*('Margin Guidence Table'!$I$1:$I$10000&lt;=ROUND($KG$3,0))*('Margin Guidence Table'!$J$1:$J$10000&gt;=ROUND($KG$3,0)),0),MATCH("SALES_CASE",'Margin Guidence Table'!$A$1:$AG$1,0)),INDEX('Margin Guidence Table'!$A$1:$AG$10000,MATCH(1,('Margin Guidence Table'!$A$1:$A$10000=KO18)*('Margin Guidence Table'!$I$1:$I$10000&lt;=ROUND($KG$3,0))*('Margin Guidence Table'!$J$1:$J$10000&gt;=ROUND($KG$3,0)),0),MATCH("DEFAULT_SALES_CASE",'Margin Guidence Table'!$A$1:$AG$1,0))),0))</f>
        <v>0</v>
      </c>
      <c r="KS18" s="780">
        <f t="array" ref="KS18">IF('Customer Inputs'!$W$16="End",0,IFERROR(IF($KQ18="SEGMENT",INDEX('Margin Guidence Table'!$A$1:$AG$10000,MATCH(1,('Margin Guidence Table'!$A$1:$A$10000=KO18)*('Margin Guidence Table'!$I$1:$I$10000&lt;=ROUND($KG$3,0))*('Margin Guidence Table'!$J$1:$J$10000&gt;=ROUND($KG$3,0)),0),MATCH("SALES_LBS",'Margin Guidence Table'!$A$1:$AG$1,0)),INDEX('Margin Guidence Table'!$A$1:$AG$10000,MATCH(1,('Margin Guidence Table'!$A$1:$A$10000=KO18)*('Margin Guidence Table'!$I$1:$I$10000&lt;=ROUND($KG$3,0))*('Margin Guidence Table'!$J$1:$J$10000&gt;=ROUND($KG$3,0)),0),MATCH("DEFAULT_SALES_LBS",'Margin Guidence Table'!$A$1:$AG$1,0))),0))</f>
        <v>0</v>
      </c>
      <c r="KT18" s="784">
        <f t="array" ref="KT18">IF('Customer Inputs'!$W$16="End",0,IFERROR(IF($KQ18="SEGMENT",INDEX('Margin Guidence Table'!$A$1:$AG$10000,MATCH(1,('Margin Guidence Table'!$A$1:$A$10000=KO18)*('Margin Guidence Table'!$I$1:$I$10000&lt;=ROUND($KG$3,0))*('Margin Guidence Table'!$J$1:$J$10000&gt;=ROUND($KG$3,0)),0),MATCH("MDA_MIN_MARGIN_GUIDENCE",'Margin Guidence Table'!$A$1:$AG$1,0)),INDEX('Margin Guidence Table'!$A$1:$AG$10000,MATCH(1,('Margin Guidence Table'!$A$1:$A$10000=KO18)*('Margin Guidence Table'!$I$1:$I$10000&lt;=ROUND($KG$3,0))*('Margin Guidence Table'!$J$1:$J$10000&gt;=ROUND($KG$3,0)),0),MATCH("DEFAULT_MDA_MIN_MARGIN_GUIDENCE",'Margin Guidence Table'!$A$1:$AG$1,0))),0))</f>
        <v>0</v>
      </c>
      <c r="KU18" s="784">
        <f t="array" ref="KU18">IF('Customer Inputs'!$W$16="End",0,IFERROR(IF($KQ18="SEGMENT",INDEX('Margin Guidence Table'!$A$1:$AG$10000,MATCH(1,('Margin Guidence Table'!$A$1:$A$10000=KO18)*('Margin Guidence Table'!$I$1:$I$10000&lt;=ROUND($KG$3,0))*('Margin Guidence Table'!$J$1:$J$10000&gt;=ROUND($KG$3,0)),0),MATCH("MDA_MEDIAN_MARGIN_GUIDENCE",'Margin Guidence Table'!$A$1:$AG$1,0)),INDEX('Margin Guidence Table'!$A$1:$AG$10000,MATCH(1,('Margin Guidence Table'!$A$1:$A$10000=KO18)*('Margin Guidence Table'!$I$1:$I$10000&lt;=ROUND($KG$3,0))*('Margin Guidence Table'!$J$1:$J$10000&gt;=ROUND($KG$3,0)),0),MATCH("DEFAULT_MDA_MEDIAN_MARGIN_GUIDENCE",'Margin Guidence Table'!$A$1:$AG$1,0))),0))</f>
        <v>0</v>
      </c>
      <c r="KV18" s="784">
        <f t="array" ref="KV18">IF('Customer Inputs'!$W$16="End",0,IFERROR(IF($KQ18="SEGMENT",INDEX('Margin Guidence Table'!$A$1:$AG$10000,MATCH(1,('Margin Guidence Table'!$A$1:$A$10000=KO18)*('Margin Guidence Table'!$I$1:$I$10000&lt;=ROUND($KG$3,0))*('Margin Guidence Table'!$J$1:$J$10000&gt;=ROUND($KG$3,0)),0),MATCH("MDA_MAX_MARGIN_GUIDENCE",'Margin Guidence Table'!$A$1:$AG$1,0)),INDEX('Margin Guidence Table'!$A$1:$AG$10000,MATCH(1,('Margin Guidence Table'!$A$1:$A$10000=KO18)*('Margin Guidence Table'!$I$1:$I$10000&lt;=ROUND($KG$3,0))*('Margin Guidence Table'!$J$1:$J$10000&gt;=ROUND($KG$3,0)),0),MATCH("DEFAULT_MDA_MAX_MARGIN_GUIDENCE",'Margin Guidence Table'!$A$1:$AG$1,0))),0))</f>
        <v>0</v>
      </c>
      <c r="KW18" s="784">
        <f t="array" ref="KW18">IF('Customer Inputs'!$W$16="End",0,IFERROR(IF($KQ18="SEGMENT",INDEX('Margin Guidence Table'!$A$1:$AG$10000,MATCH(1,('Margin Guidence Table'!$A$1:$A$10000=KO18)*('Margin Guidence Table'!$I$1:$I$10000&lt;=ROUND($KG$3,0))*('Margin Guidence Table'!$J$1:$J$10000&gt;=ROUND($KG$3,0)),0),MATCH("PA_PCT_SALES",'Margin Guidence Table'!$A$1:$AG$1,0)),INDEX('Margin Guidence Table'!$A$1:$AG$10000,MATCH(1,('Margin Guidence Table'!$A$1:$A$10000=KO18)*('Margin Guidence Table'!$I$1:$I$10000&lt;=ROUND($KG$3,0))*('Margin Guidence Table'!$J$1:$J$10000&gt;=ROUND($KG$3,0)),0),MATCH("DEFAULT_PA_PCT_SALES",'Margin Guidence Table'!$A$1:$AG$1,0))),0))</f>
        <v>0</v>
      </c>
      <c r="KX18" s="784">
        <f t="array" ref="KX18">IF('Customer Inputs'!$W$16="End",0,IFERROR(IF($KQ18="SEGMENT",INDEX('Margin Guidence Table'!$A$1:$AG$10000,MATCH(1,('Margin Guidence Table'!$A$1:$A$10000=KO18)*('Margin Guidence Table'!$I$1:$I$10000&lt;=ROUND($KG$3,0))*('Margin Guidence Table'!$J$1:$J$10000&gt;=ROUND($KG$3,0)),0),MATCH("SELF_FUND_PCT_SALES",'Margin Guidence Table'!$A$1:$AG$1,0)),INDEX('Margin Guidence Table'!$A$1:$AG$10000,MATCH(1,('Margin Guidence Table'!$A$1:$A$10000=KO18)*('Margin Guidence Table'!$I$1:$I$10000&lt;=ROUND($KG$3,0))*('Margin Guidence Table'!$J$1:$J$10000&gt;=ROUND($KG$3,0)),0),MATCH("DEFAULT_SELF_FUND_PCT_SALES",'Margin Guidence Table'!$A$1:$AG$1,0))),0))</f>
        <v>0</v>
      </c>
      <c r="KY18" s="784">
        <f t="array" ref="KY18">IF('Customer Inputs'!$W$16="End",0,IF($KH$2="Existing",IFERROR(SUMIFS('Existing Customers'!$V:$V,'Existing Customers'!$H:$H,$KF18,'Existing Customers'!$A:$A,$KG$1)/SUMIFS('Existing Customers'!$Q:$Q,'Existing Customers'!$H:$H,$KF18,'Existing Customers'!$A:$A,$KG$1),0),IFERROR(IF($KQ18="SEGMENT",INDEX('Margin Guidence Table'!$A$1:$AG$10000,MATCH(1,('Margin Guidence Table'!$A$1:$A$10000=KO18)*('Margin Guidence Table'!$I$1:$I$10000&lt;=ROUND($KG$3,0))*('Margin Guidence Table'!$J$1:$J$10000&gt;=ROUND($KG$3,0)),0),MATCH("CIA_MEDIAN_MARGIN_GUIDENCE",'Margin Guidence Table'!$A$1:$AG$1,0)),INDEX('Margin Guidence Table'!$A$1:$AG$10000,MATCH(1,('Margin Guidence Table'!$A$1:$A$10000=KO18)*('Margin Guidence Table'!$I$1:$I$10000&lt;=ROUND($KG$3,0))*('Margin Guidence Table'!$J$1:$J$10000&gt;=ROUND($KG$3,0)),0),MATCH("DEFAULT_CIA_MEDIAN_MARGIN_GUIDENCE",'Margin Guidence Table'!$A$1:$AG$1,0))),0)))</f>
        <v>0</v>
      </c>
      <c r="KZ18" s="784"/>
      <c r="LA18" s="18">
        <f t="array" ref="LA18">IF('Customer Inputs'!$W$17="End",0,IFERROR(IF($LN18="SEGMENT",INDEX('Margin Guidence Table'!$A$1:$AG$10000,MATCH(1,('Margin Guidence Table'!$A$1:$A$10000=$LL18)*('Margin Guidence Table'!$I$1:$I$10000&lt;=ROUND($LD$3,0))*('Margin Guidence Table'!$J$1:$J$10000&gt;=ROUND($LD$3,0)),0),MATCH("PCT_SALES",'Margin Guidence Table'!$A$1:$AG$1,0)),INDEX('Margin Guidence Table'!$A$1:$AG$10000,MATCH(1,('Margin Guidence Table'!$A$1:$A$10000=$LL18)*('Margin Guidence Table'!$I$1:$I$10000&lt;=ROUND($LD$3,0))*('Margin Guidence Table'!$J$1:$J$10000&gt;=ROUND($LD$3,0)),0),MATCH("DEFAULT_PCT_SALES",'Margin Guidence Table'!$A$1:$AG$1,0))),0))</f>
        <v>0</v>
      </c>
      <c r="LB18" s="1713" t="e">
        <f t="shared" si="54"/>
        <v>#DIV/0!</v>
      </c>
      <c r="LC18" s="99" t="s">
        <v>100</v>
      </c>
      <c r="LD18" s="91">
        <f>IF('Customer Inputs'!$W$17="End",0,IFERROR(IF(AND($LD$2&lt;&gt;"Enter Spend&gt;&gt;&gt;",$LE$2="EXISTING"),SUMIFS('Existing Customers'!$Q:$Q,'Existing Customers'!$A:$A,$LD$1,'Existing Customers'!$H:$H,$LC18)*$LD$4,$LD$3*$LB18),0))</f>
        <v>0</v>
      </c>
      <c r="LE18" s="86">
        <f>IF('Customer Inputs'!$W$17="End",0,IFERROR(IF(AND($LD$2&lt;&gt;"Enter Spend&gt;&gt;&gt;",$LE$2="EXISTING"),SUMIFS('Existing Customers'!$N:$N,'Existing Customers'!$A:$A,$LD$1,'Existing Customers'!$H:$H,$LC18)*$LD$4,$LD18/$LO18),0))</f>
        <v>0</v>
      </c>
      <c r="LF18" s="92">
        <f>IF('Customer Inputs'!$W$17="End",0,IFERROR(IF(AND($LD$2&lt;&gt;"Enter Spend&gt;&gt;&gt;",$LE$2="EXISTING"),SUMIFS('Existing Customers'!$O:$O,'Existing Customers'!$H:$H,$LC18,'Existing Customers'!$A:$A,$LD$1)*$LD$4,$LE18*$LD$8),0))</f>
        <v>0</v>
      </c>
      <c r="LG18" s="92">
        <f>IF('Customer Inputs'!$W$17="End",0,IFERROR(IF(AND($LD$2&lt;&gt;"Enter Spend&gt;&gt;&gt;",$LE$2="EXISTING"),SUMIFS('Existing Customers'!$P:$P,'Existing Customers'!$A:$A,$LD$1,'Existing Customers'!$H:$H,$LC18)*$LD$4,$LD18/$LP18),0))</f>
        <v>0</v>
      </c>
      <c r="LH18" s="303">
        <f>IF('Customer Inputs'!$W$17="End",0,IFERROR(IF(AND($LD$2&lt;&gt;"Enter Spend&gt;&gt;&gt;",$LE$2="EXISTING"),SUMIFS('Existing Customers'!$V:$V,'Existing Customers'!$H:$H,$LC18,'Existing Customers'!$A:$A,$LD$1)*$LD$4,0),0))</f>
        <v>0</v>
      </c>
      <c r="LI18" s="93">
        <f>IF('Customer Inputs'!$W$17="End",0,IFERROR(IF(AND($LD$2&lt;&gt;"Enter Spend&gt;&gt;&gt;",$LE$2="EXISTING"),SUMIFS('Existing Customers'!$R:$R,'Existing Customers'!$H:$H,$LC18,'Existing Customers'!$A:$A,$LD$1)*$LD$4,0),0))</f>
        <v>0</v>
      </c>
      <c r="LJ18" s="780">
        <f>IF('Customer Inputs'!$W$17="End",0,IFERROR(IF(AND($LD$2&lt;&gt;"Enter Spend&gt;&gt;&gt;",$LE$2="EXISTING"),SUMIFS('Existing Customers'!$S:$S,'Existing Customers'!$H:$H,$LC18,'Existing Customers'!$A:$A,$LD$1)/SUMIFS('Existing Customers'!$Q:$Q,'Existing Customers'!$A:$A,$LD$1,'Existing Customers'!$H:$H,$LC18),LT18),0))</f>
        <v>0</v>
      </c>
      <c r="LK18" s="780">
        <f>IF('Customer Inputs'!$W$17="End",0,IFERROR(IF(AND($LD$2&lt;&gt;"Enter Spend&gt;&gt;&gt;",$LE$2="EXISTING"),SUMIFS('Existing Customers'!$U:$U,'Existing Customers'!$H:$H,$LC18,'Existing Customers'!$A:$A,$LD$1)/SUMIFS('Existing Customers'!$Q:$Q,'Existing Customers'!$A:$A,$LD$1,'Existing Customers'!$H:$H,$LC18),LU18),0))</f>
        <v>0</v>
      </c>
      <c r="LL18" s="783" t="e">
        <f>_xlfn.CONCAT('Customer Inputs'!$AH$17,"_",LC18)</f>
        <v>#N/A</v>
      </c>
      <c r="LM18" s="783">
        <f t="array" ref="LM18">IF('Customer Inputs'!$W$17="End",0,IFERROR(INDEX('Margin Guidence Table'!$A$1:$AG$10000,MATCH(1,('Margin Guidence Table'!$A$1:$A$10000=LL18)*('Margin Guidence Table'!$I$1:$I$10000&lt;=ROUND($LD$3,0))*('Margin Guidence Table'!$J$1:$J$10000&gt;=ROUND($LD$3,0)),0),MATCH("DATA_POINTS",'Margin Guidence Table'!$A$1:$AG$1,0)),0))</f>
        <v>0</v>
      </c>
      <c r="LN18" s="780" t="str">
        <f t="shared" si="55"/>
        <v>DEFAULT</v>
      </c>
      <c r="LO18" s="780">
        <f t="array" ref="LO18">IF('Customer Inputs'!$W$17="End",0,IFERROR(IF($LN18="SEGMENT",INDEX('Margin Guidence Table'!$A$1:$AG$10000,MATCH(1,('Margin Guidence Table'!$A$1:$A$10000=LL18)*('Margin Guidence Table'!$I$1:$I$10000&lt;=ROUND($LD$3,0))*('Margin Guidence Table'!$J$1:$J$10000&gt;=ROUND($LD$3,0)),0),MATCH("SALES_CASE",'Margin Guidence Table'!$A$1:$AG$1,0)),INDEX('Margin Guidence Table'!$A$1:$AG$10000,MATCH(1,('Margin Guidence Table'!$A$1:$A$10000=LL18)*('Margin Guidence Table'!$I$1:$I$10000&lt;=ROUND($LD$3,0))*('Margin Guidence Table'!$J$1:$J$10000&gt;=ROUND($LD$3,0)),0),MATCH("DEFAULT_SALES_CASE",'Margin Guidence Table'!$A$1:$AG$1,0))),0))</f>
        <v>0</v>
      </c>
      <c r="LP18" s="780">
        <f t="array" ref="LP18">IF('Customer Inputs'!$W$17="End",0,IFERROR(IF($LN18="SEGMENT",INDEX('Margin Guidence Table'!$A$1:$AG$10000,MATCH(1,('Margin Guidence Table'!$A$1:$A$10000=LL18)*('Margin Guidence Table'!$I$1:$I$10000&lt;=ROUND($LD$3,0))*('Margin Guidence Table'!$J$1:$J$10000&gt;=ROUND($LD$3,0)),0),MATCH("SALES_LBS",'Margin Guidence Table'!$A$1:$AG$1,0)),INDEX('Margin Guidence Table'!$A$1:$AG$10000,MATCH(1,('Margin Guidence Table'!$A$1:$A$10000=LL18)*('Margin Guidence Table'!$I$1:$I$10000&lt;=ROUND($LD$3,0))*('Margin Guidence Table'!$J$1:$J$10000&gt;=ROUND($LD$3,0)),0),MATCH("DEFAULT_SALES_LBS",'Margin Guidence Table'!$A$1:$AG$1,0))),0))</f>
        <v>0</v>
      </c>
      <c r="LQ18" s="784">
        <f t="array" ref="LQ18">IF('Customer Inputs'!$W$17="End",0,IFERROR(IF($LN18="SEGMENT",INDEX('Margin Guidence Table'!$A$1:$AG$10000,MATCH(1,('Margin Guidence Table'!$A$1:$A$10000=LL18)*('Margin Guidence Table'!$I$1:$I$10000&lt;=ROUND($LD$3,0))*('Margin Guidence Table'!$J$1:$J$10000&gt;=ROUND($LD$3,0)),0),MATCH("MDA_MIN_MARGIN_GUIDENCE",'Margin Guidence Table'!$A$1:$AG$1,0)),INDEX('Margin Guidence Table'!$A$1:$AG$10000,MATCH(1,('Margin Guidence Table'!$A$1:$A$10000=LL18)*('Margin Guidence Table'!$I$1:$I$10000&lt;=ROUND($LD$3,0))*('Margin Guidence Table'!$J$1:$J$10000&gt;=ROUND($LD$3,0)),0),MATCH("DEFAULT_MDA_MIN_MARGIN_GUIDENCE",'Margin Guidence Table'!$A$1:$AG$1,0))),0))</f>
        <v>0</v>
      </c>
      <c r="LR18" s="784">
        <f t="array" ref="LR18">IF('Customer Inputs'!$W$17="End",0,IFERROR(IF($LN18="SEGMENT",INDEX('Margin Guidence Table'!$A$1:$AG$10000,MATCH(1,('Margin Guidence Table'!$A$1:$A$10000=LL18)*('Margin Guidence Table'!$I$1:$I$10000&lt;=ROUND($LD$3,0))*('Margin Guidence Table'!$J$1:$J$10000&gt;=ROUND($LD$3,0)),0),MATCH("MDA_MEDIAN_MARGIN_GUIDENCE",'Margin Guidence Table'!$A$1:$AG$1,0)),INDEX('Margin Guidence Table'!$A$1:$AG$10000,MATCH(1,('Margin Guidence Table'!$A$1:$A$10000=LL18)*('Margin Guidence Table'!$I$1:$I$10000&lt;=ROUND($LD$3,0))*('Margin Guidence Table'!$J$1:$J$10000&gt;=ROUND($LD$3,0)),0),MATCH("DEFAULT_MDA_MEDIAN_MARGIN_GUIDENCE",'Margin Guidence Table'!$A$1:$AG$1,0))),0))</f>
        <v>0</v>
      </c>
      <c r="LS18" s="784">
        <f t="array" ref="LS18">IF('Customer Inputs'!$W$17="End",0,IFERROR(IF($LN18="SEGMENT",INDEX('Margin Guidence Table'!$A$1:$AG$10000,MATCH(1,('Margin Guidence Table'!$A$1:$A$10000=LL18)*('Margin Guidence Table'!$I$1:$I$10000&lt;=ROUND($LD$3,0))*('Margin Guidence Table'!$J$1:$J$10000&gt;=ROUND($LD$3,0)),0),MATCH("MDA_MAX_MARGIN_GUIDENCE",'Margin Guidence Table'!$A$1:$AG$1,0)),INDEX('Margin Guidence Table'!$A$1:$AG$10000,MATCH(1,('Margin Guidence Table'!$A$1:$A$10000=LL18)*('Margin Guidence Table'!$I$1:$I$10000&lt;=ROUND($LD$3,0))*('Margin Guidence Table'!$J$1:$J$10000&gt;=ROUND($LD$3,0)),0),MATCH("DEFAULT_MDA_MAX_MARGIN_GUIDENCE",'Margin Guidence Table'!$A$1:$AG$1,0))),0))</f>
        <v>0</v>
      </c>
      <c r="LT18" s="784">
        <f t="array" ref="LT18">IF('Customer Inputs'!$W$17="End",0,IFERROR(IF($LN18="SEGMENT",INDEX('Margin Guidence Table'!$A$1:$AG$10000,MATCH(1,('Margin Guidence Table'!$A$1:$A$10000=LL18)*('Margin Guidence Table'!$I$1:$I$10000&lt;=ROUND($LD$3,0))*('Margin Guidence Table'!$J$1:$J$10000&gt;=ROUND($LD$3,0)),0),MATCH("PA_PCT_SALES",'Margin Guidence Table'!$A$1:$AG$1,0)),INDEX('Margin Guidence Table'!$A$1:$AG$10000,MATCH(1,('Margin Guidence Table'!$A$1:$A$10000=LL18)*('Margin Guidence Table'!$I$1:$I$10000&lt;=ROUND($LD$3,0))*('Margin Guidence Table'!$J$1:$J$10000&gt;=ROUND($LD$3,0)),0),MATCH("DEFAULT_PA_PCT_SALES",'Margin Guidence Table'!$A$1:$AG$1,0))),0))</f>
        <v>0</v>
      </c>
      <c r="LU18" s="784">
        <f t="array" ref="LU18">IF('Customer Inputs'!$W$17="End",0,IFERROR(IF($LN18="SEGMENT",INDEX('Margin Guidence Table'!$A$1:$AG$10000,MATCH(1,('Margin Guidence Table'!$A$1:$A$10000=LL18)*('Margin Guidence Table'!$I$1:$I$10000&lt;=ROUND($LD$3,0))*('Margin Guidence Table'!$J$1:$J$10000&gt;=ROUND($LD$3,0)),0),MATCH("SELF_FUND_PCT_SALES",'Margin Guidence Table'!$A$1:$AG$1,0)),INDEX('Margin Guidence Table'!$A$1:$AG$10000,MATCH(1,('Margin Guidence Table'!$A$1:$A$10000=LL18)*('Margin Guidence Table'!$I$1:$I$10000&lt;=ROUND($LD$3,0))*('Margin Guidence Table'!$J$1:$J$10000&gt;=ROUND($LD$3,0)),0),MATCH("DEFAULT_SELF_FUND_PCT_SALES",'Margin Guidence Table'!$A$1:$AG$1,0))),0))</f>
        <v>0</v>
      </c>
      <c r="LV18" s="784">
        <f t="array" ref="LV18">IF('Customer Inputs'!$W$17="End",0,IF($LE$2="Existing",IFERROR(SUMIFS('Existing Customers'!$V:$V,'Existing Customers'!$H:$H,$LC18,'Existing Customers'!$A:$A,$LD$1)/SUMIFS('Existing Customers'!$Q:$Q,'Existing Customers'!$H:$H,$LC18,'Existing Customers'!$A:$A,$LD$1),0),IFERROR(IF($LN18="SEGMENT",INDEX('Margin Guidence Table'!$A$1:$AG$10000,MATCH(1,('Margin Guidence Table'!$A$1:$A$10000=LL18)*('Margin Guidence Table'!$I$1:$I$10000&lt;=ROUND($LD$3,0))*('Margin Guidence Table'!$J$1:$J$10000&gt;=ROUND($LD$3,0)),0),MATCH("CIA_MEDIAN_MARGIN_GUIDENCE",'Margin Guidence Table'!$A$1:$AG$1,0)),INDEX('Margin Guidence Table'!$A$1:$AG$10000,MATCH(1,('Margin Guidence Table'!$A$1:$A$10000=LL18)*('Margin Guidence Table'!$I$1:$I$10000&lt;=ROUND($LD$3,0))*('Margin Guidence Table'!$J$1:$J$10000&gt;=ROUND($LD$3,0)),0),MATCH("DEFAULT_CIA_MEDIAN_MARGIN_GUIDENCE",'Margin Guidence Table'!$A$1:$AG$1,0))),0)))</f>
        <v>0</v>
      </c>
      <c r="LW18" s="784"/>
      <c r="LX18" s="18">
        <f t="array" ref="LX18">IF('Customer Inputs'!$W$18="End",0,IFERROR(IF($MK18="SEGMENT",INDEX('Margin Guidence Table'!$A$1:$AG$10000,MATCH(1,('Margin Guidence Table'!$A$1:$A$10000=$MI18)*('Margin Guidence Table'!$I$1:$I$10000&lt;=ROUND($MA$3,0))*('Margin Guidence Table'!$J$1:$J$10000&gt;=ROUND($MA$3,0)),0),MATCH("PCT_SALES",'Margin Guidence Table'!$A$1:$AG$1,0)),INDEX('Margin Guidence Table'!$A$1:$AG$10000,MATCH(1,('Margin Guidence Table'!$A$1:$A$10000=$MI18)*('Margin Guidence Table'!$I$1:$I$10000&lt;=ROUND($MA$3,0))*('Margin Guidence Table'!$J$1:$J$10000&gt;=ROUND($MA$3,0)),0),MATCH("DEFAULT_PCT_SALES",'Margin Guidence Table'!$A$1:$AG$1,0))),0))</f>
        <v>0</v>
      </c>
      <c r="LY18" s="1713" t="e">
        <f t="shared" si="56"/>
        <v>#DIV/0!</v>
      </c>
      <c r="LZ18" s="99" t="s">
        <v>100</v>
      </c>
      <c r="MA18" s="91">
        <f>IF('Customer Inputs'!$W$18="End",0,IFERROR(IF(AND($MA$2&lt;&gt;"Enter Spend&gt;&gt;&gt;",$MB$2="EXISTING"),SUMIFS('Existing Customers'!$Q:$Q,'Existing Customers'!$A:$A,$MA$1,'Existing Customers'!$H:$H,$LZ18)*$MA$4,$MA$3*$LY18),0))</f>
        <v>0</v>
      </c>
      <c r="MB18" s="86">
        <f>IF('Customer Inputs'!$W$18="End",0,IFERROR(IF(AND($MA$2&lt;&gt;"Enter Spend&gt;&gt;&gt;",$MB$2="EXISTING"),SUMIFS('Existing Customers'!$N:$N,'Existing Customers'!$A:$A,$MA$1,'Existing Customers'!$H:$H,$LZ18)*$MA$4,$MA18/$ML18),0))</f>
        <v>0</v>
      </c>
      <c r="MC18" s="92">
        <f>IF('Customer Inputs'!$W$18="End",0,IFERROR(IF(AND($MA$2&lt;&gt;"Enter Spend&gt;&gt;&gt;",$MB$2="EXISTING"),SUMIFS('Existing Customers'!$O:$O,'Existing Customers'!$H:$H,$LZ18,'Existing Customers'!$A:$A,$MA$1)*$MA$4,$MB18*$MA$8),0))</f>
        <v>0</v>
      </c>
      <c r="MD18" s="92">
        <f>IF('Customer Inputs'!$W$18="End",0,IFERROR(IF(AND($MA$2&lt;&gt;"Enter Spend&gt;&gt;&gt;",$MB$2="EXISTING"),SUMIFS('Existing Customers'!$P:$P,'Existing Customers'!$A:$A,$MA$1,'Existing Customers'!$H:$H,$LZ18)*$MA$4,$MA18/$MM18),0))</f>
        <v>0</v>
      </c>
      <c r="ME18" s="303">
        <f>IF('Customer Inputs'!$W$18="End",0,IFERROR(IF(AND($MA$2&lt;&gt;"Enter Spend&gt;&gt;&gt;",$MB$2="EXISTING"),SUMIFS('Existing Customers'!$V:$V,'Existing Customers'!$H:$H,$LZ18,'Existing Customers'!$A:$A,$MA$1)*$MA$4,0),0))</f>
        <v>0</v>
      </c>
      <c r="MF18" s="93">
        <f>IF('Customer Inputs'!$W$18="End",0,IFERROR(IF(AND($MA$2&lt;&gt;"Enter Spend&gt;&gt;&gt;",$MB$2="EXISTING"),SUMIFS('Existing Customers'!$R:$R,'Existing Customers'!$H:$H,$LZ18,'Existing Customers'!$A:$A,$MA$1)*$MA$4,0),0))</f>
        <v>0</v>
      </c>
      <c r="MG18" s="780">
        <f>IF('Customer Inputs'!$W$18="End",0,IFERROR(IF(AND($MA$2&lt;&gt;"Enter Spend&gt;&gt;&gt;",$MB$2="EXISTING"),SUMIFS('Existing Customers'!$S:$S,'Existing Customers'!$H:$H,$LZ18,'Existing Customers'!$A:$A,$MA$1)/SUMIFS('Existing Customers'!$Q:$Q,'Existing Customers'!$A:$A,$MA$1,'Existing Customers'!$H:$H,$LZ18),MQ18),0))</f>
        <v>0</v>
      </c>
      <c r="MH18" s="780">
        <f>IF('Customer Inputs'!$W$18="End",0,IFERROR(IF(AND($MA$2&lt;&gt;"Enter Spend&gt;&gt;&gt;",$MB$2="EXISTING"),SUMIFS('Existing Customers'!$U:$U,'Existing Customers'!$H:$H,$LZ18,'Existing Customers'!$A:$A,$MA$1)/SUMIFS('Existing Customers'!$Q:$Q,'Existing Customers'!$A:$A,$MA$1,'Existing Customers'!$H:$H,$LZ18),MR18),0))</f>
        <v>0</v>
      </c>
      <c r="MI18" s="783" t="e">
        <f>_xlfn.CONCAT('Customer Inputs'!$AH$18,"_",LZ18)</f>
        <v>#N/A</v>
      </c>
      <c r="MJ18" s="783">
        <f t="array" ref="MJ18">IF('Customer Inputs'!$W$18="End",0,IFERROR(INDEX('Margin Guidence Table'!$A$1:$AG$10000,MATCH(1,('Margin Guidence Table'!$A$1:$A$10000=MI18)*('Margin Guidence Table'!$I$1:$I$10000&lt;=ROUND($MA$3,0))*('Margin Guidence Table'!$J$1:$J$10000&gt;=ROUND($MA$3,0)),0),MATCH("DATA_POINTS",'Margin Guidence Table'!$A$1:$AG$1,0)),0))</f>
        <v>0</v>
      </c>
      <c r="MK18" s="780" t="str">
        <f t="shared" si="57"/>
        <v>DEFAULT</v>
      </c>
      <c r="ML18" s="780">
        <f t="array" ref="ML18">IF('Customer Inputs'!$W$18="End",0,IFERROR(IF($MK18="SEGMENT",INDEX('Margin Guidence Table'!$A$1:$AG$10000,MATCH(1,('Margin Guidence Table'!$A$1:$A$10000=MI18)*('Margin Guidence Table'!$I$1:$I$10000&lt;=ROUND($MA$3,0))*('Margin Guidence Table'!$J$1:$J$10000&gt;=ROUND($MA$3,0)),0),MATCH("SALES_CASE",'Margin Guidence Table'!$A$1:$AG$1,0)),INDEX('Margin Guidence Table'!$A$1:$AG$10000,MATCH(1,('Margin Guidence Table'!$A$1:$A$10000=MI18)*('Margin Guidence Table'!$I$1:$I$10000&lt;=ROUND($MA$3,0))*('Margin Guidence Table'!$J$1:$J$10000&gt;=ROUND($MA$3,0)),0),MATCH("DEFAULT_SALES_CASE",'Margin Guidence Table'!$A$1:$AG$1,0))),0))</f>
        <v>0</v>
      </c>
      <c r="MM18" s="780">
        <f t="array" ref="MM18">IF('Customer Inputs'!$W$18="End",0,IFERROR(IF($MK18="SEGMENT",INDEX('Margin Guidence Table'!$A$1:$AG$10000,MATCH(1,('Margin Guidence Table'!$A$1:$A$10000=MI18)*('Margin Guidence Table'!$I$1:$I$10000&lt;=ROUND($MA$3,0))*('Margin Guidence Table'!$J$1:$J$10000&gt;=ROUND($MA$3,0)),0),MATCH("SALES_LBS",'Margin Guidence Table'!$A$1:$AG$1,0)),INDEX('Margin Guidence Table'!$A$1:$AG$10000,MATCH(1,('Margin Guidence Table'!$A$1:$A$10000=MI18)*('Margin Guidence Table'!$I$1:$I$10000&lt;=ROUND($MA$3,0))*('Margin Guidence Table'!$J$1:$J$10000&gt;=ROUND($MA$3,0)),0),MATCH("DEFAULT_SALES_LBS",'Margin Guidence Table'!$A$1:$AG$1,0))),0))</f>
        <v>0</v>
      </c>
      <c r="MN18" s="784">
        <f t="array" ref="MN18">IF('Customer Inputs'!$W$18="End",0,IFERROR(IF($MK18="SEGMENT",INDEX('Margin Guidence Table'!$A$1:$AG$10000,MATCH(1,('Margin Guidence Table'!$A$1:$A$10000=MI18)*('Margin Guidence Table'!$I$1:$I$10000&lt;=ROUND($MA$3,0))*('Margin Guidence Table'!$J$1:$J$10000&gt;=ROUND($MA$3,0)),0),MATCH("MDA_MIN_MARGIN_GUIDENCE",'Margin Guidence Table'!$A$1:$AG$1,0)),INDEX('Margin Guidence Table'!$A$1:$AG$10000,MATCH(1,('Margin Guidence Table'!$A$1:$A$10000=MI18)*('Margin Guidence Table'!$I$1:$I$10000&lt;=ROUND($MA$3,0))*('Margin Guidence Table'!$J$1:$J$10000&gt;=ROUND($MA$3,0)),0),MATCH("DEFAULT_MDA_MIN_MARGIN_GUIDENCE",'Margin Guidence Table'!$A$1:$AG$1,0))),0))</f>
        <v>0</v>
      </c>
      <c r="MO18" s="784">
        <f t="array" ref="MO18">IF('Customer Inputs'!$W$18="End",0,IFERROR(IF($MK18="SEGMENT",INDEX('Margin Guidence Table'!$A$1:$AG$10000,MATCH(1,('Margin Guidence Table'!$A$1:$A$10000=MI18)*('Margin Guidence Table'!$I$1:$I$10000&lt;=ROUND($MA$3,0))*('Margin Guidence Table'!$J$1:$J$10000&gt;=ROUND($MA$3,0)),0),MATCH("MDA_MEDIAN_MARGIN_GUIDENCE",'Margin Guidence Table'!$A$1:$AG$1,0)),INDEX('Margin Guidence Table'!$A$1:$AG$10000,MATCH(1,('Margin Guidence Table'!$A$1:$A$10000=MI18)*('Margin Guidence Table'!$I$1:$I$10000&lt;=ROUND($MA$3,0))*('Margin Guidence Table'!$J$1:$J$10000&gt;=ROUND($MA$3,0)),0),MATCH("DEFAULT_MDA_MEDIAN_MARGIN_GUIDENCE",'Margin Guidence Table'!$A$1:$AG$1,0))),0))</f>
        <v>0</v>
      </c>
      <c r="MP18" s="784">
        <f t="array" ref="MP18">IF('Customer Inputs'!$W$18="End",0,IFERROR(IF($MK18="SEGMENT",INDEX('Margin Guidence Table'!$A$1:$AG$10000,MATCH(1,('Margin Guidence Table'!$A$1:$A$10000=MI18)*('Margin Guidence Table'!$I$1:$I$10000&lt;=ROUND($MA$3,0))*('Margin Guidence Table'!$J$1:$J$10000&gt;=ROUND($MA$3,0)),0),MATCH("MDA_MAX_MARGIN_GUIDENCE",'Margin Guidence Table'!$A$1:$AG$1,0)),INDEX('Margin Guidence Table'!$A$1:$AG$10000,MATCH(1,('Margin Guidence Table'!$A$1:$A$10000=MI18)*('Margin Guidence Table'!$I$1:$I$10000&lt;=ROUND($MA$3,0))*('Margin Guidence Table'!$J$1:$J$10000&gt;=ROUND($MA$3,0)),0),MATCH("DEFAULT_MDA_MAX_MARGIN_GUIDENCE",'Margin Guidence Table'!$A$1:$AG$1,0))),0))</f>
        <v>0</v>
      </c>
      <c r="MQ18" s="784">
        <f t="array" ref="MQ18">IF('Customer Inputs'!$W$18="End",0,IFERROR(IF($MK18="SEGMENT",INDEX('Margin Guidence Table'!$A$1:$AG$10000,MATCH(1,('Margin Guidence Table'!$A$1:$A$10000=MI18)*('Margin Guidence Table'!$I$1:$I$10000&lt;=ROUND($MA$3,0))*('Margin Guidence Table'!$J$1:$J$10000&gt;=ROUND($MA$3,0)),0),MATCH("PA_PCT_SALES",'Margin Guidence Table'!$A$1:$AG$1,0)),INDEX('Margin Guidence Table'!$A$1:$AG$10000,MATCH(1,('Margin Guidence Table'!$A$1:$A$10000=MI18)*('Margin Guidence Table'!$I$1:$I$10000&lt;=ROUND($MA$3,0))*('Margin Guidence Table'!$J$1:$J$10000&gt;=ROUND($MA$3,0)),0),MATCH("DEFAULT_PA_PCT_SALES",'Margin Guidence Table'!$A$1:$AG$1,0))),0))</f>
        <v>0</v>
      </c>
      <c r="MR18" s="784">
        <f t="array" ref="MR18">IF('Customer Inputs'!$W$18="End",0,IFERROR(IF($MK18="SEGMENT",INDEX('Margin Guidence Table'!$A$1:$AG$10000,MATCH(1,('Margin Guidence Table'!$A$1:$A$10000=MI18)*('Margin Guidence Table'!$I$1:$I$10000&lt;=ROUND($MA$3,0))*('Margin Guidence Table'!$J$1:$J$10000&gt;=ROUND($MA$3,0)),0),MATCH("SELF_FUND_PCT_SALES",'Margin Guidence Table'!$A$1:$AG$1,0)),INDEX('Margin Guidence Table'!$A$1:$AG$10000,MATCH(1,('Margin Guidence Table'!$A$1:$A$10000=MI18)*('Margin Guidence Table'!$I$1:$I$10000&lt;=ROUND($MA$3,0))*('Margin Guidence Table'!$J$1:$J$10000&gt;=ROUND($MA$3,0)),0),MATCH("DEFAULT_SELF_FUND_PCT_SALES",'Margin Guidence Table'!$A$1:$AG$1,0))),0))</f>
        <v>0</v>
      </c>
      <c r="MS18" s="784">
        <f t="array" ref="MS18">IF('Customer Inputs'!$W$18="End",0,IF($MB$2="Existing",IFERROR(SUMIFS('Existing Customers'!$V:$V,'Existing Customers'!$H:$H,$LZ18,'Existing Customers'!$A:$A,$MA$1)/SUMIFS('Existing Customers'!$Q:$Q,'Existing Customers'!$H:$H,$LZ18,'Existing Customers'!$A:$A,$MA$1),0),IFERROR(IF($MK18="SEGMENT",INDEX('Margin Guidence Table'!$A$1:$AG$10000,MATCH(1,('Margin Guidence Table'!$A$1:$A$10000=MI18)*('Margin Guidence Table'!$I$1:$I$10000&lt;=ROUND($MA$3,0))*('Margin Guidence Table'!$J$1:$J$10000&gt;=ROUND($MA$3,0)),0),MATCH("CIA_MEDIAN_MARGIN_GUIDENCE",'Margin Guidence Table'!$A$1:$AG$1,0)),INDEX('Margin Guidence Table'!$A$1:$AG$10000,MATCH(1,('Margin Guidence Table'!$A$1:$A$10000=MI18)*('Margin Guidence Table'!$I$1:$I$10000&lt;=ROUND($MA$3,0))*('Margin Guidence Table'!$J$1:$J$10000&gt;=ROUND($MA$3,0)),0),MATCH("DEFAULT_CIA_MEDIAN_MARGIN_GUIDENCE",'Margin Guidence Table'!$A$1:$AG$1,0))),0)))</f>
        <v>0</v>
      </c>
      <c r="MT18" s="784"/>
      <c r="MU18" s="18">
        <f t="array" ref="MU18">IF('Customer Inputs'!$W$19="End",0,IFERROR(IF($NH18="SEGMENT",INDEX('Margin Guidence Table'!$A$1:$AG$10000,MATCH(1,('Margin Guidence Table'!$A$1:$A$10000=$NF18)*('Margin Guidence Table'!$I$1:$I$10000&lt;=ROUND($MX$3,0))*('Margin Guidence Table'!$J$1:$J$10000&gt;=ROUND($MX$3,0)),0),MATCH("PCT_SALES",'Margin Guidence Table'!$A$1:$AG$1,0)),INDEX('Margin Guidence Table'!$A$1:$AG$10000,MATCH(1,('Margin Guidence Table'!$A$1:$A$10000=$NF18)*('Margin Guidence Table'!$I$1:$I$10000&lt;=ROUND($MX$3,0))*('Margin Guidence Table'!$J$1:$J$10000&gt;=ROUND($MX$3,0)),0),MATCH("DEFAULT_PCT_SALES",'Margin Guidence Table'!$A$1:$AG$1,0))),0))</f>
        <v>0</v>
      </c>
      <c r="MV18" s="1713" t="e">
        <f t="shared" si="58"/>
        <v>#DIV/0!</v>
      </c>
      <c r="MW18" s="99" t="s">
        <v>100</v>
      </c>
      <c r="MX18" s="91">
        <f>IF('Customer Inputs'!$W$19="End",0,IFERROR(IF(AND($MX$2&lt;&gt;"Enter Spend&gt;&gt;&gt;",$MY$2="EXISTING"),SUMIFS('Existing Customers'!$Q:$Q,'Existing Customers'!$A:$A,$MX$1,'Existing Customers'!$H:$H,$MW18)*$MX$4,$MX$3*$MV18),0))</f>
        <v>0</v>
      </c>
      <c r="MY18" s="86">
        <f>IF('Customer Inputs'!$W$19="End",0,IFERROR(IF(AND($MX$2&lt;&gt;"Enter Spend&gt;&gt;&gt;",$MY$2="EXISTING"),SUMIFS('Existing Customers'!$N:$N,'Existing Customers'!$A:$A,$MX$1,'Existing Customers'!$H:$H,$MW18)*$MX$4,$MX18/$NI18),0))</f>
        <v>0</v>
      </c>
      <c r="MZ18" s="92">
        <f>IF('Customer Inputs'!$W$19="End",0,IFERROR(IF(AND($MX$2&lt;&gt;"Enter Spend&gt;&gt;&gt;",$MY$2="EXISTING"),SUMIFS('Existing Customers'!$O:$O,'Existing Customers'!$H:$H,$MW18,'Existing Customers'!$A:$A,$MX$1)*$MX$4,$MY18*$MX$8),0))</f>
        <v>0</v>
      </c>
      <c r="NA18" s="92">
        <f>IF('Customer Inputs'!$W$19="End",0,IFERROR(IF(AND($MX$2&lt;&gt;"Enter Spend&gt;&gt;&gt;",$MY$2="EXISTING"),SUMIFS('Existing Customers'!$P:$P,'Existing Customers'!$A:$A,$MX$1,'Existing Customers'!$H:$H,$MW18)*$MX$4,$MX18/$NJ18),0))</f>
        <v>0</v>
      </c>
      <c r="NB18" s="303">
        <f>IF('Customer Inputs'!$W$19="End",0,IFERROR(IF(AND($MX$2&lt;&gt;"Enter Spend&gt;&gt;&gt;",$MY$2="EXISTING"),SUMIFS('Existing Customers'!$V:$V,'Existing Customers'!$H:$H,$MW18,'Existing Customers'!$A:$A,$MX$1)*$MX$4,0),0))</f>
        <v>0</v>
      </c>
      <c r="NC18" s="93">
        <f>IF('Customer Inputs'!$W$19="End",0,IFERROR(IF(AND($MX$2&lt;&gt;"Enter Spend&gt;&gt;&gt;",$MY$2="EXISTING"),SUMIFS('Existing Customers'!$R:$R,'Existing Customers'!$H:$H,$MW18,'Existing Customers'!$A:$A,$MX$1)*$MX$4,0),0))</f>
        <v>0</v>
      </c>
      <c r="ND18" s="780">
        <f>IF('Customer Inputs'!$W$19="End",0,IFERROR(IF(AND($MX$2&lt;&gt;"Enter Spend&gt;&gt;&gt;",$MY$2="EXISTING"),SUMIFS('Existing Customers'!$S:$S,'Existing Customers'!$H:$H,$MW18,'Existing Customers'!$A:$A,$MX$1)/SUMIFS('Existing Customers'!$Q:$Q,'Existing Customers'!$A:$A,$MX$1,'Existing Customers'!$H:$H,$MW18),NN18),0))</f>
        <v>0</v>
      </c>
      <c r="NE18" s="780">
        <f>IF('Customer Inputs'!$W$19="End",0,IFERROR(IF(AND($MX$2&lt;&gt;"Enter Spend&gt;&gt;&gt;",$MY$2="EXISTING"),SUMIFS('Existing Customers'!$U:$U,'Existing Customers'!$H:$H,$MW18,'Existing Customers'!$A:$A,$MX$1)/SUMIFS('Existing Customers'!$Q:$Q,'Existing Customers'!$A:$A,$MX$1,'Existing Customers'!$H:$H,$MW18),NO18),0))</f>
        <v>0</v>
      </c>
      <c r="NF18" s="783" t="e">
        <f>_xlfn.CONCAT('Customer Inputs'!$AH$19,"_",MW18)</f>
        <v>#N/A</v>
      </c>
      <c r="NG18" s="783">
        <f t="array" ref="NG18">IF('Customer Inputs'!$W$19="End",0,IFERROR(INDEX('Margin Guidence Table'!$A$1:$AG$10000,MATCH(1,('Margin Guidence Table'!$A$1:$A$10000=NF18)*('Margin Guidence Table'!$I$1:$I$10000&lt;=ROUND($MX$3,0))*('Margin Guidence Table'!$J$1:$J$10000&gt;=ROUND($MX$3,0)),0),MATCH("DATA_POINTS",'Margin Guidence Table'!$A$1:$AG$1,0)),0))</f>
        <v>0</v>
      </c>
      <c r="NH18" s="780" t="str">
        <f t="shared" si="59"/>
        <v>DEFAULT</v>
      </c>
      <c r="NI18" s="780">
        <f t="array" ref="NI18">IF('Customer Inputs'!$W$19="End",0,IFERROR(IF($NH18="SEGMENT",INDEX('Margin Guidence Table'!$A$1:$AG$10000,MATCH(1,('Margin Guidence Table'!$A$1:$A$10000=NF18)*('Margin Guidence Table'!$I$1:$I$10000&lt;=ROUND($MX$3,0))*('Margin Guidence Table'!$J$1:$J$10000&gt;=ROUND($MX$3,0)),0),MATCH("SALES_CASE",'Margin Guidence Table'!$A$1:$AG$1,0)),INDEX('Margin Guidence Table'!$A$1:$AG$10000,MATCH(1,('Margin Guidence Table'!$A$1:$A$10000=NF18)*('Margin Guidence Table'!$I$1:$I$10000&lt;=ROUND($MX$3,0))*('Margin Guidence Table'!$J$1:$J$10000&gt;=ROUND($MX$3,0)),0),MATCH("DEFAULT_SALES_CASE",'Margin Guidence Table'!$A$1:$AG$1,0))),0))</f>
        <v>0</v>
      </c>
      <c r="NJ18" s="780">
        <f t="array" ref="NJ18">IF('Customer Inputs'!$W$19="End",0,IFERROR(IF($NH18="SEGMENT",INDEX('Margin Guidence Table'!$A$1:$AG$10000,MATCH(1,('Margin Guidence Table'!$A$1:$A$10000=NF18)*('Margin Guidence Table'!$I$1:$I$10000&lt;=ROUND($MX$3,0))*('Margin Guidence Table'!$J$1:$J$10000&gt;=ROUND($MX$3,0)),0),MATCH("SALES_LBS",'Margin Guidence Table'!$A$1:$AG$1,0)),INDEX('Margin Guidence Table'!$A$1:$AG$10000,MATCH(1,('Margin Guidence Table'!$A$1:$A$10000=NF18)*('Margin Guidence Table'!$I$1:$I$10000&lt;=ROUND($MX$3,0))*('Margin Guidence Table'!$J$1:$J$10000&gt;=ROUND($MX$3,0)),0),MATCH("DEFAULT_SALES_LBS",'Margin Guidence Table'!$A$1:$AG$1,0))),0))</f>
        <v>0</v>
      </c>
      <c r="NK18" s="784">
        <f t="array" ref="NK18">IF('Customer Inputs'!$W$19="End",0,IFERROR(IF($NH18="SEGMENT",INDEX('Margin Guidence Table'!$A$1:$AG$10000,MATCH(1,('Margin Guidence Table'!$A$1:$A$10000=NF18)*('Margin Guidence Table'!$I$1:$I$10000&lt;=ROUND($MX$3,0))*('Margin Guidence Table'!$J$1:$J$10000&gt;=ROUND($MX$3,0)),0),MATCH("MDA_MIN_MARGIN_GUIDENCE",'Margin Guidence Table'!$A$1:$AG$1,0)),INDEX('Margin Guidence Table'!$A$1:$AG$10000,MATCH(1,('Margin Guidence Table'!$A$1:$A$10000=NF18)*('Margin Guidence Table'!$I$1:$I$10000&lt;=ROUND($MX$3,0))*('Margin Guidence Table'!$J$1:$J$10000&gt;=ROUND($MX$3,0)),0),MATCH("DEFAULT_MDA_MIN_MARGIN_GUIDENCE",'Margin Guidence Table'!$A$1:$AG$1,0))),0))</f>
        <v>0</v>
      </c>
      <c r="NL18" s="784">
        <f t="array" ref="NL18">IF('Customer Inputs'!$W$19="End",0,IFERROR(IF($NH18="SEGMENT",INDEX('Margin Guidence Table'!$A$1:$AG$10000,MATCH(1,('Margin Guidence Table'!$A$1:$A$10000=NF18)*('Margin Guidence Table'!$I$1:$I$10000&lt;=ROUND($MX$3,0))*('Margin Guidence Table'!$J$1:$J$10000&gt;=ROUND($MX$3,0)),0),MATCH("MDA_MEDIAN_MARGIN_GUIDENCE",'Margin Guidence Table'!$A$1:$AG$1,0)),INDEX('Margin Guidence Table'!$A$1:$AG$10000,MATCH(1,('Margin Guidence Table'!$A$1:$A$10000=NF18)*('Margin Guidence Table'!$I$1:$I$10000&lt;=ROUND($MX$3,0))*('Margin Guidence Table'!$J$1:$J$10000&gt;=ROUND($MX$3,0)),0),MATCH("DEFAULT_MDA_MEDIAN_MARGIN_GUIDENCE",'Margin Guidence Table'!$A$1:$AG$1,0))),0))</f>
        <v>0</v>
      </c>
      <c r="NM18" s="784">
        <f t="array" ref="NM18">IF('Customer Inputs'!$W$19="End",0,IFERROR(IF($NH18="SEGMENT",INDEX('Margin Guidence Table'!$A$1:$AG$10000,MATCH(1,('Margin Guidence Table'!$A$1:$A$10000=NF18)*('Margin Guidence Table'!$I$1:$I$10000&lt;=ROUND($MX$3,0))*('Margin Guidence Table'!$J$1:$J$10000&gt;=ROUND($MX$3,0)),0),MATCH("MDA_MAX_MARGIN_GUIDENCE",'Margin Guidence Table'!$A$1:$AG$1,0)),INDEX('Margin Guidence Table'!$A$1:$AG$10000,MATCH(1,('Margin Guidence Table'!$A$1:$A$10000=NF18)*('Margin Guidence Table'!$I$1:$I$10000&lt;=ROUND($MX$3,0))*('Margin Guidence Table'!$J$1:$J$10000&gt;=ROUND($MX$3,0)),0),MATCH("DEFAULT_MDA_MAX_MARGIN_GUIDENCE",'Margin Guidence Table'!$A$1:$AG$1,0))),0))</f>
        <v>0</v>
      </c>
      <c r="NN18" s="784">
        <f t="array" ref="NN18">IF('Customer Inputs'!$W$19="End",0,IFERROR(IF($NH18="SEGMENT",INDEX('Margin Guidence Table'!$A$1:$AG$10000,MATCH(1,('Margin Guidence Table'!$A$1:$A$10000=NF18)*('Margin Guidence Table'!$I$1:$I$10000&lt;=ROUND($MX$3,0))*('Margin Guidence Table'!$J$1:$J$10000&gt;=ROUND($MX$3,0)),0),MATCH("PA_PCT_SALES",'Margin Guidence Table'!$A$1:$AG$1,0)),INDEX('Margin Guidence Table'!$A$1:$AG$10000,MATCH(1,('Margin Guidence Table'!$A$1:$A$10000=NF18)*('Margin Guidence Table'!$I$1:$I$10000&lt;=ROUND($MX$3,0))*('Margin Guidence Table'!$J$1:$J$10000&gt;=ROUND($MX$3,0)),0),MATCH("DEFAULT_PA_PCT_SALES",'Margin Guidence Table'!$A$1:$AG$1,0))),0))</f>
        <v>0</v>
      </c>
      <c r="NO18" s="784">
        <f t="array" ref="NO18">IF('Customer Inputs'!$W$19="End",0,IFERROR(IF($NH18="SEGMENT",INDEX('Margin Guidence Table'!$A$1:$AG$10000,MATCH(1,('Margin Guidence Table'!$A$1:$A$10000=NF18)*('Margin Guidence Table'!$I$1:$I$10000&lt;=ROUND($MX$3,0))*('Margin Guidence Table'!$J$1:$J$10000&gt;=ROUND($MX$3,0)),0),MATCH("SELF_FUND_PCT_SALES",'Margin Guidence Table'!$A$1:$AG$1,0)),INDEX('Margin Guidence Table'!$A$1:$AG$10000,MATCH(1,('Margin Guidence Table'!$A$1:$A$10000=NF18)*('Margin Guidence Table'!$I$1:$I$10000&lt;=ROUND($MX$3,0))*('Margin Guidence Table'!$J$1:$J$10000&gt;=ROUND($MX$3,0)),0),MATCH("DEFAULT_SELF_FUND_PCT_SALES",'Margin Guidence Table'!$A$1:$AG$1,0))),0))</f>
        <v>0</v>
      </c>
      <c r="NP18" s="784">
        <f t="array" ref="NP18">IF('Customer Inputs'!$W$19="End",0,IF($MY$2="Existing",IFERROR(SUMIFS('Existing Customers'!$V:$V,'Existing Customers'!$H:$H,$MW18,'Existing Customers'!$A:$A,$MX$1)/SUMIFS('Existing Customers'!$Q:$Q,'Existing Customers'!$H:$H,$MW18,'Existing Customers'!$A:$A,$MX$1),0),IFERROR(IF($NH18="SEGMENT",INDEX('Margin Guidence Table'!$A$1:$AG$10000,MATCH(1,('Margin Guidence Table'!$A$1:$A$10000=NF18)*('Margin Guidence Table'!$I$1:$I$10000&lt;=ROUND($MX$3,0))*('Margin Guidence Table'!$J$1:$J$10000&gt;=ROUND($MX$3,0)),0),MATCH("CIA_MEDIAN_MARGIN_GUIDENCE",'Margin Guidence Table'!$A$1:$AG$1,0)),INDEX('Margin Guidence Table'!$A$1:$AG$10000,MATCH(1,('Margin Guidence Table'!$A$1:$A$10000=NF18)*('Margin Guidence Table'!$I$1:$I$10000&lt;=ROUND($MX$3,0))*('Margin Guidence Table'!$J$1:$J$10000&gt;=ROUND($MX$3,0)),0),MATCH("DEFAULT_CIA_MEDIAN_MARGIN_GUIDENCE",'Margin Guidence Table'!$A$1:$AG$1,0))),0)))</f>
        <v>0</v>
      </c>
      <c r="NQ18" s="784"/>
      <c r="NR18" s="18">
        <f t="array" ref="NR18">IF('Customer Inputs'!$W$20="End",0,IFERROR(IF($OE18="SEGMENT",INDEX('Margin Guidence Table'!$A$1:$AG$10000,MATCH(1,('Margin Guidence Table'!$A$1:$A$10000=$OC18)*('Margin Guidence Table'!$I$1:$I$10000&lt;=ROUND($NU$3,0))*('Margin Guidence Table'!$J$1:$J$10000&gt;=ROUND($NU$3,0)),0),MATCH("PCT_SALES",'Margin Guidence Table'!$A$1:$AG$1,0)),INDEX('Margin Guidence Table'!$A$1:$AG$10000,MATCH(1,('Margin Guidence Table'!$A$1:$A$10000=$OC18)*('Margin Guidence Table'!$I$1:$I$10000&lt;=ROUND($NU$3,0))*('Margin Guidence Table'!$J$1:$J$10000&gt;=ROUND($NU$3,0)),0),MATCH("DEFAULT_PCT_SALES",'Margin Guidence Table'!$A$1:$AG$1,0))),0))</f>
        <v>0</v>
      </c>
      <c r="NS18" s="1713" t="e">
        <f t="shared" si="60"/>
        <v>#DIV/0!</v>
      </c>
      <c r="NT18" s="99" t="s">
        <v>100</v>
      </c>
      <c r="NU18" s="91">
        <f>IF('Customer Inputs'!$W$20="End",0,IFERROR(IF(AND($NU$2&lt;&gt;"Enter Spend&gt;&gt;&gt;",$NV$2="EXISTING"),SUMIFS('Existing Customers'!$Q:$Q,'Existing Customers'!$A:$A,$NU$1,'Existing Customers'!$H:$H,$NT18)*$NU$4,$NU$3*$NS18),0))</f>
        <v>0</v>
      </c>
      <c r="NV18" s="86">
        <f>IF('Customer Inputs'!$W$20="End",0,IFERROR(IF(AND($NU$2&lt;&gt;"Enter Spend&gt;&gt;&gt;",$NV$2="EXISTING"),SUMIFS('Existing Customers'!$N:$N,'Existing Customers'!$A:$A,$NU$1,'Existing Customers'!$H:$H,$NT18)*$NU$4,$NU18/$OF18),0))</f>
        <v>0</v>
      </c>
      <c r="NW18" s="92">
        <f>IF('Customer Inputs'!$W$20="End",0,IFERROR(IF(AND($NU$2&lt;&gt;"Enter Spend&gt;&gt;&gt;",$NV$2="EXISTING"),SUMIFS('Existing Customers'!$O:$O,'Existing Customers'!$H:$H,$NT18,'Existing Customers'!$A:$A,$NU$1)*$NU$4,$NV18*$NU$8),0))</f>
        <v>0</v>
      </c>
      <c r="NX18" s="92">
        <f>IF('Customer Inputs'!$W$20="End",0,IFERROR(IF(AND($NU$2&lt;&gt;"Enter Spend&gt;&gt;&gt;",$NV$2="EXISTING"),SUMIFS('Existing Customers'!$P:$P,'Existing Customers'!$A:$A,$NU$1,'Existing Customers'!$H:$H,$NT18)*$NU$4,$NU18/$OG18),0))</f>
        <v>0</v>
      </c>
      <c r="NY18" s="303">
        <f>IF('Customer Inputs'!$W$20="End",0,IFERROR(IF(AND($NU$2&lt;&gt;"Enter Spend&gt;&gt;&gt;",$NV$2="EXISTING"),SUMIFS('Existing Customers'!$V:$V,'Existing Customers'!$H:$H,$NT18,'Existing Customers'!$A:$A,$NU$1)*$NU$4,0),0))</f>
        <v>0</v>
      </c>
      <c r="NZ18" s="93">
        <f>IF('Customer Inputs'!$W$20="End",0,IFERROR(IF(AND($NU$2&lt;&gt;"Enter Spend&gt;&gt;&gt;",$NV$2="EXISTING"),SUMIFS('Existing Customers'!$R:$R,'Existing Customers'!$H:$H,$NT18,'Existing Customers'!$A:$A,$NU$1)*$NU$4,0),0))</f>
        <v>0</v>
      </c>
      <c r="OA18" s="780">
        <f>IF('Customer Inputs'!$W$20="End",0,IFERROR(IF(AND($NU$2&lt;&gt;"Enter Spend&gt;&gt;&gt;",$NV$2="EXISTING"),SUMIFS('Existing Customers'!$S:$S,'Existing Customers'!$H:$H,$NT18,'Existing Customers'!$A:$A,$NU$1)/SUMIFS('Existing Customers'!$Q:$Q,'Existing Customers'!$A:$A,$NU$1,'Existing Customers'!$H:$H,$NT18),OK18),0))</f>
        <v>0</v>
      </c>
      <c r="OB18" s="780">
        <f>IF('Customer Inputs'!$W$20="End",0,IFERROR(IF(AND($NU$2&lt;&gt;"Enter Spend&gt;&gt;&gt;",$NV$2="EXISTING"),SUMIFS('Existing Customers'!$U:$U,'Existing Customers'!$H:$H,$NT18,'Existing Customers'!$A:$A,$NU$1)/SUMIFS('Existing Customers'!$Q:$Q,'Existing Customers'!$A:$A,$NU$1,'Existing Customers'!$H:$H,$NT18),OL18),0))</f>
        <v>0</v>
      </c>
      <c r="OC18" s="783" t="e">
        <f>_xlfn.CONCAT('Customer Inputs'!$AH$20,"_",NT18)</f>
        <v>#N/A</v>
      </c>
      <c r="OD18" s="783">
        <f t="array" ref="OD18">IF('Customer Inputs'!$W$20="End",0,IFERROR(INDEX('Margin Guidence Table'!$A$1:$AG$10000,MATCH(1,('Margin Guidence Table'!$A$1:$A$10000=OC18)*('Margin Guidence Table'!$I$1:$I$10000&lt;=ROUND($NU$3,0))*('Margin Guidence Table'!$J$1:$J$10000&gt;=ROUND($NU$3,0)),0),MATCH("DATA_POINTS",'Margin Guidence Table'!$A$1:$AG$1,0)),0))</f>
        <v>0</v>
      </c>
      <c r="OE18" s="780" t="str">
        <f t="shared" si="61"/>
        <v>DEFAULT</v>
      </c>
      <c r="OF18" s="780">
        <f t="array" ref="OF18">IF('Customer Inputs'!$W$20="End",0,IFERROR(IF($OE18="SEGMENT",INDEX('Margin Guidence Table'!$A$1:$AG$10000,MATCH(1,('Margin Guidence Table'!$A$1:$A$10000=OC18)*('Margin Guidence Table'!$I$1:$I$10000&lt;=ROUND($NU$3,0))*('Margin Guidence Table'!$J$1:$J$10000&gt;=ROUND($NU$3,0)),0),MATCH("SALES_CASE",'Margin Guidence Table'!$A$1:$AG$1,0)),INDEX('Margin Guidence Table'!$A$1:$AG$10000,MATCH(1,('Margin Guidence Table'!$A$1:$A$10000=OC18)*('Margin Guidence Table'!$I$1:$I$10000&lt;=ROUND($NU$3,0))*('Margin Guidence Table'!$J$1:$J$10000&gt;=ROUND($NU$3,0)),0),MATCH("DEFAULT_SALES_CASE",'Margin Guidence Table'!$A$1:$AG$1,0))),0))</f>
        <v>0</v>
      </c>
      <c r="OG18" s="780">
        <f t="array" ref="OG18">IF('Customer Inputs'!$W$20="End",0,IFERROR(IF($OE18="SEGMENT",INDEX('Margin Guidence Table'!$A$1:$AG$10000,MATCH(1,('Margin Guidence Table'!$A$1:$A$10000=OC18)*('Margin Guidence Table'!$I$1:$I$10000&lt;=ROUND($NU$3,0))*('Margin Guidence Table'!$J$1:$J$10000&gt;=ROUND($NU$3,0)),0),MATCH("SALES_LBS",'Margin Guidence Table'!$A$1:$AG$1,0)),INDEX('Margin Guidence Table'!$A$1:$AG$10000,MATCH(1,('Margin Guidence Table'!$A$1:$A$10000=OC18)*('Margin Guidence Table'!$I$1:$I$10000&lt;=ROUND($NU$3,0))*('Margin Guidence Table'!$J$1:$J$10000&gt;=ROUND($NU$3,0)),0),MATCH("DEFAULT_SALES_LBS",'Margin Guidence Table'!$A$1:$AG$1,0))),0))</f>
        <v>0</v>
      </c>
      <c r="OH18" s="784">
        <f t="array" ref="OH18">IF('Customer Inputs'!$W$20="End",0,IFERROR(IF($OE18="SEGMENT",INDEX('Margin Guidence Table'!$A$1:$AG$10000,MATCH(1,('Margin Guidence Table'!$A$1:$A$10000=OC18)*('Margin Guidence Table'!$I$1:$I$10000&lt;=ROUND($NU$3,0))*('Margin Guidence Table'!$J$1:$J$10000&gt;=ROUND($NU$3,0)),0),MATCH("MDA_MIN_MARGIN_GUIDENCE",'Margin Guidence Table'!$A$1:$AG$1,0)),INDEX('Margin Guidence Table'!$A$1:$AG$10000,MATCH(1,('Margin Guidence Table'!$A$1:$A$10000=OC18)*('Margin Guidence Table'!$I$1:$I$10000&lt;=ROUND($NU$3,0))*('Margin Guidence Table'!$J$1:$J$10000&gt;=ROUND($NU$3,0)),0),MATCH("DEFAULT_MDA_MIN_MARGIN_GUIDENCE",'Margin Guidence Table'!$A$1:$AG$1,0))),0))</f>
        <v>0</v>
      </c>
      <c r="OI18" s="784">
        <f t="array" ref="OI18">IF('Customer Inputs'!$W$20="End",0,IFERROR(IF($OE18="SEGMENT",INDEX('Margin Guidence Table'!$A$1:$AG$10000,MATCH(1,('Margin Guidence Table'!$A$1:$A$10000=OC18)*('Margin Guidence Table'!$I$1:$I$10000&lt;=ROUND($NU$3,0))*('Margin Guidence Table'!$J$1:$J$10000&gt;=ROUND($NU$3,0)),0),MATCH("MDA_MEDIAN_MARGIN_GUIDENCE",'Margin Guidence Table'!$A$1:$AG$1,0)),INDEX('Margin Guidence Table'!$A$1:$AG$10000,MATCH(1,('Margin Guidence Table'!$A$1:$A$10000=OC18)*('Margin Guidence Table'!$I$1:$I$10000&lt;=ROUND($NU$3,0))*('Margin Guidence Table'!$J$1:$J$10000&gt;=ROUND($NU$3,0)),0),MATCH("DEFAULT_MDA_MEDIAN_MARGIN_GUIDENCE",'Margin Guidence Table'!$A$1:$AG$1,0))),0))</f>
        <v>0</v>
      </c>
      <c r="OJ18" s="784">
        <f t="array" ref="OJ18">IF('Customer Inputs'!$W$20="End",0,IFERROR(IF($OE18="SEGMENT",INDEX('Margin Guidence Table'!$A$1:$AG$10000,MATCH(1,('Margin Guidence Table'!$A$1:$A$10000=OC18)*('Margin Guidence Table'!$I$1:$I$10000&lt;=ROUND($NU$3,0))*('Margin Guidence Table'!$J$1:$J$10000&gt;=ROUND($NU$3,0)),0),MATCH("MDA_MAX_MARGIN_GUIDENCE",'Margin Guidence Table'!$A$1:$AG$1,0)),INDEX('Margin Guidence Table'!$A$1:$AG$10000,MATCH(1,('Margin Guidence Table'!$A$1:$A$10000=OC18)*('Margin Guidence Table'!$I$1:$I$10000&lt;=ROUND($NU$3,0))*('Margin Guidence Table'!$J$1:$J$10000&gt;=ROUND($NU$3,0)),0),MATCH("DEFAULT_MDA_MAX_MARGIN_GUIDENCE",'Margin Guidence Table'!$A$1:$AG$1,0))),0))</f>
        <v>0</v>
      </c>
      <c r="OK18" s="784">
        <f t="array" ref="OK18">IF('Customer Inputs'!$W$20="End",0,IFERROR(IF($OE18="SEGMENT",INDEX('Margin Guidence Table'!$A$1:$AG$10000,MATCH(1,('Margin Guidence Table'!$A$1:$A$10000=OC18)*('Margin Guidence Table'!$I$1:$I$10000&lt;=ROUND($NU$3,0))*('Margin Guidence Table'!$J$1:$J$10000&gt;=ROUND($NU$3,0)),0),MATCH("PA_PCT_SALES",'Margin Guidence Table'!$A$1:$AG$1,0)),INDEX('Margin Guidence Table'!$A$1:$AG$10000,MATCH(1,('Margin Guidence Table'!$A$1:$A$10000=OC18)*('Margin Guidence Table'!$I$1:$I$10000&lt;=ROUND($NU$3,0))*('Margin Guidence Table'!$J$1:$J$10000&gt;=ROUND($NU$3,0)),0),MATCH("DEFAULT_PA_PCT_SALES",'Margin Guidence Table'!$A$1:$AG$1,0))),0))</f>
        <v>0</v>
      </c>
      <c r="OL18" s="784">
        <f t="array" ref="OL18">IF('Customer Inputs'!$W$20="End",0,IFERROR(IF($OE18="SEGMENT",INDEX('Margin Guidence Table'!$A$1:$AG$10000,MATCH(1,('Margin Guidence Table'!$A$1:$A$10000=OC18)*('Margin Guidence Table'!$I$1:$I$10000&lt;=ROUND($NU$3,0))*('Margin Guidence Table'!$J$1:$J$10000&gt;=ROUND($NU$3,0)),0),MATCH("SELF_FUND_PCT_SALES",'Margin Guidence Table'!$A$1:$AG$1,0)),INDEX('Margin Guidence Table'!$A$1:$AG$10000,MATCH(1,('Margin Guidence Table'!$A$1:$A$10000=OC18)*('Margin Guidence Table'!$I$1:$I$10000&lt;=ROUND($NU$3,0))*('Margin Guidence Table'!$J$1:$J$10000&gt;=ROUND($NU$3,0)),0),MATCH("DEFAULT_SELF_FUND_PCT_SALES",'Margin Guidence Table'!$A$1:$AG$1,0))),0))</f>
        <v>0</v>
      </c>
      <c r="OM18" s="784">
        <f t="array" ref="OM18">IF('Customer Inputs'!$W$20="End",0,IF($NV$2="Existing",IFERROR(SUMIFS('Existing Customers'!$V:$V,'Existing Customers'!$H:$H,$NT18,'Existing Customers'!$A:$A,$NU$1)/SUMIFS('Existing Customers'!$Q:$Q,'Existing Customers'!$H:$H,$NT18,'Existing Customers'!$A:$A,$NU$1),0),IFERROR(IF($OE18="SEGMENT",INDEX('Margin Guidence Table'!$A$1:$AG$10000,MATCH(1,('Margin Guidence Table'!$A$1:$A$10000=OC18)*('Margin Guidence Table'!$I$1:$I$10000&lt;=ROUND($NU$3,0))*('Margin Guidence Table'!$J$1:$J$10000&gt;=ROUND($NU$3,0)),0),MATCH("CIA_MEDIAN_MARGIN_GUIDENCE",'Margin Guidence Table'!$A$1:$AG$1,0)),INDEX('Margin Guidence Table'!$A$1:$AG$10000,MATCH(1,('Margin Guidence Table'!$A$1:$A$10000=OC18)*('Margin Guidence Table'!$I$1:$I$10000&lt;=ROUND($NU$3,0))*('Margin Guidence Table'!$J$1:$J$10000&gt;=ROUND($NU$3,0)),0),MATCH("DEFAULT_CIA_MEDIAN_MARGIN_GUIDENCE",'Margin Guidence Table'!$A$1:$AG$1,0))),0)))</f>
        <v>0</v>
      </c>
      <c r="ON18" s="784"/>
      <c r="OO18" s="18">
        <f t="array" ref="OO18">IF('Customer Inputs'!$W$21="End",0,IFERROR(IF($PB18="SEGMENT",INDEX('Margin Guidence Table'!$A$1:$AG$10000,MATCH(1,('Margin Guidence Table'!$A$1:$A$10000=$OZ18)*('Margin Guidence Table'!$I$1:$I$10000&lt;=ROUND($OR$3,0))*('Margin Guidence Table'!$J$1:$J$10000&gt;=ROUND($OR$3,0)),0),MATCH("PCT_SALES",'Margin Guidence Table'!$A$1:$AG$1,0)),INDEX('Margin Guidence Table'!$A$1:$AG$10000,MATCH(1,('Margin Guidence Table'!$A$1:$A$10000=$OZ18)*('Margin Guidence Table'!$I$1:$I$10000&lt;=ROUND($OR$3,0))*('Margin Guidence Table'!$J$1:$J$10000&gt;=ROUND($OR$3,0)),0),MATCH("DEFAULT_PCT_SALES",'Margin Guidence Table'!$A$1:$AG$1,0))),0))</f>
        <v>0</v>
      </c>
      <c r="OP18" s="1713" t="e">
        <f t="shared" si="62"/>
        <v>#DIV/0!</v>
      </c>
      <c r="OQ18" s="99" t="s">
        <v>100</v>
      </c>
      <c r="OR18" s="91">
        <f>IF('Customer Inputs'!$W$21="End",0,IFERROR(IF(AND($OR$2&lt;&gt;"Enter Spend&gt;&gt;&gt;",$OS$2="EXISTING"),SUMIFS('Existing Customers'!$Q:$Q,'Existing Customers'!$A:$A,$OR$1,'Existing Customers'!$H:$H,$OQ18)*$OR$4,$OR$3*$OP18),0))</f>
        <v>0</v>
      </c>
      <c r="OS18" s="86">
        <f>IF('Customer Inputs'!$W$21="End",0,IFERROR(IF(AND($OR$2&lt;&gt;"Enter Spend&gt;&gt;&gt;",$OS$2="EXISTING"),SUMIFS('Existing Customers'!$N:$N,'Existing Customers'!$A:$A,$OR$1,'Existing Customers'!$H:$H,$OQ18)*$OR$4,$OR18/$PC18),0))</f>
        <v>0</v>
      </c>
      <c r="OT18" s="92">
        <f>IF('Customer Inputs'!$W$21="End",0,IFERROR(IF(AND($OR$2&lt;&gt;"Enter Spend&gt;&gt;&gt;",$OS$2="EXISTING"),SUMIFS('Existing Customers'!$O:$O,'Existing Customers'!$H:$H,$OQ18,'Existing Customers'!$A:$A,$OR$1)*$OR$4,$OS18*$OR$8),0))</f>
        <v>0</v>
      </c>
      <c r="OU18" s="92">
        <f>IF('Customer Inputs'!$W$21="End",0,IFERROR(IF(AND($OR$2&lt;&gt;"Enter Spend&gt;&gt;&gt;",$OS$2="EXISTING"),SUMIFS('Existing Customers'!$P:$P,'Existing Customers'!$A:$A,$OR$1,'Existing Customers'!$H:$H,$OQ18)*$OR$4,$OR18/$PD18),0))</f>
        <v>0</v>
      </c>
      <c r="OV18" s="303">
        <f>IF('Customer Inputs'!$W$21="End",0,IFERROR(IF(AND($OR$2&lt;&gt;"Enter Spend&gt;&gt;&gt;",$OS$2="EXISTING"),SUMIFS('Existing Customers'!$V:$V,'Existing Customers'!$H:$H,$OQ18,'Existing Customers'!$A:$A,$OR$1)*$OR$4,0),0))</f>
        <v>0</v>
      </c>
      <c r="OW18" s="93">
        <f>IF('Customer Inputs'!$W$21="End",0,IFERROR(IF(AND($OR$2&lt;&gt;"Enter Spend&gt;&gt;&gt;",$OS$2="EXISTING"),SUMIFS('Existing Customers'!$R:$R,'Existing Customers'!$H:$H,$OP18,'Existing Customers'!$A:$A,$OR$1)*$OR$4,0),0))</f>
        <v>0</v>
      </c>
      <c r="OX18" s="780">
        <f>IF('Customer Inputs'!$W$21="End",0,IFERROR(IF(AND($OR$2&lt;&gt;"Enter Spend&gt;&gt;&gt;",$OS$2="EXISTING"),SUMIFS('Existing Customers'!$S:$S,'Existing Customers'!$H:$H,$OQ18,'Existing Customers'!$A:$A,$OR$1)/SUMIFS('Existing Customers'!$Q:$Q,'Existing Customers'!$A:$A,$OR$1,'Existing Customers'!$H:$H,$OQ18),PH18),0))</f>
        <v>0</v>
      </c>
      <c r="OY18" s="780">
        <f>IF('Customer Inputs'!$W$21="End",0,IFERROR(IF(AND($OR$2&lt;&gt;"Enter Spend&gt;&gt;&gt;",$OS$2="EXISTING"),SUMIFS('Existing Customers'!$U:$U,'Existing Customers'!$H:$H,$OQ18,'Existing Customers'!$A:$A,$OR$1)/SUMIFS('Existing Customers'!$Q:$Q,'Existing Customers'!$A:$A,$OR$1,'Existing Customers'!$H:$H,$OQ18),PI18),0))</f>
        <v>0</v>
      </c>
      <c r="OZ18" s="783" t="e">
        <f>_xlfn.CONCAT('Customer Inputs'!$AH$21,"_",OQ18)</f>
        <v>#N/A</v>
      </c>
      <c r="PA18" s="783">
        <f t="array" ref="PA18">IF('Customer Inputs'!$W$22="End",0,IFERROR(INDEX('Margin Guidence Table'!$A$1:$AG$10000,MATCH(1,('Margin Guidence Table'!$A$1:$A$10000=OZ18)*('Margin Guidence Table'!$I$1:$I$10000&lt;=ROUND($OR$3,0))*('Margin Guidence Table'!$J$1:$J$10000&gt;=ROUND($OR$3,0)),0),MATCH("DATA_POINTS",'Margin Guidence Table'!$A$1:$AG$1,0)),0))</f>
        <v>0</v>
      </c>
      <c r="PB18" s="780" t="str">
        <f t="shared" si="63"/>
        <v>DEFAULT</v>
      </c>
      <c r="PC18" s="780">
        <f t="array" ref="PC18">IF('Customer Inputs'!$W$21="End",0,IFERROR(IF($PB18="SEGMENT",INDEX('Margin Guidence Table'!$A$1:$AG$10000,MATCH(1,('Margin Guidence Table'!$A$1:$A$10000=OZ18)*('Margin Guidence Table'!$I$1:$I$10000&lt;=ROUND($OR$3,0))*('Margin Guidence Table'!$J$1:$J$10000&gt;=ROUND($OR$3,0)),0),MATCH("SALES_CASE",'Margin Guidence Table'!$A$1:$AG$1,0)),INDEX('Margin Guidence Table'!$A$1:$AG$10000,MATCH(1,('Margin Guidence Table'!$A$1:$A$10000=OZ18)*('Margin Guidence Table'!$I$1:$I$10000&lt;=ROUND($OR$3,0))*('Margin Guidence Table'!$J$1:$J$10000&gt;=ROUND($OR$3,0)),0),MATCH("DEFAULT_SALES_CASE",'Margin Guidence Table'!$A$1:$AG$1,0))),0))</f>
        <v>0</v>
      </c>
      <c r="PD18" s="780">
        <f t="array" ref="PD18">IF('Customer Inputs'!$W$21="End",0,IFERROR(IF($PB18="SEGMENT",INDEX('Margin Guidence Table'!$A$1:$AG$10000,MATCH(1,('Margin Guidence Table'!$A$1:$A$10000=OZ18)*('Margin Guidence Table'!$I$1:$I$10000&lt;=ROUND($OR$3,0))*('Margin Guidence Table'!$J$1:$J$10000&gt;=ROUND($OR$3,0)),0),MATCH("SALES_LBS",'Margin Guidence Table'!$A$1:$AG$1,0)),INDEX('Margin Guidence Table'!$A$1:$AG$10000,MATCH(1,('Margin Guidence Table'!$A$1:$A$10000=OZ18)*('Margin Guidence Table'!$I$1:$I$10000&lt;=ROUND($OR$3,0))*('Margin Guidence Table'!$J$1:$J$10000&gt;=ROUND($OR$3,0)),0),MATCH("DEFAULT_SALES_LBS",'Margin Guidence Table'!$A$1:$AG$1,0))),0))</f>
        <v>0</v>
      </c>
      <c r="PE18" s="784">
        <f t="array" ref="PE18">IF('Customer Inputs'!$W$21="End",0,IFERROR(IF($PB18="SEGMENT",INDEX('Margin Guidence Table'!$A$1:$AG$10000,MATCH(1,('Margin Guidence Table'!$A$1:$A$10000=OZ18)*('Margin Guidence Table'!$I$1:$I$10000&lt;=ROUND($OR$3,0))*('Margin Guidence Table'!$J$1:$J$10000&gt;=ROUND($OR$3,0)),0),MATCH("MDA_MIN_MARGIN_GUIDENCE",'Margin Guidence Table'!$A$1:$AG$1,0)),INDEX('Margin Guidence Table'!$A$1:$AG$10000,MATCH(1,('Margin Guidence Table'!$A$1:$A$10000=OZ18)*('Margin Guidence Table'!$I$1:$I$10000&lt;=ROUND($OR$3,0))*('Margin Guidence Table'!$J$1:$J$10000&gt;=ROUND($OR$3,0)),0),MATCH("DEFAULT_MDA_MIN_MARGIN_GUIDENCE",'Margin Guidence Table'!$A$1:$AG$1,0))),0))</f>
        <v>0</v>
      </c>
      <c r="PF18" s="784">
        <f t="array" ref="PF18">IF('Customer Inputs'!$W$21="End",0,IFERROR(IF($PB18="SEGMENT",INDEX('Margin Guidence Table'!$A$1:$AG$10000,MATCH(1,('Margin Guidence Table'!$A$1:$A$10000=OZ18)*('Margin Guidence Table'!$I$1:$I$10000&lt;=ROUND($OR$3,0))*('Margin Guidence Table'!$J$1:$J$10000&gt;=ROUND($OR$3,0)),0),MATCH("MDA_MEDIAN_MARGIN_GUIDENCE",'Margin Guidence Table'!$A$1:$AG$1,0)),INDEX('Margin Guidence Table'!$A$1:$AG$10000,MATCH(1,('Margin Guidence Table'!$A$1:$A$10000=OZ18)*('Margin Guidence Table'!$I$1:$I$10000&lt;=ROUND($OR$3,0))*('Margin Guidence Table'!$J$1:$J$10000&gt;=ROUND($OR$3,0)),0),MATCH("DEFAULT_MDA_MEDIAN_MARGIN_GUIDENCE",'Margin Guidence Table'!$A$1:$AG$1,0))),0))</f>
        <v>0</v>
      </c>
      <c r="PG18" s="784">
        <f t="array" ref="PG18">IF('Customer Inputs'!$W$21="End",0,IFERROR(IF($PB18="SEGMENT",INDEX('Margin Guidence Table'!$A$1:$AG$10000,MATCH(1,('Margin Guidence Table'!$A$1:$A$10000=OZ18)*('Margin Guidence Table'!$I$1:$I$10000&lt;=ROUND($OR$3,0))*('Margin Guidence Table'!$J$1:$J$10000&gt;=ROUND($OR$3,0)),0),MATCH("MDA_MAX_MARGIN_GUIDENCE",'Margin Guidence Table'!$A$1:$AG$1,0)),INDEX('Margin Guidence Table'!$A$1:$AG$10000,MATCH(1,('Margin Guidence Table'!$A$1:$A$10000=OZ18)*('Margin Guidence Table'!$I$1:$I$10000&lt;=ROUND($OR$3,0))*('Margin Guidence Table'!$J$1:$J$10000&gt;=ROUND($OR$3,0)),0),MATCH("DEFAULT_MDA_MAX_MARGIN_GUIDENCE",'Margin Guidence Table'!$A$1:$AG$1,0))),0))</f>
        <v>0</v>
      </c>
      <c r="PH18" s="784">
        <f t="array" ref="PH18">IF('Customer Inputs'!$W$21="End",0,IFERROR(IF($PB18="SEGMENT",INDEX('Margin Guidence Table'!$A$1:$AG$10000,MATCH(1,('Margin Guidence Table'!$A$1:$A$10000=OZ18)*('Margin Guidence Table'!$I$1:$I$10000&lt;=ROUND($OR$3,0))*('Margin Guidence Table'!$J$1:$J$10000&gt;=ROUND($OR$3,0)),0),MATCH("PA_PCT_SALES",'Margin Guidence Table'!$A$1:$AG$1,0)),INDEX('Margin Guidence Table'!$A$1:$AG$10000,MATCH(1,('Margin Guidence Table'!$A$1:$A$10000=OZ18)*('Margin Guidence Table'!$I$1:$I$10000&lt;=ROUND($OR$3,0))*('Margin Guidence Table'!$J$1:$J$10000&gt;=ROUND($OR$3,0)),0),MATCH("DEFAULT_PA_PCT_SALES",'Margin Guidence Table'!$A$1:$AG$1,0))),0))</f>
        <v>0</v>
      </c>
      <c r="PI18" s="784">
        <f t="array" ref="PI18">IF('Customer Inputs'!$W$21="End",0,IFERROR(IF($PB18="SEGMENT",INDEX('Margin Guidence Table'!$A$1:$AG$10000,MATCH(1,('Margin Guidence Table'!$A$1:$A$10000=OZ18)*('Margin Guidence Table'!$I$1:$I$10000&lt;=ROUND($OR$3,0))*('Margin Guidence Table'!$J$1:$J$10000&gt;=ROUND($OR$3,0)),0),MATCH("SELF_FUND_PCT_SALES",'Margin Guidence Table'!$A$1:$AG$1,0)),INDEX('Margin Guidence Table'!$A$1:$AG$10000,MATCH(1,('Margin Guidence Table'!$A$1:$A$10000=OZ18)*('Margin Guidence Table'!$I$1:$I$10000&lt;=ROUND($OR$3,0))*('Margin Guidence Table'!$J$1:$J$10000&gt;=ROUND($OR$3,0)),0),MATCH("DEFAULT_SELF_FUND_PCT_SALES",'Margin Guidence Table'!$A$1:$AG$1,0))),0))</f>
        <v>0</v>
      </c>
      <c r="PJ18" s="784">
        <f t="array" ref="PJ18">IF('Customer Inputs'!$W$21="End",0,IF($OS$2="Existing",IFERROR(SUMIFS('Existing Customers'!$V:$V,'Existing Customers'!$H:$H,$OQ18,'Existing Customers'!$A:$A,$OR$1)/SUMIFS('Existing Customers'!$Q:$Q,'Existing Customers'!$H:$H,$OQ18,'Existing Customers'!$A:$A,$OR$1),0),IFERROR(IF($PB18="SEGMENT",INDEX('Margin Guidence Table'!$A$1:$AG$10000,MATCH(1,('Margin Guidence Table'!$A$1:$A$10000=OZ18)*('Margin Guidence Table'!$I$1:$I$10000&lt;=ROUND($OR$3,0))*('Margin Guidence Table'!$J$1:$J$10000&gt;=ROUND($OR$3,0)),0),MATCH("CIA_MEDIAN_MARGIN_GUIDENCE",'Margin Guidence Table'!$A$1:$AG$1,0)),INDEX('Margin Guidence Table'!$A$1:$AG$10000,MATCH(1,('Margin Guidence Table'!$A$1:$A$10000=OZ18)*('Margin Guidence Table'!$I$1:$I$10000&lt;=ROUND($OR$3,0))*('Margin Guidence Table'!$J$1:$J$10000&gt;=ROUND($OR$3,0)),0),MATCH("DEFAULT_CIA_MEDIAN_MARGIN_GUIDENCE",'Margin Guidence Table'!$A$1:$AG$1,0))),0)))</f>
        <v>0</v>
      </c>
      <c r="PK18" s="784"/>
      <c r="PL18" s="18">
        <f t="array" ref="PL18">IF('Customer Inputs'!$W$22="End",0,IFERROR(IF($PY18="SEGMENT",INDEX('Margin Guidence Table'!$A$1:$AG$10000,MATCH(1,('Margin Guidence Table'!$A$1:$A$10000=$PW18)*('Margin Guidence Table'!$I$1:$I$10000&lt;=ROUND($PO$3,0))*('Margin Guidence Table'!$J$1:$J$10000&gt;=ROUND($PO$3,0)),0),MATCH("PCT_SALES",'Margin Guidence Table'!$A$1:$AG$1,0)),INDEX('Margin Guidence Table'!$A$1:$AG$10000,MATCH(1,('Margin Guidence Table'!$A$1:$A$10000=$PW18)*('Margin Guidence Table'!$I$1:$I$10000&lt;=ROUND($PO$3,0))*('Margin Guidence Table'!$J$1:$J$10000&gt;=ROUND($PO$3,0)),0),MATCH("DEFAULT_PCT_SALES",'Margin Guidence Table'!$A$1:$AG$1,0))),0))</f>
        <v>0</v>
      </c>
      <c r="PM18" s="1713" t="e">
        <f t="shared" si="64"/>
        <v>#DIV/0!</v>
      </c>
      <c r="PN18" s="99" t="s">
        <v>100</v>
      </c>
      <c r="PO18" s="91">
        <f>IF('Customer Inputs'!$W$22="End",0,IFERROR(IF(AND($PO$2&lt;&gt;"Enter Spend&gt;&gt;&gt;",$PP$2="EXISTING"),SUMIFS('Existing Customers'!$Q:$Q,'Existing Customers'!$A:$A,$PO$1,'Existing Customers'!$H:$H,$PN18)*$PO$4,$PO$3*$PM18),0))</f>
        <v>0</v>
      </c>
      <c r="PP18" s="86">
        <f>IF('Customer Inputs'!$W$22="End",0,IFERROR(IF(AND($PO$2&lt;&gt;"Enter Spend&gt;&gt;&gt;",$PP$2="EXISTING"),SUMIFS('Existing Customers'!$N:$N,'Existing Customers'!$A:$A,$PO$1,'Existing Customers'!$H:$H,$PN18)*$PO$4,$PO18/$PZ18),0))</f>
        <v>0</v>
      </c>
      <c r="PQ18" s="92">
        <f>IF('Customer Inputs'!$W$22="End",0,IFERROR(IF(AND($PO$2&lt;&gt;"Enter Spend&gt;&gt;&gt;",$PP$2="EXISTING"),SUMIFS('Existing Customers'!$O:$O,'Existing Customers'!$H:$H,$PN18,'Existing Customers'!$A:$A,$PO$1)*$PO$4,$PP18*$PO$8),0))</f>
        <v>0</v>
      </c>
      <c r="PR18" s="92">
        <f>IF('Customer Inputs'!$W$22="End",0,IFERROR(IF(AND($PO$2&lt;&gt;"Enter Spend&gt;&gt;&gt;",$PP$2="EXISTING"),SUMIFS('Existing Customers'!$P:$P,'Existing Customers'!$A:$A,$PO$1,'Existing Customers'!$H:$H,$PN18)*$PO$4,$PO18/$QA18),0))</f>
        <v>0</v>
      </c>
      <c r="PS18" s="303">
        <f>IF('Customer Inputs'!$W$22="End",0,IFERROR(IF(AND($PO$2&lt;&gt;"Enter Spend&gt;&gt;&gt;",$PP$2="EXISTING"),SUMIFS('Existing Customers'!$V:$V,'Existing Customers'!$H:$H,$PN18,'Existing Customers'!$A:$A,$PO$1)*$PO$4,0),0))</f>
        <v>0</v>
      </c>
      <c r="PT18" s="93">
        <f>IF('Customer Inputs'!$W$22="End",0,IFERROR(IF(AND($PO$2&lt;&gt;"Enter Spend&gt;&gt;&gt;",$PP$2="EXISTING"),SUMIFS('Existing Customers'!$R:$R,'Existing Customers'!$H:$H,$PN18,'Existing Customers'!$A:$A,$PO$1)*$PO$4,0),0))</f>
        <v>0</v>
      </c>
      <c r="PU18" s="780">
        <f>IF('Customer Inputs'!$W$22="End",0,IFERROR(IF(AND($PO$2&lt;&gt;"Enter Spend&gt;&gt;&gt;",$PP$2="EXISTING"),SUMIFS('Existing Customers'!$S:$S,'Existing Customers'!$H:$H,$PN18,'Existing Customers'!$A:$A,$PO$1)/SUMIFS('Existing Customers'!$Q:$Q,'Existing Customers'!$A:$A,$PO$1,'Existing Customers'!$H:$H,$PN18),QE18),0))</f>
        <v>0</v>
      </c>
      <c r="PV18" s="780">
        <f>IF('Customer Inputs'!$W$22="End",0,IFERROR(IF(AND($PO$2&lt;&gt;"Enter Spend&gt;&gt;&gt;",$PP$2="EXISTING"),SUMIFS('Existing Customers'!$U:$U,'Existing Customers'!$H:$H,$PN18,'Existing Customers'!$A:$A,$PO$1)/SUMIFS('Existing Customers'!$Q:$Q,'Existing Customers'!$A:$A,$PO$1,'Existing Customers'!$H:$H,$PN18),QF18),0))</f>
        <v>0</v>
      </c>
      <c r="PW18" s="783" t="e">
        <f>_xlfn.CONCAT('Customer Inputs'!$AH$22,"_",PN18)</f>
        <v>#N/A</v>
      </c>
      <c r="PX18" s="783">
        <f t="array" ref="PX18">IF('Customer Inputs'!$W$22="End",0,IFERROR(INDEX('Margin Guidence Table'!$A$1:$AG$10000,MATCH(1,('Margin Guidence Table'!$A$1:$A$10000=PW18)*('Margin Guidence Table'!$I$1:$I$10000&lt;=ROUND($PO$3,0))*('Margin Guidence Table'!$J$1:$J$10000&gt;=ROUND($PO$3,0)),0),MATCH("DATA_POINTS",'Margin Guidence Table'!$A$1:$AG$1,0)),0))</f>
        <v>0</v>
      </c>
      <c r="PY18" s="780" t="str">
        <f t="shared" si="65"/>
        <v>DEFAULT</v>
      </c>
      <c r="PZ18" s="780">
        <f t="array" ref="PZ18">IF('Customer Inputs'!$W$22="End",0,IFERROR(IF($PY18="SEGMENT",INDEX('Margin Guidence Table'!$A$1:$AG$10000,MATCH(1,('Margin Guidence Table'!$A$1:$A$10000=PW18)*('Margin Guidence Table'!$I$1:$I$10000&lt;=ROUND($PO$3,0))*('Margin Guidence Table'!$J$1:$J$10000&gt;=ROUND($PO$3,0)),0),MATCH("SALES_CASE",'Margin Guidence Table'!$A$1:$AG$1,0)),INDEX('Margin Guidence Table'!$A$1:$AG$10000,MATCH(1,('Margin Guidence Table'!$A$1:$A$10000=PW18)*('Margin Guidence Table'!$I$1:$I$10000&lt;=ROUND($PO$3,0))*('Margin Guidence Table'!$J$1:$J$10000&gt;=ROUND($PO$3,0)),0),MATCH("DEFAULT_SALES_CASE",'Margin Guidence Table'!$A$1:$AG$1,0))),0))</f>
        <v>0</v>
      </c>
      <c r="QA18" s="780">
        <f t="array" ref="QA18">IF('Customer Inputs'!$W$22="End",0,IFERROR(IF($PY18="SEGMENT",INDEX('Margin Guidence Table'!$A$1:$AG$10000,MATCH(1,('Margin Guidence Table'!$A$1:$A$10000=PW18)*('Margin Guidence Table'!$I$1:$I$10000&lt;=ROUND($PO$3,0))*('Margin Guidence Table'!$J$1:$J$10000&gt;=ROUND($PO$3,0)),0),MATCH("SALES_LBS",'Margin Guidence Table'!$A$1:$AG$1,0)),INDEX('Margin Guidence Table'!$A$1:$AG$10000,MATCH(1,('Margin Guidence Table'!$A$1:$A$10000=PW18)*('Margin Guidence Table'!$I$1:$I$10000&lt;=ROUND($PO$3,0))*('Margin Guidence Table'!$J$1:$J$10000&gt;=ROUND($PO$3,0)),0),MATCH("DEFAULT_SALES_LBS",'Margin Guidence Table'!$A$1:$AG$1,0))),0))</f>
        <v>0</v>
      </c>
      <c r="QB18" s="784">
        <f t="array" ref="QB18">IF('Customer Inputs'!$W$22="End",0,IFERROR(IF($PY18="SEGMENT",INDEX('Margin Guidence Table'!$A$1:$AG$10000,MATCH(1,('Margin Guidence Table'!$A$1:$A$10000=PW18)*('Margin Guidence Table'!$I$1:$I$10000&lt;=ROUND($PO$3,0))*('Margin Guidence Table'!$J$1:$J$10000&gt;=ROUND($PO$3,0)),0),MATCH("MDA_MIN_MARGIN_GUIDENCE",'Margin Guidence Table'!$A$1:$AG$1,0)),INDEX('Margin Guidence Table'!$A$1:$AG$10000,MATCH(1,('Margin Guidence Table'!$A$1:$A$10000=PW18)*('Margin Guidence Table'!$I$1:$I$10000&lt;=ROUND($PO$3,0))*('Margin Guidence Table'!$J$1:$J$10000&gt;=ROUND($PO$3,0)),0),MATCH("DEFAULT_MDA_MIN_MARGIN_GUIDENCE",'Margin Guidence Table'!$A$1:$AG$1,0))),0))</f>
        <v>0</v>
      </c>
      <c r="QC18" s="784">
        <f t="array" ref="QC18">IF('Customer Inputs'!$W$22="End",0,IFERROR(IF($PY18="SEGMENT",INDEX('Margin Guidence Table'!$A$1:$AG$10000,MATCH(1,('Margin Guidence Table'!$A$1:$A$10000=PW18)*('Margin Guidence Table'!$I$1:$I$10000&lt;=ROUND($PO$3,0))*('Margin Guidence Table'!$J$1:$J$10000&gt;=ROUND($PO$3,0)),0),MATCH("MDA_MEDIAN_MARGIN_GUIDENCE",'Margin Guidence Table'!$A$1:$AG$1,0)),INDEX('Margin Guidence Table'!$A$1:$AG$10000,MATCH(1,('Margin Guidence Table'!$A$1:$A$10000=PW18)*('Margin Guidence Table'!$I$1:$I$10000&lt;=ROUND($PO$3,0))*('Margin Guidence Table'!$J$1:$J$10000&gt;=ROUND($PO$3,0)),0),MATCH("DEFAULT_MDA_MEDIAN_MARGIN_GUIDENCE",'Margin Guidence Table'!$A$1:$AG$1,0))),0))</f>
        <v>0</v>
      </c>
      <c r="QD18" s="784">
        <f t="array" ref="QD18">IF('Customer Inputs'!$W$22="End",0,IFERROR(IF($PY18="SEGMENT",INDEX('Margin Guidence Table'!$A$1:$AG$10000,MATCH(1,('Margin Guidence Table'!$A$1:$A$10000=PW18)*('Margin Guidence Table'!$I$1:$I$10000&lt;=ROUND($PO$3,0))*('Margin Guidence Table'!$J$1:$J$10000&gt;=ROUND($PO$3,0)),0),MATCH("MDA_MAX_MARGIN_GUIDENCE",'Margin Guidence Table'!$A$1:$AG$1,0)),INDEX('Margin Guidence Table'!$A$1:$AG$10000,MATCH(1,('Margin Guidence Table'!$A$1:$A$10000=PW18)*('Margin Guidence Table'!$I$1:$I$10000&lt;=ROUND($PO$3,0))*('Margin Guidence Table'!$J$1:$J$10000&gt;=ROUND($PO$3,0)),0),MATCH("DEFAULT_MDA_MAX_MARGIN_GUIDENCE",'Margin Guidence Table'!$A$1:$AG$1,0))),0))</f>
        <v>0</v>
      </c>
      <c r="QE18" s="784">
        <f t="array" ref="QE18">IF('Customer Inputs'!$W$22="End",0,IFERROR(IF($PY18="SEGMENT",INDEX('Margin Guidence Table'!$A$1:$AG$10000,MATCH(1,('Margin Guidence Table'!$A$1:$A$10000=PW18)*('Margin Guidence Table'!$I$1:$I$10000&lt;=ROUND($PO$3,0))*('Margin Guidence Table'!$J$1:$J$10000&gt;=ROUND($PO$3,0)),0),MATCH("PA_PCT_SALES",'Margin Guidence Table'!$A$1:$AG$1,0)),INDEX('Margin Guidence Table'!$A$1:$AG$10000,MATCH(1,('Margin Guidence Table'!$A$1:$A$10000=PW18)*('Margin Guidence Table'!$I$1:$I$10000&lt;=ROUND($PO$3,0))*('Margin Guidence Table'!$J$1:$J$10000&gt;=ROUND($PO$3,0)),0),MATCH("DEFAULT_PA_PCT_SALES",'Margin Guidence Table'!$A$1:$AG$1,0))),0))</f>
        <v>0</v>
      </c>
      <c r="QF18" s="784">
        <f t="array" ref="QF18">IF('Customer Inputs'!$W$22="End",0,IFERROR(IF($PY18="SEGMENT",INDEX('Margin Guidence Table'!$A$1:$AG$10000,MATCH(1,('Margin Guidence Table'!$A$1:$A$10000=PW18)*('Margin Guidence Table'!$I$1:$I$10000&lt;=ROUND($PO$3,0))*('Margin Guidence Table'!$J$1:$J$10000&gt;=ROUND($PO$3,0)),0),MATCH("SELF_FUND_PCT_SALES",'Margin Guidence Table'!$A$1:$AG$1,0)),INDEX('Margin Guidence Table'!$A$1:$AG$10000,MATCH(1,('Margin Guidence Table'!$A$1:$A$10000=PW18)*('Margin Guidence Table'!$I$1:$I$10000&lt;=ROUND($PO$3,0))*('Margin Guidence Table'!$J$1:$J$10000&gt;=ROUND($PO$3,0)),0),MATCH("DEFAULT_SELF_FUND_PCT_SALES",'Margin Guidence Table'!$A$1:$AG$1,0))),0))</f>
        <v>0</v>
      </c>
      <c r="QG18" s="784">
        <f t="array" ref="QG18">IF('Customer Inputs'!$W$22="End",0,IF($PP$2="Existing",IFERROR(SUMIFS('Existing Customers'!$V:$V,'Existing Customers'!$H:$H,$PN18,'Existing Customers'!$A:$A,$PO$1)/SUMIFS('Existing Customers'!$Q:$Q,'Existing Customers'!$H:$H,$PN18,'Existing Customers'!$A:$A,$PO$1),0),IFERROR(IF($PY18="SEGMENT",INDEX('Margin Guidence Table'!$A$1:$AG$10000,MATCH(1,('Margin Guidence Table'!$A$1:$A$10000=PW18)*('Margin Guidence Table'!$I$1:$I$10000&lt;=ROUND($PO$3,0))*('Margin Guidence Table'!$J$1:$J$10000&gt;=ROUND($PO$3,0)),0),MATCH("CIA_MEDIAN_MARGIN_GUIDENCE",'Margin Guidence Table'!$A$1:$AG$1,0)),INDEX('Margin Guidence Table'!$A$1:$AG$10000,MATCH(1,('Margin Guidence Table'!$A$1:$A$10000=PW18)*('Margin Guidence Table'!$I$1:$I$10000&lt;=ROUND($PO$3,0))*('Margin Guidence Table'!$J$1:$J$10000&gt;=ROUND($PO$3,0)),0),MATCH("DEFAULT_CIA_MEDIAN_MARGIN_GUIDENCE",'Margin Guidence Table'!$A$1:$AG$1,0))),0)))</f>
        <v>0</v>
      </c>
      <c r="QH18" s="784"/>
      <c r="QI18" s="18">
        <f t="array" ref="QI18">IF('Customer Inputs'!$W$23="End",0,IFERROR(IF($QV18="SEGMENT",INDEX('Margin Guidence Table'!$A$1:$AG$10000,MATCH(1,('Margin Guidence Table'!$A$1:$A$10000=$QT18)*('Margin Guidence Table'!$I$1:$I$10000&lt;=ROUND($QL$3,0))*('Margin Guidence Table'!$J$1:$J$10000&gt;=ROUND($QL$3,0)),0),MATCH("PCT_SALES",'Margin Guidence Table'!$A$1:$AG$1,0)),INDEX('Margin Guidence Table'!$A$1:$AG$10000,MATCH(1,('Margin Guidence Table'!$A$1:$A$10000=$QT18)*('Margin Guidence Table'!$I$1:$I$10000&lt;=ROUND($QL$3,0))*('Margin Guidence Table'!$J$1:$J$10000&gt;=ROUND($QL$3,0)),0),MATCH("DEFAULT_PCT_SALES",'Margin Guidence Table'!$A$1:$AG$1,0))),0))</f>
        <v>0</v>
      </c>
      <c r="QJ18" s="1713" t="e">
        <f t="shared" si="66"/>
        <v>#DIV/0!</v>
      </c>
      <c r="QK18" s="99" t="s">
        <v>100</v>
      </c>
      <c r="QL18" s="91">
        <f>IF('Customer Inputs'!$W$23="End",0,IFERROR(IF(AND($QL$2&lt;&gt;"Enter Spend&gt;&gt;&gt;",$QM$2="EXISTING"),SUMIFS('Existing Customers'!$Q:$Q,'Existing Customers'!$A:$A,$QL$1,'Existing Customers'!$H:$H,$QK18)*$QL$4,$QL$3*$QJ18),0))</f>
        <v>0</v>
      </c>
      <c r="QM18" s="86">
        <f>IF('Customer Inputs'!$W$23="End",0,IFERROR(IF(AND($QL$2&lt;&gt;"Enter Spend&gt;&gt;&gt;",$QM$2="EXISTING"),SUMIFS('Existing Customers'!$N:$N,'Existing Customers'!$A:$A,$QL$1,'Existing Customers'!$H:$H,$QK18)*$QL$4,$QL18/$QW18),0))</f>
        <v>0</v>
      </c>
      <c r="QN18" s="92">
        <f>IF('Customer Inputs'!$W$23="End",0,IFERROR(IF(AND($QL$2&lt;&gt;"Enter Spend&gt;&gt;&gt;",$QM$2="EXISTING"),SUMIFS('Existing Customers'!$O:$O,'Existing Customers'!$H:$H,$QK18,'Existing Customers'!$A:$A,$QL$1)*$QL$4,$QM18*$QL$8),0))</f>
        <v>0</v>
      </c>
      <c r="QO18" s="92">
        <f>IF('Customer Inputs'!$W$23="End",0,IFERROR(IF(AND($QL$2&lt;&gt;"Enter Spend&gt;&gt;&gt;",$QM$2="EXISTING"),SUMIFS('Existing Customers'!$P:$P,'Existing Customers'!$A:$A,$QL$1,'Existing Customers'!$H:$H,$QK18)*$QL$4,$QL18/$QX18),0))</f>
        <v>0</v>
      </c>
      <c r="QP18" s="303">
        <f>IF('Customer Inputs'!$W$23="End",0,IFERROR(IF(AND($QL$2&lt;&gt;"Enter Spend&gt;&gt;&gt;",$QM$2="EXISTING"),SUMIFS('Existing Customers'!$V:$V,'Existing Customers'!$H:$H,$QK18,'Existing Customers'!$A:$A,$QL$1)*$QL$4,0),0))</f>
        <v>0</v>
      </c>
      <c r="QQ18" s="93">
        <f>IF('Customer Inputs'!$W$23="End",0,IFERROR(IF(AND($QL$2&lt;&gt;"Enter Spend&gt;&gt;&gt;",$QM$2="EXISTING"),SUMIFS('Existing Customers'!$R:$R,'Existing Customers'!$H:$H,$QK18,'Existing Customers'!$A:$A,$QL$1)*$QL$4,0),0))</f>
        <v>0</v>
      </c>
      <c r="QR18" s="780">
        <f>IF('Customer Inputs'!$W$23="End",0,IFERROR(IF(AND($QL$2&lt;&gt;"Enter Spend&gt;&gt;&gt;",$QM$2="EXISTING"),SUMIFS('Existing Customers'!$S:$S,'Existing Customers'!$H:$H,$QK18,'Existing Customers'!$A:$A,$QL$1)/SUMIFS('Existing Customers'!$Q:$Q,'Existing Customers'!$A:$A,$QL$1,'Existing Customers'!$H:$H,$QK18),RB18),0))</f>
        <v>0</v>
      </c>
      <c r="QS18" s="780">
        <f>IF('Customer Inputs'!$W$23="End",0,IFERROR(IF(AND($QL$2&lt;&gt;"Enter Spend&gt;&gt;&gt;",$QM$2="EXISTING"),SUMIFS('Existing Customers'!$U:$U,'Existing Customers'!$H:$H,$QK18,'Existing Customers'!$A:$A,$QL$1)/SUMIFS('Existing Customers'!$Q:$Q,'Existing Customers'!$A:$A,$QL$1,'Existing Customers'!$H:$H,$QK18),RC18),0))</f>
        <v>0</v>
      </c>
      <c r="QT18" s="783" t="e">
        <f>_xlfn.CONCAT('Customer Inputs'!$AH$23,"_",QK18)</f>
        <v>#N/A</v>
      </c>
      <c r="QU18" s="783">
        <f t="array" ref="QU18">IF('Customer Inputs'!$W$23="End",0,IFERROR(INDEX('Margin Guidence Table'!$A$1:$AG$10000,MATCH(1,('Margin Guidence Table'!$A$1:$A$10000=QT18)*('Margin Guidence Table'!$I$1:$I$10000&lt;=ROUND($QL$3,0))*('Margin Guidence Table'!$J$1:$J$10000&gt;=ROUND($QL$3,0)),0),MATCH("DATA_POINTS",'Margin Guidence Table'!$A$1:$AG$1,0)),0))</f>
        <v>0</v>
      </c>
      <c r="QV18" s="780" t="str">
        <f t="shared" si="67"/>
        <v>DEFAULT</v>
      </c>
      <c r="QW18" s="780">
        <f t="array" ref="QW18">IF('Customer Inputs'!$W$23="End",0,IFERROR(IF($QV18="SEGMENT",INDEX('Margin Guidence Table'!$A$1:$AG$10000,MATCH(1,('Margin Guidence Table'!$A$1:$A$10000=QT18)*('Margin Guidence Table'!$I$1:$I$10000&lt;=ROUND($QL$3,0))*('Margin Guidence Table'!$J$1:$J$10000&gt;=ROUND($QL$3,0)),0),MATCH("SALES_CASE",'Margin Guidence Table'!$A$1:$AG$1,0)),INDEX('Margin Guidence Table'!$A$1:$AG$10000,MATCH(1,('Margin Guidence Table'!$A$1:$A$10000=QT18)*('Margin Guidence Table'!$I$1:$I$10000&lt;=ROUND($QL$3,0))*('Margin Guidence Table'!$J$1:$J$10000&gt;=ROUND($QL$3,0)),0),MATCH("DEFAULT_SALES_CASE",'Margin Guidence Table'!$A$1:$AG$1,0))),0))</f>
        <v>0</v>
      </c>
      <c r="QX18" s="780">
        <f t="array" ref="QX18">IF('Customer Inputs'!$W$23="End",0,IFERROR(IF($QV18="SEGMENT",INDEX('Margin Guidence Table'!$A$1:$AG$10000,MATCH(1,('Margin Guidence Table'!$A$1:$A$10000=QT18)*('Margin Guidence Table'!$I$1:$I$10000&lt;=ROUND($QL$3,0))*('Margin Guidence Table'!$J$1:$J$10000&gt;=ROUND($QL$3,0)),0),MATCH("SALES_LBS",'Margin Guidence Table'!$A$1:$AG$1,0)),INDEX('Margin Guidence Table'!$A$1:$AG$10000,MATCH(1,('Margin Guidence Table'!$A$1:$A$10000=QT18)*('Margin Guidence Table'!$I$1:$I$10000&lt;=ROUND($QL$3,0))*('Margin Guidence Table'!$J$1:$J$10000&gt;=ROUND($QL$3,0)),0),MATCH("DEFAULT_SALES_LBS",'Margin Guidence Table'!$A$1:$AG$1,0))),0))</f>
        <v>0</v>
      </c>
      <c r="QY18" s="784">
        <f t="array" ref="QY18">IF('Customer Inputs'!$W$23="End",0,IFERROR(IF($QV18="SEGMENT",INDEX('Margin Guidence Table'!$A$1:$AG$10000,MATCH(1,('Margin Guidence Table'!$A$1:$A$10000=QT18)*('Margin Guidence Table'!$I$1:$I$10000&lt;=ROUND($QL$3,0))*('Margin Guidence Table'!$J$1:$J$10000&gt;=ROUND($QL$3,0)),0),MATCH("MDA_MIN_MARGIN_GUIDENCE",'Margin Guidence Table'!$A$1:$AG$1,0)),INDEX('Margin Guidence Table'!$A$1:$AG$10000,MATCH(1,('Margin Guidence Table'!$A$1:$A$10000=QT18)*('Margin Guidence Table'!$I$1:$I$10000&lt;=ROUND($QL$3,0))*('Margin Guidence Table'!$J$1:$J$10000&gt;=ROUND($QL$3,0)),0),MATCH("DEFAULT_MDA_MIN_MARGIN_GUIDENCE",'Margin Guidence Table'!$A$1:$AG$1,0))),0))</f>
        <v>0</v>
      </c>
      <c r="QZ18" s="784">
        <f t="array" ref="QZ18">IF('Customer Inputs'!$W$23="End",0,IFERROR(IF($QV18="SEGMENT",INDEX('Margin Guidence Table'!$A$1:$AG$10000,MATCH(1,('Margin Guidence Table'!$A$1:$A$10000=QT18)*('Margin Guidence Table'!$I$1:$I$10000&lt;=ROUND($QL$3,0))*('Margin Guidence Table'!$J$1:$J$10000&gt;=ROUND($QL$3,0)),0),MATCH("MDA_MEDIAN_MARGIN_GUIDENCE",'Margin Guidence Table'!$A$1:$AG$1,0)),INDEX('Margin Guidence Table'!$A$1:$AG$10000,MATCH(1,('Margin Guidence Table'!$A$1:$A$10000=QT18)*('Margin Guidence Table'!$I$1:$I$10000&lt;=ROUND($QL$3,0))*('Margin Guidence Table'!$J$1:$J$10000&gt;=ROUND($QL$3,0)),0),MATCH("DEFAULT_MDA_MEDIAN_MARGIN_GUIDENCE",'Margin Guidence Table'!$A$1:$AG$1,0))),0))</f>
        <v>0</v>
      </c>
      <c r="RA18" s="784">
        <f t="array" ref="RA18">IF('Customer Inputs'!$W$23="End",0,IFERROR(IF($QV18="SEGMENT",INDEX('Margin Guidence Table'!$A$1:$AG$10000,MATCH(1,('Margin Guidence Table'!$A$1:$A$10000=QT18)*('Margin Guidence Table'!$I$1:$I$10000&lt;=ROUND($QL$3,0))*('Margin Guidence Table'!$J$1:$J$10000&gt;=ROUND($QL$3,0)),0),MATCH("MDA_MAX_MARGIN_GUIDENCE",'Margin Guidence Table'!$A$1:$AG$1,0)),INDEX('Margin Guidence Table'!$A$1:$AG$10000,MATCH(1,('Margin Guidence Table'!$A$1:$A$10000=QT18)*('Margin Guidence Table'!$I$1:$I$10000&lt;=ROUND($QL$3,0))*('Margin Guidence Table'!$J$1:$J$10000&gt;=ROUND($QL$3,0)),0),MATCH("DEFAULT_MDA_MAX_MARGIN_GUIDENCE",'Margin Guidence Table'!$A$1:$AG$1,0))),0))</f>
        <v>0</v>
      </c>
      <c r="RB18" s="784">
        <f t="array" ref="RB18">IF('Customer Inputs'!$W$23="End",0,IFERROR(IF($QV18="SEGMENT",INDEX('Margin Guidence Table'!$A$1:$AG$10000,MATCH(1,('Margin Guidence Table'!$A$1:$A$10000=QT18)*('Margin Guidence Table'!$I$1:$I$10000&lt;=ROUND($QL$3,0))*('Margin Guidence Table'!$J$1:$J$10000&gt;=ROUND($QL$3,0)),0),MATCH("PA_PCT_SALES",'Margin Guidence Table'!$A$1:$AG$1,0)),INDEX('Margin Guidence Table'!$A$1:$AG$10000,MATCH(1,('Margin Guidence Table'!$A$1:$A$10000=QT18)*('Margin Guidence Table'!$I$1:$I$10000&lt;=ROUND($QL$3,0))*('Margin Guidence Table'!$J$1:$J$10000&gt;=ROUND($QL$3,0)),0),MATCH("DEFAULT_PA_PCT_SALES",'Margin Guidence Table'!$A$1:$AG$1,0))),0))</f>
        <v>0</v>
      </c>
      <c r="RC18" s="784">
        <f t="array" ref="RC18">IF('Customer Inputs'!$W$23="End",0,IFERROR(IF($QV18="SEGMENT",INDEX('Margin Guidence Table'!$A$1:$AG$10000,MATCH(1,('Margin Guidence Table'!$A$1:$A$10000=QT18)*('Margin Guidence Table'!$I$1:$I$10000&lt;=ROUND($QL$3,0))*('Margin Guidence Table'!$J$1:$J$10000&gt;=ROUND($QL$3,0)),0),MATCH("SELF_FUND_PCT_SALES",'Margin Guidence Table'!$A$1:$AG$1,0)),INDEX('Margin Guidence Table'!$A$1:$AG$10000,MATCH(1,('Margin Guidence Table'!$A$1:$A$10000=QT18)*('Margin Guidence Table'!$I$1:$I$10000&lt;=ROUND($QL$3,0))*('Margin Guidence Table'!$J$1:$J$10000&gt;=ROUND($QL$3,0)),0),MATCH("DEFAULT_SELF_FUND_PCT_SALES",'Margin Guidence Table'!$A$1:$AG$1,0))),0))</f>
        <v>0</v>
      </c>
      <c r="RD18" s="784">
        <f t="array" ref="RD18">IF('Customer Inputs'!$W$23="End",0,IF($QM$2="Existing",IFERROR(SUMIFS('Existing Customers'!$V:$V,'Existing Customers'!$H:$H,$QK18,'Existing Customers'!$A:$A,$QL$1)/SUMIFS('Existing Customers'!$Q:$Q,'Existing Customers'!$H:$H,$QK18,'Existing Customers'!$A:$A,$QL$1),0),IFERROR(IF($QV18="SEGMENT",INDEX('Margin Guidence Table'!$A$1:$AG$10000,MATCH(1,('Margin Guidence Table'!$A$1:$A$10000=QT18)*('Margin Guidence Table'!$I$1:$I$10000&lt;=ROUND($QL$3,0))*('Margin Guidence Table'!$J$1:$J$10000&gt;=ROUND($QL$3,0)),0),MATCH("CIA_MEDIAN_MARGIN_GUIDENCE",'Margin Guidence Table'!$A$1:$AG$1,0)),INDEX('Margin Guidence Table'!$A$1:$AG$10000,MATCH(1,('Margin Guidence Table'!$A$1:$A$10000=QT18)*('Margin Guidence Table'!$I$1:$I$10000&lt;=ROUND($QL$3,0))*('Margin Guidence Table'!$J$1:$J$10000&gt;=ROUND($QL$3,0)),0),MATCH("DEFAULT_CIA_MEDIAN_MARGIN_GUIDENCE",'Margin Guidence Table'!$A$1:$AG$1,0))),0)))</f>
        <v>0</v>
      </c>
      <c r="RE18" s="784"/>
      <c r="RF18" s="18">
        <f t="array" ref="RF18">IF('Customer Inputs'!$W$24="End",0,IFERROR(IF($RS18="SEGMENT",INDEX('Margin Guidence Table'!$A$1:$AG$10000,MATCH(1,('Margin Guidence Table'!$A$1:$A$10000=$RQ18)*('Margin Guidence Table'!$I$1:$I$10000&lt;=ROUND($RI$3,0))*('Margin Guidence Table'!$J$1:$J$10000&gt;=ROUND($RI$3,0)),0),MATCH("PCT_SALES",'Margin Guidence Table'!$A$1:$AG$1,0)),INDEX('Margin Guidence Table'!$A$1:$AG$10000,MATCH(1,('Margin Guidence Table'!$A$1:$A$10000=$RQ18)*('Margin Guidence Table'!$I$1:$I$10000&lt;=ROUND($RI$3,0))*('Margin Guidence Table'!$J$1:$J$10000&gt;=ROUND($RI$3,0)),0),MATCH("DEFAULT_PCT_SALES",'Margin Guidence Table'!$A$1:$AG$1,0))),0))</f>
        <v>0</v>
      </c>
      <c r="RG18" s="1713" t="e">
        <f t="shared" si="68"/>
        <v>#DIV/0!</v>
      </c>
      <c r="RH18" s="99" t="s">
        <v>100</v>
      </c>
      <c r="RI18" s="91">
        <f>IF('Customer Inputs'!$W$24="End",0,IFERROR(IF(AND($RI$2&lt;&gt;"Enter Spend&gt;&gt;&gt;",$RJ$2="EXISTING"),SUMIFS('Existing Customers'!$Q:$Q,'Existing Customers'!$A:$A,$RI$1,'Existing Customers'!$H:$H,$RH18)*$RI$4,$RI$3*$RG18),0))</f>
        <v>0</v>
      </c>
      <c r="RJ18" s="86">
        <f>IF('Customer Inputs'!$W$24="End",0,IFERROR(IF(AND($RI$2&lt;&gt;"Enter Spend&gt;&gt;&gt;",$RJ$2="EXISTING"),SUMIFS('Existing Customers'!$N:$N,'Existing Customers'!$A:$A,$RI$1,'Existing Customers'!$H:$H,$RH18)*$RI$4,$RI18/$RT18),0))</f>
        <v>0</v>
      </c>
      <c r="RK18" s="92">
        <f>IF('Customer Inputs'!$W$24="End",0,IFERROR(IF(AND($RI$2&lt;&gt;"Enter Spend&gt;&gt;&gt;",$RJ$2="EXISTING"),SUMIFS('Existing Customers'!$O:$O,'Existing Customers'!$H:$H,$RH18,'Existing Customers'!$A:$A,$RI$1)*$RI$4,$RJ18*$RI$8),0))</f>
        <v>0</v>
      </c>
      <c r="RL18" s="92">
        <f>IF('Customer Inputs'!$W$24="End",0,IFERROR(IF(AND($RI$2&lt;&gt;"Enter Spend&gt;&gt;&gt;",$RJ$2="EXISTING"),SUMIFS('Existing Customers'!$P:$P,'Existing Customers'!$A:$A,$RI$1,'Existing Customers'!$H:$H,$RH18)*$RI$4,$RI18/$RU18),0))</f>
        <v>0</v>
      </c>
      <c r="RM18" s="303">
        <f>IF('Customer Inputs'!$W$24="End",0,IFERROR(IF(AND($RI$2&lt;&gt;"Enter Spend&gt;&gt;&gt;",$RJ$2="EXISTING"),SUMIFS('Existing Customers'!$V:$V,'Existing Customers'!$H:$H,$RH18,'Existing Customers'!$A:$A,$RI$1)*$RI$4,0),0))</f>
        <v>0</v>
      </c>
      <c r="RN18" s="93">
        <f>IF('Customer Inputs'!$W$24="End",0,IFERROR(IF(AND($RI$2&lt;&gt;"Enter Spend&gt;&gt;&gt;",$RJ$2="EXISTING"),SUMIFS('Existing Customers'!$R:$R,'Existing Customers'!$H:$H,$RH18,'Existing Customers'!$A:$A,$RI$1)*$RI$4,0),0))</f>
        <v>0</v>
      </c>
      <c r="RO18" s="780">
        <f>IF('Customer Inputs'!$W$24="End",0,IFERROR(IF(AND($RI$2&lt;&gt;"Enter Spend&gt;&gt;&gt;",$RJ$2="EXISTING"),SUMIFS('Existing Customers'!$S:$S,'Existing Customers'!$H:$H,$RH18,'Existing Customers'!$A:$A,$RI$1)/SUMIFS('Existing Customers'!$Q:$Q,'Existing Customers'!$A:$A,$RI$1,'Existing Customers'!$H:$H,$RH18),RY18),0))</f>
        <v>0</v>
      </c>
      <c r="RP18" s="780">
        <f>IF('Customer Inputs'!$W$24="End",0,IFERROR(IF(AND($RI$2&lt;&gt;"Enter Spend&gt;&gt;&gt;",$RJ$2="EXISTING"),SUMIFS('Existing Customers'!$U:$U,'Existing Customers'!$H:$H,$RH18,'Existing Customers'!$A:$A,$RI$1)/SUMIFS('Existing Customers'!$Q:$Q,'Existing Customers'!$A:$A,$RI$1,'Existing Customers'!$H:$H,$RH18),RZ18),0))</f>
        <v>0</v>
      </c>
      <c r="RQ18" s="783" t="e">
        <f>_xlfn.CONCAT('Customer Inputs'!$AH$24,"_",RH18)</f>
        <v>#N/A</v>
      </c>
      <c r="RR18" s="783">
        <f t="array" ref="RR18">IF('Customer Inputs'!$W$24="End",0,IFERROR(INDEX('Margin Guidence Table'!$A$1:$AG$10000,MATCH(1,('Margin Guidence Table'!$A$1:$A$10000=RQ18)*('Margin Guidence Table'!$I$1:$I$10000&lt;=ROUND($RI$3,0))*('Margin Guidence Table'!$J$1:$J$10000&gt;=ROUND($RI$3,0)),0),MATCH("DATA_POINTS",'Margin Guidence Table'!$A$1:$AG$1,0)),0))</f>
        <v>0</v>
      </c>
      <c r="RS18" s="780" t="str">
        <f t="shared" si="69"/>
        <v>DEFAULT</v>
      </c>
      <c r="RT18" s="780">
        <f t="array" ref="RT18">IF('Customer Inputs'!$W$24="End",0,IFERROR(IF($RS18="SEGMENT",INDEX('Margin Guidence Table'!$A$1:$AG$10000,MATCH(1,('Margin Guidence Table'!$A$1:$A$10000=RQ18)*('Margin Guidence Table'!$I$1:$I$10000&lt;=ROUND($RI$3,0))*('Margin Guidence Table'!$J$1:$J$10000&gt;=ROUND($RI$3,0)),0),MATCH("SALES_CASE",'Margin Guidence Table'!$A$1:$AG$1,0)),INDEX('Margin Guidence Table'!$A$1:$AG$10000,MATCH(1,('Margin Guidence Table'!$A$1:$A$10000=RQ18)*('Margin Guidence Table'!$I$1:$I$10000&lt;=ROUND($RI$3,0))*('Margin Guidence Table'!$J$1:$J$10000&gt;=ROUND($RI$3,0)),0),MATCH("DEFAULT_SALES_CASE",'Margin Guidence Table'!$A$1:$AG$1,0))),0))</f>
        <v>0</v>
      </c>
      <c r="RU18" s="780">
        <f t="array" ref="RU18">IF('Customer Inputs'!$W$24="End",0,IFERROR(IF($RS18="SEGMENT",INDEX('Margin Guidence Table'!$A$1:$AG$10000,MATCH(1,('Margin Guidence Table'!$A$1:$A$10000=RQ18)*('Margin Guidence Table'!$I$1:$I$10000&lt;=ROUND($RI$3,0))*('Margin Guidence Table'!$J$1:$J$10000&gt;=ROUND($RI$3,0)),0),MATCH("SALES_LBS",'Margin Guidence Table'!$A$1:$AG$1,0)),INDEX('Margin Guidence Table'!$A$1:$AG$10000,MATCH(1,('Margin Guidence Table'!$A$1:$A$10000=RQ18)*('Margin Guidence Table'!$I$1:$I$10000&lt;=ROUND($RI$3,0))*('Margin Guidence Table'!$J$1:$J$10000&gt;=ROUND($RI$3,0)),0),MATCH("DEFAULT_SALES_LBS",'Margin Guidence Table'!$A$1:$AG$1,0))),0))</f>
        <v>0</v>
      </c>
      <c r="RV18" s="784">
        <f t="array" ref="RV18">IF('Customer Inputs'!$W$24="End",0,IFERROR(IF($RS18="SEGMENT",INDEX('Margin Guidence Table'!$A$1:$AG$10000,MATCH(1,('Margin Guidence Table'!$A$1:$A$10000=RQ18)*('Margin Guidence Table'!$I$1:$I$10000&lt;=ROUND($RI$3,0))*('Margin Guidence Table'!$J$1:$J$10000&gt;=ROUND($RI$3,0)),0),MATCH("MDA_MIN_MARGIN_GUIDENCE",'Margin Guidence Table'!$A$1:$AG$1,0)),INDEX('Margin Guidence Table'!$A$1:$AG$10000,MATCH(1,('Margin Guidence Table'!$A$1:$A$10000=RQ18)*('Margin Guidence Table'!$I$1:$I$10000&lt;=ROUND($RI$3,0))*('Margin Guidence Table'!$J$1:$J$10000&gt;=ROUND($RI$3,0)),0),MATCH("DEFAULT_MDA_MIN_MARGIN_GUIDENCE",'Margin Guidence Table'!$A$1:$AG$1,0))),0))</f>
        <v>0</v>
      </c>
      <c r="RW18" s="784">
        <f t="array" ref="RW18">IF('Customer Inputs'!$W$24="End",0,IFERROR(IF($RS18="SEGMENT",INDEX('Margin Guidence Table'!$A$1:$AG$10000,MATCH(1,('Margin Guidence Table'!$A$1:$A$10000=RQ18)*('Margin Guidence Table'!$I$1:$I$10000&lt;=ROUND($RI$3,0))*('Margin Guidence Table'!$J$1:$J$10000&gt;=ROUND($RI$3,0)),0),MATCH("MDA_MEDIAN_MARGIN_GUIDENCE",'Margin Guidence Table'!$A$1:$AG$1,0)),INDEX('Margin Guidence Table'!$A$1:$AG$10000,MATCH(1,('Margin Guidence Table'!$A$1:$A$10000=RQ18)*('Margin Guidence Table'!$I$1:$I$10000&lt;=ROUND($RI$3,0))*('Margin Guidence Table'!$J$1:$J$10000&gt;=ROUND($RI$3,0)),0),MATCH("DEFAULT_MDA_MEDIAN_MARGIN_GUIDENCE",'Margin Guidence Table'!$A$1:$AG$1,0))),0))</f>
        <v>0</v>
      </c>
      <c r="RX18" s="784">
        <f t="array" ref="RX18">IF('Customer Inputs'!$W$24="End",0,IFERROR(IF($RS18="SEGMENT",INDEX('Margin Guidence Table'!$A$1:$AG$10000,MATCH(1,('Margin Guidence Table'!$A$1:$A$10000=RQ18)*('Margin Guidence Table'!$I$1:$I$10000&lt;=ROUND($RI$3,0))*('Margin Guidence Table'!$J$1:$J$10000&gt;=ROUND($RI$3,0)),0),MATCH("MDA_MAX_MARGIN_GUIDENCE",'Margin Guidence Table'!$A$1:$AG$1,0)),INDEX('Margin Guidence Table'!$A$1:$AG$10000,MATCH(1,('Margin Guidence Table'!$A$1:$A$10000=RQ18)*('Margin Guidence Table'!$I$1:$I$10000&lt;=ROUND($RI$3,0))*('Margin Guidence Table'!$J$1:$J$10000&gt;=ROUND($RI$3,0)),0),MATCH("DEFAULT_MDA_MAX_MARGIN_GUIDENCE",'Margin Guidence Table'!$A$1:$AG$1,0))),0))</f>
        <v>0</v>
      </c>
      <c r="RY18" s="784">
        <f t="array" ref="RY18">IF('Customer Inputs'!$W$24="End",0,IFERROR(IF($RS18="SEGMENT",INDEX('Margin Guidence Table'!$A$1:$AG$10000,MATCH(1,('Margin Guidence Table'!$A$1:$A$10000=RQ18)*('Margin Guidence Table'!$I$1:$I$10000&lt;=ROUND($RI$3,0))*('Margin Guidence Table'!$J$1:$J$10000&gt;=ROUND($RI$3,0)),0),MATCH("PA_PCT_SALES",'Margin Guidence Table'!$A$1:$AG$1,0)),INDEX('Margin Guidence Table'!$A$1:$AG$10000,MATCH(1,('Margin Guidence Table'!$A$1:$A$10000=RQ18)*('Margin Guidence Table'!$I$1:$I$10000&lt;=ROUND($RI$3,0))*('Margin Guidence Table'!$J$1:$J$10000&gt;=ROUND($RI$3,0)),0),MATCH("DEFAULT_PA_PCT_SALES",'Margin Guidence Table'!$A$1:$AG$1,0))),0))</f>
        <v>0</v>
      </c>
      <c r="RZ18" s="784">
        <f t="array" ref="RZ18">IF('Customer Inputs'!$W$24="End",0,IFERROR(IF($RS18="SEGMENT",INDEX('Margin Guidence Table'!$A$1:$AG$10000,MATCH(1,('Margin Guidence Table'!$A$1:$A$10000=RQ18)*('Margin Guidence Table'!$I$1:$I$10000&lt;=ROUND($RI$3,0))*('Margin Guidence Table'!$J$1:$J$10000&gt;=ROUND($RI$3,0)),0),MATCH("SELF_FUND_PCT_SALES",'Margin Guidence Table'!$A$1:$AG$1,0)),INDEX('Margin Guidence Table'!$A$1:$AG$10000,MATCH(1,('Margin Guidence Table'!$A$1:$A$10000=RQ18)*('Margin Guidence Table'!$I$1:$I$10000&lt;=ROUND($RI$3,0))*('Margin Guidence Table'!$J$1:$J$10000&gt;=ROUND($RI$3,0)),0),MATCH("DEFAULT_SELF_FUND_PCT_SALES",'Margin Guidence Table'!$A$1:$AG$1,0))),0))</f>
        <v>0</v>
      </c>
      <c r="SA18" s="784">
        <f t="array" ref="SA18">IF('Customer Inputs'!$W$24="End",0,IF($RJ$2="Existing",IFERROR(SUMIFS('Existing Customers'!$V:$V,'Existing Customers'!$H:$H,$RH18,'Existing Customers'!$A:$A,$RI$1)/SUMIFS('Existing Customers'!$Q:$Q,'Existing Customers'!$H:$H,$RH18,'Existing Customers'!$A:$A,$RI$1),0),IFERROR(IF($RS18="SEGMENT",INDEX('Margin Guidence Table'!$A$1:$AG$10000,MATCH(1,('Margin Guidence Table'!$A$1:$A$10000=RQ18)*('Margin Guidence Table'!$I$1:$I$10000&lt;=ROUND($RI$3,0))*('Margin Guidence Table'!$J$1:$J$10000&gt;=ROUND($RI$3,0)),0),MATCH("CIA_MEDIAN_MARGIN_GUIDENCE",'Margin Guidence Table'!$A$1:$AG$1,0)),INDEX('Margin Guidence Table'!$A$1:$AG$10000,MATCH(1,('Margin Guidence Table'!$A$1:$A$10000=RQ18)*('Margin Guidence Table'!$I$1:$I$10000&lt;=ROUND($RI$3,0))*('Margin Guidence Table'!$J$1:$J$10000&gt;=ROUND($RI$3,0)),0),MATCH("DEFAULT_CIA_MEDIAN_MARGIN_GUIDENCE",'Margin Guidence Table'!$A$1:$AG$1,0))),0)))</f>
        <v>0</v>
      </c>
      <c r="SB18" s="784"/>
      <c r="SC18" s="18">
        <f t="array" ref="SC18">IF('Customer Inputs'!$W$25="End",0,IFERROR(IF($SP18="SEGMENT",INDEX('Margin Guidence Table'!$A$1:$AG$10000,MATCH(1,('Margin Guidence Table'!$A$1:$A$10000=$SN18)*('Margin Guidence Table'!$I$1:$I$10000&lt;=ROUND($SF$3,0))*('Margin Guidence Table'!$J$1:$J$10000&gt;=ROUND($SF$3,0)),0),MATCH("PCT_SALES",'Margin Guidence Table'!$A$1:$AG$1,0)),INDEX('Margin Guidence Table'!$A$1:$AG$10000,MATCH(1,('Margin Guidence Table'!$A$1:$A$10000=$SN18)*('Margin Guidence Table'!$I$1:$I$10000&lt;=ROUND($SF$3,0))*('Margin Guidence Table'!$J$1:$J$10000&gt;=ROUND($SF$3,0)),0),MATCH("DEFAULT_PCT_SALES",'Margin Guidence Table'!$A$1:$AG$1,0))),0))</f>
        <v>0</v>
      </c>
      <c r="SD18" s="1713" t="e">
        <f t="shared" si="70"/>
        <v>#DIV/0!</v>
      </c>
      <c r="SE18" s="99" t="s">
        <v>100</v>
      </c>
      <c r="SF18" s="91">
        <f>IF('Customer Inputs'!$W$25="End",0,IFERROR(IF(AND($SF$2&lt;&gt;"Enter Spend&gt;&gt;&gt;",$SG$2="EXISTING"),SUMIFS('Existing Customers'!$Q:$Q,'Existing Customers'!$A:$A,$SF$1,'Existing Customers'!$H:$H,$SE18)*$SF$4,$SF$3*$SD18),0))</f>
        <v>0</v>
      </c>
      <c r="SG18" s="86">
        <f>IF('Customer Inputs'!$W$25="End",0,IFERROR(IF(AND($SF$2&lt;&gt;"Enter Spend&gt;&gt;&gt;",$SG$2="EXISTING"),SUMIFS('Existing Customers'!$N:$N,'Existing Customers'!$A:$A,$SF$1,'Existing Customers'!$H:$H,$SE18)*$SF$4,$SF18/$SQ18),0))</f>
        <v>0</v>
      </c>
      <c r="SH18" s="92">
        <f>IF('Customer Inputs'!$W$25="End",0,IFERROR(IF(AND($SF$2&lt;&gt;"Enter Spend&gt;&gt;&gt;",$SG$2="EXISTING"),SUMIFS('Existing Customers'!$O:$O,'Existing Customers'!$H:$H,$SE18,'Existing Customers'!$A:$A,$SF$1)*$SF$4,$SG18*$SF$8),0))</f>
        <v>0</v>
      </c>
      <c r="SI18" s="92">
        <f>IF('Customer Inputs'!$W$25="End",0,IFERROR(IF(AND($SF$2&lt;&gt;"Enter Spend&gt;&gt;&gt;",$SG$2="EXISTING"),SUMIFS('Existing Customers'!$P:$P,'Existing Customers'!$A:$A,$SF$1,'Existing Customers'!$H:$H,$SE18)*$SF$4,$SF18/$SR18),0))</f>
        <v>0</v>
      </c>
      <c r="SJ18" s="303">
        <f>IF('Customer Inputs'!$W$25="End",0,IFERROR(IF(AND($SF$2&lt;&gt;"Enter Spend&gt;&gt;&gt;",$SG$2="EXISTING"),SUMIFS('Existing Customers'!$V:$V,'Existing Customers'!$H:$H,$SE18,'Existing Customers'!$A:$A,$SF$1)*$SF$4,0),0))</f>
        <v>0</v>
      </c>
      <c r="SK18" s="93">
        <f>IF('Customer Inputs'!$W$25="End",0,IFERROR(IF(AND($SF$2&lt;&gt;"Enter Spend&gt;&gt;&gt;",$SG$2="EXISTING"),SUMIFS('Existing Customers'!$R:$R,'Existing Customers'!$H:$H,$SE18,'Existing Customers'!$A:$A,$SF$1)*$SF$4,0),0))</f>
        <v>0</v>
      </c>
      <c r="SL18" s="780">
        <f>IF('Customer Inputs'!$W$25="End",0,IFERROR(IF(AND($SF$2&lt;&gt;"Enter Spend&gt;&gt;&gt;",$SG$2="EXISTING"),SUMIFS('Existing Customers'!$S:$S,'Existing Customers'!$H:$H,$SE18,'Existing Customers'!$A:$A,$SF$1)/SUMIFS('Existing Customers'!$Q:$Q,'Existing Customers'!$A:$A,$SF$1,'Existing Customers'!$H:$H,$SE18),SV18),0))</f>
        <v>0</v>
      </c>
      <c r="SM18" s="780">
        <f>IF('Customer Inputs'!$W$25="End",0,IFERROR(IF(AND($SF$2&lt;&gt;"Enter Spend&gt;&gt;&gt;",$SG$2="EXISTING"),SUMIFS('Existing Customers'!$U:$U,'Existing Customers'!$H:$H,$SE18,'Existing Customers'!$A:$A,$SF$1)/SUMIFS('Existing Customers'!$Q:$Q,'Existing Customers'!$A:$A,$SF$1,'Existing Customers'!$H:$H,$SE18),SW18),0))</f>
        <v>0</v>
      </c>
      <c r="SN18" s="783" t="e">
        <f>_xlfn.CONCAT('Customer Inputs'!$AH$25,"_",SE18)</f>
        <v>#N/A</v>
      </c>
      <c r="SO18" s="783">
        <f t="array" ref="SO18">IF('Customer Inputs'!$W$25="End",0,IFERROR(INDEX('Margin Guidence Table'!$A$1:$AG$10000,MATCH(1,('Margin Guidence Table'!$A$1:$A$10000=SN18)*('Margin Guidence Table'!$I$1:$I$10000&lt;=ROUND($SF$3,0))*('Margin Guidence Table'!$J$1:$J$10000&gt;=ROUND($SF$3,0)),0),MATCH("DATA_POINTS",'Margin Guidence Table'!$A$1:$AG$1,0)),0))</f>
        <v>0</v>
      </c>
      <c r="SP18" s="780" t="str">
        <f t="shared" si="71"/>
        <v>DEFAULT</v>
      </c>
      <c r="SQ18" s="780">
        <f t="array" ref="SQ18">IF('Customer Inputs'!$W$25="End",0,IFERROR(IF($SP18="SEGMENT",INDEX('Margin Guidence Table'!$A$1:$AG$10000,MATCH(1,('Margin Guidence Table'!$A$1:$A$10000=SN18)*('Margin Guidence Table'!$I$1:$I$10000&lt;=ROUND($SF$3,0))*('Margin Guidence Table'!$J$1:$J$10000&gt;=ROUND($SF$3,0)),0),MATCH("SALES_CASE",'Margin Guidence Table'!$A$1:$AG$1,0)),INDEX('Margin Guidence Table'!$A$1:$AG$10000,MATCH(1,('Margin Guidence Table'!$A$1:$A$10000=SN18)*('Margin Guidence Table'!$I$1:$I$10000&lt;=ROUND($SF$3,0))*('Margin Guidence Table'!$J$1:$J$10000&gt;=ROUND($SF$3,0)),0),MATCH("DEFAULT_SALES_CASE",'Margin Guidence Table'!$A$1:$AG$1,0))),0))</f>
        <v>0</v>
      </c>
      <c r="SR18" s="780">
        <f t="array" ref="SR18">IF('Customer Inputs'!$W$25="End",0,IFERROR(IF($SP18="SEGMENT",INDEX('Margin Guidence Table'!$A$1:$AG$10000,MATCH(1,('Margin Guidence Table'!$A$1:$A$10000=SN18)*('Margin Guidence Table'!$I$1:$I$10000&lt;=ROUND($SF$3,0))*('Margin Guidence Table'!$J$1:$J$10000&gt;=ROUND($SF$3,0)),0),MATCH("SALES_LBS",'Margin Guidence Table'!$A$1:$AG$1,0)),INDEX('Margin Guidence Table'!$A$1:$AG$10000,MATCH(1,('Margin Guidence Table'!$A$1:$A$10000=SN18)*('Margin Guidence Table'!$I$1:$I$10000&lt;=ROUND($SF$3,0))*('Margin Guidence Table'!$J$1:$J$10000&gt;=ROUND($SF$3,0)),0),MATCH("DEFAULT_SALES_LBS",'Margin Guidence Table'!$A$1:$AG$1,0))),0))</f>
        <v>0</v>
      </c>
      <c r="SS18" s="784">
        <f t="array" ref="SS18">IF('Customer Inputs'!$W$25="End",0,IFERROR(IF($SP18="SEGMENT",INDEX('Margin Guidence Table'!$A$1:$AG$10000,MATCH(1,('Margin Guidence Table'!$A$1:$A$10000=SN18)*('Margin Guidence Table'!$I$1:$I$10000&lt;=ROUND($SF$3,0))*('Margin Guidence Table'!$J$1:$J$10000&gt;=ROUND($SF$3,0)),0),MATCH("MDA_MIN_MARGIN_GUIDENCE",'Margin Guidence Table'!$A$1:$AG$1,0)),INDEX('Margin Guidence Table'!$A$1:$AG$10000,MATCH(1,('Margin Guidence Table'!$A$1:$A$10000=SN18)*('Margin Guidence Table'!$I$1:$I$10000&lt;=ROUND($SF$3,0))*('Margin Guidence Table'!$J$1:$J$10000&gt;=ROUND($SF$3,0)),0),MATCH("DEFAULT_MDA_MIN_MARGIN_GUIDENCE",'Margin Guidence Table'!$A$1:$AG$1,0))),0))</f>
        <v>0</v>
      </c>
      <c r="ST18" s="784">
        <f t="array" ref="ST18">IF('Customer Inputs'!$W$25="End",0,IFERROR(IF($SP18="SEGMENT",INDEX('Margin Guidence Table'!$A$1:$AG$10000,MATCH(1,('Margin Guidence Table'!$A$1:$A$10000=SN18)*('Margin Guidence Table'!$I$1:$I$10000&lt;=ROUND($SF$3,0))*('Margin Guidence Table'!$J$1:$J$10000&gt;=ROUND($SF$3,0)),0),MATCH("MDA_MEDIAN_MARGIN_GUIDENCE",'Margin Guidence Table'!$A$1:$AG$1,0)),INDEX('Margin Guidence Table'!$A$1:$AG$10000,MATCH(1,('Margin Guidence Table'!$A$1:$A$10000=SN18)*('Margin Guidence Table'!$I$1:$I$10000&lt;=ROUND($SF$3,0))*('Margin Guidence Table'!$J$1:$J$10000&gt;=ROUND($SF$3,0)),0),MATCH("DEFAULT_MDA_MEDIAN_MARGIN_GUIDENCE",'Margin Guidence Table'!$A$1:$AG$1,0))),0))</f>
        <v>0</v>
      </c>
      <c r="SU18" s="784">
        <f t="array" ref="SU18">IF('Customer Inputs'!$W$25="End",0,IFERROR(IF($SP18="SEGMENT",INDEX('Margin Guidence Table'!$A$1:$AG$10000,MATCH(1,('Margin Guidence Table'!$A$1:$A$10000=SN18)*('Margin Guidence Table'!$I$1:$I$10000&lt;=ROUND($SF$3,0))*('Margin Guidence Table'!$J$1:$J$10000&gt;=ROUND($SF$3,0)),0),MATCH("MDA_MAX_MARGIN_GUIDENCE",'Margin Guidence Table'!$A$1:$AG$1,0)),INDEX('Margin Guidence Table'!$A$1:$AG$10000,MATCH(1,('Margin Guidence Table'!$A$1:$A$10000=SN18)*('Margin Guidence Table'!$I$1:$I$10000&lt;=ROUND($SF$3,0))*('Margin Guidence Table'!$J$1:$J$10000&gt;=ROUND($SF$3,0)),0),MATCH("DEFAULT_MDA_MAX_MARGIN_GUIDENCE",'Margin Guidence Table'!$A$1:$AG$1,0))),0))</f>
        <v>0</v>
      </c>
      <c r="SV18" s="784">
        <f t="array" ref="SV18">IF('Customer Inputs'!$W$25="End",0,IFERROR(IF($SP18="SEGMENT",INDEX('Margin Guidence Table'!$A$1:$AG$10000,MATCH(1,('Margin Guidence Table'!$A$1:$A$10000=SN18)*('Margin Guidence Table'!$I$1:$I$10000&lt;=ROUND($SF$3,0))*('Margin Guidence Table'!$J$1:$J$10000&gt;=ROUND($SF$3,0)),0),MATCH("PA_PCT_SALES",'Margin Guidence Table'!$A$1:$AG$1,0)),INDEX('Margin Guidence Table'!$A$1:$AG$10000,MATCH(1,('Margin Guidence Table'!$A$1:$A$10000=SN18)*('Margin Guidence Table'!$I$1:$I$10000&lt;=ROUND($SF$3,0))*('Margin Guidence Table'!$J$1:$J$10000&gt;=ROUND($SF$3,0)),0),MATCH("DEFAULT_PA_PCT_SALES",'Margin Guidence Table'!$A$1:$AG$1,0))),0))</f>
        <v>0</v>
      </c>
      <c r="SW18" s="784">
        <f t="array" ref="SW18">IF('Customer Inputs'!$W$25="End",0,IFERROR(IF($SP18="SEGMENT",INDEX('Margin Guidence Table'!$A$1:$AG$10000,MATCH(1,('Margin Guidence Table'!$A$1:$A$10000=SN18)*('Margin Guidence Table'!$I$1:$I$10000&lt;=ROUND($SF$3,0))*('Margin Guidence Table'!$J$1:$J$10000&gt;=ROUND($SF$3,0)),0),MATCH("SELF_FUND_PCT_SALES",'Margin Guidence Table'!$A$1:$AG$1,0)),INDEX('Margin Guidence Table'!$A$1:$AG$10000,MATCH(1,('Margin Guidence Table'!$A$1:$A$10000=SN18)*('Margin Guidence Table'!$I$1:$I$10000&lt;=ROUND($SF$3,0))*('Margin Guidence Table'!$J$1:$J$10000&gt;=ROUND($SF$3,0)),0),MATCH("DEFAULT_SELF_FUND_PCT_SALES",'Margin Guidence Table'!$A$1:$AG$1,0))),0))</f>
        <v>0</v>
      </c>
      <c r="SX18" s="784">
        <f t="array" ref="SX18">IF('Customer Inputs'!$W$25="End",0,IF($SG$2="Existing",IFERROR(SUMIFS('Existing Customers'!$V:$V,'Existing Customers'!$H:$H,$SE18,'Existing Customers'!$A:$A,$SF$1)/SUMIFS('Existing Customers'!$Q:$Q,'Existing Customers'!$H:$H,$SE18,'Existing Customers'!$A:$A,$SF$1),0),IFERROR(IF($SP18="SEGMENT",INDEX('Margin Guidence Table'!$A$1:$AG$10000,MATCH(1,('Margin Guidence Table'!$A$1:$A$10000=SN18)*('Margin Guidence Table'!$I$1:$I$10000&lt;=ROUND($SF$3,0))*('Margin Guidence Table'!$J$1:$J$10000&gt;=ROUND($SF$3,0)),0),MATCH("CIA_MEDIAN_MARGIN_GUIDENCE",'Margin Guidence Table'!$A$1:$AG$1,0)),INDEX('Margin Guidence Table'!$A$1:$AG$10000,MATCH(1,('Margin Guidence Table'!$A$1:$A$10000=SN18)*('Margin Guidence Table'!$I$1:$I$10000&lt;=ROUND($SF$3,0))*('Margin Guidence Table'!$J$1:$J$10000&gt;=ROUND($SF$3,0)),0),MATCH("DEFAULT_CIA_MEDIAN_MARGIN_GUIDENCE",'Margin Guidence Table'!$A$1:$AG$1,0))),0)))</f>
        <v>0</v>
      </c>
      <c r="SY18" s="784"/>
      <c r="SZ18" s="1705"/>
      <c r="TA18" s="99" t="s">
        <v>100</v>
      </c>
      <c r="TB18" s="94"/>
      <c r="TC18" s="86"/>
      <c r="TD18" s="86"/>
      <c r="TE18" s="86"/>
      <c r="TF18" s="111"/>
      <c r="TG18" s="95"/>
      <c r="TH18" s="126"/>
      <c r="TI18" s="1705"/>
      <c r="TJ18" s="99" t="s">
        <v>100</v>
      </c>
      <c r="TK18" s="94"/>
      <c r="TL18" s="86"/>
      <c r="TM18" s="86"/>
      <c r="TN18" s="86"/>
      <c r="TO18" s="111"/>
      <c r="TP18" s="95"/>
      <c r="TQ18" s="1705"/>
      <c r="TR18" s="1705"/>
    </row>
    <row r="19" spans="1:538" ht="15.75" thickBot="1" x14ac:dyDescent="0.3">
      <c r="A19" s="1705"/>
      <c r="B19" s="99" t="s">
        <v>104</v>
      </c>
      <c r="C19" s="346">
        <f t="shared" si="0"/>
        <v>0</v>
      </c>
      <c r="D19" s="358">
        <f t="shared" si="1"/>
        <v>0</v>
      </c>
      <c r="E19" s="358">
        <f t="shared" si="2"/>
        <v>0</v>
      </c>
      <c r="F19" s="358">
        <f t="shared" si="3"/>
        <v>0</v>
      </c>
      <c r="G19" s="1428">
        <f t="shared" si="4"/>
        <v>0</v>
      </c>
      <c r="H19" s="1428">
        <f t="shared" si="5"/>
        <v>0</v>
      </c>
      <c r="I19" s="359">
        <f t="shared" si="6"/>
        <v>0</v>
      </c>
      <c r="J19" s="358">
        <f t="shared" si="7"/>
        <v>0</v>
      </c>
      <c r="K19" s="778">
        <f t="shared" si="8"/>
        <v>0</v>
      </c>
      <c r="L19" s="778">
        <f t="shared" si="9"/>
        <v>0</v>
      </c>
      <c r="M19" s="778">
        <f t="shared" si="10"/>
        <v>0</v>
      </c>
      <c r="N19" s="1428">
        <f>IF('PIM Model'!D15="$/CS",IFERROR(ROUND(SUM(BX19*$BV$35+CU19*$CS$35+DR19*$DP$35+EO19*$EM$35+FL19*$FJ$35+GI19*$GG$35+HF19*$HD$35+IC19*$IA$35+IZ19*$IX$35+JW19*$JU$35+KT19*$KR$35+LQ19*$LO$35+MN19*$ML$35+NK19*$NI$35+OH19*$OF$35+PE19*$PC$35+QB19*$PZ$35+QY19*$QW$35+RV19*$RT$35+SS19*$SQ$35)/$G$35,2),0),IF('PIM Model'!D15="$/LB",IFERROR(ROUND(SUM(BX19*$BW$35+CU19*$CT$35+DR19*$DQ$35+EO19*$EN$35+FL19*$FK$35+GI19*$GH$35+HF19*$HE$35+IC19*$IB$35+IZ19*$IY$35+JW19*$JV$35+KT19*$KS$35+LQ19*$LP$35+MN19*$MM$35+NK19*$NJ$35+OH19*$OG$35+PE19*$PD$35+QB19*$QA$35+QY19*$QX$35+RV19*$RU$35+SS19*$SR$35)/$H$35,2),0),0))</f>
        <v>0</v>
      </c>
      <c r="O19" s="1428">
        <f>IF('PIM Model'!D15="$/CS",IFERROR(ROUND(SUM(BY19*$BV$35+CV19*$CS$35+DS19*$DP$35+EP19*$EM$35+FM19*$FJ$35+GJ19*$GG$35+HG19*$HD$35+ID19*$IA$35+JA19*$IX$35+JX19*$JU$35+KU19*$KR$35+LR19*$LO$35+MO19*$ML$35+NL19*$NI$35+OI19*$OF$35+PF19*$PC$35+QC19*$PZ$35+QZ19*$QW$35+RW19*$RT$35+ST19*$SQ$35)/$G$35,2),0),IF('PIM Model'!D15="$/LB",IFERROR(ROUND(SUM(BY19*$BW$35+CV19*$CT$35+DS19*$DQ$35+EP19*$EN$35+FM19*$FK$35+GJ19*$GH$35+HG19*$HE$35+ID19*$IB$35+JA19*$IY$35+JX19*$JV$35+KU19*$KS$35+LR19*$LP$35+MO19*$MM$35+NL19*$NJ$35+OI19*$OG$35+PF19*$PD$35+QC19*$QA$35+QZ19*$QX$35+RW19*$RU$35+ST19*$SR$35)/$H$35,2),0),0))</f>
        <v>0</v>
      </c>
      <c r="P19" s="1428">
        <f>IF('PIM Model'!D15="$/CS",IFERROR(ROUND(SUM(BZ19*$BV$35+CW19*$CS$35+DT19*$DP$35+EQ19*$EM$35+FN19*$FJ$35+GK19*$GG$35+HH19*$HD$35+IE19*$IA$35+JB19*$IX$35+JY19*$JU$35+KV19*$KR$35+LS19*$LO$35+MP19*$ML$35+NM19*$NI$35+OJ19*$OF$35+PG19*$PC$35+QD19*$PZ$35+RA19*$QW$35+RX19*$RT$35+SU19*$SQ$35)/$G$35,2),0),IF('PIM Model'!D15="$/LB",IFERROR(ROUND(SUM(BZ19*$BW$35+CW19*$CT$35+DT19*$DQ$35+EQ19*$EN$35+FN19*$FK$35+GK19*$GH$35+HH19*$HE$35+IE19*$IB$35+JB19*$IY$35+JY19*$JV$35+KV19*$KS$35+LS19*$LP$35+MP19*$MM$35+NM19*$NJ$35+OJ19*$OG$35+PG19*$PD$35+QD19*$QA$35+RA19*$QX$35+RX19*$RU$35+SU19*$SR$35)/$H$35,2),0),0))</f>
        <v>0</v>
      </c>
      <c r="Q19" s="358">
        <f t="shared" si="11"/>
        <v>0</v>
      </c>
      <c r="R19" s="358">
        <f t="shared" si="12"/>
        <v>0</v>
      </c>
      <c r="S19" s="779">
        <f t="shared" si="13"/>
        <v>0</v>
      </c>
      <c r="T19" s="779">
        <f t="shared" si="14"/>
        <v>0</v>
      </c>
      <c r="U19" s="779">
        <f t="shared" si="15"/>
        <v>0</v>
      </c>
      <c r="V19" s="779">
        <f t="shared" si="16"/>
        <v>0</v>
      </c>
      <c r="W19" s="779">
        <f t="shared" si="17"/>
        <v>0</v>
      </c>
      <c r="X19" s="1705"/>
      <c r="Y19" s="1705" t="str">
        <f>'PIM Model'!E15</f>
        <v>INCLUDE</v>
      </c>
      <c r="Z19" s="1705">
        <f t="shared" si="18"/>
        <v>0</v>
      </c>
      <c r="AA19" s="1705">
        <f t="shared" si="19"/>
        <v>0</v>
      </c>
      <c r="AB19" s="99" t="s">
        <v>104</v>
      </c>
      <c r="AC19" s="107">
        <f t="shared" si="20"/>
        <v>0</v>
      </c>
      <c r="AD19" s="108">
        <f t="shared" si="21"/>
        <v>0</v>
      </c>
      <c r="AE19" s="108">
        <f t="shared" si="22"/>
        <v>0</v>
      </c>
      <c r="AF19" s="108">
        <f t="shared" si="23"/>
        <v>0</v>
      </c>
      <c r="AG19" s="110">
        <f t="shared" si="24"/>
        <v>0</v>
      </c>
      <c r="AH19" s="114">
        <f t="shared" si="25"/>
        <v>0</v>
      </c>
      <c r="AI19" s="301"/>
      <c r="AJ19" s="99" t="s">
        <v>104</v>
      </c>
      <c r="AK19" s="346">
        <f t="shared" si="26"/>
        <v>0</v>
      </c>
      <c r="AL19" s="347">
        <f t="shared" si="26"/>
        <v>0</v>
      </c>
      <c r="AM19" s="347">
        <f t="shared" si="26"/>
        <v>0</v>
      </c>
      <c r="AN19" s="350">
        <f t="shared" si="27"/>
        <v>0</v>
      </c>
      <c r="AO19" s="351">
        <f t="shared" si="28"/>
        <v>0</v>
      </c>
      <c r="AP19" s="301"/>
      <c r="AQ19" s="99" t="s">
        <v>104</v>
      </c>
      <c r="AR19" s="346">
        <f t="shared" si="29"/>
        <v>0</v>
      </c>
      <c r="AS19" s="347">
        <f t="shared" si="30"/>
        <v>0</v>
      </c>
      <c r="AT19" s="351"/>
      <c r="AU19" s="301"/>
      <c r="AV19" s="1708" t="str">
        <f>IF('PIM Ranges'!$AK17='PIM Ranges'!$AY$11,IF($AR19&lt;'PIM Ranges'!$AZ$11,"Q1",IF($AR19&lt;'PIM Ranges'!$BA$11,"Q2",IF($AR19&lt;'PIM Ranges'!$BB$11,"Q3",IF($AR19&lt;'PIM Ranges'!$BC$11,"Q4","Q5")))),IF('PIM Ranges'!$AK17='PIM Ranges'!$AY$12,IF($AR19&lt;'PIM Ranges'!$AZ$12,"Q1",IF($AR19&lt;'PIM Ranges'!$BA$12,"Q2",IF($AR19&lt;'PIM Ranges'!$BB$12,"Q3",IF($AR19&lt;'PIM Ranges'!$BC$12,"Q4","Q5")))),IF('PIM Ranges'!$AK17='PIM Ranges'!$AY$13,IF($AR19&lt;'PIM Ranges'!$AZ$13,"Q1",IF($AR19&lt;'PIM Ranges'!$BA$13,"Q2",IF($AR19&lt;'PIM Ranges'!$BB$13,"Q3",IF($AR19&lt;'PIM Ranges'!$BC$13,"Q4","Q5")))),IF('PIM Ranges'!$AK17='PIM Ranges'!$AY$14,IF($AR19&lt;'PIM Ranges'!$AZ$14,"Q1",IF($AR19&lt;'PIM Ranges'!$BA$14,"Q2",IF($AR19&lt;'PIM Ranges'!$BB$14,"Q3",IF($AR19&lt;'PIM Ranges'!$BC$14,"Q4","Q5")))),IF('PIM Ranges'!$AK17='PIM Ranges'!$AY$15,IF($AR19&lt;'PIM Ranges'!$AZ$15,"Q1",IF($AR19&lt;'PIM Ranges'!$BA$15,"Q2",IF($AR19&lt;'PIM Ranges'!$BB$15,"Q3",IF($AR19&lt;'PIM Ranges'!$BC$15,"Q4","Q5")))),IF('PIM Ranges'!$AK17='PIM Ranges'!$AY$16,IF($AR19&lt;'PIM Ranges'!$AZ$16,"Q1",IF($AR19&lt;'PIM Ranges'!$BA$16,"Q2",IF($AR19&lt;'PIM Ranges'!$BB$16,"Q3",IF($AR19&lt;'PIM Ranges'!$BC$16,"Q4","Q5")))),IF('PIM Ranges'!$AK17='PIM Ranges'!$AY$17,IF($AR19&lt;'PIM Ranges'!$AZ$17,"Q1",IF($AR19&lt;'PIM Ranges'!$BA$17,"Q2",IF($AR19&lt;'PIM Ranges'!$BB$17,"Q3",IF($AR19&lt;'PIM Ranges'!$BC$17,"Q4","Q5")))),IF('PIM Ranges'!$AK17='PIM Ranges'!$AY$18,IF($AR19&lt;'PIM Ranges'!$AZ$18,"Q1",IF($AR19&lt;'PIM Ranges'!$BA$18,"Q2",IF($AR19&lt;'PIM Ranges'!$BB$18,"Q3",IF($AR19&lt;'PIM Ranges'!$BC$18,"Q4","Q5")))),IF('PIM Ranges'!$AK17='PIM Ranges'!$AY$19,IF($AR19&lt;'PIM Ranges'!$AZ$19,"Q1",IF($AR19&lt;'PIM Ranges'!$BA$19,"Q2",IF($AR19&lt;'PIM Ranges'!$BB$19,"Q3",IF($AR19&lt;'PIM Ranges'!$BC$19,"Q4","Q5")))),IF('PIM Ranges'!$AK17='PIM Ranges'!$AY$20,IF($AR19&lt;'PIM Ranges'!$AZ$20,"Q1",IF($AR19&lt;'PIM Ranges'!$BA$20,"Q2",IF($AR19&lt;'PIM Ranges'!$BB$20,"Q3",IF($AR19&lt;'PIM Ranges'!$BC$20,"Q4","Q5")))),IF('PIM Ranges'!$AK17='PIM Ranges'!$AY$21,IF($AR19&lt;'PIM Ranges'!$AZ$21,"Q1",IF($AR19&lt;'PIM Ranges'!$BA$21,"Q2",IF($AR19&lt;'PIM Ranges'!$BB$21,"Q3",IF($AR19&lt;'PIM Ranges'!$BC$21,"Q4","Q5")))),IF('PIM Ranges'!$AK17='PIM Ranges'!$AY$22,IF($AR19&lt;'PIM Ranges'!$AZ$22,"Q1",IF($AR19&lt;'PIM Ranges'!$BA$22,"Q2",IF($AR19&lt;'PIM Ranges'!$BB$22,"Q3",IF($AR19&lt;'PIM Ranges'!$BC$22,"Q4","Q5")))),IF('PIM Ranges'!$AK17='PIM Ranges'!$AY$23,IF($AR19&lt;'PIM Ranges'!$AZ$23,"Q1",IF($AR19&lt;'PIM Ranges'!$BA$23,"Q2",IF($AR19&lt;'PIM Ranges'!$BB$23,"Q3",IF($AR19&lt;'PIM Ranges'!$BC$23,"Q4","Q5")))),IF('PIM Ranges'!$AK17='PIM Ranges'!$AY$24,IF($AR19&lt;'PIM Ranges'!$AZ$24,"Q1",IF($AR19&lt;'PIM Ranges'!$BA$24,"Q2",IF($AR19&lt;'PIM Ranges'!$BB$24,"Q3",IF($AR19&lt;'PIM Ranges'!$BC$24,"Q4","Q5")))),IF('PIM Ranges'!$AK17='PIM Ranges'!$AY$25,IF($AR19&lt;'PIM Ranges'!$AZ$25,"Q1",IF($AR19&lt;'PIM Ranges'!$BA$25,"Q2",IF($AR19&lt;'PIM Ranges'!$BB$25,"Q3",IF($AR19&lt;'PIM Ranges'!$BC$25,"Q4","Q5")))),IF('PIM Ranges'!$AK17='PIM Ranges'!$AY$26,IF($AR19&lt;'PIM Ranges'!$AZ$26,"Q1",IF($AR19&lt;'PIM Ranges'!$BA$26,"Q2",IF($AR19&lt;'PIM Ranges'!$BB$26,"Q3",IF($AR19&lt;'PIM Ranges'!$BC$26,"Q4","Q5")))),IF('PIM Ranges'!$AK17='PIM Ranges'!$AY$27,IF($AR19&lt;'PIM Ranges'!$AZ$27,"Q1",IF($AR19&lt;'PIM Ranges'!$BA$27,"Q2",IF($AR19&lt;'PIM Ranges'!$BB$27,"Q3",IF($AR19&lt;'PIM Ranges'!$BC$27,"Q4","Q5")))),IF('PIM Ranges'!$AK17='PIM Ranges'!$AY$28,IF($AR19&lt;'PIM Ranges'!$AZ$28,"Q1",IF($AR19&lt;'PIM Ranges'!$BA$28,"Q2",IF($AR19&lt;'PIM Ranges'!$BB$28,"Q3",IF($AR19&lt;'PIM Ranges'!$BC$28,"Q4","Q5")))),IF('PIM Ranges'!$AK17='PIM Ranges'!$AY$29,IF($AR19&lt;'PIM Ranges'!$AZ$29,"Q1",IF($AR19&lt;'PIM Ranges'!$BA$29,"Q2",IF($AR19&lt;'PIM Ranges'!$BB$29,"Q3",IF($AR19&lt;'PIM Ranges'!$BC$29,"Q4","Q5")))),IF('PIM Ranges'!$AK17='PIM Ranges'!$AY$30,IF($AR19&lt;'PIM Ranges'!$AZ$30,"Q1",IF($AR19&lt;'PIM Ranges'!$BA$30,"Q2",IF($AR19&lt;'PIM Ranges'!$BB$30,"Q3",IF($AR19&lt;'PIM Ranges'!$BC$30,"Q4","Q5")))),IF('PIM Ranges'!$AK17='PIM Ranges'!$AY$31,IF($AR19&lt;'PIM Ranges'!$AZ$31,"Q1",IF($AR19&lt;'PIM Ranges'!$BA$31,"Q2",IF($AR19&lt;'PIM Ranges'!$BB$31,"Q3",IF($AR19&lt;'PIM Ranges'!$BC$31,"Q4","Q5")))),IF('PIM Ranges'!$AK17='PIM Ranges'!$AY$32,IF($AR19&lt;'PIM Ranges'!$AZ$32,"Q1",IF($AR19&lt;'PIM Ranges'!$BA$32,"Q2",IF($AR19&lt;'PIM Ranges'!$BB$32,"Q3",IF($AR19&lt;'PIM Ranges'!$BC$32,"Q4","Q5"))))))))))))))))))))))))))</f>
        <v>Q1</v>
      </c>
      <c r="AW19" s="301">
        <f>VLOOKUP($AQ19&amp;$AV19,'IMargin Quartiles'!$A:$F,6,FALSE)</f>
        <v>0.18</v>
      </c>
      <c r="AX19" s="301"/>
      <c r="AY19" s="1708" t="str">
        <f>IF('PIM Ranges'!$AK17='PIM Ranges'!$AY$11,IF('PIM Ranges'!$AL17&lt;'PIM Ranges'!$AZ$11,"Q1",IF('PIM Ranges'!$AL17&lt;'PIM Ranges'!$BA$11,"Q2",IF('PIM Ranges'!$AL17&lt;'PIM Ranges'!$BB$11,"Q3",IF('PIM Ranges'!$AL17&lt;'PIM Ranges'!$BC$11,"Q4","Q5")))),IF('PIM Ranges'!$AK17='PIM Ranges'!$AY$12,IF('PIM Ranges'!$AL17&lt;'PIM Ranges'!$AZ$12,"Q1",IF('PIM Ranges'!$AL17&lt;'PIM Ranges'!$BA$12,"Q2",IF('PIM Ranges'!$AL17&lt;'PIM Ranges'!$BB$12,"Q3",IF('PIM Ranges'!$AL17&lt;'PIM Ranges'!$BC$12,"Q4","Q5")))),IF('PIM Ranges'!$AK17='PIM Ranges'!$AY$13,IF('PIM Ranges'!$AL17&lt;'PIM Ranges'!$AZ$13,"Q1",IF('PIM Ranges'!$AL17&lt;'PIM Ranges'!$BA$13,"Q2",IF('PIM Ranges'!$AL17&lt;'PIM Ranges'!$BB$13,"Q3",IF('PIM Ranges'!$AL17&lt;'PIM Ranges'!$BC$13,"Q4","Q5")))),IF('PIM Ranges'!$AK17='PIM Ranges'!$AY$14,IF('PIM Ranges'!$AL17&lt;'PIM Ranges'!$AZ$14,"Q1",IF('PIM Ranges'!$AL17&lt;'PIM Ranges'!$BA$14,"Q2",IF('PIM Ranges'!$AL17&lt;'PIM Ranges'!$BB$14,"Q3",IF('PIM Ranges'!$AL17&lt;'PIM Ranges'!$BC$14,"Q4","Q5")))),IF('PIM Ranges'!$AK17='PIM Ranges'!$AY$15,IF('PIM Ranges'!$AL17&lt;'PIM Ranges'!$AZ$15,"Q1",IF('PIM Ranges'!$AL17&lt;'PIM Ranges'!$BA$15,"Q2",IF('PIM Ranges'!$AL17&lt;'PIM Ranges'!$BB$15,"Q3",IF('PIM Ranges'!$AL17&lt;'PIM Ranges'!$BC$15,"Q4","Q5")))),IF('PIM Ranges'!$AK17='PIM Ranges'!$AY$16,IF('PIM Ranges'!$AL17&lt;'PIM Ranges'!$AZ$16,"Q1",IF('PIM Ranges'!$AL17&lt;'PIM Ranges'!$BA$16,"Q2",IF('PIM Ranges'!$AL17&lt;'PIM Ranges'!$BB$16,"Q3",IF('PIM Ranges'!$AL17&lt;'PIM Ranges'!$BC$16,"Q4","Q5")))),IF('PIM Ranges'!$AK17='PIM Ranges'!$AY$17,IF('PIM Ranges'!$AL17&lt;'PIM Ranges'!$AZ$17,"Q1",IF('PIM Ranges'!$AL17&lt;'PIM Ranges'!$BA$17,"Q2",IF('PIM Ranges'!$AL17&lt;'PIM Ranges'!$BB$17,"Q3",IF('PIM Ranges'!$AL17&lt;'PIM Ranges'!$BC$17,"Q4","Q5")))),IF('PIM Ranges'!$AK17='PIM Ranges'!$AY$18,IF('PIM Ranges'!$AL17&lt;'PIM Ranges'!$AZ$18,"Q1",IF('PIM Ranges'!$AL17&lt;'PIM Ranges'!$BA$18,"Q2",IF('PIM Ranges'!$AL17&lt;'PIM Ranges'!$BB$18,"Q3",IF('PIM Ranges'!$AL17&lt;'PIM Ranges'!$BC$18,"Q4","Q5")))),IF('PIM Ranges'!$AK17='PIM Ranges'!$AY$19,IF('PIM Ranges'!$AL17&lt;'PIM Ranges'!$AZ$19,"Q1",IF('PIM Ranges'!$AL17&lt;'PIM Ranges'!$BA$19,"Q2",IF('PIM Ranges'!$AL17&lt;'PIM Ranges'!$BB$19,"Q3",IF('PIM Ranges'!$AL17&lt;'PIM Ranges'!$BC$19,"Q4","Q5")))),IF('PIM Ranges'!$AK17='PIM Ranges'!$AY$20,IF('PIM Ranges'!$AL17&lt;'PIM Ranges'!$AZ$20,"Q1",IF('PIM Ranges'!$AL17&lt;'PIM Ranges'!$BA$20,"Q2",IF('PIM Ranges'!$AL17&lt;'PIM Ranges'!$BB$20,"Q3",IF('PIM Ranges'!$AL17&lt;'PIM Ranges'!$BC$20,"Q4","Q5")))),IF('PIM Ranges'!$AK17='PIM Ranges'!$AY$21,IF('PIM Ranges'!$AL17&lt;'PIM Ranges'!$AZ$21,"Q1",IF('PIM Ranges'!$AL17&lt;'PIM Ranges'!$BA$21,"Q2",IF('PIM Ranges'!$AL17&lt;'PIM Ranges'!$BB$21,"Q3",IF('PIM Ranges'!$AL17&lt;'PIM Ranges'!$BC$21,"Q4","Q5")))),IF('PIM Ranges'!$AK17='PIM Ranges'!$AY$22,IF('PIM Ranges'!$AL17&lt;'PIM Ranges'!$AZ$22,"Q1",IF('PIM Ranges'!$AL17&lt;'PIM Ranges'!$BA$22,"Q2",IF('PIM Ranges'!$AL17&lt;'PIM Ranges'!$BB$22,"Q3",IF('PIM Ranges'!$AL17&lt;'PIM Ranges'!$BC$22,"Q4","Q5")))),IF('PIM Ranges'!$AK17='PIM Ranges'!$AY$23,IF('PIM Ranges'!$AL17&lt;'PIM Ranges'!$AZ$23,"Q1",IF('PIM Ranges'!$AL17&lt;'PIM Ranges'!$BA$23,"Q2",IF('PIM Ranges'!$AL17&lt;'PIM Ranges'!$BB$23,"Q3",IF('PIM Ranges'!$AL17&lt;'PIM Ranges'!$BC$23,"Q4","Q5")))),IF('PIM Ranges'!$AK17='PIM Ranges'!$AY$24,IF('PIM Ranges'!$AL17&lt;'PIM Ranges'!$AZ$24,"Q1",IF('PIM Ranges'!$AL17&lt;'PIM Ranges'!$BA$24,"Q2",IF('PIM Ranges'!$AL17&lt;'PIM Ranges'!$BB$24,"Q3",IF('PIM Ranges'!$AL17&lt;'PIM Ranges'!$BC$24,"Q4","Q5")))),IF('PIM Ranges'!$AK17='PIM Ranges'!$AY$25,IF('PIM Ranges'!$AL17&lt;'PIM Ranges'!$AZ$25,"Q1",IF('PIM Ranges'!$AL17&lt;'PIM Ranges'!$BA$25,"Q2",IF('PIM Ranges'!$AL17&lt;'PIM Ranges'!$BB$25,"Q3",IF('PIM Ranges'!$AL17&lt;'PIM Ranges'!$BC$25,"Q4","Q5")))),IF('PIM Ranges'!$AK17='PIM Ranges'!$AY$26,IF('PIM Ranges'!$AL17&lt;'PIM Ranges'!$AZ$26,"Q1",IF('PIM Ranges'!$AL17&lt;'PIM Ranges'!$BA$26,"Q2",IF('PIM Ranges'!$AL17&lt;'PIM Ranges'!$BB$26,"Q3",IF('PIM Ranges'!$AL17&lt;'PIM Ranges'!$BC$26,"Q4","Q5")))),IF('PIM Ranges'!$AK17='PIM Ranges'!$AY$27,IF('PIM Ranges'!$AL17&lt;'PIM Ranges'!$AZ$27,"Q1",IF('PIM Ranges'!$AL17&lt;'PIM Ranges'!$BA$27,"Q2",IF('PIM Ranges'!$AL17&lt;'PIM Ranges'!$BB$27,"Q3",IF('PIM Ranges'!$AL17&lt;'PIM Ranges'!$BC$27,"Q4","Q5")))),IF('PIM Ranges'!$AK17='PIM Ranges'!$AY$28,IF('PIM Ranges'!$AL17&lt;'PIM Ranges'!$AZ$28,"Q1",IF('PIM Ranges'!$AL17&lt;'PIM Ranges'!$BA$28,"Q2",IF('PIM Ranges'!$AL17&lt;'PIM Ranges'!$BB$28,"Q3",IF('PIM Ranges'!$AL17&lt;'PIM Ranges'!$BC$28,"Q4","Q5")))),IF('PIM Ranges'!$AK17='PIM Ranges'!$AY$29,IF('PIM Ranges'!$AL17&lt;'PIM Ranges'!$AZ$29,"Q1",IF('PIM Ranges'!$AL17&lt;'PIM Ranges'!$BA$29,"Q2",IF('PIM Ranges'!$AL17&lt;'PIM Ranges'!$BB$29,"Q3",IF('PIM Ranges'!$AL17&lt;'PIM Ranges'!$BC$29,"Q4","Q5")))),IF('PIM Ranges'!$AK17='PIM Ranges'!$AY$30,IF('PIM Ranges'!$AL17&lt;'PIM Ranges'!$AZ$30,"Q1",IF('PIM Ranges'!$AL17&lt;'PIM Ranges'!$BA$30,"Q2",IF('PIM Ranges'!$AL17&lt;'PIM Ranges'!$BB$30,"Q3",IF('PIM Ranges'!$AL17&lt;'PIM Ranges'!$BC$30,"Q4","Q5")))),IF('PIM Ranges'!$AK17='PIM Ranges'!$AY$31,IF('PIM Ranges'!$AL17&lt;'PIM Ranges'!$AZ$31,"Q1",IF('PIM Ranges'!$AL17&lt;'PIM Ranges'!$BA$31,"Q2",IF('PIM Ranges'!$AL17&lt;'PIM Ranges'!$BB$31,"Q3",IF('PIM Ranges'!$AL17&lt;'PIM Ranges'!$BC$31,"Q4","Q5")))),IF('PIM Ranges'!$AK17='PIM Ranges'!$AY$32,IF('PIM Ranges'!$AL17&lt;'PIM Ranges'!$AZ$32,"Q1",IF('PIM Ranges'!$AL17&lt;'PIM Ranges'!$BA$32,"Q2",IF('PIM Ranges'!$AL17&lt;'PIM Ranges'!$BB$32,"Q3",IF('PIM Ranges'!$AL17&lt;'PIM Ranges'!$BC$32,"Q4","Q5"))))))))))))))))))))))))))</f>
        <v>Q1</v>
      </c>
      <c r="AZ19" s="301">
        <f t="shared" si="31"/>
        <v>0</v>
      </c>
      <c r="BA19" s="39">
        <f>'PIM Model'!C15</f>
        <v>0</v>
      </c>
      <c r="BB19" s="301"/>
      <c r="BC19" s="301"/>
      <c r="BD19" s="301" t="e">
        <f t="shared" si="72"/>
        <v>#DIV/0!</v>
      </c>
      <c r="BE19" s="301"/>
      <c r="BF19" s="301"/>
      <c r="BG19" s="105">
        <v>8</v>
      </c>
      <c r="BH19" s="18">
        <f t="array" ref="BH19">IF('Customer Inputs'!$W$6="End",0,IFERROR(IF($BU19="SEGMENT",INDEX('Margin Guidence Table'!$A$1:$AG$10000,MATCH(1,('Margin Guidence Table'!$A$1:$A$10000=$BS19)*('Margin Guidence Table'!$I$1:$I$10000&lt;=ROUND($BK$3,0))*('Margin Guidence Table'!$J$1:$J$10000&gt;=ROUND($BK$3,0)),0),MATCH("PCT_SALES",'Margin Guidence Table'!$A$1:$AG$1,0)),INDEX('Margin Guidence Table'!$A$1:$AG$10000,MATCH(1,('Margin Guidence Table'!$A$1:$A$10000=$BS19)*('Margin Guidence Table'!$I$1:$I$10000&lt;=ROUND($BK$3,0))*('Margin Guidence Table'!$J$1:$J$10000&gt;=ROUND($BK$3,0)),0),MATCH("DEFAULT_PCT_SALES",'Margin Guidence Table'!$A$1:$AG$1,0))),0))</f>
        <v>0</v>
      </c>
      <c r="BI19" s="297" t="e">
        <f t="shared" si="32"/>
        <v>#DIV/0!</v>
      </c>
      <c r="BJ19" s="99" t="s">
        <v>104</v>
      </c>
      <c r="BK19" s="91">
        <f>IF('Customer Inputs'!$W$6="End",0,IFERROR(IF(AND($BK$2&lt;&gt;"Enter Spend&gt;&gt;&gt;",$BL$2="EXISTING"),SUMIFS('Existing Customers'!$Q:$Q,'Existing Customers'!$A:$A,$BK$1,'Existing Customers'!$H:$H,$BJ19)*$BK$4,$BK$3*$BI19),0))</f>
        <v>0</v>
      </c>
      <c r="BL19" s="92">
        <f>IF('Customer Inputs'!$W$6="End",0,IFERROR(IF(AND($BK$2&lt;&gt;"Enter Spend&gt;&gt;&gt;",$BL$2="EXISTING"),SUMIFS('Existing Customers'!$N:$N,'Existing Customers'!$A:$A,$BK$1,'Existing Customers'!$H:$H,$BJ19)*$BK$4,$BK19/$BV19),0))</f>
        <v>0</v>
      </c>
      <c r="BM19" s="92">
        <f>IF('Customer Inputs'!$W$6="End",0,IFERROR(IF(AND($BK$2&lt;&gt;"Enter Spend&gt;&gt;&gt;",$BL$2="EXISTING"),SUMIFS('Existing Customers'!$O:$O,'Existing Customers'!$H:$H,$BJ19,'Existing Customers'!$A:$A,$BK$1)*$BK$4,$BL19*$BK$8),0))</f>
        <v>0</v>
      </c>
      <c r="BN19" s="92">
        <f>IF('Customer Inputs'!$W$6="End",0,IFERROR(IF(AND($BK$2&lt;&gt;"Enter Spend&gt;&gt;&gt;",$BL$2="EXISTING"),SUMIFS('Existing Customers'!$P:$P,'Existing Customers'!$A:$A,$BK$1,'Existing Customers'!$H:$H,$BJ19)*$BK$4,$BK19/$BW19),0))</f>
        <v>0</v>
      </c>
      <c r="BO19" s="303">
        <f>IF('Customer Inputs'!$W$6="End",0,IFERROR(IF(AND($BK$2&lt;&gt;"Enter Spend&gt;&gt;&gt;",$BL$2="EXISTING"),SUMIFS('Existing Customers'!$V:$V,'Existing Customers'!$H:$H,$BJ19,'Existing Customers'!$A:$A,$BK$1)*$BK$4,0),0))</f>
        <v>0</v>
      </c>
      <c r="BP19" s="93">
        <f>IF('Customer Inputs'!$W$6="End",0,IFERROR(IF(AND($BK$2&lt;&gt;"Enter Spend&gt;&gt;&gt;",$BL$2="EXISTING"),SUMIFS('Existing Customers'!$R:$R,'Existing Customers'!$H:$H,$BJ19,'Existing Customers'!$A:$A,$BK$1)*$BK$4,0),0))</f>
        <v>0</v>
      </c>
      <c r="BQ19" s="93">
        <f>IF('Customer Inputs'!$W$6="End",0,IFERROR(IF(AND($BK$2&lt;&gt;"Enter Spend&gt;&gt;&gt;",$BL$2="EXISTING"),SUMIFS('Existing Customers'!$S:$S,'Existing Customers'!$H:$H,$BJ19,'Existing Customers'!$A:$A,$BK$1)/SUMIFS('Existing Customers'!$Q:$Q,'Existing Customers'!$A:$A,$BK$1,'Existing Customers'!$H:$H,$BJ19),CA19),0))</f>
        <v>0</v>
      </c>
      <c r="BR19" s="93">
        <f>IF('Customer Inputs'!$W$6="End",0,IFERROR(IF(AND($BK$2&lt;&gt;"Enter Spend&gt;&gt;&gt;",$BL$2="EXISTING"),SUMIFS('Existing Customers'!$U:$U,'Existing Customers'!$H:$H,$BJ19,'Existing Customers'!$A:$A,$BK$1)/SUMIFS('Existing Customers'!$Q:$Q,'Existing Customers'!$A:$A,$BK$1,'Existing Customers'!$H:$H,$BJ19),CB19),0))</f>
        <v>0</v>
      </c>
      <c r="BS19" s="782" t="e">
        <f>_xlfn.CONCAT('Customer Inputs'!$AH$6,"_",BJ19)</f>
        <v>#N/A</v>
      </c>
      <c r="BT19" s="783">
        <f t="array" ref="BT19">IF('Customer Inputs'!$W$6="End",0,IFERROR(INDEX('Margin Guidence Table'!$A$1:$AG$10000,MATCH(1,('Margin Guidence Table'!$A$1:$A$10000=$BS19)*('Margin Guidence Table'!$I$1:$I$10000&lt;=ROUND($BK$3,0))*('Margin Guidence Table'!$J$1:$J$10000&gt;=ROUND($BK$3,0)),0),MATCH("DATA_POINTS",'Margin Guidence Table'!$A$1:$AG$1,0)),0))</f>
        <v>0</v>
      </c>
      <c r="BU19" s="780" t="str">
        <f t="shared" si="33"/>
        <v>DEFAULT</v>
      </c>
      <c r="BV19" s="780">
        <f t="array" ref="BV19">IF('Customer Inputs'!$W$6="End",0,IFERROR(IF($BU19="SEGMENT",INDEX('Margin Guidence Table'!$A$1:$AG$10000,MATCH(1,('Margin Guidence Table'!$A$1:$A$10000=$BS19)*('Margin Guidence Table'!$I$1:$I$10000&lt;=ROUND($BK$3,0))*('Margin Guidence Table'!$J$1:$J$10000&gt;=ROUND($BK$3,0)),0),MATCH("SALES_CASE",'Margin Guidence Table'!$A$1:$AG$1,0)),INDEX('Margin Guidence Table'!$A$1:$AG$10000,MATCH(1,('Margin Guidence Table'!$A$1:$A$10000=$BS19)*('Margin Guidence Table'!$I$1:$I$10000&lt;=ROUND($BK$3,0))*('Margin Guidence Table'!$J$1:$J$10000&gt;=ROUND($BK$3,0)),0),MATCH("DEFAULT_SALES_CASE",'Margin Guidence Table'!$A$1:$AG$1,0))),0))</f>
        <v>0</v>
      </c>
      <c r="BW19" s="780">
        <f t="array" ref="BW19">IF('Customer Inputs'!$W$6="End",0,IFERROR(IF($BU19="SEGMENT",INDEX('Margin Guidence Table'!$A$1:$AG$10000,MATCH(1,('Margin Guidence Table'!$A$1:$A$10000=$BS19)*('Margin Guidence Table'!$I$1:$I$10000&lt;=ROUND($BK$3,0))*('Margin Guidence Table'!$J$1:$J$10000&gt;=ROUND($BK$3,0)),0),MATCH("SALES_LBS",'Margin Guidence Table'!$A$1:$AG$1,0)),INDEX('Margin Guidence Table'!$A$1:$AG$10000,MATCH(1,('Margin Guidence Table'!$A$1:$A$10000=$BS19)*('Margin Guidence Table'!$I$1:$I$10000&lt;=ROUND($BK$3,0))*('Margin Guidence Table'!$J$1:$J$10000&gt;=ROUND($BK$3,0)),0),MATCH("DEFAULT_SALES_LBS",'Margin Guidence Table'!$A$1:$AG$1,0))),0))</f>
        <v>0</v>
      </c>
      <c r="BX19" s="784">
        <f t="array" ref="BX19">IF('Customer Inputs'!$W$6="End",0,IFERROR(IF($BU19="SEGMENT",INDEX('Margin Guidence Table'!$A$1:$AG$10000,MATCH(1,('Margin Guidence Table'!$A$1:$A$10000=$BS19)*('Margin Guidence Table'!$I$1:$I$10000&lt;=ROUND($BK$3,0))*('Margin Guidence Table'!$J$1:$J$10000&gt;=ROUND($BK$3,0)),0),MATCH("MDA_MIN_MARGIN_GUIDENCE",'Margin Guidence Table'!$A$1:$AG$1,0)),INDEX('Margin Guidence Table'!$A$1:$AG$10000,MATCH(1,('Margin Guidence Table'!$A$1:$A$10000=$BS19)*('Margin Guidence Table'!$I$1:$I$10000&lt;=ROUND($BK$3,0))*('Margin Guidence Table'!$J$1:$J$10000&gt;=ROUND($BK$3,0)),0),MATCH("DEFAULT_MDA_MIN_MARGIN_GUIDENCE",'Margin Guidence Table'!$A$1:$AG$1,0))),0))</f>
        <v>0</v>
      </c>
      <c r="BY19" s="784">
        <f t="array" ref="BY19">IF('Customer Inputs'!$W$6="End",0,IFERROR(IF($BU19="SEGMENT",INDEX('Margin Guidence Table'!$A$1:$AG$10000,MATCH(1,('Margin Guidence Table'!$A$1:$A$10000=$BS19)*('Margin Guidence Table'!$I$1:$I$10000&lt;=ROUND($BK$3,0))*('Margin Guidence Table'!$J$1:$J$10000&gt;=ROUND($BK$3,0)),0),MATCH("MDA_MEDIAN_MARGIN_GUIDENCE",'Margin Guidence Table'!$A$1:$AG$1,0)),INDEX('Margin Guidence Table'!$A$1:$AG$10000,MATCH(1,('Margin Guidence Table'!$A$1:$A$10000=$BS19)*('Margin Guidence Table'!$I$1:$I$10000&lt;=ROUND($BK$3,0))*('Margin Guidence Table'!$J$1:$J$10000&gt;=ROUND($BK$3,0)),0),MATCH("DEFAULT_MDA_MEDIAN_MARGIN_GUIDENCE",'Margin Guidence Table'!$A$1:$AG$1,0))),0))</f>
        <v>0</v>
      </c>
      <c r="BZ19" s="784">
        <f t="array" ref="BZ19">IF('Customer Inputs'!$W$6="End",0,IFERROR(IF($BU19="SEGMENT",INDEX('Margin Guidence Table'!$A$1:$AG$10000,MATCH(1,('Margin Guidence Table'!$A$1:$A$10000=$BS19)*('Margin Guidence Table'!$I$1:$I$10000&lt;=ROUND($BK$3,0))*('Margin Guidence Table'!$J$1:$J$10000&gt;=ROUND($BK$3,0)),0),MATCH("MDA_MAX_MARGIN_GUIDENCE",'Margin Guidence Table'!$A$1:$AG$1,0)),INDEX('Margin Guidence Table'!$A$1:$AG$10000,MATCH(1,('Margin Guidence Table'!$A$1:$A$10000=$BS19)*('Margin Guidence Table'!$I$1:$I$10000&lt;=ROUND($BK$3,0))*('Margin Guidence Table'!$J$1:$J$10000&gt;=ROUND($BK$3,0)),0),MATCH("DEFAULT_MDA_MAX_MARGIN_GUIDENCE",'Margin Guidence Table'!$A$1:$AG$1,0))),0))</f>
        <v>0</v>
      </c>
      <c r="CA19" s="784">
        <f t="array" ref="CA19">IF('Customer Inputs'!$W$6="End",0,IFERROR(IF($BU19="SEGMENT",INDEX('Margin Guidence Table'!$A$1:$AG$10000,MATCH(1,('Margin Guidence Table'!$A$1:$A$10000=$BS19)*('Margin Guidence Table'!$I$1:$I$10000&lt;=ROUND($BK$3,0))*('Margin Guidence Table'!$J$1:$J$10000&gt;=ROUND($BK$3,0)),0),MATCH("PA_PCT_SALES",'Margin Guidence Table'!$A$1:$AG$1,0)),INDEX('Margin Guidence Table'!$A$1:$AG$10000,MATCH(1,('Margin Guidence Table'!$A$1:$A$10000=$BS19)*('Margin Guidence Table'!$I$1:$I$10000&lt;=ROUND($BK$3,0))*('Margin Guidence Table'!$J$1:$J$10000&gt;=ROUND($BK$3,0)),0),MATCH("DEFAULT_PA_PCT_SALES",'Margin Guidence Table'!$A$1:$AG$1,0))),0))</f>
        <v>0</v>
      </c>
      <c r="CB19" s="784">
        <f t="array" ref="CB19">IF('Customer Inputs'!$W$6="End",0,IFERROR(IF($BU19="SEGMENT",INDEX('Margin Guidence Table'!$A$1:$AG$10000,MATCH(1,('Margin Guidence Table'!$A$1:$A$10000=$BS19)*('Margin Guidence Table'!$I$1:$I$10000&lt;=ROUND($BK$3,0))*('Margin Guidence Table'!$J$1:$J$10000&gt;=ROUND($BK$3,0)),0),MATCH("SELF_FUND_PCT_SALES",'Margin Guidence Table'!$A$1:$AG$1,0)),INDEX('Margin Guidence Table'!$A$1:$AG$10000,MATCH(1,('Margin Guidence Table'!$A$1:$A$10000=$BS19)*('Margin Guidence Table'!$I$1:$I$10000&lt;=ROUND($BK$3,0))*('Margin Guidence Table'!$J$1:$J$10000&gt;=ROUND($BK$3,0)),0),MATCH("DEFAULT_SELF_FUND_PCT_SALES",'Margin Guidence Table'!$A$1:$AG$1,0))),0))</f>
        <v>0</v>
      </c>
      <c r="CC19" s="784">
        <f t="array" ref="CC19">IF('Customer Inputs'!$W$6="End",0,IF($BL$2="Existing",IFERROR(SUMIFS('Existing Customers'!$V:$V,'Existing Customers'!$H:$H,$BJ19,'Existing Customers'!$A:$A,$BK$1)/SUMIFS('Existing Customers'!$Q:$Q,'Existing Customers'!$H:$H,$BJ19,'Existing Customers'!$A:$A,$BK$1),0),IFERROR(IF($BU19="SEGMENT",INDEX('Margin Guidence Table'!$A$1:$AG$10000,MATCH(1,('Margin Guidence Table'!$A$1:$A$10000=$BS19)*('Margin Guidence Table'!$I$1:$I$10000&lt;=ROUND($BK$3,0))*('Margin Guidence Table'!$J$1:$J$10000&gt;=ROUND($BK$3,0)),0),MATCH("CIA_MEDIAN_MARGIN_GUIDENCE",'Margin Guidence Table'!$A$1:$AG$1,0)),INDEX('Margin Guidence Table'!$A$1:$AG$10000,MATCH(1,('Margin Guidence Table'!$A$1:$A$10000=$BS19)*('Margin Guidence Table'!$I$1:$I$10000&lt;=ROUND($BK$3,0))*('Margin Guidence Table'!$J$1:$J$10000&gt;=ROUND($BK$3,0)),0),MATCH("DEFAULT_CIA_MEDIAN_MARGIN_GUIDENCE",'Margin Guidence Table'!$A$1:$AG$1,0))),0)))</f>
        <v>0</v>
      </c>
      <c r="CD19" s="126"/>
      <c r="CE19" s="18">
        <f t="array" ref="CE19">IF('Customer Inputs'!$W$7="End",0,IFERROR(IF($CR19="SEGMENT",INDEX('Margin Guidence Table'!$A$1:$AG$10000,MATCH(1,('Margin Guidence Table'!$A$1:$A$10000=$CP19)*('Margin Guidence Table'!$I$1:$I$10000&lt;=ROUND($CH$3,0))*('Margin Guidence Table'!$J$1:$J$10000&gt;=ROUND($CH$3,0)),0),MATCH("PCT_SALES",'Margin Guidence Table'!$A$1:$AG$1,0)),INDEX('Margin Guidence Table'!$A$1:$AG$10000,MATCH(1,('Margin Guidence Table'!$A$1:$A$10000=$CP19)*('Margin Guidence Table'!$I$1:$I$10000&lt;=ROUND($CH$3,0))*('Margin Guidence Table'!$J$1:$J$10000&gt;=ROUND($CH$3,0)),0),MATCH("DEFAULT_PCT_SALES",'Margin Guidence Table'!$A$1:$AG$1,0))),0))</f>
        <v>0</v>
      </c>
      <c r="CF19" s="297" t="e">
        <f t="shared" si="34"/>
        <v>#DIV/0!</v>
      </c>
      <c r="CG19" s="99" t="s">
        <v>104</v>
      </c>
      <c r="CH19" s="91">
        <f>IF('Customer Inputs'!$W$7="End",0,IFERROR(IF(AND($CH$2&lt;&gt;"Enter Spend&gt;&gt;&gt;",$CI$2="EXISTING"),SUMIFS('Existing Customers'!$Q:$Q,'Existing Customers'!$A:$A,$CH$1,'Existing Customers'!$H:$H,$CG19)*$CH$4,$CH$3*$CF19),0))</f>
        <v>0</v>
      </c>
      <c r="CI19" s="86">
        <f>IF('Customer Inputs'!$W$7="End",0,IFERROR(IF(AND($CH$2&lt;&gt;"Enter Spend&gt;&gt;&gt;",$CI$2="EXISTING"),SUMIFS('Existing Customers'!$N:$N,'Existing Customers'!$A:$A,$CH$1,'Existing Customers'!$H:$H,$CG19)*$CH$4,$CH19/$CS19),0))</f>
        <v>0</v>
      </c>
      <c r="CJ19" s="92">
        <f>IF('Customer Inputs'!$W$7="End",0,IFERROR(IF(AND($CH$2&lt;&gt;"Enter Spend&gt;&gt;&gt;",$CI$2="EXISTING"),SUMIFS('Existing Customers'!$O:$O,'Existing Customers'!$H:$H,$CG19,'Existing Customers'!$A:$A,$CH$1)*$CH$4,$CI19*$CH$8),0))</f>
        <v>0</v>
      </c>
      <c r="CK19" s="92">
        <f>IF('Customer Inputs'!$W$7="End",0,IFERROR(IF(AND($CH$2&lt;&gt;"Enter Spend&gt;&gt;&gt;",$CI$2="EXISTING"),SUMIFS('Existing Customers'!$P:$P,'Existing Customers'!$A:$A,$CH$1,'Existing Customers'!$H:$H,$CG19)*$CH$4,$CH19/$CT19),0))</f>
        <v>0</v>
      </c>
      <c r="CL19" s="93">
        <f>IF('Customer Inputs'!$W$7="End",0,IFERROR(IF(AND($CH$2&lt;&gt;"Enter Spend&gt;&gt;&gt;",$CI$2="EXISTING"),SUMIFS('Existing Customers'!$V:$V,'Existing Customers'!$H:$H,$CG19,'Existing Customers'!$A:$A,$CH$1)*$CH$4,0),0))</f>
        <v>0</v>
      </c>
      <c r="CM19" s="93">
        <f>IF('Customer Inputs'!$W$7="End",0,IFERROR(IF(AND($CH$2&lt;&gt;"Enter Spend&gt;&gt;&gt;",$CI$2="EXISTING"),SUMIFS('Existing Customers'!$R:$R,'Existing Customers'!$H:$H,$CG19,'Existing Customers'!$A:$A,$CH$1)*$CH$4,0),0))</f>
        <v>0</v>
      </c>
      <c r="CN19" s="780">
        <f>IF('Customer Inputs'!$W$7="End",0,IFERROR(IF(AND($CH$2&lt;&gt;"Enter Spend&gt;&gt;&gt;",$CI$2="EXISTING"),SUMIFS('Existing Customers'!$S:$S,'Existing Customers'!$H:$H,$CG19,'Existing Customers'!$A:$A,$CH$1)/SUMIFS('Existing Customers'!$Q:$Q,'Existing Customers'!$A:$A,$CH$1,'Existing Customers'!$H:$H,$CG19),CX19),0))</f>
        <v>0</v>
      </c>
      <c r="CO19" s="780">
        <f>IF('Customer Inputs'!$W$7="End",0,IFERROR(IF(AND($CH$2&lt;&gt;"Enter Spend&gt;&gt;&gt;",$CI$2="EXISTING"),SUMIFS('Existing Customers'!$U:$U,'Existing Customers'!$H:$H,$CG19,'Existing Customers'!$A:$A,$CH$1)/SUMIFS('Existing Customers'!$Q:$Q,'Existing Customers'!$A:$A,$CH$1,'Existing Customers'!$H:$H,$CG19),CY19),0))</f>
        <v>0</v>
      </c>
      <c r="CP19" s="783" t="e">
        <f>_xlfn.CONCAT('Customer Inputs'!$AH$7,"_",CG19)</f>
        <v>#N/A</v>
      </c>
      <c r="CQ19" s="783">
        <f t="array" ref="CQ19">IFERROR(INDEX('Margin Guidence Table'!$A$1:$AG$10000,MATCH(1,('Margin Guidence Table'!$A$1:$A$10000=$CP19)*('Margin Guidence Table'!$I$1:$I$10000&lt;=ROUND($CH$3,0))*('Margin Guidence Table'!$J$1:$J$10000&gt;=ROUND($CH$3,0)),0),MATCH("DATA_POINTS",'Margin Guidence Table'!$A$1:$AG$1,0)),0)</f>
        <v>0</v>
      </c>
      <c r="CR19" s="780" t="str">
        <f t="shared" si="35"/>
        <v>DEFAULT</v>
      </c>
      <c r="CS19" s="780">
        <f t="array" ref="CS19">IF('Customer Inputs'!$W$7="End",0,IFERROR(IF($CR19="SEGMENT",INDEX('Margin Guidence Table'!$A$1:$AG$10000,MATCH(1,('Margin Guidence Table'!$A$1:$A$10000=$CP19)*('Margin Guidence Table'!$I$1:$I$10000&lt;=ROUND($CH$3,0))*('Margin Guidence Table'!$J$1:$J$10000&gt;=ROUND($CH$3,0)),0),MATCH("SALES_CASE",'Margin Guidence Table'!$A$1:$AG$1,0)),INDEX('Margin Guidence Table'!$A$1:$AG$10000,MATCH(1,('Margin Guidence Table'!$A$1:$A$10000=$CP19)*('Margin Guidence Table'!$I$1:$I$10000&lt;=ROUND($CH$3,0))*('Margin Guidence Table'!$J$1:$J$10000&gt;=ROUND($CH$3,0)),0),MATCH("DEFAULT_SALES_CASE",'Margin Guidence Table'!$A$1:$AG$1,0))),0))</f>
        <v>0</v>
      </c>
      <c r="CT19" s="780">
        <f t="array" ref="CT19">IF('Customer Inputs'!$W$7="End",0,IFERROR(IF($CR19="SEGMENT",INDEX('Margin Guidence Table'!$A$1:$AG$10000,MATCH(1,('Margin Guidence Table'!$A$1:$A$10000=$CP19)*('Margin Guidence Table'!$I$1:$I$10000&lt;=ROUND($CH$3,0))*('Margin Guidence Table'!$J$1:$J$10000&gt;=ROUND($CH$3,0)),0),MATCH("SALES_LBS",'Margin Guidence Table'!$A$1:$AG$1,0)),INDEX('Margin Guidence Table'!$A$1:$AG$10000,MATCH(1,('Margin Guidence Table'!$A$1:$A$10000=$CP19)*('Margin Guidence Table'!$I$1:$I$10000&lt;=ROUND($CH$3,0))*('Margin Guidence Table'!$J$1:$J$10000&gt;=ROUND($CH$3,0)),0),MATCH("DEFAULT_SALES_LBS",'Margin Guidence Table'!$A$1:$AG$1,0))),0))</f>
        <v>0</v>
      </c>
      <c r="CU19" s="784">
        <f t="array" ref="CU19">IF('Customer Inputs'!$W$7="End",0,IFERROR(IF($CR19="SEGMENT",INDEX('Margin Guidence Table'!$A$1:$AG$10000,MATCH(1,('Margin Guidence Table'!$A$1:$A$10000=$CP19)*('Margin Guidence Table'!$I$1:$I$10000&lt;=ROUND($CH$3,0))*('Margin Guidence Table'!$J$1:$J$10000&gt;=ROUND($CH$3,0)),0),MATCH("MDA_MIN_MARGIN_GUIDENCE",'Margin Guidence Table'!$A$1:$AG$1,0)),INDEX('Margin Guidence Table'!$A$1:$AG$10000,MATCH(1,('Margin Guidence Table'!$A$1:$A$10000=$CP19)*('Margin Guidence Table'!$I$1:$I$10000&lt;=ROUND($CH$3,0))*('Margin Guidence Table'!$J$1:$J$10000&gt;=ROUND($CH$3,0)),0),MATCH("DEFAULT_MDA_MIN_MARGIN_GUIDENCE",'Margin Guidence Table'!$A$1:$AG$1,0))),0))</f>
        <v>0</v>
      </c>
      <c r="CV19" s="784">
        <f t="array" ref="CV19">IF('Customer Inputs'!$W$7="End",0,IFERROR(IF($CR19="SEGMENT",INDEX('Margin Guidence Table'!$A$1:$AG$10000,MATCH(1,('Margin Guidence Table'!$A$1:$A$10000=$CP19)*('Margin Guidence Table'!$I$1:$I$10000&lt;=ROUND($CH$3,0))*('Margin Guidence Table'!$J$1:$J$10000&gt;=ROUND($CH$3,0)),0),MATCH("MDA_MEDIAN_MARGIN_GUIDENCE",'Margin Guidence Table'!$A$1:$AG$1,0)),INDEX('Margin Guidence Table'!$A$1:$AG$10000,MATCH(1,('Margin Guidence Table'!$A$1:$A$10000=$CP19)*('Margin Guidence Table'!$I$1:$I$10000&lt;=ROUND($CH$3,0))*('Margin Guidence Table'!$J$1:$J$10000&gt;=ROUND($CH$3,0)),0),MATCH("DEFAULT_MDA_MEDIAN_MARGIN_GUIDENCE",'Margin Guidence Table'!$A$1:$AG$1,0))),0))</f>
        <v>0</v>
      </c>
      <c r="CW19" s="784">
        <f t="array" ref="CW19">IF('Customer Inputs'!$W$7="End",0,IFERROR(IF($CR19="SEGMENT",INDEX('Margin Guidence Table'!$A$1:$AG$10000,MATCH(1,('Margin Guidence Table'!$A$1:$A$10000=$CP19)*('Margin Guidence Table'!$I$1:$I$10000&lt;=ROUND($CH$3,0))*('Margin Guidence Table'!$J$1:$J$10000&gt;=ROUND($CH$3,0)),0),MATCH("MDA_MAX_MARGIN_GUIDENCE",'Margin Guidence Table'!$A$1:$AG$1,0)),INDEX('Margin Guidence Table'!$A$1:$AG$10000,MATCH(1,('Margin Guidence Table'!$A$1:$A$10000=$CP19)*('Margin Guidence Table'!$I$1:$I$10000&lt;=ROUND($CH$3,0))*('Margin Guidence Table'!$J$1:$J$10000&gt;=ROUND($CH$3,0)),0),MATCH("DEFAULT_MDA_MAX_MARGIN_GUIDENCE",'Margin Guidence Table'!$A$1:$AG$1,0))),0))</f>
        <v>0</v>
      </c>
      <c r="CX19" s="784">
        <f t="array" ref="CX19">IF('Customer Inputs'!$W$7="End",0,IFERROR(IF($CR19="SEGMENT",INDEX('Margin Guidence Table'!$A$1:$AG$10000,MATCH(1,('Margin Guidence Table'!$A$1:$A$10000=$CP19)*('Margin Guidence Table'!$I$1:$I$10000&lt;=ROUND($CH$3,0))*('Margin Guidence Table'!$J$1:$J$10000&gt;=ROUND($CH$3,0)),0),MATCH("PA_PCT_SALES",'Margin Guidence Table'!$A$1:$AG$1,0)),INDEX('Margin Guidence Table'!$A$1:$AG$10000,MATCH(1,('Margin Guidence Table'!$A$1:$A$10000=$CP19)*('Margin Guidence Table'!$I$1:$I$10000&lt;=ROUND($CH$3,0))*('Margin Guidence Table'!$J$1:$J$10000&gt;=ROUND($CH$3,0)),0),MATCH("DEFAULT_PA_PCT_SALES",'Margin Guidence Table'!$A$1:$AG$1,0))),0))</f>
        <v>0</v>
      </c>
      <c r="CY19" s="784">
        <f t="array" ref="CY19">IF('Customer Inputs'!$W$7="End",0,IFERROR(IF($CR19="SEGMENT",INDEX('Margin Guidence Table'!$A$1:$AG$10000,MATCH(1,('Margin Guidence Table'!$A$1:$A$10000=$CP19)*('Margin Guidence Table'!$I$1:$I$10000&lt;=ROUND($CH$3,0))*('Margin Guidence Table'!$J$1:$J$10000&gt;=ROUND($CH$3,0)),0),MATCH("SELF_FUND_PCT_SALES",'Margin Guidence Table'!$A$1:$AG$1,0)),INDEX('Margin Guidence Table'!$A$1:$AG$10000,MATCH(1,('Margin Guidence Table'!$A$1:$A$10000=$CP19)*('Margin Guidence Table'!$I$1:$I$10000&lt;=ROUND($CH$3,0))*('Margin Guidence Table'!$J$1:$J$10000&gt;=ROUND($CH$3,0)),0),MATCH("DEFAULT_SELF_FUND_PCT_SALES",'Margin Guidence Table'!$A$1:$AG$1,0))),0))</f>
        <v>0</v>
      </c>
      <c r="CZ19" s="784">
        <f t="array" ref="CZ19">IF('Customer Inputs'!$W$7="End",0,IF($CI$2="Existing",IFERROR(SUMIFS('Existing Customers'!$V:$V,'Existing Customers'!$H:$H,$CG19,'Existing Customers'!$A:$A,$CH$1)/SUMIFS('Existing Customers'!$Q:$Q,'Existing Customers'!$H:$H,$CG19,'Existing Customers'!$A:$A,$CH$1),0),IFERROR(IF($CR19="SEGMENT",INDEX('Margin Guidence Table'!$A$1:$AG$10000,MATCH(1,('Margin Guidence Table'!$A$1:$A$10000=$CP19)*('Margin Guidence Table'!$I$1:$I$10000&lt;=ROUND($CH$3,0))*('Margin Guidence Table'!$J$1:$J$10000&gt;=ROUND($CH$3,0)),0),MATCH("CIA_MEDIAN_MARGIN_GUIDENCE",'Margin Guidence Table'!$A$1:$AG$1,0)),INDEX('Margin Guidence Table'!$A$1:$AG$10000,MATCH(1,('Margin Guidence Table'!$A$1:$A$10000=$CP19)*('Margin Guidence Table'!$I$1:$I$10000&lt;=ROUND($CH$3,0))*('Margin Guidence Table'!$J$1:$J$10000&gt;=ROUND($CH$3,0)),0),MATCH("DEFAULT_CIA_MEDIAN_MARGIN_GUIDENCE",'Margin Guidence Table'!$A$1:$AG$1,0))),0)))</f>
        <v>0</v>
      </c>
      <c r="DA19" s="126"/>
      <c r="DB19" s="18">
        <f t="array" ref="DB19">IF('Customer Inputs'!$W$8="End",0,IFERROR(IF($DO19="SEGMENT",INDEX('Margin Guidence Table'!$A$1:$AG$10000,MATCH(1,('Margin Guidence Table'!$A$1:$A$10000=$DM19)*('Margin Guidence Table'!$I$1:$I$10000&lt;=ROUND($DE$3,0))*('Margin Guidence Table'!$J$1:$J$10000&gt;=ROUND($DE$3,0)),0),MATCH("PCT_SALES",'Margin Guidence Table'!$A$1:$AG$1,0)),INDEX('Margin Guidence Table'!$A$1:$AG$10000,MATCH(1,('Margin Guidence Table'!$A$1:$A$10000=$DM19)*('Margin Guidence Table'!$I$1:$I$10000&lt;=ROUND($DE$3,0))*('Margin Guidence Table'!$J$1:$J$10000&gt;=ROUND($DE$3,0)),0),MATCH("DEFAULT_PCT_SALES",'Margin Guidence Table'!$A$1:$AG$1,0))),0))</f>
        <v>0</v>
      </c>
      <c r="DC19" s="297" t="e">
        <f t="shared" si="36"/>
        <v>#DIV/0!</v>
      </c>
      <c r="DD19" s="99" t="s">
        <v>104</v>
      </c>
      <c r="DE19" s="91">
        <f>IF('Customer Inputs'!$W$8="End",0,IFERROR(IF(AND($DE$2&lt;&gt;"Enter Spend&gt;&gt;&gt;",$DF$2="EXISTING"),SUMIFS('Existing Customers'!$Q:$Q,'Existing Customers'!$A:$A,$DE$1,'Existing Customers'!$H:$H,$DD19)*$DE$4,$DE$3*$DC19),0))</f>
        <v>0</v>
      </c>
      <c r="DF19" s="86">
        <f>IF('Customer Inputs'!$W$8="End",0,IFERROR(IF(AND($DE$2&lt;&gt;"Enter Spend&gt;&gt;&gt;",$DF$2="EXISTING"),SUMIFS('Existing Customers'!$N:$N,'Existing Customers'!$A:$A,$DE$1,'Existing Customers'!$H:$H,$DD19)*$DE$4,$DE19/$DP19),0))</f>
        <v>0</v>
      </c>
      <c r="DG19" s="92">
        <f>IF('Customer Inputs'!$W$8="End",0,IFERROR(IF(AND($DE$2&lt;&gt;"Enter Spend&gt;&gt;&gt;",$DF$2="EXISTING"),SUMIFS('Existing Customers'!$O:$O,'Existing Customers'!$H:$H,$DD19,'Existing Customers'!$A:$A,$DE$1)*$DE$4,$DF19*$DE$8),0))</f>
        <v>0</v>
      </c>
      <c r="DH19" s="92">
        <f>IF('Customer Inputs'!$W$8="End",0,IFERROR(IF(AND($DE$2&lt;&gt;"Enter Spend&gt;&gt;&gt;",$DF$2="EXISTING"),SUMIFS('Existing Customers'!$P:$P,'Existing Customers'!$A:$A,$DE$1,'Existing Customers'!$H:$H,$DD19)*$DE$4,$DE19/$DQ19),0))</f>
        <v>0</v>
      </c>
      <c r="DI19" s="93">
        <f>IF('Customer Inputs'!$W$8="End",0,IFERROR(IF(AND($DE$2&lt;&gt;"Enter Spend&gt;&gt;&gt;",$DF$2="EXISTING"),SUMIFS('Existing Customers'!$V:$V,'Existing Customers'!$H:$H,$DD19,'Existing Customers'!$A:$A,$DE$1)*$DE$4,0),0))</f>
        <v>0</v>
      </c>
      <c r="DJ19" s="93">
        <f>IF('Customer Inputs'!$W$8="End",0,IFERROR(IF(AND($DE$2&lt;&gt;"Enter Spend&gt;&gt;&gt;",$DF$2="EXISTING"),SUMIFS('Existing Customers'!$R:$R,'Existing Customers'!$H:$H,$DD19,'Existing Customers'!$A:$A,$DE$1)*$DE$4,0),0))</f>
        <v>0</v>
      </c>
      <c r="DK19" s="780">
        <f>IF('Customer Inputs'!$W$8="End",0,IFERROR(IF(AND($DE$2&lt;&gt;"Enter Spend&gt;&gt;&gt;",$DF$2="EXISTING"),SUMIFS('Existing Customers'!$S:$S,'Existing Customers'!$H:$H,$DD19,'Existing Customers'!$A:$A,$DE$1)/SUMIFS('Existing Customers'!$Q:$Q,'Existing Customers'!$A:$A,$DE$1,'Existing Customers'!$H:$H,$DD19),DU19),0))</f>
        <v>0</v>
      </c>
      <c r="DL19" s="780">
        <f>IF('Customer Inputs'!$W$8="End",0,IFERROR(IF(AND($DE$2&lt;&gt;"Enter Spend&gt;&gt;&gt;",$DF$2="EXISTING"),SUMIFS('Existing Customers'!$U:$U,'Existing Customers'!$H:$H,$DD19,'Existing Customers'!$A:$A,$DE$1)/SUMIFS('Existing Customers'!$Q:$Q,'Existing Customers'!$A:$A,$DE$1,'Existing Customers'!$H:$H,$DD19),DV19),0))</f>
        <v>0</v>
      </c>
      <c r="DM19" s="783" t="e">
        <f>_xlfn.CONCAT('Customer Inputs'!$AH$8,"_",DD19)</f>
        <v>#N/A</v>
      </c>
      <c r="DN19" s="783">
        <f t="array" ref="DN19">IF('Customer Inputs'!$W$8="End",0,IFERROR(INDEX('Margin Guidence Table'!$A$1:$AG$10000,MATCH(1,('Margin Guidence Table'!$A$1:$A$10000=DM19)*('Margin Guidence Table'!$I$1:$I$10000&lt;=ROUND($DE$3,0))*('Margin Guidence Table'!$J$1:$J$10000&gt;=ROUND($DE$3,0)),0),MATCH("DATA_POINTS",'Margin Guidence Table'!$A$1:$AG$1,0)),0))</f>
        <v>0</v>
      </c>
      <c r="DO19" s="780" t="str">
        <f t="shared" si="37"/>
        <v>DEFAULT</v>
      </c>
      <c r="DP19" s="780">
        <f t="array" ref="DP19">IF('Customer Inputs'!$W$8="End",0,IFERROR(IF($DO19="SEGMENT",INDEX('Margin Guidence Table'!$A$1:$AG$10000,MATCH(1,('Margin Guidence Table'!$A$1:$A$10000=DM19)*('Margin Guidence Table'!$I$1:$I$10000&lt;=ROUND($DE$3,0))*('Margin Guidence Table'!$J$1:$J$10000&gt;=ROUND($DE$3,0)),0),MATCH("SALES_CASE",'Margin Guidence Table'!$A$1:$AG$1,0)),INDEX('Margin Guidence Table'!$A$1:$AG$10000,MATCH(1,('Margin Guidence Table'!$A$1:$A$10000=DM19)*('Margin Guidence Table'!$I$1:$I$10000&lt;=ROUND($DE$3,0))*('Margin Guidence Table'!$J$1:$J$10000&gt;=ROUND($DE$3,0)),0),MATCH("DEFAULT_SALES_CASE",'Margin Guidence Table'!$A$1:$AG$1,0))),0))</f>
        <v>0</v>
      </c>
      <c r="DQ19" s="780">
        <f t="array" ref="DQ19">IF('Customer Inputs'!$W$8="End",0,IFERROR(IF($DO19="SEGMENT",INDEX('Margin Guidence Table'!$A$1:$AG$10000,MATCH(1,('Margin Guidence Table'!$A$1:$A$10000=DM19)*('Margin Guidence Table'!$I$1:$I$10000&lt;=ROUND($DE$3,0))*('Margin Guidence Table'!$J$1:$J$10000&gt;=ROUND($DE$3,0)),0),MATCH("SALES_LBS",'Margin Guidence Table'!$A$1:$AG$1,0)),INDEX('Margin Guidence Table'!$A$1:$AG$10000,MATCH(1,('Margin Guidence Table'!$A$1:$A$10000=DM19)*('Margin Guidence Table'!$I$1:$I$10000&lt;=ROUND($DE$3,0))*('Margin Guidence Table'!$J$1:$J$10000&gt;=ROUND($DE$3,0)),0),MATCH("DEFAULT_SALES_LBS",'Margin Guidence Table'!$A$1:$AG$1,0))),0))</f>
        <v>0</v>
      </c>
      <c r="DR19" s="784">
        <f t="array" ref="DR19">IF('Customer Inputs'!$W$8="End",0,IFERROR(IF($DO19="SEGMENT",INDEX('Margin Guidence Table'!$A$1:$AG$10000,MATCH(1,('Margin Guidence Table'!$A$1:$A$10000=DM19)*('Margin Guidence Table'!$I$1:$I$10000&lt;=ROUND($DE$3,0))*('Margin Guidence Table'!$J$1:$J$10000&gt;=ROUND($DE$3,0)),0),MATCH("MDA_MIN_MARGIN_GUIDENCE",'Margin Guidence Table'!$A$1:$AG$1,0)),INDEX('Margin Guidence Table'!$A$1:$AG$10000,MATCH(1,('Margin Guidence Table'!$A$1:$A$10000=DM19)*('Margin Guidence Table'!$I$1:$I$10000&lt;=ROUND($DE$3,0))*('Margin Guidence Table'!$J$1:$J$10000&gt;=ROUND($DE$3,0)),0),MATCH("DEFAULT_MDA_MIN_MARGIN_GUIDENCE",'Margin Guidence Table'!$A$1:$AG$1,0))),0))</f>
        <v>0</v>
      </c>
      <c r="DS19" s="784">
        <f t="array" ref="DS19">IF('Customer Inputs'!$W$8="End",0,IFERROR(IF($DO19="SEGMENT",INDEX('Margin Guidence Table'!$A$1:$AG$10000,MATCH(1,('Margin Guidence Table'!$A$1:$A$10000=DM19)*('Margin Guidence Table'!$I$1:$I$10000&lt;=ROUND($DE$3,0))*('Margin Guidence Table'!$J$1:$J$10000&gt;=ROUND($DE$3,0)),0),MATCH("MDA_MEDIAN_MARGIN_GUIDENCE",'Margin Guidence Table'!$A$1:$AG$1,0)),INDEX('Margin Guidence Table'!$A$1:$AG$10000,MATCH(1,('Margin Guidence Table'!$A$1:$A$10000=DM19)*('Margin Guidence Table'!$I$1:$I$10000&lt;=ROUND($DE$3,0))*('Margin Guidence Table'!$J$1:$J$10000&gt;=ROUND($DE$3,0)),0),MATCH("DEFAULT_MDA_MEDIAN_MARGIN_GUIDENCE",'Margin Guidence Table'!$A$1:$AG$1,0))),0))</f>
        <v>0</v>
      </c>
      <c r="DT19" s="784">
        <f t="array" ref="DT19">IF('Customer Inputs'!$W$8="End",0,IFERROR(IF($DO19="SEGMENT",INDEX('Margin Guidence Table'!$A$1:$AG$10000,MATCH(1,('Margin Guidence Table'!$A$1:$A$10000=DM19)*('Margin Guidence Table'!$I$1:$I$10000&lt;=ROUND($DE$3,0))*('Margin Guidence Table'!$J$1:$J$10000&gt;=ROUND($DE$3,0)),0),MATCH("MDA_MAX_MARGIN_GUIDENCE",'Margin Guidence Table'!$A$1:$AG$1,0)),INDEX('Margin Guidence Table'!$A$1:$AG$10000,MATCH(1,('Margin Guidence Table'!$A$1:$A$10000=DM19)*('Margin Guidence Table'!$I$1:$I$10000&lt;=ROUND($DE$3,0))*('Margin Guidence Table'!$J$1:$J$10000&gt;=ROUND($DE$3,0)),0),MATCH("DEFAULT_MDA_MAX_MARGIN_GUIDENCE",'Margin Guidence Table'!$A$1:$AG$1,0))),0))</f>
        <v>0</v>
      </c>
      <c r="DU19" s="784">
        <f t="array" ref="DU19">IF('Customer Inputs'!$W$8="End",0,IFERROR(IF($DO19="SEGMENT",INDEX('Margin Guidence Table'!$A$1:$AG$10000,MATCH(1,('Margin Guidence Table'!$A$1:$A$10000=DM19)*('Margin Guidence Table'!$I$1:$I$10000&lt;=ROUND($DE$3,0))*('Margin Guidence Table'!$J$1:$J$10000&gt;=ROUND($DE$3,0)),0),MATCH("PA_PCT_SALES",'Margin Guidence Table'!$A$1:$AG$1,0)),INDEX('Margin Guidence Table'!$A$1:$AG$10000,MATCH(1,('Margin Guidence Table'!$A$1:$A$10000=DM19)*('Margin Guidence Table'!$I$1:$I$10000&lt;=ROUND($DE$3,0))*('Margin Guidence Table'!$J$1:$J$10000&gt;=ROUND($DE$3,0)),0),MATCH("DEFAULT_PA_PCT_SALES",'Margin Guidence Table'!$A$1:$AG$1,0))),0))</f>
        <v>0</v>
      </c>
      <c r="DV19" s="784">
        <f t="array" ref="DV19">IF('Customer Inputs'!$W$8="End",0,IFERROR(IF($DO19="SEGMENT",INDEX('Margin Guidence Table'!$A$1:$AG$10000,MATCH(1,('Margin Guidence Table'!$A$1:$A$10000=DM19)*('Margin Guidence Table'!$I$1:$I$10000&lt;=ROUND($DE$3,0))*('Margin Guidence Table'!$J$1:$J$10000&gt;=ROUND($DE$3,0)),0),MATCH("SELF_FUND_PCT_SALES",'Margin Guidence Table'!$A$1:$AG$1,0)),INDEX('Margin Guidence Table'!$A$1:$AG$10000,MATCH(1,('Margin Guidence Table'!$A$1:$A$10000=DM19)*('Margin Guidence Table'!$I$1:$I$10000&lt;=ROUND($DE$3,0))*('Margin Guidence Table'!$J$1:$J$10000&gt;=ROUND($DE$3,0)),0),MATCH("DEFAULT_SELF_FUND_PCT_SALES",'Margin Guidence Table'!$A$1:$AG$1,0))),0))</f>
        <v>0</v>
      </c>
      <c r="DW19" s="784">
        <f t="array" ref="DW19">IF('Customer Inputs'!$W$8="End",0,IF($DF$2="Existing",IFERROR(SUMIFS('Existing Customers'!$V:$V,'Existing Customers'!$H:$H,$DD19,'Existing Customers'!$A:$A,$DE$1)/SUMIFS('Existing Customers'!$Q:$Q,'Existing Customers'!$H:$H,$DD19,'Existing Customers'!$A:$A,$DE$1),0),IFERROR(IF($DO19="SEGMENT",INDEX('Margin Guidence Table'!$A$1:$AG$10000,MATCH(1,('Margin Guidence Table'!$A$1:$A$10000=DM19)*('Margin Guidence Table'!$I$1:$I$10000&lt;=ROUND($DE$3,0))*('Margin Guidence Table'!$J$1:$J$10000&gt;=ROUND($DE$3,0)),0),MATCH("CIA_MEDIAN_MARGIN_GUIDENCE",'Margin Guidence Table'!$A$1:$AG$1,0)),INDEX('Margin Guidence Table'!$A$1:$AG$10000,MATCH(1,('Margin Guidence Table'!$A$1:$A$10000=DM19)*('Margin Guidence Table'!$I$1:$I$10000&lt;=ROUND($DE$3,0))*('Margin Guidence Table'!$J$1:$J$10000&gt;=ROUND($DE$3,0)),0),MATCH("DEFAULT_CIA_MEDIAN_MARGIN_GUIDENCE",'Margin Guidence Table'!$A$1:$AG$1,0))),0)))</f>
        <v>0</v>
      </c>
      <c r="DX19" s="126"/>
      <c r="DY19" s="18">
        <f t="array" ref="DY19">IF('Customer Inputs'!$W$9="End",0,IFERROR(IF($EL19="SEGMENT",INDEX('Margin Guidence Table'!$A$1:$AG$10000,MATCH(1,('Margin Guidence Table'!$A$1:$A$10000=$EJ19)*('Margin Guidence Table'!$I$1:$I$10000&lt;=ROUND($EB$3,0))*('Margin Guidence Table'!$J$1:$J$10000&gt;=ROUND($EB$3,0)),0),MATCH("PCT_SALES",'Margin Guidence Table'!$A$1:$AG$1,0)),INDEX('Margin Guidence Table'!$A$1:$AG$10000,MATCH(1,('Margin Guidence Table'!$A$1:$A$10000=$EJ19)*('Margin Guidence Table'!$I$1:$I$10000&lt;=ROUND($EB$3,0))*('Margin Guidence Table'!$J$1:$J$10000&gt;=ROUND($EB$3,0)),0),MATCH("DEFAULT_PCT_SALES",'Margin Guidence Table'!$A$1:$AG$1,0))),0))</f>
        <v>0</v>
      </c>
      <c r="DZ19" s="297" t="e">
        <f t="shared" si="38"/>
        <v>#DIV/0!</v>
      </c>
      <c r="EA19" s="99" t="s">
        <v>104</v>
      </c>
      <c r="EB19" s="91">
        <f>IF('Customer Inputs'!$W$9="End",0,IFERROR(IF(AND($EB$2&lt;&gt;"Enter Spend&gt;&gt;&gt;",$EC$2="EXISTING"),SUMIFS('Existing Customers'!$Q:$Q,'Existing Customers'!$A:$A,$EB$1,'Existing Customers'!$H:$H,$EA19)*$EB$4,$EB$3*$DZ19),0))</f>
        <v>0</v>
      </c>
      <c r="EC19" s="86">
        <f>IF('Customer Inputs'!$W$9="End",0,IFERROR(IF(AND($EB$2&lt;&gt;"Enter Spend&gt;&gt;&gt;",$EC$2="EXISTING"),SUMIFS('Existing Customers'!$N:$N,'Existing Customers'!$A:$A,$EB$1,'Existing Customers'!$H:$H,$EA19)*$EB$4,$EB19/$EM19),0))</f>
        <v>0</v>
      </c>
      <c r="ED19" s="92">
        <f>IF('Customer Inputs'!$W$9="End",0,IFERROR(IF(AND($EB$2&lt;&gt;"Enter Spend&gt;&gt;&gt;",$EC$2="EXISTING"),SUMIFS('Existing Customers'!$O:$O,'Existing Customers'!$H:$H,$EA19,'Existing Customers'!$A:$A,$EB$1)*$EB$4,$EC19*$EB$8),0))</f>
        <v>0</v>
      </c>
      <c r="EE19" s="92">
        <f>IF('Customer Inputs'!$W$9="End",0,IFERROR(IF(AND($EB$2&lt;&gt;"Enter Spend&gt;&gt;&gt;",$EC$2="EXISTING"),SUMIFS('Existing Customers'!$P:$P,'Existing Customers'!$A:$A,$EB$1,'Existing Customers'!$H:$H,$EA19)*$EB$4,$EB19/$EN19),0))</f>
        <v>0</v>
      </c>
      <c r="EF19" s="93">
        <f>IF('Customer Inputs'!$W$9="End",0,IFERROR(IF(AND($EB$2&lt;&gt;"Enter Spend&gt;&gt;&gt;",$EC$2="EXISTING"),SUMIFS('Existing Customers'!$V:$V,'Existing Customers'!$H:$H,$EA19,'Existing Customers'!$A:$A,$EB$1)*$EB$4,0),0))</f>
        <v>0</v>
      </c>
      <c r="EG19" s="93">
        <f>IF('Customer Inputs'!$W$9="End",0,IFERROR(IF(AND($EB$2&lt;&gt;"Enter Spend&gt;&gt;&gt;",$EC$2="EXISTING"),SUMIFS('Existing Customers'!$R:$R,'Existing Customers'!$H:$H,$EA19,'Existing Customers'!$A:$A,$EB$1)*$EB$4,0),0))</f>
        <v>0</v>
      </c>
      <c r="EH19" s="780">
        <f>IF('Customer Inputs'!$W$9="End",0,IFERROR(IF(AND($EB$2&lt;&gt;"Enter Spend&gt;&gt;&gt;",$EC$2="EXISTING"),SUMIFS('Existing Customers'!$S:$S,'Existing Customers'!$H:$H,$EA19,'Existing Customers'!$A:$A,$EB$1)/SUMIFS('Existing Customers'!$Q:$Q,'Existing Customers'!$A:$A,$EB$1,'Existing Customers'!$H:$H,$EA19),ER19),0))</f>
        <v>0</v>
      </c>
      <c r="EI19" s="780">
        <f>IF('Customer Inputs'!$W$9="End",0,IFERROR(IF(AND($EB$2&lt;&gt;"Enter Spend&gt;&gt;&gt;",$EC$2="EXISTING"),SUMIFS('Existing Customers'!$U:$U,'Existing Customers'!$H:$H,$EA19,'Existing Customers'!$A:$A,$EB$1)/SUMIFS('Existing Customers'!$Q:$Q,'Existing Customers'!$A:$A,$EB$1,'Existing Customers'!$H:$H,$EA19),ES19),0))</f>
        <v>0</v>
      </c>
      <c r="EJ19" s="783" t="e">
        <f>_xlfn.CONCAT('Customer Inputs'!$AH$9,"_",EA19)</f>
        <v>#N/A</v>
      </c>
      <c r="EK19" s="783">
        <f t="array" ref="EK19">IF('Customer Inputs'!$W$9="End",0,IFERROR(INDEX('Margin Guidence Table'!$A$1:$AG$10000,MATCH(1,('Margin Guidence Table'!$A$1:$A$10000=EJ19)*('Margin Guidence Table'!$I$1:$I$10000&lt;=ROUND($EB$3,0))*('Margin Guidence Table'!$J$1:$J$10000&gt;=ROUND($EB$3,0)),0),MATCH("DATA_POINTS",'Margin Guidence Table'!$A$1:$AG$1,0)),0))</f>
        <v>0</v>
      </c>
      <c r="EL19" s="780" t="str">
        <f t="shared" si="39"/>
        <v>DEFAULT</v>
      </c>
      <c r="EM19" s="780">
        <f t="array" ref="EM19">IF('Customer Inputs'!$W$9="End",0,IFERROR(IF($EL19="SEGMENT",INDEX('Margin Guidence Table'!$A$1:$AG$10000,MATCH(1,('Margin Guidence Table'!$A$1:$A$10000=EJ19)*('Margin Guidence Table'!$I$1:$I$10000&lt;=ROUND($EB$3,0))*('Margin Guidence Table'!$J$1:$J$10000&gt;=ROUND($EB$3,0)),0),MATCH("SALES_CASE",'Margin Guidence Table'!$A$1:$AG$1,0)),INDEX('Margin Guidence Table'!$A$1:$AG$10000,MATCH(1,('Margin Guidence Table'!$A$1:$A$10000=EJ19)*('Margin Guidence Table'!$I$1:$I$10000&lt;=ROUND($EB$3,0))*('Margin Guidence Table'!$J$1:$J$10000&gt;=ROUND($EB$3,0)),0),MATCH("DEFAULT_SALES_CASE",'Margin Guidence Table'!$A$1:$AG$1,0))),0))</f>
        <v>0</v>
      </c>
      <c r="EN19" s="780">
        <f t="array" ref="EN19">IF('Customer Inputs'!$W$9="End",0,IFERROR(IF($EL19="SEGMENT",INDEX('Margin Guidence Table'!$A$1:$AG$10000,MATCH(1,('Margin Guidence Table'!$A$1:$A$10000=EJ19)*('Margin Guidence Table'!$I$1:$I$10000&lt;=ROUND($EB$3,0))*('Margin Guidence Table'!$J$1:$J$10000&gt;=ROUND($EB$3,0)),0),MATCH("SALES_LBS",'Margin Guidence Table'!$A$1:$AG$1,0)),INDEX('Margin Guidence Table'!$A$1:$AG$10000,MATCH(1,('Margin Guidence Table'!$A$1:$A$10000=EJ19)*('Margin Guidence Table'!$I$1:$I$10000&lt;=ROUND($EB$3,0))*('Margin Guidence Table'!$J$1:$J$10000&gt;=ROUND($EB$3,0)),0),MATCH("DEFAULT_SALES_LBS",'Margin Guidence Table'!$A$1:$AG$1,0))),0))</f>
        <v>0</v>
      </c>
      <c r="EO19" s="784">
        <f t="array" ref="EO19">IF('Customer Inputs'!$W$9="End",0,IFERROR(IF($EL19="SEGMENT",INDEX('Margin Guidence Table'!$A$1:$AG$10000,MATCH(1,('Margin Guidence Table'!$A$1:$A$10000=EJ19)*('Margin Guidence Table'!$I$1:$I$10000&lt;=ROUND($EB$3,0))*('Margin Guidence Table'!$J$1:$J$10000&gt;=ROUND($EB$3,0)),0),MATCH("MDA_MIN_MARGIN_GUIDENCE",'Margin Guidence Table'!$A$1:$AG$1,0)),INDEX('Margin Guidence Table'!$A$1:$AG$10000,MATCH(1,('Margin Guidence Table'!$A$1:$A$10000=EJ19)*('Margin Guidence Table'!$I$1:$I$10000&lt;=ROUND($EB$3,0))*('Margin Guidence Table'!$J$1:$J$10000&gt;=ROUND($EB$3,0)),0),MATCH("DEFAULT_MDA_MIN_MARGIN_GUIDENCE",'Margin Guidence Table'!$A$1:$AG$1,0))),0))</f>
        <v>0</v>
      </c>
      <c r="EP19" s="784">
        <f t="array" ref="EP19">IF('Customer Inputs'!$W$9="End",0,IFERROR(IF($EL19="SEGMENT",INDEX('Margin Guidence Table'!$A$1:$AG$10000,MATCH(1,('Margin Guidence Table'!$A$1:$A$10000=EJ19)*('Margin Guidence Table'!$I$1:$I$10000&lt;=ROUND($EB$3,0))*('Margin Guidence Table'!$J$1:$J$10000&gt;=ROUND($EB$3,0)),0),MATCH("MDA_MEDIAN_MARGIN_GUIDENCE",'Margin Guidence Table'!$A$1:$AG$1,0)),INDEX('Margin Guidence Table'!$A$1:$AG$10000,MATCH(1,('Margin Guidence Table'!$A$1:$A$10000=EJ19)*('Margin Guidence Table'!$I$1:$I$10000&lt;=ROUND($EB$3,0))*('Margin Guidence Table'!$J$1:$J$10000&gt;=ROUND($EB$3,0)),0),MATCH("DEFAULT_MDA_MEDIAN_MARGIN_GUIDENCE",'Margin Guidence Table'!$A$1:$AG$1,0))),0))</f>
        <v>0</v>
      </c>
      <c r="EQ19" s="784">
        <f t="array" ref="EQ19">IF('Customer Inputs'!$W$9="End",0,IFERROR(IF($EL19="SEGMENT",INDEX('Margin Guidence Table'!$A$1:$AG$10000,MATCH(1,('Margin Guidence Table'!$A$1:$A$10000=EJ19)*('Margin Guidence Table'!$I$1:$I$10000&lt;=ROUND($EB$3,0))*('Margin Guidence Table'!$J$1:$J$10000&gt;=ROUND($EB$3,0)),0),MATCH("MDA_MAX_MARGIN_GUIDENCE",'Margin Guidence Table'!$A$1:$AG$1,0)),INDEX('Margin Guidence Table'!$A$1:$AG$10000,MATCH(1,('Margin Guidence Table'!$A$1:$A$10000=EJ19)*('Margin Guidence Table'!$I$1:$I$10000&lt;=ROUND($EB$3,0))*('Margin Guidence Table'!$J$1:$J$10000&gt;=ROUND($EB$3,0)),0),MATCH("DEFAULT_MDA_MAX_MARGIN_GUIDENCE",'Margin Guidence Table'!$A$1:$AG$1,0))),0))</f>
        <v>0</v>
      </c>
      <c r="ER19" s="784">
        <f t="array" ref="ER19">IF('Customer Inputs'!$W$9="End",0,IFERROR(IF($EL19="SEGMENT",INDEX('Margin Guidence Table'!$A$1:$AG$10000,MATCH(1,('Margin Guidence Table'!$A$1:$A$10000=EJ19)*('Margin Guidence Table'!$I$1:$I$10000&lt;=ROUND($EB$3,0))*('Margin Guidence Table'!$J$1:$J$10000&gt;=ROUND($EB$3,0)),0),MATCH("PA_PCT_SALES",'Margin Guidence Table'!$A$1:$AG$1,0)),INDEX('Margin Guidence Table'!$A$1:$AG$10000,MATCH(1,('Margin Guidence Table'!$A$1:$A$10000=EJ19)*('Margin Guidence Table'!$I$1:$I$10000&lt;=ROUND($EB$3,0))*('Margin Guidence Table'!$J$1:$J$10000&gt;=ROUND($EB$3,0)),0),MATCH("DEFAULT_PA_PCT_SALES",'Margin Guidence Table'!$A$1:$AG$1,0))),0))</f>
        <v>0</v>
      </c>
      <c r="ES19" s="784">
        <f t="array" ref="ES19">IF('Customer Inputs'!$W$9="End",0,IFERROR(IF($EL19="SEGMENT",INDEX('Margin Guidence Table'!$A$1:$AG$10000,MATCH(1,('Margin Guidence Table'!$A$1:$A$10000=EJ19)*('Margin Guidence Table'!$I$1:$I$10000&lt;=ROUND($EB$3,0))*('Margin Guidence Table'!$J$1:$J$10000&gt;=ROUND($EB$3,0)),0),MATCH("SELF_FUND_PCT_SALES",'Margin Guidence Table'!$A$1:$AG$1,0)),INDEX('Margin Guidence Table'!$A$1:$AG$10000,MATCH(1,('Margin Guidence Table'!$A$1:$A$10000=EJ19)*('Margin Guidence Table'!$I$1:$I$10000&lt;=ROUND($EB$3,0))*('Margin Guidence Table'!$J$1:$J$10000&gt;=ROUND($EB$3,0)),0),MATCH("DEFAULT_SELF_FUND_PCT_SALES",'Margin Guidence Table'!$A$1:$AG$1,0))),0))</f>
        <v>0</v>
      </c>
      <c r="ET19" s="784">
        <f t="array" ref="ET19">IF('Customer Inputs'!$W$9="End",0,IF($EC$2="Existing",IFERROR(SUMIFS('Existing Customers'!$V:$V,'Existing Customers'!$H:$H,$EA19,'Existing Customers'!$A:$A,$EB$1)/SUMIFS('Existing Customers'!$Q:$Q,'Existing Customers'!$H:$H,$EA19,'Existing Customers'!$A:$A,$EB$1),0),IFERROR(IF($EL19="SEGMENT",INDEX('Margin Guidence Table'!$A$1:$AG$10000,MATCH(1,('Margin Guidence Table'!$A$1:$A$10000=EJ19)*('Margin Guidence Table'!$I$1:$I$10000&lt;=ROUND($EB$3,0))*('Margin Guidence Table'!$J$1:$J$10000&gt;=ROUND($EB$3,0)),0),MATCH("CIA_MEDIAN_MARGIN_GUIDENCE",'Margin Guidence Table'!$A$1:$AG$1,0)),INDEX('Margin Guidence Table'!$A$1:$AG$10000,MATCH(1,('Margin Guidence Table'!$A$1:$A$10000=EJ19)*('Margin Guidence Table'!$I$1:$I$10000&lt;=ROUND($EB$3,0))*('Margin Guidence Table'!$J$1:$J$10000&gt;=ROUND($EB$3,0)),0),MATCH("DEFAULT_CIA_MEDIAN_MARGIN_GUIDENCE",'Margin Guidence Table'!$A$1:$AG$1,0))),0)))</f>
        <v>0</v>
      </c>
      <c r="EU19" s="126"/>
      <c r="EV19" s="18">
        <f t="array" ref="EV19">IF('Customer Inputs'!$W$10="End",0,IFERROR(IF($FI19="SEGMENT",INDEX('Margin Guidence Table'!$A$1:$AG$10000,MATCH(1,('Margin Guidence Table'!$A$1:$A$10000=$FG19)*('Margin Guidence Table'!$I$1:$I$10000&lt;=ROUND($EY$3,0))*('Margin Guidence Table'!$J$1:$J$10000&gt;=ROUND($EY$3,0)),0),MATCH("PCT_SALES",'Margin Guidence Table'!$A$1:$AG$1,0)),INDEX('Margin Guidence Table'!$A$1:$AG$10000,MATCH(1,('Margin Guidence Table'!$A$1:$A$10000=$FG19)*('Margin Guidence Table'!$I$1:$I$10000&lt;=ROUND($EY$3,0))*('Margin Guidence Table'!$J$1:$J$10000&gt;=ROUND($EY$3,0)),0),MATCH("DEFAULT_PCT_SALES",'Margin Guidence Table'!$A$1:$AG$1,0))),0))</f>
        <v>0</v>
      </c>
      <c r="EW19" s="297" t="e">
        <f t="shared" si="40"/>
        <v>#DIV/0!</v>
      </c>
      <c r="EX19" s="99" t="s">
        <v>104</v>
      </c>
      <c r="EY19" s="91">
        <f>IF('Customer Inputs'!$W$10="End",0,IFERROR(IF(AND($EY$2&lt;&gt;"Enter Spend&gt;&gt;&gt;",$EZ$2="EXISTING"),SUMIFS('Existing Customers'!$Q:$Q,'Existing Customers'!$A:$A,$EY$1,'Existing Customers'!$H:$H,$EX19)*$EY$4,$EY$3*$EW19),0))</f>
        <v>0</v>
      </c>
      <c r="EZ19" s="86">
        <f>IF('Customer Inputs'!$W$10="End",0,IFERROR(IF(AND($EY$2&lt;&gt;"Enter Spend&gt;&gt;&gt;",$EZ$2="EXISTING"),SUMIFS('Existing Customers'!$N:$N,'Existing Customers'!$A:$A,$EY$1,'Existing Customers'!$H:$H,$EX19)*$EY$4,$EY19/$FJ19),0))</f>
        <v>0</v>
      </c>
      <c r="FA19" s="92">
        <f>IF('Customer Inputs'!$W$10="End",0,IFERROR(IF(AND($EY$2&lt;&gt;"Enter Spend&gt;&gt;&gt;",$EZ$2="EXISTING"),SUMIFS('Existing Customers'!$O:$O,'Existing Customers'!$H:$H,$EX19,'Existing Customers'!$A:$A,$EY$1)*$EY$4,$EZ19*$EY$8),0))</f>
        <v>0</v>
      </c>
      <c r="FB19" s="92">
        <f>IF('Customer Inputs'!$W$10="End",0,IFERROR(IF(AND($EY$2&lt;&gt;"Enter Spend&gt;&gt;&gt;",$EZ$2="EXISTING"),SUMIFS('Existing Customers'!$P:$P,'Existing Customers'!$A:$A,$EY$1,'Existing Customers'!$H:$H,$EX19)*$EY$4,$EY19/$FK19),0))</f>
        <v>0</v>
      </c>
      <c r="FC19" s="93">
        <f>IF('Customer Inputs'!$W$10="End",0,IFERROR(IF(AND($EY$2&lt;&gt;"Enter Spend&gt;&gt;&gt;",$EZ$2="EXISTING"),SUMIFS('Existing Customers'!$V:$V,'Existing Customers'!$H:$H,$EX19,'Existing Customers'!$A:$A,$EY$1)*$EY$4,0),0))</f>
        <v>0</v>
      </c>
      <c r="FD19" s="93">
        <f>IF('Customer Inputs'!$W$10="End",0,IFERROR(IF(AND($EY$2&lt;&gt;"Enter Spend&gt;&gt;&gt;",$EZ$2="EXISTING"),SUMIFS('Existing Customers'!$R:$R,'Existing Customers'!$H:$H,$EX19,'Existing Customers'!$A:$A,$EY$1)*$EY$4,0),0))</f>
        <v>0</v>
      </c>
      <c r="FE19" s="780">
        <f>IF('Customer Inputs'!$W$10="End",0,IFERROR(IF(AND($EY$2&lt;&gt;"Enter Spend&gt;&gt;&gt;",$EZ$2="EXISTING"),SUMIFS('Existing Customers'!$S:$S,'Existing Customers'!$H:$H,$EX19,'Existing Customers'!$A:$A,$EY$1)/SUMIFS('Existing Customers'!$Q:$Q,'Existing Customers'!$A:$A,$EY$1,'Existing Customers'!$H:$H,$EX19),FO19),0))</f>
        <v>0</v>
      </c>
      <c r="FF19" s="780">
        <f>IF('Customer Inputs'!$W$10="End",0,IFERROR(IF(AND($EY$2&lt;&gt;"Enter Spend&gt;&gt;&gt;",$EZ$2="EXISTING"),SUMIFS('Existing Customers'!$U:$U,'Existing Customers'!$H:$H,$EX19,'Existing Customers'!$A:$A,$EY$1)/SUMIFS('Existing Customers'!$Q:$Q,'Existing Customers'!$A:$A,$EY$1,'Existing Customers'!$H:$H,$EX19),FP19),0))</f>
        <v>0</v>
      </c>
      <c r="FG19" s="783" t="e">
        <f>_xlfn.CONCAT('Customer Inputs'!$AH$10,"_",EX19)</f>
        <v>#N/A</v>
      </c>
      <c r="FH19" s="783">
        <f t="array" ref="FH19">IF('Customer Inputs'!$W$10="End",0,IFERROR(INDEX('Margin Guidence Table'!$A$1:$AG$10000,MATCH(1,('Margin Guidence Table'!$A$1:$A$10000=FG19)*('Margin Guidence Table'!$I$1:$I$10000&lt;=ROUND($EY$3,0))*('Margin Guidence Table'!$J$1:$J$10000&gt;=ROUND($EY$3,0)),0),MATCH("DATA_POINTS",'Margin Guidence Table'!$A$1:$AG$1,0)),0))</f>
        <v>0</v>
      </c>
      <c r="FI19" s="780" t="str">
        <f t="shared" si="41"/>
        <v>DEFAULT</v>
      </c>
      <c r="FJ19" s="780">
        <f t="array" ref="FJ19">IF('Customer Inputs'!$W$10="End",0,IFERROR(IF($FI19="SEGMENT",INDEX('Margin Guidence Table'!$A$1:$AG$10000,MATCH(1,('Margin Guidence Table'!$A$1:$A$10000=FG19)*('Margin Guidence Table'!$I$1:$I$10000&lt;=ROUND($EY$3,0))*('Margin Guidence Table'!$J$1:$J$10000&gt;=ROUND($EY$3,0)),0),MATCH("SALES_CASE",'Margin Guidence Table'!$A$1:$AG$1,0)),INDEX('Margin Guidence Table'!$A$1:$AG$10000,MATCH(1,('Margin Guidence Table'!$A$1:$A$10000=FG19)*('Margin Guidence Table'!$I$1:$I$10000&lt;=ROUND($EY$3,0))*('Margin Guidence Table'!$J$1:$J$10000&gt;=ROUND($EY$3,0)),0),MATCH("DEFAULT_SALES_CASE",'Margin Guidence Table'!$A$1:$AG$1,0))),0))</f>
        <v>0</v>
      </c>
      <c r="FK19" s="780">
        <f t="array" ref="FK19">IF('Customer Inputs'!$W$10="End",0,IFERROR(IF($FI19="SEGMENT",INDEX('Margin Guidence Table'!$A$1:$AG$10000,MATCH(1,('Margin Guidence Table'!$A$1:$A$10000=FG19)*('Margin Guidence Table'!$I$1:$I$10000&lt;=ROUND($EY$3,0))*('Margin Guidence Table'!$J$1:$J$10000&gt;=ROUND($EY$3,0)),0),MATCH("SALES_LBS",'Margin Guidence Table'!$A$1:$AG$1,0)),INDEX('Margin Guidence Table'!$A$1:$AG$10000,MATCH(1,('Margin Guidence Table'!$A$1:$A$10000=FG19)*('Margin Guidence Table'!$I$1:$I$10000&lt;=ROUND($EY$3,0))*('Margin Guidence Table'!$J$1:$J$10000&gt;=ROUND($EY$3,0)),0),MATCH("DEFAULT_SALES_LBS",'Margin Guidence Table'!$A$1:$AG$1,0))),0))</f>
        <v>0</v>
      </c>
      <c r="FL19" s="784">
        <f t="array" ref="FL19">IF('Customer Inputs'!$W$10="End",0,IFERROR(IF($FI19="SEGMENT",INDEX('Margin Guidence Table'!$A$1:$AG$10000,MATCH(1,('Margin Guidence Table'!$A$1:$A$10000=FG19)*('Margin Guidence Table'!$I$1:$I$10000&lt;=ROUND($EY$3,0))*('Margin Guidence Table'!$J$1:$J$10000&gt;=ROUND($EY$3,0)),0),MATCH("MDA_MIN_MARGIN_GUIDENCE",'Margin Guidence Table'!$A$1:$AG$1,0)),INDEX('Margin Guidence Table'!$A$1:$AG$10000,MATCH(1,('Margin Guidence Table'!$A$1:$A$10000=FG19)*('Margin Guidence Table'!$I$1:$I$10000&lt;=ROUND($EY$3,0))*('Margin Guidence Table'!$J$1:$J$10000&gt;=ROUND($EY$3,0)),0),MATCH("DEFAULT_MDA_MIN_MARGIN_GUIDENCE",'Margin Guidence Table'!$A$1:$AG$1,0))),0))</f>
        <v>0</v>
      </c>
      <c r="FM19" s="784">
        <f t="array" ref="FM19">IF('Customer Inputs'!$W$10="End",0,IFERROR(IF($FI19="SEGMENT",INDEX('Margin Guidence Table'!$A$1:$AG$10000,MATCH(1,('Margin Guidence Table'!$A$1:$A$10000=FG19)*('Margin Guidence Table'!$I$1:$I$10000&lt;=ROUND($EY$3,0))*('Margin Guidence Table'!$J$1:$J$10000&gt;=ROUND($EY$3,0)),0),MATCH("MDA_MEDIAN_MARGIN_GUIDENCE",'Margin Guidence Table'!$A$1:$AG$1,0)),INDEX('Margin Guidence Table'!$A$1:$AG$10000,MATCH(1,('Margin Guidence Table'!$A$1:$A$10000=FG19)*('Margin Guidence Table'!$I$1:$I$10000&lt;=ROUND($EY$3,0))*('Margin Guidence Table'!$J$1:$J$10000&gt;=ROUND($EY$3,0)),0),MATCH("DEFAULT_MDA_MEDIAN_MARGIN_GUIDENCE",'Margin Guidence Table'!$A$1:$AG$1,0))),0))</f>
        <v>0</v>
      </c>
      <c r="FN19" s="784">
        <f t="array" ref="FN19">IF('Customer Inputs'!$W$10="End",0,IFERROR(IF($FI19="SEGMENT",INDEX('Margin Guidence Table'!$A$1:$AG$10000,MATCH(1,('Margin Guidence Table'!$A$1:$A$10000=FG19)*('Margin Guidence Table'!$I$1:$I$10000&lt;=ROUND($EY$3,0))*('Margin Guidence Table'!$J$1:$J$10000&gt;=ROUND($EY$3,0)),0),MATCH("MDA_MAX_MARGIN_GUIDENCE",'Margin Guidence Table'!$A$1:$AG$1,0)),INDEX('Margin Guidence Table'!$A$1:$AG$10000,MATCH(1,('Margin Guidence Table'!$A$1:$A$10000=FG19)*('Margin Guidence Table'!$I$1:$I$10000&lt;=ROUND($EY$3,0))*('Margin Guidence Table'!$J$1:$J$10000&gt;=ROUND($EY$3,0)),0),MATCH("DEFAULT_MDA_MAX_MARGIN_GUIDENCE",'Margin Guidence Table'!$A$1:$AG$1,0))),0))</f>
        <v>0</v>
      </c>
      <c r="FO19" s="784">
        <f t="array" ref="FO19">IF('Customer Inputs'!$W$10="End",0,IFERROR(IF($FI19="SEGMENT",INDEX('Margin Guidence Table'!$A$1:$AG$10000,MATCH(1,('Margin Guidence Table'!$A$1:$A$10000=FG19)*('Margin Guidence Table'!$I$1:$I$10000&lt;=ROUND($EY$3,0))*('Margin Guidence Table'!$J$1:$J$10000&gt;=ROUND($EY$3,0)),0),MATCH("PA_PCT_SALES",'Margin Guidence Table'!$A$1:$AG$1,0)),INDEX('Margin Guidence Table'!$A$1:$AG$10000,MATCH(1,('Margin Guidence Table'!$A$1:$A$10000=FG19)*('Margin Guidence Table'!$I$1:$I$10000&lt;=ROUND($EY$3,0))*('Margin Guidence Table'!$J$1:$J$10000&gt;=ROUND($EY$3,0)),0),MATCH("DEFAULT_PA_PCT_SALES",'Margin Guidence Table'!$A$1:$AG$1,0))),0))</f>
        <v>0</v>
      </c>
      <c r="FP19" s="784">
        <f t="array" ref="FP19">IF('Customer Inputs'!$W$10="End",0,IFERROR(IF($FI19="SEGMENT",INDEX('Margin Guidence Table'!$A$1:$AG$10000,MATCH(1,('Margin Guidence Table'!$A$1:$A$10000=FG19)*('Margin Guidence Table'!$I$1:$I$10000&lt;=ROUND($EY$3,0))*('Margin Guidence Table'!$J$1:$J$10000&gt;=ROUND($EY$3,0)),0),MATCH("SELF_FUND_PCT_SALES",'Margin Guidence Table'!$A$1:$AG$1,0)),INDEX('Margin Guidence Table'!$A$1:$AG$10000,MATCH(1,('Margin Guidence Table'!$A$1:$A$10000=FG19)*('Margin Guidence Table'!$I$1:$I$10000&lt;=ROUND($EY$3,0))*('Margin Guidence Table'!$J$1:$J$10000&gt;=ROUND($EY$3,0)),0),MATCH("DEFAULT_SELF_FUND_PCT_SALES",'Margin Guidence Table'!$A$1:$AG$1,0))),0))</f>
        <v>0</v>
      </c>
      <c r="FQ19" s="784">
        <f t="array" ref="FQ19">IF('Customer Inputs'!$W$10="End",0,IF($EZ$2="Existing",IFERROR(SUMIFS('Existing Customers'!$V:$V,'Existing Customers'!$H:$H,$EX19,'Existing Customers'!$A:$A,$EY$1)/SUMIFS('Existing Customers'!$Q:$Q,'Existing Customers'!$H:$H,$EX19,'Existing Customers'!$A:$A,$EY$1),0),IFERROR(IF($FI19="SEGMENT",INDEX('Margin Guidence Table'!$A$1:$AG$10000,MATCH(1,('Margin Guidence Table'!$A$1:$A$10000=FG19)*('Margin Guidence Table'!$I$1:$I$10000&lt;=ROUND($EY$3,0))*('Margin Guidence Table'!$J$1:$J$10000&gt;=ROUND($EY$3,0)),0),MATCH("CIA_MEDIAN_MARGIN_GUIDENCE",'Margin Guidence Table'!$A$1:$AG$1,0)),INDEX('Margin Guidence Table'!$A$1:$AG$10000,MATCH(1,('Margin Guidence Table'!$A$1:$A$10000=FG19)*('Margin Guidence Table'!$I$1:$I$10000&lt;=ROUND($EY$3,0))*('Margin Guidence Table'!$J$1:$J$10000&gt;=ROUND($EY$3,0)),0),MATCH("DEFAULT_CIA_MEDIAN_MARGIN_GUIDENCE",'Margin Guidence Table'!$A$1:$AG$1,0))),0)))</f>
        <v>0</v>
      </c>
      <c r="FR19" s="126"/>
      <c r="FS19" s="18">
        <f t="array" ref="FS19">IF('Customer Inputs'!$W$11="End",0,IFERROR(IF($GF19="SEGMENT",INDEX('Margin Guidence Table'!$A$1:$AG$10000,MATCH(1,('Margin Guidence Table'!$A$1:$A$10000=$GD19)*('Margin Guidence Table'!$I$1:$I$10000&lt;=ROUND($FV$3,0))*('Margin Guidence Table'!$J$1:$J$10000&gt;=ROUND($FV$3,0)),0),MATCH("PCT_SALES",'Margin Guidence Table'!$A$1:$AG$1,0)),INDEX('Margin Guidence Table'!$A$1:$AG$10000,MATCH(1,('Margin Guidence Table'!$A$1:$A$10000=$GD19)*('Margin Guidence Table'!$I$1:$I$10000&lt;=ROUND($FV$3,0))*('Margin Guidence Table'!$J$1:$J$10000&gt;=ROUND($FV$3,0)),0),MATCH("DEFAULT_PCT_SALES",'Margin Guidence Table'!$A$1:$AG$1,0))),0))</f>
        <v>0</v>
      </c>
      <c r="FT19" s="297" t="e">
        <f t="shared" si="42"/>
        <v>#DIV/0!</v>
      </c>
      <c r="FU19" s="99" t="s">
        <v>104</v>
      </c>
      <c r="FV19" s="91">
        <f>IF('Customer Inputs'!$W$11="End",0,IFERROR(IF(AND($FV$2&lt;&gt;"Enter Spend&gt;&gt;&gt;",$FW$2="EXISTING"),SUMIFS('Existing Customers'!$Q:$Q,'Existing Customers'!$A:$A,$FV$1,'Existing Customers'!$H:$H,$FU19)*$FV$4,$FV$3*$FT19),0))</f>
        <v>0</v>
      </c>
      <c r="FW19" s="86">
        <f>IF('Customer Inputs'!$W$11="End",0,IFERROR(IF(AND($FV$2&lt;&gt;"Enter Spend&gt;&gt;&gt;",$FW$2="EXISTING"),SUMIFS('Existing Customers'!$N:$N,'Existing Customers'!$A:$A,$FV$1,'Existing Customers'!$H:$H,$FU19)*$FV$4,$FV19/$GG19),0))</f>
        <v>0</v>
      </c>
      <c r="FX19" s="92">
        <f>IF('Customer Inputs'!$W$11="End",0,IFERROR(IF(AND($FV$2&lt;&gt;"Enter Spend&gt;&gt;&gt;",$FW$2="EXISTING"),SUMIFS('Existing Customers'!$O:$O,'Existing Customers'!$H:$H,$FU19,'Existing Customers'!$A:$A,$FV$1)*$FV$4,$FW19*$FV$8),0))</f>
        <v>0</v>
      </c>
      <c r="FY19" s="92">
        <f>IF('Customer Inputs'!$W$11="End",0,IFERROR(IF(AND($FV$2&lt;&gt;"Enter Spend&gt;&gt;&gt;",$FW$2="EXISTING"),SUMIFS('Existing Customers'!$P:$P,'Existing Customers'!$A:$A,$FV$1,'Existing Customers'!$H:$H,$FU19)*$FV$4,$FV19/$GH19),0))</f>
        <v>0</v>
      </c>
      <c r="FZ19" s="93">
        <f>IF('Customer Inputs'!$W$11="End",0,IFERROR(IF(AND($FV$2&lt;&gt;"Enter Spend&gt;&gt;&gt;",$FW$2="EXISTING"),SUMIFS('Existing Customers'!$V:$V,'Existing Customers'!$H:$H,$FU19,'Existing Customers'!$A:$A,$FV$1)*$FV$4,0),0))</f>
        <v>0</v>
      </c>
      <c r="GA19" s="93">
        <f>IF('Customer Inputs'!$W$11="End",0,IFERROR(IF(AND($FV$2&lt;&gt;"Enter Spend&gt;&gt;&gt;",$FW$2="EXISTING"),SUMIFS('Existing Customers'!$R:$R,'Existing Customers'!$H:$H,$FU19,'Existing Customers'!$A:$A,$FV$1)*$FV$4,0),0))</f>
        <v>0</v>
      </c>
      <c r="GB19" s="780">
        <f>IF('Customer Inputs'!$W$11="End",0,IFERROR(IF(AND($FV$2&lt;&gt;"Enter Spend&gt;&gt;&gt;",$FW$2="EXISTING"),SUMIFS('Existing Customers'!$S:$S,'Existing Customers'!$H:$H,$FU19,'Existing Customers'!$A:$A,$FV$1)/SUMIFS('Existing Customers'!$Q:$Q,'Existing Customers'!$A:$A,$FV$1,'Existing Customers'!$H:$H,$FU19),GL19),0))</f>
        <v>0</v>
      </c>
      <c r="GC19" s="780">
        <f>IF('Customer Inputs'!$W$11="End",0,IFERROR(IF(AND($FV$2&lt;&gt;"Enter Spend&gt;&gt;&gt;",$FW$2="EXISTING"),SUMIFS('Existing Customers'!$U:$U,'Existing Customers'!$H:$H,$FU19,'Existing Customers'!$A:$A,$FV$1)/SUMIFS('Existing Customers'!$Q:$Q,'Existing Customers'!$A:$A,$FV$1,'Existing Customers'!$H:$H,$FU19),GM19),0))</f>
        <v>0</v>
      </c>
      <c r="GD19" s="783" t="e">
        <f>_xlfn.CONCAT('Customer Inputs'!$AH$11,"_",FU19)</f>
        <v>#N/A</v>
      </c>
      <c r="GE19" s="783">
        <f t="array" ref="GE19">IF('Customer Inputs'!$W$11="End",0,IFERROR(INDEX('Margin Guidence Table'!$A$1:$AG$10000,MATCH(1,('Margin Guidence Table'!$A$1:$A$10000=GD19)*('Margin Guidence Table'!$I$1:$I$10000&lt;=ROUND($FV$3,0))*('Margin Guidence Table'!$J$1:$J$10000&gt;=ROUND($FV$3,0)),0),MATCH("DATA_POINTS",'Margin Guidence Table'!$A$1:$AG$1,0)),0))</f>
        <v>0</v>
      </c>
      <c r="GF19" s="780" t="str">
        <f t="shared" si="43"/>
        <v>DEFAULT</v>
      </c>
      <c r="GG19" s="780">
        <f t="array" ref="GG19">IF('Customer Inputs'!$W$11="End",0,IFERROR(IF($GF19="SEGMENT",INDEX('Margin Guidence Table'!$A$1:$AG$10000,MATCH(1,('Margin Guidence Table'!$A$1:$A$10000=GD19)*('Margin Guidence Table'!$I$1:$I$10000&lt;=ROUND($FV$3,0))*('Margin Guidence Table'!$J$1:$J$10000&gt;=ROUND($FV$3,0)),0),MATCH("SALES_CASE",'Margin Guidence Table'!$A$1:$AG$1,0)),INDEX('Margin Guidence Table'!$A$1:$AG$10000,MATCH(1,('Margin Guidence Table'!$A$1:$A$10000=GD19)*('Margin Guidence Table'!$I$1:$I$10000&lt;=ROUND($FV$3,0))*('Margin Guidence Table'!$J$1:$J$10000&gt;=ROUND($FV$3,0)),0),MATCH("DEFAULT_SALES_CASE",'Margin Guidence Table'!$A$1:$AG$1,0))),0))</f>
        <v>0</v>
      </c>
      <c r="GH19" s="780">
        <f t="array" ref="GH19">IF('Customer Inputs'!$W$11="End",0,IFERROR(IF($GF19="SEGMENT",INDEX('Margin Guidence Table'!$A$1:$AG$10000,MATCH(1,('Margin Guidence Table'!$A$1:$A$10000=GD19)*('Margin Guidence Table'!$I$1:$I$10000&lt;=ROUND($FV$3,0))*('Margin Guidence Table'!$J$1:$J$10000&gt;=ROUND($FV$3,0)),0),MATCH("SALES_LBS",'Margin Guidence Table'!$A$1:$AG$1,0)),INDEX('Margin Guidence Table'!$A$1:$AG$10000,MATCH(1,('Margin Guidence Table'!$A$1:$A$10000=GD19)*('Margin Guidence Table'!$I$1:$I$10000&lt;=ROUND($FV$3,0))*('Margin Guidence Table'!$J$1:$J$10000&gt;=ROUND($FV$3,0)),0),MATCH("DEFAULT_SALES_LBS",'Margin Guidence Table'!$A$1:$AG$1,0))),0))</f>
        <v>0</v>
      </c>
      <c r="GI19" s="784">
        <f t="array" ref="GI19">IF('Customer Inputs'!$W$11="End",0,IFERROR(IF($GF19="SEGMENT",INDEX('Margin Guidence Table'!$A$1:$AG$10000,MATCH(1,('Margin Guidence Table'!$A$1:$A$10000=GD19)*('Margin Guidence Table'!$I$1:$I$10000&lt;=ROUND($FV$3,0))*('Margin Guidence Table'!$J$1:$J$10000&gt;=ROUND($FV$3,0)),0),MATCH("MDA_MIN_MARGIN_GUIDENCE",'Margin Guidence Table'!$A$1:$AG$1,0)),INDEX('Margin Guidence Table'!$A$1:$AG$10000,MATCH(1,('Margin Guidence Table'!$A$1:$A$10000=GD19)*('Margin Guidence Table'!$I$1:$I$10000&lt;=ROUND($FV$3,0))*('Margin Guidence Table'!$J$1:$J$10000&gt;=ROUND($FV$3,0)),0),MATCH("DEFAULT_MDA_MIN_MARGIN_GUIDENCE",'Margin Guidence Table'!$A$1:$AG$1,0))),0))</f>
        <v>0</v>
      </c>
      <c r="GJ19" s="784">
        <f t="array" ref="GJ19">IF('Customer Inputs'!$W$11="End",0,IFERROR(IF($GF19="SEGMENT",INDEX('Margin Guidence Table'!$A$1:$AG$10000,MATCH(1,('Margin Guidence Table'!$A$1:$A$10000=GD19)*('Margin Guidence Table'!$I$1:$I$10000&lt;=ROUND($FV$3,0))*('Margin Guidence Table'!$J$1:$J$10000&gt;=ROUND($FV$3,0)),0),MATCH("MDA_MEDIAN_MARGIN_GUIDENCE",'Margin Guidence Table'!$A$1:$AG$1,0)),INDEX('Margin Guidence Table'!$A$1:$AG$10000,MATCH(1,('Margin Guidence Table'!$A$1:$A$10000=GD19)*('Margin Guidence Table'!$I$1:$I$10000&lt;=ROUND($FV$3,0))*('Margin Guidence Table'!$J$1:$J$10000&gt;=ROUND($FV$3,0)),0),MATCH("DEFAULT_MDA_MEDIAN_MARGIN_GUIDENCE",'Margin Guidence Table'!$A$1:$AG$1,0))),0))</f>
        <v>0</v>
      </c>
      <c r="GK19" s="784">
        <f t="array" ref="GK19">IF('Customer Inputs'!$W$11="End",0,IFERROR(IF($GF19="SEGMENT",INDEX('Margin Guidence Table'!$A$1:$AG$10000,MATCH(1,('Margin Guidence Table'!$A$1:$A$10000=GD19)*('Margin Guidence Table'!$I$1:$I$10000&lt;=ROUND($FV$3,0))*('Margin Guidence Table'!$J$1:$J$10000&gt;=ROUND($FV$3,0)),0),MATCH("MDA_MAX_MARGIN_GUIDENCE",'Margin Guidence Table'!$A$1:$AG$1,0)),INDEX('Margin Guidence Table'!$A$1:$AG$10000,MATCH(1,('Margin Guidence Table'!$A$1:$A$10000=GD19)*('Margin Guidence Table'!$I$1:$I$10000&lt;=ROUND($FV$3,0))*('Margin Guidence Table'!$J$1:$J$10000&gt;=ROUND($FV$3,0)),0),MATCH("DEFAULT_MDA_MAX_MARGIN_GUIDENCE",'Margin Guidence Table'!$A$1:$AG$1,0))),0))</f>
        <v>0</v>
      </c>
      <c r="GL19" s="784">
        <f t="array" ref="GL19">IF('Customer Inputs'!$W$11="End",0,IFERROR(IF($GF19="SEGMENT",INDEX('Margin Guidence Table'!$A$1:$AG$10000,MATCH(1,('Margin Guidence Table'!$A$1:$A$10000=GD19)*('Margin Guidence Table'!$I$1:$I$10000&lt;=ROUND($FV$3,0))*('Margin Guidence Table'!$J$1:$J$10000&gt;=ROUND($FV$3,0)),0),MATCH("PA_PCT_SALES",'Margin Guidence Table'!$A$1:$AG$1,0)),INDEX('Margin Guidence Table'!$A$1:$AG$10000,MATCH(1,('Margin Guidence Table'!$A$1:$A$10000=GD19)*('Margin Guidence Table'!$I$1:$I$10000&lt;=ROUND($FV$3,0))*('Margin Guidence Table'!$J$1:$J$10000&gt;=ROUND($FV$3,0)),0),MATCH("DEFAULT_PA_PCT_SALES",'Margin Guidence Table'!$A$1:$AG$1,0))),0))</f>
        <v>0</v>
      </c>
      <c r="GM19" s="784">
        <f t="array" ref="GM19">IF('Customer Inputs'!$W$11="End",0,IFERROR(IF($GF19="SEGMENT",INDEX('Margin Guidence Table'!$A$1:$AG$10000,MATCH(1,('Margin Guidence Table'!$A$1:$A$10000=GD19)*('Margin Guidence Table'!$I$1:$I$10000&lt;=ROUND($FV$3,0))*('Margin Guidence Table'!$J$1:$J$10000&gt;=ROUND($FV$3,0)),0),MATCH("SELF_FUND_PCT_SALES",'Margin Guidence Table'!$A$1:$AG$1,0)),INDEX('Margin Guidence Table'!$A$1:$AG$10000,MATCH(1,('Margin Guidence Table'!$A$1:$A$10000=GD19)*('Margin Guidence Table'!$I$1:$I$10000&lt;=ROUND($FV$3,0))*('Margin Guidence Table'!$J$1:$J$10000&gt;=ROUND($FV$3,0)),0),MATCH("DEFAULT_SELF_FUND_PCT_SALES",'Margin Guidence Table'!$A$1:$AG$1,0))),0))</f>
        <v>0</v>
      </c>
      <c r="GN19" s="784">
        <f t="array" ref="GN19">IF('Customer Inputs'!$W$11="End",0,IF($FW$2="Existing",IFERROR(SUMIFS('Existing Customers'!$V:$V,'Existing Customers'!$H:$H,$FU19,'Existing Customers'!$A:$A,$FV$1)/SUMIFS('Existing Customers'!$Q:$Q,'Existing Customers'!$H:$H,$FU19,'Existing Customers'!$A:$A,$FV$1),0),IFERROR(IF($GF19="SEGMENT",INDEX('Margin Guidence Table'!$A$1:$AG$10000,MATCH(1,('Margin Guidence Table'!$A$1:$A$10000=GD19)*('Margin Guidence Table'!$I$1:$I$10000&lt;=ROUND($FV$3,0))*('Margin Guidence Table'!$J$1:$J$10000&gt;=ROUND($FV$3,0)),0),MATCH("CIA_MEDIAN_MARGIN_GUIDENCE",'Margin Guidence Table'!$A$1:$AG$1,0)),INDEX('Margin Guidence Table'!$A$1:$AG$10000,MATCH(1,('Margin Guidence Table'!$A$1:$A$10000=GD19)*('Margin Guidence Table'!$I$1:$I$10000&lt;=ROUND($FV$3,0))*('Margin Guidence Table'!$J$1:$J$10000&gt;=ROUND($FV$3,0)),0),MATCH("DEFAULT_CIA_MEDIAN_MARGIN_GUIDENCE",'Margin Guidence Table'!$A$1:$AG$1,0))),0)))</f>
        <v>0</v>
      </c>
      <c r="GO19" s="126"/>
      <c r="GP19" s="18">
        <f t="array" ref="GP19">IF('Customer Inputs'!$W$12="End",0,IFERROR(IF($HC19="SEGMENT",INDEX('Margin Guidence Table'!$A$1:$AG$10000,MATCH(1,('Margin Guidence Table'!$A$1:$A$10000=$HA19)*('Margin Guidence Table'!$I$1:$I$10000&lt;=ROUND($GS$3,0))*('Margin Guidence Table'!$J$1:$J$10000&gt;=ROUND($GS$3,0)),0),MATCH("PCT_SALES",'Margin Guidence Table'!$A$1:$AG$1,0)),INDEX('Margin Guidence Table'!$A$1:$AG$10000,MATCH(1,('Margin Guidence Table'!$A$1:$A$10000=$HA19)*('Margin Guidence Table'!$I$1:$I$10000&lt;=ROUND($GS$3,0))*('Margin Guidence Table'!$J$1:$J$10000&gt;=ROUND($GS$3,0)),0),MATCH("DEFAULT_PCT_SALES",'Margin Guidence Table'!$A$1:$AG$1,0))),0))</f>
        <v>0</v>
      </c>
      <c r="GQ19" s="297" t="e">
        <f t="shared" si="44"/>
        <v>#DIV/0!</v>
      </c>
      <c r="GR19" s="99" t="s">
        <v>104</v>
      </c>
      <c r="GS19" s="91">
        <f>IF('Customer Inputs'!$W$12="End",0,IFERROR(IF(AND($GS$2&lt;&gt;"Enter Spend&gt;&gt;&gt;",$GT$2="EXISTING"),SUMIFS('Existing Customers'!$Q:$Q,'Existing Customers'!$A:$A,$GS$1,'Existing Customers'!$H:$H,$GR19)*$GS$4,$GS$3*$GQ19),0))</f>
        <v>0</v>
      </c>
      <c r="GT19" s="86">
        <f>IF('Customer Inputs'!$W$12="End",0,IFERROR(IF(AND($GS$2&lt;&gt;"Enter Spend&gt;&gt;&gt;",$GT$2="EXISTING"),SUMIFS('Existing Customers'!$N:$N,'Existing Customers'!$A:$A,$GS$1,'Existing Customers'!$H:$H,$GR19)*$GS$4,$GS19/$HD19),0))</f>
        <v>0</v>
      </c>
      <c r="GU19" s="92">
        <f>IF('Customer Inputs'!$W$12="End",0,IFERROR(IF(AND($GS$2&lt;&gt;"Enter Spend&gt;&gt;&gt;",$GT$2="EXISTING"),SUMIFS('Existing Customers'!$O:$O,'Existing Customers'!$H:$H,$GR19,'Existing Customers'!$A:$A,$GS$1)*$GS$4,$GT19*$GS$8),0))</f>
        <v>0</v>
      </c>
      <c r="GV19" s="92">
        <f>IF('Customer Inputs'!$W$12="End",0,IFERROR(IF(AND($GS$2&lt;&gt;"Enter Spend&gt;&gt;&gt;",$GT$2="EXISTING"),SUMIFS('Existing Customers'!$P:$P,'Existing Customers'!$A:$A,$GS$1,'Existing Customers'!$H:$H,$GR19)*$GS$4,$GS19/$HE19),0))</f>
        <v>0</v>
      </c>
      <c r="GW19" s="93">
        <f>IF('Customer Inputs'!$W$12="End",0,IFERROR(IF(AND($GS$2&lt;&gt;"Enter Spend&gt;&gt;&gt;",$GT$2="EXISTING"),SUMIFS('Existing Customers'!$V:$V,'Existing Customers'!$H:$H,$GR19,'Existing Customers'!$A:$A,$GS$1)*$GS$4,0),0))</f>
        <v>0</v>
      </c>
      <c r="GX19" s="93">
        <f>IF('Customer Inputs'!$W$12="End",0,IFERROR(IF(AND($GS$2&lt;&gt;"Enter Spend&gt;&gt;&gt;",$GT$2="EXISTING"),SUMIFS('Existing Customers'!$R:$R,'Existing Customers'!$H:$H,$GR19,'Existing Customers'!$A:$A,$GS$1)*$GS$4,0),0))</f>
        <v>0</v>
      </c>
      <c r="GY19" s="780">
        <f>IF('Customer Inputs'!$W$12="End",0,IFERROR(IF(AND($GS$2&lt;&gt;"Enter Spend&gt;&gt;&gt;",$GT$2="EXISTING"),SUMIFS('Existing Customers'!$S:$S,'Existing Customers'!$H:$H,$GR19,'Existing Customers'!$A:$A,$GS$1)/SUMIFS('Existing Customers'!$Q:$Q,'Existing Customers'!$A:$A,$GS$1,'Existing Customers'!$H:$H,$GR19),HI19),0))</f>
        <v>0</v>
      </c>
      <c r="GZ19" s="780">
        <f>IF('Customer Inputs'!$W$12="End",0,IFERROR(IF(AND($GS$2&lt;&gt;"Enter Spend&gt;&gt;&gt;",$GT$2="EXISTING"),SUMIFS('Existing Customers'!$U:$U,'Existing Customers'!$H:$H,$GR19,'Existing Customers'!$A:$A,$GS$1)/SUMIFS('Existing Customers'!$Q:$Q,'Existing Customers'!$A:$A,$GS$1,'Existing Customers'!$H:$H,$GR19),HJ19),0))</f>
        <v>0</v>
      </c>
      <c r="HA19" s="783" t="e">
        <f>_xlfn.CONCAT('Customer Inputs'!$AH$12,"_",GR19)</f>
        <v>#N/A</v>
      </c>
      <c r="HB19" s="783">
        <f t="array" ref="HB19">IF('Customer Inputs'!$W$12="End",0,IFERROR(INDEX('Margin Guidence Table'!$A$1:$AG$10000,MATCH(1,('Margin Guidence Table'!$A$1:$A$10000=HA19)*('Margin Guidence Table'!$I$1:$I$10000&lt;=ROUND($GS$3,0))*('Margin Guidence Table'!$J$1:$J$10000&gt;=ROUND($GS$3,0)),0),MATCH("DATA_POINTS",'Margin Guidence Table'!$A$1:$AG$1,0)),0))</f>
        <v>0</v>
      </c>
      <c r="HC19" s="780" t="str">
        <f t="shared" si="45"/>
        <v>DEFAULT</v>
      </c>
      <c r="HD19" s="780">
        <f t="array" ref="HD19">IF('Customer Inputs'!$W$12="End",0,IFERROR(IF($HC19="SEGMENT",INDEX('Margin Guidence Table'!$A$1:$AG$10000,MATCH(1,('Margin Guidence Table'!$A$1:$A$10000=HA19)*('Margin Guidence Table'!$I$1:$I$10000&lt;=ROUND($GS$3,0))*('Margin Guidence Table'!$J$1:$J$10000&gt;=ROUND($GS$3,0)),0),MATCH("SALES_CASE",'Margin Guidence Table'!$A$1:$AG$1,0)),INDEX('Margin Guidence Table'!$A$1:$AG$10000,MATCH(1,('Margin Guidence Table'!$A$1:$A$10000=HA19)*('Margin Guidence Table'!$I$1:$I$10000&lt;=ROUND($GS$3,0))*('Margin Guidence Table'!$J$1:$J$10000&gt;=ROUND($GS$3,0)),0),MATCH("DEFAULT_SALES_CASE",'Margin Guidence Table'!$A$1:$AG$1,0))),0))</f>
        <v>0</v>
      </c>
      <c r="HE19" s="780">
        <f t="array" ref="HE19">IF('Customer Inputs'!$W$12="End",0,IFERROR(IF($HC19="SEGMENT",INDEX('Margin Guidence Table'!$A$1:$AG$10000,MATCH(1,('Margin Guidence Table'!$A$1:$A$10000=HA19)*('Margin Guidence Table'!$I$1:$I$10000&lt;=ROUND($GS$3,0))*('Margin Guidence Table'!$J$1:$J$10000&gt;=ROUND($GS$3,0)),0),MATCH("SALES_LBS",'Margin Guidence Table'!$A$1:$AG$1,0)),INDEX('Margin Guidence Table'!$A$1:$AG$10000,MATCH(1,('Margin Guidence Table'!$A$1:$A$10000=HA19)*('Margin Guidence Table'!$I$1:$I$10000&lt;=ROUND($GS$3,0))*('Margin Guidence Table'!$J$1:$J$10000&gt;=ROUND($GS$3,0)),0),MATCH("DEFAULT_SALES_LBS",'Margin Guidence Table'!$A$1:$AG$1,0))),0))</f>
        <v>0</v>
      </c>
      <c r="HF19" s="784">
        <f t="array" ref="HF19">IF('Customer Inputs'!$W$12="End",0,IFERROR(IF($HC19="SEGMENT",INDEX('Margin Guidence Table'!$A$1:$AG$10000,MATCH(1,('Margin Guidence Table'!$A$1:$A$10000=HA19)*('Margin Guidence Table'!$I$1:$I$10000&lt;=ROUND($GS$3,0))*('Margin Guidence Table'!$J$1:$J$10000&gt;=ROUND($GS$3,0)),0),MATCH("MDA_MIN_MARGIN_GUIDENCE",'Margin Guidence Table'!$A$1:$AG$1,0)),INDEX('Margin Guidence Table'!$A$1:$AG$10000,MATCH(1,('Margin Guidence Table'!$A$1:$A$10000=HA19)*('Margin Guidence Table'!$I$1:$I$10000&lt;=ROUND($GS$3,0))*('Margin Guidence Table'!$J$1:$J$10000&gt;=ROUND($GS$3,0)),0),MATCH("DEFAULT_MDA_MIN_MARGIN_GUIDENCE",'Margin Guidence Table'!$A$1:$AG$1,0))),0))</f>
        <v>0</v>
      </c>
      <c r="HG19" s="784">
        <f t="array" ref="HG19">IF('Customer Inputs'!$W$12="End",0,IFERROR(IF($HC19="SEGMENT",INDEX('Margin Guidence Table'!$A$1:$AG$10000,MATCH(1,('Margin Guidence Table'!$A$1:$A$10000=HA19)*('Margin Guidence Table'!$I$1:$I$10000&lt;=ROUND($GS$3,0))*('Margin Guidence Table'!$J$1:$J$10000&gt;=ROUND($GS$3,0)),0),MATCH("MDA_MEDIAN_MARGIN_GUIDENCE",'Margin Guidence Table'!$A$1:$AG$1,0)),INDEX('Margin Guidence Table'!$A$1:$AG$10000,MATCH(1,('Margin Guidence Table'!$A$1:$A$10000=HA19)*('Margin Guidence Table'!$I$1:$I$10000&lt;=ROUND($GS$3,0))*('Margin Guidence Table'!$J$1:$J$10000&gt;=ROUND($GS$3,0)),0),MATCH("DEFAULT_MDA_MEDIAN_MARGIN_GUIDENCE",'Margin Guidence Table'!$A$1:$AG$1,0))),0))</f>
        <v>0</v>
      </c>
      <c r="HH19" s="784">
        <f t="array" ref="HH19">IF('Customer Inputs'!$W$12="End",0,IFERROR(IF($HC19="SEGMENT",INDEX('Margin Guidence Table'!$A$1:$AG$10000,MATCH(1,('Margin Guidence Table'!$A$1:$A$10000=HA19)*('Margin Guidence Table'!$I$1:$I$10000&lt;=ROUND($GS$3,0))*('Margin Guidence Table'!$J$1:$J$10000&gt;=ROUND($GS$3,0)),0),MATCH("MDA_MAX_MARGIN_GUIDENCE",'Margin Guidence Table'!$A$1:$AG$1,0)),INDEX('Margin Guidence Table'!$A$1:$AG$10000,MATCH(1,('Margin Guidence Table'!$A$1:$A$10000=HA19)*('Margin Guidence Table'!$I$1:$I$10000&lt;=ROUND($GS$3,0))*('Margin Guidence Table'!$J$1:$J$10000&gt;=ROUND($GS$3,0)),0),MATCH("DEFAULT_MDA_MAX_MARGIN_GUIDENCE",'Margin Guidence Table'!$A$1:$AG$1,0))),0))</f>
        <v>0</v>
      </c>
      <c r="HI19" s="784">
        <f t="array" ref="HI19">IF('Customer Inputs'!$W$12="End",0,IFERROR(IF($HC19="SEGMENT",INDEX('Margin Guidence Table'!$A$1:$AG$10000,MATCH(1,('Margin Guidence Table'!$A$1:$A$10000=HA19)*('Margin Guidence Table'!$I$1:$I$10000&lt;=ROUND($GS$3,0))*('Margin Guidence Table'!$J$1:$J$10000&gt;=ROUND($GS$3,0)),0),MATCH("PA_PCT_SALES",'Margin Guidence Table'!$A$1:$AG$1,0)),INDEX('Margin Guidence Table'!$A$1:$AG$10000,MATCH(1,('Margin Guidence Table'!$A$1:$A$10000=HA19)*('Margin Guidence Table'!$I$1:$I$10000&lt;=ROUND($GS$3,0))*('Margin Guidence Table'!$J$1:$J$10000&gt;=ROUND($GS$3,0)),0),MATCH("DEFAULT_PA_PCT_SALES",'Margin Guidence Table'!$A$1:$AG$1,0))),0))</f>
        <v>0</v>
      </c>
      <c r="HJ19" s="784">
        <f t="array" ref="HJ19">IF('Customer Inputs'!$W$12="End",0,IFERROR(IF($HC19="SEGMENT",INDEX('Margin Guidence Table'!$A$1:$AG$10000,MATCH(1,('Margin Guidence Table'!$A$1:$A$10000=HA19)*('Margin Guidence Table'!$I$1:$I$10000&lt;=ROUND($GS$3,0))*('Margin Guidence Table'!$J$1:$J$10000&gt;=ROUND($GS$3,0)),0),MATCH("SELF_FUND_PCT_SALES",'Margin Guidence Table'!$A$1:$AG$1,0)),INDEX('Margin Guidence Table'!$A$1:$AG$10000,MATCH(1,('Margin Guidence Table'!$A$1:$A$10000=HA19)*('Margin Guidence Table'!$I$1:$I$10000&lt;=ROUND($GS$3,0))*('Margin Guidence Table'!$J$1:$J$10000&gt;=ROUND($GS$3,0)),0),MATCH("DEFAULT_SELF_FUND_PCT_SALES",'Margin Guidence Table'!$A$1:$AG$1,0))),0))</f>
        <v>0</v>
      </c>
      <c r="HK19" s="784">
        <f t="array" ref="HK19">IF('Customer Inputs'!$W$12="End",0,IF($GT$2="Existing",IFERROR(SUMIFS('Existing Customers'!$V:$V,'Existing Customers'!$H:$H,$GR19,'Existing Customers'!$A:$A,$GS$1)/SUMIFS('Existing Customers'!$Q:$Q,'Existing Customers'!$H:$H,$GR19,'Existing Customers'!$A:$A,$GS$1),0),IFERROR(IF($HC19="SEGMENT",INDEX('Margin Guidence Table'!$A$1:$AG$10000,MATCH(1,('Margin Guidence Table'!$A$1:$A$10000=HA19)*('Margin Guidence Table'!$I$1:$I$10000&lt;=ROUND($GS$3,0))*('Margin Guidence Table'!$J$1:$J$10000&gt;=ROUND($GS$3,0)),0),MATCH("CIA_MEDIAN_MARGIN_GUIDENCE",'Margin Guidence Table'!$A$1:$AG$1,0)),INDEX('Margin Guidence Table'!$A$1:$AG$10000,MATCH(1,('Margin Guidence Table'!$A$1:$A$10000=HA19)*('Margin Guidence Table'!$I$1:$I$10000&lt;=ROUND($GS$3,0))*('Margin Guidence Table'!$J$1:$J$10000&gt;=ROUND($GS$3,0)),0),MATCH("DEFAULT_CIA_MEDIAN_MARGIN_GUIDENCE",'Margin Guidence Table'!$A$1:$AG$1,0))),0)))</f>
        <v>0</v>
      </c>
      <c r="HL19" s="126"/>
      <c r="HM19" s="18">
        <f t="array" ref="HM19">IF('Customer Inputs'!$W$13="End",0,IFERROR(IF($HZ19="SEGMENT",INDEX('Margin Guidence Table'!$A$1:$AG$10000,MATCH(1,('Margin Guidence Table'!$A$1:$A$10000=$HX19)*('Margin Guidence Table'!$I$1:$I$10000&lt;=ROUND($HP$3,0))*('Margin Guidence Table'!$J$1:$J$10000&gt;=ROUND($HP$3,0)),0),MATCH("PCT_SALES",'Margin Guidence Table'!$A$1:$AG$1,0)),INDEX('Margin Guidence Table'!$A$1:$AG$10000,MATCH(1,('Margin Guidence Table'!$A$1:$A$10000=$HX19)*('Margin Guidence Table'!$I$1:$I$10000&lt;=ROUND($HP$3,0))*('Margin Guidence Table'!$J$1:$J$10000&gt;=ROUND($HP$3,0)),0),MATCH("DEFAULT_PCT_SALES",'Margin Guidence Table'!$A$1:$AG$1,0))),0))</f>
        <v>0</v>
      </c>
      <c r="HN19" s="297" t="e">
        <f t="shared" si="46"/>
        <v>#DIV/0!</v>
      </c>
      <c r="HO19" s="99" t="s">
        <v>104</v>
      </c>
      <c r="HP19" s="91">
        <f>IF('Customer Inputs'!$W$13="End",0,IFERROR(IF(AND($HP$2&lt;&gt;"Enter Spend&gt;&gt;&gt;",$HQ$2="EXISTING"),SUMIFS('Existing Customers'!$Q:$Q,'Existing Customers'!$A:$A,$HP$1,'Existing Customers'!$H:$H,$HO19)*$HP$4,$HP$3*$HN19),0))</f>
        <v>0</v>
      </c>
      <c r="HQ19" s="86">
        <f>IF('Customer Inputs'!$W$13="End",0,IFERROR(IF(AND($HP$2&lt;&gt;"Enter Spend&gt;&gt;&gt;",$HQ$2="EXISTING"),SUMIFS('Existing Customers'!$N:$N,'Existing Customers'!$A:$A,$HP$1,'Existing Customers'!$H:$H,$HO19)*$HP$4,$HP19/$IA19),0))</f>
        <v>0</v>
      </c>
      <c r="HR19" s="92">
        <f>IF('Customer Inputs'!$W$13="End",0,IFERROR(IF(AND($HP$2&lt;&gt;"Enter Spend&gt;&gt;&gt;",$HQ$2="EXISTING"),SUMIFS('Existing Customers'!$O:$O,'Existing Customers'!$H:$H,$HO19,'Existing Customers'!$A:$A,$HP$1)*$HP$4,$HQ19*$HP$8),0))</f>
        <v>0</v>
      </c>
      <c r="HS19" s="92">
        <f>IF('Customer Inputs'!$W$13="End",0,IFERROR(IF(AND($HP$2&lt;&gt;"Enter Spend&gt;&gt;&gt;",$HQ$2="EXISTING"),SUMIFS('Existing Customers'!$P:$P,'Existing Customers'!$A:$A,$HP$1,'Existing Customers'!$H:$H,$HO19)*$HP$4,$HP19/$IB19),0))</f>
        <v>0</v>
      </c>
      <c r="HT19" s="93">
        <f>IF('Customer Inputs'!$W$13="End",0,IFERROR(IF(AND($HP$2&lt;&gt;"Enter Spend&gt;&gt;&gt;",$HQ$2="EXISTING"),SUMIFS('Existing Customers'!$V:$V,'Existing Customers'!$H:$H,$HO19,'Existing Customers'!$A:$A,$HP$1)*$HP$4,0),0))</f>
        <v>0</v>
      </c>
      <c r="HU19" s="93">
        <f>IF('Customer Inputs'!$W$13="End",0,IFERROR(IF(AND($HP$2&lt;&gt;"Enter Spend&gt;&gt;&gt;",$HQ$2="EXISTING"),SUMIFS('Existing Customers'!$R:$R,'Existing Customers'!$H:$H,$HO19,'Existing Customers'!$A:$A,$HP$1)*$HP$4,0),0))</f>
        <v>0</v>
      </c>
      <c r="HV19" s="780">
        <f>IF('Customer Inputs'!$W$13="End",0,IFERROR(IF(AND($HP$2&lt;&gt;"Enter Spend&gt;&gt;&gt;",$HQ$2="EXISTING"),SUMIFS('Existing Customers'!$S:$S,'Existing Customers'!$H:$H,$HO19,'Existing Customers'!$A:$A,$HP$1)/SUMIFS('Existing Customers'!$Q:$Q,'Existing Customers'!$A:$A,$HP$1,'Existing Customers'!$H:$H,$HO19),IF19),0))</f>
        <v>0</v>
      </c>
      <c r="HW19" s="780">
        <f>IF('Customer Inputs'!$W$13="End",0,IFERROR(IF(AND($HP$2&lt;&gt;"Enter Spend&gt;&gt;&gt;",$HQ$2="EXISTING"),SUMIFS('Existing Customers'!$U:$U,'Existing Customers'!$H:$H,$HO19,'Existing Customers'!$A:$A,$HP$1)/SUMIFS('Existing Customers'!$Q:$Q,'Existing Customers'!$A:$A,$HP$1,'Existing Customers'!$H:$H,$HO19),IG19),0))</f>
        <v>0</v>
      </c>
      <c r="HX19" s="783" t="e">
        <f>_xlfn.CONCAT('Customer Inputs'!$AH$13,"_",HO19)</f>
        <v>#N/A</v>
      </c>
      <c r="HY19" s="783">
        <f t="array" ref="HY19">IF('Customer Inputs'!$W$13="End",0,IFERROR(INDEX('Margin Guidence Table'!$A$1:$AG$10000,MATCH(1,('Margin Guidence Table'!$A$1:$A$10000=HX19)*('Margin Guidence Table'!$I$1:$I$10000&lt;=ROUND($HP$3,0))*('Margin Guidence Table'!$J$1:$J$10000&gt;=ROUND($HP$3,0)),0),MATCH("DATA_POINTS",'Margin Guidence Table'!$A$1:$AG$1,0)),0))</f>
        <v>0</v>
      </c>
      <c r="HZ19" s="780" t="str">
        <f t="shared" si="47"/>
        <v>DEFAULT</v>
      </c>
      <c r="IA19" s="780">
        <f t="array" ref="IA19">IF('Customer Inputs'!$W$13="End",0,IFERROR(IF($HZ19="SEGMENT",INDEX('Margin Guidence Table'!$A$1:$AG$10000,MATCH(1,('Margin Guidence Table'!$A$1:$A$10000=HX19)*('Margin Guidence Table'!$I$1:$I$10000&lt;=ROUND($HP$3,0))*('Margin Guidence Table'!$J$1:$J$10000&gt;=ROUND($HP$3,0)),0),MATCH("SALES_CASE",'Margin Guidence Table'!$A$1:$AG$1,0)),INDEX('Margin Guidence Table'!$A$1:$AG$10000,MATCH(1,('Margin Guidence Table'!$A$1:$A$10000=HX19)*('Margin Guidence Table'!$I$1:$I$10000&lt;=ROUND($HP$3,0))*('Margin Guidence Table'!$J$1:$J$10000&gt;=ROUND($HP$3,0)),0),MATCH("DEFAULT_SALES_CASE",'Margin Guidence Table'!$A$1:$AG$1,0))),0))</f>
        <v>0</v>
      </c>
      <c r="IB19" s="780">
        <f t="array" ref="IB19">IF('Customer Inputs'!$W$13="End",0,IFERROR(IF($HZ19="SEGMENT",INDEX('Margin Guidence Table'!$A$1:$AG$10000,MATCH(1,('Margin Guidence Table'!$A$1:$A$10000=HX19)*('Margin Guidence Table'!$I$1:$I$10000&lt;=ROUND($HP$3,0))*('Margin Guidence Table'!$J$1:$J$10000&gt;=ROUND($HP$3,0)),0),MATCH("SALES_LBS",'Margin Guidence Table'!$A$1:$AG$1,0)),INDEX('Margin Guidence Table'!$A$1:$AG$10000,MATCH(1,('Margin Guidence Table'!$A$1:$A$10000=HX19)*('Margin Guidence Table'!$I$1:$I$10000&lt;=ROUND($HP$3,0))*('Margin Guidence Table'!$J$1:$J$10000&gt;=ROUND($HP$3,0)),0),MATCH("DEFAULT_SALES_LBS",'Margin Guidence Table'!$A$1:$AG$1,0))),0))</f>
        <v>0</v>
      </c>
      <c r="IC19" s="784">
        <f t="array" ref="IC19">IF('Customer Inputs'!$W$13="End",0,IFERROR(IF($HZ19="SEGMENT",INDEX('Margin Guidence Table'!$A$1:$AG$10000,MATCH(1,('Margin Guidence Table'!$A$1:$A$10000=HX19)*('Margin Guidence Table'!$I$1:$I$10000&lt;=ROUND($HP$3,0))*('Margin Guidence Table'!$J$1:$J$10000&gt;=ROUND($HP$3,0)),0),MATCH("MDA_MIN_MARGIN_GUIDENCE",'Margin Guidence Table'!$A$1:$AG$1,0)),INDEX('Margin Guidence Table'!$A$1:$AG$10000,MATCH(1,('Margin Guidence Table'!$A$1:$A$10000=HX19)*('Margin Guidence Table'!$I$1:$I$10000&lt;=ROUND($HP$3,0))*('Margin Guidence Table'!$J$1:$J$10000&gt;=ROUND($HP$3,0)),0),MATCH("DEFAULT_MDA_MIN_MARGIN_GUIDENCE",'Margin Guidence Table'!$A$1:$AG$1,0))),0))</f>
        <v>0</v>
      </c>
      <c r="ID19" s="784">
        <f t="array" ref="ID19">IF('Customer Inputs'!$W$13="End",0,IFERROR(IF($HZ19="SEGMENT",INDEX('Margin Guidence Table'!$A$1:$AG$10000,MATCH(1,('Margin Guidence Table'!$A$1:$A$10000=HX19)*('Margin Guidence Table'!$I$1:$I$10000&lt;=ROUND($HP$3,0))*('Margin Guidence Table'!$J$1:$J$10000&gt;=ROUND($HP$3,0)),0),MATCH("MDA_MEDIAN_MARGIN_GUIDENCE",'Margin Guidence Table'!$A$1:$AG$1,0)),INDEX('Margin Guidence Table'!$A$1:$AG$10000,MATCH(1,('Margin Guidence Table'!$A$1:$A$10000=HX19)*('Margin Guidence Table'!$I$1:$I$10000&lt;=ROUND($HP$3,0))*('Margin Guidence Table'!$J$1:$J$10000&gt;=ROUND($HP$3,0)),0),MATCH("DEFAULT_MDA_MEDIAN_MARGIN_GUIDENCE",'Margin Guidence Table'!$A$1:$AG$1,0))),0))</f>
        <v>0</v>
      </c>
      <c r="IE19" s="784">
        <f t="array" ref="IE19">IF('Customer Inputs'!$W$13="End",0,IFERROR(IF($HZ19="SEGMENT",INDEX('Margin Guidence Table'!$A$1:$AG$10000,MATCH(1,('Margin Guidence Table'!$A$1:$A$10000=HX19)*('Margin Guidence Table'!$I$1:$I$10000&lt;=ROUND($HP$3,0))*('Margin Guidence Table'!$J$1:$J$10000&gt;=ROUND($HP$3,0)),0),MATCH("MDA_MAX_MARGIN_GUIDENCE",'Margin Guidence Table'!$A$1:$AG$1,0)),INDEX('Margin Guidence Table'!$A$1:$AG$10000,MATCH(1,('Margin Guidence Table'!$A$1:$A$10000=HX19)*('Margin Guidence Table'!$I$1:$I$10000&lt;=ROUND($HP$3,0))*('Margin Guidence Table'!$J$1:$J$10000&gt;=ROUND($HP$3,0)),0),MATCH("DEFAULT_MDA_MAX_MARGIN_GUIDENCE",'Margin Guidence Table'!$A$1:$AG$1,0))),0))</f>
        <v>0</v>
      </c>
      <c r="IF19" s="784">
        <f t="array" ref="IF19">IF('Customer Inputs'!$W$13="End",0,IFERROR(IF($HZ19="SEGMENT",INDEX('Margin Guidence Table'!$A$1:$AG$10000,MATCH(1,('Margin Guidence Table'!$A$1:$A$10000=HX19)*('Margin Guidence Table'!$I$1:$I$10000&lt;=ROUND($HP$3,0))*('Margin Guidence Table'!$J$1:$J$10000&gt;=ROUND($HP$3,0)),0),MATCH("PA_PCT_SALES",'Margin Guidence Table'!$A$1:$AG$1,0)),INDEX('Margin Guidence Table'!$A$1:$AG$10000,MATCH(1,('Margin Guidence Table'!$A$1:$A$10000=HX19)*('Margin Guidence Table'!$I$1:$I$10000&lt;=ROUND($HP$3,0))*('Margin Guidence Table'!$J$1:$J$10000&gt;=ROUND($HP$3,0)),0),MATCH("DEFAULT_PA_PCT_SALES",'Margin Guidence Table'!$A$1:$AG$1,0))),0))</f>
        <v>0</v>
      </c>
      <c r="IG19" s="784">
        <f t="array" ref="IG19">IF('Customer Inputs'!$W$13="End",0,IFERROR(IF($HZ19="SEGMENT",INDEX('Margin Guidence Table'!$A$1:$AG$10000,MATCH(1,('Margin Guidence Table'!$A$1:$A$10000=HX19)*('Margin Guidence Table'!$I$1:$I$10000&lt;=ROUND($HP$3,0))*('Margin Guidence Table'!$J$1:$J$10000&gt;=ROUND($HP$3,0)),0),MATCH("SELF_FUND_PCT_SALES",'Margin Guidence Table'!$A$1:$AG$1,0)),INDEX('Margin Guidence Table'!$A$1:$AG$10000,MATCH(1,('Margin Guidence Table'!$A$1:$A$10000=HX19)*('Margin Guidence Table'!$I$1:$I$10000&lt;=ROUND($HP$3,0))*('Margin Guidence Table'!$J$1:$J$10000&gt;=ROUND($HP$3,0)),0),MATCH("DEFAULT_SELF_FUND_PCT_SALES",'Margin Guidence Table'!$A$1:$AG$1,0))),0))</f>
        <v>0</v>
      </c>
      <c r="IH19" s="784">
        <f t="array" ref="IH19">IF('Customer Inputs'!$W$13="End",0,IF($HQ$2="Existing",IFERROR(SUMIFS('Existing Customers'!$V:$V,'Existing Customers'!$H:$H,$HO19,'Existing Customers'!$A:$A,$HP$1)/SUMIFS('Existing Customers'!$Q:$Q,'Existing Customers'!$H:$H,$HO19,'Existing Customers'!$A:$A,$HP$1),0),IFERROR(IF($HZ19="SEGMENT",INDEX('Margin Guidence Table'!$A$1:$AG$10000,MATCH(1,('Margin Guidence Table'!$A$1:$A$10000=HX19)*('Margin Guidence Table'!$I$1:$I$10000&lt;=ROUND($HP$3,0))*('Margin Guidence Table'!$J$1:$J$10000&gt;=ROUND($HP$3,0)),0),MATCH("CIA_MEDIAN_MARGIN_GUIDENCE",'Margin Guidence Table'!$A$1:$AG$1,0)),INDEX('Margin Guidence Table'!$A$1:$AG$10000,MATCH(1,('Margin Guidence Table'!$A$1:$A$10000=HX19)*('Margin Guidence Table'!$I$1:$I$10000&lt;=ROUND($HP$3,0))*('Margin Guidence Table'!$J$1:$J$10000&gt;=ROUND($HP$3,0)),0),MATCH("DEFAULT_CIA_MEDIAN_MARGIN_GUIDENCE",'Margin Guidence Table'!$A$1:$AG$1,0))),0)))</f>
        <v>0</v>
      </c>
      <c r="II19" s="126"/>
      <c r="IJ19" s="18">
        <f t="array" ref="IJ19">IF('Customer Inputs'!$W$14="End",0,IFERROR(IF($IW19="SEGMENT",INDEX('Margin Guidence Table'!$A:$AC,MATCH(1,('Margin Guidence Table'!$A:$A=$IU19)*('Margin Guidence Table'!$H:$H&lt;=ROUND($IM$3,0))*('Margin Guidence Table'!$G:$G&gt;=ROUND($IM$3,0)),0),MATCH("PCT_SALES",'Margin Guidence Table'!$A$1:$AG$1,0)),INDEX('Margin Guidence Table'!$A:$AC,MATCH(1,('Margin Guidence Table'!$A:$A=$IU19)*('Margin Guidence Table'!$H:$H&lt;=ROUND($IM$3,0))*('Margin Guidence Table'!$G:$G&gt;=ROUND($IM$3,0)),0),MATCH("DEFAULT_PCT_SALES",'Margin Guidence Table'!$A$1:$AG$1,0))),0))</f>
        <v>0</v>
      </c>
      <c r="IK19" s="297" t="e">
        <f t="shared" si="48"/>
        <v>#DIV/0!</v>
      </c>
      <c r="IL19" s="99" t="s">
        <v>104</v>
      </c>
      <c r="IM19" s="91">
        <f>IF('Customer Inputs'!$W$14="End",0,IFERROR(IF(AND($IM$2&lt;&gt;"Enter Spend&gt;&gt;&gt;",$IN$2="EXISTING"),SUMIFS('Existing Customers'!$Q:$Q,'Existing Customers'!$A:$A,$IM$1,'Existing Customers'!$H:$H,$IL19)*$IM$4,$IM$3*$IK19),0))</f>
        <v>0</v>
      </c>
      <c r="IN19" s="86">
        <f>IF('Customer Inputs'!$W$14="End",0,IFERROR(IF(AND($IM$2&lt;&gt;"Enter Spend&gt;&gt;&gt;",$IN$2="EXISTING"),SUMIFS('Existing Customers'!$N:$N,'Existing Customers'!$A:$A,$IM$1,'Existing Customers'!$H:$H,$IL19)*$IM$4,$IM19/$IX19),0))</f>
        <v>0</v>
      </c>
      <c r="IO19" s="92">
        <f>IF('Customer Inputs'!$W$14="End",0,IFERROR(IF(AND($IM$2&lt;&gt;"Enter Spend&gt;&gt;&gt;",$IN$2="EXISTING"),SUMIFS('Existing Customers'!$O:$O,'Existing Customers'!$H:$H,$IL19,'Existing Customers'!$A:$A,$IM$1)*$IM$4,$IN19*$IM$8),0))</f>
        <v>0</v>
      </c>
      <c r="IP19" s="92">
        <f>IF('Customer Inputs'!$W$14="End",0,IFERROR(IF(AND($IM$2&lt;&gt;"Enter Spend&gt;&gt;&gt;",$IN$2="EXISTING"),SUMIFS('Existing Customers'!$P:$P,'Existing Customers'!$A:$A,$IM$1,'Existing Customers'!$H:$H,$IL19)*$IM$4,$IM19/$IY19),0))</f>
        <v>0</v>
      </c>
      <c r="IQ19" s="303">
        <f>IF('Customer Inputs'!$W$14="End",0,IFERROR(IF(AND($IM$2&lt;&gt;"Enter Spend&gt;&gt;&gt;",$IN$2="EXISTING"),SUMIFS('Existing Customers'!$V:$V,'Existing Customers'!$H:$H,$IL19,'Existing Customers'!$A:$A,$IM$1)*$IM$4,0),0))</f>
        <v>0</v>
      </c>
      <c r="IR19" s="93">
        <f>IF('Customer Inputs'!$W$14="End",0,IFERROR(IF(AND($IM$2&lt;&gt;"Enter Spend&gt;&gt;&gt;",$IN$2="EXISTING"),SUMIFS('Existing Customers'!$R:$R,'Existing Customers'!$H:$H,$IL19,'Existing Customers'!$A:$A,$IM$1)*$IM$4,0),0))</f>
        <v>0</v>
      </c>
      <c r="IS19" s="780">
        <f>IF('Customer Inputs'!$W$14="End",0,IFERROR(IF(AND($IM$2&lt;&gt;"Enter Spend&gt;&gt;&gt;",$IN$2="EXISTING"),SUMIFS('Existing Customers'!$S:$S,'Existing Customers'!$H:$H,$IL19,'Existing Customers'!$A:$A,$IM$1)/SUMIFS('Existing Customers'!$Q:$Q,'Existing Customers'!$A:$A,$IM$1,'Existing Customers'!$H:$H,$IL19),JC19),0))</f>
        <v>0</v>
      </c>
      <c r="IT19" s="780">
        <f>IF('Customer Inputs'!$W$14="End",0,IFERROR(IF(AND($IM$2&lt;&gt;"Enter Spend&gt;&gt;&gt;",$IN$2="EXISTING"),SUMIFS('Existing Customers'!$U:$U,'Existing Customers'!$H:$H,$IL19,'Existing Customers'!$A:$A,$IM$1)/SUMIFS('Existing Customers'!$Q:$Q,'Existing Customers'!$A:$A,$IM$1,'Existing Customers'!$H:$H,$IL19),JD19),0))</f>
        <v>0</v>
      </c>
      <c r="IU19" s="783" t="e">
        <f>_xlfn.CONCAT('Customer Inputs'!$AH$14,"_",IL19)</f>
        <v>#N/A</v>
      </c>
      <c r="IV19" s="783">
        <f t="array" ref="IV19">IF('Customer Inputs'!$W$14="End",0,IFERROR(INDEX('Margin Guidence Table'!$A$1:$AG$10000,MATCH(1,('Margin Guidence Table'!$A$1:$A$10000=IU19)*('Margin Guidence Table'!$I$1:$I$10000&lt;=ROUND($IM$3,0))*('Margin Guidence Table'!$J$1:$J$10000&gt;=ROUND($IM$3,0)),0),MATCH("DATA_POINTS",'Margin Guidence Table'!$A$1:$AG$1,0)),0))</f>
        <v>0</v>
      </c>
      <c r="IW19" s="780" t="str">
        <f t="shared" si="49"/>
        <v>DEFAULT</v>
      </c>
      <c r="IX19" s="780">
        <f t="array" ref="IX19">IF('Customer Inputs'!$W$14="End",0,IFERROR(IF($IW19="SEGMENT",INDEX('Margin Guidence Table'!$A$1:$AG$10000,MATCH(1,('Margin Guidence Table'!$A$1:$A$10000=IU19)*('Margin Guidence Table'!$I$1:$I$10000&lt;=ROUND($IM$3,0))*('Margin Guidence Table'!$J$1:$J$10000&gt;=ROUND($IM$3,0)),0),MATCH("SALES_CASE",'Margin Guidence Table'!$A$1:$AG$1,0)),INDEX('Margin Guidence Table'!$A$1:$AG$10000,MATCH(1,('Margin Guidence Table'!$A$1:$A$10000=IU19)*('Margin Guidence Table'!$I$1:$I$10000&lt;=ROUND($IM$3,0))*('Margin Guidence Table'!$J$1:$J$10000&gt;=ROUND($IM$3,0)),0),MATCH("DEFAULT_SALES_CASE",'Margin Guidence Table'!$A$1:$AG$1,0))),0))</f>
        <v>0</v>
      </c>
      <c r="IY19" s="780">
        <f t="array" ref="IY19">IF('Customer Inputs'!$W$14="End",0,IFERROR(IF($IW19="SEGMENT",INDEX('Margin Guidence Table'!$A$1:$AG$10000,MATCH(1,('Margin Guidence Table'!$A$1:$A$10000=IU19)*('Margin Guidence Table'!$I$1:$I$10000&lt;=ROUND($IM$3,0))*('Margin Guidence Table'!$J$1:$J$10000&gt;=ROUND($IM$3,0)),0),MATCH("SALES_LBS",'Margin Guidence Table'!$A$1:$AG$1,0)),INDEX('Margin Guidence Table'!$A$1:$AG$10000,MATCH(1,('Margin Guidence Table'!$A$1:$A$10000=IU19)*('Margin Guidence Table'!$I$1:$I$10000&lt;=ROUND($IM$3,0))*('Margin Guidence Table'!$J$1:$J$10000&gt;=ROUND($IM$3,0)),0),MATCH("DEFAULT_SALES_LBS",'Margin Guidence Table'!$A$1:$AG$1,0))),0))</f>
        <v>0</v>
      </c>
      <c r="IZ19" s="784">
        <f t="array" ref="IZ19">IF('Customer Inputs'!$W$14="End",0,IFERROR(IF($IW19="SEGMENT",INDEX('Margin Guidence Table'!$A$1:$AG$10000,MATCH(1,('Margin Guidence Table'!$A$1:$A$10000=IU19)*('Margin Guidence Table'!$I$1:$I$10000&lt;=ROUND($IM$3,0))*('Margin Guidence Table'!$J$1:$J$10000&gt;=ROUND($IM$3,0)),0),MATCH("MDA_MIN_MARGIN_GUIDENCE",'Margin Guidence Table'!$A$1:$AG$1,0)),INDEX('Margin Guidence Table'!$A$1:$AG$10000,MATCH(1,('Margin Guidence Table'!$A$1:$A$10000=IU19)*('Margin Guidence Table'!$I$1:$I$10000&lt;=ROUND($IM$3,0))*('Margin Guidence Table'!$J$1:$J$10000&gt;=ROUND($IM$3,0)),0),MATCH("DEFAULT_MDA_MIN_MARGIN_GUIDENCE",'Margin Guidence Table'!$A$1:$AG$1,0))),0))</f>
        <v>0</v>
      </c>
      <c r="JA19" s="784">
        <f t="array" ref="JA19">IF('Customer Inputs'!$W$14="End",0,IFERROR(IF($IW19="SEGMENT",INDEX('Margin Guidence Table'!$A$1:$AG$10000,MATCH(1,('Margin Guidence Table'!$A$1:$A$10000=IU19)*('Margin Guidence Table'!$I$1:$I$10000&lt;=ROUND($IM$3,0))*('Margin Guidence Table'!$J$1:$J$10000&gt;=ROUND($IM$3,0)),0),MATCH("MDA_MEDIAN_MARGIN_GUIDENCE",'Margin Guidence Table'!$A$1:$AG$1,0)),INDEX('Margin Guidence Table'!$A$1:$AG$10000,MATCH(1,('Margin Guidence Table'!$A$1:$A$10000=IU19)*('Margin Guidence Table'!$I$1:$I$10000&lt;=ROUND($IM$3,0))*('Margin Guidence Table'!$J$1:$J$10000&gt;=ROUND($IM$3,0)),0),MATCH("DEFAULT_MDA_MEDIAN_MARGIN_GUIDENCE",'Margin Guidence Table'!$A$1:$AG$1,0))),0))</f>
        <v>0</v>
      </c>
      <c r="JB19" s="784">
        <f t="array" ref="JB19">IF('Customer Inputs'!$W$14="End",0,IFERROR(IF($IW19="SEGMENT",INDEX('Margin Guidence Table'!$A$1:$AG$10000,MATCH(1,('Margin Guidence Table'!$A$1:$A$10000=IU19)*('Margin Guidence Table'!$I$1:$I$10000&lt;=ROUND($IM$3,0))*('Margin Guidence Table'!$J$1:$J$10000&gt;=ROUND($IM$3,0)),0),MATCH("MDA_MAX_MARGIN_GUIDENCE",'Margin Guidence Table'!$A$1:$AG$1,0)),INDEX('Margin Guidence Table'!$A$1:$AG$10000,MATCH(1,('Margin Guidence Table'!$A$1:$A$10000=IU19)*('Margin Guidence Table'!$I$1:$I$10000&lt;=ROUND($IM$3,0))*('Margin Guidence Table'!$J$1:$J$10000&gt;=ROUND($IM$3,0)),0),MATCH("DEFAULT_MDA_MAX_MARGIN_GUIDENCE",'Margin Guidence Table'!$A$1:$AG$1,0))),0))</f>
        <v>0</v>
      </c>
      <c r="JC19" s="784">
        <f t="array" ref="JC19">IF('Customer Inputs'!$W$14="End",0,IFERROR(IF($IW19="SEGMENT",INDEX('Margin Guidence Table'!$A$1:$AG$10000,MATCH(1,('Margin Guidence Table'!$A$1:$A$10000=IU19)*('Margin Guidence Table'!$I$1:$I$10000&lt;=ROUND($IM$3,0))*('Margin Guidence Table'!$J$1:$J$10000&gt;=ROUND($IM$3,0)),0),MATCH("PA_PCT_SALES",'Margin Guidence Table'!$A$1:$AG$1,0)),INDEX('Margin Guidence Table'!$A$1:$AG$10000,MATCH(1,('Margin Guidence Table'!$A$1:$A$10000=IU19)*('Margin Guidence Table'!$I$1:$I$10000&lt;=ROUND($IM$3,0))*('Margin Guidence Table'!$J$1:$J$10000&gt;=ROUND($IM$3,0)),0),MATCH("DEFAULT_PA_PCT_SALES",'Margin Guidence Table'!$A$1:$AG$1,0))),0))</f>
        <v>0</v>
      </c>
      <c r="JD19" s="784">
        <f t="array" ref="JD19">IF('Customer Inputs'!$W$14="End",0,IFERROR(IF($IW19="SEGMENT",INDEX('Margin Guidence Table'!$A$1:$AG$10000,MATCH(1,('Margin Guidence Table'!$A$1:$A$10000=IU19)*('Margin Guidence Table'!$I$1:$I$10000&lt;=ROUND($IM$3,0))*('Margin Guidence Table'!$J$1:$J$10000&gt;=ROUND($IM$3,0)),0),MATCH("SELF_FUND_PCT_SALES",'Margin Guidence Table'!$A$1:$AG$1,0)),INDEX('Margin Guidence Table'!$A$1:$AG$10000,MATCH(1,('Margin Guidence Table'!$A$1:$A$10000=IU19)*('Margin Guidence Table'!$I$1:$I$10000&lt;=ROUND($IM$3,0))*('Margin Guidence Table'!$J$1:$J$10000&gt;=ROUND($IM$3,0)),0),MATCH("DEFAULT_SELF_FUND_PCT_SALES",'Margin Guidence Table'!$A$1:$AG$1,0))),0))</f>
        <v>0</v>
      </c>
      <c r="JE19" s="784">
        <f t="array" ref="JE19">IF('Customer Inputs'!$W$14="End",0,IF($IN$2="Existing",IFERROR(SUMIFS('Existing Customers'!$V:$V,'Existing Customers'!$H:$H,$IL19,'Existing Customers'!$A:$A,$IM$1)/SUMIFS('Existing Customers'!$Q:$Q,'Existing Customers'!$H:$H,$IL19,'Existing Customers'!$A:$A,$IM$1),0),IFERROR(IF($IW19="SEGMENT",INDEX('Margin Guidence Table'!$A$1:$AG$10000,MATCH(1,('Margin Guidence Table'!$A$1:$A$10000=IU19)*('Margin Guidence Table'!$I$1:$I$10000&lt;=ROUND($IM$3,0))*('Margin Guidence Table'!$J$1:$J$10000&gt;=ROUND($IM$3,0)),0),MATCH("CIA_MEDIAN_MARGIN_GUIDENCE",'Margin Guidence Table'!$A$1:$AG$1,0)),INDEX('Margin Guidence Table'!$A$1:$AG$10000,MATCH(1,('Margin Guidence Table'!$A$1:$A$10000=IU19)*('Margin Guidence Table'!$I$1:$I$10000&lt;=ROUND($IM$3,0))*('Margin Guidence Table'!$J$1:$J$10000&gt;=ROUND($IM$3,0)),0),MATCH("DEFAULT_CIA_MEDIAN_MARGIN_GUIDENCE",'Margin Guidence Table'!$A$1:$AG$1,0))),0)))</f>
        <v>0</v>
      </c>
      <c r="JF19" s="126"/>
      <c r="JG19" s="18">
        <f t="array" ref="JG19">IF('Customer Inputs'!$W$15="End",0,IFERROR(IF($JT19="SEGMENT",INDEX('Margin Guidence Table'!$A$1:$AG$10000,MATCH(1,('Margin Guidence Table'!$A$1:$A$10000=$JR19)*('Margin Guidence Table'!$I$1:$I$10000&lt;=ROUND($JJ$3,0))*('Margin Guidence Table'!$J$1:$J$10000&gt;=ROUND($JJ$3,0)),0),MATCH("PCT_SALES",'Margin Guidence Table'!$A$1:$AG$1,0)),INDEX('Margin Guidence Table'!$A$1:$AG$10000,MATCH(1,('Margin Guidence Table'!$A$1:$A$10000=$JR19)*('Margin Guidence Table'!$I$1:$I$10000&lt;=ROUND($JJ$3,0))*('Margin Guidence Table'!$J$1:$J$10000&gt;=ROUND($JJ$3,0)),0),MATCH("DEFAULT_PCT_SALES",'Margin Guidence Table'!$A$1:$AG$1,0))),0))</f>
        <v>0</v>
      </c>
      <c r="JH19" s="297" t="e">
        <f t="shared" si="50"/>
        <v>#DIV/0!</v>
      </c>
      <c r="JI19" s="99" t="s">
        <v>104</v>
      </c>
      <c r="JJ19" s="91">
        <f>IF('Customer Inputs'!$W$15="End",0,IFERROR(IF(AND($JJ$2&lt;&gt;"Enter Spend&gt;&gt;&gt;",$JK$2="EXISTING"),SUMIFS('Existing Customers'!$Q:$Q,'Existing Customers'!$A:$A,$JJ$1,'Existing Customers'!$H:$H,$JI19)*$JJ$4,$JJ$3*$JH19),0))</f>
        <v>0</v>
      </c>
      <c r="JK19" s="86">
        <f>IF('Customer Inputs'!$W$15="End",0,IFERROR(IF(AND($JJ$2&lt;&gt;"Enter Spend&gt;&gt;&gt;",$JK$2="EXISTING"),SUMIFS('Existing Customers'!$N:$N,'Existing Customers'!$A:$A,$JJ$1,'Existing Customers'!$H:$H,$JI19)*$JJ$4,$JJ19/$JU19),0))</f>
        <v>0</v>
      </c>
      <c r="JL19" s="92">
        <f>IF('Customer Inputs'!$W$15="End",0,IFERROR(IF(AND($JJ$2&lt;&gt;"Enter Spend&gt;&gt;&gt;",$JK$2="EXISTING"),SUMIFS('Existing Customers'!$O:$O,'Existing Customers'!$H:$H,$JI19,'Existing Customers'!$A:$A,$JJ$1)*$JJ$4,$JK19*$JJ$8),0))</f>
        <v>0</v>
      </c>
      <c r="JM19" s="92">
        <f>IF('Customer Inputs'!$W$15="End",0,IFERROR(IF(AND($JJ$2&lt;&gt;"Enter Spend&gt;&gt;&gt;",$JK$2="EXISTING"),SUMIFS('Existing Customers'!$P:$P,'Existing Customers'!$A:$A,$JJ$1,'Existing Customers'!$H:$H,$JI19)*$JJ$4,$JJ19/$JV19),0))</f>
        <v>0</v>
      </c>
      <c r="JN19" s="303">
        <f>IF('Customer Inputs'!$W$15="End",0,IFERROR(IF(AND($JJ$2&lt;&gt;"Enter Spend&gt;&gt;&gt;",$JK$2="EXISTING"),SUMIFS('Existing Customers'!$V:$V,'Existing Customers'!$H:$H,$JI19,'Existing Customers'!$A:$A,$JJ$1)*$JJ$4,0),0))</f>
        <v>0</v>
      </c>
      <c r="JO19" s="93">
        <f>IF('Customer Inputs'!$W$15="End",0,IFERROR(IF(AND($JJ$2&lt;&gt;"Enter Spend&gt;&gt;&gt;",$JK$2="EXISTING"),SUMIFS('Existing Customers'!$R:$R,'Existing Customers'!$H:$H,$JI19,'Existing Customers'!$A:$A,$JJ$1)*$JJ$4,0),0))</f>
        <v>0</v>
      </c>
      <c r="JP19" s="780">
        <f>IF('Customer Inputs'!$W$15="End",0,IFERROR(IF(AND($JJ$2&lt;&gt;"Enter Spend&gt;&gt;&gt;",$JK$2="EXISTING"),SUMIFS('Existing Customers'!$S:$S,'Existing Customers'!$H:$H,$JI19,'Existing Customers'!$A:$A,$JJ$1)/SUMIFS('Existing Customers'!$Q:$Q,'Existing Customers'!$A:$A,$JJ$1,'Existing Customers'!$H:$H,$JI19),JZ19),0))</f>
        <v>0</v>
      </c>
      <c r="JQ19" s="780">
        <f>IF('Customer Inputs'!$W$15="End",0,IFERROR(IF(AND($JJ$2&lt;&gt;"Enter Spend&gt;&gt;&gt;",$JK$2="EXISTING"),SUMIFS('Existing Customers'!$U:$U,'Existing Customers'!$H:$H,$JI19,'Existing Customers'!$A:$A,$JJ$1)/SUMIFS('Existing Customers'!$Q:$Q,'Existing Customers'!$A:$A,$JJ$1,'Existing Customers'!$H:$H,$JI19),KA19),0))</f>
        <v>0</v>
      </c>
      <c r="JR19" s="783" t="e">
        <f>_xlfn.CONCAT('Customer Inputs'!$AH$15,"_",JI19)</f>
        <v>#N/A</v>
      </c>
      <c r="JS19" s="783">
        <f t="array" ref="JS19">IF('Customer Inputs'!$W$15="End",0,IFERROR(INDEX('Margin Guidence Table'!$A$1:$AG$10000,MATCH(1,('Margin Guidence Table'!$A$1:$A$10000=JR19)*('Margin Guidence Table'!$I$1:$I$10000&lt;=ROUND($JJ$3,0))*('Margin Guidence Table'!$J$1:$J$10000&gt;=ROUND($JJ$3,0)),0),MATCH("DATA_POINTS",'Margin Guidence Table'!$A$1:$AG$1,0)),0))</f>
        <v>0</v>
      </c>
      <c r="JT19" s="780" t="str">
        <f t="shared" si="51"/>
        <v>DEFAULT</v>
      </c>
      <c r="JU19" s="780">
        <f t="array" ref="JU19">IF('Customer Inputs'!$W$15="End",0,IFERROR(IF($JT19="SEGMENT",INDEX('Margin Guidence Table'!$A$1:$AG$10000,MATCH(1,('Margin Guidence Table'!$A$1:$A$10000=JR19)*('Margin Guidence Table'!$I$1:$I$10000&lt;=ROUND($JJ$3,0))*('Margin Guidence Table'!$J$1:$J$10000&gt;=ROUND($JJ$3,0)),0),MATCH("SALES_CASE",'Margin Guidence Table'!$A$1:$AG$1,0)),INDEX('Margin Guidence Table'!$A$1:$AG$10000,MATCH(1,('Margin Guidence Table'!$A$1:$A$10000=JR19)*('Margin Guidence Table'!$I$1:$I$10000&lt;=ROUND($JJ$3,0))*('Margin Guidence Table'!$J$1:$J$10000&gt;=ROUND($JJ$3,0)),0),MATCH("DEFAULT_SALES_CASE",'Margin Guidence Table'!$A$1:$AG$1,0))),0))</f>
        <v>0</v>
      </c>
      <c r="JV19" s="780">
        <f t="array" ref="JV19">IF('Customer Inputs'!$W$15="End",0,IFERROR(IF($JT19="SEGMENT",INDEX('Margin Guidence Table'!$A$1:$AG$10000,MATCH(1,('Margin Guidence Table'!$A$1:$A$10000=JR19)*('Margin Guidence Table'!$I$1:$I$10000&lt;=ROUND($JJ$3,0))*('Margin Guidence Table'!$J$1:$J$10000&gt;=ROUND($JJ$3,0)),0),MATCH("SALES_LBS",'Margin Guidence Table'!$A$1:$AG$1,0)),INDEX('Margin Guidence Table'!$A$1:$AG$10000,MATCH(1,('Margin Guidence Table'!$A$1:$A$10000=JR19)*('Margin Guidence Table'!$I$1:$I$10000&lt;=ROUND($JJ$3,0))*('Margin Guidence Table'!$J$1:$J$10000&gt;=ROUND($JJ$3,0)),0),MATCH("DEFAULT_SALES_LBS",'Margin Guidence Table'!$A$1:$AG$1,0))),0))</f>
        <v>0</v>
      </c>
      <c r="JW19" s="784">
        <f t="array" ref="JW19">IF('Customer Inputs'!$W$15="End",0,IFERROR(IF($JT19="SEGMENT",INDEX('Margin Guidence Table'!$A$1:$AG$10000,MATCH(1,('Margin Guidence Table'!$A$1:$A$10000=JR19)*('Margin Guidence Table'!$I$1:$I$10000&lt;=ROUND($JJ$3,0))*('Margin Guidence Table'!$J$1:$J$10000&gt;=ROUND($JJ$3,0)),0),MATCH("MDA_MIN_MARGIN_GUIDENCE",'Margin Guidence Table'!$A$1:$AG$1,0)),INDEX('Margin Guidence Table'!$A$1:$AG$10000,MATCH(1,('Margin Guidence Table'!$A$1:$A$10000=JR19)*('Margin Guidence Table'!$I$1:$I$10000&lt;=ROUND($JJ$3,0))*('Margin Guidence Table'!$J$1:$J$10000&gt;=ROUND($JJ$3,0)),0),MATCH("DEFAULT_MDA_MIN_MARGIN_GUIDENCE",'Margin Guidence Table'!$A$1:$AG$1,0))),0))</f>
        <v>0</v>
      </c>
      <c r="JX19" s="784">
        <f t="array" ref="JX19">IF('Customer Inputs'!$W$15="End",0,IFERROR(IF($JT19="SEGMENT",INDEX('Margin Guidence Table'!$A$1:$AG$10000,MATCH(1,('Margin Guidence Table'!$A$1:$A$10000=JR19)*('Margin Guidence Table'!$I$1:$I$10000&lt;=ROUND($JJ$3,0))*('Margin Guidence Table'!$J$1:$J$10000&gt;=ROUND($JJ$3,0)),0),MATCH("MDA_MEDIAN_MARGIN_GUIDENCE",'Margin Guidence Table'!$A$1:$AG$1,0)),INDEX('Margin Guidence Table'!$A$1:$AG$10000,MATCH(1,('Margin Guidence Table'!$A$1:$A$10000=JR19)*('Margin Guidence Table'!$I$1:$I$10000&lt;=ROUND($JJ$3,0))*('Margin Guidence Table'!$J$1:$J$10000&gt;=ROUND($JJ$3,0)),0),MATCH("DEFAULT_MDA_MEDIAN_MARGIN_GUIDENCE",'Margin Guidence Table'!$A$1:$AG$1,0))),0))</f>
        <v>0</v>
      </c>
      <c r="JY19" s="784">
        <f t="array" ref="JY19">IF('Customer Inputs'!$W$15="End",0,IFERROR(IF($JT19="SEGMENT",INDEX('Margin Guidence Table'!$A$1:$AG$10000,MATCH(1,('Margin Guidence Table'!$A$1:$A$10000=JR19)*('Margin Guidence Table'!$I$1:$I$10000&lt;=ROUND($JJ$3,0))*('Margin Guidence Table'!$J$1:$J$10000&gt;=ROUND($JJ$3,0)),0),MATCH("MDA_MAX_MARGIN_GUIDENCE",'Margin Guidence Table'!$A$1:$AG$1,0)),INDEX('Margin Guidence Table'!$A$1:$AG$10000,MATCH(1,('Margin Guidence Table'!$A$1:$A$10000=JR19)*('Margin Guidence Table'!$I$1:$I$10000&lt;=ROUND($JJ$3,0))*('Margin Guidence Table'!$J$1:$J$10000&gt;=ROUND($JJ$3,0)),0),MATCH("DEFAULT_MDA_MAX_MARGIN_GUIDENCE",'Margin Guidence Table'!$A$1:$AG$1,0))),0))</f>
        <v>0</v>
      </c>
      <c r="JZ19" s="784">
        <f t="array" ref="JZ19">IF('Customer Inputs'!$W$15="End",0,IFERROR(IF($JT19="SEGMENT",INDEX('Margin Guidence Table'!$A$1:$AG$10000,MATCH(1,('Margin Guidence Table'!$A$1:$A$10000=JR19)*('Margin Guidence Table'!$I$1:$I$10000&lt;=ROUND($JJ$3,0))*('Margin Guidence Table'!$J$1:$J$10000&gt;=ROUND($JJ$3,0)),0),MATCH("PA_PCT_SALES",'Margin Guidence Table'!$A$1:$AG$1,0)),INDEX('Margin Guidence Table'!$A$1:$AG$10000,MATCH(1,('Margin Guidence Table'!$A$1:$A$10000=JR19)*('Margin Guidence Table'!$I$1:$I$10000&lt;=ROUND($JJ$3,0))*('Margin Guidence Table'!$J$1:$J$10000&gt;=ROUND($JJ$3,0)),0),MATCH("DEFAULT_PA_PCT_SALES",'Margin Guidence Table'!$A$1:$AG$1,0))),0))</f>
        <v>0</v>
      </c>
      <c r="KA19" s="784" cm="1">
        <f t="array" ref="KA19">IF('Customer Inputs'!$W$15="End",0,IFERROR(IF($JT19="SEGMENT",INDEX('Margin Guidence Table'!$A$1:$AG$10000,MATCH(1,('Margin Guidence Table'!$A$1:$A$10000=JR19)*('Margin Guidence Table'!$I$1:$I$10000&lt;=ROUND($JJ$3,0))*('Margin Guidence Table'!$J$1:$J$10000&gt;=ROUND($JJ$3,0)),0),MATCH("SELF_FUND_PCT_SALES",'Margin Guidence Table'!$A$1:$AG$1,0)),INDEX('Margin Guidence Table'!$A$1:$AG$10000,MATCH(1,('Margin Guidence Table'!$A$1:$A$10000=JR19)*('Margin Guidence Table'!$I$1:$I$10000&lt;=ROUND($JJ$3,0))*('Margin Guidence Table'!$J$1:$J$10000&gt;=ROUND($JJ$3,0)),0),MATCH("DEFAULT_SELF_FUND_PCT_SALES",'Margin Guidence Table'!$A$1:$AG$1,0))),0))</f>
        <v>0</v>
      </c>
      <c r="KB19" s="784">
        <f t="array" ref="KB19">IF('Customer Inputs'!$W$15="End",0,IF($JK$2="Existing",IFERROR(SUMIFS('Existing Customers'!$V:$V,'Existing Customers'!$H:$H,$JI19,'Existing Customers'!$A:$A,$JJ$1)/SUMIFS('Existing Customers'!$Q:$Q,'Existing Customers'!$H:$H,$JI19,'Existing Customers'!$A:$A,$JJ$1),0),IFERROR(IF($JT19="SEGMENT",INDEX('Margin Guidence Table'!$A$1:$AG$10000,MATCH(1,('Margin Guidence Table'!$A$1:$A$10000=JR19)*('Margin Guidence Table'!$I$1:$I$10000&lt;=ROUND($JJ$3,0))*('Margin Guidence Table'!$J$1:$J$10000&gt;=ROUND($JJ$3,0)),0),MATCH("CIA_MEDIAN_MARGIN_GUIDENCE",'Margin Guidence Table'!$A$1:$AG$1,0)),INDEX('Margin Guidence Table'!$A$1:$AG$10000,MATCH(1,('Margin Guidence Table'!$A$1:$A$10000=JR19)*('Margin Guidence Table'!$I$1:$I$10000&lt;=ROUND($JJ$3,0))*('Margin Guidence Table'!$J$1:$J$10000&gt;=ROUND($JJ$3,0)),0),MATCH("DEFAULT_CIA_MEDIAN_MARGIN_GUIDENCE",'Margin Guidence Table'!$A$1:$AG$1,0))),0)))</f>
        <v>0</v>
      </c>
      <c r="KC19" s="784"/>
      <c r="KD19" s="18">
        <f t="array" ref="KD19">IF('Customer Inputs'!$W$16="End",0,IFERROR(IF($KQ19="SEGMENT",INDEX('Margin Guidence Table'!$A$1:$AG$10000,MATCH(1,('Margin Guidence Table'!$A$1:$A$10000=$KO19)*('Margin Guidence Table'!$I$1:$I$10000&lt;=ROUND($KG$3,0))*('Margin Guidence Table'!$J$1:$J$10000&gt;=ROUND($KG$3,0)),0),MATCH("PCT_SALES",'Margin Guidence Table'!$A$1:$AG$1,0)),INDEX('Margin Guidence Table'!$A$1:$AG$10000,MATCH(1,('Margin Guidence Table'!$A$1:$A$10000=$KO19)*('Margin Guidence Table'!$I$1:$I$10000&lt;=ROUND($KG$3,0))*('Margin Guidence Table'!$J$1:$J$10000&gt;=ROUND($KG$3,0)),0),MATCH("DEFAULT_PCT_SALES",'Margin Guidence Table'!$A$1:$AG$1,0))),0))</f>
        <v>0</v>
      </c>
      <c r="KE19" s="1713" t="e">
        <f t="shared" si="52"/>
        <v>#DIV/0!</v>
      </c>
      <c r="KF19" s="99" t="s">
        <v>104</v>
      </c>
      <c r="KG19" s="91">
        <f>IF('Customer Inputs'!$W$16="End",0,IFERROR(IF(AND($KG$2&lt;&gt;"Enter Spend&gt;&gt;&gt;",$KH$2="EXISTING"),SUMIFS('Existing Customers'!$Q:$Q,'Existing Customers'!$A:$A,$KG$1,'Existing Customers'!$H:$H,$KF19)*$KG$4,$KG$3*$KE19),0))</f>
        <v>0</v>
      </c>
      <c r="KH19" s="86">
        <f>IF('Customer Inputs'!$W$16="End",0,IFERROR(IF(AND($KG$2&lt;&gt;"Enter Spend&gt;&gt;&gt;",$KH$2="EXISTING"),SUMIFS('Existing Customers'!$N:$N,'Existing Customers'!$A:$A,$KG$1,'Existing Customers'!$H:$H,$KF19)*$KG$4,$KG19/$KR19),0))</f>
        <v>0</v>
      </c>
      <c r="KI19" s="92">
        <f>IF('Customer Inputs'!$W$16="End",0,IFERROR(IF(AND($KG$2&lt;&gt;"Enter Spend&gt;&gt;&gt;",$KH$2="EXISTING"),SUMIFS('Existing Customers'!$O:$O,'Existing Customers'!$H:$H,$KF19,'Existing Customers'!$A:$A,$KG$1)*$KG$4,$KH19*$KG$8),0))</f>
        <v>0</v>
      </c>
      <c r="KJ19" s="92">
        <f>IF('Customer Inputs'!$W$16="End",0,IFERROR(IF(AND($KG$2&lt;&gt;"Enter Spend&gt;&gt;&gt;",$KH$2="EXISTING"),SUMIFS('Existing Customers'!$P:$P,'Existing Customers'!$A:$A,$KG$1,'Existing Customers'!$H:$H,$KF19)*$KG$4,$KG19/$KS19),0))</f>
        <v>0</v>
      </c>
      <c r="KK19" s="303">
        <f>IF('Customer Inputs'!$W$16="End",0,IFERROR(IF(AND($KG$2&lt;&gt;"Enter Spend&gt;&gt;&gt;",$KH$2="EXISTING"),SUMIFS('Existing Customers'!$V:$V,'Existing Customers'!$H:$H,$KF19,'Existing Customers'!$A:$A,$KG$1)*$KG$4,0),0))</f>
        <v>0</v>
      </c>
      <c r="KL19" s="93">
        <f>IF('Customer Inputs'!$W$16="End",0,IFERROR(IF(AND($KG$2&lt;&gt;"Enter Spend&gt;&gt;&gt;",$KH$2="EXISTING"),SUMIFS('Existing Customers'!$R:$R,'Existing Customers'!$H:$H,$KF19,'Existing Customers'!$A:$A,$KG$1)*$KG$4,0),0))</f>
        <v>0</v>
      </c>
      <c r="KM19" s="780">
        <f>IF('Customer Inputs'!$W$16="End",0,IFERROR(IF(AND($KG$2&lt;&gt;"Enter Spend&gt;&gt;&gt;",$KH$2="EXISTING"),SUMIFS('Existing Customers'!$S:$S,'Existing Customers'!$H:$H,$KF19,'Existing Customers'!$A:$A,$KG$1)/SUMIFS('Existing Customers'!$Q:$Q,'Existing Customers'!$A:$A,$KG$1,'Existing Customers'!$H:$H,$KF19),KW19),0))</f>
        <v>0</v>
      </c>
      <c r="KN19" s="780">
        <f>IF('Customer Inputs'!$W$16="End",0,IFERROR(IF(AND($KG$2&lt;&gt;"Enter Spend&gt;&gt;&gt;",$KH$2="EXISTING"),SUMIFS('Existing Customers'!$U:$U,'Existing Customers'!$H:$H,$KF19,'Existing Customers'!$A:$A,$KG$1)/SUMIFS('Existing Customers'!$Q:$Q,'Existing Customers'!$A:$A,$KG$1,'Existing Customers'!$H:$H,$KF19),KX19),0))</f>
        <v>0</v>
      </c>
      <c r="KO19" s="783" t="e">
        <f>_xlfn.CONCAT('Customer Inputs'!$AH$16,"_",KF19)</f>
        <v>#N/A</v>
      </c>
      <c r="KP19" s="783">
        <f t="array" ref="KP19">IF('Customer Inputs'!$W$16="End",0,IFERROR(INDEX('Margin Guidence Table'!$A$1:$AG$10000,MATCH(1,('Margin Guidence Table'!$A$1:$A$10000=KO19)*('Margin Guidence Table'!$I$1:$I$10000&lt;=ROUND($KG$3,0))*('Margin Guidence Table'!$J$1:$J$10000&gt;=ROUND($KG$3,0)),0),MATCH("DATA_POINTS",'Margin Guidence Table'!$A$1:$AG$1,0)),0))</f>
        <v>0</v>
      </c>
      <c r="KQ19" s="780" t="str">
        <f t="shared" si="53"/>
        <v>DEFAULT</v>
      </c>
      <c r="KR19" s="780">
        <f t="array" ref="KR19">IF('Customer Inputs'!$W$16="End",0,IFERROR(IF($KQ19="SEGMENT",INDEX('Margin Guidence Table'!$A$1:$AG$10000,MATCH(1,('Margin Guidence Table'!$A$1:$A$10000=KO19)*('Margin Guidence Table'!$I$1:$I$10000&lt;=ROUND($KG$3,0))*('Margin Guidence Table'!$J$1:$J$10000&gt;=ROUND($KG$3,0)),0),MATCH("SALES_CASE",'Margin Guidence Table'!$A$1:$AG$1,0)),INDEX('Margin Guidence Table'!$A$1:$AG$10000,MATCH(1,('Margin Guidence Table'!$A$1:$A$10000=KO19)*('Margin Guidence Table'!$I$1:$I$10000&lt;=ROUND($KG$3,0))*('Margin Guidence Table'!$J$1:$J$10000&gt;=ROUND($KG$3,0)),0),MATCH("DEFAULT_SALES_CASE",'Margin Guidence Table'!$A$1:$AG$1,0))),0))</f>
        <v>0</v>
      </c>
      <c r="KS19" s="780">
        <f t="array" ref="KS19">IF('Customer Inputs'!$W$16="End",0,IFERROR(IF($KQ19="SEGMENT",INDEX('Margin Guidence Table'!$A$1:$AG$10000,MATCH(1,('Margin Guidence Table'!$A$1:$A$10000=KO19)*('Margin Guidence Table'!$I$1:$I$10000&lt;=ROUND($KG$3,0))*('Margin Guidence Table'!$J$1:$J$10000&gt;=ROUND($KG$3,0)),0),MATCH("SALES_LBS",'Margin Guidence Table'!$A$1:$AG$1,0)),INDEX('Margin Guidence Table'!$A$1:$AG$10000,MATCH(1,('Margin Guidence Table'!$A$1:$A$10000=KO19)*('Margin Guidence Table'!$I$1:$I$10000&lt;=ROUND($KG$3,0))*('Margin Guidence Table'!$J$1:$J$10000&gt;=ROUND($KG$3,0)),0),MATCH("DEFAULT_SALES_LBS",'Margin Guidence Table'!$A$1:$AG$1,0))),0))</f>
        <v>0</v>
      </c>
      <c r="KT19" s="784">
        <f t="array" ref="KT19">IF('Customer Inputs'!$W$16="End",0,IFERROR(IF($KQ19="SEGMENT",INDEX('Margin Guidence Table'!$A$1:$AG$10000,MATCH(1,('Margin Guidence Table'!$A$1:$A$10000=KO19)*('Margin Guidence Table'!$I$1:$I$10000&lt;=ROUND($KG$3,0))*('Margin Guidence Table'!$J$1:$J$10000&gt;=ROUND($KG$3,0)),0),MATCH("MDA_MIN_MARGIN_GUIDENCE",'Margin Guidence Table'!$A$1:$AG$1,0)),INDEX('Margin Guidence Table'!$A$1:$AG$10000,MATCH(1,('Margin Guidence Table'!$A$1:$A$10000=KO19)*('Margin Guidence Table'!$I$1:$I$10000&lt;=ROUND($KG$3,0))*('Margin Guidence Table'!$J$1:$J$10000&gt;=ROUND($KG$3,0)),0),MATCH("DEFAULT_MDA_MIN_MARGIN_GUIDENCE",'Margin Guidence Table'!$A$1:$AG$1,0))),0))</f>
        <v>0</v>
      </c>
      <c r="KU19" s="784">
        <f t="array" ref="KU19">IF('Customer Inputs'!$W$16="End",0,IFERROR(IF($KQ19="SEGMENT",INDEX('Margin Guidence Table'!$A$1:$AG$10000,MATCH(1,('Margin Guidence Table'!$A$1:$A$10000=KO19)*('Margin Guidence Table'!$I$1:$I$10000&lt;=ROUND($KG$3,0))*('Margin Guidence Table'!$J$1:$J$10000&gt;=ROUND($KG$3,0)),0),MATCH("MDA_MEDIAN_MARGIN_GUIDENCE",'Margin Guidence Table'!$A$1:$AG$1,0)),INDEX('Margin Guidence Table'!$A$1:$AG$10000,MATCH(1,('Margin Guidence Table'!$A$1:$A$10000=KO19)*('Margin Guidence Table'!$I$1:$I$10000&lt;=ROUND($KG$3,0))*('Margin Guidence Table'!$J$1:$J$10000&gt;=ROUND($KG$3,0)),0),MATCH("DEFAULT_MDA_MEDIAN_MARGIN_GUIDENCE",'Margin Guidence Table'!$A$1:$AG$1,0))),0))</f>
        <v>0</v>
      </c>
      <c r="KV19" s="784">
        <f t="array" ref="KV19">IF('Customer Inputs'!$W$16="End",0,IFERROR(IF($KQ19="SEGMENT",INDEX('Margin Guidence Table'!$A$1:$AG$10000,MATCH(1,('Margin Guidence Table'!$A$1:$A$10000=KO19)*('Margin Guidence Table'!$I$1:$I$10000&lt;=ROUND($KG$3,0))*('Margin Guidence Table'!$J$1:$J$10000&gt;=ROUND($KG$3,0)),0),MATCH("MDA_MAX_MARGIN_GUIDENCE",'Margin Guidence Table'!$A$1:$AG$1,0)),INDEX('Margin Guidence Table'!$A$1:$AG$10000,MATCH(1,('Margin Guidence Table'!$A$1:$A$10000=KO19)*('Margin Guidence Table'!$I$1:$I$10000&lt;=ROUND($KG$3,0))*('Margin Guidence Table'!$J$1:$J$10000&gt;=ROUND($KG$3,0)),0),MATCH("DEFAULT_MDA_MAX_MARGIN_GUIDENCE",'Margin Guidence Table'!$A$1:$AG$1,0))),0))</f>
        <v>0</v>
      </c>
      <c r="KW19" s="784">
        <f t="array" ref="KW19">IF('Customer Inputs'!$W$16="End",0,IFERROR(IF($KQ19="SEGMENT",INDEX('Margin Guidence Table'!$A$1:$AG$10000,MATCH(1,('Margin Guidence Table'!$A$1:$A$10000=KO19)*('Margin Guidence Table'!$I$1:$I$10000&lt;=ROUND($KG$3,0))*('Margin Guidence Table'!$J$1:$J$10000&gt;=ROUND($KG$3,0)),0),MATCH("PA_PCT_SALES",'Margin Guidence Table'!$A$1:$AG$1,0)),INDEX('Margin Guidence Table'!$A$1:$AG$10000,MATCH(1,('Margin Guidence Table'!$A$1:$A$10000=KO19)*('Margin Guidence Table'!$I$1:$I$10000&lt;=ROUND($KG$3,0))*('Margin Guidence Table'!$J$1:$J$10000&gt;=ROUND($KG$3,0)),0),MATCH("DEFAULT_PA_PCT_SALES",'Margin Guidence Table'!$A$1:$AG$1,0))),0))</f>
        <v>0</v>
      </c>
      <c r="KX19" s="784">
        <f t="array" ref="KX19">IF('Customer Inputs'!$W$16="End",0,IFERROR(IF($KQ19="SEGMENT",INDEX('Margin Guidence Table'!$A$1:$AG$10000,MATCH(1,('Margin Guidence Table'!$A$1:$A$10000=KO19)*('Margin Guidence Table'!$I$1:$I$10000&lt;=ROUND($KG$3,0))*('Margin Guidence Table'!$J$1:$J$10000&gt;=ROUND($KG$3,0)),0),MATCH("SELF_FUND_PCT_SALES",'Margin Guidence Table'!$A$1:$AG$1,0)),INDEX('Margin Guidence Table'!$A$1:$AG$10000,MATCH(1,('Margin Guidence Table'!$A$1:$A$10000=KO19)*('Margin Guidence Table'!$I$1:$I$10000&lt;=ROUND($KG$3,0))*('Margin Guidence Table'!$J$1:$J$10000&gt;=ROUND($KG$3,0)),0),MATCH("DEFAULT_SELF_FUND_PCT_SALES",'Margin Guidence Table'!$A$1:$AG$1,0))),0))</f>
        <v>0</v>
      </c>
      <c r="KY19" s="784">
        <f t="array" ref="KY19">IF('Customer Inputs'!$W$16="End",0,IF($KH$2="Existing",IFERROR(SUMIFS('Existing Customers'!$V:$V,'Existing Customers'!$H:$H,$KF19,'Existing Customers'!$A:$A,$KG$1)/SUMIFS('Existing Customers'!$Q:$Q,'Existing Customers'!$H:$H,$KF19,'Existing Customers'!$A:$A,$KG$1),0),IFERROR(IF($KQ19="SEGMENT",INDEX('Margin Guidence Table'!$A$1:$AG$10000,MATCH(1,('Margin Guidence Table'!$A$1:$A$10000=KO19)*('Margin Guidence Table'!$I$1:$I$10000&lt;=ROUND($KG$3,0))*('Margin Guidence Table'!$J$1:$J$10000&gt;=ROUND($KG$3,0)),0),MATCH("CIA_MEDIAN_MARGIN_GUIDENCE",'Margin Guidence Table'!$A$1:$AG$1,0)),INDEX('Margin Guidence Table'!$A$1:$AG$10000,MATCH(1,('Margin Guidence Table'!$A$1:$A$10000=KO19)*('Margin Guidence Table'!$I$1:$I$10000&lt;=ROUND($KG$3,0))*('Margin Guidence Table'!$J$1:$J$10000&gt;=ROUND($KG$3,0)),0),MATCH("DEFAULT_CIA_MEDIAN_MARGIN_GUIDENCE",'Margin Guidence Table'!$A$1:$AG$1,0))),0)))</f>
        <v>0</v>
      </c>
      <c r="KZ19" s="784"/>
      <c r="LA19" s="18">
        <f t="array" ref="LA19">IF('Customer Inputs'!$W$17="End",0,IFERROR(IF($LN19="SEGMENT",INDEX('Margin Guidence Table'!$A$1:$AG$10000,MATCH(1,('Margin Guidence Table'!$A$1:$A$10000=$LL19)*('Margin Guidence Table'!$I$1:$I$10000&lt;=ROUND($LD$3,0))*('Margin Guidence Table'!$J$1:$J$10000&gt;=ROUND($LD$3,0)),0),MATCH("PCT_SALES",'Margin Guidence Table'!$A$1:$AG$1,0)),INDEX('Margin Guidence Table'!$A$1:$AG$10000,MATCH(1,('Margin Guidence Table'!$A$1:$A$10000=$LL19)*('Margin Guidence Table'!$I$1:$I$10000&lt;=ROUND($LD$3,0))*('Margin Guidence Table'!$J$1:$J$10000&gt;=ROUND($LD$3,0)),0),MATCH("DEFAULT_PCT_SALES",'Margin Guidence Table'!$A$1:$AG$1,0))),0))</f>
        <v>0</v>
      </c>
      <c r="LB19" s="1713" t="e">
        <f t="shared" si="54"/>
        <v>#DIV/0!</v>
      </c>
      <c r="LC19" s="99" t="s">
        <v>104</v>
      </c>
      <c r="LD19" s="91">
        <f>IF('Customer Inputs'!$W$17="End",0,IFERROR(IF(AND($LD$2&lt;&gt;"Enter Spend&gt;&gt;&gt;",$LE$2="EXISTING"),SUMIFS('Existing Customers'!$Q:$Q,'Existing Customers'!$A:$A,$LD$1,'Existing Customers'!$H:$H,$LC19)*$LD$4,$LD$3*$LB19),0))</f>
        <v>0</v>
      </c>
      <c r="LE19" s="86">
        <f>IF('Customer Inputs'!$W$17="End",0,IFERROR(IF(AND($LD$2&lt;&gt;"Enter Spend&gt;&gt;&gt;",$LE$2="EXISTING"),SUMIFS('Existing Customers'!$N:$N,'Existing Customers'!$A:$A,$LD$1,'Existing Customers'!$H:$H,$LC19)*$LD$4,$LD19/$LO19),0))</f>
        <v>0</v>
      </c>
      <c r="LF19" s="92">
        <f>IF('Customer Inputs'!$W$17="End",0,IFERROR(IF(AND($LD$2&lt;&gt;"Enter Spend&gt;&gt;&gt;",$LE$2="EXISTING"),SUMIFS('Existing Customers'!$O:$O,'Existing Customers'!$H:$H,$LC19,'Existing Customers'!$A:$A,$LD$1)*$LD$4,$LE19*$LD$8),0))</f>
        <v>0</v>
      </c>
      <c r="LG19" s="92">
        <f>IF('Customer Inputs'!$W$17="End",0,IFERROR(IF(AND($LD$2&lt;&gt;"Enter Spend&gt;&gt;&gt;",$LE$2="EXISTING"),SUMIFS('Existing Customers'!$P:$P,'Existing Customers'!$A:$A,$LD$1,'Existing Customers'!$H:$H,$LC19)*$LD$4,$LD19/$LP19),0))</f>
        <v>0</v>
      </c>
      <c r="LH19" s="303">
        <f>IF('Customer Inputs'!$W$17="End",0,IFERROR(IF(AND($LD$2&lt;&gt;"Enter Spend&gt;&gt;&gt;",$LE$2="EXISTING"),SUMIFS('Existing Customers'!$V:$V,'Existing Customers'!$H:$H,$LC19,'Existing Customers'!$A:$A,$LD$1)*$LD$4,0),0))</f>
        <v>0</v>
      </c>
      <c r="LI19" s="93">
        <f>IF('Customer Inputs'!$W$17="End",0,IFERROR(IF(AND($LD$2&lt;&gt;"Enter Spend&gt;&gt;&gt;",$LE$2="EXISTING"),SUMIFS('Existing Customers'!$R:$R,'Existing Customers'!$H:$H,$LC19,'Existing Customers'!$A:$A,$LD$1)*$LD$4,0),0))</f>
        <v>0</v>
      </c>
      <c r="LJ19" s="780">
        <f>IF('Customer Inputs'!$W$17="End",0,IFERROR(IF(AND($LD$2&lt;&gt;"Enter Spend&gt;&gt;&gt;",$LE$2="EXISTING"),SUMIFS('Existing Customers'!$S:$S,'Existing Customers'!$H:$H,$LC19,'Existing Customers'!$A:$A,$LD$1)/SUMIFS('Existing Customers'!$Q:$Q,'Existing Customers'!$A:$A,$LD$1,'Existing Customers'!$H:$H,$LC19),LT19),0))</f>
        <v>0</v>
      </c>
      <c r="LK19" s="780">
        <f>IF('Customer Inputs'!$W$17="End",0,IFERROR(IF(AND($LD$2&lt;&gt;"Enter Spend&gt;&gt;&gt;",$LE$2="EXISTING"),SUMIFS('Existing Customers'!$U:$U,'Existing Customers'!$H:$H,$LC19,'Existing Customers'!$A:$A,$LD$1)/SUMIFS('Existing Customers'!$Q:$Q,'Existing Customers'!$A:$A,$LD$1,'Existing Customers'!$H:$H,$LC19),LU19),0))</f>
        <v>0</v>
      </c>
      <c r="LL19" s="783" t="e">
        <f>_xlfn.CONCAT('Customer Inputs'!$AH$17,"_",LC19)</f>
        <v>#N/A</v>
      </c>
      <c r="LM19" s="783">
        <f t="array" ref="LM19">IF('Customer Inputs'!$W$17="End",0,IFERROR(INDEX('Margin Guidence Table'!$A$1:$AG$10000,MATCH(1,('Margin Guidence Table'!$A$1:$A$10000=LL19)*('Margin Guidence Table'!$I$1:$I$10000&lt;=ROUND($LD$3,0))*('Margin Guidence Table'!$J$1:$J$10000&gt;=ROUND($LD$3,0)),0),MATCH("DATA_POINTS",'Margin Guidence Table'!$A$1:$AG$1,0)),0))</f>
        <v>0</v>
      </c>
      <c r="LN19" s="780" t="str">
        <f t="shared" si="55"/>
        <v>DEFAULT</v>
      </c>
      <c r="LO19" s="780">
        <f t="array" ref="LO19">IF('Customer Inputs'!$W$17="End",0,IFERROR(IF($LN19="SEGMENT",INDEX('Margin Guidence Table'!$A$1:$AG$10000,MATCH(1,('Margin Guidence Table'!$A$1:$A$10000=LL19)*('Margin Guidence Table'!$I$1:$I$10000&lt;=ROUND($LD$3,0))*('Margin Guidence Table'!$J$1:$J$10000&gt;=ROUND($LD$3,0)),0),MATCH("SALES_CASE",'Margin Guidence Table'!$A$1:$AG$1,0)),INDEX('Margin Guidence Table'!$A$1:$AG$10000,MATCH(1,('Margin Guidence Table'!$A$1:$A$10000=LL19)*('Margin Guidence Table'!$I$1:$I$10000&lt;=ROUND($LD$3,0))*('Margin Guidence Table'!$J$1:$J$10000&gt;=ROUND($LD$3,0)),0),MATCH("DEFAULT_SALES_CASE",'Margin Guidence Table'!$A$1:$AG$1,0))),0))</f>
        <v>0</v>
      </c>
      <c r="LP19" s="780">
        <f t="array" ref="LP19">IF('Customer Inputs'!$W$17="End",0,IFERROR(IF($LN19="SEGMENT",INDEX('Margin Guidence Table'!$A$1:$AG$10000,MATCH(1,('Margin Guidence Table'!$A$1:$A$10000=LL19)*('Margin Guidence Table'!$I$1:$I$10000&lt;=ROUND($LD$3,0))*('Margin Guidence Table'!$J$1:$J$10000&gt;=ROUND($LD$3,0)),0),MATCH("SALES_LBS",'Margin Guidence Table'!$A$1:$AG$1,0)),INDEX('Margin Guidence Table'!$A$1:$AG$10000,MATCH(1,('Margin Guidence Table'!$A$1:$A$10000=LL19)*('Margin Guidence Table'!$I$1:$I$10000&lt;=ROUND($LD$3,0))*('Margin Guidence Table'!$J$1:$J$10000&gt;=ROUND($LD$3,0)),0),MATCH("DEFAULT_SALES_LBS",'Margin Guidence Table'!$A$1:$AG$1,0))),0))</f>
        <v>0</v>
      </c>
      <c r="LQ19" s="784">
        <f t="array" ref="LQ19">IF('Customer Inputs'!$W$17="End",0,IFERROR(IF($LN19="SEGMENT",INDEX('Margin Guidence Table'!$A$1:$AG$10000,MATCH(1,('Margin Guidence Table'!$A$1:$A$10000=LL19)*('Margin Guidence Table'!$I$1:$I$10000&lt;=ROUND($LD$3,0))*('Margin Guidence Table'!$J$1:$J$10000&gt;=ROUND($LD$3,0)),0),MATCH("MDA_MIN_MARGIN_GUIDENCE",'Margin Guidence Table'!$A$1:$AG$1,0)),INDEX('Margin Guidence Table'!$A$1:$AG$10000,MATCH(1,('Margin Guidence Table'!$A$1:$A$10000=LL19)*('Margin Guidence Table'!$I$1:$I$10000&lt;=ROUND($LD$3,0))*('Margin Guidence Table'!$J$1:$J$10000&gt;=ROUND($LD$3,0)),0),MATCH("DEFAULT_MDA_MIN_MARGIN_GUIDENCE",'Margin Guidence Table'!$A$1:$AG$1,0))),0))</f>
        <v>0</v>
      </c>
      <c r="LR19" s="784">
        <f t="array" ref="LR19">IF('Customer Inputs'!$W$17="End",0,IFERROR(IF($LN19="SEGMENT",INDEX('Margin Guidence Table'!$A$1:$AG$10000,MATCH(1,('Margin Guidence Table'!$A$1:$A$10000=LL19)*('Margin Guidence Table'!$I$1:$I$10000&lt;=ROUND($LD$3,0))*('Margin Guidence Table'!$J$1:$J$10000&gt;=ROUND($LD$3,0)),0),MATCH("MDA_MEDIAN_MARGIN_GUIDENCE",'Margin Guidence Table'!$A$1:$AG$1,0)),INDEX('Margin Guidence Table'!$A$1:$AG$10000,MATCH(1,('Margin Guidence Table'!$A$1:$A$10000=LL19)*('Margin Guidence Table'!$I$1:$I$10000&lt;=ROUND($LD$3,0))*('Margin Guidence Table'!$J$1:$J$10000&gt;=ROUND($LD$3,0)),0),MATCH("DEFAULT_MDA_MEDIAN_MARGIN_GUIDENCE",'Margin Guidence Table'!$A$1:$AG$1,0))),0))</f>
        <v>0</v>
      </c>
      <c r="LS19" s="784">
        <f t="array" ref="LS19">IF('Customer Inputs'!$W$17="End",0,IFERROR(IF($LN19="SEGMENT",INDEX('Margin Guidence Table'!$A$1:$AG$10000,MATCH(1,('Margin Guidence Table'!$A$1:$A$10000=LL19)*('Margin Guidence Table'!$I$1:$I$10000&lt;=ROUND($LD$3,0))*('Margin Guidence Table'!$J$1:$J$10000&gt;=ROUND($LD$3,0)),0),MATCH("MDA_MAX_MARGIN_GUIDENCE",'Margin Guidence Table'!$A$1:$AG$1,0)),INDEX('Margin Guidence Table'!$A$1:$AG$10000,MATCH(1,('Margin Guidence Table'!$A$1:$A$10000=LL19)*('Margin Guidence Table'!$I$1:$I$10000&lt;=ROUND($LD$3,0))*('Margin Guidence Table'!$J$1:$J$10000&gt;=ROUND($LD$3,0)),0),MATCH("DEFAULT_MDA_MAX_MARGIN_GUIDENCE",'Margin Guidence Table'!$A$1:$AG$1,0))),0))</f>
        <v>0</v>
      </c>
      <c r="LT19" s="784">
        <f t="array" ref="LT19">IF('Customer Inputs'!$W$17="End",0,IFERROR(IF($LN19="SEGMENT",INDEX('Margin Guidence Table'!$A$1:$AG$10000,MATCH(1,('Margin Guidence Table'!$A$1:$A$10000=LL19)*('Margin Guidence Table'!$I$1:$I$10000&lt;=ROUND($LD$3,0))*('Margin Guidence Table'!$J$1:$J$10000&gt;=ROUND($LD$3,0)),0),MATCH("PA_PCT_SALES",'Margin Guidence Table'!$A$1:$AG$1,0)),INDEX('Margin Guidence Table'!$A$1:$AG$10000,MATCH(1,('Margin Guidence Table'!$A$1:$A$10000=LL19)*('Margin Guidence Table'!$I$1:$I$10000&lt;=ROUND($LD$3,0))*('Margin Guidence Table'!$J$1:$J$10000&gt;=ROUND($LD$3,0)),0),MATCH("DEFAULT_PA_PCT_SALES",'Margin Guidence Table'!$A$1:$AG$1,0))),0))</f>
        <v>0</v>
      </c>
      <c r="LU19" s="784">
        <f t="array" ref="LU19">IF('Customer Inputs'!$W$17="End",0,IFERROR(IF($LN19="SEGMENT",INDEX('Margin Guidence Table'!$A$1:$AG$10000,MATCH(1,('Margin Guidence Table'!$A$1:$A$10000=LL19)*('Margin Guidence Table'!$I$1:$I$10000&lt;=ROUND($LD$3,0))*('Margin Guidence Table'!$J$1:$J$10000&gt;=ROUND($LD$3,0)),0),MATCH("SELF_FUND_PCT_SALES",'Margin Guidence Table'!$A$1:$AG$1,0)),INDEX('Margin Guidence Table'!$A$1:$AG$10000,MATCH(1,('Margin Guidence Table'!$A$1:$A$10000=LL19)*('Margin Guidence Table'!$I$1:$I$10000&lt;=ROUND($LD$3,0))*('Margin Guidence Table'!$J$1:$J$10000&gt;=ROUND($LD$3,0)),0),MATCH("DEFAULT_SELF_FUND_PCT_SALES",'Margin Guidence Table'!$A$1:$AG$1,0))),0))</f>
        <v>0</v>
      </c>
      <c r="LV19" s="784">
        <f t="array" ref="LV19">IF('Customer Inputs'!$W$17="End",0,IF($LE$2="Existing",IFERROR(SUMIFS('Existing Customers'!$V:$V,'Existing Customers'!$H:$H,$LC19,'Existing Customers'!$A:$A,$LD$1)/SUMIFS('Existing Customers'!$Q:$Q,'Existing Customers'!$H:$H,$LC19,'Existing Customers'!$A:$A,$LD$1),0),IFERROR(IF($LN19="SEGMENT",INDEX('Margin Guidence Table'!$A$1:$AG$10000,MATCH(1,('Margin Guidence Table'!$A$1:$A$10000=LL19)*('Margin Guidence Table'!$I$1:$I$10000&lt;=ROUND($LD$3,0))*('Margin Guidence Table'!$J$1:$J$10000&gt;=ROUND($LD$3,0)),0),MATCH("CIA_MEDIAN_MARGIN_GUIDENCE",'Margin Guidence Table'!$A$1:$AG$1,0)),INDEX('Margin Guidence Table'!$A$1:$AG$10000,MATCH(1,('Margin Guidence Table'!$A$1:$A$10000=LL19)*('Margin Guidence Table'!$I$1:$I$10000&lt;=ROUND($LD$3,0))*('Margin Guidence Table'!$J$1:$J$10000&gt;=ROUND($LD$3,0)),0),MATCH("DEFAULT_CIA_MEDIAN_MARGIN_GUIDENCE",'Margin Guidence Table'!$A$1:$AG$1,0))),0)))</f>
        <v>0</v>
      </c>
      <c r="LW19" s="784"/>
      <c r="LX19" s="18">
        <f t="array" ref="LX19">IF('Customer Inputs'!$W$18="End",0,IFERROR(IF($MK19="SEGMENT",INDEX('Margin Guidence Table'!$A$1:$AG$10000,MATCH(1,('Margin Guidence Table'!$A$1:$A$10000=$MI19)*('Margin Guidence Table'!$I$1:$I$10000&lt;=ROUND($MA$3,0))*('Margin Guidence Table'!$J$1:$J$10000&gt;=ROUND($MA$3,0)),0),MATCH("PCT_SALES",'Margin Guidence Table'!$A$1:$AG$1,0)),INDEX('Margin Guidence Table'!$A$1:$AG$10000,MATCH(1,('Margin Guidence Table'!$A$1:$A$10000=$MI19)*('Margin Guidence Table'!$I$1:$I$10000&lt;=ROUND($MA$3,0))*('Margin Guidence Table'!$J$1:$J$10000&gt;=ROUND($MA$3,0)),0),MATCH("DEFAULT_PCT_SALES",'Margin Guidence Table'!$A$1:$AG$1,0))),0))</f>
        <v>0</v>
      </c>
      <c r="LY19" s="1713" t="e">
        <f t="shared" si="56"/>
        <v>#DIV/0!</v>
      </c>
      <c r="LZ19" s="99" t="s">
        <v>104</v>
      </c>
      <c r="MA19" s="91">
        <f>IF('Customer Inputs'!$W$18="End",0,IFERROR(IF(AND($MA$2&lt;&gt;"Enter Spend&gt;&gt;&gt;",$MB$2="EXISTING"),SUMIFS('Existing Customers'!$Q:$Q,'Existing Customers'!$A:$A,$MA$1,'Existing Customers'!$H:$H,$LZ19)*$MA$4,$MA$3*$LY19),0))</f>
        <v>0</v>
      </c>
      <c r="MB19" s="86">
        <f>IF('Customer Inputs'!$W$18="End",0,IFERROR(IF(AND($MA$2&lt;&gt;"Enter Spend&gt;&gt;&gt;",$MB$2="EXISTING"),SUMIFS('Existing Customers'!$N:$N,'Existing Customers'!$A:$A,$MA$1,'Existing Customers'!$H:$H,$LZ19)*$MA$4,$MA19/$ML19),0))</f>
        <v>0</v>
      </c>
      <c r="MC19" s="92">
        <f>IF('Customer Inputs'!$W$18="End",0,IFERROR(IF(AND($MA$2&lt;&gt;"Enter Spend&gt;&gt;&gt;",$MB$2="EXISTING"),SUMIFS('Existing Customers'!$O:$O,'Existing Customers'!$H:$H,$LZ19,'Existing Customers'!$A:$A,$MA$1)*$MA$4,$MB19*$MA$8),0))</f>
        <v>0</v>
      </c>
      <c r="MD19" s="92">
        <f>IF('Customer Inputs'!$W$18="End",0,IFERROR(IF(AND($MA$2&lt;&gt;"Enter Spend&gt;&gt;&gt;",$MB$2="EXISTING"),SUMIFS('Existing Customers'!$P:$P,'Existing Customers'!$A:$A,$MA$1,'Existing Customers'!$H:$H,$LZ19)*$MA$4,$MA19/$MM19),0))</f>
        <v>0</v>
      </c>
      <c r="ME19" s="303">
        <f>IF('Customer Inputs'!$W$18="End",0,IFERROR(IF(AND($MA$2&lt;&gt;"Enter Spend&gt;&gt;&gt;",$MB$2="EXISTING"),SUMIFS('Existing Customers'!$V:$V,'Existing Customers'!$H:$H,$LZ19,'Existing Customers'!$A:$A,$MA$1)*$MA$4,0),0))</f>
        <v>0</v>
      </c>
      <c r="MF19" s="93">
        <f>IF('Customer Inputs'!$W$18="End",0,IFERROR(IF(AND($MA$2&lt;&gt;"Enter Spend&gt;&gt;&gt;",$MB$2="EXISTING"),SUMIFS('Existing Customers'!$R:$R,'Existing Customers'!$H:$H,$LZ19,'Existing Customers'!$A:$A,$MA$1)*$MA$4,0),0))</f>
        <v>0</v>
      </c>
      <c r="MG19" s="780">
        <f>IF('Customer Inputs'!$W$18="End",0,IFERROR(IF(AND($MA$2&lt;&gt;"Enter Spend&gt;&gt;&gt;",$MB$2="EXISTING"),SUMIFS('Existing Customers'!$S:$S,'Existing Customers'!$H:$H,$LZ19,'Existing Customers'!$A:$A,$MA$1)/SUMIFS('Existing Customers'!$Q:$Q,'Existing Customers'!$A:$A,$MA$1,'Existing Customers'!$H:$H,$LZ19),MQ19),0))</f>
        <v>0</v>
      </c>
      <c r="MH19" s="780">
        <f>IF('Customer Inputs'!$W$18="End",0,IFERROR(IF(AND($MA$2&lt;&gt;"Enter Spend&gt;&gt;&gt;",$MB$2="EXISTING"),SUMIFS('Existing Customers'!$U:$U,'Existing Customers'!$H:$H,$LZ19,'Existing Customers'!$A:$A,$MA$1)/SUMIFS('Existing Customers'!$Q:$Q,'Existing Customers'!$A:$A,$MA$1,'Existing Customers'!$H:$H,$LZ19),MR19),0))</f>
        <v>0</v>
      </c>
      <c r="MI19" s="783" t="e">
        <f>_xlfn.CONCAT('Customer Inputs'!$AH$18,"_",LZ19)</f>
        <v>#N/A</v>
      </c>
      <c r="MJ19" s="783">
        <f t="array" ref="MJ19">IF('Customer Inputs'!$W$18="End",0,IFERROR(INDEX('Margin Guidence Table'!$A$1:$AG$10000,MATCH(1,('Margin Guidence Table'!$A$1:$A$10000=MI19)*('Margin Guidence Table'!$I$1:$I$10000&lt;=ROUND($MA$3,0))*('Margin Guidence Table'!$J$1:$J$10000&gt;=ROUND($MA$3,0)),0),MATCH("DATA_POINTS",'Margin Guidence Table'!$A$1:$AG$1,0)),0))</f>
        <v>0</v>
      </c>
      <c r="MK19" s="780" t="str">
        <f t="shared" si="57"/>
        <v>DEFAULT</v>
      </c>
      <c r="ML19" s="780">
        <f t="array" ref="ML19">IF('Customer Inputs'!$W$18="End",0,IFERROR(IF($MK19="SEGMENT",INDEX('Margin Guidence Table'!$A$1:$AG$10000,MATCH(1,('Margin Guidence Table'!$A$1:$A$10000=MI19)*('Margin Guidence Table'!$I$1:$I$10000&lt;=ROUND($MA$3,0))*('Margin Guidence Table'!$J$1:$J$10000&gt;=ROUND($MA$3,0)),0),MATCH("SALES_CASE",'Margin Guidence Table'!$A$1:$AG$1,0)),INDEX('Margin Guidence Table'!$A$1:$AG$10000,MATCH(1,('Margin Guidence Table'!$A$1:$A$10000=MI19)*('Margin Guidence Table'!$I$1:$I$10000&lt;=ROUND($MA$3,0))*('Margin Guidence Table'!$J$1:$J$10000&gt;=ROUND($MA$3,0)),0),MATCH("DEFAULT_SALES_CASE",'Margin Guidence Table'!$A$1:$AG$1,0))),0))</f>
        <v>0</v>
      </c>
      <c r="MM19" s="780">
        <f t="array" ref="MM19">IF('Customer Inputs'!$W$18="End",0,IFERROR(IF($MK19="SEGMENT",INDEX('Margin Guidence Table'!$A$1:$AG$10000,MATCH(1,('Margin Guidence Table'!$A$1:$A$10000=MI19)*('Margin Guidence Table'!$I$1:$I$10000&lt;=ROUND($MA$3,0))*('Margin Guidence Table'!$J$1:$J$10000&gt;=ROUND($MA$3,0)),0),MATCH("SALES_LBS",'Margin Guidence Table'!$A$1:$AG$1,0)),INDEX('Margin Guidence Table'!$A$1:$AG$10000,MATCH(1,('Margin Guidence Table'!$A$1:$A$10000=MI19)*('Margin Guidence Table'!$I$1:$I$10000&lt;=ROUND($MA$3,0))*('Margin Guidence Table'!$J$1:$J$10000&gt;=ROUND($MA$3,0)),0),MATCH("DEFAULT_SALES_LBS",'Margin Guidence Table'!$A$1:$AG$1,0))),0))</f>
        <v>0</v>
      </c>
      <c r="MN19" s="784">
        <f t="array" ref="MN19">IF('Customer Inputs'!$W$18="End",0,IFERROR(IF($MK19="SEGMENT",INDEX('Margin Guidence Table'!$A$1:$AG$10000,MATCH(1,('Margin Guidence Table'!$A$1:$A$10000=MI19)*('Margin Guidence Table'!$I$1:$I$10000&lt;=ROUND($MA$3,0))*('Margin Guidence Table'!$J$1:$J$10000&gt;=ROUND($MA$3,0)),0),MATCH("MDA_MIN_MARGIN_GUIDENCE",'Margin Guidence Table'!$A$1:$AG$1,0)),INDEX('Margin Guidence Table'!$A$1:$AG$10000,MATCH(1,('Margin Guidence Table'!$A$1:$A$10000=MI19)*('Margin Guidence Table'!$I$1:$I$10000&lt;=ROUND($MA$3,0))*('Margin Guidence Table'!$J$1:$J$10000&gt;=ROUND($MA$3,0)),0),MATCH("DEFAULT_MDA_MIN_MARGIN_GUIDENCE",'Margin Guidence Table'!$A$1:$AG$1,0))),0))</f>
        <v>0</v>
      </c>
      <c r="MO19" s="784">
        <f t="array" ref="MO19">IF('Customer Inputs'!$W$18="End",0,IFERROR(IF($MK19="SEGMENT",INDEX('Margin Guidence Table'!$A$1:$AG$10000,MATCH(1,('Margin Guidence Table'!$A$1:$A$10000=MI19)*('Margin Guidence Table'!$I$1:$I$10000&lt;=ROUND($MA$3,0))*('Margin Guidence Table'!$J$1:$J$10000&gt;=ROUND($MA$3,0)),0),MATCH("MDA_MEDIAN_MARGIN_GUIDENCE",'Margin Guidence Table'!$A$1:$AG$1,0)),INDEX('Margin Guidence Table'!$A$1:$AG$10000,MATCH(1,('Margin Guidence Table'!$A$1:$A$10000=MI19)*('Margin Guidence Table'!$I$1:$I$10000&lt;=ROUND($MA$3,0))*('Margin Guidence Table'!$J$1:$J$10000&gt;=ROUND($MA$3,0)),0),MATCH("DEFAULT_MDA_MEDIAN_MARGIN_GUIDENCE",'Margin Guidence Table'!$A$1:$AG$1,0))),0))</f>
        <v>0</v>
      </c>
      <c r="MP19" s="784">
        <f t="array" ref="MP19">IF('Customer Inputs'!$W$18="End",0,IFERROR(IF($MK19="SEGMENT",INDEX('Margin Guidence Table'!$A$1:$AG$10000,MATCH(1,('Margin Guidence Table'!$A$1:$A$10000=MI19)*('Margin Guidence Table'!$I$1:$I$10000&lt;=ROUND($MA$3,0))*('Margin Guidence Table'!$J$1:$J$10000&gt;=ROUND($MA$3,0)),0),MATCH("MDA_MAX_MARGIN_GUIDENCE",'Margin Guidence Table'!$A$1:$AG$1,0)),INDEX('Margin Guidence Table'!$A$1:$AG$10000,MATCH(1,('Margin Guidence Table'!$A$1:$A$10000=MI19)*('Margin Guidence Table'!$I$1:$I$10000&lt;=ROUND($MA$3,0))*('Margin Guidence Table'!$J$1:$J$10000&gt;=ROUND($MA$3,0)),0),MATCH("DEFAULT_MDA_MAX_MARGIN_GUIDENCE",'Margin Guidence Table'!$A$1:$AG$1,0))),0))</f>
        <v>0</v>
      </c>
      <c r="MQ19" s="784">
        <f t="array" ref="MQ19">IF('Customer Inputs'!$W$18="End",0,IFERROR(IF($MK19="SEGMENT",INDEX('Margin Guidence Table'!$A$1:$AG$10000,MATCH(1,('Margin Guidence Table'!$A$1:$A$10000=MI19)*('Margin Guidence Table'!$I$1:$I$10000&lt;=ROUND($MA$3,0))*('Margin Guidence Table'!$J$1:$J$10000&gt;=ROUND($MA$3,0)),0),MATCH("PA_PCT_SALES",'Margin Guidence Table'!$A$1:$AG$1,0)),INDEX('Margin Guidence Table'!$A$1:$AG$10000,MATCH(1,('Margin Guidence Table'!$A$1:$A$10000=MI19)*('Margin Guidence Table'!$I$1:$I$10000&lt;=ROUND($MA$3,0))*('Margin Guidence Table'!$J$1:$J$10000&gt;=ROUND($MA$3,0)),0),MATCH("DEFAULT_PA_PCT_SALES",'Margin Guidence Table'!$A$1:$AG$1,0))),0))</f>
        <v>0</v>
      </c>
      <c r="MR19" s="784">
        <f t="array" ref="MR19">IF('Customer Inputs'!$W$18="End",0,IFERROR(IF($MK19="SEGMENT",INDEX('Margin Guidence Table'!$A$1:$AG$10000,MATCH(1,('Margin Guidence Table'!$A$1:$A$10000=MI19)*('Margin Guidence Table'!$I$1:$I$10000&lt;=ROUND($MA$3,0))*('Margin Guidence Table'!$J$1:$J$10000&gt;=ROUND($MA$3,0)),0),MATCH("SELF_FUND_PCT_SALES",'Margin Guidence Table'!$A$1:$AG$1,0)),INDEX('Margin Guidence Table'!$A$1:$AG$10000,MATCH(1,('Margin Guidence Table'!$A$1:$A$10000=MI19)*('Margin Guidence Table'!$I$1:$I$10000&lt;=ROUND($MA$3,0))*('Margin Guidence Table'!$J$1:$J$10000&gt;=ROUND($MA$3,0)),0),MATCH("DEFAULT_SELF_FUND_PCT_SALES",'Margin Guidence Table'!$A$1:$AG$1,0))),0))</f>
        <v>0</v>
      </c>
      <c r="MS19" s="784">
        <f t="array" ref="MS19">IF('Customer Inputs'!$W$18="End",0,IF($MB$2="Existing",IFERROR(SUMIFS('Existing Customers'!$V:$V,'Existing Customers'!$H:$H,$LZ19,'Existing Customers'!$A:$A,$MA$1)/SUMIFS('Existing Customers'!$Q:$Q,'Existing Customers'!$H:$H,$LZ19,'Existing Customers'!$A:$A,$MA$1),0),IFERROR(IF($MK19="SEGMENT",INDEX('Margin Guidence Table'!$A$1:$AG$10000,MATCH(1,('Margin Guidence Table'!$A$1:$A$10000=MI19)*('Margin Guidence Table'!$I$1:$I$10000&lt;=ROUND($MA$3,0))*('Margin Guidence Table'!$J$1:$J$10000&gt;=ROUND($MA$3,0)),0),MATCH("CIA_MEDIAN_MARGIN_GUIDENCE",'Margin Guidence Table'!$A$1:$AG$1,0)),INDEX('Margin Guidence Table'!$A$1:$AG$10000,MATCH(1,('Margin Guidence Table'!$A$1:$A$10000=MI19)*('Margin Guidence Table'!$I$1:$I$10000&lt;=ROUND($MA$3,0))*('Margin Guidence Table'!$J$1:$J$10000&gt;=ROUND($MA$3,0)),0),MATCH("DEFAULT_CIA_MEDIAN_MARGIN_GUIDENCE",'Margin Guidence Table'!$A$1:$AG$1,0))),0)))</f>
        <v>0</v>
      </c>
      <c r="MT19" s="784"/>
      <c r="MU19" s="18">
        <f t="array" ref="MU19">IF('Customer Inputs'!$W$19="End",0,IFERROR(IF($NH19="SEGMENT",INDEX('Margin Guidence Table'!$A$1:$AG$10000,MATCH(1,('Margin Guidence Table'!$A$1:$A$10000=$NF19)*('Margin Guidence Table'!$I$1:$I$10000&lt;=ROUND($MX$3,0))*('Margin Guidence Table'!$J$1:$J$10000&gt;=ROUND($MX$3,0)),0),MATCH("PCT_SALES",'Margin Guidence Table'!$A$1:$AG$1,0)),INDEX('Margin Guidence Table'!$A$1:$AG$10000,MATCH(1,('Margin Guidence Table'!$A$1:$A$10000=$NF19)*('Margin Guidence Table'!$I$1:$I$10000&lt;=ROUND($MX$3,0))*('Margin Guidence Table'!$J$1:$J$10000&gt;=ROUND($MX$3,0)),0),MATCH("DEFAULT_PCT_SALES",'Margin Guidence Table'!$A$1:$AG$1,0))),0))</f>
        <v>0</v>
      </c>
      <c r="MV19" s="1713" t="e">
        <f t="shared" si="58"/>
        <v>#DIV/0!</v>
      </c>
      <c r="MW19" s="99" t="s">
        <v>104</v>
      </c>
      <c r="MX19" s="91">
        <f>IF('Customer Inputs'!$W$19="End",0,IFERROR(IF(AND($MX$2&lt;&gt;"Enter Spend&gt;&gt;&gt;",$MY$2="EXISTING"),SUMIFS('Existing Customers'!$Q:$Q,'Existing Customers'!$A:$A,$MX$1,'Existing Customers'!$H:$H,$MW19)*$MX$4,$MX$3*$MV19),0))</f>
        <v>0</v>
      </c>
      <c r="MY19" s="86">
        <f>IF('Customer Inputs'!$W$19="End",0,IFERROR(IF(AND($MX$2&lt;&gt;"Enter Spend&gt;&gt;&gt;",$MY$2="EXISTING"),SUMIFS('Existing Customers'!$N:$N,'Existing Customers'!$A:$A,$MX$1,'Existing Customers'!$H:$H,$MW19)*$MX$4,$MX19/$NI19),0))</f>
        <v>0</v>
      </c>
      <c r="MZ19" s="92">
        <f>IF('Customer Inputs'!$W$19="End",0,IFERROR(IF(AND($MX$2&lt;&gt;"Enter Spend&gt;&gt;&gt;",$MY$2="EXISTING"),SUMIFS('Existing Customers'!$O:$O,'Existing Customers'!$H:$H,$MW19,'Existing Customers'!$A:$A,$MX$1)*$MX$4,$MY19*$MX$8),0))</f>
        <v>0</v>
      </c>
      <c r="NA19" s="92">
        <f>IF('Customer Inputs'!$W$19="End",0,IFERROR(IF(AND($MX$2&lt;&gt;"Enter Spend&gt;&gt;&gt;",$MY$2="EXISTING"),SUMIFS('Existing Customers'!$P:$P,'Existing Customers'!$A:$A,$MX$1,'Existing Customers'!$H:$H,$MW19)*$MX$4,$MX19/$NJ19),0))</f>
        <v>0</v>
      </c>
      <c r="NB19" s="303">
        <f>IF('Customer Inputs'!$W$19="End",0,IFERROR(IF(AND($MX$2&lt;&gt;"Enter Spend&gt;&gt;&gt;",$MY$2="EXISTING"),SUMIFS('Existing Customers'!$V:$V,'Existing Customers'!$H:$H,$MW19,'Existing Customers'!$A:$A,$MX$1)*$MX$4,0),0))</f>
        <v>0</v>
      </c>
      <c r="NC19" s="93">
        <f>IF('Customer Inputs'!$W$19="End",0,IFERROR(IF(AND($MX$2&lt;&gt;"Enter Spend&gt;&gt;&gt;",$MY$2="EXISTING"),SUMIFS('Existing Customers'!$R:$R,'Existing Customers'!$H:$H,$MW19,'Existing Customers'!$A:$A,$MX$1)*$MX$4,0),0))</f>
        <v>0</v>
      </c>
      <c r="ND19" s="780">
        <f>IF('Customer Inputs'!$W$19="End",0,IFERROR(IF(AND($MX$2&lt;&gt;"Enter Spend&gt;&gt;&gt;",$MY$2="EXISTING"),SUMIFS('Existing Customers'!$S:$S,'Existing Customers'!$H:$H,$MW19,'Existing Customers'!$A:$A,$MX$1)/SUMIFS('Existing Customers'!$Q:$Q,'Existing Customers'!$A:$A,$MX$1,'Existing Customers'!$H:$H,$MW19),NN19),0))</f>
        <v>0</v>
      </c>
      <c r="NE19" s="780">
        <f>IF('Customer Inputs'!$W$19="End",0,IFERROR(IF(AND($MX$2&lt;&gt;"Enter Spend&gt;&gt;&gt;",$MY$2="EXISTING"),SUMIFS('Existing Customers'!$U:$U,'Existing Customers'!$H:$H,$MW19,'Existing Customers'!$A:$A,$MX$1)/SUMIFS('Existing Customers'!$Q:$Q,'Existing Customers'!$A:$A,$MX$1,'Existing Customers'!$H:$H,$MW19),NO19),0))</f>
        <v>0</v>
      </c>
      <c r="NF19" s="783" t="e">
        <f>_xlfn.CONCAT('Customer Inputs'!$AH$19,"_",MW19)</f>
        <v>#N/A</v>
      </c>
      <c r="NG19" s="783">
        <f t="array" ref="NG19">IF('Customer Inputs'!$W$19="End",0,IFERROR(INDEX('Margin Guidence Table'!$A$1:$AG$10000,MATCH(1,('Margin Guidence Table'!$A$1:$A$10000=NF19)*('Margin Guidence Table'!$I$1:$I$10000&lt;=ROUND($MX$3,0))*('Margin Guidence Table'!$J$1:$J$10000&gt;=ROUND($MX$3,0)),0),MATCH("DATA_POINTS",'Margin Guidence Table'!$A$1:$AG$1,0)),0))</f>
        <v>0</v>
      </c>
      <c r="NH19" s="780" t="str">
        <f t="shared" si="59"/>
        <v>DEFAULT</v>
      </c>
      <c r="NI19" s="780">
        <f t="array" ref="NI19">IF('Customer Inputs'!$W$19="End",0,IFERROR(IF($NH19="SEGMENT",INDEX('Margin Guidence Table'!$A$1:$AG$10000,MATCH(1,('Margin Guidence Table'!$A$1:$A$10000=NF19)*('Margin Guidence Table'!$I$1:$I$10000&lt;=ROUND($MX$3,0))*('Margin Guidence Table'!$J$1:$J$10000&gt;=ROUND($MX$3,0)),0),MATCH("SALES_CASE",'Margin Guidence Table'!$A$1:$AG$1,0)),INDEX('Margin Guidence Table'!$A$1:$AG$10000,MATCH(1,('Margin Guidence Table'!$A$1:$A$10000=NF19)*('Margin Guidence Table'!$I$1:$I$10000&lt;=ROUND($MX$3,0))*('Margin Guidence Table'!$J$1:$J$10000&gt;=ROUND($MX$3,0)),0),MATCH("DEFAULT_SALES_CASE",'Margin Guidence Table'!$A$1:$AG$1,0))),0))</f>
        <v>0</v>
      </c>
      <c r="NJ19" s="780">
        <f t="array" ref="NJ19">IF('Customer Inputs'!$W$19="End",0,IFERROR(IF($NH19="SEGMENT",INDEX('Margin Guidence Table'!$A$1:$AG$10000,MATCH(1,('Margin Guidence Table'!$A$1:$A$10000=NF19)*('Margin Guidence Table'!$I$1:$I$10000&lt;=ROUND($MX$3,0))*('Margin Guidence Table'!$J$1:$J$10000&gt;=ROUND($MX$3,0)),0),MATCH("SALES_LBS",'Margin Guidence Table'!$A$1:$AG$1,0)),INDEX('Margin Guidence Table'!$A$1:$AG$10000,MATCH(1,('Margin Guidence Table'!$A$1:$A$10000=NF19)*('Margin Guidence Table'!$I$1:$I$10000&lt;=ROUND($MX$3,0))*('Margin Guidence Table'!$J$1:$J$10000&gt;=ROUND($MX$3,0)),0),MATCH("DEFAULT_SALES_LBS",'Margin Guidence Table'!$A$1:$AG$1,0))),0))</f>
        <v>0</v>
      </c>
      <c r="NK19" s="784">
        <f t="array" ref="NK19">IF('Customer Inputs'!$W$19="End",0,IFERROR(IF($NH19="SEGMENT",INDEX('Margin Guidence Table'!$A$1:$AG$10000,MATCH(1,('Margin Guidence Table'!$A$1:$A$10000=NF19)*('Margin Guidence Table'!$I$1:$I$10000&lt;=ROUND($MX$3,0))*('Margin Guidence Table'!$J$1:$J$10000&gt;=ROUND($MX$3,0)),0),MATCH("MDA_MIN_MARGIN_GUIDENCE",'Margin Guidence Table'!$A$1:$AG$1,0)),INDEX('Margin Guidence Table'!$A$1:$AG$10000,MATCH(1,('Margin Guidence Table'!$A$1:$A$10000=NF19)*('Margin Guidence Table'!$I$1:$I$10000&lt;=ROUND($MX$3,0))*('Margin Guidence Table'!$J$1:$J$10000&gt;=ROUND($MX$3,0)),0),MATCH("DEFAULT_MDA_MIN_MARGIN_GUIDENCE",'Margin Guidence Table'!$A$1:$AG$1,0))),0))</f>
        <v>0</v>
      </c>
      <c r="NL19" s="784">
        <f t="array" ref="NL19">IF('Customer Inputs'!$W$19="End",0,IFERROR(IF($NH19="SEGMENT",INDEX('Margin Guidence Table'!$A$1:$AG$10000,MATCH(1,('Margin Guidence Table'!$A$1:$A$10000=NF19)*('Margin Guidence Table'!$I$1:$I$10000&lt;=ROUND($MX$3,0))*('Margin Guidence Table'!$J$1:$J$10000&gt;=ROUND($MX$3,0)),0),MATCH("MDA_MEDIAN_MARGIN_GUIDENCE",'Margin Guidence Table'!$A$1:$AG$1,0)),INDEX('Margin Guidence Table'!$A$1:$AG$10000,MATCH(1,('Margin Guidence Table'!$A$1:$A$10000=NF19)*('Margin Guidence Table'!$I$1:$I$10000&lt;=ROUND($MX$3,0))*('Margin Guidence Table'!$J$1:$J$10000&gt;=ROUND($MX$3,0)),0),MATCH("DEFAULT_MDA_MEDIAN_MARGIN_GUIDENCE",'Margin Guidence Table'!$A$1:$AG$1,0))),0))</f>
        <v>0</v>
      </c>
      <c r="NM19" s="784">
        <f t="array" ref="NM19">IF('Customer Inputs'!$W$19="End",0,IFERROR(IF($NH19="SEGMENT",INDEX('Margin Guidence Table'!$A$1:$AG$10000,MATCH(1,('Margin Guidence Table'!$A$1:$A$10000=NF19)*('Margin Guidence Table'!$I$1:$I$10000&lt;=ROUND($MX$3,0))*('Margin Guidence Table'!$J$1:$J$10000&gt;=ROUND($MX$3,0)),0),MATCH("MDA_MAX_MARGIN_GUIDENCE",'Margin Guidence Table'!$A$1:$AG$1,0)),INDEX('Margin Guidence Table'!$A$1:$AG$10000,MATCH(1,('Margin Guidence Table'!$A$1:$A$10000=NF19)*('Margin Guidence Table'!$I$1:$I$10000&lt;=ROUND($MX$3,0))*('Margin Guidence Table'!$J$1:$J$10000&gt;=ROUND($MX$3,0)),0),MATCH("DEFAULT_MDA_MAX_MARGIN_GUIDENCE",'Margin Guidence Table'!$A$1:$AG$1,0))),0))</f>
        <v>0</v>
      </c>
      <c r="NN19" s="784">
        <f t="array" ref="NN19">IF('Customer Inputs'!$W$19="End",0,IFERROR(IF($NH19="SEGMENT",INDEX('Margin Guidence Table'!$A$1:$AG$10000,MATCH(1,('Margin Guidence Table'!$A$1:$A$10000=NF19)*('Margin Guidence Table'!$I$1:$I$10000&lt;=ROUND($MX$3,0))*('Margin Guidence Table'!$J$1:$J$10000&gt;=ROUND($MX$3,0)),0),MATCH("PA_PCT_SALES",'Margin Guidence Table'!$A$1:$AG$1,0)),INDEX('Margin Guidence Table'!$A$1:$AG$10000,MATCH(1,('Margin Guidence Table'!$A$1:$A$10000=NF19)*('Margin Guidence Table'!$I$1:$I$10000&lt;=ROUND($MX$3,0))*('Margin Guidence Table'!$J$1:$J$10000&gt;=ROUND($MX$3,0)),0),MATCH("DEFAULT_PA_PCT_SALES",'Margin Guidence Table'!$A$1:$AG$1,0))),0))</f>
        <v>0</v>
      </c>
      <c r="NO19" s="784">
        <f t="array" ref="NO19">IF('Customer Inputs'!$W$19="End",0,IFERROR(IF($NH19="SEGMENT",INDEX('Margin Guidence Table'!$A$1:$AG$10000,MATCH(1,('Margin Guidence Table'!$A$1:$A$10000=NF19)*('Margin Guidence Table'!$I$1:$I$10000&lt;=ROUND($MX$3,0))*('Margin Guidence Table'!$J$1:$J$10000&gt;=ROUND($MX$3,0)),0),MATCH("SELF_FUND_PCT_SALES",'Margin Guidence Table'!$A$1:$AG$1,0)),INDEX('Margin Guidence Table'!$A$1:$AG$10000,MATCH(1,('Margin Guidence Table'!$A$1:$A$10000=NF19)*('Margin Guidence Table'!$I$1:$I$10000&lt;=ROUND($MX$3,0))*('Margin Guidence Table'!$J$1:$J$10000&gt;=ROUND($MX$3,0)),0),MATCH("DEFAULT_SELF_FUND_PCT_SALES",'Margin Guidence Table'!$A$1:$AG$1,0))),0))</f>
        <v>0</v>
      </c>
      <c r="NP19" s="784">
        <f t="array" ref="NP19">IF('Customer Inputs'!$W$19="End",0,IF($MY$2="Existing",IFERROR(SUMIFS('Existing Customers'!$V:$V,'Existing Customers'!$H:$H,$MW19,'Existing Customers'!$A:$A,$MX$1)/SUMIFS('Existing Customers'!$Q:$Q,'Existing Customers'!$H:$H,$MW19,'Existing Customers'!$A:$A,$MX$1),0),IFERROR(IF($NH19="SEGMENT",INDEX('Margin Guidence Table'!$A$1:$AG$10000,MATCH(1,('Margin Guidence Table'!$A$1:$A$10000=NF19)*('Margin Guidence Table'!$I$1:$I$10000&lt;=ROUND($MX$3,0))*('Margin Guidence Table'!$J$1:$J$10000&gt;=ROUND($MX$3,0)),0),MATCH("CIA_MEDIAN_MARGIN_GUIDENCE",'Margin Guidence Table'!$A$1:$AG$1,0)),INDEX('Margin Guidence Table'!$A$1:$AG$10000,MATCH(1,('Margin Guidence Table'!$A$1:$A$10000=NF19)*('Margin Guidence Table'!$I$1:$I$10000&lt;=ROUND($MX$3,0))*('Margin Guidence Table'!$J$1:$J$10000&gt;=ROUND($MX$3,0)),0),MATCH("DEFAULT_CIA_MEDIAN_MARGIN_GUIDENCE",'Margin Guidence Table'!$A$1:$AG$1,0))),0)))</f>
        <v>0</v>
      </c>
      <c r="NQ19" s="784"/>
      <c r="NR19" s="18">
        <f t="array" ref="NR19">IF('Customer Inputs'!$W$20="End",0,IFERROR(IF($OE19="SEGMENT",INDEX('Margin Guidence Table'!$A$1:$AG$10000,MATCH(1,('Margin Guidence Table'!$A$1:$A$10000=$OC19)*('Margin Guidence Table'!$I$1:$I$10000&lt;=ROUND($NU$3,0))*('Margin Guidence Table'!$J$1:$J$10000&gt;=ROUND($NU$3,0)),0),MATCH("PCT_SALES",'Margin Guidence Table'!$A$1:$AG$1,0)),INDEX('Margin Guidence Table'!$A$1:$AG$10000,MATCH(1,('Margin Guidence Table'!$A$1:$A$10000=$OC19)*('Margin Guidence Table'!$I$1:$I$10000&lt;=ROUND($NU$3,0))*('Margin Guidence Table'!$J$1:$J$10000&gt;=ROUND($NU$3,0)),0),MATCH("DEFAULT_PCT_SALES",'Margin Guidence Table'!$A$1:$AG$1,0))),0))</f>
        <v>0</v>
      </c>
      <c r="NS19" s="1713" t="e">
        <f t="shared" si="60"/>
        <v>#DIV/0!</v>
      </c>
      <c r="NT19" s="99" t="s">
        <v>104</v>
      </c>
      <c r="NU19" s="91">
        <f>IF('Customer Inputs'!$W$20="End",0,IFERROR(IF(AND($NU$2&lt;&gt;"Enter Spend&gt;&gt;&gt;",$NV$2="EXISTING"),SUMIFS('Existing Customers'!$Q:$Q,'Existing Customers'!$A:$A,$NU$1,'Existing Customers'!$H:$H,$NT19)*$NU$4,$NU$3*$NS19),0))</f>
        <v>0</v>
      </c>
      <c r="NV19" s="86">
        <f>IF('Customer Inputs'!$W$20="End",0,IFERROR(IF(AND($NU$2&lt;&gt;"Enter Spend&gt;&gt;&gt;",$NV$2="EXISTING"),SUMIFS('Existing Customers'!$N:$N,'Existing Customers'!$A:$A,$NU$1,'Existing Customers'!$H:$H,$NT19)*$NU$4,$NU19/$OF19),0))</f>
        <v>0</v>
      </c>
      <c r="NW19" s="92">
        <f>IF('Customer Inputs'!$W$20="End",0,IFERROR(IF(AND($NU$2&lt;&gt;"Enter Spend&gt;&gt;&gt;",$NV$2="EXISTING"),SUMIFS('Existing Customers'!$O:$O,'Existing Customers'!$H:$H,$NT19,'Existing Customers'!$A:$A,$NU$1)*$NU$4,$NV19*$NU$8),0))</f>
        <v>0</v>
      </c>
      <c r="NX19" s="92">
        <f>IF('Customer Inputs'!$W$20="End",0,IFERROR(IF(AND($NU$2&lt;&gt;"Enter Spend&gt;&gt;&gt;",$NV$2="EXISTING"),SUMIFS('Existing Customers'!$P:$P,'Existing Customers'!$A:$A,$NU$1,'Existing Customers'!$H:$H,$NT19)*$NU$4,$NU19/$OG19),0))</f>
        <v>0</v>
      </c>
      <c r="NY19" s="303">
        <f>IF('Customer Inputs'!$W$20="End",0,IFERROR(IF(AND($NU$2&lt;&gt;"Enter Spend&gt;&gt;&gt;",$NV$2="EXISTING"),SUMIFS('Existing Customers'!$V:$V,'Existing Customers'!$H:$H,$NT19,'Existing Customers'!$A:$A,$NU$1)*$NU$4,0),0))</f>
        <v>0</v>
      </c>
      <c r="NZ19" s="93">
        <f>IF('Customer Inputs'!$W$20="End",0,IFERROR(IF(AND($NU$2&lt;&gt;"Enter Spend&gt;&gt;&gt;",$NV$2="EXISTING"),SUMIFS('Existing Customers'!$R:$R,'Existing Customers'!$H:$H,$NT19,'Existing Customers'!$A:$A,$NU$1)*$NU$4,0),0))</f>
        <v>0</v>
      </c>
      <c r="OA19" s="780">
        <f>IF('Customer Inputs'!$W$20="End",0,IFERROR(IF(AND($NU$2&lt;&gt;"Enter Spend&gt;&gt;&gt;",$NV$2="EXISTING"),SUMIFS('Existing Customers'!$S:$S,'Existing Customers'!$H:$H,$NT19,'Existing Customers'!$A:$A,$NU$1)/SUMIFS('Existing Customers'!$Q:$Q,'Existing Customers'!$A:$A,$NU$1,'Existing Customers'!$H:$H,$NT19),OK19),0))</f>
        <v>0</v>
      </c>
      <c r="OB19" s="780">
        <f>IF('Customer Inputs'!$W$20="End",0,IFERROR(IF(AND($NU$2&lt;&gt;"Enter Spend&gt;&gt;&gt;",$NV$2="EXISTING"),SUMIFS('Existing Customers'!$U:$U,'Existing Customers'!$H:$H,$NT19,'Existing Customers'!$A:$A,$NU$1)/SUMIFS('Existing Customers'!$Q:$Q,'Existing Customers'!$A:$A,$NU$1,'Existing Customers'!$H:$H,$NT19),OL19),0))</f>
        <v>0</v>
      </c>
      <c r="OC19" s="783" t="e">
        <f>_xlfn.CONCAT('Customer Inputs'!$AH$20,"_",NT19)</f>
        <v>#N/A</v>
      </c>
      <c r="OD19" s="783">
        <f t="array" ref="OD19">IF('Customer Inputs'!$W$20="End",0,IFERROR(INDEX('Margin Guidence Table'!$A$1:$AG$10000,MATCH(1,('Margin Guidence Table'!$A$1:$A$10000=OC19)*('Margin Guidence Table'!$I$1:$I$10000&lt;=ROUND($NU$3,0))*('Margin Guidence Table'!$J$1:$J$10000&gt;=ROUND($NU$3,0)),0),MATCH("DATA_POINTS",'Margin Guidence Table'!$A$1:$AG$1,0)),0))</f>
        <v>0</v>
      </c>
      <c r="OE19" s="780" t="str">
        <f t="shared" si="61"/>
        <v>DEFAULT</v>
      </c>
      <c r="OF19" s="780">
        <f t="array" ref="OF19">IF('Customer Inputs'!$W$20="End",0,IFERROR(IF($OE19="SEGMENT",INDEX('Margin Guidence Table'!$A$1:$AG$10000,MATCH(1,('Margin Guidence Table'!$A$1:$A$10000=OC19)*('Margin Guidence Table'!$I$1:$I$10000&lt;=ROUND($NU$3,0))*('Margin Guidence Table'!$J$1:$J$10000&gt;=ROUND($NU$3,0)),0),MATCH("SALES_CASE",'Margin Guidence Table'!$A$1:$AG$1,0)),INDEX('Margin Guidence Table'!$A$1:$AG$10000,MATCH(1,('Margin Guidence Table'!$A$1:$A$10000=OC19)*('Margin Guidence Table'!$I$1:$I$10000&lt;=ROUND($NU$3,0))*('Margin Guidence Table'!$J$1:$J$10000&gt;=ROUND($NU$3,0)),0),MATCH("DEFAULT_SALES_CASE",'Margin Guidence Table'!$A$1:$AG$1,0))),0))</f>
        <v>0</v>
      </c>
      <c r="OG19" s="780">
        <f t="array" ref="OG19">IF('Customer Inputs'!$W$20="End",0,IFERROR(IF($OE19="SEGMENT",INDEX('Margin Guidence Table'!$A$1:$AG$10000,MATCH(1,('Margin Guidence Table'!$A$1:$A$10000=OC19)*('Margin Guidence Table'!$I$1:$I$10000&lt;=ROUND($NU$3,0))*('Margin Guidence Table'!$J$1:$J$10000&gt;=ROUND($NU$3,0)),0),MATCH("SALES_LBS",'Margin Guidence Table'!$A$1:$AG$1,0)),INDEX('Margin Guidence Table'!$A$1:$AG$10000,MATCH(1,('Margin Guidence Table'!$A$1:$A$10000=OC19)*('Margin Guidence Table'!$I$1:$I$10000&lt;=ROUND($NU$3,0))*('Margin Guidence Table'!$J$1:$J$10000&gt;=ROUND($NU$3,0)),0),MATCH("DEFAULT_SALES_LBS",'Margin Guidence Table'!$A$1:$AG$1,0))),0))</f>
        <v>0</v>
      </c>
      <c r="OH19" s="784">
        <f t="array" ref="OH19">IF('Customer Inputs'!$W$20="End",0,IFERROR(IF($OE19="SEGMENT",INDEX('Margin Guidence Table'!$A$1:$AG$10000,MATCH(1,('Margin Guidence Table'!$A$1:$A$10000=OC19)*('Margin Guidence Table'!$I$1:$I$10000&lt;=ROUND($NU$3,0))*('Margin Guidence Table'!$J$1:$J$10000&gt;=ROUND($NU$3,0)),0),MATCH("MDA_MIN_MARGIN_GUIDENCE",'Margin Guidence Table'!$A$1:$AG$1,0)),INDEX('Margin Guidence Table'!$A$1:$AG$10000,MATCH(1,('Margin Guidence Table'!$A$1:$A$10000=OC19)*('Margin Guidence Table'!$I$1:$I$10000&lt;=ROUND($NU$3,0))*('Margin Guidence Table'!$J$1:$J$10000&gt;=ROUND($NU$3,0)),0),MATCH("DEFAULT_MDA_MIN_MARGIN_GUIDENCE",'Margin Guidence Table'!$A$1:$AG$1,0))),0))</f>
        <v>0</v>
      </c>
      <c r="OI19" s="784">
        <f t="array" ref="OI19">IF('Customer Inputs'!$W$20="End",0,IFERROR(IF($OE19="SEGMENT",INDEX('Margin Guidence Table'!$A$1:$AG$10000,MATCH(1,('Margin Guidence Table'!$A$1:$A$10000=OC19)*('Margin Guidence Table'!$I$1:$I$10000&lt;=ROUND($NU$3,0))*('Margin Guidence Table'!$J$1:$J$10000&gt;=ROUND($NU$3,0)),0),MATCH("MDA_MEDIAN_MARGIN_GUIDENCE",'Margin Guidence Table'!$A$1:$AG$1,0)),INDEX('Margin Guidence Table'!$A$1:$AG$10000,MATCH(1,('Margin Guidence Table'!$A$1:$A$10000=OC19)*('Margin Guidence Table'!$I$1:$I$10000&lt;=ROUND($NU$3,0))*('Margin Guidence Table'!$J$1:$J$10000&gt;=ROUND($NU$3,0)),0),MATCH("DEFAULT_MDA_MEDIAN_MARGIN_GUIDENCE",'Margin Guidence Table'!$A$1:$AG$1,0))),0))</f>
        <v>0</v>
      </c>
      <c r="OJ19" s="784">
        <f t="array" ref="OJ19">IF('Customer Inputs'!$W$20="End",0,IFERROR(IF($OE19="SEGMENT",INDEX('Margin Guidence Table'!$A$1:$AG$10000,MATCH(1,('Margin Guidence Table'!$A$1:$A$10000=OC19)*('Margin Guidence Table'!$I$1:$I$10000&lt;=ROUND($NU$3,0))*('Margin Guidence Table'!$J$1:$J$10000&gt;=ROUND($NU$3,0)),0),MATCH("MDA_MAX_MARGIN_GUIDENCE",'Margin Guidence Table'!$A$1:$AG$1,0)),INDEX('Margin Guidence Table'!$A$1:$AG$10000,MATCH(1,('Margin Guidence Table'!$A$1:$A$10000=OC19)*('Margin Guidence Table'!$I$1:$I$10000&lt;=ROUND($NU$3,0))*('Margin Guidence Table'!$J$1:$J$10000&gt;=ROUND($NU$3,0)),0),MATCH("DEFAULT_MDA_MAX_MARGIN_GUIDENCE",'Margin Guidence Table'!$A$1:$AG$1,0))),0))</f>
        <v>0</v>
      </c>
      <c r="OK19" s="784">
        <f t="array" ref="OK19">IF('Customer Inputs'!$W$20="End",0,IFERROR(IF($OE19="SEGMENT",INDEX('Margin Guidence Table'!$A$1:$AG$10000,MATCH(1,('Margin Guidence Table'!$A$1:$A$10000=OC19)*('Margin Guidence Table'!$I$1:$I$10000&lt;=ROUND($NU$3,0))*('Margin Guidence Table'!$J$1:$J$10000&gt;=ROUND($NU$3,0)),0),MATCH("PA_PCT_SALES",'Margin Guidence Table'!$A$1:$AG$1,0)),INDEX('Margin Guidence Table'!$A$1:$AG$10000,MATCH(1,('Margin Guidence Table'!$A$1:$A$10000=OC19)*('Margin Guidence Table'!$I$1:$I$10000&lt;=ROUND($NU$3,0))*('Margin Guidence Table'!$J$1:$J$10000&gt;=ROUND($NU$3,0)),0),MATCH("DEFAULT_PA_PCT_SALES",'Margin Guidence Table'!$A$1:$AG$1,0))),0))</f>
        <v>0</v>
      </c>
      <c r="OL19" s="784">
        <f t="array" ref="OL19">IF('Customer Inputs'!$W$20="End",0,IFERROR(IF($OE19="SEGMENT",INDEX('Margin Guidence Table'!$A$1:$AG$10000,MATCH(1,('Margin Guidence Table'!$A$1:$A$10000=OC19)*('Margin Guidence Table'!$I$1:$I$10000&lt;=ROUND($NU$3,0))*('Margin Guidence Table'!$J$1:$J$10000&gt;=ROUND($NU$3,0)),0),MATCH("SELF_FUND_PCT_SALES",'Margin Guidence Table'!$A$1:$AG$1,0)),INDEX('Margin Guidence Table'!$A$1:$AG$10000,MATCH(1,('Margin Guidence Table'!$A$1:$A$10000=OC19)*('Margin Guidence Table'!$I$1:$I$10000&lt;=ROUND($NU$3,0))*('Margin Guidence Table'!$J$1:$J$10000&gt;=ROUND($NU$3,0)),0),MATCH("DEFAULT_SELF_FUND_PCT_SALES",'Margin Guidence Table'!$A$1:$AG$1,0))),0))</f>
        <v>0</v>
      </c>
      <c r="OM19" s="784">
        <f t="array" ref="OM19">IF('Customer Inputs'!$W$20="End",0,IF($NV$2="Existing",IFERROR(SUMIFS('Existing Customers'!$V:$V,'Existing Customers'!$H:$H,$NT19,'Existing Customers'!$A:$A,$NU$1)/SUMIFS('Existing Customers'!$Q:$Q,'Existing Customers'!$H:$H,$NT19,'Existing Customers'!$A:$A,$NU$1),0),IFERROR(IF($OE19="SEGMENT",INDEX('Margin Guidence Table'!$A$1:$AG$10000,MATCH(1,('Margin Guidence Table'!$A$1:$A$10000=OC19)*('Margin Guidence Table'!$I$1:$I$10000&lt;=ROUND($NU$3,0))*('Margin Guidence Table'!$J$1:$J$10000&gt;=ROUND($NU$3,0)),0),MATCH("CIA_MEDIAN_MARGIN_GUIDENCE",'Margin Guidence Table'!$A$1:$AG$1,0)),INDEX('Margin Guidence Table'!$A$1:$AG$10000,MATCH(1,('Margin Guidence Table'!$A$1:$A$10000=OC19)*('Margin Guidence Table'!$I$1:$I$10000&lt;=ROUND($NU$3,0))*('Margin Guidence Table'!$J$1:$J$10000&gt;=ROUND($NU$3,0)),0),MATCH("DEFAULT_CIA_MEDIAN_MARGIN_GUIDENCE",'Margin Guidence Table'!$A$1:$AG$1,0))),0)))</f>
        <v>0</v>
      </c>
      <c r="ON19" s="784"/>
      <c r="OO19" s="18">
        <f t="array" ref="OO19">IF('Customer Inputs'!$W$21="End",0,IFERROR(IF($PB19="SEGMENT",INDEX('Margin Guidence Table'!$A$1:$AG$10000,MATCH(1,('Margin Guidence Table'!$A$1:$A$10000=$OZ19)*('Margin Guidence Table'!$I$1:$I$10000&lt;=ROUND($OR$3,0))*('Margin Guidence Table'!$J$1:$J$10000&gt;=ROUND($OR$3,0)),0),MATCH("PCT_SALES",'Margin Guidence Table'!$A$1:$AG$1,0)),INDEX('Margin Guidence Table'!$A$1:$AG$10000,MATCH(1,('Margin Guidence Table'!$A$1:$A$10000=$OZ19)*('Margin Guidence Table'!$I$1:$I$10000&lt;=ROUND($OR$3,0))*('Margin Guidence Table'!$J$1:$J$10000&gt;=ROUND($OR$3,0)),0),MATCH("DEFAULT_PCT_SALES",'Margin Guidence Table'!$A$1:$AG$1,0))),0))</f>
        <v>0</v>
      </c>
      <c r="OP19" s="1713" t="e">
        <f t="shared" si="62"/>
        <v>#DIV/0!</v>
      </c>
      <c r="OQ19" s="99" t="s">
        <v>104</v>
      </c>
      <c r="OR19" s="91">
        <f>IF('Customer Inputs'!$W$21="End",0,IFERROR(IF(AND($OR$2&lt;&gt;"Enter Spend&gt;&gt;&gt;",$OS$2="EXISTING"),SUMIFS('Existing Customers'!$Q:$Q,'Existing Customers'!$A:$A,$OR$1,'Existing Customers'!$H:$H,$OQ19)*$OR$4,$OR$3*$OP19),0))</f>
        <v>0</v>
      </c>
      <c r="OS19" s="86">
        <f>IF('Customer Inputs'!$W$21="End",0,IFERROR(IF(AND($OR$2&lt;&gt;"Enter Spend&gt;&gt;&gt;",$OS$2="EXISTING"),SUMIFS('Existing Customers'!$N:$N,'Existing Customers'!$A:$A,$OR$1,'Existing Customers'!$H:$H,$OQ19)*$OR$4,$OR19/$PC19),0))</f>
        <v>0</v>
      </c>
      <c r="OT19" s="92">
        <f>IF('Customer Inputs'!$W$21="End",0,IFERROR(IF(AND($OR$2&lt;&gt;"Enter Spend&gt;&gt;&gt;",$OS$2="EXISTING"),SUMIFS('Existing Customers'!$O:$O,'Existing Customers'!$H:$H,$OQ19,'Existing Customers'!$A:$A,$OR$1)*$OR$4,$OS19*$OR$8),0))</f>
        <v>0</v>
      </c>
      <c r="OU19" s="92">
        <f>IF('Customer Inputs'!$W$21="End",0,IFERROR(IF(AND($OR$2&lt;&gt;"Enter Spend&gt;&gt;&gt;",$OS$2="EXISTING"),SUMIFS('Existing Customers'!$P:$P,'Existing Customers'!$A:$A,$OR$1,'Existing Customers'!$H:$H,$OQ19)*$OR$4,$OR19/$PD19),0))</f>
        <v>0</v>
      </c>
      <c r="OV19" s="303">
        <f>IF('Customer Inputs'!$W$21="End",0,IFERROR(IF(AND($OR$2&lt;&gt;"Enter Spend&gt;&gt;&gt;",$OS$2="EXISTING"),SUMIFS('Existing Customers'!$V:$V,'Existing Customers'!$H:$H,$OQ19,'Existing Customers'!$A:$A,$OR$1)*$OR$4,0),0))</f>
        <v>0</v>
      </c>
      <c r="OW19" s="93">
        <f>IF('Customer Inputs'!$W$21="End",0,IFERROR(IF(AND($OR$2&lt;&gt;"Enter Spend&gt;&gt;&gt;",$OS$2="EXISTING"),SUMIFS('Existing Customers'!$R:$R,'Existing Customers'!$H:$H,$OP19,'Existing Customers'!$A:$A,$OR$1)*$OR$4,0),0))</f>
        <v>0</v>
      </c>
      <c r="OX19" s="780">
        <f>IF('Customer Inputs'!$W$21="End",0,IFERROR(IF(AND($OR$2&lt;&gt;"Enter Spend&gt;&gt;&gt;",$OS$2="EXISTING"),SUMIFS('Existing Customers'!$S:$S,'Existing Customers'!$H:$H,$OQ19,'Existing Customers'!$A:$A,$OR$1)/SUMIFS('Existing Customers'!$Q:$Q,'Existing Customers'!$A:$A,$OR$1,'Existing Customers'!$H:$H,$OQ19),PH19),0))</f>
        <v>0</v>
      </c>
      <c r="OY19" s="780">
        <f>IF('Customer Inputs'!$W$21="End",0,IFERROR(IF(AND($OR$2&lt;&gt;"Enter Spend&gt;&gt;&gt;",$OS$2="EXISTING"),SUMIFS('Existing Customers'!$U:$U,'Existing Customers'!$H:$H,$OQ19,'Existing Customers'!$A:$A,$OR$1)/SUMIFS('Existing Customers'!$Q:$Q,'Existing Customers'!$A:$A,$OR$1,'Existing Customers'!$H:$H,$OQ19),PI19),0))</f>
        <v>0</v>
      </c>
      <c r="OZ19" s="783" t="e">
        <f>_xlfn.CONCAT('Customer Inputs'!$AH$21,"_",OQ19)</f>
        <v>#N/A</v>
      </c>
      <c r="PA19" s="783">
        <f t="array" ref="PA19">IF('Customer Inputs'!$W$22="End",0,IFERROR(INDEX('Margin Guidence Table'!$A$1:$AG$10000,MATCH(1,('Margin Guidence Table'!$A$1:$A$10000=OZ19)*('Margin Guidence Table'!$I$1:$I$10000&lt;=ROUND($OR$3,0))*('Margin Guidence Table'!$J$1:$J$10000&gt;=ROUND($OR$3,0)),0),MATCH("DATA_POINTS",'Margin Guidence Table'!$A$1:$AG$1,0)),0))</f>
        <v>0</v>
      </c>
      <c r="PB19" s="780" t="str">
        <f t="shared" si="63"/>
        <v>DEFAULT</v>
      </c>
      <c r="PC19" s="780">
        <f t="array" ref="PC19">IF('Customer Inputs'!$W$21="End",0,IFERROR(IF($PB19="SEGMENT",INDEX('Margin Guidence Table'!$A$1:$AG$10000,MATCH(1,('Margin Guidence Table'!$A$1:$A$10000=OZ19)*('Margin Guidence Table'!$I$1:$I$10000&lt;=ROUND($OR$3,0))*('Margin Guidence Table'!$J$1:$J$10000&gt;=ROUND($OR$3,0)),0),MATCH("SALES_CASE",'Margin Guidence Table'!$A$1:$AG$1,0)),INDEX('Margin Guidence Table'!$A$1:$AG$10000,MATCH(1,('Margin Guidence Table'!$A$1:$A$10000=OZ19)*('Margin Guidence Table'!$I$1:$I$10000&lt;=ROUND($OR$3,0))*('Margin Guidence Table'!$J$1:$J$10000&gt;=ROUND($OR$3,0)),0),MATCH("DEFAULT_SALES_CASE",'Margin Guidence Table'!$A$1:$AG$1,0))),0))</f>
        <v>0</v>
      </c>
      <c r="PD19" s="780">
        <f t="array" ref="PD19">IF('Customer Inputs'!$W$21="End",0,IFERROR(IF($PB19="SEGMENT",INDEX('Margin Guidence Table'!$A$1:$AG$10000,MATCH(1,('Margin Guidence Table'!$A$1:$A$10000=OZ19)*('Margin Guidence Table'!$I$1:$I$10000&lt;=ROUND($OR$3,0))*('Margin Guidence Table'!$J$1:$J$10000&gt;=ROUND($OR$3,0)),0),MATCH("SALES_LBS",'Margin Guidence Table'!$A$1:$AG$1,0)),INDEX('Margin Guidence Table'!$A$1:$AG$10000,MATCH(1,('Margin Guidence Table'!$A$1:$A$10000=OZ19)*('Margin Guidence Table'!$I$1:$I$10000&lt;=ROUND($OR$3,0))*('Margin Guidence Table'!$J$1:$J$10000&gt;=ROUND($OR$3,0)),0),MATCH("DEFAULT_SALES_LBS",'Margin Guidence Table'!$A$1:$AG$1,0))),0))</f>
        <v>0</v>
      </c>
      <c r="PE19" s="784">
        <f t="array" ref="PE19">IF('Customer Inputs'!$W$21="End",0,IFERROR(IF($PB19="SEGMENT",INDEX('Margin Guidence Table'!$A$1:$AG$10000,MATCH(1,('Margin Guidence Table'!$A$1:$A$10000=OZ19)*('Margin Guidence Table'!$I$1:$I$10000&lt;=ROUND($OR$3,0))*('Margin Guidence Table'!$J$1:$J$10000&gt;=ROUND($OR$3,0)),0),MATCH("MDA_MIN_MARGIN_GUIDENCE",'Margin Guidence Table'!$A$1:$AG$1,0)),INDEX('Margin Guidence Table'!$A$1:$AG$10000,MATCH(1,('Margin Guidence Table'!$A$1:$A$10000=OZ19)*('Margin Guidence Table'!$I$1:$I$10000&lt;=ROUND($OR$3,0))*('Margin Guidence Table'!$J$1:$J$10000&gt;=ROUND($OR$3,0)),0),MATCH("DEFAULT_MDA_MIN_MARGIN_GUIDENCE",'Margin Guidence Table'!$A$1:$AG$1,0))),0))</f>
        <v>0</v>
      </c>
      <c r="PF19" s="784">
        <f t="array" ref="PF19">IF('Customer Inputs'!$W$21="End",0,IFERROR(IF($PB19="SEGMENT",INDEX('Margin Guidence Table'!$A$1:$AG$10000,MATCH(1,('Margin Guidence Table'!$A$1:$A$10000=OZ19)*('Margin Guidence Table'!$I$1:$I$10000&lt;=ROUND($OR$3,0))*('Margin Guidence Table'!$J$1:$J$10000&gt;=ROUND($OR$3,0)),0),MATCH("MDA_MEDIAN_MARGIN_GUIDENCE",'Margin Guidence Table'!$A$1:$AG$1,0)),INDEX('Margin Guidence Table'!$A$1:$AG$10000,MATCH(1,('Margin Guidence Table'!$A$1:$A$10000=OZ19)*('Margin Guidence Table'!$I$1:$I$10000&lt;=ROUND($OR$3,0))*('Margin Guidence Table'!$J$1:$J$10000&gt;=ROUND($OR$3,0)),0),MATCH("DEFAULT_MDA_MEDIAN_MARGIN_GUIDENCE",'Margin Guidence Table'!$A$1:$AG$1,0))),0))</f>
        <v>0</v>
      </c>
      <c r="PG19" s="784">
        <f t="array" ref="PG19">IF('Customer Inputs'!$W$21="End",0,IFERROR(IF($PB19="SEGMENT",INDEX('Margin Guidence Table'!$A$1:$AG$10000,MATCH(1,('Margin Guidence Table'!$A$1:$A$10000=OZ19)*('Margin Guidence Table'!$I$1:$I$10000&lt;=ROUND($OR$3,0))*('Margin Guidence Table'!$J$1:$J$10000&gt;=ROUND($OR$3,0)),0),MATCH("MDA_MAX_MARGIN_GUIDENCE",'Margin Guidence Table'!$A$1:$AG$1,0)),INDEX('Margin Guidence Table'!$A$1:$AG$10000,MATCH(1,('Margin Guidence Table'!$A$1:$A$10000=OZ19)*('Margin Guidence Table'!$I$1:$I$10000&lt;=ROUND($OR$3,0))*('Margin Guidence Table'!$J$1:$J$10000&gt;=ROUND($OR$3,0)),0),MATCH("DEFAULT_MDA_MAX_MARGIN_GUIDENCE",'Margin Guidence Table'!$A$1:$AG$1,0))),0))</f>
        <v>0</v>
      </c>
      <c r="PH19" s="784">
        <f t="array" ref="PH19">IF('Customer Inputs'!$W$21="End",0,IFERROR(IF($PB19="SEGMENT",INDEX('Margin Guidence Table'!$A$1:$AG$10000,MATCH(1,('Margin Guidence Table'!$A$1:$A$10000=OZ19)*('Margin Guidence Table'!$I$1:$I$10000&lt;=ROUND($OR$3,0))*('Margin Guidence Table'!$J$1:$J$10000&gt;=ROUND($OR$3,0)),0),MATCH("PA_PCT_SALES",'Margin Guidence Table'!$A$1:$AG$1,0)),INDEX('Margin Guidence Table'!$A$1:$AG$10000,MATCH(1,('Margin Guidence Table'!$A$1:$A$10000=OZ19)*('Margin Guidence Table'!$I$1:$I$10000&lt;=ROUND($OR$3,0))*('Margin Guidence Table'!$J$1:$J$10000&gt;=ROUND($OR$3,0)),0),MATCH("DEFAULT_PA_PCT_SALES",'Margin Guidence Table'!$A$1:$AG$1,0))),0))</f>
        <v>0</v>
      </c>
      <c r="PI19" s="784">
        <f t="array" ref="PI19">IF('Customer Inputs'!$W$21="End",0,IFERROR(IF($PB19="SEGMENT",INDEX('Margin Guidence Table'!$A$1:$AG$10000,MATCH(1,('Margin Guidence Table'!$A$1:$A$10000=OZ19)*('Margin Guidence Table'!$I$1:$I$10000&lt;=ROUND($OR$3,0))*('Margin Guidence Table'!$J$1:$J$10000&gt;=ROUND($OR$3,0)),0),MATCH("SELF_FUND_PCT_SALES",'Margin Guidence Table'!$A$1:$AG$1,0)),INDEX('Margin Guidence Table'!$A$1:$AG$10000,MATCH(1,('Margin Guidence Table'!$A$1:$A$10000=OZ19)*('Margin Guidence Table'!$I$1:$I$10000&lt;=ROUND($OR$3,0))*('Margin Guidence Table'!$J$1:$J$10000&gt;=ROUND($OR$3,0)),0),MATCH("DEFAULT_SELF_FUND_PCT_SALES",'Margin Guidence Table'!$A$1:$AG$1,0))),0))</f>
        <v>0</v>
      </c>
      <c r="PJ19" s="784">
        <f t="array" ref="PJ19">IF('Customer Inputs'!$W$21="End",0,IF($OS$2="Existing",IFERROR(SUMIFS('Existing Customers'!$V:$V,'Existing Customers'!$H:$H,$OQ19,'Existing Customers'!$A:$A,$OR$1)/SUMIFS('Existing Customers'!$Q:$Q,'Existing Customers'!$H:$H,$OQ19,'Existing Customers'!$A:$A,$OR$1),0),IFERROR(IF($PB19="SEGMENT",INDEX('Margin Guidence Table'!$A$1:$AG$10000,MATCH(1,('Margin Guidence Table'!$A$1:$A$10000=OZ19)*('Margin Guidence Table'!$I$1:$I$10000&lt;=ROUND($OR$3,0))*('Margin Guidence Table'!$J$1:$J$10000&gt;=ROUND($OR$3,0)),0),MATCH("CIA_MEDIAN_MARGIN_GUIDENCE",'Margin Guidence Table'!$A$1:$AG$1,0)),INDEX('Margin Guidence Table'!$A$1:$AG$10000,MATCH(1,('Margin Guidence Table'!$A$1:$A$10000=OZ19)*('Margin Guidence Table'!$I$1:$I$10000&lt;=ROUND($OR$3,0))*('Margin Guidence Table'!$J$1:$J$10000&gt;=ROUND($OR$3,0)),0),MATCH("DEFAULT_CIA_MEDIAN_MARGIN_GUIDENCE",'Margin Guidence Table'!$A$1:$AG$1,0))),0)))</f>
        <v>0</v>
      </c>
      <c r="PK19" s="784"/>
      <c r="PL19" s="18">
        <f t="array" ref="PL19">IF('Customer Inputs'!$W$22="End",0,IFERROR(IF($PY19="SEGMENT",INDEX('Margin Guidence Table'!$A$1:$AG$10000,MATCH(1,('Margin Guidence Table'!$A$1:$A$10000=$PW19)*('Margin Guidence Table'!$I$1:$I$10000&lt;=ROUND($PO$3,0))*('Margin Guidence Table'!$J$1:$J$10000&gt;=ROUND($PO$3,0)),0),MATCH("PCT_SALES",'Margin Guidence Table'!$A$1:$AG$1,0)),INDEX('Margin Guidence Table'!$A$1:$AG$10000,MATCH(1,('Margin Guidence Table'!$A$1:$A$10000=$PW19)*('Margin Guidence Table'!$I$1:$I$10000&lt;=ROUND($PO$3,0))*('Margin Guidence Table'!$J$1:$J$10000&gt;=ROUND($PO$3,0)),0),MATCH("DEFAULT_PCT_SALES",'Margin Guidence Table'!$A$1:$AG$1,0))),0))</f>
        <v>0</v>
      </c>
      <c r="PM19" s="1713" t="e">
        <f t="shared" si="64"/>
        <v>#DIV/0!</v>
      </c>
      <c r="PN19" s="99" t="s">
        <v>104</v>
      </c>
      <c r="PO19" s="91">
        <f>IF('Customer Inputs'!$W$22="End",0,IFERROR(IF(AND($PO$2&lt;&gt;"Enter Spend&gt;&gt;&gt;",$PP$2="EXISTING"),SUMIFS('Existing Customers'!$Q:$Q,'Existing Customers'!$A:$A,$PO$1,'Existing Customers'!$H:$H,$PN19)*$PO$4,$PO$3*$PM19),0))</f>
        <v>0</v>
      </c>
      <c r="PP19" s="86">
        <f>IF('Customer Inputs'!$W$22="End",0,IFERROR(IF(AND($PO$2&lt;&gt;"Enter Spend&gt;&gt;&gt;",$PP$2="EXISTING"),SUMIFS('Existing Customers'!$N:$N,'Existing Customers'!$A:$A,$PO$1,'Existing Customers'!$H:$H,$PN19)*$PO$4,$PO19/$PZ19),0))</f>
        <v>0</v>
      </c>
      <c r="PQ19" s="92">
        <f>IF('Customer Inputs'!$W$22="End",0,IFERROR(IF(AND($PO$2&lt;&gt;"Enter Spend&gt;&gt;&gt;",$PP$2="EXISTING"),SUMIFS('Existing Customers'!$O:$O,'Existing Customers'!$H:$H,$PN19,'Existing Customers'!$A:$A,$PO$1)*$PO$4,$PP19*$PO$8),0))</f>
        <v>0</v>
      </c>
      <c r="PR19" s="92">
        <f>IF('Customer Inputs'!$W$22="End",0,IFERROR(IF(AND($PO$2&lt;&gt;"Enter Spend&gt;&gt;&gt;",$PP$2="EXISTING"),SUMIFS('Existing Customers'!$P:$P,'Existing Customers'!$A:$A,$PO$1,'Existing Customers'!$H:$H,$PN19)*$PO$4,$PO19/$QA19),0))</f>
        <v>0</v>
      </c>
      <c r="PS19" s="303">
        <f>IF('Customer Inputs'!$W$22="End",0,IFERROR(IF(AND($PO$2&lt;&gt;"Enter Spend&gt;&gt;&gt;",$PP$2="EXISTING"),SUMIFS('Existing Customers'!$V:$V,'Existing Customers'!$H:$H,$PN19,'Existing Customers'!$A:$A,$PO$1)*$PO$4,0),0))</f>
        <v>0</v>
      </c>
      <c r="PT19" s="93">
        <f>IF('Customer Inputs'!$W$22="End",0,IFERROR(IF(AND($PO$2&lt;&gt;"Enter Spend&gt;&gt;&gt;",$PP$2="EXISTING"),SUMIFS('Existing Customers'!$R:$R,'Existing Customers'!$H:$H,$PN19,'Existing Customers'!$A:$A,$PO$1)*$PO$4,0),0))</f>
        <v>0</v>
      </c>
      <c r="PU19" s="780">
        <f>IF('Customer Inputs'!$W$22="End",0,IFERROR(IF(AND($PO$2&lt;&gt;"Enter Spend&gt;&gt;&gt;",$PP$2="EXISTING"),SUMIFS('Existing Customers'!$S:$S,'Existing Customers'!$H:$H,$PN19,'Existing Customers'!$A:$A,$PO$1)/SUMIFS('Existing Customers'!$Q:$Q,'Existing Customers'!$A:$A,$PO$1,'Existing Customers'!$H:$H,$PN19),QE19),0))</f>
        <v>0</v>
      </c>
      <c r="PV19" s="780">
        <f>IF('Customer Inputs'!$W$22="End",0,IFERROR(IF(AND($PO$2&lt;&gt;"Enter Spend&gt;&gt;&gt;",$PP$2="EXISTING"),SUMIFS('Existing Customers'!$U:$U,'Existing Customers'!$H:$H,$PN19,'Existing Customers'!$A:$A,$PO$1)/SUMIFS('Existing Customers'!$Q:$Q,'Existing Customers'!$A:$A,$PO$1,'Existing Customers'!$H:$H,$PN19),QF19),0))</f>
        <v>0</v>
      </c>
      <c r="PW19" s="783" t="e">
        <f>_xlfn.CONCAT('Customer Inputs'!$AH$22,"_",PN19)</f>
        <v>#N/A</v>
      </c>
      <c r="PX19" s="783">
        <f t="array" ref="PX19">IF('Customer Inputs'!$W$22="End",0,IFERROR(INDEX('Margin Guidence Table'!$A$1:$AG$10000,MATCH(1,('Margin Guidence Table'!$A$1:$A$10000=PW19)*('Margin Guidence Table'!$I$1:$I$10000&lt;=ROUND($PO$3,0))*('Margin Guidence Table'!$J$1:$J$10000&gt;=ROUND($PO$3,0)),0),MATCH("DATA_POINTS",'Margin Guidence Table'!$A$1:$AG$1,0)),0))</f>
        <v>0</v>
      </c>
      <c r="PY19" s="780" t="str">
        <f t="shared" si="65"/>
        <v>DEFAULT</v>
      </c>
      <c r="PZ19" s="780">
        <f t="array" ref="PZ19">IF('Customer Inputs'!$W$22="End",0,IFERROR(IF($PY19="SEGMENT",INDEX('Margin Guidence Table'!$A$1:$AG$10000,MATCH(1,('Margin Guidence Table'!$A$1:$A$10000=PW19)*('Margin Guidence Table'!$I$1:$I$10000&lt;=ROUND($PO$3,0))*('Margin Guidence Table'!$J$1:$J$10000&gt;=ROUND($PO$3,0)),0),MATCH("SALES_CASE",'Margin Guidence Table'!$A$1:$AG$1,0)),INDEX('Margin Guidence Table'!$A$1:$AG$10000,MATCH(1,('Margin Guidence Table'!$A$1:$A$10000=PW19)*('Margin Guidence Table'!$I$1:$I$10000&lt;=ROUND($PO$3,0))*('Margin Guidence Table'!$J$1:$J$10000&gt;=ROUND($PO$3,0)),0),MATCH("DEFAULT_SALES_CASE",'Margin Guidence Table'!$A$1:$AG$1,0))),0))</f>
        <v>0</v>
      </c>
      <c r="QA19" s="780">
        <f t="array" ref="QA19">IF('Customer Inputs'!$W$22="End",0,IFERROR(IF($PY19="SEGMENT",INDEX('Margin Guidence Table'!$A$1:$AG$10000,MATCH(1,('Margin Guidence Table'!$A$1:$A$10000=PW19)*('Margin Guidence Table'!$I$1:$I$10000&lt;=ROUND($PO$3,0))*('Margin Guidence Table'!$J$1:$J$10000&gt;=ROUND($PO$3,0)),0),MATCH("SALES_LBS",'Margin Guidence Table'!$A$1:$AG$1,0)),INDEX('Margin Guidence Table'!$A$1:$AG$10000,MATCH(1,('Margin Guidence Table'!$A$1:$A$10000=PW19)*('Margin Guidence Table'!$I$1:$I$10000&lt;=ROUND($PO$3,0))*('Margin Guidence Table'!$J$1:$J$10000&gt;=ROUND($PO$3,0)),0),MATCH("DEFAULT_SALES_LBS",'Margin Guidence Table'!$A$1:$AG$1,0))),0))</f>
        <v>0</v>
      </c>
      <c r="QB19" s="784">
        <f t="array" ref="QB19">IF('Customer Inputs'!$W$22="End",0,IFERROR(IF($PY19="SEGMENT",INDEX('Margin Guidence Table'!$A$1:$AG$10000,MATCH(1,('Margin Guidence Table'!$A$1:$A$10000=PW19)*('Margin Guidence Table'!$I$1:$I$10000&lt;=ROUND($PO$3,0))*('Margin Guidence Table'!$J$1:$J$10000&gt;=ROUND($PO$3,0)),0),MATCH("MDA_MIN_MARGIN_GUIDENCE",'Margin Guidence Table'!$A$1:$AG$1,0)),INDEX('Margin Guidence Table'!$A$1:$AG$10000,MATCH(1,('Margin Guidence Table'!$A$1:$A$10000=PW19)*('Margin Guidence Table'!$I$1:$I$10000&lt;=ROUND($PO$3,0))*('Margin Guidence Table'!$J$1:$J$10000&gt;=ROUND($PO$3,0)),0),MATCH("DEFAULT_MDA_MIN_MARGIN_GUIDENCE",'Margin Guidence Table'!$A$1:$AG$1,0))),0))</f>
        <v>0</v>
      </c>
      <c r="QC19" s="784">
        <f t="array" ref="QC19">IF('Customer Inputs'!$W$22="End",0,IFERROR(IF($PY19="SEGMENT",INDEX('Margin Guidence Table'!$A$1:$AG$10000,MATCH(1,('Margin Guidence Table'!$A$1:$A$10000=PW19)*('Margin Guidence Table'!$I$1:$I$10000&lt;=ROUND($PO$3,0))*('Margin Guidence Table'!$J$1:$J$10000&gt;=ROUND($PO$3,0)),0),MATCH("MDA_MEDIAN_MARGIN_GUIDENCE",'Margin Guidence Table'!$A$1:$AG$1,0)),INDEX('Margin Guidence Table'!$A$1:$AG$10000,MATCH(1,('Margin Guidence Table'!$A$1:$A$10000=PW19)*('Margin Guidence Table'!$I$1:$I$10000&lt;=ROUND($PO$3,0))*('Margin Guidence Table'!$J$1:$J$10000&gt;=ROUND($PO$3,0)),0),MATCH("DEFAULT_MDA_MEDIAN_MARGIN_GUIDENCE",'Margin Guidence Table'!$A$1:$AG$1,0))),0))</f>
        <v>0</v>
      </c>
      <c r="QD19" s="784">
        <f t="array" ref="QD19">IF('Customer Inputs'!$W$22="End",0,IFERROR(IF($PY19="SEGMENT",INDEX('Margin Guidence Table'!$A$1:$AG$10000,MATCH(1,('Margin Guidence Table'!$A$1:$A$10000=PW19)*('Margin Guidence Table'!$I$1:$I$10000&lt;=ROUND($PO$3,0))*('Margin Guidence Table'!$J$1:$J$10000&gt;=ROUND($PO$3,0)),0),MATCH("MDA_MAX_MARGIN_GUIDENCE",'Margin Guidence Table'!$A$1:$AG$1,0)),INDEX('Margin Guidence Table'!$A$1:$AG$10000,MATCH(1,('Margin Guidence Table'!$A$1:$A$10000=PW19)*('Margin Guidence Table'!$I$1:$I$10000&lt;=ROUND($PO$3,0))*('Margin Guidence Table'!$J$1:$J$10000&gt;=ROUND($PO$3,0)),0),MATCH("DEFAULT_MDA_MAX_MARGIN_GUIDENCE",'Margin Guidence Table'!$A$1:$AG$1,0))),0))</f>
        <v>0</v>
      </c>
      <c r="QE19" s="784">
        <f t="array" ref="QE19">IF('Customer Inputs'!$W$22="End",0,IFERROR(IF($PY19="SEGMENT",INDEX('Margin Guidence Table'!$A$1:$AG$10000,MATCH(1,('Margin Guidence Table'!$A$1:$A$10000=PW19)*('Margin Guidence Table'!$I$1:$I$10000&lt;=ROUND($PO$3,0))*('Margin Guidence Table'!$J$1:$J$10000&gt;=ROUND($PO$3,0)),0),MATCH("PA_PCT_SALES",'Margin Guidence Table'!$A$1:$AG$1,0)),INDEX('Margin Guidence Table'!$A$1:$AG$10000,MATCH(1,('Margin Guidence Table'!$A$1:$A$10000=PW19)*('Margin Guidence Table'!$I$1:$I$10000&lt;=ROUND($PO$3,0))*('Margin Guidence Table'!$J$1:$J$10000&gt;=ROUND($PO$3,0)),0),MATCH("DEFAULT_PA_PCT_SALES",'Margin Guidence Table'!$A$1:$AG$1,0))),0))</f>
        <v>0</v>
      </c>
      <c r="QF19" s="784">
        <f t="array" ref="QF19">IF('Customer Inputs'!$W$22="End",0,IFERROR(IF($PY19="SEGMENT",INDEX('Margin Guidence Table'!$A$1:$AG$10000,MATCH(1,('Margin Guidence Table'!$A$1:$A$10000=PW19)*('Margin Guidence Table'!$I$1:$I$10000&lt;=ROUND($PO$3,0))*('Margin Guidence Table'!$J$1:$J$10000&gt;=ROUND($PO$3,0)),0),MATCH("SELF_FUND_PCT_SALES",'Margin Guidence Table'!$A$1:$AG$1,0)),INDEX('Margin Guidence Table'!$A$1:$AG$10000,MATCH(1,('Margin Guidence Table'!$A$1:$A$10000=PW19)*('Margin Guidence Table'!$I$1:$I$10000&lt;=ROUND($PO$3,0))*('Margin Guidence Table'!$J$1:$J$10000&gt;=ROUND($PO$3,0)),0),MATCH("DEFAULT_SELF_FUND_PCT_SALES",'Margin Guidence Table'!$A$1:$AG$1,0))),0))</f>
        <v>0</v>
      </c>
      <c r="QG19" s="784">
        <f t="array" ref="QG19">IF('Customer Inputs'!$W$22="End",0,IF($PP$2="Existing",IFERROR(SUMIFS('Existing Customers'!$V:$V,'Existing Customers'!$H:$H,$PN19,'Existing Customers'!$A:$A,$PO$1)/SUMIFS('Existing Customers'!$Q:$Q,'Existing Customers'!$H:$H,$PN19,'Existing Customers'!$A:$A,$PO$1),0),IFERROR(IF($PY19="SEGMENT",INDEX('Margin Guidence Table'!$A$1:$AG$10000,MATCH(1,('Margin Guidence Table'!$A$1:$A$10000=PW19)*('Margin Guidence Table'!$I$1:$I$10000&lt;=ROUND($PO$3,0))*('Margin Guidence Table'!$J$1:$J$10000&gt;=ROUND($PO$3,0)),0),MATCH("CIA_MEDIAN_MARGIN_GUIDENCE",'Margin Guidence Table'!$A$1:$AG$1,0)),INDEX('Margin Guidence Table'!$A$1:$AG$10000,MATCH(1,('Margin Guidence Table'!$A$1:$A$10000=PW19)*('Margin Guidence Table'!$I$1:$I$10000&lt;=ROUND($PO$3,0))*('Margin Guidence Table'!$J$1:$J$10000&gt;=ROUND($PO$3,0)),0),MATCH("DEFAULT_CIA_MEDIAN_MARGIN_GUIDENCE",'Margin Guidence Table'!$A$1:$AG$1,0))),0)))</f>
        <v>0</v>
      </c>
      <c r="QH19" s="784"/>
      <c r="QI19" s="18">
        <f t="array" ref="QI19">IF('Customer Inputs'!$W$23="End",0,IFERROR(IF($QV19="SEGMENT",INDEX('Margin Guidence Table'!$A$1:$AG$10000,MATCH(1,('Margin Guidence Table'!$A$1:$A$10000=$QT19)*('Margin Guidence Table'!$I$1:$I$10000&lt;=ROUND($QL$3,0))*('Margin Guidence Table'!$J$1:$J$10000&gt;=ROUND($QL$3,0)),0),MATCH("PCT_SALES",'Margin Guidence Table'!$A$1:$AG$1,0)),INDEX('Margin Guidence Table'!$A$1:$AG$10000,MATCH(1,('Margin Guidence Table'!$A$1:$A$10000=$QT19)*('Margin Guidence Table'!$I$1:$I$10000&lt;=ROUND($QL$3,0))*('Margin Guidence Table'!$J$1:$J$10000&gt;=ROUND($QL$3,0)),0),MATCH("DEFAULT_PCT_SALES",'Margin Guidence Table'!$A$1:$AG$1,0))),0))</f>
        <v>0</v>
      </c>
      <c r="QJ19" s="1713" t="e">
        <f t="shared" si="66"/>
        <v>#DIV/0!</v>
      </c>
      <c r="QK19" s="99" t="s">
        <v>104</v>
      </c>
      <c r="QL19" s="91">
        <f>IF('Customer Inputs'!$W$23="End",0,IFERROR(IF(AND($QL$2&lt;&gt;"Enter Spend&gt;&gt;&gt;",$QM$2="EXISTING"),SUMIFS('Existing Customers'!$Q:$Q,'Existing Customers'!$A:$A,$QL$1,'Existing Customers'!$H:$H,$QK19)*$QL$4,$QL$3*$QJ19),0))</f>
        <v>0</v>
      </c>
      <c r="QM19" s="86">
        <f>IF('Customer Inputs'!$W$23="End",0,IFERROR(IF(AND($QL$2&lt;&gt;"Enter Spend&gt;&gt;&gt;",$QM$2="EXISTING"),SUMIFS('Existing Customers'!$N:$N,'Existing Customers'!$A:$A,$QL$1,'Existing Customers'!$H:$H,$QK19)*$QL$4,$QL19/$QW19),0))</f>
        <v>0</v>
      </c>
      <c r="QN19" s="92">
        <f>IF('Customer Inputs'!$W$23="End",0,IFERROR(IF(AND($QL$2&lt;&gt;"Enter Spend&gt;&gt;&gt;",$QM$2="EXISTING"),SUMIFS('Existing Customers'!$O:$O,'Existing Customers'!$H:$H,$QK19,'Existing Customers'!$A:$A,$QL$1)*$QL$4,$QM19*$QL$8),0))</f>
        <v>0</v>
      </c>
      <c r="QO19" s="92">
        <f>IF('Customer Inputs'!$W$23="End",0,IFERROR(IF(AND($QL$2&lt;&gt;"Enter Spend&gt;&gt;&gt;",$QM$2="EXISTING"),SUMIFS('Existing Customers'!$P:$P,'Existing Customers'!$A:$A,$QL$1,'Existing Customers'!$H:$H,$QK19)*$QL$4,$QL19/$QX19),0))</f>
        <v>0</v>
      </c>
      <c r="QP19" s="303">
        <f>IF('Customer Inputs'!$W$23="End",0,IFERROR(IF(AND($QL$2&lt;&gt;"Enter Spend&gt;&gt;&gt;",$QM$2="EXISTING"),SUMIFS('Existing Customers'!$V:$V,'Existing Customers'!$H:$H,$QK19,'Existing Customers'!$A:$A,$QL$1)*$QL$4,0),0))</f>
        <v>0</v>
      </c>
      <c r="QQ19" s="93">
        <f>IF('Customer Inputs'!$W$23="End",0,IFERROR(IF(AND($QL$2&lt;&gt;"Enter Spend&gt;&gt;&gt;",$QM$2="EXISTING"),SUMIFS('Existing Customers'!$R:$R,'Existing Customers'!$H:$H,$QK19,'Existing Customers'!$A:$A,$QL$1)*$QL$4,0),0))</f>
        <v>0</v>
      </c>
      <c r="QR19" s="780">
        <f>IF('Customer Inputs'!$W$23="End",0,IFERROR(IF(AND($QL$2&lt;&gt;"Enter Spend&gt;&gt;&gt;",$QM$2="EXISTING"),SUMIFS('Existing Customers'!$S:$S,'Existing Customers'!$H:$H,$QK19,'Existing Customers'!$A:$A,$QL$1)/SUMIFS('Existing Customers'!$Q:$Q,'Existing Customers'!$A:$A,$QL$1,'Existing Customers'!$H:$H,$QK19),RB19),0))</f>
        <v>0</v>
      </c>
      <c r="QS19" s="780">
        <f>IF('Customer Inputs'!$W$23="End",0,IFERROR(IF(AND($QL$2&lt;&gt;"Enter Spend&gt;&gt;&gt;",$QM$2="EXISTING"),SUMIFS('Existing Customers'!$U:$U,'Existing Customers'!$H:$H,$QK19,'Existing Customers'!$A:$A,$QL$1)/SUMIFS('Existing Customers'!$Q:$Q,'Existing Customers'!$A:$A,$QL$1,'Existing Customers'!$H:$H,$QK19),RC19),0))</f>
        <v>0</v>
      </c>
      <c r="QT19" s="783" t="e">
        <f>_xlfn.CONCAT('Customer Inputs'!$AH$23,"_",QK19)</f>
        <v>#N/A</v>
      </c>
      <c r="QU19" s="783">
        <f t="array" ref="QU19">IF('Customer Inputs'!$W$23="End",0,IFERROR(INDEX('Margin Guidence Table'!$A$1:$AG$10000,MATCH(1,('Margin Guidence Table'!$A$1:$A$10000=QT19)*('Margin Guidence Table'!$I$1:$I$10000&lt;=ROUND($QL$3,0))*('Margin Guidence Table'!$J$1:$J$10000&gt;=ROUND($QL$3,0)),0),MATCH("DATA_POINTS",'Margin Guidence Table'!$A$1:$AG$1,0)),0))</f>
        <v>0</v>
      </c>
      <c r="QV19" s="780" t="str">
        <f t="shared" si="67"/>
        <v>DEFAULT</v>
      </c>
      <c r="QW19" s="780">
        <f t="array" ref="QW19">IF('Customer Inputs'!$W$23="End",0,IFERROR(IF($QV19="SEGMENT",INDEX('Margin Guidence Table'!$A$1:$AG$10000,MATCH(1,('Margin Guidence Table'!$A$1:$A$10000=QT19)*('Margin Guidence Table'!$I$1:$I$10000&lt;=ROUND($QL$3,0))*('Margin Guidence Table'!$J$1:$J$10000&gt;=ROUND($QL$3,0)),0),MATCH("SALES_CASE",'Margin Guidence Table'!$A$1:$AG$1,0)),INDEX('Margin Guidence Table'!$A$1:$AG$10000,MATCH(1,('Margin Guidence Table'!$A$1:$A$10000=QT19)*('Margin Guidence Table'!$I$1:$I$10000&lt;=ROUND($QL$3,0))*('Margin Guidence Table'!$J$1:$J$10000&gt;=ROUND($QL$3,0)),0),MATCH("DEFAULT_SALES_CASE",'Margin Guidence Table'!$A$1:$AG$1,0))),0))</f>
        <v>0</v>
      </c>
      <c r="QX19" s="780">
        <f t="array" ref="QX19">IF('Customer Inputs'!$W$23="End",0,IFERROR(IF($QV19="SEGMENT",INDEX('Margin Guidence Table'!$A$1:$AG$10000,MATCH(1,('Margin Guidence Table'!$A$1:$A$10000=QT19)*('Margin Guidence Table'!$I$1:$I$10000&lt;=ROUND($QL$3,0))*('Margin Guidence Table'!$J$1:$J$10000&gt;=ROUND($QL$3,0)),0),MATCH("SALES_LBS",'Margin Guidence Table'!$A$1:$AG$1,0)),INDEX('Margin Guidence Table'!$A$1:$AG$10000,MATCH(1,('Margin Guidence Table'!$A$1:$A$10000=QT19)*('Margin Guidence Table'!$I$1:$I$10000&lt;=ROUND($QL$3,0))*('Margin Guidence Table'!$J$1:$J$10000&gt;=ROUND($QL$3,0)),0),MATCH("DEFAULT_SALES_LBS",'Margin Guidence Table'!$A$1:$AG$1,0))),0))</f>
        <v>0</v>
      </c>
      <c r="QY19" s="784">
        <f t="array" ref="QY19">IF('Customer Inputs'!$W$23="End",0,IFERROR(IF($QV19="SEGMENT",INDEX('Margin Guidence Table'!$A$1:$AG$10000,MATCH(1,('Margin Guidence Table'!$A$1:$A$10000=QT19)*('Margin Guidence Table'!$I$1:$I$10000&lt;=ROUND($QL$3,0))*('Margin Guidence Table'!$J$1:$J$10000&gt;=ROUND($QL$3,0)),0),MATCH("MDA_MIN_MARGIN_GUIDENCE",'Margin Guidence Table'!$A$1:$AG$1,0)),INDEX('Margin Guidence Table'!$A$1:$AG$10000,MATCH(1,('Margin Guidence Table'!$A$1:$A$10000=QT19)*('Margin Guidence Table'!$I$1:$I$10000&lt;=ROUND($QL$3,0))*('Margin Guidence Table'!$J$1:$J$10000&gt;=ROUND($QL$3,0)),0),MATCH("DEFAULT_MDA_MIN_MARGIN_GUIDENCE",'Margin Guidence Table'!$A$1:$AG$1,0))),0))</f>
        <v>0</v>
      </c>
      <c r="QZ19" s="784">
        <f t="array" ref="QZ19">IF('Customer Inputs'!$W$23="End",0,IFERROR(IF($QV19="SEGMENT",INDEX('Margin Guidence Table'!$A$1:$AG$10000,MATCH(1,('Margin Guidence Table'!$A$1:$A$10000=QT19)*('Margin Guidence Table'!$I$1:$I$10000&lt;=ROUND($QL$3,0))*('Margin Guidence Table'!$J$1:$J$10000&gt;=ROUND($QL$3,0)),0),MATCH("MDA_MEDIAN_MARGIN_GUIDENCE",'Margin Guidence Table'!$A$1:$AG$1,0)),INDEX('Margin Guidence Table'!$A$1:$AG$10000,MATCH(1,('Margin Guidence Table'!$A$1:$A$10000=QT19)*('Margin Guidence Table'!$I$1:$I$10000&lt;=ROUND($QL$3,0))*('Margin Guidence Table'!$J$1:$J$10000&gt;=ROUND($QL$3,0)),0),MATCH("DEFAULT_MDA_MEDIAN_MARGIN_GUIDENCE",'Margin Guidence Table'!$A$1:$AG$1,0))),0))</f>
        <v>0</v>
      </c>
      <c r="RA19" s="784">
        <f t="array" ref="RA19">IF('Customer Inputs'!$W$23="End",0,IFERROR(IF($QV19="SEGMENT",INDEX('Margin Guidence Table'!$A$1:$AG$10000,MATCH(1,('Margin Guidence Table'!$A$1:$A$10000=QT19)*('Margin Guidence Table'!$I$1:$I$10000&lt;=ROUND($QL$3,0))*('Margin Guidence Table'!$J$1:$J$10000&gt;=ROUND($QL$3,0)),0),MATCH("MDA_MAX_MARGIN_GUIDENCE",'Margin Guidence Table'!$A$1:$AG$1,0)),INDEX('Margin Guidence Table'!$A$1:$AG$10000,MATCH(1,('Margin Guidence Table'!$A$1:$A$10000=QT19)*('Margin Guidence Table'!$I$1:$I$10000&lt;=ROUND($QL$3,0))*('Margin Guidence Table'!$J$1:$J$10000&gt;=ROUND($QL$3,0)),0),MATCH("DEFAULT_MDA_MAX_MARGIN_GUIDENCE",'Margin Guidence Table'!$A$1:$AG$1,0))),0))</f>
        <v>0</v>
      </c>
      <c r="RB19" s="784">
        <f t="array" ref="RB19">IF('Customer Inputs'!$W$23="End",0,IFERROR(IF($QV19="SEGMENT",INDEX('Margin Guidence Table'!$A$1:$AG$10000,MATCH(1,('Margin Guidence Table'!$A$1:$A$10000=QT19)*('Margin Guidence Table'!$I$1:$I$10000&lt;=ROUND($QL$3,0))*('Margin Guidence Table'!$J$1:$J$10000&gt;=ROUND($QL$3,0)),0),MATCH("PA_PCT_SALES",'Margin Guidence Table'!$A$1:$AG$1,0)),INDEX('Margin Guidence Table'!$A$1:$AG$10000,MATCH(1,('Margin Guidence Table'!$A$1:$A$10000=QT19)*('Margin Guidence Table'!$I$1:$I$10000&lt;=ROUND($QL$3,0))*('Margin Guidence Table'!$J$1:$J$10000&gt;=ROUND($QL$3,0)),0),MATCH("DEFAULT_PA_PCT_SALES",'Margin Guidence Table'!$A$1:$AG$1,0))),0))</f>
        <v>0</v>
      </c>
      <c r="RC19" s="784">
        <f t="array" ref="RC19">IF('Customer Inputs'!$W$23="End",0,IFERROR(IF($QV19="SEGMENT",INDEX('Margin Guidence Table'!$A$1:$AG$10000,MATCH(1,('Margin Guidence Table'!$A$1:$A$10000=QT19)*('Margin Guidence Table'!$I$1:$I$10000&lt;=ROUND($QL$3,0))*('Margin Guidence Table'!$J$1:$J$10000&gt;=ROUND($QL$3,0)),0),MATCH("SELF_FUND_PCT_SALES",'Margin Guidence Table'!$A$1:$AG$1,0)),INDEX('Margin Guidence Table'!$A$1:$AG$10000,MATCH(1,('Margin Guidence Table'!$A$1:$A$10000=QT19)*('Margin Guidence Table'!$I$1:$I$10000&lt;=ROUND($QL$3,0))*('Margin Guidence Table'!$J$1:$J$10000&gt;=ROUND($QL$3,0)),0),MATCH("DEFAULT_SELF_FUND_PCT_SALES",'Margin Guidence Table'!$A$1:$AG$1,0))),0))</f>
        <v>0</v>
      </c>
      <c r="RD19" s="784">
        <f t="array" ref="RD19">IF('Customer Inputs'!$W$23="End",0,IF($QM$2="Existing",IFERROR(SUMIFS('Existing Customers'!$V:$V,'Existing Customers'!$H:$H,$QK19,'Existing Customers'!$A:$A,$QL$1)/SUMIFS('Existing Customers'!$Q:$Q,'Existing Customers'!$H:$H,$QK19,'Existing Customers'!$A:$A,$QL$1),0),IFERROR(IF($QV19="SEGMENT",INDEX('Margin Guidence Table'!$A$1:$AG$10000,MATCH(1,('Margin Guidence Table'!$A$1:$A$10000=QT19)*('Margin Guidence Table'!$I$1:$I$10000&lt;=ROUND($QL$3,0))*('Margin Guidence Table'!$J$1:$J$10000&gt;=ROUND($QL$3,0)),0),MATCH("CIA_MEDIAN_MARGIN_GUIDENCE",'Margin Guidence Table'!$A$1:$AG$1,0)),INDEX('Margin Guidence Table'!$A$1:$AG$10000,MATCH(1,('Margin Guidence Table'!$A$1:$A$10000=QT19)*('Margin Guidence Table'!$I$1:$I$10000&lt;=ROUND($QL$3,0))*('Margin Guidence Table'!$J$1:$J$10000&gt;=ROUND($QL$3,0)),0),MATCH("DEFAULT_CIA_MEDIAN_MARGIN_GUIDENCE",'Margin Guidence Table'!$A$1:$AG$1,0))),0)))</f>
        <v>0</v>
      </c>
      <c r="RE19" s="784"/>
      <c r="RF19" s="18">
        <f t="array" ref="RF19">IF('Customer Inputs'!$W$24="End",0,IFERROR(IF($RS19="SEGMENT",INDEX('Margin Guidence Table'!$A$1:$AG$10000,MATCH(1,('Margin Guidence Table'!$A$1:$A$10000=$RQ19)*('Margin Guidence Table'!$I$1:$I$10000&lt;=ROUND($RI$3,0))*('Margin Guidence Table'!$J$1:$J$10000&gt;=ROUND($RI$3,0)),0),MATCH("PCT_SALES",'Margin Guidence Table'!$A$1:$AG$1,0)),INDEX('Margin Guidence Table'!$A$1:$AG$10000,MATCH(1,('Margin Guidence Table'!$A$1:$A$10000=$RQ19)*('Margin Guidence Table'!$I$1:$I$10000&lt;=ROUND($RI$3,0))*('Margin Guidence Table'!$J$1:$J$10000&gt;=ROUND($RI$3,0)),0),MATCH("DEFAULT_PCT_SALES",'Margin Guidence Table'!$A$1:$AG$1,0))),0))</f>
        <v>0</v>
      </c>
      <c r="RG19" s="1713" t="e">
        <f t="shared" si="68"/>
        <v>#DIV/0!</v>
      </c>
      <c r="RH19" s="99" t="s">
        <v>104</v>
      </c>
      <c r="RI19" s="91">
        <f>IF('Customer Inputs'!$W$24="End",0,IFERROR(IF(AND($RI$2&lt;&gt;"Enter Spend&gt;&gt;&gt;",$RJ$2="EXISTING"),SUMIFS('Existing Customers'!$Q:$Q,'Existing Customers'!$A:$A,$RI$1,'Existing Customers'!$H:$H,$RH19)*$RI$4,$RI$3*$RG19),0))</f>
        <v>0</v>
      </c>
      <c r="RJ19" s="86">
        <f>IF('Customer Inputs'!$W$24="End",0,IFERROR(IF(AND($RI$2&lt;&gt;"Enter Spend&gt;&gt;&gt;",$RJ$2="EXISTING"),SUMIFS('Existing Customers'!$N:$N,'Existing Customers'!$A:$A,$RI$1,'Existing Customers'!$H:$H,$RH19)*$RI$4,$RI19/$RT19),0))</f>
        <v>0</v>
      </c>
      <c r="RK19" s="92">
        <f>IF('Customer Inputs'!$W$24="End",0,IFERROR(IF(AND($RI$2&lt;&gt;"Enter Spend&gt;&gt;&gt;",$RJ$2="EXISTING"),SUMIFS('Existing Customers'!$O:$O,'Existing Customers'!$H:$H,$RH19,'Existing Customers'!$A:$A,$RI$1)*$RI$4,$RJ19*$RI$8),0))</f>
        <v>0</v>
      </c>
      <c r="RL19" s="92">
        <f>IF('Customer Inputs'!$W$24="End",0,IFERROR(IF(AND($RI$2&lt;&gt;"Enter Spend&gt;&gt;&gt;",$RJ$2="EXISTING"),SUMIFS('Existing Customers'!$P:$P,'Existing Customers'!$A:$A,$RI$1,'Existing Customers'!$H:$H,$RH19)*$RI$4,$RI19/$RU19),0))</f>
        <v>0</v>
      </c>
      <c r="RM19" s="303">
        <f>IF('Customer Inputs'!$W$24="End",0,IFERROR(IF(AND($RI$2&lt;&gt;"Enter Spend&gt;&gt;&gt;",$RJ$2="EXISTING"),SUMIFS('Existing Customers'!$V:$V,'Existing Customers'!$H:$H,$RH19,'Existing Customers'!$A:$A,$RI$1)*$RI$4,0),0))</f>
        <v>0</v>
      </c>
      <c r="RN19" s="93">
        <f>IF('Customer Inputs'!$W$24="End",0,IFERROR(IF(AND($RI$2&lt;&gt;"Enter Spend&gt;&gt;&gt;",$RJ$2="EXISTING"),SUMIFS('Existing Customers'!$R:$R,'Existing Customers'!$H:$H,$RH19,'Existing Customers'!$A:$A,$RI$1)*$RI$4,0),0))</f>
        <v>0</v>
      </c>
      <c r="RO19" s="780">
        <f>IF('Customer Inputs'!$W$24="End",0,IFERROR(IF(AND($RI$2&lt;&gt;"Enter Spend&gt;&gt;&gt;",$RJ$2="EXISTING"),SUMIFS('Existing Customers'!$S:$S,'Existing Customers'!$H:$H,$RH19,'Existing Customers'!$A:$A,$RI$1)/SUMIFS('Existing Customers'!$Q:$Q,'Existing Customers'!$A:$A,$RI$1,'Existing Customers'!$H:$H,$RH19),RY19),0))</f>
        <v>0</v>
      </c>
      <c r="RP19" s="780">
        <f>IF('Customer Inputs'!$W$24="End",0,IFERROR(IF(AND($RI$2&lt;&gt;"Enter Spend&gt;&gt;&gt;",$RJ$2="EXISTING"),SUMIFS('Existing Customers'!$U:$U,'Existing Customers'!$H:$H,$RH19,'Existing Customers'!$A:$A,$RI$1)/SUMIFS('Existing Customers'!$Q:$Q,'Existing Customers'!$A:$A,$RI$1,'Existing Customers'!$H:$H,$RH19),RZ19),0))</f>
        <v>0</v>
      </c>
      <c r="RQ19" s="783" t="e">
        <f>_xlfn.CONCAT('Customer Inputs'!$AH$24,"_",RH19)</f>
        <v>#N/A</v>
      </c>
      <c r="RR19" s="783">
        <f t="array" ref="RR19">IF('Customer Inputs'!$W$24="End",0,IFERROR(INDEX('Margin Guidence Table'!$A$1:$AG$10000,MATCH(1,('Margin Guidence Table'!$A$1:$A$10000=RQ19)*('Margin Guidence Table'!$I$1:$I$10000&lt;=ROUND($RI$3,0))*('Margin Guidence Table'!$J$1:$J$10000&gt;=ROUND($RI$3,0)),0),MATCH("DATA_POINTS",'Margin Guidence Table'!$A$1:$AG$1,0)),0))</f>
        <v>0</v>
      </c>
      <c r="RS19" s="780" t="str">
        <f t="shared" si="69"/>
        <v>DEFAULT</v>
      </c>
      <c r="RT19" s="780">
        <f t="array" ref="RT19">IF('Customer Inputs'!$W$24="End",0,IFERROR(IF($RS19="SEGMENT",INDEX('Margin Guidence Table'!$A$1:$AG$10000,MATCH(1,('Margin Guidence Table'!$A$1:$A$10000=RQ19)*('Margin Guidence Table'!$I$1:$I$10000&lt;=ROUND($RI$3,0))*('Margin Guidence Table'!$J$1:$J$10000&gt;=ROUND($RI$3,0)),0),MATCH("SALES_CASE",'Margin Guidence Table'!$A$1:$AG$1,0)),INDEX('Margin Guidence Table'!$A$1:$AG$10000,MATCH(1,('Margin Guidence Table'!$A$1:$A$10000=RQ19)*('Margin Guidence Table'!$I$1:$I$10000&lt;=ROUND($RI$3,0))*('Margin Guidence Table'!$J$1:$J$10000&gt;=ROUND($RI$3,0)),0),MATCH("DEFAULT_SALES_CASE",'Margin Guidence Table'!$A$1:$AG$1,0))),0))</f>
        <v>0</v>
      </c>
      <c r="RU19" s="780">
        <f t="array" ref="RU19">IF('Customer Inputs'!$W$24="End",0,IFERROR(IF($RS19="SEGMENT",INDEX('Margin Guidence Table'!$A$1:$AG$10000,MATCH(1,('Margin Guidence Table'!$A$1:$A$10000=RQ19)*('Margin Guidence Table'!$I$1:$I$10000&lt;=ROUND($RI$3,0))*('Margin Guidence Table'!$J$1:$J$10000&gt;=ROUND($RI$3,0)),0),MATCH("SALES_LBS",'Margin Guidence Table'!$A$1:$AG$1,0)),INDEX('Margin Guidence Table'!$A$1:$AG$10000,MATCH(1,('Margin Guidence Table'!$A$1:$A$10000=RQ19)*('Margin Guidence Table'!$I$1:$I$10000&lt;=ROUND($RI$3,0))*('Margin Guidence Table'!$J$1:$J$10000&gt;=ROUND($RI$3,0)),0),MATCH("DEFAULT_SALES_LBS",'Margin Guidence Table'!$A$1:$AG$1,0))),0))</f>
        <v>0</v>
      </c>
      <c r="RV19" s="784">
        <f t="array" ref="RV19">IF('Customer Inputs'!$W$24="End",0,IFERROR(IF($RS19="SEGMENT",INDEX('Margin Guidence Table'!$A$1:$AG$10000,MATCH(1,('Margin Guidence Table'!$A$1:$A$10000=RQ19)*('Margin Guidence Table'!$I$1:$I$10000&lt;=ROUND($RI$3,0))*('Margin Guidence Table'!$J$1:$J$10000&gt;=ROUND($RI$3,0)),0),MATCH("MDA_MIN_MARGIN_GUIDENCE",'Margin Guidence Table'!$A$1:$AG$1,0)),INDEX('Margin Guidence Table'!$A$1:$AG$10000,MATCH(1,('Margin Guidence Table'!$A$1:$A$10000=RQ19)*('Margin Guidence Table'!$I$1:$I$10000&lt;=ROUND($RI$3,0))*('Margin Guidence Table'!$J$1:$J$10000&gt;=ROUND($RI$3,0)),0),MATCH("DEFAULT_MDA_MIN_MARGIN_GUIDENCE",'Margin Guidence Table'!$A$1:$AG$1,0))),0))</f>
        <v>0</v>
      </c>
      <c r="RW19" s="784">
        <f t="array" ref="RW19">IF('Customer Inputs'!$W$24="End",0,IFERROR(IF($RS19="SEGMENT",INDEX('Margin Guidence Table'!$A$1:$AG$10000,MATCH(1,('Margin Guidence Table'!$A$1:$A$10000=RQ19)*('Margin Guidence Table'!$I$1:$I$10000&lt;=ROUND($RI$3,0))*('Margin Guidence Table'!$J$1:$J$10000&gt;=ROUND($RI$3,0)),0),MATCH("MDA_MEDIAN_MARGIN_GUIDENCE",'Margin Guidence Table'!$A$1:$AG$1,0)),INDEX('Margin Guidence Table'!$A$1:$AG$10000,MATCH(1,('Margin Guidence Table'!$A$1:$A$10000=RQ19)*('Margin Guidence Table'!$I$1:$I$10000&lt;=ROUND($RI$3,0))*('Margin Guidence Table'!$J$1:$J$10000&gt;=ROUND($RI$3,0)),0),MATCH("DEFAULT_MDA_MEDIAN_MARGIN_GUIDENCE",'Margin Guidence Table'!$A$1:$AG$1,0))),0))</f>
        <v>0</v>
      </c>
      <c r="RX19" s="784">
        <f t="array" ref="RX19">IF('Customer Inputs'!$W$24="End",0,IFERROR(IF($RS19="SEGMENT",INDEX('Margin Guidence Table'!$A$1:$AG$10000,MATCH(1,('Margin Guidence Table'!$A$1:$A$10000=RQ19)*('Margin Guidence Table'!$I$1:$I$10000&lt;=ROUND($RI$3,0))*('Margin Guidence Table'!$J$1:$J$10000&gt;=ROUND($RI$3,0)),0),MATCH("MDA_MAX_MARGIN_GUIDENCE",'Margin Guidence Table'!$A$1:$AG$1,0)),INDEX('Margin Guidence Table'!$A$1:$AG$10000,MATCH(1,('Margin Guidence Table'!$A$1:$A$10000=RQ19)*('Margin Guidence Table'!$I$1:$I$10000&lt;=ROUND($RI$3,0))*('Margin Guidence Table'!$J$1:$J$10000&gt;=ROUND($RI$3,0)),0),MATCH("DEFAULT_MDA_MAX_MARGIN_GUIDENCE",'Margin Guidence Table'!$A$1:$AG$1,0))),0))</f>
        <v>0</v>
      </c>
      <c r="RY19" s="784">
        <f t="array" ref="RY19">IF('Customer Inputs'!$W$24="End",0,IFERROR(IF($RS19="SEGMENT",INDEX('Margin Guidence Table'!$A$1:$AG$10000,MATCH(1,('Margin Guidence Table'!$A$1:$A$10000=RQ19)*('Margin Guidence Table'!$I$1:$I$10000&lt;=ROUND($RI$3,0))*('Margin Guidence Table'!$J$1:$J$10000&gt;=ROUND($RI$3,0)),0),MATCH("PA_PCT_SALES",'Margin Guidence Table'!$A$1:$AG$1,0)),INDEX('Margin Guidence Table'!$A$1:$AG$10000,MATCH(1,('Margin Guidence Table'!$A$1:$A$10000=RQ19)*('Margin Guidence Table'!$I$1:$I$10000&lt;=ROUND($RI$3,0))*('Margin Guidence Table'!$J$1:$J$10000&gt;=ROUND($RI$3,0)),0),MATCH("DEFAULT_PA_PCT_SALES",'Margin Guidence Table'!$A$1:$AG$1,0))),0))</f>
        <v>0</v>
      </c>
      <c r="RZ19" s="784">
        <f t="array" ref="RZ19">IF('Customer Inputs'!$W$24="End",0,IFERROR(IF($RS19="SEGMENT",INDEX('Margin Guidence Table'!$A$1:$AG$10000,MATCH(1,('Margin Guidence Table'!$A$1:$A$10000=RQ19)*('Margin Guidence Table'!$I$1:$I$10000&lt;=ROUND($RI$3,0))*('Margin Guidence Table'!$J$1:$J$10000&gt;=ROUND($RI$3,0)),0),MATCH("SELF_FUND_PCT_SALES",'Margin Guidence Table'!$A$1:$AG$1,0)),INDEX('Margin Guidence Table'!$A$1:$AG$10000,MATCH(1,('Margin Guidence Table'!$A$1:$A$10000=RQ19)*('Margin Guidence Table'!$I$1:$I$10000&lt;=ROUND($RI$3,0))*('Margin Guidence Table'!$J$1:$J$10000&gt;=ROUND($RI$3,0)),0),MATCH("DEFAULT_SELF_FUND_PCT_SALES",'Margin Guidence Table'!$A$1:$AG$1,0))),0))</f>
        <v>0</v>
      </c>
      <c r="SA19" s="784">
        <f t="array" ref="SA19">IF('Customer Inputs'!$W$24="End",0,IF($RJ$2="Existing",IFERROR(SUMIFS('Existing Customers'!$V:$V,'Existing Customers'!$H:$H,$RH19,'Existing Customers'!$A:$A,$RI$1)/SUMIFS('Existing Customers'!$Q:$Q,'Existing Customers'!$H:$H,$RH19,'Existing Customers'!$A:$A,$RI$1),0),IFERROR(IF($RS19="SEGMENT",INDEX('Margin Guidence Table'!$A$1:$AG$10000,MATCH(1,('Margin Guidence Table'!$A$1:$A$10000=RQ19)*('Margin Guidence Table'!$I$1:$I$10000&lt;=ROUND($RI$3,0))*('Margin Guidence Table'!$J$1:$J$10000&gt;=ROUND($RI$3,0)),0),MATCH("CIA_MEDIAN_MARGIN_GUIDENCE",'Margin Guidence Table'!$A$1:$AG$1,0)),INDEX('Margin Guidence Table'!$A$1:$AG$10000,MATCH(1,('Margin Guidence Table'!$A$1:$A$10000=RQ19)*('Margin Guidence Table'!$I$1:$I$10000&lt;=ROUND($RI$3,0))*('Margin Guidence Table'!$J$1:$J$10000&gt;=ROUND($RI$3,0)),0),MATCH("DEFAULT_CIA_MEDIAN_MARGIN_GUIDENCE",'Margin Guidence Table'!$A$1:$AG$1,0))),0)))</f>
        <v>0</v>
      </c>
      <c r="SB19" s="784"/>
      <c r="SC19" s="18">
        <f t="array" ref="SC19">IF('Customer Inputs'!$W$25="End",0,IFERROR(IF($SP19="SEGMENT",INDEX('Margin Guidence Table'!$A$1:$AG$10000,MATCH(1,('Margin Guidence Table'!$A$1:$A$10000=$SN19)*('Margin Guidence Table'!$I$1:$I$10000&lt;=ROUND($SF$3,0))*('Margin Guidence Table'!$J$1:$J$10000&gt;=ROUND($SF$3,0)),0),MATCH("PCT_SALES",'Margin Guidence Table'!$A$1:$AG$1,0)),INDEX('Margin Guidence Table'!$A$1:$AG$10000,MATCH(1,('Margin Guidence Table'!$A$1:$A$10000=$SN19)*('Margin Guidence Table'!$I$1:$I$10000&lt;=ROUND($SF$3,0))*('Margin Guidence Table'!$J$1:$J$10000&gt;=ROUND($SF$3,0)),0),MATCH("DEFAULT_PCT_SALES",'Margin Guidence Table'!$A$1:$AG$1,0))),0))</f>
        <v>0</v>
      </c>
      <c r="SD19" s="1713" t="e">
        <f t="shared" si="70"/>
        <v>#DIV/0!</v>
      </c>
      <c r="SE19" s="99" t="s">
        <v>104</v>
      </c>
      <c r="SF19" s="91">
        <f>IF('Customer Inputs'!$W$25="End",0,IFERROR(IF(AND($SF$2&lt;&gt;"Enter Spend&gt;&gt;&gt;",$SG$2="EXISTING"),SUMIFS('Existing Customers'!$Q:$Q,'Existing Customers'!$A:$A,$SF$1,'Existing Customers'!$H:$H,$SE19)*$SF$4,$SF$3*$SD19),0))</f>
        <v>0</v>
      </c>
      <c r="SG19" s="86">
        <f>IF('Customer Inputs'!$W$25="End",0,IFERROR(IF(AND($SF$2&lt;&gt;"Enter Spend&gt;&gt;&gt;",$SG$2="EXISTING"),SUMIFS('Existing Customers'!$N:$N,'Existing Customers'!$A:$A,$SF$1,'Existing Customers'!$H:$H,$SE19)*$SF$4,$SF19/$SQ19),0))</f>
        <v>0</v>
      </c>
      <c r="SH19" s="92">
        <f>IF('Customer Inputs'!$W$25="End",0,IFERROR(IF(AND($SF$2&lt;&gt;"Enter Spend&gt;&gt;&gt;",$SG$2="EXISTING"),SUMIFS('Existing Customers'!$O:$O,'Existing Customers'!$H:$H,$SE19,'Existing Customers'!$A:$A,$SF$1)*$SF$4,$SG19*$SF$8),0))</f>
        <v>0</v>
      </c>
      <c r="SI19" s="92">
        <f>IF('Customer Inputs'!$W$25="End",0,IFERROR(IF(AND($SF$2&lt;&gt;"Enter Spend&gt;&gt;&gt;",$SG$2="EXISTING"),SUMIFS('Existing Customers'!$P:$P,'Existing Customers'!$A:$A,$SF$1,'Existing Customers'!$H:$H,$SE19)*$SF$4,$SF19/$SR19),0))</f>
        <v>0</v>
      </c>
      <c r="SJ19" s="303">
        <f>IF('Customer Inputs'!$W$25="End",0,IFERROR(IF(AND($SF$2&lt;&gt;"Enter Spend&gt;&gt;&gt;",$SG$2="EXISTING"),SUMIFS('Existing Customers'!$V:$V,'Existing Customers'!$H:$H,$SE19,'Existing Customers'!$A:$A,$SF$1)*$SF$4,0),0))</f>
        <v>0</v>
      </c>
      <c r="SK19" s="93">
        <f>IF('Customer Inputs'!$W$25="End",0,IFERROR(IF(AND($SF$2&lt;&gt;"Enter Spend&gt;&gt;&gt;",$SG$2="EXISTING"),SUMIFS('Existing Customers'!$R:$R,'Existing Customers'!$H:$H,$SE19,'Existing Customers'!$A:$A,$SF$1)*$SF$4,0),0))</f>
        <v>0</v>
      </c>
      <c r="SL19" s="780">
        <f>IF('Customer Inputs'!$W$25="End",0,IFERROR(IF(AND($SF$2&lt;&gt;"Enter Spend&gt;&gt;&gt;",$SG$2="EXISTING"),SUMIFS('Existing Customers'!$S:$S,'Existing Customers'!$H:$H,$SE19,'Existing Customers'!$A:$A,$SF$1)/SUMIFS('Existing Customers'!$Q:$Q,'Existing Customers'!$A:$A,$SF$1,'Existing Customers'!$H:$H,$SE19),SV19),0))</f>
        <v>0</v>
      </c>
      <c r="SM19" s="780">
        <f>IF('Customer Inputs'!$W$25="End",0,IFERROR(IF(AND($SF$2&lt;&gt;"Enter Spend&gt;&gt;&gt;",$SG$2="EXISTING"),SUMIFS('Existing Customers'!$U:$U,'Existing Customers'!$H:$H,$SE19,'Existing Customers'!$A:$A,$SF$1)/SUMIFS('Existing Customers'!$Q:$Q,'Existing Customers'!$A:$A,$SF$1,'Existing Customers'!$H:$H,$SE19),SW19),0))</f>
        <v>0</v>
      </c>
      <c r="SN19" s="783" t="e">
        <f>_xlfn.CONCAT('Customer Inputs'!$AH$25,"_",SE19)</f>
        <v>#N/A</v>
      </c>
      <c r="SO19" s="783">
        <f t="array" ref="SO19">IF('Customer Inputs'!$W$25="End",0,IFERROR(INDEX('Margin Guidence Table'!$A$1:$AG$10000,MATCH(1,('Margin Guidence Table'!$A$1:$A$10000=SN19)*('Margin Guidence Table'!$I$1:$I$10000&lt;=ROUND($SF$3,0))*('Margin Guidence Table'!$J$1:$J$10000&gt;=ROUND($SF$3,0)),0),MATCH("DATA_POINTS",'Margin Guidence Table'!$A$1:$AG$1,0)),0))</f>
        <v>0</v>
      </c>
      <c r="SP19" s="780" t="str">
        <f t="shared" si="71"/>
        <v>DEFAULT</v>
      </c>
      <c r="SQ19" s="780">
        <f t="array" ref="SQ19">IF('Customer Inputs'!$W$25="End",0,IFERROR(IF($SP19="SEGMENT",INDEX('Margin Guidence Table'!$A$1:$AG$10000,MATCH(1,('Margin Guidence Table'!$A$1:$A$10000=SN19)*('Margin Guidence Table'!$I$1:$I$10000&lt;=ROUND($SF$3,0))*('Margin Guidence Table'!$J$1:$J$10000&gt;=ROUND($SF$3,0)),0),MATCH("SALES_CASE",'Margin Guidence Table'!$A$1:$AG$1,0)),INDEX('Margin Guidence Table'!$A$1:$AG$10000,MATCH(1,('Margin Guidence Table'!$A$1:$A$10000=SN19)*('Margin Guidence Table'!$I$1:$I$10000&lt;=ROUND($SF$3,0))*('Margin Guidence Table'!$J$1:$J$10000&gt;=ROUND($SF$3,0)),0),MATCH("DEFAULT_SALES_CASE",'Margin Guidence Table'!$A$1:$AG$1,0))),0))</f>
        <v>0</v>
      </c>
      <c r="SR19" s="780">
        <f t="array" ref="SR19">IF('Customer Inputs'!$W$25="End",0,IFERROR(IF($SP19="SEGMENT",INDEX('Margin Guidence Table'!$A$1:$AG$10000,MATCH(1,('Margin Guidence Table'!$A$1:$A$10000=SN19)*('Margin Guidence Table'!$I$1:$I$10000&lt;=ROUND($SF$3,0))*('Margin Guidence Table'!$J$1:$J$10000&gt;=ROUND($SF$3,0)),0),MATCH("SALES_LBS",'Margin Guidence Table'!$A$1:$AG$1,0)),INDEX('Margin Guidence Table'!$A$1:$AG$10000,MATCH(1,('Margin Guidence Table'!$A$1:$A$10000=SN19)*('Margin Guidence Table'!$I$1:$I$10000&lt;=ROUND($SF$3,0))*('Margin Guidence Table'!$J$1:$J$10000&gt;=ROUND($SF$3,0)),0),MATCH("DEFAULT_SALES_LBS",'Margin Guidence Table'!$A$1:$AG$1,0))),0))</f>
        <v>0</v>
      </c>
      <c r="SS19" s="784">
        <f t="array" ref="SS19">IF('Customer Inputs'!$W$25="End",0,IFERROR(IF($SP19="SEGMENT",INDEX('Margin Guidence Table'!$A$1:$AG$10000,MATCH(1,('Margin Guidence Table'!$A$1:$A$10000=SN19)*('Margin Guidence Table'!$I$1:$I$10000&lt;=ROUND($SF$3,0))*('Margin Guidence Table'!$J$1:$J$10000&gt;=ROUND($SF$3,0)),0),MATCH("MDA_MIN_MARGIN_GUIDENCE",'Margin Guidence Table'!$A$1:$AG$1,0)),INDEX('Margin Guidence Table'!$A$1:$AG$10000,MATCH(1,('Margin Guidence Table'!$A$1:$A$10000=SN19)*('Margin Guidence Table'!$I$1:$I$10000&lt;=ROUND($SF$3,0))*('Margin Guidence Table'!$J$1:$J$10000&gt;=ROUND($SF$3,0)),0),MATCH("DEFAULT_MDA_MIN_MARGIN_GUIDENCE",'Margin Guidence Table'!$A$1:$AG$1,0))),0))</f>
        <v>0</v>
      </c>
      <c r="ST19" s="784">
        <f t="array" ref="ST19">IF('Customer Inputs'!$W$25="End",0,IFERROR(IF($SP19="SEGMENT",INDEX('Margin Guidence Table'!$A$1:$AG$10000,MATCH(1,('Margin Guidence Table'!$A$1:$A$10000=SN19)*('Margin Guidence Table'!$I$1:$I$10000&lt;=ROUND($SF$3,0))*('Margin Guidence Table'!$J$1:$J$10000&gt;=ROUND($SF$3,0)),0),MATCH("MDA_MEDIAN_MARGIN_GUIDENCE",'Margin Guidence Table'!$A$1:$AG$1,0)),INDEX('Margin Guidence Table'!$A$1:$AG$10000,MATCH(1,('Margin Guidence Table'!$A$1:$A$10000=SN19)*('Margin Guidence Table'!$I$1:$I$10000&lt;=ROUND($SF$3,0))*('Margin Guidence Table'!$J$1:$J$10000&gt;=ROUND($SF$3,0)),0),MATCH("DEFAULT_MDA_MEDIAN_MARGIN_GUIDENCE",'Margin Guidence Table'!$A$1:$AG$1,0))),0))</f>
        <v>0</v>
      </c>
      <c r="SU19" s="784">
        <f t="array" ref="SU19">IF('Customer Inputs'!$W$25="End",0,IFERROR(IF($SP19="SEGMENT",INDEX('Margin Guidence Table'!$A$1:$AG$10000,MATCH(1,('Margin Guidence Table'!$A$1:$A$10000=SN19)*('Margin Guidence Table'!$I$1:$I$10000&lt;=ROUND($SF$3,0))*('Margin Guidence Table'!$J$1:$J$10000&gt;=ROUND($SF$3,0)),0),MATCH("MDA_MAX_MARGIN_GUIDENCE",'Margin Guidence Table'!$A$1:$AG$1,0)),INDEX('Margin Guidence Table'!$A$1:$AG$10000,MATCH(1,('Margin Guidence Table'!$A$1:$A$10000=SN19)*('Margin Guidence Table'!$I$1:$I$10000&lt;=ROUND($SF$3,0))*('Margin Guidence Table'!$J$1:$J$10000&gt;=ROUND($SF$3,0)),0),MATCH("DEFAULT_MDA_MAX_MARGIN_GUIDENCE",'Margin Guidence Table'!$A$1:$AG$1,0))),0))</f>
        <v>0</v>
      </c>
      <c r="SV19" s="784">
        <f t="array" ref="SV19">IF('Customer Inputs'!$W$25="End",0,IFERROR(IF($SP19="SEGMENT",INDEX('Margin Guidence Table'!$A$1:$AG$10000,MATCH(1,('Margin Guidence Table'!$A$1:$A$10000=SN19)*('Margin Guidence Table'!$I$1:$I$10000&lt;=ROUND($SF$3,0))*('Margin Guidence Table'!$J$1:$J$10000&gt;=ROUND($SF$3,0)),0),MATCH("PA_PCT_SALES",'Margin Guidence Table'!$A$1:$AG$1,0)),INDEX('Margin Guidence Table'!$A$1:$AG$10000,MATCH(1,('Margin Guidence Table'!$A$1:$A$10000=SN19)*('Margin Guidence Table'!$I$1:$I$10000&lt;=ROUND($SF$3,0))*('Margin Guidence Table'!$J$1:$J$10000&gt;=ROUND($SF$3,0)),0),MATCH("DEFAULT_PA_PCT_SALES",'Margin Guidence Table'!$A$1:$AG$1,0))),0))</f>
        <v>0</v>
      </c>
      <c r="SW19" s="784">
        <f t="array" ref="SW19">IF('Customer Inputs'!$W$25="End",0,IFERROR(IF($SP19="SEGMENT",INDEX('Margin Guidence Table'!$A$1:$AG$10000,MATCH(1,('Margin Guidence Table'!$A$1:$A$10000=SN19)*('Margin Guidence Table'!$I$1:$I$10000&lt;=ROUND($SF$3,0))*('Margin Guidence Table'!$J$1:$J$10000&gt;=ROUND($SF$3,0)),0),MATCH("SELF_FUND_PCT_SALES",'Margin Guidence Table'!$A$1:$AG$1,0)),INDEX('Margin Guidence Table'!$A$1:$AG$10000,MATCH(1,('Margin Guidence Table'!$A$1:$A$10000=SN19)*('Margin Guidence Table'!$I$1:$I$10000&lt;=ROUND($SF$3,0))*('Margin Guidence Table'!$J$1:$J$10000&gt;=ROUND($SF$3,0)),0),MATCH("DEFAULT_SELF_FUND_PCT_SALES",'Margin Guidence Table'!$A$1:$AG$1,0))),0))</f>
        <v>0</v>
      </c>
      <c r="SX19" s="784">
        <f t="array" ref="SX19">IF('Customer Inputs'!$W$25="End",0,IF($SG$2="Existing",IFERROR(SUMIFS('Existing Customers'!$V:$V,'Existing Customers'!$H:$H,$SE19,'Existing Customers'!$A:$A,$SF$1)/SUMIFS('Existing Customers'!$Q:$Q,'Existing Customers'!$H:$H,$SE19,'Existing Customers'!$A:$A,$SF$1),0),IFERROR(IF($SP19="SEGMENT",INDEX('Margin Guidence Table'!$A$1:$AG$10000,MATCH(1,('Margin Guidence Table'!$A$1:$A$10000=SN19)*('Margin Guidence Table'!$I$1:$I$10000&lt;=ROUND($SF$3,0))*('Margin Guidence Table'!$J$1:$J$10000&gt;=ROUND($SF$3,0)),0),MATCH("CIA_MEDIAN_MARGIN_GUIDENCE",'Margin Guidence Table'!$A$1:$AG$1,0)),INDEX('Margin Guidence Table'!$A$1:$AG$10000,MATCH(1,('Margin Guidence Table'!$A$1:$A$10000=SN19)*('Margin Guidence Table'!$I$1:$I$10000&lt;=ROUND($SF$3,0))*('Margin Guidence Table'!$J$1:$J$10000&gt;=ROUND($SF$3,0)),0),MATCH("DEFAULT_CIA_MEDIAN_MARGIN_GUIDENCE",'Margin Guidence Table'!$A$1:$AG$1,0))),0)))</f>
        <v>0</v>
      </c>
      <c r="SY19" s="784"/>
      <c r="SZ19" s="1705"/>
      <c r="TA19" s="99" t="s">
        <v>104</v>
      </c>
      <c r="TB19" s="94"/>
      <c r="TC19" s="86"/>
      <c r="TD19" s="86"/>
      <c r="TE19" s="86"/>
      <c r="TF19" s="111"/>
      <c r="TG19" s="95"/>
      <c r="TH19" s="126"/>
      <c r="TI19" s="1705"/>
      <c r="TJ19" s="99" t="s">
        <v>104</v>
      </c>
      <c r="TK19" s="94"/>
      <c r="TL19" s="86"/>
      <c r="TM19" s="86"/>
      <c r="TN19" s="86"/>
      <c r="TO19" s="111"/>
      <c r="TP19" s="95"/>
      <c r="TQ19" s="1705"/>
      <c r="TR19" s="1705"/>
    </row>
    <row r="20" spans="1:538" ht="15.75" thickBot="1" x14ac:dyDescent="0.3">
      <c r="A20" s="1705"/>
      <c r="B20" s="99" t="s">
        <v>98</v>
      </c>
      <c r="C20" s="346">
        <f t="shared" si="0"/>
        <v>0</v>
      </c>
      <c r="D20" s="358">
        <f t="shared" si="1"/>
        <v>0</v>
      </c>
      <c r="E20" s="358">
        <f t="shared" si="2"/>
        <v>0</v>
      </c>
      <c r="F20" s="358">
        <f t="shared" si="3"/>
        <v>0</v>
      </c>
      <c r="G20" s="1428">
        <f t="shared" si="4"/>
        <v>0</v>
      </c>
      <c r="H20" s="1428">
        <f t="shared" si="5"/>
        <v>0</v>
      </c>
      <c r="I20" s="359">
        <f t="shared" si="6"/>
        <v>0</v>
      </c>
      <c r="J20" s="358">
        <f t="shared" si="7"/>
        <v>0</v>
      </c>
      <c r="K20" s="778">
        <f t="shared" si="8"/>
        <v>0</v>
      </c>
      <c r="L20" s="778">
        <f t="shared" si="9"/>
        <v>0</v>
      </c>
      <c r="M20" s="778">
        <f t="shared" si="10"/>
        <v>0</v>
      </c>
      <c r="N20" s="1428">
        <f>IF('PIM Model'!D16="$/CS",IFERROR(ROUND(SUM(BX20*$BV$35+CU20*$CS$35+DR20*$DP$35+EO20*$EM$35+FL20*$FJ$35+GI20*$GG$35+HF20*$HD$35+IC20*$IA$35+IZ20*$IX$35+JW20*$JU$35+KT20*$KR$35+LQ20*$LO$35+MN20*$ML$35+NK20*$NI$35+OH20*$OF$35+PE20*$PC$35+QB20*$PZ$35+QY20*$QW$35+RV20*$RT$35+SS20*$SQ$35)/$G$35,2),0),IF('PIM Model'!D16="$/LB",IFERROR(ROUND(SUM(BX20*$BW$35+CU20*$CT$35+DR20*$DQ$35+EO20*$EN$35+FL20*$FK$35+GI20*$GH$35+HF20*$HE$35+IC20*$IB$35+IZ20*$IY$35+JW20*$JV$35+KT20*$KS$35+LQ20*$LP$35+MN20*$MM$35+NK20*$NJ$35+OH20*$OG$35+PE20*$PD$35+QB20*$QA$35+QY20*$QX$35+RV20*$RU$35+SS20*$SR$35)/$H$35,2),0),0))</f>
        <v>0</v>
      </c>
      <c r="O20" s="1428">
        <f>IF('PIM Model'!D16="$/CS",IFERROR(ROUND(SUM(BY20*$BV$35+CV20*$CS$35+DS20*$DP$35+EP20*$EM$35+FM20*$FJ$35+GJ20*$GG$35+HG20*$HD$35+ID20*$IA$35+JA20*$IX$35+JX20*$JU$35+KU20*$KR$35+LR20*$LO$35+MO20*$ML$35+NL20*$NI$35+OI20*$OF$35+PF20*$PC$35+QC20*$PZ$35+QZ20*$QW$35+RW20*$RT$35+ST20*$SQ$35)/$G$35,2),0),IF('PIM Model'!D16="$/LB",IFERROR(ROUND(SUM(BY20*$BW$35+CV20*$CT$35+DS20*$DQ$35+EP20*$EN$35+FM20*$FK$35+GJ20*$GH$35+HG20*$HE$35+ID20*$IB$35+JA20*$IY$35+JX20*$JV$35+KU20*$KS$35+LR20*$LP$35+MO20*$MM$35+NL20*$NJ$35+OI20*$OG$35+PF20*$PD$35+QC20*$QA$35+QZ20*$QX$35+RW20*$RU$35+ST20*$SR$35)/$H$35,2),0),0))</f>
        <v>0</v>
      </c>
      <c r="P20" s="1428">
        <f>IF('PIM Model'!D16="$/CS",IFERROR(ROUND(SUM(BZ20*$BV$35+CW20*$CS$35+DT20*$DP$35+EQ20*$EM$35+FN20*$FJ$35+GK20*$GG$35+HH20*$HD$35+IE20*$IA$35+JB20*$IX$35+JY20*$JU$35+KV20*$KR$35+LS20*$LO$35+MP20*$ML$35+NM20*$NI$35+OJ20*$OF$35+PG20*$PC$35+QD20*$PZ$35+RA20*$QW$35+RX20*$RT$35+SU20*$SQ$35)/$G$35,2),0),IF('PIM Model'!D16="$/LB",IFERROR(ROUND(SUM(BZ20*$BW$35+CW20*$CT$35+DT20*$DQ$35+EQ20*$EN$35+FN20*$FK$35+GK20*$GH$35+HH20*$HE$35+IE20*$IB$35+JB20*$IY$35+JY20*$JV$35+KV20*$KS$35+LS20*$LP$35+MP20*$MM$35+NM20*$NJ$35+OJ20*$OG$35+PG20*$PD$35+QD20*$QA$35+RA20*$QX$35+RX20*$RU$35+SU20*$SR$35)/$H$35,2),0),0))</f>
        <v>0</v>
      </c>
      <c r="Q20" s="358">
        <f t="shared" si="11"/>
        <v>0</v>
      </c>
      <c r="R20" s="358">
        <f t="shared" si="12"/>
        <v>0</v>
      </c>
      <c r="S20" s="779">
        <f t="shared" si="13"/>
        <v>0</v>
      </c>
      <c r="T20" s="779">
        <f t="shared" si="14"/>
        <v>0</v>
      </c>
      <c r="U20" s="779">
        <f t="shared" si="15"/>
        <v>0</v>
      </c>
      <c r="V20" s="779">
        <f t="shared" si="16"/>
        <v>0</v>
      </c>
      <c r="W20" s="779">
        <f t="shared" si="17"/>
        <v>0</v>
      </c>
      <c r="X20" s="1705"/>
      <c r="Y20" s="1705" t="str">
        <f>'PIM Model'!E16</f>
        <v>INCLUDE</v>
      </c>
      <c r="Z20" s="1705">
        <f t="shared" si="18"/>
        <v>0</v>
      </c>
      <c r="AA20" s="1705">
        <f t="shared" si="19"/>
        <v>0</v>
      </c>
      <c r="AB20" s="99" t="s">
        <v>98</v>
      </c>
      <c r="AC20" s="107">
        <f t="shared" si="20"/>
        <v>0</v>
      </c>
      <c r="AD20" s="108">
        <f t="shared" si="21"/>
        <v>0</v>
      </c>
      <c r="AE20" s="108">
        <f t="shared" si="22"/>
        <v>0</v>
      </c>
      <c r="AF20" s="108">
        <f t="shared" si="23"/>
        <v>0</v>
      </c>
      <c r="AG20" s="110">
        <f t="shared" si="24"/>
        <v>0</v>
      </c>
      <c r="AH20" s="114">
        <f t="shared" si="25"/>
        <v>0</v>
      </c>
      <c r="AI20" s="301"/>
      <c r="AJ20" s="99" t="s">
        <v>98</v>
      </c>
      <c r="AK20" s="346">
        <f t="shared" si="26"/>
        <v>0</v>
      </c>
      <c r="AL20" s="347">
        <f t="shared" si="26"/>
        <v>0</v>
      </c>
      <c r="AM20" s="347">
        <f t="shared" si="26"/>
        <v>0</v>
      </c>
      <c r="AN20" s="350">
        <f t="shared" si="27"/>
        <v>0</v>
      </c>
      <c r="AO20" s="351">
        <f t="shared" si="28"/>
        <v>0</v>
      </c>
      <c r="AP20" s="301"/>
      <c r="AQ20" s="99" t="s">
        <v>98</v>
      </c>
      <c r="AR20" s="346">
        <f t="shared" si="29"/>
        <v>0</v>
      </c>
      <c r="AS20" s="347">
        <f t="shared" si="30"/>
        <v>0</v>
      </c>
      <c r="AT20" s="351"/>
      <c r="AU20" s="301"/>
      <c r="AV20" s="1708" t="str">
        <f>IF('PIM Ranges'!$AK18='PIM Ranges'!$AY$11,IF($AR20&lt;'PIM Ranges'!$AZ$11,"Q1",IF($AR20&lt;'PIM Ranges'!$BA$11,"Q2",IF($AR20&lt;'PIM Ranges'!$BB$11,"Q3",IF($AR20&lt;'PIM Ranges'!$BC$11,"Q4","Q5")))),IF('PIM Ranges'!$AK18='PIM Ranges'!$AY$12,IF($AR20&lt;'PIM Ranges'!$AZ$12,"Q1",IF($AR20&lt;'PIM Ranges'!$BA$12,"Q2",IF($AR20&lt;'PIM Ranges'!$BB$12,"Q3",IF($AR20&lt;'PIM Ranges'!$BC$12,"Q4","Q5")))),IF('PIM Ranges'!$AK18='PIM Ranges'!$AY$13,IF($AR20&lt;'PIM Ranges'!$AZ$13,"Q1",IF($AR20&lt;'PIM Ranges'!$BA$13,"Q2",IF($AR20&lt;'PIM Ranges'!$BB$13,"Q3",IF($AR20&lt;'PIM Ranges'!$BC$13,"Q4","Q5")))),IF('PIM Ranges'!$AK18='PIM Ranges'!$AY$14,IF($AR20&lt;'PIM Ranges'!$AZ$14,"Q1",IF($AR20&lt;'PIM Ranges'!$BA$14,"Q2",IF($AR20&lt;'PIM Ranges'!$BB$14,"Q3",IF($AR20&lt;'PIM Ranges'!$BC$14,"Q4","Q5")))),IF('PIM Ranges'!$AK18='PIM Ranges'!$AY$15,IF($AR20&lt;'PIM Ranges'!$AZ$15,"Q1",IF($AR20&lt;'PIM Ranges'!$BA$15,"Q2",IF($AR20&lt;'PIM Ranges'!$BB$15,"Q3",IF($AR20&lt;'PIM Ranges'!$BC$15,"Q4","Q5")))),IF('PIM Ranges'!$AK18='PIM Ranges'!$AY$16,IF($AR20&lt;'PIM Ranges'!$AZ$16,"Q1",IF($AR20&lt;'PIM Ranges'!$BA$16,"Q2",IF($AR20&lt;'PIM Ranges'!$BB$16,"Q3",IF($AR20&lt;'PIM Ranges'!$BC$16,"Q4","Q5")))),IF('PIM Ranges'!$AK18='PIM Ranges'!$AY$17,IF($AR20&lt;'PIM Ranges'!$AZ$17,"Q1",IF($AR20&lt;'PIM Ranges'!$BA$17,"Q2",IF($AR20&lt;'PIM Ranges'!$BB$17,"Q3",IF($AR20&lt;'PIM Ranges'!$BC$17,"Q4","Q5")))),IF('PIM Ranges'!$AK18='PIM Ranges'!$AY$18,IF($AR20&lt;'PIM Ranges'!$AZ$18,"Q1",IF($AR20&lt;'PIM Ranges'!$BA$18,"Q2",IF($AR20&lt;'PIM Ranges'!$BB$18,"Q3",IF($AR20&lt;'PIM Ranges'!$BC$18,"Q4","Q5")))),IF('PIM Ranges'!$AK18='PIM Ranges'!$AY$19,IF($AR20&lt;'PIM Ranges'!$AZ$19,"Q1",IF($AR20&lt;'PIM Ranges'!$BA$19,"Q2",IF($AR20&lt;'PIM Ranges'!$BB$19,"Q3",IF($AR20&lt;'PIM Ranges'!$BC$19,"Q4","Q5")))),IF('PIM Ranges'!$AK18='PIM Ranges'!$AY$20,IF($AR20&lt;'PIM Ranges'!$AZ$20,"Q1",IF($AR20&lt;'PIM Ranges'!$BA$20,"Q2",IF($AR20&lt;'PIM Ranges'!$BB$20,"Q3",IF($AR20&lt;'PIM Ranges'!$BC$20,"Q4","Q5")))),IF('PIM Ranges'!$AK18='PIM Ranges'!$AY$21,IF($AR20&lt;'PIM Ranges'!$AZ$21,"Q1",IF($AR20&lt;'PIM Ranges'!$BA$21,"Q2",IF($AR20&lt;'PIM Ranges'!$BB$21,"Q3",IF($AR20&lt;'PIM Ranges'!$BC$21,"Q4","Q5")))),IF('PIM Ranges'!$AK18='PIM Ranges'!$AY$22,IF($AR20&lt;'PIM Ranges'!$AZ$22,"Q1",IF($AR20&lt;'PIM Ranges'!$BA$22,"Q2",IF($AR20&lt;'PIM Ranges'!$BB$22,"Q3",IF($AR20&lt;'PIM Ranges'!$BC$22,"Q4","Q5")))),IF('PIM Ranges'!$AK18='PIM Ranges'!$AY$23,IF($AR20&lt;'PIM Ranges'!$AZ$23,"Q1",IF($AR20&lt;'PIM Ranges'!$BA$23,"Q2",IF($AR20&lt;'PIM Ranges'!$BB$23,"Q3",IF($AR20&lt;'PIM Ranges'!$BC$23,"Q4","Q5")))),IF('PIM Ranges'!$AK18='PIM Ranges'!$AY$24,IF($AR20&lt;'PIM Ranges'!$AZ$24,"Q1",IF($AR20&lt;'PIM Ranges'!$BA$24,"Q2",IF($AR20&lt;'PIM Ranges'!$BB$24,"Q3",IF($AR20&lt;'PIM Ranges'!$BC$24,"Q4","Q5")))),IF('PIM Ranges'!$AK18='PIM Ranges'!$AY$25,IF($AR20&lt;'PIM Ranges'!$AZ$25,"Q1",IF($AR20&lt;'PIM Ranges'!$BA$25,"Q2",IF($AR20&lt;'PIM Ranges'!$BB$25,"Q3",IF($AR20&lt;'PIM Ranges'!$BC$25,"Q4","Q5")))),IF('PIM Ranges'!$AK18='PIM Ranges'!$AY$26,IF($AR20&lt;'PIM Ranges'!$AZ$26,"Q1",IF($AR20&lt;'PIM Ranges'!$BA$26,"Q2",IF($AR20&lt;'PIM Ranges'!$BB$26,"Q3",IF($AR20&lt;'PIM Ranges'!$BC$26,"Q4","Q5")))),IF('PIM Ranges'!$AK18='PIM Ranges'!$AY$27,IF($AR20&lt;'PIM Ranges'!$AZ$27,"Q1",IF($AR20&lt;'PIM Ranges'!$BA$27,"Q2",IF($AR20&lt;'PIM Ranges'!$BB$27,"Q3",IF($AR20&lt;'PIM Ranges'!$BC$27,"Q4","Q5")))),IF('PIM Ranges'!$AK18='PIM Ranges'!$AY$28,IF($AR20&lt;'PIM Ranges'!$AZ$28,"Q1",IF($AR20&lt;'PIM Ranges'!$BA$28,"Q2",IF($AR20&lt;'PIM Ranges'!$BB$28,"Q3",IF($AR20&lt;'PIM Ranges'!$BC$28,"Q4","Q5")))),IF('PIM Ranges'!$AK18='PIM Ranges'!$AY$29,IF($AR20&lt;'PIM Ranges'!$AZ$29,"Q1",IF($AR20&lt;'PIM Ranges'!$BA$29,"Q2",IF($AR20&lt;'PIM Ranges'!$BB$29,"Q3",IF($AR20&lt;'PIM Ranges'!$BC$29,"Q4","Q5")))),IF('PIM Ranges'!$AK18='PIM Ranges'!$AY$30,IF($AR20&lt;'PIM Ranges'!$AZ$30,"Q1",IF($AR20&lt;'PIM Ranges'!$BA$30,"Q2",IF($AR20&lt;'PIM Ranges'!$BB$30,"Q3",IF($AR20&lt;'PIM Ranges'!$BC$30,"Q4","Q5")))),IF('PIM Ranges'!$AK18='PIM Ranges'!$AY$31,IF($AR20&lt;'PIM Ranges'!$AZ$31,"Q1",IF($AR20&lt;'PIM Ranges'!$BA$31,"Q2",IF($AR20&lt;'PIM Ranges'!$BB$31,"Q3",IF($AR20&lt;'PIM Ranges'!$BC$31,"Q4","Q5")))),IF('PIM Ranges'!$AK18='PIM Ranges'!$AY$32,IF($AR20&lt;'PIM Ranges'!$AZ$32,"Q1",IF($AR20&lt;'PIM Ranges'!$BA$32,"Q2",IF($AR20&lt;'PIM Ranges'!$BB$32,"Q3",IF($AR20&lt;'PIM Ranges'!$BC$32,"Q4","Q5"))))))))))))))))))))))))))</f>
        <v>Q1</v>
      </c>
      <c r="AW20" s="301">
        <f>VLOOKUP($AQ20&amp;$AV20,'IMargin Quartiles'!$A:$F,6,FALSE)</f>
        <v>0.17</v>
      </c>
      <c r="AX20" s="301"/>
      <c r="AY20" s="1708" t="str">
        <f>IF('PIM Ranges'!$AK18='PIM Ranges'!$AY$11,IF('PIM Ranges'!$AL18&lt;'PIM Ranges'!$AZ$11,"Q1",IF('PIM Ranges'!$AL18&lt;'PIM Ranges'!$BA$11,"Q2",IF('PIM Ranges'!$AL18&lt;'PIM Ranges'!$BB$11,"Q3",IF('PIM Ranges'!$AL18&lt;'PIM Ranges'!$BC$11,"Q4","Q5")))),IF('PIM Ranges'!$AK18='PIM Ranges'!$AY$12,IF('PIM Ranges'!$AL18&lt;'PIM Ranges'!$AZ$12,"Q1",IF('PIM Ranges'!$AL18&lt;'PIM Ranges'!$BA$12,"Q2",IF('PIM Ranges'!$AL18&lt;'PIM Ranges'!$BB$12,"Q3",IF('PIM Ranges'!$AL18&lt;'PIM Ranges'!$BC$12,"Q4","Q5")))),IF('PIM Ranges'!$AK18='PIM Ranges'!$AY$13,IF('PIM Ranges'!$AL18&lt;'PIM Ranges'!$AZ$13,"Q1",IF('PIM Ranges'!$AL18&lt;'PIM Ranges'!$BA$13,"Q2",IF('PIM Ranges'!$AL18&lt;'PIM Ranges'!$BB$13,"Q3",IF('PIM Ranges'!$AL18&lt;'PIM Ranges'!$BC$13,"Q4","Q5")))),IF('PIM Ranges'!$AK18='PIM Ranges'!$AY$14,IF('PIM Ranges'!$AL18&lt;'PIM Ranges'!$AZ$14,"Q1",IF('PIM Ranges'!$AL18&lt;'PIM Ranges'!$BA$14,"Q2",IF('PIM Ranges'!$AL18&lt;'PIM Ranges'!$BB$14,"Q3",IF('PIM Ranges'!$AL18&lt;'PIM Ranges'!$BC$14,"Q4","Q5")))),IF('PIM Ranges'!$AK18='PIM Ranges'!$AY$15,IF('PIM Ranges'!$AL18&lt;'PIM Ranges'!$AZ$15,"Q1",IF('PIM Ranges'!$AL18&lt;'PIM Ranges'!$BA$15,"Q2",IF('PIM Ranges'!$AL18&lt;'PIM Ranges'!$BB$15,"Q3",IF('PIM Ranges'!$AL18&lt;'PIM Ranges'!$BC$15,"Q4","Q5")))),IF('PIM Ranges'!$AK18='PIM Ranges'!$AY$16,IF('PIM Ranges'!$AL18&lt;'PIM Ranges'!$AZ$16,"Q1",IF('PIM Ranges'!$AL18&lt;'PIM Ranges'!$BA$16,"Q2",IF('PIM Ranges'!$AL18&lt;'PIM Ranges'!$BB$16,"Q3",IF('PIM Ranges'!$AL18&lt;'PIM Ranges'!$BC$16,"Q4","Q5")))),IF('PIM Ranges'!$AK18='PIM Ranges'!$AY$17,IF('PIM Ranges'!$AL18&lt;'PIM Ranges'!$AZ$17,"Q1",IF('PIM Ranges'!$AL18&lt;'PIM Ranges'!$BA$17,"Q2",IF('PIM Ranges'!$AL18&lt;'PIM Ranges'!$BB$17,"Q3",IF('PIM Ranges'!$AL18&lt;'PIM Ranges'!$BC$17,"Q4","Q5")))),IF('PIM Ranges'!$AK18='PIM Ranges'!$AY$18,IF('PIM Ranges'!$AL18&lt;'PIM Ranges'!$AZ$18,"Q1",IF('PIM Ranges'!$AL18&lt;'PIM Ranges'!$BA$18,"Q2",IF('PIM Ranges'!$AL18&lt;'PIM Ranges'!$BB$18,"Q3",IF('PIM Ranges'!$AL18&lt;'PIM Ranges'!$BC$18,"Q4","Q5")))),IF('PIM Ranges'!$AK18='PIM Ranges'!$AY$19,IF('PIM Ranges'!$AL18&lt;'PIM Ranges'!$AZ$19,"Q1",IF('PIM Ranges'!$AL18&lt;'PIM Ranges'!$BA$19,"Q2",IF('PIM Ranges'!$AL18&lt;'PIM Ranges'!$BB$19,"Q3",IF('PIM Ranges'!$AL18&lt;'PIM Ranges'!$BC$19,"Q4","Q5")))),IF('PIM Ranges'!$AK18='PIM Ranges'!$AY$20,IF('PIM Ranges'!$AL18&lt;'PIM Ranges'!$AZ$20,"Q1",IF('PIM Ranges'!$AL18&lt;'PIM Ranges'!$BA$20,"Q2",IF('PIM Ranges'!$AL18&lt;'PIM Ranges'!$BB$20,"Q3",IF('PIM Ranges'!$AL18&lt;'PIM Ranges'!$BC$20,"Q4","Q5")))),IF('PIM Ranges'!$AK18='PIM Ranges'!$AY$21,IF('PIM Ranges'!$AL18&lt;'PIM Ranges'!$AZ$21,"Q1",IF('PIM Ranges'!$AL18&lt;'PIM Ranges'!$BA$21,"Q2",IF('PIM Ranges'!$AL18&lt;'PIM Ranges'!$BB$21,"Q3",IF('PIM Ranges'!$AL18&lt;'PIM Ranges'!$BC$21,"Q4","Q5")))),IF('PIM Ranges'!$AK18='PIM Ranges'!$AY$22,IF('PIM Ranges'!$AL18&lt;'PIM Ranges'!$AZ$22,"Q1",IF('PIM Ranges'!$AL18&lt;'PIM Ranges'!$BA$22,"Q2",IF('PIM Ranges'!$AL18&lt;'PIM Ranges'!$BB$22,"Q3",IF('PIM Ranges'!$AL18&lt;'PIM Ranges'!$BC$22,"Q4","Q5")))),IF('PIM Ranges'!$AK18='PIM Ranges'!$AY$23,IF('PIM Ranges'!$AL18&lt;'PIM Ranges'!$AZ$23,"Q1",IF('PIM Ranges'!$AL18&lt;'PIM Ranges'!$BA$23,"Q2",IF('PIM Ranges'!$AL18&lt;'PIM Ranges'!$BB$23,"Q3",IF('PIM Ranges'!$AL18&lt;'PIM Ranges'!$BC$23,"Q4","Q5")))),IF('PIM Ranges'!$AK18='PIM Ranges'!$AY$24,IF('PIM Ranges'!$AL18&lt;'PIM Ranges'!$AZ$24,"Q1",IF('PIM Ranges'!$AL18&lt;'PIM Ranges'!$BA$24,"Q2",IF('PIM Ranges'!$AL18&lt;'PIM Ranges'!$BB$24,"Q3",IF('PIM Ranges'!$AL18&lt;'PIM Ranges'!$BC$24,"Q4","Q5")))),IF('PIM Ranges'!$AK18='PIM Ranges'!$AY$25,IF('PIM Ranges'!$AL18&lt;'PIM Ranges'!$AZ$25,"Q1",IF('PIM Ranges'!$AL18&lt;'PIM Ranges'!$BA$25,"Q2",IF('PIM Ranges'!$AL18&lt;'PIM Ranges'!$BB$25,"Q3",IF('PIM Ranges'!$AL18&lt;'PIM Ranges'!$BC$25,"Q4","Q5")))),IF('PIM Ranges'!$AK18='PIM Ranges'!$AY$26,IF('PIM Ranges'!$AL18&lt;'PIM Ranges'!$AZ$26,"Q1",IF('PIM Ranges'!$AL18&lt;'PIM Ranges'!$BA$26,"Q2",IF('PIM Ranges'!$AL18&lt;'PIM Ranges'!$BB$26,"Q3",IF('PIM Ranges'!$AL18&lt;'PIM Ranges'!$BC$26,"Q4","Q5")))),IF('PIM Ranges'!$AK18='PIM Ranges'!$AY$27,IF('PIM Ranges'!$AL18&lt;'PIM Ranges'!$AZ$27,"Q1",IF('PIM Ranges'!$AL18&lt;'PIM Ranges'!$BA$27,"Q2",IF('PIM Ranges'!$AL18&lt;'PIM Ranges'!$BB$27,"Q3",IF('PIM Ranges'!$AL18&lt;'PIM Ranges'!$BC$27,"Q4","Q5")))),IF('PIM Ranges'!$AK18='PIM Ranges'!$AY$28,IF('PIM Ranges'!$AL18&lt;'PIM Ranges'!$AZ$28,"Q1",IF('PIM Ranges'!$AL18&lt;'PIM Ranges'!$BA$28,"Q2",IF('PIM Ranges'!$AL18&lt;'PIM Ranges'!$BB$28,"Q3",IF('PIM Ranges'!$AL18&lt;'PIM Ranges'!$BC$28,"Q4","Q5")))),IF('PIM Ranges'!$AK18='PIM Ranges'!$AY$29,IF('PIM Ranges'!$AL18&lt;'PIM Ranges'!$AZ$29,"Q1",IF('PIM Ranges'!$AL18&lt;'PIM Ranges'!$BA$29,"Q2",IF('PIM Ranges'!$AL18&lt;'PIM Ranges'!$BB$29,"Q3",IF('PIM Ranges'!$AL18&lt;'PIM Ranges'!$BC$29,"Q4","Q5")))),IF('PIM Ranges'!$AK18='PIM Ranges'!$AY$30,IF('PIM Ranges'!$AL18&lt;'PIM Ranges'!$AZ$30,"Q1",IF('PIM Ranges'!$AL18&lt;'PIM Ranges'!$BA$30,"Q2",IF('PIM Ranges'!$AL18&lt;'PIM Ranges'!$BB$30,"Q3",IF('PIM Ranges'!$AL18&lt;'PIM Ranges'!$BC$30,"Q4","Q5")))),IF('PIM Ranges'!$AK18='PIM Ranges'!$AY$31,IF('PIM Ranges'!$AL18&lt;'PIM Ranges'!$AZ$31,"Q1",IF('PIM Ranges'!$AL18&lt;'PIM Ranges'!$BA$31,"Q2",IF('PIM Ranges'!$AL18&lt;'PIM Ranges'!$BB$31,"Q3",IF('PIM Ranges'!$AL18&lt;'PIM Ranges'!$BC$31,"Q4","Q5")))),IF('PIM Ranges'!$AK18='PIM Ranges'!$AY$32,IF('PIM Ranges'!$AL18&lt;'PIM Ranges'!$AZ$32,"Q1",IF('PIM Ranges'!$AL18&lt;'PIM Ranges'!$BA$32,"Q2",IF('PIM Ranges'!$AL18&lt;'PIM Ranges'!$BB$32,"Q3",IF('PIM Ranges'!$AL18&lt;'PIM Ranges'!$BC$32,"Q4","Q5"))))))))))))))))))))))))))</f>
        <v>Q1</v>
      </c>
      <c r="AZ20" s="301">
        <f t="shared" si="31"/>
        <v>0</v>
      </c>
      <c r="BA20" s="39">
        <f>'PIM Model'!C16</f>
        <v>0</v>
      </c>
      <c r="BB20" s="301"/>
      <c r="BC20" s="301"/>
      <c r="BD20" s="301" t="e">
        <f t="shared" si="72"/>
        <v>#DIV/0!</v>
      </c>
      <c r="BE20" s="301"/>
      <c r="BF20" s="301"/>
      <c r="BG20" s="105">
        <v>9</v>
      </c>
      <c r="BH20" s="18">
        <f t="array" ref="BH20">IF('Customer Inputs'!$W$6="End",0,IFERROR(IF($BU20="SEGMENT",INDEX('Margin Guidence Table'!$A$1:$AG$10000,MATCH(1,('Margin Guidence Table'!$A$1:$A$10000=$BS20)*('Margin Guidence Table'!$I$1:$I$10000&lt;=ROUND($BK$3,0))*('Margin Guidence Table'!$J$1:$J$10000&gt;=ROUND($BK$3,0)),0),MATCH("PCT_SALES",'Margin Guidence Table'!$A$1:$AG$1,0)),INDEX('Margin Guidence Table'!$A$1:$AG$10000,MATCH(1,('Margin Guidence Table'!$A$1:$A$10000=$BS20)*('Margin Guidence Table'!$I$1:$I$10000&lt;=ROUND($BK$3,0))*('Margin Guidence Table'!$J$1:$J$10000&gt;=ROUND($BK$3,0)),0),MATCH("DEFAULT_PCT_SALES",'Margin Guidence Table'!$A$1:$AG$1,0))),0))</f>
        <v>0</v>
      </c>
      <c r="BI20" s="297" t="e">
        <f t="shared" si="32"/>
        <v>#DIV/0!</v>
      </c>
      <c r="BJ20" s="99" t="s">
        <v>98</v>
      </c>
      <c r="BK20" s="91">
        <f>IF('Customer Inputs'!$W$6="End",0,IFERROR(IF(AND($BK$2&lt;&gt;"Enter Spend&gt;&gt;&gt;",$BL$2="EXISTING"),SUMIFS('Existing Customers'!$Q:$Q,'Existing Customers'!$A:$A,$BK$1,'Existing Customers'!$H:$H,$BJ20)*$BK$4,$BK$3*$BI20),0))</f>
        <v>0</v>
      </c>
      <c r="BL20" s="92">
        <f>IF('Customer Inputs'!$W$6="End",0,IFERROR(IF(AND($BK$2&lt;&gt;"Enter Spend&gt;&gt;&gt;",$BL$2="EXISTING"),SUMIFS('Existing Customers'!$N:$N,'Existing Customers'!$A:$A,$BK$1,'Existing Customers'!$H:$H,$BJ20)*$BK$4,$BK20/$BV20),0))</f>
        <v>0</v>
      </c>
      <c r="BM20" s="92">
        <f>IF('Customer Inputs'!$W$6="End",0,IFERROR(IF(AND($BK$2&lt;&gt;"Enter Spend&gt;&gt;&gt;",$BL$2="EXISTING"),SUMIFS('Existing Customers'!$O:$O,'Existing Customers'!$H:$H,$BJ20,'Existing Customers'!$A:$A,$BK$1)*$BK$4,$BL20*$BK$8),0))</f>
        <v>0</v>
      </c>
      <c r="BN20" s="92">
        <f>IF('Customer Inputs'!$W$6="End",0,IFERROR(IF(AND($BK$2&lt;&gt;"Enter Spend&gt;&gt;&gt;",$BL$2="EXISTING"),SUMIFS('Existing Customers'!$P:$P,'Existing Customers'!$A:$A,$BK$1,'Existing Customers'!$H:$H,$BJ20)*$BK$4,$BK20/$BW20),0))</f>
        <v>0</v>
      </c>
      <c r="BO20" s="303">
        <f>IF('Customer Inputs'!$W$6="End",0,IFERROR(IF(AND($BK$2&lt;&gt;"Enter Spend&gt;&gt;&gt;",$BL$2="EXISTING"),SUMIFS('Existing Customers'!$V:$V,'Existing Customers'!$H:$H,$BJ20,'Existing Customers'!$A:$A,$BK$1)*$BK$4,0),0))</f>
        <v>0</v>
      </c>
      <c r="BP20" s="93">
        <f>IF('Customer Inputs'!$W$6="End",0,IFERROR(IF(AND($BK$2&lt;&gt;"Enter Spend&gt;&gt;&gt;",$BL$2="EXISTING"),SUMIFS('Existing Customers'!$R:$R,'Existing Customers'!$H:$H,$BJ20,'Existing Customers'!$A:$A,$BK$1)*$BK$4,0),0))</f>
        <v>0</v>
      </c>
      <c r="BQ20" s="93">
        <f>IF('Customer Inputs'!$W$6="End",0,IFERROR(IF(AND($BK$2&lt;&gt;"Enter Spend&gt;&gt;&gt;",$BL$2="EXISTING"),SUMIFS('Existing Customers'!$S:$S,'Existing Customers'!$H:$H,$BJ20,'Existing Customers'!$A:$A,$BK$1)/SUMIFS('Existing Customers'!$Q:$Q,'Existing Customers'!$A:$A,$BK$1,'Existing Customers'!$H:$H,$BJ20),CA20),0))</f>
        <v>0</v>
      </c>
      <c r="BR20" s="93">
        <f>IF('Customer Inputs'!$W$6="End",0,IFERROR(IF(AND($BK$2&lt;&gt;"Enter Spend&gt;&gt;&gt;",$BL$2="EXISTING"),SUMIFS('Existing Customers'!$U:$U,'Existing Customers'!$H:$H,$BJ20,'Existing Customers'!$A:$A,$BK$1)/SUMIFS('Existing Customers'!$Q:$Q,'Existing Customers'!$A:$A,$BK$1,'Existing Customers'!$H:$H,$BJ20),CB20),0))</f>
        <v>0</v>
      </c>
      <c r="BS20" s="782" t="e">
        <f>_xlfn.CONCAT('Customer Inputs'!$AH$6,"_",BJ20)</f>
        <v>#N/A</v>
      </c>
      <c r="BT20" s="783">
        <f t="array" ref="BT20">IF('Customer Inputs'!$W$6="End",0,IFERROR(INDEX('Margin Guidence Table'!$A$1:$AG$10000,MATCH(1,('Margin Guidence Table'!$A$1:$A$10000=$BS20)*('Margin Guidence Table'!$I$1:$I$10000&lt;=ROUND($BK$3,0))*('Margin Guidence Table'!$J$1:$J$10000&gt;=ROUND($BK$3,0)),0),MATCH("DATA_POINTS",'Margin Guidence Table'!$A$1:$AG$1,0)),0))</f>
        <v>0</v>
      </c>
      <c r="BU20" s="780" t="str">
        <f t="shared" si="33"/>
        <v>DEFAULT</v>
      </c>
      <c r="BV20" s="780">
        <f t="array" ref="BV20">IF('Customer Inputs'!$W$6="End",0,IFERROR(IF($BU20="SEGMENT",INDEX('Margin Guidence Table'!$A$1:$AG$10000,MATCH(1,('Margin Guidence Table'!$A$1:$A$10000=$BS20)*('Margin Guidence Table'!$I$1:$I$10000&lt;=ROUND($BK$3,0))*('Margin Guidence Table'!$J$1:$J$10000&gt;=ROUND($BK$3,0)),0),MATCH("SALES_CASE",'Margin Guidence Table'!$A$1:$AG$1,0)),INDEX('Margin Guidence Table'!$A$1:$AG$10000,MATCH(1,('Margin Guidence Table'!$A$1:$A$10000=$BS20)*('Margin Guidence Table'!$I$1:$I$10000&lt;=ROUND($BK$3,0))*('Margin Guidence Table'!$J$1:$J$10000&gt;=ROUND($BK$3,0)),0),MATCH("DEFAULT_SALES_CASE",'Margin Guidence Table'!$A$1:$AG$1,0))),0))</f>
        <v>0</v>
      </c>
      <c r="BW20" s="780">
        <f t="array" ref="BW20">IF('Customer Inputs'!$W$6="End",0,IFERROR(IF($BU20="SEGMENT",INDEX('Margin Guidence Table'!$A$1:$AG$10000,MATCH(1,('Margin Guidence Table'!$A$1:$A$10000=$BS20)*('Margin Guidence Table'!$I$1:$I$10000&lt;=ROUND($BK$3,0))*('Margin Guidence Table'!$J$1:$J$10000&gt;=ROUND($BK$3,0)),0),MATCH("SALES_LBS",'Margin Guidence Table'!$A$1:$AG$1,0)),INDEX('Margin Guidence Table'!$A$1:$AG$10000,MATCH(1,('Margin Guidence Table'!$A$1:$A$10000=$BS20)*('Margin Guidence Table'!$I$1:$I$10000&lt;=ROUND($BK$3,0))*('Margin Guidence Table'!$J$1:$J$10000&gt;=ROUND($BK$3,0)),0),MATCH("DEFAULT_SALES_LBS",'Margin Guidence Table'!$A$1:$AG$1,0))),0))</f>
        <v>0</v>
      </c>
      <c r="BX20" s="784">
        <f t="array" ref="BX20">IF('Customer Inputs'!$W$6="End",0,IFERROR(IF($BU20="SEGMENT",INDEX('Margin Guidence Table'!$A$1:$AG$10000,MATCH(1,('Margin Guidence Table'!$A$1:$A$10000=$BS20)*('Margin Guidence Table'!$I$1:$I$10000&lt;=ROUND($BK$3,0))*('Margin Guidence Table'!$J$1:$J$10000&gt;=ROUND($BK$3,0)),0),MATCH("MDA_MIN_MARGIN_GUIDENCE",'Margin Guidence Table'!$A$1:$AG$1,0)),INDEX('Margin Guidence Table'!$A$1:$AG$10000,MATCH(1,('Margin Guidence Table'!$A$1:$A$10000=$BS20)*('Margin Guidence Table'!$I$1:$I$10000&lt;=ROUND($BK$3,0))*('Margin Guidence Table'!$J$1:$J$10000&gt;=ROUND($BK$3,0)),0),MATCH("DEFAULT_MDA_MIN_MARGIN_GUIDENCE",'Margin Guidence Table'!$A$1:$AG$1,0))),0))</f>
        <v>0</v>
      </c>
      <c r="BY20" s="784">
        <f t="array" ref="BY20">IF('Customer Inputs'!$W$6="End",0,IFERROR(IF($BU20="SEGMENT",INDEX('Margin Guidence Table'!$A$1:$AG$10000,MATCH(1,('Margin Guidence Table'!$A$1:$A$10000=$BS20)*('Margin Guidence Table'!$I$1:$I$10000&lt;=ROUND($BK$3,0))*('Margin Guidence Table'!$J$1:$J$10000&gt;=ROUND($BK$3,0)),0),MATCH("MDA_MEDIAN_MARGIN_GUIDENCE",'Margin Guidence Table'!$A$1:$AG$1,0)),INDEX('Margin Guidence Table'!$A$1:$AG$10000,MATCH(1,('Margin Guidence Table'!$A$1:$A$10000=$BS20)*('Margin Guidence Table'!$I$1:$I$10000&lt;=ROUND($BK$3,0))*('Margin Guidence Table'!$J$1:$J$10000&gt;=ROUND($BK$3,0)),0),MATCH("DEFAULT_MDA_MEDIAN_MARGIN_GUIDENCE",'Margin Guidence Table'!$A$1:$AG$1,0))),0))</f>
        <v>0</v>
      </c>
      <c r="BZ20" s="784">
        <f t="array" ref="BZ20">IF('Customer Inputs'!$W$6="End",0,IFERROR(IF($BU20="SEGMENT",INDEX('Margin Guidence Table'!$A$1:$AG$10000,MATCH(1,('Margin Guidence Table'!$A$1:$A$10000=$BS20)*('Margin Guidence Table'!$I$1:$I$10000&lt;=ROUND($BK$3,0))*('Margin Guidence Table'!$J$1:$J$10000&gt;=ROUND($BK$3,0)),0),MATCH("MDA_MAX_MARGIN_GUIDENCE",'Margin Guidence Table'!$A$1:$AG$1,0)),INDEX('Margin Guidence Table'!$A$1:$AG$10000,MATCH(1,('Margin Guidence Table'!$A$1:$A$10000=$BS20)*('Margin Guidence Table'!$I$1:$I$10000&lt;=ROUND($BK$3,0))*('Margin Guidence Table'!$J$1:$J$10000&gt;=ROUND($BK$3,0)),0),MATCH("DEFAULT_MDA_MAX_MARGIN_GUIDENCE",'Margin Guidence Table'!$A$1:$AG$1,0))),0))</f>
        <v>0</v>
      </c>
      <c r="CA20" s="784">
        <f t="array" ref="CA20">IF('Customer Inputs'!$W$6="End",0,IFERROR(IF($BU20="SEGMENT",INDEX('Margin Guidence Table'!$A$1:$AG$10000,MATCH(1,('Margin Guidence Table'!$A$1:$A$10000=$BS20)*('Margin Guidence Table'!$I$1:$I$10000&lt;=ROUND($BK$3,0))*('Margin Guidence Table'!$J$1:$J$10000&gt;=ROUND($BK$3,0)),0),MATCH("PA_PCT_SALES",'Margin Guidence Table'!$A$1:$AG$1,0)),INDEX('Margin Guidence Table'!$A$1:$AG$10000,MATCH(1,('Margin Guidence Table'!$A$1:$A$10000=$BS20)*('Margin Guidence Table'!$I$1:$I$10000&lt;=ROUND($BK$3,0))*('Margin Guidence Table'!$J$1:$J$10000&gt;=ROUND($BK$3,0)),0),MATCH("DEFAULT_PA_PCT_SALES",'Margin Guidence Table'!$A$1:$AG$1,0))),0))</f>
        <v>0</v>
      </c>
      <c r="CB20" s="784">
        <f t="array" ref="CB20">IF('Customer Inputs'!$W$6="End",0,IFERROR(IF($BU20="SEGMENT",INDEX('Margin Guidence Table'!$A$1:$AG$10000,MATCH(1,('Margin Guidence Table'!$A$1:$A$10000=$BS20)*('Margin Guidence Table'!$I$1:$I$10000&lt;=ROUND($BK$3,0))*('Margin Guidence Table'!$J$1:$J$10000&gt;=ROUND($BK$3,0)),0),MATCH("SELF_FUND_PCT_SALES",'Margin Guidence Table'!$A$1:$AG$1,0)),INDEX('Margin Guidence Table'!$A$1:$AG$10000,MATCH(1,('Margin Guidence Table'!$A$1:$A$10000=$BS20)*('Margin Guidence Table'!$I$1:$I$10000&lt;=ROUND($BK$3,0))*('Margin Guidence Table'!$J$1:$J$10000&gt;=ROUND($BK$3,0)),0),MATCH("DEFAULT_SELF_FUND_PCT_SALES",'Margin Guidence Table'!$A$1:$AG$1,0))),0))</f>
        <v>0</v>
      </c>
      <c r="CC20" s="784">
        <f t="array" ref="CC20">IF('Customer Inputs'!$W$6="End",0,IF($BL$2="Existing",IFERROR(SUMIFS('Existing Customers'!$V:$V,'Existing Customers'!$H:$H,$BJ20,'Existing Customers'!$A:$A,$BK$1)/SUMIFS('Existing Customers'!$Q:$Q,'Existing Customers'!$H:$H,$BJ20,'Existing Customers'!$A:$A,$BK$1),0),IFERROR(IF($BU20="SEGMENT",INDEX('Margin Guidence Table'!$A$1:$AG$10000,MATCH(1,('Margin Guidence Table'!$A$1:$A$10000=$BS20)*('Margin Guidence Table'!$I$1:$I$10000&lt;=ROUND($BK$3,0))*('Margin Guidence Table'!$J$1:$J$10000&gt;=ROUND($BK$3,0)),0),MATCH("CIA_MEDIAN_MARGIN_GUIDENCE",'Margin Guidence Table'!$A$1:$AG$1,0)),INDEX('Margin Guidence Table'!$A$1:$AG$10000,MATCH(1,('Margin Guidence Table'!$A$1:$A$10000=$BS20)*('Margin Guidence Table'!$I$1:$I$10000&lt;=ROUND($BK$3,0))*('Margin Guidence Table'!$J$1:$J$10000&gt;=ROUND($BK$3,0)),0),MATCH("DEFAULT_CIA_MEDIAN_MARGIN_GUIDENCE",'Margin Guidence Table'!$A$1:$AG$1,0))),0)))</f>
        <v>0</v>
      </c>
      <c r="CD20" s="126"/>
      <c r="CE20" s="18">
        <f t="array" ref="CE20">IF('Customer Inputs'!$W$7="End",0,IFERROR(IF($CR20="SEGMENT",INDEX('Margin Guidence Table'!$A$1:$AG$10000,MATCH(1,('Margin Guidence Table'!$A$1:$A$10000=$CP20)*('Margin Guidence Table'!$I$1:$I$10000&lt;=ROUND($CH$3,0))*('Margin Guidence Table'!$J$1:$J$10000&gt;=ROUND($CH$3,0)),0),MATCH("PCT_SALES",'Margin Guidence Table'!$A$1:$AG$1,0)),INDEX('Margin Guidence Table'!$A$1:$AG$10000,MATCH(1,('Margin Guidence Table'!$A$1:$A$10000=$CP20)*('Margin Guidence Table'!$I$1:$I$10000&lt;=ROUND($CH$3,0))*('Margin Guidence Table'!$J$1:$J$10000&gt;=ROUND($CH$3,0)),0),MATCH("DEFAULT_PCT_SALES",'Margin Guidence Table'!$A$1:$AG$1,0))),0))</f>
        <v>0</v>
      </c>
      <c r="CF20" s="297" t="e">
        <f t="shared" si="34"/>
        <v>#DIV/0!</v>
      </c>
      <c r="CG20" s="99" t="s">
        <v>98</v>
      </c>
      <c r="CH20" s="91">
        <f>IF('Customer Inputs'!$W$7="End",0,IFERROR(IF(AND($CH$2&lt;&gt;"Enter Spend&gt;&gt;&gt;",$CI$2="EXISTING"),SUMIFS('Existing Customers'!$Q:$Q,'Existing Customers'!$A:$A,$CH$1,'Existing Customers'!$H:$H,$CG20)*$CH$4,$CH$3*$CF20),0))</f>
        <v>0</v>
      </c>
      <c r="CI20" s="86">
        <f>IF('Customer Inputs'!$W$7="End",0,IFERROR(IF(AND($CH$2&lt;&gt;"Enter Spend&gt;&gt;&gt;",$CI$2="EXISTING"),SUMIFS('Existing Customers'!$N:$N,'Existing Customers'!$A:$A,$CH$1,'Existing Customers'!$H:$H,$CG20)*$CH$4,$CH20/$CS20),0))</f>
        <v>0</v>
      </c>
      <c r="CJ20" s="92">
        <f>IF('Customer Inputs'!$W$7="End",0,IFERROR(IF(AND($CH$2&lt;&gt;"Enter Spend&gt;&gt;&gt;",$CI$2="EXISTING"),SUMIFS('Existing Customers'!$O:$O,'Existing Customers'!$H:$H,$CG20,'Existing Customers'!$A:$A,$CH$1)*$CH$4,$CI20*$CH$8),0))</f>
        <v>0</v>
      </c>
      <c r="CK20" s="92">
        <f>IF('Customer Inputs'!$W$7="End",0,IFERROR(IF(AND($CH$2&lt;&gt;"Enter Spend&gt;&gt;&gt;",$CI$2="EXISTING"),SUMIFS('Existing Customers'!$P:$P,'Existing Customers'!$A:$A,$CH$1,'Existing Customers'!$H:$H,$CG20)*$CH$4,$CH20/$CT20),0))</f>
        <v>0</v>
      </c>
      <c r="CL20" s="93">
        <f>IF('Customer Inputs'!$W$7="End",0,IFERROR(IF(AND($CH$2&lt;&gt;"Enter Spend&gt;&gt;&gt;",$CI$2="EXISTING"),SUMIFS('Existing Customers'!$V:$V,'Existing Customers'!$H:$H,$CG20,'Existing Customers'!$A:$A,$CH$1)*$CH$4,0),0))</f>
        <v>0</v>
      </c>
      <c r="CM20" s="93">
        <f>IF('Customer Inputs'!$W$7="End",0,IFERROR(IF(AND($CH$2&lt;&gt;"Enter Spend&gt;&gt;&gt;",$CI$2="EXISTING"),SUMIFS('Existing Customers'!$R:$R,'Existing Customers'!$H:$H,$CG20,'Existing Customers'!$A:$A,$CH$1)*$CH$4,0),0))</f>
        <v>0</v>
      </c>
      <c r="CN20" s="780">
        <f>IF('Customer Inputs'!$W$7="End",0,IFERROR(IF(AND($CH$2&lt;&gt;"Enter Spend&gt;&gt;&gt;",$CI$2="EXISTING"),SUMIFS('Existing Customers'!$S:$S,'Existing Customers'!$H:$H,$CG20,'Existing Customers'!$A:$A,$CH$1)/SUMIFS('Existing Customers'!$Q:$Q,'Existing Customers'!$A:$A,$CH$1,'Existing Customers'!$H:$H,$CG20),CX20),0))</f>
        <v>0</v>
      </c>
      <c r="CO20" s="780">
        <f>IF('Customer Inputs'!$W$7="End",0,IFERROR(IF(AND($CH$2&lt;&gt;"Enter Spend&gt;&gt;&gt;",$CI$2="EXISTING"),SUMIFS('Existing Customers'!$U:$U,'Existing Customers'!$H:$H,$CG20,'Existing Customers'!$A:$A,$CH$1)/SUMIFS('Existing Customers'!$Q:$Q,'Existing Customers'!$A:$A,$CH$1,'Existing Customers'!$H:$H,$CG20),CY20),0))</f>
        <v>0</v>
      </c>
      <c r="CP20" s="783" t="e">
        <f>_xlfn.CONCAT('Customer Inputs'!$AH$7,"_",CG20)</f>
        <v>#N/A</v>
      </c>
      <c r="CQ20" s="783">
        <f t="array" ref="CQ20">IFERROR(INDEX('Margin Guidence Table'!$A$1:$AG$10000,MATCH(1,('Margin Guidence Table'!$A$1:$A$10000=$CP20)*('Margin Guidence Table'!$I$1:$I$10000&lt;=ROUND($CH$3,0))*('Margin Guidence Table'!$J$1:$J$10000&gt;=ROUND($CH$3,0)),0),MATCH("DATA_POINTS",'Margin Guidence Table'!$A$1:$AG$1,0)),0)</f>
        <v>0</v>
      </c>
      <c r="CR20" s="780" t="str">
        <f t="shared" si="35"/>
        <v>DEFAULT</v>
      </c>
      <c r="CS20" s="780">
        <f t="array" ref="CS20">IF('Customer Inputs'!$W$7="End",0,IFERROR(IF($CR20="SEGMENT",INDEX('Margin Guidence Table'!$A$1:$AG$10000,MATCH(1,('Margin Guidence Table'!$A$1:$A$10000=$CP20)*('Margin Guidence Table'!$I$1:$I$10000&lt;=ROUND($CH$3,0))*('Margin Guidence Table'!$J$1:$J$10000&gt;=ROUND($CH$3,0)),0),MATCH("SALES_CASE",'Margin Guidence Table'!$A$1:$AG$1,0)),INDEX('Margin Guidence Table'!$A$1:$AG$10000,MATCH(1,('Margin Guidence Table'!$A$1:$A$10000=$CP20)*('Margin Guidence Table'!$I$1:$I$10000&lt;=ROUND($CH$3,0))*('Margin Guidence Table'!$J$1:$J$10000&gt;=ROUND($CH$3,0)),0),MATCH("DEFAULT_SALES_CASE",'Margin Guidence Table'!$A$1:$AG$1,0))),0))</f>
        <v>0</v>
      </c>
      <c r="CT20" s="780">
        <f t="array" ref="CT20">IF('Customer Inputs'!$W$7="End",0,IFERROR(IF($CR20="SEGMENT",INDEX('Margin Guidence Table'!$A$1:$AG$10000,MATCH(1,('Margin Guidence Table'!$A$1:$A$10000=$CP20)*('Margin Guidence Table'!$I$1:$I$10000&lt;=ROUND($CH$3,0))*('Margin Guidence Table'!$J$1:$J$10000&gt;=ROUND($CH$3,0)),0),MATCH("SALES_LBS",'Margin Guidence Table'!$A$1:$AG$1,0)),INDEX('Margin Guidence Table'!$A$1:$AG$10000,MATCH(1,('Margin Guidence Table'!$A$1:$A$10000=$CP20)*('Margin Guidence Table'!$I$1:$I$10000&lt;=ROUND($CH$3,0))*('Margin Guidence Table'!$J$1:$J$10000&gt;=ROUND($CH$3,0)),0),MATCH("DEFAULT_SALES_LBS",'Margin Guidence Table'!$A$1:$AG$1,0))),0))</f>
        <v>0</v>
      </c>
      <c r="CU20" s="784">
        <f t="array" ref="CU20">IF('Customer Inputs'!$W$7="End",0,IFERROR(IF($CR20="SEGMENT",INDEX('Margin Guidence Table'!$A$1:$AG$10000,MATCH(1,('Margin Guidence Table'!$A$1:$A$10000=$CP20)*('Margin Guidence Table'!$I$1:$I$10000&lt;=ROUND($CH$3,0))*('Margin Guidence Table'!$J$1:$J$10000&gt;=ROUND($CH$3,0)),0),MATCH("MDA_MIN_MARGIN_GUIDENCE",'Margin Guidence Table'!$A$1:$AG$1,0)),INDEX('Margin Guidence Table'!$A$1:$AG$10000,MATCH(1,('Margin Guidence Table'!$A$1:$A$10000=$CP20)*('Margin Guidence Table'!$I$1:$I$10000&lt;=ROUND($CH$3,0))*('Margin Guidence Table'!$J$1:$J$10000&gt;=ROUND($CH$3,0)),0),MATCH("DEFAULT_MDA_MIN_MARGIN_GUIDENCE",'Margin Guidence Table'!$A$1:$AG$1,0))),0))</f>
        <v>0</v>
      </c>
      <c r="CV20" s="784">
        <f t="array" ref="CV20">IF('Customer Inputs'!$W$7="End",0,IFERROR(IF($CR20="SEGMENT",INDEX('Margin Guidence Table'!$A$1:$AG$10000,MATCH(1,('Margin Guidence Table'!$A$1:$A$10000=$CP20)*('Margin Guidence Table'!$I$1:$I$10000&lt;=ROUND($CH$3,0))*('Margin Guidence Table'!$J$1:$J$10000&gt;=ROUND($CH$3,0)),0),MATCH("MDA_MEDIAN_MARGIN_GUIDENCE",'Margin Guidence Table'!$A$1:$AG$1,0)),INDEX('Margin Guidence Table'!$A$1:$AG$10000,MATCH(1,('Margin Guidence Table'!$A$1:$A$10000=$CP20)*('Margin Guidence Table'!$I$1:$I$10000&lt;=ROUND($CH$3,0))*('Margin Guidence Table'!$J$1:$J$10000&gt;=ROUND($CH$3,0)),0),MATCH("DEFAULT_MDA_MEDIAN_MARGIN_GUIDENCE",'Margin Guidence Table'!$A$1:$AG$1,0))),0))</f>
        <v>0</v>
      </c>
      <c r="CW20" s="784">
        <f t="array" ref="CW20">IF('Customer Inputs'!$W$7="End",0,IFERROR(IF($CR20="SEGMENT",INDEX('Margin Guidence Table'!$A$1:$AG$10000,MATCH(1,('Margin Guidence Table'!$A$1:$A$10000=$CP20)*('Margin Guidence Table'!$I$1:$I$10000&lt;=ROUND($CH$3,0))*('Margin Guidence Table'!$J$1:$J$10000&gt;=ROUND($CH$3,0)),0),MATCH("MDA_MAX_MARGIN_GUIDENCE",'Margin Guidence Table'!$A$1:$AG$1,0)),INDEX('Margin Guidence Table'!$A$1:$AG$10000,MATCH(1,('Margin Guidence Table'!$A$1:$A$10000=$CP20)*('Margin Guidence Table'!$I$1:$I$10000&lt;=ROUND($CH$3,0))*('Margin Guidence Table'!$J$1:$J$10000&gt;=ROUND($CH$3,0)),0),MATCH("DEFAULT_MDA_MAX_MARGIN_GUIDENCE",'Margin Guidence Table'!$A$1:$AG$1,0))),0))</f>
        <v>0</v>
      </c>
      <c r="CX20" s="784">
        <f t="array" ref="CX20">IF('Customer Inputs'!$W$7="End",0,IFERROR(IF($CR20="SEGMENT",INDEX('Margin Guidence Table'!$A$1:$AG$10000,MATCH(1,('Margin Guidence Table'!$A$1:$A$10000=$CP20)*('Margin Guidence Table'!$I$1:$I$10000&lt;=ROUND($CH$3,0))*('Margin Guidence Table'!$J$1:$J$10000&gt;=ROUND($CH$3,0)),0),MATCH("PA_PCT_SALES",'Margin Guidence Table'!$A$1:$AG$1,0)),INDEX('Margin Guidence Table'!$A$1:$AG$10000,MATCH(1,('Margin Guidence Table'!$A$1:$A$10000=$CP20)*('Margin Guidence Table'!$I$1:$I$10000&lt;=ROUND($CH$3,0))*('Margin Guidence Table'!$J$1:$J$10000&gt;=ROUND($CH$3,0)),0),MATCH("DEFAULT_PA_PCT_SALES",'Margin Guidence Table'!$A$1:$AG$1,0))),0))</f>
        <v>0</v>
      </c>
      <c r="CY20" s="784">
        <f t="array" ref="CY20">IF('Customer Inputs'!$W$7="End",0,IFERROR(IF($CR20="SEGMENT",INDEX('Margin Guidence Table'!$A$1:$AG$10000,MATCH(1,('Margin Guidence Table'!$A$1:$A$10000=$CP20)*('Margin Guidence Table'!$I$1:$I$10000&lt;=ROUND($CH$3,0))*('Margin Guidence Table'!$J$1:$J$10000&gt;=ROUND($CH$3,0)),0),MATCH("SELF_FUND_PCT_SALES",'Margin Guidence Table'!$A$1:$AG$1,0)),INDEX('Margin Guidence Table'!$A$1:$AG$10000,MATCH(1,('Margin Guidence Table'!$A$1:$A$10000=$CP20)*('Margin Guidence Table'!$I$1:$I$10000&lt;=ROUND($CH$3,0))*('Margin Guidence Table'!$J$1:$J$10000&gt;=ROUND($CH$3,0)),0),MATCH("DEFAULT_SELF_FUND_PCT_SALES",'Margin Guidence Table'!$A$1:$AG$1,0))),0))</f>
        <v>0</v>
      </c>
      <c r="CZ20" s="784">
        <f t="array" ref="CZ20">IF('Customer Inputs'!$W$7="End",0,IF($CI$2="Existing",IFERROR(SUMIFS('Existing Customers'!$V:$V,'Existing Customers'!$H:$H,$CG20,'Existing Customers'!$A:$A,$CH$1)/SUMIFS('Existing Customers'!$Q:$Q,'Existing Customers'!$H:$H,$CG20,'Existing Customers'!$A:$A,$CH$1),0),IFERROR(IF($CR20="SEGMENT",INDEX('Margin Guidence Table'!$A$1:$AG$10000,MATCH(1,('Margin Guidence Table'!$A$1:$A$10000=$CP20)*('Margin Guidence Table'!$I$1:$I$10000&lt;=ROUND($CH$3,0))*('Margin Guidence Table'!$J$1:$J$10000&gt;=ROUND($CH$3,0)),0),MATCH("CIA_MEDIAN_MARGIN_GUIDENCE",'Margin Guidence Table'!$A$1:$AG$1,0)),INDEX('Margin Guidence Table'!$A$1:$AG$10000,MATCH(1,('Margin Guidence Table'!$A$1:$A$10000=$CP20)*('Margin Guidence Table'!$I$1:$I$10000&lt;=ROUND($CH$3,0))*('Margin Guidence Table'!$J$1:$J$10000&gt;=ROUND($CH$3,0)),0),MATCH("DEFAULT_CIA_MEDIAN_MARGIN_GUIDENCE",'Margin Guidence Table'!$A$1:$AG$1,0))),0)))</f>
        <v>0</v>
      </c>
      <c r="DA20" s="126"/>
      <c r="DB20" s="18">
        <f t="array" ref="DB20">IF('Customer Inputs'!$W$8="End",0,IFERROR(IF($DO20="SEGMENT",INDEX('Margin Guidence Table'!$A$1:$AG$10000,MATCH(1,('Margin Guidence Table'!$A$1:$A$10000=$DM20)*('Margin Guidence Table'!$I$1:$I$10000&lt;=ROUND($DE$3,0))*('Margin Guidence Table'!$J$1:$J$10000&gt;=ROUND($DE$3,0)),0),MATCH("PCT_SALES",'Margin Guidence Table'!$A$1:$AG$1,0)),INDEX('Margin Guidence Table'!$A$1:$AG$10000,MATCH(1,('Margin Guidence Table'!$A$1:$A$10000=$DM20)*('Margin Guidence Table'!$I$1:$I$10000&lt;=ROUND($DE$3,0))*('Margin Guidence Table'!$J$1:$J$10000&gt;=ROUND($DE$3,0)),0),MATCH("DEFAULT_PCT_SALES",'Margin Guidence Table'!$A$1:$AG$1,0))),0))</f>
        <v>0</v>
      </c>
      <c r="DC20" s="297" t="e">
        <f t="shared" si="36"/>
        <v>#DIV/0!</v>
      </c>
      <c r="DD20" s="99" t="s">
        <v>98</v>
      </c>
      <c r="DE20" s="91">
        <f>IF('Customer Inputs'!$W$8="End",0,IFERROR(IF(AND($DE$2&lt;&gt;"Enter Spend&gt;&gt;&gt;",$DF$2="EXISTING"),SUMIFS('Existing Customers'!$Q:$Q,'Existing Customers'!$A:$A,$DE$1,'Existing Customers'!$H:$H,$DD20)*$DE$4,$DE$3*$DC20),0))</f>
        <v>0</v>
      </c>
      <c r="DF20" s="86">
        <f>IF('Customer Inputs'!$W$8="End",0,IFERROR(IF(AND($DE$2&lt;&gt;"Enter Spend&gt;&gt;&gt;",$DF$2="EXISTING"),SUMIFS('Existing Customers'!$N:$N,'Existing Customers'!$A:$A,$DE$1,'Existing Customers'!$H:$H,$DD20)*$DE$4,$DE20/$DP20),0))</f>
        <v>0</v>
      </c>
      <c r="DG20" s="92">
        <f>IF('Customer Inputs'!$W$8="End",0,IFERROR(IF(AND($DE$2&lt;&gt;"Enter Spend&gt;&gt;&gt;",$DF$2="EXISTING"),SUMIFS('Existing Customers'!$O:$O,'Existing Customers'!$H:$H,$DD20,'Existing Customers'!$A:$A,$DE$1)*$DE$4,$DF20*$DE$8),0))</f>
        <v>0</v>
      </c>
      <c r="DH20" s="92">
        <f>IF('Customer Inputs'!$W$8="End",0,IFERROR(IF(AND($DE$2&lt;&gt;"Enter Spend&gt;&gt;&gt;",$DF$2="EXISTING"),SUMIFS('Existing Customers'!$P:$P,'Existing Customers'!$A:$A,$DE$1,'Existing Customers'!$H:$H,$DD20)*$DE$4,$DE20/$DQ20),0))</f>
        <v>0</v>
      </c>
      <c r="DI20" s="93">
        <f>IF('Customer Inputs'!$W$8="End",0,IFERROR(IF(AND($DE$2&lt;&gt;"Enter Spend&gt;&gt;&gt;",$DF$2="EXISTING"),SUMIFS('Existing Customers'!$V:$V,'Existing Customers'!$H:$H,$DD20,'Existing Customers'!$A:$A,$DE$1)*$DE$4,0),0))</f>
        <v>0</v>
      </c>
      <c r="DJ20" s="93">
        <f>IF('Customer Inputs'!$W$8="End",0,IFERROR(IF(AND($DE$2&lt;&gt;"Enter Spend&gt;&gt;&gt;",$DF$2="EXISTING"),SUMIFS('Existing Customers'!$R:$R,'Existing Customers'!$H:$H,$DD20,'Existing Customers'!$A:$A,$DE$1)*$DE$4,0),0))</f>
        <v>0</v>
      </c>
      <c r="DK20" s="780">
        <f>IF('Customer Inputs'!$W$8="End",0,IFERROR(IF(AND($DE$2&lt;&gt;"Enter Spend&gt;&gt;&gt;",$DF$2="EXISTING"),SUMIFS('Existing Customers'!$S:$S,'Existing Customers'!$H:$H,$DD20,'Existing Customers'!$A:$A,$DE$1)/SUMIFS('Existing Customers'!$Q:$Q,'Existing Customers'!$A:$A,$DE$1,'Existing Customers'!$H:$H,$DD20),DU20),0))</f>
        <v>0</v>
      </c>
      <c r="DL20" s="780">
        <f>IF('Customer Inputs'!$W$8="End",0,IFERROR(IF(AND($DE$2&lt;&gt;"Enter Spend&gt;&gt;&gt;",$DF$2="EXISTING"),SUMIFS('Existing Customers'!$U:$U,'Existing Customers'!$H:$H,$DD20,'Existing Customers'!$A:$A,$DE$1)/SUMIFS('Existing Customers'!$Q:$Q,'Existing Customers'!$A:$A,$DE$1,'Existing Customers'!$H:$H,$DD20),DV20),0))</f>
        <v>0</v>
      </c>
      <c r="DM20" s="783" t="e">
        <f>_xlfn.CONCAT('Customer Inputs'!$AH$8,"_",DD20)</f>
        <v>#N/A</v>
      </c>
      <c r="DN20" s="783">
        <f t="array" ref="DN20">IF('Customer Inputs'!$W$8="End",0,IFERROR(INDEX('Margin Guidence Table'!$A$1:$AG$10000,MATCH(1,('Margin Guidence Table'!$A$1:$A$10000=DM20)*('Margin Guidence Table'!$I$1:$I$10000&lt;=ROUND($DE$3,0))*('Margin Guidence Table'!$J$1:$J$10000&gt;=ROUND($DE$3,0)),0),MATCH("DATA_POINTS",'Margin Guidence Table'!$A$1:$AG$1,0)),0))</f>
        <v>0</v>
      </c>
      <c r="DO20" s="780" t="str">
        <f t="shared" si="37"/>
        <v>DEFAULT</v>
      </c>
      <c r="DP20" s="780">
        <f t="array" ref="DP20">IF('Customer Inputs'!$W$8="End",0,IFERROR(IF($DO20="SEGMENT",INDEX('Margin Guidence Table'!$A$1:$AG$10000,MATCH(1,('Margin Guidence Table'!$A$1:$A$10000=DM20)*('Margin Guidence Table'!$I$1:$I$10000&lt;=ROUND($DE$3,0))*('Margin Guidence Table'!$J$1:$J$10000&gt;=ROUND($DE$3,0)),0),MATCH("SALES_CASE",'Margin Guidence Table'!$A$1:$AG$1,0)),INDEX('Margin Guidence Table'!$A$1:$AG$10000,MATCH(1,('Margin Guidence Table'!$A$1:$A$10000=DM20)*('Margin Guidence Table'!$I$1:$I$10000&lt;=ROUND($DE$3,0))*('Margin Guidence Table'!$J$1:$J$10000&gt;=ROUND($DE$3,0)),0),MATCH("DEFAULT_SALES_CASE",'Margin Guidence Table'!$A$1:$AG$1,0))),0))</f>
        <v>0</v>
      </c>
      <c r="DQ20" s="780">
        <f t="array" ref="DQ20">IF('Customer Inputs'!$W$8="End",0,IFERROR(IF($DO20="SEGMENT",INDEX('Margin Guidence Table'!$A$1:$AG$10000,MATCH(1,('Margin Guidence Table'!$A$1:$A$10000=DM20)*('Margin Guidence Table'!$I$1:$I$10000&lt;=ROUND($DE$3,0))*('Margin Guidence Table'!$J$1:$J$10000&gt;=ROUND($DE$3,0)),0),MATCH("SALES_LBS",'Margin Guidence Table'!$A$1:$AG$1,0)),INDEX('Margin Guidence Table'!$A$1:$AG$10000,MATCH(1,('Margin Guidence Table'!$A$1:$A$10000=DM20)*('Margin Guidence Table'!$I$1:$I$10000&lt;=ROUND($DE$3,0))*('Margin Guidence Table'!$J$1:$J$10000&gt;=ROUND($DE$3,0)),0),MATCH("DEFAULT_SALES_LBS",'Margin Guidence Table'!$A$1:$AG$1,0))),0))</f>
        <v>0</v>
      </c>
      <c r="DR20" s="784">
        <f t="array" ref="DR20">IF('Customer Inputs'!$W$8="End",0,IFERROR(IF($DO20="SEGMENT",INDEX('Margin Guidence Table'!$A$1:$AG$10000,MATCH(1,('Margin Guidence Table'!$A$1:$A$10000=DM20)*('Margin Guidence Table'!$I$1:$I$10000&lt;=ROUND($DE$3,0))*('Margin Guidence Table'!$J$1:$J$10000&gt;=ROUND($DE$3,0)),0),MATCH("MDA_MIN_MARGIN_GUIDENCE",'Margin Guidence Table'!$A$1:$AG$1,0)),INDEX('Margin Guidence Table'!$A$1:$AG$10000,MATCH(1,('Margin Guidence Table'!$A$1:$A$10000=DM20)*('Margin Guidence Table'!$I$1:$I$10000&lt;=ROUND($DE$3,0))*('Margin Guidence Table'!$J$1:$J$10000&gt;=ROUND($DE$3,0)),0),MATCH("DEFAULT_MDA_MIN_MARGIN_GUIDENCE",'Margin Guidence Table'!$A$1:$AG$1,0))),0))</f>
        <v>0</v>
      </c>
      <c r="DS20" s="784">
        <f t="array" ref="DS20">IF('Customer Inputs'!$W$8="End",0,IFERROR(IF($DO20="SEGMENT",INDEX('Margin Guidence Table'!$A$1:$AG$10000,MATCH(1,('Margin Guidence Table'!$A$1:$A$10000=DM20)*('Margin Guidence Table'!$I$1:$I$10000&lt;=ROUND($DE$3,0))*('Margin Guidence Table'!$J$1:$J$10000&gt;=ROUND($DE$3,0)),0),MATCH("MDA_MEDIAN_MARGIN_GUIDENCE",'Margin Guidence Table'!$A$1:$AG$1,0)),INDEX('Margin Guidence Table'!$A$1:$AG$10000,MATCH(1,('Margin Guidence Table'!$A$1:$A$10000=DM20)*('Margin Guidence Table'!$I$1:$I$10000&lt;=ROUND($DE$3,0))*('Margin Guidence Table'!$J$1:$J$10000&gt;=ROUND($DE$3,0)),0),MATCH("DEFAULT_MDA_MEDIAN_MARGIN_GUIDENCE",'Margin Guidence Table'!$A$1:$AG$1,0))),0))</f>
        <v>0</v>
      </c>
      <c r="DT20" s="784">
        <f t="array" ref="DT20">IF('Customer Inputs'!$W$8="End",0,IFERROR(IF($DO20="SEGMENT",INDEX('Margin Guidence Table'!$A$1:$AG$10000,MATCH(1,('Margin Guidence Table'!$A$1:$A$10000=DM20)*('Margin Guidence Table'!$I$1:$I$10000&lt;=ROUND($DE$3,0))*('Margin Guidence Table'!$J$1:$J$10000&gt;=ROUND($DE$3,0)),0),MATCH("MDA_MAX_MARGIN_GUIDENCE",'Margin Guidence Table'!$A$1:$AG$1,0)),INDEX('Margin Guidence Table'!$A$1:$AG$10000,MATCH(1,('Margin Guidence Table'!$A$1:$A$10000=DM20)*('Margin Guidence Table'!$I$1:$I$10000&lt;=ROUND($DE$3,0))*('Margin Guidence Table'!$J$1:$J$10000&gt;=ROUND($DE$3,0)),0),MATCH("DEFAULT_MDA_MAX_MARGIN_GUIDENCE",'Margin Guidence Table'!$A$1:$AG$1,0))),0))</f>
        <v>0</v>
      </c>
      <c r="DU20" s="784">
        <f t="array" ref="DU20">IF('Customer Inputs'!$W$8="End",0,IFERROR(IF($DO20="SEGMENT",INDEX('Margin Guidence Table'!$A$1:$AG$10000,MATCH(1,('Margin Guidence Table'!$A$1:$A$10000=DM20)*('Margin Guidence Table'!$I$1:$I$10000&lt;=ROUND($DE$3,0))*('Margin Guidence Table'!$J$1:$J$10000&gt;=ROUND($DE$3,0)),0),MATCH("PA_PCT_SALES",'Margin Guidence Table'!$A$1:$AG$1,0)),INDEX('Margin Guidence Table'!$A$1:$AG$10000,MATCH(1,('Margin Guidence Table'!$A$1:$A$10000=DM20)*('Margin Guidence Table'!$I$1:$I$10000&lt;=ROUND($DE$3,0))*('Margin Guidence Table'!$J$1:$J$10000&gt;=ROUND($DE$3,0)),0),MATCH("DEFAULT_PA_PCT_SALES",'Margin Guidence Table'!$A$1:$AG$1,0))),0))</f>
        <v>0</v>
      </c>
      <c r="DV20" s="784">
        <f t="array" ref="DV20">IF('Customer Inputs'!$W$8="End",0,IFERROR(IF($DO20="SEGMENT",INDEX('Margin Guidence Table'!$A$1:$AG$10000,MATCH(1,('Margin Guidence Table'!$A$1:$A$10000=DM20)*('Margin Guidence Table'!$I$1:$I$10000&lt;=ROUND($DE$3,0))*('Margin Guidence Table'!$J$1:$J$10000&gt;=ROUND($DE$3,0)),0),MATCH("SELF_FUND_PCT_SALES",'Margin Guidence Table'!$A$1:$AG$1,0)),INDEX('Margin Guidence Table'!$A$1:$AG$10000,MATCH(1,('Margin Guidence Table'!$A$1:$A$10000=DM20)*('Margin Guidence Table'!$I$1:$I$10000&lt;=ROUND($DE$3,0))*('Margin Guidence Table'!$J$1:$J$10000&gt;=ROUND($DE$3,0)),0),MATCH("DEFAULT_SELF_FUND_PCT_SALES",'Margin Guidence Table'!$A$1:$AG$1,0))),0))</f>
        <v>0</v>
      </c>
      <c r="DW20" s="784">
        <f t="array" ref="DW20">IF('Customer Inputs'!$W$8="End",0,IF($DF$2="Existing",IFERROR(SUMIFS('Existing Customers'!$V:$V,'Existing Customers'!$H:$H,$DD20,'Existing Customers'!$A:$A,$DE$1)/SUMIFS('Existing Customers'!$Q:$Q,'Existing Customers'!$H:$H,$DD20,'Existing Customers'!$A:$A,$DE$1),0),IFERROR(IF($DO20="SEGMENT",INDEX('Margin Guidence Table'!$A$1:$AG$10000,MATCH(1,('Margin Guidence Table'!$A$1:$A$10000=DM20)*('Margin Guidence Table'!$I$1:$I$10000&lt;=ROUND($DE$3,0))*('Margin Guidence Table'!$J$1:$J$10000&gt;=ROUND($DE$3,0)),0),MATCH("CIA_MEDIAN_MARGIN_GUIDENCE",'Margin Guidence Table'!$A$1:$AG$1,0)),INDEX('Margin Guidence Table'!$A$1:$AG$10000,MATCH(1,('Margin Guidence Table'!$A$1:$A$10000=DM20)*('Margin Guidence Table'!$I$1:$I$10000&lt;=ROUND($DE$3,0))*('Margin Guidence Table'!$J$1:$J$10000&gt;=ROUND($DE$3,0)),0),MATCH("DEFAULT_CIA_MEDIAN_MARGIN_GUIDENCE",'Margin Guidence Table'!$A$1:$AG$1,0))),0)))</f>
        <v>0</v>
      </c>
      <c r="DX20" s="126"/>
      <c r="DY20" s="18">
        <f t="array" ref="DY20">IF('Customer Inputs'!$W$9="End",0,IFERROR(IF($EL20="SEGMENT",INDEX('Margin Guidence Table'!$A$1:$AG$10000,MATCH(1,('Margin Guidence Table'!$A$1:$A$10000=$EJ20)*('Margin Guidence Table'!$I$1:$I$10000&lt;=ROUND($EB$3,0))*('Margin Guidence Table'!$J$1:$J$10000&gt;=ROUND($EB$3,0)),0),MATCH("PCT_SALES",'Margin Guidence Table'!$A$1:$AG$1,0)),INDEX('Margin Guidence Table'!$A$1:$AG$10000,MATCH(1,('Margin Guidence Table'!$A$1:$A$10000=$EJ20)*('Margin Guidence Table'!$I$1:$I$10000&lt;=ROUND($EB$3,0))*('Margin Guidence Table'!$J$1:$J$10000&gt;=ROUND($EB$3,0)),0),MATCH("DEFAULT_PCT_SALES",'Margin Guidence Table'!$A$1:$AG$1,0))),0))</f>
        <v>0</v>
      </c>
      <c r="DZ20" s="297" t="e">
        <f t="shared" si="38"/>
        <v>#DIV/0!</v>
      </c>
      <c r="EA20" s="99" t="s">
        <v>98</v>
      </c>
      <c r="EB20" s="91">
        <f>IF('Customer Inputs'!$W$9="End",0,IFERROR(IF(AND($EB$2&lt;&gt;"Enter Spend&gt;&gt;&gt;",$EC$2="EXISTING"),SUMIFS('Existing Customers'!$Q:$Q,'Existing Customers'!$A:$A,$EB$1,'Existing Customers'!$H:$H,$EA20)*$EB$4,$EB$3*$DZ20),0))</f>
        <v>0</v>
      </c>
      <c r="EC20" s="86">
        <f>IF('Customer Inputs'!$W$9="End",0,IFERROR(IF(AND($EB$2&lt;&gt;"Enter Spend&gt;&gt;&gt;",$EC$2="EXISTING"),SUMIFS('Existing Customers'!$N:$N,'Existing Customers'!$A:$A,$EB$1,'Existing Customers'!$H:$H,$EA20)*$EB$4,$EB20/$EM20),0))</f>
        <v>0</v>
      </c>
      <c r="ED20" s="92">
        <f>IF('Customer Inputs'!$W$9="End",0,IFERROR(IF(AND($EB$2&lt;&gt;"Enter Spend&gt;&gt;&gt;",$EC$2="EXISTING"),SUMIFS('Existing Customers'!$O:$O,'Existing Customers'!$H:$H,$EA20,'Existing Customers'!$A:$A,$EB$1)*$EB$4,$EC20*$EB$8),0))</f>
        <v>0</v>
      </c>
      <c r="EE20" s="92">
        <f>IF('Customer Inputs'!$W$9="End",0,IFERROR(IF(AND($EB$2&lt;&gt;"Enter Spend&gt;&gt;&gt;",$EC$2="EXISTING"),SUMIFS('Existing Customers'!$P:$P,'Existing Customers'!$A:$A,$EB$1,'Existing Customers'!$H:$H,$EA20)*$EB$4,$EB20/$EN20),0))</f>
        <v>0</v>
      </c>
      <c r="EF20" s="93">
        <f>IF('Customer Inputs'!$W$9="End",0,IFERROR(IF(AND($EB$2&lt;&gt;"Enter Spend&gt;&gt;&gt;",$EC$2="EXISTING"),SUMIFS('Existing Customers'!$V:$V,'Existing Customers'!$H:$H,$EA20,'Existing Customers'!$A:$A,$EB$1)*$EB$4,0),0))</f>
        <v>0</v>
      </c>
      <c r="EG20" s="93">
        <f>IF('Customer Inputs'!$W$9="End",0,IFERROR(IF(AND($EB$2&lt;&gt;"Enter Spend&gt;&gt;&gt;",$EC$2="EXISTING"),SUMIFS('Existing Customers'!$R:$R,'Existing Customers'!$H:$H,$EA20,'Existing Customers'!$A:$A,$EB$1)*$EB$4,0),0))</f>
        <v>0</v>
      </c>
      <c r="EH20" s="780">
        <f>IF('Customer Inputs'!$W$9="End",0,IFERROR(IF(AND($EB$2&lt;&gt;"Enter Spend&gt;&gt;&gt;",$EC$2="EXISTING"),SUMIFS('Existing Customers'!$S:$S,'Existing Customers'!$H:$H,$EA20,'Existing Customers'!$A:$A,$EB$1)/SUMIFS('Existing Customers'!$Q:$Q,'Existing Customers'!$A:$A,$EB$1,'Existing Customers'!$H:$H,$EA20),ER20),0))</f>
        <v>0</v>
      </c>
      <c r="EI20" s="780">
        <f>IF('Customer Inputs'!$W$9="End",0,IFERROR(IF(AND($EB$2&lt;&gt;"Enter Spend&gt;&gt;&gt;",$EC$2="EXISTING"),SUMIFS('Existing Customers'!$U:$U,'Existing Customers'!$H:$H,$EA20,'Existing Customers'!$A:$A,$EB$1)/SUMIFS('Existing Customers'!$Q:$Q,'Existing Customers'!$A:$A,$EB$1,'Existing Customers'!$H:$H,$EA20),ES20),0))</f>
        <v>0</v>
      </c>
      <c r="EJ20" s="783" t="e">
        <f>_xlfn.CONCAT('Customer Inputs'!$AH$9,"_",EA20)</f>
        <v>#N/A</v>
      </c>
      <c r="EK20" s="783">
        <f t="array" ref="EK20">IF('Customer Inputs'!$W$9="End",0,IFERROR(INDEX('Margin Guidence Table'!$A$1:$AG$10000,MATCH(1,('Margin Guidence Table'!$A$1:$A$10000=EJ20)*('Margin Guidence Table'!$I$1:$I$10000&lt;=ROUND($EB$3,0))*('Margin Guidence Table'!$J$1:$J$10000&gt;=ROUND($EB$3,0)),0),MATCH("DATA_POINTS",'Margin Guidence Table'!$A$1:$AG$1,0)),0))</f>
        <v>0</v>
      </c>
      <c r="EL20" s="780" t="str">
        <f t="shared" si="39"/>
        <v>DEFAULT</v>
      </c>
      <c r="EM20" s="780">
        <f t="array" ref="EM20">IF('Customer Inputs'!$W$9="End",0,IFERROR(IF($EL20="SEGMENT",INDEX('Margin Guidence Table'!$A$1:$AG$10000,MATCH(1,('Margin Guidence Table'!$A$1:$A$10000=EJ20)*('Margin Guidence Table'!$I$1:$I$10000&lt;=ROUND($EB$3,0))*('Margin Guidence Table'!$J$1:$J$10000&gt;=ROUND($EB$3,0)),0),MATCH("SALES_CASE",'Margin Guidence Table'!$A$1:$AG$1,0)),INDEX('Margin Guidence Table'!$A$1:$AG$10000,MATCH(1,('Margin Guidence Table'!$A$1:$A$10000=EJ20)*('Margin Guidence Table'!$I$1:$I$10000&lt;=ROUND($EB$3,0))*('Margin Guidence Table'!$J$1:$J$10000&gt;=ROUND($EB$3,0)),0),MATCH("DEFAULT_SALES_CASE",'Margin Guidence Table'!$A$1:$AG$1,0))),0))</f>
        <v>0</v>
      </c>
      <c r="EN20" s="780">
        <f t="array" ref="EN20">IF('Customer Inputs'!$W$9="End",0,IFERROR(IF($EL20="SEGMENT",INDEX('Margin Guidence Table'!$A$1:$AG$10000,MATCH(1,('Margin Guidence Table'!$A$1:$A$10000=EJ20)*('Margin Guidence Table'!$I$1:$I$10000&lt;=ROUND($EB$3,0))*('Margin Guidence Table'!$J$1:$J$10000&gt;=ROUND($EB$3,0)),0),MATCH("SALES_LBS",'Margin Guidence Table'!$A$1:$AG$1,0)),INDEX('Margin Guidence Table'!$A$1:$AG$10000,MATCH(1,('Margin Guidence Table'!$A$1:$A$10000=EJ20)*('Margin Guidence Table'!$I$1:$I$10000&lt;=ROUND($EB$3,0))*('Margin Guidence Table'!$J$1:$J$10000&gt;=ROUND($EB$3,0)),0),MATCH("DEFAULT_SALES_LBS",'Margin Guidence Table'!$A$1:$AG$1,0))),0))</f>
        <v>0</v>
      </c>
      <c r="EO20" s="784">
        <f t="array" ref="EO20">IF('Customer Inputs'!$W$9="End",0,IFERROR(IF($EL20="SEGMENT",INDEX('Margin Guidence Table'!$A$1:$AG$10000,MATCH(1,('Margin Guidence Table'!$A$1:$A$10000=EJ20)*('Margin Guidence Table'!$I$1:$I$10000&lt;=ROUND($EB$3,0))*('Margin Guidence Table'!$J$1:$J$10000&gt;=ROUND($EB$3,0)),0),MATCH("MDA_MIN_MARGIN_GUIDENCE",'Margin Guidence Table'!$A$1:$AG$1,0)),INDEX('Margin Guidence Table'!$A$1:$AG$10000,MATCH(1,('Margin Guidence Table'!$A$1:$A$10000=EJ20)*('Margin Guidence Table'!$I$1:$I$10000&lt;=ROUND($EB$3,0))*('Margin Guidence Table'!$J$1:$J$10000&gt;=ROUND($EB$3,0)),0),MATCH("DEFAULT_MDA_MIN_MARGIN_GUIDENCE",'Margin Guidence Table'!$A$1:$AG$1,0))),0))</f>
        <v>0</v>
      </c>
      <c r="EP20" s="784">
        <f t="array" ref="EP20">IF('Customer Inputs'!$W$9="End",0,IFERROR(IF($EL20="SEGMENT",INDEX('Margin Guidence Table'!$A$1:$AG$10000,MATCH(1,('Margin Guidence Table'!$A$1:$A$10000=EJ20)*('Margin Guidence Table'!$I$1:$I$10000&lt;=ROUND($EB$3,0))*('Margin Guidence Table'!$J$1:$J$10000&gt;=ROUND($EB$3,0)),0),MATCH("MDA_MEDIAN_MARGIN_GUIDENCE",'Margin Guidence Table'!$A$1:$AG$1,0)),INDEX('Margin Guidence Table'!$A$1:$AG$10000,MATCH(1,('Margin Guidence Table'!$A$1:$A$10000=EJ20)*('Margin Guidence Table'!$I$1:$I$10000&lt;=ROUND($EB$3,0))*('Margin Guidence Table'!$J$1:$J$10000&gt;=ROUND($EB$3,0)),0),MATCH("DEFAULT_MDA_MEDIAN_MARGIN_GUIDENCE",'Margin Guidence Table'!$A$1:$AG$1,0))),0))</f>
        <v>0</v>
      </c>
      <c r="EQ20" s="784">
        <f t="array" ref="EQ20">IF('Customer Inputs'!$W$9="End",0,IFERROR(IF($EL20="SEGMENT",INDEX('Margin Guidence Table'!$A$1:$AG$10000,MATCH(1,('Margin Guidence Table'!$A$1:$A$10000=EJ20)*('Margin Guidence Table'!$I$1:$I$10000&lt;=ROUND($EB$3,0))*('Margin Guidence Table'!$J$1:$J$10000&gt;=ROUND($EB$3,0)),0),MATCH("MDA_MAX_MARGIN_GUIDENCE",'Margin Guidence Table'!$A$1:$AG$1,0)),INDEX('Margin Guidence Table'!$A$1:$AG$10000,MATCH(1,('Margin Guidence Table'!$A$1:$A$10000=EJ20)*('Margin Guidence Table'!$I$1:$I$10000&lt;=ROUND($EB$3,0))*('Margin Guidence Table'!$J$1:$J$10000&gt;=ROUND($EB$3,0)),0),MATCH("DEFAULT_MDA_MAX_MARGIN_GUIDENCE",'Margin Guidence Table'!$A$1:$AG$1,0))),0))</f>
        <v>0</v>
      </c>
      <c r="ER20" s="784">
        <f t="array" ref="ER20">IF('Customer Inputs'!$W$9="End",0,IFERROR(IF($EL20="SEGMENT",INDEX('Margin Guidence Table'!$A$1:$AG$10000,MATCH(1,('Margin Guidence Table'!$A$1:$A$10000=EJ20)*('Margin Guidence Table'!$I$1:$I$10000&lt;=ROUND($EB$3,0))*('Margin Guidence Table'!$J$1:$J$10000&gt;=ROUND($EB$3,0)),0),MATCH("PA_PCT_SALES",'Margin Guidence Table'!$A$1:$AG$1,0)),INDEX('Margin Guidence Table'!$A$1:$AG$10000,MATCH(1,('Margin Guidence Table'!$A$1:$A$10000=EJ20)*('Margin Guidence Table'!$I$1:$I$10000&lt;=ROUND($EB$3,0))*('Margin Guidence Table'!$J$1:$J$10000&gt;=ROUND($EB$3,0)),0),MATCH("DEFAULT_PA_PCT_SALES",'Margin Guidence Table'!$A$1:$AG$1,0))),0))</f>
        <v>0</v>
      </c>
      <c r="ES20" s="784">
        <f t="array" ref="ES20">IF('Customer Inputs'!$W$9="End",0,IFERROR(IF($EL20="SEGMENT",INDEX('Margin Guidence Table'!$A$1:$AG$10000,MATCH(1,('Margin Guidence Table'!$A$1:$A$10000=EJ20)*('Margin Guidence Table'!$I$1:$I$10000&lt;=ROUND($EB$3,0))*('Margin Guidence Table'!$J$1:$J$10000&gt;=ROUND($EB$3,0)),0),MATCH("SELF_FUND_PCT_SALES",'Margin Guidence Table'!$A$1:$AG$1,0)),INDEX('Margin Guidence Table'!$A$1:$AG$10000,MATCH(1,('Margin Guidence Table'!$A$1:$A$10000=EJ20)*('Margin Guidence Table'!$I$1:$I$10000&lt;=ROUND($EB$3,0))*('Margin Guidence Table'!$J$1:$J$10000&gt;=ROUND($EB$3,0)),0),MATCH("DEFAULT_SELF_FUND_PCT_SALES",'Margin Guidence Table'!$A$1:$AG$1,0))),0))</f>
        <v>0</v>
      </c>
      <c r="ET20" s="784">
        <f t="array" ref="ET20">IF('Customer Inputs'!$W$9="End",0,IF($EC$2="Existing",IFERROR(SUMIFS('Existing Customers'!$V:$V,'Existing Customers'!$H:$H,$EA20,'Existing Customers'!$A:$A,$EB$1)/SUMIFS('Existing Customers'!$Q:$Q,'Existing Customers'!$H:$H,$EA20,'Existing Customers'!$A:$A,$EB$1),0),IFERROR(IF($EL20="SEGMENT",INDEX('Margin Guidence Table'!$A$1:$AG$10000,MATCH(1,('Margin Guidence Table'!$A$1:$A$10000=EJ20)*('Margin Guidence Table'!$I$1:$I$10000&lt;=ROUND($EB$3,0))*('Margin Guidence Table'!$J$1:$J$10000&gt;=ROUND($EB$3,0)),0),MATCH("CIA_MEDIAN_MARGIN_GUIDENCE",'Margin Guidence Table'!$A$1:$AG$1,0)),INDEX('Margin Guidence Table'!$A$1:$AG$10000,MATCH(1,('Margin Guidence Table'!$A$1:$A$10000=EJ20)*('Margin Guidence Table'!$I$1:$I$10000&lt;=ROUND($EB$3,0))*('Margin Guidence Table'!$J$1:$J$10000&gt;=ROUND($EB$3,0)),0),MATCH("DEFAULT_CIA_MEDIAN_MARGIN_GUIDENCE",'Margin Guidence Table'!$A$1:$AG$1,0))),0)))</f>
        <v>0</v>
      </c>
      <c r="EU20" s="126"/>
      <c r="EV20" s="18">
        <f t="array" ref="EV20">IF('Customer Inputs'!$W$10="End",0,IFERROR(IF($FI20="SEGMENT",INDEX('Margin Guidence Table'!$A$1:$AG$10000,MATCH(1,('Margin Guidence Table'!$A$1:$A$10000=$FG20)*('Margin Guidence Table'!$I$1:$I$10000&lt;=ROUND($EY$3,0))*('Margin Guidence Table'!$J$1:$J$10000&gt;=ROUND($EY$3,0)),0),MATCH("PCT_SALES",'Margin Guidence Table'!$A$1:$AG$1,0)),INDEX('Margin Guidence Table'!$A$1:$AG$10000,MATCH(1,('Margin Guidence Table'!$A$1:$A$10000=$FG20)*('Margin Guidence Table'!$I$1:$I$10000&lt;=ROUND($EY$3,0))*('Margin Guidence Table'!$J$1:$J$10000&gt;=ROUND($EY$3,0)),0),MATCH("DEFAULT_PCT_SALES",'Margin Guidence Table'!$A$1:$AG$1,0))),0))</f>
        <v>0</v>
      </c>
      <c r="EW20" s="297" t="e">
        <f t="shared" si="40"/>
        <v>#DIV/0!</v>
      </c>
      <c r="EX20" s="99" t="s">
        <v>98</v>
      </c>
      <c r="EY20" s="91">
        <f>IF('Customer Inputs'!$W$10="End",0,IFERROR(IF(AND($EY$2&lt;&gt;"Enter Spend&gt;&gt;&gt;",$EZ$2="EXISTING"),SUMIFS('Existing Customers'!$Q:$Q,'Existing Customers'!$A:$A,$EY$1,'Existing Customers'!$H:$H,$EX20)*$EY$4,$EY$3*$EW20),0))</f>
        <v>0</v>
      </c>
      <c r="EZ20" s="86">
        <f>IF('Customer Inputs'!$W$10="End",0,IFERROR(IF(AND($EY$2&lt;&gt;"Enter Spend&gt;&gt;&gt;",$EZ$2="EXISTING"),SUMIFS('Existing Customers'!$N:$N,'Existing Customers'!$A:$A,$EY$1,'Existing Customers'!$H:$H,$EX20)*$EY$4,$EY20/$FJ20),0))</f>
        <v>0</v>
      </c>
      <c r="FA20" s="92">
        <f>IF('Customer Inputs'!$W$10="End",0,IFERROR(IF(AND($EY$2&lt;&gt;"Enter Spend&gt;&gt;&gt;",$EZ$2="EXISTING"),SUMIFS('Existing Customers'!$O:$O,'Existing Customers'!$H:$H,$EX20,'Existing Customers'!$A:$A,$EY$1)*$EY$4,$EZ20*$EY$8),0))</f>
        <v>0</v>
      </c>
      <c r="FB20" s="92">
        <f>IF('Customer Inputs'!$W$10="End",0,IFERROR(IF(AND($EY$2&lt;&gt;"Enter Spend&gt;&gt;&gt;",$EZ$2="EXISTING"),SUMIFS('Existing Customers'!$P:$P,'Existing Customers'!$A:$A,$EY$1,'Existing Customers'!$H:$H,$EX20)*$EY$4,$EY20/$FK20),0))</f>
        <v>0</v>
      </c>
      <c r="FC20" s="93">
        <f>IF('Customer Inputs'!$W$10="End",0,IFERROR(IF(AND($EY$2&lt;&gt;"Enter Spend&gt;&gt;&gt;",$EZ$2="EXISTING"),SUMIFS('Existing Customers'!$V:$V,'Existing Customers'!$H:$H,$EX20,'Existing Customers'!$A:$A,$EY$1)*$EY$4,0),0))</f>
        <v>0</v>
      </c>
      <c r="FD20" s="93">
        <f>IF('Customer Inputs'!$W$10="End",0,IFERROR(IF(AND($EY$2&lt;&gt;"Enter Spend&gt;&gt;&gt;",$EZ$2="EXISTING"),SUMIFS('Existing Customers'!$R:$R,'Existing Customers'!$H:$H,$EX20,'Existing Customers'!$A:$A,$EY$1)*$EY$4,0),0))</f>
        <v>0</v>
      </c>
      <c r="FE20" s="780">
        <f>IF('Customer Inputs'!$W$10="End",0,IFERROR(IF(AND($EY$2&lt;&gt;"Enter Spend&gt;&gt;&gt;",$EZ$2="EXISTING"),SUMIFS('Existing Customers'!$S:$S,'Existing Customers'!$H:$H,$EX20,'Existing Customers'!$A:$A,$EY$1)/SUMIFS('Existing Customers'!$Q:$Q,'Existing Customers'!$A:$A,$EY$1,'Existing Customers'!$H:$H,$EX20),FO20),0))</f>
        <v>0</v>
      </c>
      <c r="FF20" s="780">
        <f>IF('Customer Inputs'!$W$10="End",0,IFERROR(IF(AND($EY$2&lt;&gt;"Enter Spend&gt;&gt;&gt;",$EZ$2="EXISTING"),SUMIFS('Existing Customers'!$U:$U,'Existing Customers'!$H:$H,$EX20,'Existing Customers'!$A:$A,$EY$1)/SUMIFS('Existing Customers'!$Q:$Q,'Existing Customers'!$A:$A,$EY$1,'Existing Customers'!$H:$H,$EX20),FP20),0))</f>
        <v>0</v>
      </c>
      <c r="FG20" s="783" t="e">
        <f>_xlfn.CONCAT('Customer Inputs'!$AH$10,"_",EX20)</f>
        <v>#N/A</v>
      </c>
      <c r="FH20" s="783">
        <f t="array" ref="FH20">IF('Customer Inputs'!$W$10="End",0,IFERROR(INDEX('Margin Guidence Table'!$A$1:$AG$10000,MATCH(1,('Margin Guidence Table'!$A$1:$A$10000=FG20)*('Margin Guidence Table'!$I$1:$I$10000&lt;=ROUND($EY$3,0))*('Margin Guidence Table'!$J$1:$J$10000&gt;=ROUND($EY$3,0)),0),MATCH("DATA_POINTS",'Margin Guidence Table'!$A$1:$AG$1,0)),0))</f>
        <v>0</v>
      </c>
      <c r="FI20" s="780" t="str">
        <f t="shared" si="41"/>
        <v>DEFAULT</v>
      </c>
      <c r="FJ20" s="780">
        <f t="array" ref="FJ20">IF('Customer Inputs'!$W$10="End",0,IFERROR(IF($FI20="SEGMENT",INDEX('Margin Guidence Table'!$A$1:$AG$10000,MATCH(1,('Margin Guidence Table'!$A$1:$A$10000=FG20)*('Margin Guidence Table'!$I$1:$I$10000&lt;=ROUND($EY$3,0))*('Margin Guidence Table'!$J$1:$J$10000&gt;=ROUND($EY$3,0)),0),MATCH("SALES_CASE",'Margin Guidence Table'!$A$1:$AG$1,0)),INDEX('Margin Guidence Table'!$A$1:$AG$10000,MATCH(1,('Margin Guidence Table'!$A$1:$A$10000=FG20)*('Margin Guidence Table'!$I$1:$I$10000&lt;=ROUND($EY$3,0))*('Margin Guidence Table'!$J$1:$J$10000&gt;=ROUND($EY$3,0)),0),MATCH("DEFAULT_SALES_CASE",'Margin Guidence Table'!$A$1:$AG$1,0))),0))</f>
        <v>0</v>
      </c>
      <c r="FK20" s="780">
        <f t="array" ref="FK20">IF('Customer Inputs'!$W$10="End",0,IFERROR(IF($FI20="SEGMENT",INDEX('Margin Guidence Table'!$A$1:$AG$10000,MATCH(1,('Margin Guidence Table'!$A$1:$A$10000=FG20)*('Margin Guidence Table'!$I$1:$I$10000&lt;=ROUND($EY$3,0))*('Margin Guidence Table'!$J$1:$J$10000&gt;=ROUND($EY$3,0)),0),MATCH("SALES_LBS",'Margin Guidence Table'!$A$1:$AG$1,0)),INDEX('Margin Guidence Table'!$A$1:$AG$10000,MATCH(1,('Margin Guidence Table'!$A$1:$A$10000=FG20)*('Margin Guidence Table'!$I$1:$I$10000&lt;=ROUND($EY$3,0))*('Margin Guidence Table'!$J$1:$J$10000&gt;=ROUND($EY$3,0)),0),MATCH("DEFAULT_SALES_LBS",'Margin Guidence Table'!$A$1:$AG$1,0))),0))</f>
        <v>0</v>
      </c>
      <c r="FL20" s="784">
        <f t="array" ref="FL20">IF('Customer Inputs'!$W$10="End",0,IFERROR(IF($FI20="SEGMENT",INDEX('Margin Guidence Table'!$A$1:$AG$10000,MATCH(1,('Margin Guidence Table'!$A$1:$A$10000=FG20)*('Margin Guidence Table'!$I$1:$I$10000&lt;=ROUND($EY$3,0))*('Margin Guidence Table'!$J$1:$J$10000&gt;=ROUND($EY$3,0)),0),MATCH("MDA_MIN_MARGIN_GUIDENCE",'Margin Guidence Table'!$A$1:$AG$1,0)),INDEX('Margin Guidence Table'!$A$1:$AG$10000,MATCH(1,('Margin Guidence Table'!$A$1:$A$10000=FG20)*('Margin Guidence Table'!$I$1:$I$10000&lt;=ROUND($EY$3,0))*('Margin Guidence Table'!$J$1:$J$10000&gt;=ROUND($EY$3,0)),0),MATCH("DEFAULT_MDA_MIN_MARGIN_GUIDENCE",'Margin Guidence Table'!$A$1:$AG$1,0))),0))</f>
        <v>0</v>
      </c>
      <c r="FM20" s="784">
        <f t="array" ref="FM20">IF('Customer Inputs'!$W$10="End",0,IFERROR(IF($FI20="SEGMENT",INDEX('Margin Guidence Table'!$A$1:$AG$10000,MATCH(1,('Margin Guidence Table'!$A$1:$A$10000=FG20)*('Margin Guidence Table'!$I$1:$I$10000&lt;=ROUND($EY$3,0))*('Margin Guidence Table'!$J$1:$J$10000&gt;=ROUND($EY$3,0)),0),MATCH("MDA_MEDIAN_MARGIN_GUIDENCE",'Margin Guidence Table'!$A$1:$AG$1,0)),INDEX('Margin Guidence Table'!$A$1:$AG$10000,MATCH(1,('Margin Guidence Table'!$A$1:$A$10000=FG20)*('Margin Guidence Table'!$I$1:$I$10000&lt;=ROUND($EY$3,0))*('Margin Guidence Table'!$J$1:$J$10000&gt;=ROUND($EY$3,0)),0),MATCH("DEFAULT_MDA_MEDIAN_MARGIN_GUIDENCE",'Margin Guidence Table'!$A$1:$AG$1,0))),0))</f>
        <v>0</v>
      </c>
      <c r="FN20" s="784">
        <f t="array" ref="FN20">IF('Customer Inputs'!$W$10="End",0,IFERROR(IF($FI20="SEGMENT",INDEX('Margin Guidence Table'!$A$1:$AG$10000,MATCH(1,('Margin Guidence Table'!$A$1:$A$10000=FG20)*('Margin Guidence Table'!$I$1:$I$10000&lt;=ROUND($EY$3,0))*('Margin Guidence Table'!$J$1:$J$10000&gt;=ROUND($EY$3,0)),0),MATCH("MDA_MAX_MARGIN_GUIDENCE",'Margin Guidence Table'!$A$1:$AG$1,0)),INDEX('Margin Guidence Table'!$A$1:$AG$10000,MATCH(1,('Margin Guidence Table'!$A$1:$A$10000=FG20)*('Margin Guidence Table'!$I$1:$I$10000&lt;=ROUND($EY$3,0))*('Margin Guidence Table'!$J$1:$J$10000&gt;=ROUND($EY$3,0)),0),MATCH("DEFAULT_MDA_MAX_MARGIN_GUIDENCE",'Margin Guidence Table'!$A$1:$AG$1,0))),0))</f>
        <v>0</v>
      </c>
      <c r="FO20" s="784">
        <f t="array" ref="FO20">IF('Customer Inputs'!$W$10="End",0,IFERROR(IF($FI20="SEGMENT",INDEX('Margin Guidence Table'!$A$1:$AG$10000,MATCH(1,('Margin Guidence Table'!$A$1:$A$10000=FG20)*('Margin Guidence Table'!$I$1:$I$10000&lt;=ROUND($EY$3,0))*('Margin Guidence Table'!$J$1:$J$10000&gt;=ROUND($EY$3,0)),0),MATCH("PA_PCT_SALES",'Margin Guidence Table'!$A$1:$AG$1,0)),INDEX('Margin Guidence Table'!$A$1:$AG$10000,MATCH(1,('Margin Guidence Table'!$A$1:$A$10000=FG20)*('Margin Guidence Table'!$I$1:$I$10000&lt;=ROUND($EY$3,0))*('Margin Guidence Table'!$J$1:$J$10000&gt;=ROUND($EY$3,0)),0),MATCH("DEFAULT_PA_PCT_SALES",'Margin Guidence Table'!$A$1:$AG$1,0))),0))</f>
        <v>0</v>
      </c>
      <c r="FP20" s="784">
        <f t="array" ref="FP20">IF('Customer Inputs'!$W$10="End",0,IFERROR(IF($FI20="SEGMENT",INDEX('Margin Guidence Table'!$A$1:$AG$10000,MATCH(1,('Margin Guidence Table'!$A$1:$A$10000=FG20)*('Margin Guidence Table'!$I$1:$I$10000&lt;=ROUND($EY$3,0))*('Margin Guidence Table'!$J$1:$J$10000&gt;=ROUND($EY$3,0)),0),MATCH("SELF_FUND_PCT_SALES",'Margin Guidence Table'!$A$1:$AG$1,0)),INDEX('Margin Guidence Table'!$A$1:$AG$10000,MATCH(1,('Margin Guidence Table'!$A$1:$A$10000=FG20)*('Margin Guidence Table'!$I$1:$I$10000&lt;=ROUND($EY$3,0))*('Margin Guidence Table'!$J$1:$J$10000&gt;=ROUND($EY$3,0)),0),MATCH("DEFAULT_SELF_FUND_PCT_SALES",'Margin Guidence Table'!$A$1:$AG$1,0))),0))</f>
        <v>0</v>
      </c>
      <c r="FQ20" s="784">
        <f t="array" ref="FQ20">IF('Customer Inputs'!$W$10="End",0,IF($EZ$2="Existing",IFERROR(SUMIFS('Existing Customers'!$V:$V,'Existing Customers'!$H:$H,$EX20,'Existing Customers'!$A:$A,$EY$1)/SUMIFS('Existing Customers'!$Q:$Q,'Existing Customers'!$H:$H,$EX20,'Existing Customers'!$A:$A,$EY$1),0),IFERROR(IF($FI20="SEGMENT",INDEX('Margin Guidence Table'!$A$1:$AG$10000,MATCH(1,('Margin Guidence Table'!$A$1:$A$10000=FG20)*('Margin Guidence Table'!$I$1:$I$10000&lt;=ROUND($EY$3,0))*('Margin Guidence Table'!$J$1:$J$10000&gt;=ROUND($EY$3,0)),0),MATCH("CIA_MEDIAN_MARGIN_GUIDENCE",'Margin Guidence Table'!$A$1:$AG$1,0)),INDEX('Margin Guidence Table'!$A$1:$AG$10000,MATCH(1,('Margin Guidence Table'!$A$1:$A$10000=FG20)*('Margin Guidence Table'!$I$1:$I$10000&lt;=ROUND($EY$3,0))*('Margin Guidence Table'!$J$1:$J$10000&gt;=ROUND($EY$3,0)),0),MATCH("DEFAULT_CIA_MEDIAN_MARGIN_GUIDENCE",'Margin Guidence Table'!$A$1:$AG$1,0))),0)))</f>
        <v>0</v>
      </c>
      <c r="FR20" s="126"/>
      <c r="FS20" s="18">
        <f t="array" ref="FS20">IF('Customer Inputs'!$W$11="End",0,IFERROR(IF($GF20="SEGMENT",INDEX('Margin Guidence Table'!$A$1:$AG$10000,MATCH(1,('Margin Guidence Table'!$A$1:$A$10000=$GD20)*('Margin Guidence Table'!$I$1:$I$10000&lt;=ROUND($FV$3,0))*('Margin Guidence Table'!$J$1:$J$10000&gt;=ROUND($FV$3,0)),0),MATCH("PCT_SALES",'Margin Guidence Table'!$A$1:$AG$1,0)),INDEX('Margin Guidence Table'!$A$1:$AG$10000,MATCH(1,('Margin Guidence Table'!$A$1:$A$10000=$GD20)*('Margin Guidence Table'!$I$1:$I$10000&lt;=ROUND($FV$3,0))*('Margin Guidence Table'!$J$1:$J$10000&gt;=ROUND($FV$3,0)),0),MATCH("DEFAULT_PCT_SALES",'Margin Guidence Table'!$A$1:$AG$1,0))),0))</f>
        <v>0</v>
      </c>
      <c r="FT20" s="297" t="e">
        <f t="shared" si="42"/>
        <v>#DIV/0!</v>
      </c>
      <c r="FU20" s="99" t="s">
        <v>98</v>
      </c>
      <c r="FV20" s="91">
        <f>IF('Customer Inputs'!$W$11="End",0,IFERROR(IF(AND($FV$2&lt;&gt;"Enter Spend&gt;&gt;&gt;",$FW$2="EXISTING"),SUMIFS('Existing Customers'!$Q:$Q,'Existing Customers'!$A:$A,$FV$1,'Existing Customers'!$H:$H,$FU20)*$FV$4,$FV$3*$FT20),0))</f>
        <v>0</v>
      </c>
      <c r="FW20" s="86">
        <f>IF('Customer Inputs'!$W$11="End",0,IFERROR(IF(AND($FV$2&lt;&gt;"Enter Spend&gt;&gt;&gt;",$FW$2="EXISTING"),SUMIFS('Existing Customers'!$N:$N,'Existing Customers'!$A:$A,$FV$1,'Existing Customers'!$H:$H,$FU20)*$FV$4,$FV20/$GG20),0))</f>
        <v>0</v>
      </c>
      <c r="FX20" s="92">
        <f>IF('Customer Inputs'!$W$11="End",0,IFERROR(IF(AND($FV$2&lt;&gt;"Enter Spend&gt;&gt;&gt;",$FW$2="EXISTING"),SUMIFS('Existing Customers'!$O:$O,'Existing Customers'!$H:$H,$FU20,'Existing Customers'!$A:$A,$FV$1)*$FV$4,$FW20*$FV$8),0))</f>
        <v>0</v>
      </c>
      <c r="FY20" s="92">
        <f>IF('Customer Inputs'!$W$11="End",0,IFERROR(IF(AND($FV$2&lt;&gt;"Enter Spend&gt;&gt;&gt;",$FW$2="EXISTING"),SUMIFS('Existing Customers'!$P:$P,'Existing Customers'!$A:$A,$FV$1,'Existing Customers'!$H:$H,$FU20)*$FV$4,$FV20/$GH20),0))</f>
        <v>0</v>
      </c>
      <c r="FZ20" s="93">
        <f>IF('Customer Inputs'!$W$11="End",0,IFERROR(IF(AND($FV$2&lt;&gt;"Enter Spend&gt;&gt;&gt;",$FW$2="EXISTING"),SUMIFS('Existing Customers'!$V:$V,'Existing Customers'!$H:$H,$FU20,'Existing Customers'!$A:$A,$FV$1)*$FV$4,0),0))</f>
        <v>0</v>
      </c>
      <c r="GA20" s="93">
        <f>IF('Customer Inputs'!$W$11="End",0,IFERROR(IF(AND($FV$2&lt;&gt;"Enter Spend&gt;&gt;&gt;",$FW$2="EXISTING"),SUMIFS('Existing Customers'!$R:$R,'Existing Customers'!$H:$H,$FU20,'Existing Customers'!$A:$A,$FV$1)*$FV$4,0),0))</f>
        <v>0</v>
      </c>
      <c r="GB20" s="780">
        <f>IF('Customer Inputs'!$W$11="End",0,IFERROR(IF(AND($FV$2&lt;&gt;"Enter Spend&gt;&gt;&gt;",$FW$2="EXISTING"),SUMIFS('Existing Customers'!$S:$S,'Existing Customers'!$H:$H,$FU20,'Existing Customers'!$A:$A,$FV$1)/SUMIFS('Existing Customers'!$Q:$Q,'Existing Customers'!$A:$A,$FV$1,'Existing Customers'!$H:$H,$FU20),GL20),0))</f>
        <v>0</v>
      </c>
      <c r="GC20" s="780">
        <f>IF('Customer Inputs'!$W$11="End",0,IFERROR(IF(AND($FV$2&lt;&gt;"Enter Spend&gt;&gt;&gt;",$FW$2="EXISTING"),SUMIFS('Existing Customers'!$U:$U,'Existing Customers'!$H:$H,$FU20,'Existing Customers'!$A:$A,$FV$1)/SUMIFS('Existing Customers'!$Q:$Q,'Existing Customers'!$A:$A,$FV$1,'Existing Customers'!$H:$H,$FU20),GM20),0))</f>
        <v>0</v>
      </c>
      <c r="GD20" s="783" t="e">
        <f>_xlfn.CONCAT('Customer Inputs'!$AH$11,"_",FU20)</f>
        <v>#N/A</v>
      </c>
      <c r="GE20" s="783">
        <f t="array" ref="GE20">IF('Customer Inputs'!$W$11="End",0,IFERROR(INDEX('Margin Guidence Table'!$A$1:$AG$10000,MATCH(1,('Margin Guidence Table'!$A$1:$A$10000=GD20)*('Margin Guidence Table'!$I$1:$I$10000&lt;=ROUND($FV$3,0))*('Margin Guidence Table'!$J$1:$J$10000&gt;=ROUND($FV$3,0)),0),MATCH("DATA_POINTS",'Margin Guidence Table'!$A$1:$AG$1,0)),0))</f>
        <v>0</v>
      </c>
      <c r="GF20" s="780" t="str">
        <f t="shared" si="43"/>
        <v>DEFAULT</v>
      </c>
      <c r="GG20" s="780">
        <f t="array" ref="GG20">IF('Customer Inputs'!$W$11="End",0,IFERROR(IF($GF20="SEGMENT",INDEX('Margin Guidence Table'!$A$1:$AG$10000,MATCH(1,('Margin Guidence Table'!$A$1:$A$10000=GD20)*('Margin Guidence Table'!$I$1:$I$10000&lt;=ROUND($FV$3,0))*('Margin Guidence Table'!$J$1:$J$10000&gt;=ROUND($FV$3,0)),0),MATCH("SALES_CASE",'Margin Guidence Table'!$A$1:$AG$1,0)),INDEX('Margin Guidence Table'!$A$1:$AG$10000,MATCH(1,('Margin Guidence Table'!$A$1:$A$10000=GD20)*('Margin Guidence Table'!$I$1:$I$10000&lt;=ROUND($FV$3,0))*('Margin Guidence Table'!$J$1:$J$10000&gt;=ROUND($FV$3,0)),0),MATCH("DEFAULT_SALES_CASE",'Margin Guidence Table'!$A$1:$AG$1,0))),0))</f>
        <v>0</v>
      </c>
      <c r="GH20" s="780">
        <f t="array" ref="GH20">IF('Customer Inputs'!$W$11="End",0,IFERROR(IF($GF20="SEGMENT",INDEX('Margin Guidence Table'!$A$1:$AG$10000,MATCH(1,('Margin Guidence Table'!$A$1:$A$10000=GD20)*('Margin Guidence Table'!$I$1:$I$10000&lt;=ROUND($FV$3,0))*('Margin Guidence Table'!$J$1:$J$10000&gt;=ROUND($FV$3,0)),0),MATCH("SALES_LBS",'Margin Guidence Table'!$A$1:$AG$1,0)),INDEX('Margin Guidence Table'!$A$1:$AG$10000,MATCH(1,('Margin Guidence Table'!$A$1:$A$10000=GD20)*('Margin Guidence Table'!$I$1:$I$10000&lt;=ROUND($FV$3,0))*('Margin Guidence Table'!$J$1:$J$10000&gt;=ROUND($FV$3,0)),0),MATCH("DEFAULT_SALES_LBS",'Margin Guidence Table'!$A$1:$AG$1,0))),0))</f>
        <v>0</v>
      </c>
      <c r="GI20" s="784">
        <f t="array" ref="GI20">IF('Customer Inputs'!$W$11="End",0,IFERROR(IF($GF20="SEGMENT",INDEX('Margin Guidence Table'!$A$1:$AG$10000,MATCH(1,('Margin Guidence Table'!$A$1:$A$10000=GD20)*('Margin Guidence Table'!$I$1:$I$10000&lt;=ROUND($FV$3,0))*('Margin Guidence Table'!$J$1:$J$10000&gt;=ROUND($FV$3,0)),0),MATCH("MDA_MIN_MARGIN_GUIDENCE",'Margin Guidence Table'!$A$1:$AG$1,0)),INDEX('Margin Guidence Table'!$A$1:$AG$10000,MATCH(1,('Margin Guidence Table'!$A$1:$A$10000=GD20)*('Margin Guidence Table'!$I$1:$I$10000&lt;=ROUND($FV$3,0))*('Margin Guidence Table'!$J$1:$J$10000&gt;=ROUND($FV$3,0)),0),MATCH("DEFAULT_MDA_MIN_MARGIN_GUIDENCE",'Margin Guidence Table'!$A$1:$AG$1,0))),0))</f>
        <v>0</v>
      </c>
      <c r="GJ20" s="784">
        <f t="array" ref="GJ20">IF('Customer Inputs'!$W$11="End",0,IFERROR(IF($GF20="SEGMENT",INDEX('Margin Guidence Table'!$A$1:$AG$10000,MATCH(1,('Margin Guidence Table'!$A$1:$A$10000=GD20)*('Margin Guidence Table'!$I$1:$I$10000&lt;=ROUND($FV$3,0))*('Margin Guidence Table'!$J$1:$J$10000&gt;=ROUND($FV$3,0)),0),MATCH("MDA_MEDIAN_MARGIN_GUIDENCE",'Margin Guidence Table'!$A$1:$AG$1,0)),INDEX('Margin Guidence Table'!$A$1:$AG$10000,MATCH(1,('Margin Guidence Table'!$A$1:$A$10000=GD20)*('Margin Guidence Table'!$I$1:$I$10000&lt;=ROUND($FV$3,0))*('Margin Guidence Table'!$J$1:$J$10000&gt;=ROUND($FV$3,0)),0),MATCH("DEFAULT_MDA_MEDIAN_MARGIN_GUIDENCE",'Margin Guidence Table'!$A$1:$AG$1,0))),0))</f>
        <v>0</v>
      </c>
      <c r="GK20" s="784">
        <f t="array" ref="GK20">IF('Customer Inputs'!$W$11="End",0,IFERROR(IF($GF20="SEGMENT",INDEX('Margin Guidence Table'!$A$1:$AG$10000,MATCH(1,('Margin Guidence Table'!$A$1:$A$10000=GD20)*('Margin Guidence Table'!$I$1:$I$10000&lt;=ROUND($FV$3,0))*('Margin Guidence Table'!$J$1:$J$10000&gt;=ROUND($FV$3,0)),0),MATCH("MDA_MAX_MARGIN_GUIDENCE",'Margin Guidence Table'!$A$1:$AG$1,0)),INDEX('Margin Guidence Table'!$A$1:$AG$10000,MATCH(1,('Margin Guidence Table'!$A$1:$A$10000=GD20)*('Margin Guidence Table'!$I$1:$I$10000&lt;=ROUND($FV$3,0))*('Margin Guidence Table'!$J$1:$J$10000&gt;=ROUND($FV$3,0)),0),MATCH("DEFAULT_MDA_MAX_MARGIN_GUIDENCE",'Margin Guidence Table'!$A$1:$AG$1,0))),0))</f>
        <v>0</v>
      </c>
      <c r="GL20" s="784">
        <f t="array" ref="GL20">IF('Customer Inputs'!$W$11="End",0,IFERROR(IF($GF20="SEGMENT",INDEX('Margin Guidence Table'!$A$1:$AG$10000,MATCH(1,('Margin Guidence Table'!$A$1:$A$10000=GD20)*('Margin Guidence Table'!$I$1:$I$10000&lt;=ROUND($FV$3,0))*('Margin Guidence Table'!$J$1:$J$10000&gt;=ROUND($FV$3,0)),0),MATCH("PA_PCT_SALES",'Margin Guidence Table'!$A$1:$AG$1,0)),INDEX('Margin Guidence Table'!$A$1:$AG$10000,MATCH(1,('Margin Guidence Table'!$A$1:$A$10000=GD20)*('Margin Guidence Table'!$I$1:$I$10000&lt;=ROUND($FV$3,0))*('Margin Guidence Table'!$J$1:$J$10000&gt;=ROUND($FV$3,0)),0),MATCH("DEFAULT_PA_PCT_SALES",'Margin Guidence Table'!$A$1:$AG$1,0))),0))</f>
        <v>0</v>
      </c>
      <c r="GM20" s="784">
        <f t="array" ref="GM20">IF('Customer Inputs'!$W$11="End",0,IFERROR(IF($GF20="SEGMENT",INDEX('Margin Guidence Table'!$A$1:$AG$10000,MATCH(1,('Margin Guidence Table'!$A$1:$A$10000=GD20)*('Margin Guidence Table'!$I$1:$I$10000&lt;=ROUND($FV$3,0))*('Margin Guidence Table'!$J$1:$J$10000&gt;=ROUND($FV$3,0)),0),MATCH("SELF_FUND_PCT_SALES",'Margin Guidence Table'!$A$1:$AG$1,0)),INDEX('Margin Guidence Table'!$A$1:$AG$10000,MATCH(1,('Margin Guidence Table'!$A$1:$A$10000=GD20)*('Margin Guidence Table'!$I$1:$I$10000&lt;=ROUND($FV$3,0))*('Margin Guidence Table'!$J$1:$J$10000&gt;=ROUND($FV$3,0)),0),MATCH("DEFAULT_SELF_FUND_PCT_SALES",'Margin Guidence Table'!$A$1:$AG$1,0))),0))</f>
        <v>0</v>
      </c>
      <c r="GN20" s="784">
        <f t="array" ref="GN20">IF('Customer Inputs'!$W$11="End",0,IF($FW$2="Existing",IFERROR(SUMIFS('Existing Customers'!$V:$V,'Existing Customers'!$H:$H,$FU20,'Existing Customers'!$A:$A,$FV$1)/SUMIFS('Existing Customers'!$Q:$Q,'Existing Customers'!$H:$H,$FU20,'Existing Customers'!$A:$A,$FV$1),0),IFERROR(IF($GF20="SEGMENT",INDEX('Margin Guidence Table'!$A$1:$AG$10000,MATCH(1,('Margin Guidence Table'!$A$1:$A$10000=GD20)*('Margin Guidence Table'!$I$1:$I$10000&lt;=ROUND($FV$3,0))*('Margin Guidence Table'!$J$1:$J$10000&gt;=ROUND($FV$3,0)),0),MATCH("CIA_MEDIAN_MARGIN_GUIDENCE",'Margin Guidence Table'!$A$1:$AG$1,0)),INDEX('Margin Guidence Table'!$A$1:$AG$10000,MATCH(1,('Margin Guidence Table'!$A$1:$A$10000=GD20)*('Margin Guidence Table'!$I$1:$I$10000&lt;=ROUND($FV$3,0))*('Margin Guidence Table'!$J$1:$J$10000&gt;=ROUND($FV$3,0)),0),MATCH("DEFAULT_CIA_MEDIAN_MARGIN_GUIDENCE",'Margin Guidence Table'!$A$1:$AG$1,0))),0)))</f>
        <v>0</v>
      </c>
      <c r="GO20" s="126"/>
      <c r="GP20" s="18">
        <f t="array" ref="GP20">IF('Customer Inputs'!$W$12="End",0,IFERROR(IF($HC20="SEGMENT",INDEX('Margin Guidence Table'!$A$1:$AG$10000,MATCH(1,('Margin Guidence Table'!$A$1:$A$10000=$HA20)*('Margin Guidence Table'!$I$1:$I$10000&lt;=ROUND($GS$3,0))*('Margin Guidence Table'!$J$1:$J$10000&gt;=ROUND($GS$3,0)),0),MATCH("PCT_SALES",'Margin Guidence Table'!$A$1:$AG$1,0)),INDEX('Margin Guidence Table'!$A$1:$AG$10000,MATCH(1,('Margin Guidence Table'!$A$1:$A$10000=$HA20)*('Margin Guidence Table'!$I$1:$I$10000&lt;=ROUND($GS$3,0))*('Margin Guidence Table'!$J$1:$J$10000&gt;=ROUND($GS$3,0)),0),MATCH("DEFAULT_PCT_SALES",'Margin Guidence Table'!$A$1:$AG$1,0))),0))</f>
        <v>0</v>
      </c>
      <c r="GQ20" s="297" t="e">
        <f t="shared" si="44"/>
        <v>#DIV/0!</v>
      </c>
      <c r="GR20" s="99" t="s">
        <v>98</v>
      </c>
      <c r="GS20" s="91">
        <f>IF('Customer Inputs'!$W$12="End",0,IFERROR(IF(AND($GS$2&lt;&gt;"Enter Spend&gt;&gt;&gt;",$GT$2="EXISTING"),SUMIFS('Existing Customers'!$Q:$Q,'Existing Customers'!$A:$A,$GS$1,'Existing Customers'!$H:$H,$GR20)*$GS$4,$GS$3*$GQ20),0))</f>
        <v>0</v>
      </c>
      <c r="GT20" s="86">
        <f>IF('Customer Inputs'!$W$12="End",0,IFERROR(IF(AND($GS$2&lt;&gt;"Enter Spend&gt;&gt;&gt;",$GT$2="EXISTING"),SUMIFS('Existing Customers'!$N:$N,'Existing Customers'!$A:$A,$GS$1,'Existing Customers'!$H:$H,$GR20)*$GS$4,$GS20/$HD20),0))</f>
        <v>0</v>
      </c>
      <c r="GU20" s="92">
        <f>IF('Customer Inputs'!$W$12="End",0,IFERROR(IF(AND($GS$2&lt;&gt;"Enter Spend&gt;&gt;&gt;",$GT$2="EXISTING"),SUMIFS('Existing Customers'!$O:$O,'Existing Customers'!$H:$H,$GR20,'Existing Customers'!$A:$A,$GS$1)*$GS$4,$GT20*$GS$8),0))</f>
        <v>0</v>
      </c>
      <c r="GV20" s="92">
        <f>IF('Customer Inputs'!$W$12="End",0,IFERROR(IF(AND($GS$2&lt;&gt;"Enter Spend&gt;&gt;&gt;",$GT$2="EXISTING"),SUMIFS('Existing Customers'!$P:$P,'Existing Customers'!$A:$A,$GS$1,'Existing Customers'!$H:$H,$GR20)*$GS$4,$GS20/$HE20),0))</f>
        <v>0</v>
      </c>
      <c r="GW20" s="93">
        <f>IF('Customer Inputs'!$W$12="End",0,IFERROR(IF(AND($GS$2&lt;&gt;"Enter Spend&gt;&gt;&gt;",$GT$2="EXISTING"),SUMIFS('Existing Customers'!$V:$V,'Existing Customers'!$H:$H,$GR20,'Existing Customers'!$A:$A,$GS$1)*$GS$4,0),0))</f>
        <v>0</v>
      </c>
      <c r="GX20" s="93">
        <f>IF('Customer Inputs'!$W$12="End",0,IFERROR(IF(AND($GS$2&lt;&gt;"Enter Spend&gt;&gt;&gt;",$GT$2="EXISTING"),SUMIFS('Existing Customers'!$R:$R,'Existing Customers'!$H:$H,$GR20,'Existing Customers'!$A:$A,$GS$1)*$GS$4,0),0))</f>
        <v>0</v>
      </c>
      <c r="GY20" s="780">
        <f>IF('Customer Inputs'!$W$12="End",0,IFERROR(IF(AND($GS$2&lt;&gt;"Enter Spend&gt;&gt;&gt;",$GT$2="EXISTING"),SUMIFS('Existing Customers'!$S:$S,'Existing Customers'!$H:$H,$GR20,'Existing Customers'!$A:$A,$GS$1)/SUMIFS('Existing Customers'!$Q:$Q,'Existing Customers'!$A:$A,$GS$1,'Existing Customers'!$H:$H,$GR20),HI20),0))</f>
        <v>0</v>
      </c>
      <c r="GZ20" s="780">
        <f>IF('Customer Inputs'!$W$12="End",0,IFERROR(IF(AND($GS$2&lt;&gt;"Enter Spend&gt;&gt;&gt;",$GT$2="EXISTING"),SUMIFS('Existing Customers'!$U:$U,'Existing Customers'!$H:$H,$GR20,'Existing Customers'!$A:$A,$GS$1)/SUMIFS('Existing Customers'!$Q:$Q,'Existing Customers'!$A:$A,$GS$1,'Existing Customers'!$H:$H,$GR20),HJ20),0))</f>
        <v>0</v>
      </c>
      <c r="HA20" s="783" t="e">
        <f>_xlfn.CONCAT('Customer Inputs'!$AH$12,"_",GR20)</f>
        <v>#N/A</v>
      </c>
      <c r="HB20" s="783">
        <f t="array" ref="HB20">IF('Customer Inputs'!$W$12="End",0,IFERROR(INDEX('Margin Guidence Table'!$A$1:$AG$10000,MATCH(1,('Margin Guidence Table'!$A$1:$A$10000=HA20)*('Margin Guidence Table'!$I$1:$I$10000&lt;=ROUND($GS$3,0))*('Margin Guidence Table'!$J$1:$J$10000&gt;=ROUND($GS$3,0)),0),MATCH("DATA_POINTS",'Margin Guidence Table'!$A$1:$AG$1,0)),0))</f>
        <v>0</v>
      </c>
      <c r="HC20" s="780" t="str">
        <f t="shared" si="45"/>
        <v>DEFAULT</v>
      </c>
      <c r="HD20" s="780">
        <f t="array" ref="HD20">IF('Customer Inputs'!$W$12="End",0,IFERROR(IF($HC20="SEGMENT",INDEX('Margin Guidence Table'!$A$1:$AG$10000,MATCH(1,('Margin Guidence Table'!$A$1:$A$10000=HA20)*('Margin Guidence Table'!$I$1:$I$10000&lt;=ROUND($GS$3,0))*('Margin Guidence Table'!$J$1:$J$10000&gt;=ROUND($GS$3,0)),0),MATCH("SALES_CASE",'Margin Guidence Table'!$A$1:$AG$1,0)),INDEX('Margin Guidence Table'!$A$1:$AG$10000,MATCH(1,('Margin Guidence Table'!$A$1:$A$10000=HA20)*('Margin Guidence Table'!$I$1:$I$10000&lt;=ROUND($GS$3,0))*('Margin Guidence Table'!$J$1:$J$10000&gt;=ROUND($GS$3,0)),0),MATCH("DEFAULT_SALES_CASE",'Margin Guidence Table'!$A$1:$AG$1,0))),0))</f>
        <v>0</v>
      </c>
      <c r="HE20" s="780">
        <f t="array" ref="HE20">IF('Customer Inputs'!$W$12="End",0,IFERROR(IF($HC20="SEGMENT",INDEX('Margin Guidence Table'!$A$1:$AG$10000,MATCH(1,('Margin Guidence Table'!$A$1:$A$10000=HA20)*('Margin Guidence Table'!$I$1:$I$10000&lt;=ROUND($GS$3,0))*('Margin Guidence Table'!$J$1:$J$10000&gt;=ROUND($GS$3,0)),0),MATCH("SALES_LBS",'Margin Guidence Table'!$A$1:$AG$1,0)),INDEX('Margin Guidence Table'!$A$1:$AG$10000,MATCH(1,('Margin Guidence Table'!$A$1:$A$10000=HA20)*('Margin Guidence Table'!$I$1:$I$10000&lt;=ROUND($GS$3,0))*('Margin Guidence Table'!$J$1:$J$10000&gt;=ROUND($GS$3,0)),0),MATCH("DEFAULT_SALES_LBS",'Margin Guidence Table'!$A$1:$AG$1,0))),0))</f>
        <v>0</v>
      </c>
      <c r="HF20" s="784">
        <f t="array" ref="HF20">IF('Customer Inputs'!$W$12="End",0,IFERROR(IF($HC20="SEGMENT",INDEX('Margin Guidence Table'!$A$1:$AG$10000,MATCH(1,('Margin Guidence Table'!$A$1:$A$10000=HA20)*('Margin Guidence Table'!$I$1:$I$10000&lt;=ROUND($GS$3,0))*('Margin Guidence Table'!$J$1:$J$10000&gt;=ROUND($GS$3,0)),0),MATCH("MDA_MIN_MARGIN_GUIDENCE",'Margin Guidence Table'!$A$1:$AG$1,0)),INDEX('Margin Guidence Table'!$A$1:$AG$10000,MATCH(1,('Margin Guidence Table'!$A$1:$A$10000=HA20)*('Margin Guidence Table'!$I$1:$I$10000&lt;=ROUND($GS$3,0))*('Margin Guidence Table'!$J$1:$J$10000&gt;=ROUND($GS$3,0)),0),MATCH("DEFAULT_MDA_MIN_MARGIN_GUIDENCE",'Margin Guidence Table'!$A$1:$AG$1,0))),0))</f>
        <v>0</v>
      </c>
      <c r="HG20" s="784">
        <f t="array" ref="HG20">IF('Customer Inputs'!$W$12="End",0,IFERROR(IF($HC20="SEGMENT",INDEX('Margin Guidence Table'!$A$1:$AG$10000,MATCH(1,('Margin Guidence Table'!$A$1:$A$10000=HA20)*('Margin Guidence Table'!$I$1:$I$10000&lt;=ROUND($GS$3,0))*('Margin Guidence Table'!$J$1:$J$10000&gt;=ROUND($GS$3,0)),0),MATCH("MDA_MEDIAN_MARGIN_GUIDENCE",'Margin Guidence Table'!$A$1:$AG$1,0)),INDEX('Margin Guidence Table'!$A$1:$AG$10000,MATCH(1,('Margin Guidence Table'!$A$1:$A$10000=HA20)*('Margin Guidence Table'!$I$1:$I$10000&lt;=ROUND($GS$3,0))*('Margin Guidence Table'!$J$1:$J$10000&gt;=ROUND($GS$3,0)),0),MATCH("DEFAULT_MDA_MEDIAN_MARGIN_GUIDENCE",'Margin Guidence Table'!$A$1:$AG$1,0))),0))</f>
        <v>0</v>
      </c>
      <c r="HH20" s="784">
        <f t="array" ref="HH20">IF('Customer Inputs'!$W$12="End",0,IFERROR(IF($HC20="SEGMENT",INDEX('Margin Guidence Table'!$A$1:$AG$10000,MATCH(1,('Margin Guidence Table'!$A$1:$A$10000=HA20)*('Margin Guidence Table'!$I$1:$I$10000&lt;=ROUND($GS$3,0))*('Margin Guidence Table'!$J$1:$J$10000&gt;=ROUND($GS$3,0)),0),MATCH("MDA_MAX_MARGIN_GUIDENCE",'Margin Guidence Table'!$A$1:$AG$1,0)),INDEX('Margin Guidence Table'!$A$1:$AG$10000,MATCH(1,('Margin Guidence Table'!$A$1:$A$10000=HA20)*('Margin Guidence Table'!$I$1:$I$10000&lt;=ROUND($GS$3,0))*('Margin Guidence Table'!$J$1:$J$10000&gt;=ROUND($GS$3,0)),0),MATCH("DEFAULT_MDA_MAX_MARGIN_GUIDENCE",'Margin Guidence Table'!$A$1:$AG$1,0))),0))</f>
        <v>0</v>
      </c>
      <c r="HI20" s="784">
        <f t="array" ref="HI20">IF('Customer Inputs'!$W$12="End",0,IFERROR(IF($HC20="SEGMENT",INDEX('Margin Guidence Table'!$A$1:$AG$10000,MATCH(1,('Margin Guidence Table'!$A$1:$A$10000=HA20)*('Margin Guidence Table'!$I$1:$I$10000&lt;=ROUND($GS$3,0))*('Margin Guidence Table'!$J$1:$J$10000&gt;=ROUND($GS$3,0)),0),MATCH("PA_PCT_SALES",'Margin Guidence Table'!$A$1:$AG$1,0)),INDEX('Margin Guidence Table'!$A$1:$AG$10000,MATCH(1,('Margin Guidence Table'!$A$1:$A$10000=HA20)*('Margin Guidence Table'!$I$1:$I$10000&lt;=ROUND($GS$3,0))*('Margin Guidence Table'!$J$1:$J$10000&gt;=ROUND($GS$3,0)),0),MATCH("DEFAULT_PA_PCT_SALES",'Margin Guidence Table'!$A$1:$AG$1,0))),0))</f>
        <v>0</v>
      </c>
      <c r="HJ20" s="784">
        <f t="array" ref="HJ20">IF('Customer Inputs'!$W$12="End",0,IFERROR(IF($HC20="SEGMENT",INDEX('Margin Guidence Table'!$A$1:$AG$10000,MATCH(1,('Margin Guidence Table'!$A$1:$A$10000=HA20)*('Margin Guidence Table'!$I$1:$I$10000&lt;=ROUND($GS$3,0))*('Margin Guidence Table'!$J$1:$J$10000&gt;=ROUND($GS$3,0)),0),MATCH("SELF_FUND_PCT_SALES",'Margin Guidence Table'!$A$1:$AG$1,0)),INDEX('Margin Guidence Table'!$A$1:$AG$10000,MATCH(1,('Margin Guidence Table'!$A$1:$A$10000=HA20)*('Margin Guidence Table'!$I$1:$I$10000&lt;=ROUND($GS$3,0))*('Margin Guidence Table'!$J$1:$J$10000&gt;=ROUND($GS$3,0)),0),MATCH("DEFAULT_SELF_FUND_PCT_SALES",'Margin Guidence Table'!$A$1:$AG$1,0))),0))</f>
        <v>0</v>
      </c>
      <c r="HK20" s="784">
        <f t="array" ref="HK20">IF('Customer Inputs'!$W$12="End",0,IF($GT$2="Existing",IFERROR(SUMIFS('Existing Customers'!$V:$V,'Existing Customers'!$H:$H,$GR20,'Existing Customers'!$A:$A,$GS$1)/SUMIFS('Existing Customers'!$Q:$Q,'Existing Customers'!$H:$H,$GR20,'Existing Customers'!$A:$A,$GS$1),0),IFERROR(IF($HC20="SEGMENT",INDEX('Margin Guidence Table'!$A$1:$AG$10000,MATCH(1,('Margin Guidence Table'!$A$1:$A$10000=HA20)*('Margin Guidence Table'!$I$1:$I$10000&lt;=ROUND($GS$3,0))*('Margin Guidence Table'!$J$1:$J$10000&gt;=ROUND($GS$3,0)),0),MATCH("CIA_MEDIAN_MARGIN_GUIDENCE",'Margin Guidence Table'!$A$1:$AG$1,0)),INDEX('Margin Guidence Table'!$A$1:$AG$10000,MATCH(1,('Margin Guidence Table'!$A$1:$A$10000=HA20)*('Margin Guidence Table'!$I$1:$I$10000&lt;=ROUND($GS$3,0))*('Margin Guidence Table'!$J$1:$J$10000&gt;=ROUND($GS$3,0)),0),MATCH("DEFAULT_CIA_MEDIAN_MARGIN_GUIDENCE",'Margin Guidence Table'!$A$1:$AG$1,0))),0)))</f>
        <v>0</v>
      </c>
      <c r="HL20" s="126"/>
      <c r="HM20" s="18">
        <f t="array" ref="HM20">IF('Customer Inputs'!$W$13="End",0,IFERROR(IF($HZ20="SEGMENT",INDEX('Margin Guidence Table'!$A$1:$AG$10000,MATCH(1,('Margin Guidence Table'!$A$1:$A$10000=$HX20)*('Margin Guidence Table'!$I$1:$I$10000&lt;=ROUND($HP$3,0))*('Margin Guidence Table'!$J$1:$J$10000&gt;=ROUND($HP$3,0)),0),MATCH("PCT_SALES",'Margin Guidence Table'!$A$1:$AG$1,0)),INDEX('Margin Guidence Table'!$A$1:$AG$10000,MATCH(1,('Margin Guidence Table'!$A$1:$A$10000=$HX20)*('Margin Guidence Table'!$I$1:$I$10000&lt;=ROUND($HP$3,0))*('Margin Guidence Table'!$J$1:$J$10000&gt;=ROUND($HP$3,0)),0),MATCH("DEFAULT_PCT_SALES",'Margin Guidence Table'!$A$1:$AG$1,0))),0))</f>
        <v>0</v>
      </c>
      <c r="HN20" s="297" t="e">
        <f t="shared" si="46"/>
        <v>#DIV/0!</v>
      </c>
      <c r="HO20" s="99" t="s">
        <v>98</v>
      </c>
      <c r="HP20" s="91">
        <f>IF('Customer Inputs'!$W$13="End",0,IFERROR(IF(AND($HP$2&lt;&gt;"Enter Spend&gt;&gt;&gt;",$HQ$2="EXISTING"),SUMIFS('Existing Customers'!$Q:$Q,'Existing Customers'!$A:$A,$HP$1,'Existing Customers'!$H:$H,$HO20)*$HP$4,$HP$3*$HN20),0))</f>
        <v>0</v>
      </c>
      <c r="HQ20" s="86">
        <f>IF('Customer Inputs'!$W$13="End",0,IFERROR(IF(AND($HP$2&lt;&gt;"Enter Spend&gt;&gt;&gt;",$HQ$2="EXISTING"),SUMIFS('Existing Customers'!$N:$N,'Existing Customers'!$A:$A,$HP$1,'Existing Customers'!$H:$H,$HO20)*$HP$4,$HP20/$IA20),0))</f>
        <v>0</v>
      </c>
      <c r="HR20" s="92">
        <f>IF('Customer Inputs'!$W$13="End",0,IFERROR(IF(AND($HP$2&lt;&gt;"Enter Spend&gt;&gt;&gt;",$HQ$2="EXISTING"),SUMIFS('Existing Customers'!$O:$O,'Existing Customers'!$H:$H,$HO20,'Existing Customers'!$A:$A,$HP$1)*$HP$4,$HQ20*$HP$8),0))</f>
        <v>0</v>
      </c>
      <c r="HS20" s="92">
        <f>IF('Customer Inputs'!$W$13="End",0,IFERROR(IF(AND($HP$2&lt;&gt;"Enter Spend&gt;&gt;&gt;",$HQ$2="EXISTING"),SUMIFS('Existing Customers'!$P:$P,'Existing Customers'!$A:$A,$HP$1,'Existing Customers'!$H:$H,$HO20)*$HP$4,$HP20/$IB20),0))</f>
        <v>0</v>
      </c>
      <c r="HT20" s="93">
        <f>IF('Customer Inputs'!$W$13="End",0,IFERROR(IF(AND($HP$2&lt;&gt;"Enter Spend&gt;&gt;&gt;",$HQ$2="EXISTING"),SUMIFS('Existing Customers'!$V:$V,'Existing Customers'!$H:$H,$HO20,'Existing Customers'!$A:$A,$HP$1)*$HP$4,0),0))</f>
        <v>0</v>
      </c>
      <c r="HU20" s="93">
        <f>IF('Customer Inputs'!$W$13="End",0,IFERROR(IF(AND($HP$2&lt;&gt;"Enter Spend&gt;&gt;&gt;",$HQ$2="EXISTING"),SUMIFS('Existing Customers'!$R:$R,'Existing Customers'!$H:$H,$HO20,'Existing Customers'!$A:$A,$HP$1)*$HP$4,0),0))</f>
        <v>0</v>
      </c>
      <c r="HV20" s="780">
        <f>IF('Customer Inputs'!$W$13="End",0,IFERROR(IF(AND($HP$2&lt;&gt;"Enter Spend&gt;&gt;&gt;",$HQ$2="EXISTING"),SUMIFS('Existing Customers'!$S:$S,'Existing Customers'!$H:$H,$HO20,'Existing Customers'!$A:$A,$HP$1)/SUMIFS('Existing Customers'!$Q:$Q,'Existing Customers'!$A:$A,$HP$1,'Existing Customers'!$H:$H,$HO20),IF20),0))</f>
        <v>0</v>
      </c>
      <c r="HW20" s="780">
        <f>IF('Customer Inputs'!$W$13="End",0,IFERROR(IF(AND($HP$2&lt;&gt;"Enter Spend&gt;&gt;&gt;",$HQ$2="EXISTING"),SUMIFS('Existing Customers'!$U:$U,'Existing Customers'!$H:$H,$HO20,'Existing Customers'!$A:$A,$HP$1)/SUMIFS('Existing Customers'!$Q:$Q,'Existing Customers'!$A:$A,$HP$1,'Existing Customers'!$H:$H,$HO20),IG20),0))</f>
        <v>0</v>
      </c>
      <c r="HX20" s="783" t="e">
        <f>_xlfn.CONCAT('Customer Inputs'!$AH$13,"_",HO20)</f>
        <v>#N/A</v>
      </c>
      <c r="HY20" s="783">
        <f t="array" ref="HY20">IF('Customer Inputs'!$W$13="End",0,IFERROR(INDEX('Margin Guidence Table'!$A$1:$AG$10000,MATCH(1,('Margin Guidence Table'!$A$1:$A$10000=HX20)*('Margin Guidence Table'!$I$1:$I$10000&lt;=ROUND($HP$3,0))*('Margin Guidence Table'!$J$1:$J$10000&gt;=ROUND($HP$3,0)),0),MATCH("DATA_POINTS",'Margin Guidence Table'!$A$1:$AG$1,0)),0))</f>
        <v>0</v>
      </c>
      <c r="HZ20" s="780" t="str">
        <f t="shared" si="47"/>
        <v>DEFAULT</v>
      </c>
      <c r="IA20" s="780">
        <f t="array" ref="IA20">IF('Customer Inputs'!$W$13="End",0,IFERROR(IF($HZ20="SEGMENT",INDEX('Margin Guidence Table'!$A$1:$AG$10000,MATCH(1,('Margin Guidence Table'!$A$1:$A$10000=HX20)*('Margin Guidence Table'!$I$1:$I$10000&lt;=ROUND($HP$3,0))*('Margin Guidence Table'!$J$1:$J$10000&gt;=ROUND($HP$3,0)),0),MATCH("SALES_CASE",'Margin Guidence Table'!$A$1:$AG$1,0)),INDEX('Margin Guidence Table'!$A$1:$AG$10000,MATCH(1,('Margin Guidence Table'!$A$1:$A$10000=HX20)*('Margin Guidence Table'!$I$1:$I$10000&lt;=ROUND($HP$3,0))*('Margin Guidence Table'!$J$1:$J$10000&gt;=ROUND($HP$3,0)),0),MATCH("DEFAULT_SALES_CASE",'Margin Guidence Table'!$A$1:$AG$1,0))),0))</f>
        <v>0</v>
      </c>
      <c r="IB20" s="780">
        <f t="array" ref="IB20">IF('Customer Inputs'!$W$13="End",0,IFERROR(IF($HZ20="SEGMENT",INDEX('Margin Guidence Table'!$A$1:$AG$10000,MATCH(1,('Margin Guidence Table'!$A$1:$A$10000=HX20)*('Margin Guidence Table'!$I$1:$I$10000&lt;=ROUND($HP$3,0))*('Margin Guidence Table'!$J$1:$J$10000&gt;=ROUND($HP$3,0)),0),MATCH("SALES_LBS",'Margin Guidence Table'!$A$1:$AG$1,0)),INDEX('Margin Guidence Table'!$A$1:$AG$10000,MATCH(1,('Margin Guidence Table'!$A$1:$A$10000=HX20)*('Margin Guidence Table'!$I$1:$I$10000&lt;=ROUND($HP$3,0))*('Margin Guidence Table'!$J$1:$J$10000&gt;=ROUND($HP$3,0)),0),MATCH("DEFAULT_SALES_LBS",'Margin Guidence Table'!$A$1:$AG$1,0))),0))</f>
        <v>0</v>
      </c>
      <c r="IC20" s="784">
        <f t="array" ref="IC20">IF('Customer Inputs'!$W$13="End",0,IFERROR(IF($HZ20="SEGMENT",INDEX('Margin Guidence Table'!$A$1:$AG$10000,MATCH(1,('Margin Guidence Table'!$A$1:$A$10000=HX20)*('Margin Guidence Table'!$I$1:$I$10000&lt;=ROUND($HP$3,0))*('Margin Guidence Table'!$J$1:$J$10000&gt;=ROUND($HP$3,0)),0),MATCH("MDA_MIN_MARGIN_GUIDENCE",'Margin Guidence Table'!$A$1:$AG$1,0)),INDEX('Margin Guidence Table'!$A$1:$AG$10000,MATCH(1,('Margin Guidence Table'!$A$1:$A$10000=HX20)*('Margin Guidence Table'!$I$1:$I$10000&lt;=ROUND($HP$3,0))*('Margin Guidence Table'!$J$1:$J$10000&gt;=ROUND($HP$3,0)),0),MATCH("DEFAULT_MDA_MIN_MARGIN_GUIDENCE",'Margin Guidence Table'!$A$1:$AG$1,0))),0))</f>
        <v>0</v>
      </c>
      <c r="ID20" s="784">
        <f t="array" ref="ID20">IF('Customer Inputs'!$W$13="End",0,IFERROR(IF($HZ20="SEGMENT",INDEX('Margin Guidence Table'!$A$1:$AG$10000,MATCH(1,('Margin Guidence Table'!$A$1:$A$10000=HX20)*('Margin Guidence Table'!$I$1:$I$10000&lt;=ROUND($HP$3,0))*('Margin Guidence Table'!$J$1:$J$10000&gt;=ROUND($HP$3,0)),0),MATCH("MDA_MEDIAN_MARGIN_GUIDENCE",'Margin Guidence Table'!$A$1:$AG$1,0)),INDEX('Margin Guidence Table'!$A$1:$AG$10000,MATCH(1,('Margin Guidence Table'!$A$1:$A$10000=HX20)*('Margin Guidence Table'!$I$1:$I$10000&lt;=ROUND($HP$3,0))*('Margin Guidence Table'!$J$1:$J$10000&gt;=ROUND($HP$3,0)),0),MATCH("DEFAULT_MDA_MEDIAN_MARGIN_GUIDENCE",'Margin Guidence Table'!$A$1:$AG$1,0))),0))</f>
        <v>0</v>
      </c>
      <c r="IE20" s="784">
        <f t="array" ref="IE20">IF('Customer Inputs'!$W$13="End",0,IFERROR(IF($HZ20="SEGMENT",INDEX('Margin Guidence Table'!$A$1:$AG$10000,MATCH(1,('Margin Guidence Table'!$A$1:$A$10000=HX20)*('Margin Guidence Table'!$I$1:$I$10000&lt;=ROUND($HP$3,0))*('Margin Guidence Table'!$J$1:$J$10000&gt;=ROUND($HP$3,0)),0),MATCH("MDA_MAX_MARGIN_GUIDENCE",'Margin Guidence Table'!$A$1:$AG$1,0)),INDEX('Margin Guidence Table'!$A$1:$AG$10000,MATCH(1,('Margin Guidence Table'!$A$1:$A$10000=HX20)*('Margin Guidence Table'!$I$1:$I$10000&lt;=ROUND($HP$3,0))*('Margin Guidence Table'!$J$1:$J$10000&gt;=ROUND($HP$3,0)),0),MATCH("DEFAULT_MDA_MAX_MARGIN_GUIDENCE",'Margin Guidence Table'!$A$1:$AG$1,0))),0))</f>
        <v>0</v>
      </c>
      <c r="IF20" s="784">
        <f t="array" ref="IF20">IF('Customer Inputs'!$W$13="End",0,IFERROR(IF($HZ20="SEGMENT",INDEX('Margin Guidence Table'!$A$1:$AG$10000,MATCH(1,('Margin Guidence Table'!$A$1:$A$10000=HX20)*('Margin Guidence Table'!$I$1:$I$10000&lt;=ROUND($HP$3,0))*('Margin Guidence Table'!$J$1:$J$10000&gt;=ROUND($HP$3,0)),0),MATCH("PA_PCT_SALES",'Margin Guidence Table'!$A$1:$AG$1,0)),INDEX('Margin Guidence Table'!$A$1:$AG$10000,MATCH(1,('Margin Guidence Table'!$A$1:$A$10000=HX20)*('Margin Guidence Table'!$I$1:$I$10000&lt;=ROUND($HP$3,0))*('Margin Guidence Table'!$J$1:$J$10000&gt;=ROUND($HP$3,0)),0),MATCH("DEFAULT_PA_PCT_SALES",'Margin Guidence Table'!$A$1:$AG$1,0))),0))</f>
        <v>0</v>
      </c>
      <c r="IG20" s="784">
        <f t="array" ref="IG20">IF('Customer Inputs'!$W$13="End",0,IFERROR(IF($HZ20="SEGMENT",INDEX('Margin Guidence Table'!$A$1:$AG$10000,MATCH(1,('Margin Guidence Table'!$A$1:$A$10000=HX20)*('Margin Guidence Table'!$I$1:$I$10000&lt;=ROUND($HP$3,0))*('Margin Guidence Table'!$J$1:$J$10000&gt;=ROUND($HP$3,0)),0),MATCH("SELF_FUND_PCT_SALES",'Margin Guidence Table'!$A$1:$AG$1,0)),INDEX('Margin Guidence Table'!$A$1:$AG$10000,MATCH(1,('Margin Guidence Table'!$A$1:$A$10000=HX20)*('Margin Guidence Table'!$I$1:$I$10000&lt;=ROUND($HP$3,0))*('Margin Guidence Table'!$J$1:$J$10000&gt;=ROUND($HP$3,0)),0),MATCH("DEFAULT_SELF_FUND_PCT_SALES",'Margin Guidence Table'!$A$1:$AG$1,0))),0))</f>
        <v>0</v>
      </c>
      <c r="IH20" s="784">
        <f t="array" ref="IH20">IF('Customer Inputs'!$W$13="End",0,IF($HQ$2="Existing",IFERROR(SUMIFS('Existing Customers'!$V:$V,'Existing Customers'!$H:$H,$HO20,'Existing Customers'!$A:$A,$HP$1)/SUMIFS('Existing Customers'!$Q:$Q,'Existing Customers'!$H:$H,$HO20,'Existing Customers'!$A:$A,$HP$1),0),IFERROR(IF($HZ20="SEGMENT",INDEX('Margin Guidence Table'!$A$1:$AG$10000,MATCH(1,('Margin Guidence Table'!$A$1:$A$10000=HX20)*('Margin Guidence Table'!$I$1:$I$10000&lt;=ROUND($HP$3,0))*('Margin Guidence Table'!$J$1:$J$10000&gt;=ROUND($HP$3,0)),0),MATCH("CIA_MEDIAN_MARGIN_GUIDENCE",'Margin Guidence Table'!$A$1:$AG$1,0)),INDEX('Margin Guidence Table'!$A$1:$AG$10000,MATCH(1,('Margin Guidence Table'!$A$1:$A$10000=HX20)*('Margin Guidence Table'!$I$1:$I$10000&lt;=ROUND($HP$3,0))*('Margin Guidence Table'!$J$1:$J$10000&gt;=ROUND($HP$3,0)),0),MATCH("DEFAULT_CIA_MEDIAN_MARGIN_GUIDENCE",'Margin Guidence Table'!$A$1:$AG$1,0))),0)))</f>
        <v>0</v>
      </c>
      <c r="II20" s="126"/>
      <c r="IJ20" s="18">
        <f t="array" ref="IJ20">IF('Customer Inputs'!$W$14="End",0,IFERROR(IF($IW20="SEGMENT",INDEX('Margin Guidence Table'!$A:$AC,MATCH(1,('Margin Guidence Table'!$A:$A=$IU20)*('Margin Guidence Table'!$H:$H&lt;=ROUND($IM$3,0))*('Margin Guidence Table'!$G:$G&gt;=ROUND($IM$3,0)),0),MATCH("PCT_SALES",'Margin Guidence Table'!$A$1:$AG$1,0)),INDEX('Margin Guidence Table'!$A:$AC,MATCH(1,('Margin Guidence Table'!$A:$A=$IU20)*('Margin Guidence Table'!$H:$H&lt;=ROUND($IM$3,0))*('Margin Guidence Table'!$G:$G&gt;=ROUND($IM$3,0)),0),MATCH("DEFAULT_PCT_SALES",'Margin Guidence Table'!$A$1:$AG$1,0))),0))</f>
        <v>0</v>
      </c>
      <c r="IK20" s="297" t="e">
        <f t="shared" si="48"/>
        <v>#DIV/0!</v>
      </c>
      <c r="IL20" s="99" t="s">
        <v>98</v>
      </c>
      <c r="IM20" s="91">
        <f>IF('Customer Inputs'!$W$14="End",0,IFERROR(IF(AND($IM$2&lt;&gt;"Enter Spend&gt;&gt;&gt;",$IN$2="EXISTING"),SUMIFS('Existing Customers'!$Q:$Q,'Existing Customers'!$A:$A,$IM$1,'Existing Customers'!$H:$H,$IL20)*$IM$4,$IM$3*$IK20),0))</f>
        <v>0</v>
      </c>
      <c r="IN20" s="86">
        <f>IF('Customer Inputs'!$W$14="End",0,IFERROR(IF(AND($IM$2&lt;&gt;"Enter Spend&gt;&gt;&gt;",$IN$2="EXISTING"),SUMIFS('Existing Customers'!$N:$N,'Existing Customers'!$A:$A,$IM$1,'Existing Customers'!$H:$H,$IL20)*$IM$4,$IM20/$IX20),0))</f>
        <v>0</v>
      </c>
      <c r="IO20" s="92">
        <f>IF('Customer Inputs'!$W$14="End",0,IFERROR(IF(AND($IM$2&lt;&gt;"Enter Spend&gt;&gt;&gt;",$IN$2="EXISTING"),SUMIFS('Existing Customers'!$O:$O,'Existing Customers'!$H:$H,$IL20,'Existing Customers'!$A:$A,$IM$1)*$IM$4,$IN20*$IM$8),0))</f>
        <v>0</v>
      </c>
      <c r="IP20" s="92">
        <f>IF('Customer Inputs'!$W$14="End",0,IFERROR(IF(AND($IM$2&lt;&gt;"Enter Spend&gt;&gt;&gt;",$IN$2="EXISTING"),SUMIFS('Existing Customers'!$P:$P,'Existing Customers'!$A:$A,$IM$1,'Existing Customers'!$H:$H,$IL20)*$IM$4,$IM20/$IY20),0))</f>
        <v>0</v>
      </c>
      <c r="IQ20" s="303">
        <f>IF('Customer Inputs'!$W$14="End",0,IFERROR(IF(AND($IM$2&lt;&gt;"Enter Spend&gt;&gt;&gt;",$IN$2="EXISTING"),SUMIFS('Existing Customers'!$V:$V,'Existing Customers'!$H:$H,$IL20,'Existing Customers'!$A:$A,$IM$1)*$IM$4,0),0))</f>
        <v>0</v>
      </c>
      <c r="IR20" s="93">
        <f>IF('Customer Inputs'!$W$14="End",0,IFERROR(IF(AND($IM$2&lt;&gt;"Enter Spend&gt;&gt;&gt;",$IN$2="EXISTING"),SUMIFS('Existing Customers'!$R:$R,'Existing Customers'!$H:$H,$IL20,'Existing Customers'!$A:$A,$IM$1)*$IM$4,0),0))</f>
        <v>0</v>
      </c>
      <c r="IS20" s="780">
        <f>IF('Customer Inputs'!$W$14="End",0,IFERROR(IF(AND($IM$2&lt;&gt;"Enter Spend&gt;&gt;&gt;",$IN$2="EXISTING"),SUMIFS('Existing Customers'!$S:$S,'Existing Customers'!$H:$H,$IL20,'Existing Customers'!$A:$A,$IM$1)/SUMIFS('Existing Customers'!$Q:$Q,'Existing Customers'!$A:$A,$IM$1,'Existing Customers'!$H:$H,$IL20),JC20),0))</f>
        <v>0</v>
      </c>
      <c r="IT20" s="780">
        <f>IF('Customer Inputs'!$W$14="End",0,IFERROR(IF(AND($IM$2&lt;&gt;"Enter Spend&gt;&gt;&gt;",$IN$2="EXISTING"),SUMIFS('Existing Customers'!$U:$U,'Existing Customers'!$H:$H,$IL20,'Existing Customers'!$A:$A,$IM$1)/SUMIFS('Existing Customers'!$Q:$Q,'Existing Customers'!$A:$A,$IM$1,'Existing Customers'!$H:$H,$IL20),JD20),0))</f>
        <v>0</v>
      </c>
      <c r="IU20" s="783" t="e">
        <f>_xlfn.CONCAT('Customer Inputs'!$AH$14,"_",IL20)</f>
        <v>#N/A</v>
      </c>
      <c r="IV20" s="783">
        <f t="array" ref="IV20">IF('Customer Inputs'!$W$14="End",0,IFERROR(INDEX('Margin Guidence Table'!$A$1:$AG$10000,MATCH(1,('Margin Guidence Table'!$A$1:$A$10000=IU20)*('Margin Guidence Table'!$I$1:$I$10000&lt;=ROUND($IM$3,0))*('Margin Guidence Table'!$J$1:$J$10000&gt;=ROUND($IM$3,0)),0),MATCH("DATA_POINTS",'Margin Guidence Table'!$A$1:$AG$1,0)),0))</f>
        <v>0</v>
      </c>
      <c r="IW20" s="780" t="str">
        <f t="shared" si="49"/>
        <v>DEFAULT</v>
      </c>
      <c r="IX20" s="780">
        <f t="array" ref="IX20">IF('Customer Inputs'!$W$14="End",0,IFERROR(IF($IW20="SEGMENT",INDEX('Margin Guidence Table'!$A$1:$AG$10000,MATCH(1,('Margin Guidence Table'!$A$1:$A$10000=IU20)*('Margin Guidence Table'!$I$1:$I$10000&lt;=ROUND($IM$3,0))*('Margin Guidence Table'!$J$1:$J$10000&gt;=ROUND($IM$3,0)),0),MATCH("SALES_CASE",'Margin Guidence Table'!$A$1:$AG$1,0)),INDEX('Margin Guidence Table'!$A$1:$AG$10000,MATCH(1,('Margin Guidence Table'!$A$1:$A$10000=IU20)*('Margin Guidence Table'!$I$1:$I$10000&lt;=ROUND($IM$3,0))*('Margin Guidence Table'!$J$1:$J$10000&gt;=ROUND($IM$3,0)),0),MATCH("DEFAULT_SALES_CASE",'Margin Guidence Table'!$A$1:$AG$1,0))),0))</f>
        <v>0</v>
      </c>
      <c r="IY20" s="780">
        <f t="array" ref="IY20">IF('Customer Inputs'!$W$14="End",0,IFERROR(IF($IW20="SEGMENT",INDEX('Margin Guidence Table'!$A$1:$AG$10000,MATCH(1,('Margin Guidence Table'!$A$1:$A$10000=IU20)*('Margin Guidence Table'!$I$1:$I$10000&lt;=ROUND($IM$3,0))*('Margin Guidence Table'!$J$1:$J$10000&gt;=ROUND($IM$3,0)),0),MATCH("SALES_LBS",'Margin Guidence Table'!$A$1:$AG$1,0)),INDEX('Margin Guidence Table'!$A$1:$AG$10000,MATCH(1,('Margin Guidence Table'!$A$1:$A$10000=IU20)*('Margin Guidence Table'!$I$1:$I$10000&lt;=ROUND($IM$3,0))*('Margin Guidence Table'!$J$1:$J$10000&gt;=ROUND($IM$3,0)),0),MATCH("DEFAULT_SALES_LBS",'Margin Guidence Table'!$A$1:$AG$1,0))),0))</f>
        <v>0</v>
      </c>
      <c r="IZ20" s="784">
        <f t="array" ref="IZ20">IF('Customer Inputs'!$W$14="End",0,IFERROR(IF($IW20="SEGMENT",INDEX('Margin Guidence Table'!$A$1:$AG$10000,MATCH(1,('Margin Guidence Table'!$A$1:$A$10000=IU20)*('Margin Guidence Table'!$I$1:$I$10000&lt;=ROUND($IM$3,0))*('Margin Guidence Table'!$J$1:$J$10000&gt;=ROUND($IM$3,0)),0),MATCH("MDA_MIN_MARGIN_GUIDENCE",'Margin Guidence Table'!$A$1:$AG$1,0)),INDEX('Margin Guidence Table'!$A$1:$AG$10000,MATCH(1,('Margin Guidence Table'!$A$1:$A$10000=IU20)*('Margin Guidence Table'!$I$1:$I$10000&lt;=ROUND($IM$3,0))*('Margin Guidence Table'!$J$1:$J$10000&gt;=ROUND($IM$3,0)),0),MATCH("DEFAULT_MDA_MIN_MARGIN_GUIDENCE",'Margin Guidence Table'!$A$1:$AG$1,0))),0))</f>
        <v>0</v>
      </c>
      <c r="JA20" s="784">
        <f t="array" ref="JA20">IF('Customer Inputs'!$W$14="End",0,IFERROR(IF($IW20="SEGMENT",INDEX('Margin Guidence Table'!$A$1:$AG$10000,MATCH(1,('Margin Guidence Table'!$A$1:$A$10000=IU20)*('Margin Guidence Table'!$I$1:$I$10000&lt;=ROUND($IM$3,0))*('Margin Guidence Table'!$J$1:$J$10000&gt;=ROUND($IM$3,0)),0),MATCH("MDA_MEDIAN_MARGIN_GUIDENCE",'Margin Guidence Table'!$A$1:$AG$1,0)),INDEX('Margin Guidence Table'!$A$1:$AG$10000,MATCH(1,('Margin Guidence Table'!$A$1:$A$10000=IU20)*('Margin Guidence Table'!$I$1:$I$10000&lt;=ROUND($IM$3,0))*('Margin Guidence Table'!$J$1:$J$10000&gt;=ROUND($IM$3,0)),0),MATCH("DEFAULT_MDA_MEDIAN_MARGIN_GUIDENCE",'Margin Guidence Table'!$A$1:$AG$1,0))),0))</f>
        <v>0</v>
      </c>
      <c r="JB20" s="784">
        <f t="array" ref="JB20">IF('Customer Inputs'!$W$14="End",0,IFERROR(IF($IW20="SEGMENT",INDEX('Margin Guidence Table'!$A$1:$AG$10000,MATCH(1,('Margin Guidence Table'!$A$1:$A$10000=IU20)*('Margin Guidence Table'!$I$1:$I$10000&lt;=ROUND($IM$3,0))*('Margin Guidence Table'!$J$1:$J$10000&gt;=ROUND($IM$3,0)),0),MATCH("MDA_MAX_MARGIN_GUIDENCE",'Margin Guidence Table'!$A$1:$AG$1,0)),INDEX('Margin Guidence Table'!$A$1:$AG$10000,MATCH(1,('Margin Guidence Table'!$A$1:$A$10000=IU20)*('Margin Guidence Table'!$I$1:$I$10000&lt;=ROUND($IM$3,0))*('Margin Guidence Table'!$J$1:$J$10000&gt;=ROUND($IM$3,0)),0),MATCH("DEFAULT_MDA_MAX_MARGIN_GUIDENCE",'Margin Guidence Table'!$A$1:$AG$1,0))),0))</f>
        <v>0</v>
      </c>
      <c r="JC20" s="784">
        <f t="array" ref="JC20">IF('Customer Inputs'!$W$14="End",0,IFERROR(IF($IW20="SEGMENT",INDEX('Margin Guidence Table'!$A$1:$AG$10000,MATCH(1,('Margin Guidence Table'!$A$1:$A$10000=IU20)*('Margin Guidence Table'!$I$1:$I$10000&lt;=ROUND($IM$3,0))*('Margin Guidence Table'!$J$1:$J$10000&gt;=ROUND($IM$3,0)),0),MATCH("PA_PCT_SALES",'Margin Guidence Table'!$A$1:$AG$1,0)),INDEX('Margin Guidence Table'!$A$1:$AG$10000,MATCH(1,('Margin Guidence Table'!$A$1:$A$10000=IU20)*('Margin Guidence Table'!$I$1:$I$10000&lt;=ROUND($IM$3,0))*('Margin Guidence Table'!$J$1:$J$10000&gt;=ROUND($IM$3,0)),0),MATCH("DEFAULT_PA_PCT_SALES",'Margin Guidence Table'!$A$1:$AG$1,0))),0))</f>
        <v>0</v>
      </c>
      <c r="JD20" s="784">
        <f t="array" ref="JD20">IF('Customer Inputs'!$W$14="End",0,IFERROR(IF($IW20="SEGMENT",INDEX('Margin Guidence Table'!$A$1:$AG$10000,MATCH(1,('Margin Guidence Table'!$A$1:$A$10000=IU20)*('Margin Guidence Table'!$I$1:$I$10000&lt;=ROUND($IM$3,0))*('Margin Guidence Table'!$J$1:$J$10000&gt;=ROUND($IM$3,0)),0),MATCH("SELF_FUND_PCT_SALES",'Margin Guidence Table'!$A$1:$AG$1,0)),INDEX('Margin Guidence Table'!$A$1:$AG$10000,MATCH(1,('Margin Guidence Table'!$A$1:$A$10000=IU20)*('Margin Guidence Table'!$I$1:$I$10000&lt;=ROUND($IM$3,0))*('Margin Guidence Table'!$J$1:$J$10000&gt;=ROUND($IM$3,0)),0),MATCH("DEFAULT_SELF_FUND_PCT_SALES",'Margin Guidence Table'!$A$1:$AG$1,0))),0))</f>
        <v>0</v>
      </c>
      <c r="JE20" s="784">
        <f t="array" ref="JE20">IF('Customer Inputs'!$W$14="End",0,IF($IN$2="Existing",IFERROR(SUMIFS('Existing Customers'!$V:$V,'Existing Customers'!$H:$H,$IL20,'Existing Customers'!$A:$A,$IM$1)/SUMIFS('Existing Customers'!$Q:$Q,'Existing Customers'!$H:$H,$IL20,'Existing Customers'!$A:$A,$IM$1),0),IFERROR(IF($IW20="SEGMENT",INDEX('Margin Guidence Table'!$A$1:$AG$10000,MATCH(1,('Margin Guidence Table'!$A$1:$A$10000=IU20)*('Margin Guidence Table'!$I$1:$I$10000&lt;=ROUND($IM$3,0))*('Margin Guidence Table'!$J$1:$J$10000&gt;=ROUND($IM$3,0)),0),MATCH("CIA_MEDIAN_MARGIN_GUIDENCE",'Margin Guidence Table'!$A$1:$AG$1,0)),INDEX('Margin Guidence Table'!$A$1:$AG$10000,MATCH(1,('Margin Guidence Table'!$A$1:$A$10000=IU20)*('Margin Guidence Table'!$I$1:$I$10000&lt;=ROUND($IM$3,0))*('Margin Guidence Table'!$J$1:$J$10000&gt;=ROUND($IM$3,0)),0),MATCH("DEFAULT_CIA_MEDIAN_MARGIN_GUIDENCE",'Margin Guidence Table'!$A$1:$AG$1,0))),0)))</f>
        <v>0</v>
      </c>
      <c r="JF20" s="126"/>
      <c r="JG20" s="18">
        <f t="array" ref="JG20">IF('Customer Inputs'!$W$15="End",0,IFERROR(IF($JT20="SEGMENT",INDEX('Margin Guidence Table'!$A$1:$AG$10000,MATCH(1,('Margin Guidence Table'!$A$1:$A$10000=$JR20)*('Margin Guidence Table'!$I$1:$I$10000&lt;=ROUND($JJ$3,0))*('Margin Guidence Table'!$J$1:$J$10000&gt;=ROUND($JJ$3,0)),0),MATCH("PCT_SALES",'Margin Guidence Table'!$A$1:$AG$1,0)),INDEX('Margin Guidence Table'!$A$1:$AG$10000,MATCH(1,('Margin Guidence Table'!$A$1:$A$10000=$JR20)*('Margin Guidence Table'!$I$1:$I$10000&lt;=ROUND($JJ$3,0))*('Margin Guidence Table'!$J$1:$J$10000&gt;=ROUND($JJ$3,0)),0),MATCH("DEFAULT_PCT_SALES",'Margin Guidence Table'!$A$1:$AG$1,0))),0))</f>
        <v>0</v>
      </c>
      <c r="JH20" s="297" t="e">
        <f t="shared" si="50"/>
        <v>#DIV/0!</v>
      </c>
      <c r="JI20" s="99" t="s">
        <v>98</v>
      </c>
      <c r="JJ20" s="91">
        <f>IF('Customer Inputs'!$W$15="End",0,IFERROR(IF(AND($JJ$2&lt;&gt;"Enter Spend&gt;&gt;&gt;",$JK$2="EXISTING"),SUMIFS('Existing Customers'!$Q:$Q,'Existing Customers'!$A:$A,$JJ$1,'Existing Customers'!$H:$H,$JI20)*$JJ$4,$JJ$3*$JH20),0))</f>
        <v>0</v>
      </c>
      <c r="JK20" s="86">
        <f>IF('Customer Inputs'!$W$15="End",0,IFERROR(IF(AND($JJ$2&lt;&gt;"Enter Spend&gt;&gt;&gt;",$JK$2="EXISTING"),SUMIFS('Existing Customers'!$N:$N,'Existing Customers'!$A:$A,$JJ$1,'Existing Customers'!$H:$H,$JI20)*$JJ$4,$JJ20/$JU20),0))</f>
        <v>0</v>
      </c>
      <c r="JL20" s="92">
        <f>IF('Customer Inputs'!$W$15="End",0,IFERROR(IF(AND($JJ$2&lt;&gt;"Enter Spend&gt;&gt;&gt;",$JK$2="EXISTING"),SUMIFS('Existing Customers'!$O:$O,'Existing Customers'!$H:$H,$JI20,'Existing Customers'!$A:$A,$JJ$1)*$JJ$4,$JK20*$JJ$8),0))</f>
        <v>0</v>
      </c>
      <c r="JM20" s="92">
        <f>IF('Customer Inputs'!$W$15="End",0,IFERROR(IF(AND($JJ$2&lt;&gt;"Enter Spend&gt;&gt;&gt;",$JK$2="EXISTING"),SUMIFS('Existing Customers'!$P:$P,'Existing Customers'!$A:$A,$JJ$1,'Existing Customers'!$H:$H,$JI20)*$JJ$4,$JJ20/$JV20),0))</f>
        <v>0</v>
      </c>
      <c r="JN20" s="303">
        <f>IF('Customer Inputs'!$W$15="End",0,IFERROR(IF(AND($JJ$2&lt;&gt;"Enter Spend&gt;&gt;&gt;",$JK$2="EXISTING"),SUMIFS('Existing Customers'!$V:$V,'Existing Customers'!$H:$H,$JI20,'Existing Customers'!$A:$A,$JJ$1)*$JJ$4,0),0))</f>
        <v>0</v>
      </c>
      <c r="JO20" s="93">
        <f>IF('Customer Inputs'!$W$15="End",0,IFERROR(IF(AND($JJ$2&lt;&gt;"Enter Spend&gt;&gt;&gt;",$JK$2="EXISTING"),SUMIFS('Existing Customers'!$R:$R,'Existing Customers'!$H:$H,$JI20,'Existing Customers'!$A:$A,$JJ$1)*$JJ$4,0),0))</f>
        <v>0</v>
      </c>
      <c r="JP20" s="780">
        <f>IF('Customer Inputs'!$W$15="End",0,IFERROR(IF(AND($JJ$2&lt;&gt;"Enter Spend&gt;&gt;&gt;",$JK$2="EXISTING"),SUMIFS('Existing Customers'!$S:$S,'Existing Customers'!$H:$H,$JI20,'Existing Customers'!$A:$A,$JJ$1)/SUMIFS('Existing Customers'!$Q:$Q,'Existing Customers'!$A:$A,$JJ$1,'Existing Customers'!$H:$H,$JI20),JZ20),0))</f>
        <v>0</v>
      </c>
      <c r="JQ20" s="780">
        <f>IF('Customer Inputs'!$W$15="End",0,IFERROR(IF(AND($JJ$2&lt;&gt;"Enter Spend&gt;&gt;&gt;",$JK$2="EXISTING"),SUMIFS('Existing Customers'!$U:$U,'Existing Customers'!$H:$H,$JI20,'Existing Customers'!$A:$A,$JJ$1)/SUMIFS('Existing Customers'!$Q:$Q,'Existing Customers'!$A:$A,$JJ$1,'Existing Customers'!$H:$H,$JI20),KA20),0))</f>
        <v>0</v>
      </c>
      <c r="JR20" s="783" t="e">
        <f>_xlfn.CONCAT('Customer Inputs'!$AH$15,"_",JI20)</f>
        <v>#N/A</v>
      </c>
      <c r="JS20" s="783">
        <f t="array" ref="JS20">IF('Customer Inputs'!$W$15="End",0,IFERROR(INDEX('Margin Guidence Table'!$A$1:$AG$10000,MATCH(1,('Margin Guidence Table'!$A$1:$A$10000=JR20)*('Margin Guidence Table'!$I$1:$I$10000&lt;=ROUND($JJ$3,0))*('Margin Guidence Table'!$J$1:$J$10000&gt;=ROUND($JJ$3,0)),0),MATCH("DATA_POINTS",'Margin Guidence Table'!$A$1:$AG$1,0)),0))</f>
        <v>0</v>
      </c>
      <c r="JT20" s="780" t="str">
        <f t="shared" si="51"/>
        <v>DEFAULT</v>
      </c>
      <c r="JU20" s="780">
        <f t="array" ref="JU20">IF('Customer Inputs'!$W$15="End",0,IFERROR(IF($JT20="SEGMENT",INDEX('Margin Guidence Table'!$A$1:$AG$10000,MATCH(1,('Margin Guidence Table'!$A$1:$A$10000=JR20)*('Margin Guidence Table'!$I$1:$I$10000&lt;=ROUND($JJ$3,0))*('Margin Guidence Table'!$J$1:$J$10000&gt;=ROUND($JJ$3,0)),0),MATCH("SALES_CASE",'Margin Guidence Table'!$A$1:$AG$1,0)),INDEX('Margin Guidence Table'!$A$1:$AG$10000,MATCH(1,('Margin Guidence Table'!$A$1:$A$10000=JR20)*('Margin Guidence Table'!$I$1:$I$10000&lt;=ROUND($JJ$3,0))*('Margin Guidence Table'!$J$1:$J$10000&gt;=ROUND($JJ$3,0)),0),MATCH("DEFAULT_SALES_CASE",'Margin Guidence Table'!$A$1:$AG$1,0))),0))</f>
        <v>0</v>
      </c>
      <c r="JV20" s="780">
        <f t="array" ref="JV20">IF('Customer Inputs'!$W$15="End",0,IFERROR(IF($JT20="SEGMENT",INDEX('Margin Guidence Table'!$A$1:$AG$10000,MATCH(1,('Margin Guidence Table'!$A$1:$A$10000=JR20)*('Margin Guidence Table'!$I$1:$I$10000&lt;=ROUND($JJ$3,0))*('Margin Guidence Table'!$J$1:$J$10000&gt;=ROUND($JJ$3,0)),0),MATCH("SALES_LBS",'Margin Guidence Table'!$A$1:$AG$1,0)),INDEX('Margin Guidence Table'!$A$1:$AG$10000,MATCH(1,('Margin Guidence Table'!$A$1:$A$10000=JR20)*('Margin Guidence Table'!$I$1:$I$10000&lt;=ROUND($JJ$3,0))*('Margin Guidence Table'!$J$1:$J$10000&gt;=ROUND($JJ$3,0)),0),MATCH("DEFAULT_SALES_LBS",'Margin Guidence Table'!$A$1:$AG$1,0))),0))</f>
        <v>0</v>
      </c>
      <c r="JW20" s="784">
        <f t="array" ref="JW20">IF('Customer Inputs'!$W$15="End",0,IFERROR(IF($JT20="SEGMENT",INDEX('Margin Guidence Table'!$A$1:$AG$10000,MATCH(1,('Margin Guidence Table'!$A$1:$A$10000=JR20)*('Margin Guidence Table'!$I$1:$I$10000&lt;=ROUND($JJ$3,0))*('Margin Guidence Table'!$J$1:$J$10000&gt;=ROUND($JJ$3,0)),0),MATCH("MDA_MIN_MARGIN_GUIDENCE",'Margin Guidence Table'!$A$1:$AG$1,0)),INDEX('Margin Guidence Table'!$A$1:$AG$10000,MATCH(1,('Margin Guidence Table'!$A$1:$A$10000=JR20)*('Margin Guidence Table'!$I$1:$I$10000&lt;=ROUND($JJ$3,0))*('Margin Guidence Table'!$J$1:$J$10000&gt;=ROUND($JJ$3,0)),0),MATCH("DEFAULT_MDA_MIN_MARGIN_GUIDENCE",'Margin Guidence Table'!$A$1:$AG$1,0))),0))</f>
        <v>0</v>
      </c>
      <c r="JX20" s="784">
        <f t="array" ref="JX20">IF('Customer Inputs'!$W$15="End",0,IFERROR(IF($JT20="SEGMENT",INDEX('Margin Guidence Table'!$A$1:$AG$10000,MATCH(1,('Margin Guidence Table'!$A$1:$A$10000=JR20)*('Margin Guidence Table'!$I$1:$I$10000&lt;=ROUND($JJ$3,0))*('Margin Guidence Table'!$J$1:$J$10000&gt;=ROUND($JJ$3,0)),0),MATCH("MDA_MEDIAN_MARGIN_GUIDENCE",'Margin Guidence Table'!$A$1:$AG$1,0)),INDEX('Margin Guidence Table'!$A$1:$AG$10000,MATCH(1,('Margin Guidence Table'!$A$1:$A$10000=JR20)*('Margin Guidence Table'!$I$1:$I$10000&lt;=ROUND($JJ$3,0))*('Margin Guidence Table'!$J$1:$J$10000&gt;=ROUND($JJ$3,0)),0),MATCH("DEFAULT_MDA_MEDIAN_MARGIN_GUIDENCE",'Margin Guidence Table'!$A$1:$AG$1,0))),0))</f>
        <v>0</v>
      </c>
      <c r="JY20" s="784">
        <f t="array" ref="JY20">IF('Customer Inputs'!$W$15="End",0,IFERROR(IF($JT20="SEGMENT",INDEX('Margin Guidence Table'!$A$1:$AG$10000,MATCH(1,('Margin Guidence Table'!$A$1:$A$10000=JR20)*('Margin Guidence Table'!$I$1:$I$10000&lt;=ROUND($JJ$3,0))*('Margin Guidence Table'!$J$1:$J$10000&gt;=ROUND($JJ$3,0)),0),MATCH("MDA_MAX_MARGIN_GUIDENCE",'Margin Guidence Table'!$A$1:$AG$1,0)),INDEX('Margin Guidence Table'!$A$1:$AG$10000,MATCH(1,('Margin Guidence Table'!$A$1:$A$10000=JR20)*('Margin Guidence Table'!$I$1:$I$10000&lt;=ROUND($JJ$3,0))*('Margin Guidence Table'!$J$1:$J$10000&gt;=ROUND($JJ$3,0)),0),MATCH("DEFAULT_MDA_MAX_MARGIN_GUIDENCE",'Margin Guidence Table'!$A$1:$AG$1,0))),0))</f>
        <v>0</v>
      </c>
      <c r="JZ20" s="784">
        <f t="array" ref="JZ20">IF('Customer Inputs'!$W$15="End",0,IFERROR(IF($JT20="SEGMENT",INDEX('Margin Guidence Table'!$A$1:$AG$10000,MATCH(1,('Margin Guidence Table'!$A$1:$A$10000=JR20)*('Margin Guidence Table'!$I$1:$I$10000&lt;=ROUND($JJ$3,0))*('Margin Guidence Table'!$J$1:$J$10000&gt;=ROUND($JJ$3,0)),0),MATCH("PA_PCT_SALES",'Margin Guidence Table'!$A$1:$AG$1,0)),INDEX('Margin Guidence Table'!$A$1:$AG$10000,MATCH(1,('Margin Guidence Table'!$A$1:$A$10000=JR20)*('Margin Guidence Table'!$I$1:$I$10000&lt;=ROUND($JJ$3,0))*('Margin Guidence Table'!$J$1:$J$10000&gt;=ROUND($JJ$3,0)),0),MATCH("DEFAULT_PA_PCT_SALES",'Margin Guidence Table'!$A$1:$AG$1,0))),0))</f>
        <v>0</v>
      </c>
      <c r="KA20" s="784" cm="1">
        <f t="array" ref="KA20">IF('Customer Inputs'!$W$15="End",0,IFERROR(IF($JT20="SEGMENT",INDEX('Margin Guidence Table'!$A$1:$AG$10000,MATCH(1,('Margin Guidence Table'!$A$1:$A$10000=JR20)*('Margin Guidence Table'!$I$1:$I$10000&lt;=ROUND($JJ$3,0))*('Margin Guidence Table'!$J$1:$J$10000&gt;=ROUND($JJ$3,0)),0),MATCH("SELF_FUND_PCT_SALES",'Margin Guidence Table'!$A$1:$AG$1,0)),INDEX('Margin Guidence Table'!$A$1:$AG$10000,MATCH(1,('Margin Guidence Table'!$A$1:$A$10000=JR20)*('Margin Guidence Table'!$I$1:$I$10000&lt;=ROUND($JJ$3,0))*('Margin Guidence Table'!$J$1:$J$10000&gt;=ROUND($JJ$3,0)),0),MATCH("DEFAULT_SELF_FUND_PCT_SALES",'Margin Guidence Table'!$A$1:$AG$1,0))),0))</f>
        <v>0</v>
      </c>
      <c r="KB20" s="784">
        <f t="array" ref="KB20">IF('Customer Inputs'!$W$15="End",0,IF($JK$2="Existing",IFERROR(SUMIFS('Existing Customers'!$V:$V,'Existing Customers'!$H:$H,$JI20,'Existing Customers'!$A:$A,$JJ$1)/SUMIFS('Existing Customers'!$Q:$Q,'Existing Customers'!$H:$H,$JI20,'Existing Customers'!$A:$A,$JJ$1),0),IFERROR(IF($JT20="SEGMENT",INDEX('Margin Guidence Table'!$A$1:$AG$10000,MATCH(1,('Margin Guidence Table'!$A$1:$A$10000=JR20)*('Margin Guidence Table'!$I$1:$I$10000&lt;=ROUND($JJ$3,0))*('Margin Guidence Table'!$J$1:$J$10000&gt;=ROUND($JJ$3,0)),0),MATCH("CIA_MEDIAN_MARGIN_GUIDENCE",'Margin Guidence Table'!$A$1:$AG$1,0)),INDEX('Margin Guidence Table'!$A$1:$AG$10000,MATCH(1,('Margin Guidence Table'!$A$1:$A$10000=JR20)*('Margin Guidence Table'!$I$1:$I$10000&lt;=ROUND($JJ$3,0))*('Margin Guidence Table'!$J$1:$J$10000&gt;=ROUND($JJ$3,0)),0),MATCH("DEFAULT_CIA_MEDIAN_MARGIN_GUIDENCE",'Margin Guidence Table'!$A$1:$AG$1,0))),0)))</f>
        <v>0</v>
      </c>
      <c r="KC20" s="784"/>
      <c r="KD20" s="18">
        <f t="array" ref="KD20">IF('Customer Inputs'!$W$16="End",0,IFERROR(IF($KQ20="SEGMENT",INDEX('Margin Guidence Table'!$A$1:$AG$10000,MATCH(1,('Margin Guidence Table'!$A$1:$A$10000=$KO20)*('Margin Guidence Table'!$I$1:$I$10000&lt;=ROUND($KG$3,0))*('Margin Guidence Table'!$J$1:$J$10000&gt;=ROUND($KG$3,0)),0),MATCH("PCT_SALES",'Margin Guidence Table'!$A$1:$AG$1,0)),INDEX('Margin Guidence Table'!$A$1:$AG$10000,MATCH(1,('Margin Guidence Table'!$A$1:$A$10000=$KO20)*('Margin Guidence Table'!$I$1:$I$10000&lt;=ROUND($KG$3,0))*('Margin Guidence Table'!$J$1:$J$10000&gt;=ROUND($KG$3,0)),0),MATCH("DEFAULT_PCT_SALES",'Margin Guidence Table'!$A$1:$AG$1,0))),0))</f>
        <v>0</v>
      </c>
      <c r="KE20" s="1713" t="e">
        <f t="shared" si="52"/>
        <v>#DIV/0!</v>
      </c>
      <c r="KF20" s="99" t="s">
        <v>98</v>
      </c>
      <c r="KG20" s="91">
        <f>IF('Customer Inputs'!$W$16="End",0,IFERROR(IF(AND($KG$2&lt;&gt;"Enter Spend&gt;&gt;&gt;",$KH$2="EXISTING"),SUMIFS('Existing Customers'!$Q:$Q,'Existing Customers'!$A:$A,$KG$1,'Existing Customers'!$H:$H,$KF20)*$KG$4,$KG$3*$KE20),0))</f>
        <v>0</v>
      </c>
      <c r="KH20" s="86">
        <f>IF('Customer Inputs'!$W$16="End",0,IFERROR(IF(AND($KG$2&lt;&gt;"Enter Spend&gt;&gt;&gt;",$KH$2="EXISTING"),SUMIFS('Existing Customers'!$N:$N,'Existing Customers'!$A:$A,$KG$1,'Existing Customers'!$H:$H,$KF20)*$KG$4,$KG20/$KR20),0))</f>
        <v>0</v>
      </c>
      <c r="KI20" s="92">
        <f>IF('Customer Inputs'!$W$16="End",0,IFERROR(IF(AND($KG$2&lt;&gt;"Enter Spend&gt;&gt;&gt;",$KH$2="EXISTING"),SUMIFS('Existing Customers'!$O:$O,'Existing Customers'!$H:$H,$KF20,'Existing Customers'!$A:$A,$KG$1)*$KG$4,$KH20*$KG$8),0))</f>
        <v>0</v>
      </c>
      <c r="KJ20" s="92">
        <f>IF('Customer Inputs'!$W$16="End",0,IFERROR(IF(AND($KG$2&lt;&gt;"Enter Spend&gt;&gt;&gt;",$KH$2="EXISTING"),SUMIFS('Existing Customers'!$P:$P,'Existing Customers'!$A:$A,$KG$1,'Existing Customers'!$H:$H,$KF20)*$KG$4,$KG20/$KS20),0))</f>
        <v>0</v>
      </c>
      <c r="KK20" s="303">
        <f>IF('Customer Inputs'!$W$16="End",0,IFERROR(IF(AND($KG$2&lt;&gt;"Enter Spend&gt;&gt;&gt;",$KH$2="EXISTING"),SUMIFS('Existing Customers'!$V:$V,'Existing Customers'!$H:$H,$KF20,'Existing Customers'!$A:$A,$KG$1)*$KG$4,0),0))</f>
        <v>0</v>
      </c>
      <c r="KL20" s="93">
        <f>IF('Customer Inputs'!$W$16="End",0,IFERROR(IF(AND($KG$2&lt;&gt;"Enter Spend&gt;&gt;&gt;",$KH$2="EXISTING"),SUMIFS('Existing Customers'!$R:$R,'Existing Customers'!$H:$H,$KF20,'Existing Customers'!$A:$A,$KG$1)*$KG$4,0),0))</f>
        <v>0</v>
      </c>
      <c r="KM20" s="780">
        <f>IF('Customer Inputs'!$W$16="End",0,IFERROR(IF(AND($KG$2&lt;&gt;"Enter Spend&gt;&gt;&gt;",$KH$2="EXISTING"),SUMIFS('Existing Customers'!$S:$S,'Existing Customers'!$H:$H,$KF20,'Existing Customers'!$A:$A,$KG$1)/SUMIFS('Existing Customers'!$Q:$Q,'Existing Customers'!$A:$A,$KG$1,'Existing Customers'!$H:$H,$KF20),KW20),0))</f>
        <v>0</v>
      </c>
      <c r="KN20" s="780">
        <f>IF('Customer Inputs'!$W$16="End",0,IFERROR(IF(AND($KG$2&lt;&gt;"Enter Spend&gt;&gt;&gt;",$KH$2="EXISTING"),SUMIFS('Existing Customers'!$U:$U,'Existing Customers'!$H:$H,$KF20,'Existing Customers'!$A:$A,$KG$1)/SUMIFS('Existing Customers'!$Q:$Q,'Existing Customers'!$A:$A,$KG$1,'Existing Customers'!$H:$H,$KF20),KX20),0))</f>
        <v>0</v>
      </c>
      <c r="KO20" s="783" t="e">
        <f>_xlfn.CONCAT('Customer Inputs'!$AH$16,"_",KF20)</f>
        <v>#N/A</v>
      </c>
      <c r="KP20" s="783">
        <f t="array" ref="KP20">IF('Customer Inputs'!$W$16="End",0,IFERROR(INDEX('Margin Guidence Table'!$A$1:$AG$10000,MATCH(1,('Margin Guidence Table'!$A$1:$A$10000=KO20)*('Margin Guidence Table'!$I$1:$I$10000&lt;=ROUND($KG$3,0))*('Margin Guidence Table'!$J$1:$J$10000&gt;=ROUND($KG$3,0)),0),MATCH("DATA_POINTS",'Margin Guidence Table'!$A$1:$AG$1,0)),0))</f>
        <v>0</v>
      </c>
      <c r="KQ20" s="780" t="str">
        <f t="shared" si="53"/>
        <v>DEFAULT</v>
      </c>
      <c r="KR20" s="780">
        <f t="array" ref="KR20">IF('Customer Inputs'!$W$16="End",0,IFERROR(IF($KQ20="SEGMENT",INDEX('Margin Guidence Table'!$A$1:$AG$10000,MATCH(1,('Margin Guidence Table'!$A$1:$A$10000=KO20)*('Margin Guidence Table'!$I$1:$I$10000&lt;=ROUND($KG$3,0))*('Margin Guidence Table'!$J$1:$J$10000&gt;=ROUND($KG$3,0)),0),MATCH("SALES_CASE",'Margin Guidence Table'!$A$1:$AG$1,0)),INDEX('Margin Guidence Table'!$A$1:$AG$10000,MATCH(1,('Margin Guidence Table'!$A$1:$A$10000=KO20)*('Margin Guidence Table'!$I$1:$I$10000&lt;=ROUND($KG$3,0))*('Margin Guidence Table'!$J$1:$J$10000&gt;=ROUND($KG$3,0)),0),MATCH("DEFAULT_SALES_CASE",'Margin Guidence Table'!$A$1:$AG$1,0))),0))</f>
        <v>0</v>
      </c>
      <c r="KS20" s="780">
        <f t="array" ref="KS20">IF('Customer Inputs'!$W$16="End",0,IFERROR(IF($KQ20="SEGMENT",INDEX('Margin Guidence Table'!$A$1:$AG$10000,MATCH(1,('Margin Guidence Table'!$A$1:$A$10000=KO20)*('Margin Guidence Table'!$I$1:$I$10000&lt;=ROUND($KG$3,0))*('Margin Guidence Table'!$J$1:$J$10000&gt;=ROUND($KG$3,0)),0),MATCH("SALES_LBS",'Margin Guidence Table'!$A$1:$AG$1,0)),INDEX('Margin Guidence Table'!$A$1:$AG$10000,MATCH(1,('Margin Guidence Table'!$A$1:$A$10000=KO20)*('Margin Guidence Table'!$I$1:$I$10000&lt;=ROUND($KG$3,0))*('Margin Guidence Table'!$J$1:$J$10000&gt;=ROUND($KG$3,0)),0),MATCH("DEFAULT_SALES_LBS",'Margin Guidence Table'!$A$1:$AG$1,0))),0))</f>
        <v>0</v>
      </c>
      <c r="KT20" s="784">
        <f t="array" ref="KT20">IF('Customer Inputs'!$W$16="End",0,IFERROR(IF($KQ20="SEGMENT",INDEX('Margin Guidence Table'!$A$1:$AG$10000,MATCH(1,('Margin Guidence Table'!$A$1:$A$10000=KO20)*('Margin Guidence Table'!$I$1:$I$10000&lt;=ROUND($KG$3,0))*('Margin Guidence Table'!$J$1:$J$10000&gt;=ROUND($KG$3,0)),0),MATCH("MDA_MIN_MARGIN_GUIDENCE",'Margin Guidence Table'!$A$1:$AG$1,0)),INDEX('Margin Guidence Table'!$A$1:$AG$10000,MATCH(1,('Margin Guidence Table'!$A$1:$A$10000=KO20)*('Margin Guidence Table'!$I$1:$I$10000&lt;=ROUND($KG$3,0))*('Margin Guidence Table'!$J$1:$J$10000&gt;=ROUND($KG$3,0)),0),MATCH("DEFAULT_MDA_MIN_MARGIN_GUIDENCE",'Margin Guidence Table'!$A$1:$AG$1,0))),0))</f>
        <v>0</v>
      </c>
      <c r="KU20" s="784">
        <f t="array" ref="KU20">IF('Customer Inputs'!$W$16="End",0,IFERROR(IF($KQ20="SEGMENT",INDEX('Margin Guidence Table'!$A$1:$AG$10000,MATCH(1,('Margin Guidence Table'!$A$1:$A$10000=KO20)*('Margin Guidence Table'!$I$1:$I$10000&lt;=ROUND($KG$3,0))*('Margin Guidence Table'!$J$1:$J$10000&gt;=ROUND($KG$3,0)),0),MATCH("MDA_MEDIAN_MARGIN_GUIDENCE",'Margin Guidence Table'!$A$1:$AG$1,0)),INDEX('Margin Guidence Table'!$A$1:$AG$10000,MATCH(1,('Margin Guidence Table'!$A$1:$A$10000=KO20)*('Margin Guidence Table'!$I$1:$I$10000&lt;=ROUND($KG$3,0))*('Margin Guidence Table'!$J$1:$J$10000&gt;=ROUND($KG$3,0)),0),MATCH("DEFAULT_MDA_MEDIAN_MARGIN_GUIDENCE",'Margin Guidence Table'!$A$1:$AG$1,0))),0))</f>
        <v>0</v>
      </c>
      <c r="KV20" s="784">
        <f t="array" ref="KV20">IF('Customer Inputs'!$W$16="End",0,IFERROR(IF($KQ20="SEGMENT",INDEX('Margin Guidence Table'!$A$1:$AG$10000,MATCH(1,('Margin Guidence Table'!$A$1:$A$10000=KO20)*('Margin Guidence Table'!$I$1:$I$10000&lt;=ROUND($KG$3,0))*('Margin Guidence Table'!$J$1:$J$10000&gt;=ROUND($KG$3,0)),0),MATCH("MDA_MAX_MARGIN_GUIDENCE",'Margin Guidence Table'!$A$1:$AG$1,0)),INDEX('Margin Guidence Table'!$A$1:$AG$10000,MATCH(1,('Margin Guidence Table'!$A$1:$A$10000=KO20)*('Margin Guidence Table'!$I$1:$I$10000&lt;=ROUND($KG$3,0))*('Margin Guidence Table'!$J$1:$J$10000&gt;=ROUND($KG$3,0)),0),MATCH("DEFAULT_MDA_MAX_MARGIN_GUIDENCE",'Margin Guidence Table'!$A$1:$AG$1,0))),0))</f>
        <v>0</v>
      </c>
      <c r="KW20" s="784">
        <f t="array" ref="KW20">IF('Customer Inputs'!$W$16="End",0,IFERROR(IF($KQ20="SEGMENT",INDEX('Margin Guidence Table'!$A$1:$AG$10000,MATCH(1,('Margin Guidence Table'!$A$1:$A$10000=KO20)*('Margin Guidence Table'!$I$1:$I$10000&lt;=ROUND($KG$3,0))*('Margin Guidence Table'!$J$1:$J$10000&gt;=ROUND($KG$3,0)),0),MATCH("PA_PCT_SALES",'Margin Guidence Table'!$A$1:$AG$1,0)),INDEX('Margin Guidence Table'!$A$1:$AG$10000,MATCH(1,('Margin Guidence Table'!$A$1:$A$10000=KO20)*('Margin Guidence Table'!$I$1:$I$10000&lt;=ROUND($KG$3,0))*('Margin Guidence Table'!$J$1:$J$10000&gt;=ROUND($KG$3,0)),0),MATCH("DEFAULT_PA_PCT_SALES",'Margin Guidence Table'!$A$1:$AG$1,0))),0))</f>
        <v>0</v>
      </c>
      <c r="KX20" s="784">
        <f t="array" ref="KX20">IF('Customer Inputs'!$W$16="End",0,IFERROR(IF($KQ20="SEGMENT",INDEX('Margin Guidence Table'!$A$1:$AG$10000,MATCH(1,('Margin Guidence Table'!$A$1:$A$10000=KO20)*('Margin Guidence Table'!$I$1:$I$10000&lt;=ROUND($KG$3,0))*('Margin Guidence Table'!$J$1:$J$10000&gt;=ROUND($KG$3,0)),0),MATCH("SELF_FUND_PCT_SALES",'Margin Guidence Table'!$A$1:$AG$1,0)),INDEX('Margin Guidence Table'!$A$1:$AG$10000,MATCH(1,('Margin Guidence Table'!$A$1:$A$10000=KO20)*('Margin Guidence Table'!$I$1:$I$10000&lt;=ROUND($KG$3,0))*('Margin Guidence Table'!$J$1:$J$10000&gt;=ROUND($KG$3,0)),0),MATCH("DEFAULT_SELF_FUND_PCT_SALES",'Margin Guidence Table'!$A$1:$AG$1,0))),0))</f>
        <v>0</v>
      </c>
      <c r="KY20" s="784">
        <f t="array" ref="KY20">IF('Customer Inputs'!$W$16="End",0,IF($KH$2="Existing",IFERROR(SUMIFS('Existing Customers'!$V:$V,'Existing Customers'!$H:$H,$KF20,'Existing Customers'!$A:$A,$KG$1)/SUMIFS('Existing Customers'!$Q:$Q,'Existing Customers'!$H:$H,$KF20,'Existing Customers'!$A:$A,$KG$1),0),IFERROR(IF($KQ20="SEGMENT",INDEX('Margin Guidence Table'!$A$1:$AG$10000,MATCH(1,('Margin Guidence Table'!$A$1:$A$10000=KO20)*('Margin Guidence Table'!$I$1:$I$10000&lt;=ROUND($KG$3,0))*('Margin Guidence Table'!$J$1:$J$10000&gt;=ROUND($KG$3,0)),0),MATCH("CIA_MEDIAN_MARGIN_GUIDENCE",'Margin Guidence Table'!$A$1:$AG$1,0)),INDEX('Margin Guidence Table'!$A$1:$AG$10000,MATCH(1,('Margin Guidence Table'!$A$1:$A$10000=KO20)*('Margin Guidence Table'!$I$1:$I$10000&lt;=ROUND($KG$3,0))*('Margin Guidence Table'!$J$1:$J$10000&gt;=ROUND($KG$3,0)),0),MATCH("DEFAULT_CIA_MEDIAN_MARGIN_GUIDENCE",'Margin Guidence Table'!$A$1:$AG$1,0))),0)))</f>
        <v>0</v>
      </c>
      <c r="KZ20" s="784"/>
      <c r="LA20" s="18">
        <f t="array" ref="LA20">IF('Customer Inputs'!$W$17="End",0,IFERROR(IF($LN20="SEGMENT",INDEX('Margin Guidence Table'!$A$1:$AG$10000,MATCH(1,('Margin Guidence Table'!$A$1:$A$10000=$LL20)*('Margin Guidence Table'!$I$1:$I$10000&lt;=ROUND($LD$3,0))*('Margin Guidence Table'!$J$1:$J$10000&gt;=ROUND($LD$3,0)),0),MATCH("PCT_SALES",'Margin Guidence Table'!$A$1:$AG$1,0)),INDEX('Margin Guidence Table'!$A$1:$AG$10000,MATCH(1,('Margin Guidence Table'!$A$1:$A$10000=$LL20)*('Margin Guidence Table'!$I$1:$I$10000&lt;=ROUND($LD$3,0))*('Margin Guidence Table'!$J$1:$J$10000&gt;=ROUND($LD$3,0)),0),MATCH("DEFAULT_PCT_SALES",'Margin Guidence Table'!$A$1:$AG$1,0))),0))</f>
        <v>0</v>
      </c>
      <c r="LB20" s="1713" t="e">
        <f t="shared" si="54"/>
        <v>#DIV/0!</v>
      </c>
      <c r="LC20" s="99" t="s">
        <v>98</v>
      </c>
      <c r="LD20" s="91">
        <f>IF('Customer Inputs'!$W$17="End",0,IFERROR(IF(AND($LD$2&lt;&gt;"Enter Spend&gt;&gt;&gt;",$LE$2="EXISTING"),SUMIFS('Existing Customers'!$Q:$Q,'Existing Customers'!$A:$A,$LD$1,'Existing Customers'!$H:$H,$LC20)*$LD$4,$LD$3*$LB20),0))</f>
        <v>0</v>
      </c>
      <c r="LE20" s="86">
        <f>IF('Customer Inputs'!$W$17="End",0,IFERROR(IF(AND($LD$2&lt;&gt;"Enter Spend&gt;&gt;&gt;",$LE$2="EXISTING"),SUMIFS('Existing Customers'!$N:$N,'Existing Customers'!$A:$A,$LD$1,'Existing Customers'!$H:$H,$LC20)*$LD$4,$LD20/$LO20),0))</f>
        <v>0</v>
      </c>
      <c r="LF20" s="92">
        <f>IF('Customer Inputs'!$W$17="End",0,IFERROR(IF(AND($LD$2&lt;&gt;"Enter Spend&gt;&gt;&gt;",$LE$2="EXISTING"),SUMIFS('Existing Customers'!$O:$O,'Existing Customers'!$H:$H,$LC20,'Existing Customers'!$A:$A,$LD$1)*$LD$4,$LE20*$LD$8),0))</f>
        <v>0</v>
      </c>
      <c r="LG20" s="92">
        <f>IF('Customer Inputs'!$W$17="End",0,IFERROR(IF(AND($LD$2&lt;&gt;"Enter Spend&gt;&gt;&gt;",$LE$2="EXISTING"),SUMIFS('Existing Customers'!$P:$P,'Existing Customers'!$A:$A,$LD$1,'Existing Customers'!$H:$H,$LC20)*$LD$4,$LD20/$LP20),0))</f>
        <v>0</v>
      </c>
      <c r="LH20" s="303">
        <f>IF('Customer Inputs'!$W$17="End",0,IFERROR(IF(AND($LD$2&lt;&gt;"Enter Spend&gt;&gt;&gt;",$LE$2="EXISTING"),SUMIFS('Existing Customers'!$V:$V,'Existing Customers'!$H:$H,$LC20,'Existing Customers'!$A:$A,$LD$1)*$LD$4,0),0))</f>
        <v>0</v>
      </c>
      <c r="LI20" s="93">
        <f>IF('Customer Inputs'!$W$17="End",0,IFERROR(IF(AND($LD$2&lt;&gt;"Enter Spend&gt;&gt;&gt;",$LE$2="EXISTING"),SUMIFS('Existing Customers'!$R:$R,'Existing Customers'!$H:$H,$LC20,'Existing Customers'!$A:$A,$LD$1)*$LD$4,0),0))</f>
        <v>0</v>
      </c>
      <c r="LJ20" s="780">
        <f>IF('Customer Inputs'!$W$17="End",0,IFERROR(IF(AND($LD$2&lt;&gt;"Enter Spend&gt;&gt;&gt;",$LE$2="EXISTING"),SUMIFS('Existing Customers'!$S:$S,'Existing Customers'!$H:$H,$LC20,'Existing Customers'!$A:$A,$LD$1)/SUMIFS('Existing Customers'!$Q:$Q,'Existing Customers'!$A:$A,$LD$1,'Existing Customers'!$H:$H,$LC20),LT20),0))</f>
        <v>0</v>
      </c>
      <c r="LK20" s="780">
        <f>IF('Customer Inputs'!$W$17="End",0,IFERROR(IF(AND($LD$2&lt;&gt;"Enter Spend&gt;&gt;&gt;",$LE$2="EXISTING"),SUMIFS('Existing Customers'!$U:$U,'Existing Customers'!$H:$H,$LC20,'Existing Customers'!$A:$A,$LD$1)/SUMIFS('Existing Customers'!$Q:$Q,'Existing Customers'!$A:$A,$LD$1,'Existing Customers'!$H:$H,$LC20),LU20),0))</f>
        <v>0</v>
      </c>
      <c r="LL20" s="783" t="e">
        <f>_xlfn.CONCAT('Customer Inputs'!$AH$17,"_",LC20)</f>
        <v>#N/A</v>
      </c>
      <c r="LM20" s="783">
        <f t="array" ref="LM20">IF('Customer Inputs'!$W$17="End",0,IFERROR(INDEX('Margin Guidence Table'!$A$1:$AG$10000,MATCH(1,('Margin Guidence Table'!$A$1:$A$10000=LL20)*('Margin Guidence Table'!$I$1:$I$10000&lt;=ROUND($LD$3,0))*('Margin Guidence Table'!$J$1:$J$10000&gt;=ROUND($LD$3,0)),0),MATCH("DATA_POINTS",'Margin Guidence Table'!$A$1:$AG$1,0)),0))</f>
        <v>0</v>
      </c>
      <c r="LN20" s="780" t="str">
        <f t="shared" si="55"/>
        <v>DEFAULT</v>
      </c>
      <c r="LO20" s="780">
        <f t="array" ref="LO20">IF('Customer Inputs'!$W$17="End",0,IFERROR(IF($LN20="SEGMENT",INDEX('Margin Guidence Table'!$A$1:$AG$10000,MATCH(1,('Margin Guidence Table'!$A$1:$A$10000=LL20)*('Margin Guidence Table'!$I$1:$I$10000&lt;=ROUND($LD$3,0))*('Margin Guidence Table'!$J$1:$J$10000&gt;=ROUND($LD$3,0)),0),MATCH("SALES_CASE",'Margin Guidence Table'!$A$1:$AG$1,0)),INDEX('Margin Guidence Table'!$A$1:$AG$10000,MATCH(1,('Margin Guidence Table'!$A$1:$A$10000=LL20)*('Margin Guidence Table'!$I$1:$I$10000&lt;=ROUND($LD$3,0))*('Margin Guidence Table'!$J$1:$J$10000&gt;=ROUND($LD$3,0)),0),MATCH("DEFAULT_SALES_CASE",'Margin Guidence Table'!$A$1:$AG$1,0))),0))</f>
        <v>0</v>
      </c>
      <c r="LP20" s="780">
        <f t="array" ref="LP20">IF('Customer Inputs'!$W$17="End",0,IFERROR(IF($LN20="SEGMENT",INDEX('Margin Guidence Table'!$A$1:$AG$10000,MATCH(1,('Margin Guidence Table'!$A$1:$A$10000=LL20)*('Margin Guidence Table'!$I$1:$I$10000&lt;=ROUND($LD$3,0))*('Margin Guidence Table'!$J$1:$J$10000&gt;=ROUND($LD$3,0)),0),MATCH("SALES_LBS",'Margin Guidence Table'!$A$1:$AG$1,0)),INDEX('Margin Guidence Table'!$A$1:$AG$10000,MATCH(1,('Margin Guidence Table'!$A$1:$A$10000=LL20)*('Margin Guidence Table'!$I$1:$I$10000&lt;=ROUND($LD$3,0))*('Margin Guidence Table'!$J$1:$J$10000&gt;=ROUND($LD$3,0)),0),MATCH("DEFAULT_SALES_LBS",'Margin Guidence Table'!$A$1:$AG$1,0))),0))</f>
        <v>0</v>
      </c>
      <c r="LQ20" s="784">
        <f t="array" ref="LQ20">IF('Customer Inputs'!$W$17="End",0,IFERROR(IF($LN20="SEGMENT",INDEX('Margin Guidence Table'!$A$1:$AG$10000,MATCH(1,('Margin Guidence Table'!$A$1:$A$10000=LL20)*('Margin Guidence Table'!$I$1:$I$10000&lt;=ROUND($LD$3,0))*('Margin Guidence Table'!$J$1:$J$10000&gt;=ROUND($LD$3,0)),0),MATCH("MDA_MIN_MARGIN_GUIDENCE",'Margin Guidence Table'!$A$1:$AG$1,0)),INDEX('Margin Guidence Table'!$A$1:$AG$10000,MATCH(1,('Margin Guidence Table'!$A$1:$A$10000=LL20)*('Margin Guidence Table'!$I$1:$I$10000&lt;=ROUND($LD$3,0))*('Margin Guidence Table'!$J$1:$J$10000&gt;=ROUND($LD$3,0)),0),MATCH("DEFAULT_MDA_MIN_MARGIN_GUIDENCE",'Margin Guidence Table'!$A$1:$AG$1,0))),0))</f>
        <v>0</v>
      </c>
      <c r="LR20" s="784">
        <f t="array" ref="LR20">IF('Customer Inputs'!$W$17="End",0,IFERROR(IF($LN20="SEGMENT",INDEX('Margin Guidence Table'!$A$1:$AG$10000,MATCH(1,('Margin Guidence Table'!$A$1:$A$10000=LL20)*('Margin Guidence Table'!$I$1:$I$10000&lt;=ROUND($LD$3,0))*('Margin Guidence Table'!$J$1:$J$10000&gt;=ROUND($LD$3,0)),0),MATCH("MDA_MEDIAN_MARGIN_GUIDENCE",'Margin Guidence Table'!$A$1:$AG$1,0)),INDEX('Margin Guidence Table'!$A$1:$AG$10000,MATCH(1,('Margin Guidence Table'!$A$1:$A$10000=LL20)*('Margin Guidence Table'!$I$1:$I$10000&lt;=ROUND($LD$3,0))*('Margin Guidence Table'!$J$1:$J$10000&gt;=ROUND($LD$3,0)),0),MATCH("DEFAULT_MDA_MEDIAN_MARGIN_GUIDENCE",'Margin Guidence Table'!$A$1:$AG$1,0))),0))</f>
        <v>0</v>
      </c>
      <c r="LS20" s="784">
        <f t="array" ref="LS20">IF('Customer Inputs'!$W$17="End",0,IFERROR(IF($LN20="SEGMENT",INDEX('Margin Guidence Table'!$A$1:$AG$10000,MATCH(1,('Margin Guidence Table'!$A$1:$A$10000=LL20)*('Margin Guidence Table'!$I$1:$I$10000&lt;=ROUND($LD$3,0))*('Margin Guidence Table'!$J$1:$J$10000&gt;=ROUND($LD$3,0)),0),MATCH("MDA_MAX_MARGIN_GUIDENCE",'Margin Guidence Table'!$A$1:$AG$1,0)),INDEX('Margin Guidence Table'!$A$1:$AG$10000,MATCH(1,('Margin Guidence Table'!$A$1:$A$10000=LL20)*('Margin Guidence Table'!$I$1:$I$10000&lt;=ROUND($LD$3,0))*('Margin Guidence Table'!$J$1:$J$10000&gt;=ROUND($LD$3,0)),0),MATCH("DEFAULT_MDA_MAX_MARGIN_GUIDENCE",'Margin Guidence Table'!$A$1:$AG$1,0))),0))</f>
        <v>0</v>
      </c>
      <c r="LT20" s="784">
        <f t="array" ref="LT20">IF('Customer Inputs'!$W$17="End",0,IFERROR(IF($LN20="SEGMENT",INDEX('Margin Guidence Table'!$A$1:$AG$10000,MATCH(1,('Margin Guidence Table'!$A$1:$A$10000=LL20)*('Margin Guidence Table'!$I$1:$I$10000&lt;=ROUND($LD$3,0))*('Margin Guidence Table'!$J$1:$J$10000&gt;=ROUND($LD$3,0)),0),MATCH("PA_PCT_SALES",'Margin Guidence Table'!$A$1:$AG$1,0)),INDEX('Margin Guidence Table'!$A$1:$AG$10000,MATCH(1,('Margin Guidence Table'!$A$1:$A$10000=LL20)*('Margin Guidence Table'!$I$1:$I$10000&lt;=ROUND($LD$3,0))*('Margin Guidence Table'!$J$1:$J$10000&gt;=ROUND($LD$3,0)),0),MATCH("DEFAULT_PA_PCT_SALES",'Margin Guidence Table'!$A$1:$AG$1,0))),0))</f>
        <v>0</v>
      </c>
      <c r="LU20" s="784">
        <f t="array" ref="LU20">IF('Customer Inputs'!$W$17="End",0,IFERROR(IF($LN20="SEGMENT",INDEX('Margin Guidence Table'!$A$1:$AG$10000,MATCH(1,('Margin Guidence Table'!$A$1:$A$10000=LL20)*('Margin Guidence Table'!$I$1:$I$10000&lt;=ROUND($LD$3,0))*('Margin Guidence Table'!$J$1:$J$10000&gt;=ROUND($LD$3,0)),0),MATCH("SELF_FUND_PCT_SALES",'Margin Guidence Table'!$A$1:$AG$1,0)),INDEX('Margin Guidence Table'!$A$1:$AG$10000,MATCH(1,('Margin Guidence Table'!$A$1:$A$10000=LL20)*('Margin Guidence Table'!$I$1:$I$10000&lt;=ROUND($LD$3,0))*('Margin Guidence Table'!$J$1:$J$10000&gt;=ROUND($LD$3,0)),0),MATCH("DEFAULT_SELF_FUND_PCT_SALES",'Margin Guidence Table'!$A$1:$AG$1,0))),0))</f>
        <v>0</v>
      </c>
      <c r="LV20" s="784">
        <f t="array" ref="LV20">IF('Customer Inputs'!$W$17="End",0,IF($LE$2="Existing",IFERROR(SUMIFS('Existing Customers'!$V:$V,'Existing Customers'!$H:$H,$LC20,'Existing Customers'!$A:$A,$LD$1)/SUMIFS('Existing Customers'!$Q:$Q,'Existing Customers'!$H:$H,$LC20,'Existing Customers'!$A:$A,$LD$1),0),IFERROR(IF($LN20="SEGMENT",INDEX('Margin Guidence Table'!$A$1:$AG$10000,MATCH(1,('Margin Guidence Table'!$A$1:$A$10000=LL20)*('Margin Guidence Table'!$I$1:$I$10000&lt;=ROUND($LD$3,0))*('Margin Guidence Table'!$J$1:$J$10000&gt;=ROUND($LD$3,0)),0),MATCH("CIA_MEDIAN_MARGIN_GUIDENCE",'Margin Guidence Table'!$A$1:$AG$1,0)),INDEX('Margin Guidence Table'!$A$1:$AG$10000,MATCH(1,('Margin Guidence Table'!$A$1:$A$10000=LL20)*('Margin Guidence Table'!$I$1:$I$10000&lt;=ROUND($LD$3,0))*('Margin Guidence Table'!$J$1:$J$10000&gt;=ROUND($LD$3,0)),0),MATCH("DEFAULT_CIA_MEDIAN_MARGIN_GUIDENCE",'Margin Guidence Table'!$A$1:$AG$1,0))),0)))</f>
        <v>0</v>
      </c>
      <c r="LW20" s="784"/>
      <c r="LX20" s="18">
        <f t="array" ref="LX20">IF('Customer Inputs'!$W$18="End",0,IFERROR(IF($MK20="SEGMENT",INDEX('Margin Guidence Table'!$A$1:$AG$10000,MATCH(1,('Margin Guidence Table'!$A$1:$A$10000=$MI20)*('Margin Guidence Table'!$I$1:$I$10000&lt;=ROUND($MA$3,0))*('Margin Guidence Table'!$J$1:$J$10000&gt;=ROUND($MA$3,0)),0),MATCH("PCT_SALES",'Margin Guidence Table'!$A$1:$AG$1,0)),INDEX('Margin Guidence Table'!$A$1:$AG$10000,MATCH(1,('Margin Guidence Table'!$A$1:$A$10000=$MI20)*('Margin Guidence Table'!$I$1:$I$10000&lt;=ROUND($MA$3,0))*('Margin Guidence Table'!$J$1:$J$10000&gt;=ROUND($MA$3,0)),0),MATCH("DEFAULT_PCT_SALES",'Margin Guidence Table'!$A$1:$AG$1,0))),0))</f>
        <v>0</v>
      </c>
      <c r="LY20" s="1713" t="e">
        <f t="shared" si="56"/>
        <v>#DIV/0!</v>
      </c>
      <c r="LZ20" s="99" t="s">
        <v>98</v>
      </c>
      <c r="MA20" s="91">
        <f>IF('Customer Inputs'!$W$18="End",0,IFERROR(IF(AND($MA$2&lt;&gt;"Enter Spend&gt;&gt;&gt;",$MB$2="EXISTING"),SUMIFS('Existing Customers'!$Q:$Q,'Existing Customers'!$A:$A,$MA$1,'Existing Customers'!$H:$H,$LZ20)*$MA$4,$MA$3*$LY20),0))</f>
        <v>0</v>
      </c>
      <c r="MB20" s="86">
        <f>IF('Customer Inputs'!$W$18="End",0,IFERROR(IF(AND($MA$2&lt;&gt;"Enter Spend&gt;&gt;&gt;",$MB$2="EXISTING"),SUMIFS('Existing Customers'!$N:$N,'Existing Customers'!$A:$A,$MA$1,'Existing Customers'!$H:$H,$LZ20)*$MA$4,$MA20/$ML20),0))</f>
        <v>0</v>
      </c>
      <c r="MC20" s="92">
        <f>IF('Customer Inputs'!$W$18="End",0,IFERROR(IF(AND($MA$2&lt;&gt;"Enter Spend&gt;&gt;&gt;",$MB$2="EXISTING"),SUMIFS('Existing Customers'!$O:$O,'Existing Customers'!$H:$H,$LZ20,'Existing Customers'!$A:$A,$MA$1)*$MA$4,$MB20*$MA$8),0))</f>
        <v>0</v>
      </c>
      <c r="MD20" s="92">
        <f>IF('Customer Inputs'!$W$18="End",0,IFERROR(IF(AND($MA$2&lt;&gt;"Enter Spend&gt;&gt;&gt;",$MB$2="EXISTING"),SUMIFS('Existing Customers'!$P:$P,'Existing Customers'!$A:$A,$MA$1,'Existing Customers'!$H:$H,$LZ20)*$MA$4,$MA20/$MM20),0))</f>
        <v>0</v>
      </c>
      <c r="ME20" s="303">
        <f>IF('Customer Inputs'!$W$18="End",0,IFERROR(IF(AND($MA$2&lt;&gt;"Enter Spend&gt;&gt;&gt;",$MB$2="EXISTING"),SUMIFS('Existing Customers'!$V:$V,'Existing Customers'!$H:$H,$LZ20,'Existing Customers'!$A:$A,$MA$1)*$MA$4,0),0))</f>
        <v>0</v>
      </c>
      <c r="MF20" s="93">
        <f>IF('Customer Inputs'!$W$18="End",0,IFERROR(IF(AND($MA$2&lt;&gt;"Enter Spend&gt;&gt;&gt;",$MB$2="EXISTING"),SUMIFS('Existing Customers'!$R:$R,'Existing Customers'!$H:$H,$LZ20,'Existing Customers'!$A:$A,$MA$1)*$MA$4,0),0))</f>
        <v>0</v>
      </c>
      <c r="MG20" s="780">
        <f>IF('Customer Inputs'!$W$18="End",0,IFERROR(IF(AND($MA$2&lt;&gt;"Enter Spend&gt;&gt;&gt;",$MB$2="EXISTING"),SUMIFS('Existing Customers'!$S:$S,'Existing Customers'!$H:$H,$LZ20,'Existing Customers'!$A:$A,$MA$1)/SUMIFS('Existing Customers'!$Q:$Q,'Existing Customers'!$A:$A,$MA$1,'Existing Customers'!$H:$H,$LZ20),MQ20),0))</f>
        <v>0</v>
      </c>
      <c r="MH20" s="780">
        <f>IF('Customer Inputs'!$W$18="End",0,IFERROR(IF(AND($MA$2&lt;&gt;"Enter Spend&gt;&gt;&gt;",$MB$2="EXISTING"),SUMIFS('Existing Customers'!$U:$U,'Existing Customers'!$H:$H,$LZ20,'Existing Customers'!$A:$A,$MA$1)/SUMIFS('Existing Customers'!$Q:$Q,'Existing Customers'!$A:$A,$MA$1,'Existing Customers'!$H:$H,$LZ20),MR20),0))</f>
        <v>0</v>
      </c>
      <c r="MI20" s="783" t="e">
        <f>_xlfn.CONCAT('Customer Inputs'!$AH$18,"_",LZ20)</f>
        <v>#N/A</v>
      </c>
      <c r="MJ20" s="783">
        <f t="array" ref="MJ20">IF('Customer Inputs'!$W$18="End",0,IFERROR(INDEX('Margin Guidence Table'!$A$1:$AG$10000,MATCH(1,('Margin Guidence Table'!$A$1:$A$10000=MI20)*('Margin Guidence Table'!$I$1:$I$10000&lt;=ROUND($MA$3,0))*('Margin Guidence Table'!$J$1:$J$10000&gt;=ROUND($MA$3,0)),0),MATCH("DATA_POINTS",'Margin Guidence Table'!$A$1:$AG$1,0)),0))</f>
        <v>0</v>
      </c>
      <c r="MK20" s="780" t="str">
        <f t="shared" si="57"/>
        <v>DEFAULT</v>
      </c>
      <c r="ML20" s="780">
        <f t="array" ref="ML20">IF('Customer Inputs'!$W$18="End",0,IFERROR(IF($MK20="SEGMENT",INDEX('Margin Guidence Table'!$A$1:$AG$10000,MATCH(1,('Margin Guidence Table'!$A$1:$A$10000=MI20)*('Margin Guidence Table'!$I$1:$I$10000&lt;=ROUND($MA$3,0))*('Margin Guidence Table'!$J$1:$J$10000&gt;=ROUND($MA$3,0)),0),MATCH("SALES_CASE",'Margin Guidence Table'!$A$1:$AG$1,0)),INDEX('Margin Guidence Table'!$A$1:$AG$10000,MATCH(1,('Margin Guidence Table'!$A$1:$A$10000=MI20)*('Margin Guidence Table'!$I$1:$I$10000&lt;=ROUND($MA$3,0))*('Margin Guidence Table'!$J$1:$J$10000&gt;=ROUND($MA$3,0)),0),MATCH("DEFAULT_SALES_CASE",'Margin Guidence Table'!$A$1:$AG$1,0))),0))</f>
        <v>0</v>
      </c>
      <c r="MM20" s="780">
        <f t="array" ref="MM20">IF('Customer Inputs'!$W$18="End",0,IFERROR(IF($MK20="SEGMENT",INDEX('Margin Guidence Table'!$A$1:$AG$10000,MATCH(1,('Margin Guidence Table'!$A$1:$A$10000=MI20)*('Margin Guidence Table'!$I$1:$I$10000&lt;=ROUND($MA$3,0))*('Margin Guidence Table'!$J$1:$J$10000&gt;=ROUND($MA$3,0)),0),MATCH("SALES_LBS",'Margin Guidence Table'!$A$1:$AG$1,0)),INDEX('Margin Guidence Table'!$A$1:$AG$10000,MATCH(1,('Margin Guidence Table'!$A$1:$A$10000=MI20)*('Margin Guidence Table'!$I$1:$I$10000&lt;=ROUND($MA$3,0))*('Margin Guidence Table'!$J$1:$J$10000&gt;=ROUND($MA$3,0)),0),MATCH("DEFAULT_SALES_LBS",'Margin Guidence Table'!$A$1:$AG$1,0))),0))</f>
        <v>0</v>
      </c>
      <c r="MN20" s="784">
        <f t="array" ref="MN20">IF('Customer Inputs'!$W$18="End",0,IFERROR(IF($MK20="SEGMENT",INDEX('Margin Guidence Table'!$A$1:$AG$10000,MATCH(1,('Margin Guidence Table'!$A$1:$A$10000=MI20)*('Margin Guidence Table'!$I$1:$I$10000&lt;=ROUND($MA$3,0))*('Margin Guidence Table'!$J$1:$J$10000&gt;=ROUND($MA$3,0)),0),MATCH("MDA_MIN_MARGIN_GUIDENCE",'Margin Guidence Table'!$A$1:$AG$1,0)),INDEX('Margin Guidence Table'!$A$1:$AG$10000,MATCH(1,('Margin Guidence Table'!$A$1:$A$10000=MI20)*('Margin Guidence Table'!$I$1:$I$10000&lt;=ROUND($MA$3,0))*('Margin Guidence Table'!$J$1:$J$10000&gt;=ROUND($MA$3,0)),0),MATCH("DEFAULT_MDA_MIN_MARGIN_GUIDENCE",'Margin Guidence Table'!$A$1:$AG$1,0))),0))</f>
        <v>0</v>
      </c>
      <c r="MO20" s="784">
        <f t="array" ref="MO20">IF('Customer Inputs'!$W$18="End",0,IFERROR(IF($MK20="SEGMENT",INDEX('Margin Guidence Table'!$A$1:$AG$10000,MATCH(1,('Margin Guidence Table'!$A$1:$A$10000=MI20)*('Margin Guidence Table'!$I$1:$I$10000&lt;=ROUND($MA$3,0))*('Margin Guidence Table'!$J$1:$J$10000&gt;=ROUND($MA$3,0)),0),MATCH("MDA_MEDIAN_MARGIN_GUIDENCE",'Margin Guidence Table'!$A$1:$AG$1,0)),INDEX('Margin Guidence Table'!$A$1:$AG$10000,MATCH(1,('Margin Guidence Table'!$A$1:$A$10000=MI20)*('Margin Guidence Table'!$I$1:$I$10000&lt;=ROUND($MA$3,0))*('Margin Guidence Table'!$J$1:$J$10000&gt;=ROUND($MA$3,0)),0),MATCH("DEFAULT_MDA_MEDIAN_MARGIN_GUIDENCE",'Margin Guidence Table'!$A$1:$AG$1,0))),0))</f>
        <v>0</v>
      </c>
      <c r="MP20" s="784">
        <f t="array" ref="MP20">IF('Customer Inputs'!$W$18="End",0,IFERROR(IF($MK20="SEGMENT",INDEX('Margin Guidence Table'!$A$1:$AG$10000,MATCH(1,('Margin Guidence Table'!$A$1:$A$10000=MI20)*('Margin Guidence Table'!$I$1:$I$10000&lt;=ROUND($MA$3,0))*('Margin Guidence Table'!$J$1:$J$10000&gt;=ROUND($MA$3,0)),0),MATCH("MDA_MAX_MARGIN_GUIDENCE",'Margin Guidence Table'!$A$1:$AG$1,0)),INDEX('Margin Guidence Table'!$A$1:$AG$10000,MATCH(1,('Margin Guidence Table'!$A$1:$A$10000=MI20)*('Margin Guidence Table'!$I$1:$I$10000&lt;=ROUND($MA$3,0))*('Margin Guidence Table'!$J$1:$J$10000&gt;=ROUND($MA$3,0)),0),MATCH("DEFAULT_MDA_MAX_MARGIN_GUIDENCE",'Margin Guidence Table'!$A$1:$AG$1,0))),0))</f>
        <v>0</v>
      </c>
      <c r="MQ20" s="784">
        <f t="array" ref="MQ20">IF('Customer Inputs'!$W$18="End",0,IFERROR(IF($MK20="SEGMENT",INDEX('Margin Guidence Table'!$A$1:$AG$10000,MATCH(1,('Margin Guidence Table'!$A$1:$A$10000=MI20)*('Margin Guidence Table'!$I$1:$I$10000&lt;=ROUND($MA$3,0))*('Margin Guidence Table'!$J$1:$J$10000&gt;=ROUND($MA$3,0)),0),MATCH("PA_PCT_SALES",'Margin Guidence Table'!$A$1:$AG$1,0)),INDEX('Margin Guidence Table'!$A$1:$AG$10000,MATCH(1,('Margin Guidence Table'!$A$1:$A$10000=MI20)*('Margin Guidence Table'!$I$1:$I$10000&lt;=ROUND($MA$3,0))*('Margin Guidence Table'!$J$1:$J$10000&gt;=ROUND($MA$3,0)),0),MATCH("DEFAULT_PA_PCT_SALES",'Margin Guidence Table'!$A$1:$AG$1,0))),0))</f>
        <v>0</v>
      </c>
      <c r="MR20" s="784">
        <f t="array" ref="MR20">IF('Customer Inputs'!$W$18="End",0,IFERROR(IF($MK20="SEGMENT",INDEX('Margin Guidence Table'!$A$1:$AG$10000,MATCH(1,('Margin Guidence Table'!$A$1:$A$10000=MI20)*('Margin Guidence Table'!$I$1:$I$10000&lt;=ROUND($MA$3,0))*('Margin Guidence Table'!$J$1:$J$10000&gt;=ROUND($MA$3,0)),0),MATCH("SELF_FUND_PCT_SALES",'Margin Guidence Table'!$A$1:$AG$1,0)),INDEX('Margin Guidence Table'!$A$1:$AG$10000,MATCH(1,('Margin Guidence Table'!$A$1:$A$10000=MI20)*('Margin Guidence Table'!$I$1:$I$10000&lt;=ROUND($MA$3,0))*('Margin Guidence Table'!$J$1:$J$10000&gt;=ROUND($MA$3,0)),0),MATCH("DEFAULT_SELF_FUND_PCT_SALES",'Margin Guidence Table'!$A$1:$AG$1,0))),0))</f>
        <v>0</v>
      </c>
      <c r="MS20" s="784">
        <f t="array" ref="MS20">IF('Customer Inputs'!$W$18="End",0,IF($MB$2="Existing",IFERROR(SUMIFS('Existing Customers'!$V:$V,'Existing Customers'!$H:$H,$LZ20,'Existing Customers'!$A:$A,$MA$1)/SUMIFS('Existing Customers'!$Q:$Q,'Existing Customers'!$H:$H,$LZ20,'Existing Customers'!$A:$A,$MA$1),0),IFERROR(IF($MK20="SEGMENT",INDEX('Margin Guidence Table'!$A$1:$AG$10000,MATCH(1,('Margin Guidence Table'!$A$1:$A$10000=MI20)*('Margin Guidence Table'!$I$1:$I$10000&lt;=ROUND($MA$3,0))*('Margin Guidence Table'!$J$1:$J$10000&gt;=ROUND($MA$3,0)),0),MATCH("CIA_MEDIAN_MARGIN_GUIDENCE",'Margin Guidence Table'!$A$1:$AG$1,0)),INDEX('Margin Guidence Table'!$A$1:$AG$10000,MATCH(1,('Margin Guidence Table'!$A$1:$A$10000=MI20)*('Margin Guidence Table'!$I$1:$I$10000&lt;=ROUND($MA$3,0))*('Margin Guidence Table'!$J$1:$J$10000&gt;=ROUND($MA$3,0)),0),MATCH("DEFAULT_CIA_MEDIAN_MARGIN_GUIDENCE",'Margin Guidence Table'!$A$1:$AG$1,0))),0)))</f>
        <v>0</v>
      </c>
      <c r="MT20" s="784"/>
      <c r="MU20" s="18">
        <f t="array" ref="MU20">IF('Customer Inputs'!$W$19="End",0,IFERROR(IF($NH20="SEGMENT",INDEX('Margin Guidence Table'!$A$1:$AG$10000,MATCH(1,('Margin Guidence Table'!$A$1:$A$10000=$NF20)*('Margin Guidence Table'!$I$1:$I$10000&lt;=ROUND($MX$3,0))*('Margin Guidence Table'!$J$1:$J$10000&gt;=ROUND($MX$3,0)),0),MATCH("PCT_SALES",'Margin Guidence Table'!$A$1:$AG$1,0)),INDEX('Margin Guidence Table'!$A$1:$AG$10000,MATCH(1,('Margin Guidence Table'!$A$1:$A$10000=$NF20)*('Margin Guidence Table'!$I$1:$I$10000&lt;=ROUND($MX$3,0))*('Margin Guidence Table'!$J$1:$J$10000&gt;=ROUND($MX$3,0)),0),MATCH("DEFAULT_PCT_SALES",'Margin Guidence Table'!$A$1:$AG$1,0))),0))</f>
        <v>0</v>
      </c>
      <c r="MV20" s="1713" t="e">
        <f t="shared" si="58"/>
        <v>#DIV/0!</v>
      </c>
      <c r="MW20" s="99" t="s">
        <v>98</v>
      </c>
      <c r="MX20" s="91">
        <f>IF('Customer Inputs'!$W$19="End",0,IFERROR(IF(AND($MX$2&lt;&gt;"Enter Spend&gt;&gt;&gt;",$MY$2="EXISTING"),SUMIFS('Existing Customers'!$Q:$Q,'Existing Customers'!$A:$A,$MX$1,'Existing Customers'!$H:$H,$MW20)*$MX$4,$MX$3*$MV20),0))</f>
        <v>0</v>
      </c>
      <c r="MY20" s="86">
        <f>IF('Customer Inputs'!$W$19="End",0,IFERROR(IF(AND($MX$2&lt;&gt;"Enter Spend&gt;&gt;&gt;",$MY$2="EXISTING"),SUMIFS('Existing Customers'!$N:$N,'Existing Customers'!$A:$A,$MX$1,'Existing Customers'!$H:$H,$MW20)*$MX$4,$MX20/$NI20),0))</f>
        <v>0</v>
      </c>
      <c r="MZ20" s="92">
        <f>IF('Customer Inputs'!$W$19="End",0,IFERROR(IF(AND($MX$2&lt;&gt;"Enter Spend&gt;&gt;&gt;",$MY$2="EXISTING"),SUMIFS('Existing Customers'!$O:$O,'Existing Customers'!$H:$H,$MW20,'Existing Customers'!$A:$A,$MX$1)*$MX$4,$MY20*$MX$8),0))</f>
        <v>0</v>
      </c>
      <c r="NA20" s="92">
        <f>IF('Customer Inputs'!$W$19="End",0,IFERROR(IF(AND($MX$2&lt;&gt;"Enter Spend&gt;&gt;&gt;",$MY$2="EXISTING"),SUMIFS('Existing Customers'!$P:$P,'Existing Customers'!$A:$A,$MX$1,'Existing Customers'!$H:$H,$MW20)*$MX$4,$MX20/$NJ20),0))</f>
        <v>0</v>
      </c>
      <c r="NB20" s="303">
        <f>IF('Customer Inputs'!$W$19="End",0,IFERROR(IF(AND($MX$2&lt;&gt;"Enter Spend&gt;&gt;&gt;",$MY$2="EXISTING"),SUMIFS('Existing Customers'!$V:$V,'Existing Customers'!$H:$H,$MW20,'Existing Customers'!$A:$A,$MX$1)*$MX$4,0),0))</f>
        <v>0</v>
      </c>
      <c r="NC20" s="93">
        <f>IF('Customer Inputs'!$W$19="End",0,IFERROR(IF(AND($MX$2&lt;&gt;"Enter Spend&gt;&gt;&gt;",$MY$2="EXISTING"),SUMIFS('Existing Customers'!$R:$R,'Existing Customers'!$H:$H,$MW20,'Existing Customers'!$A:$A,$MX$1)*$MX$4,0),0))</f>
        <v>0</v>
      </c>
      <c r="ND20" s="780">
        <f>IF('Customer Inputs'!$W$19="End",0,IFERROR(IF(AND($MX$2&lt;&gt;"Enter Spend&gt;&gt;&gt;",$MY$2="EXISTING"),SUMIFS('Existing Customers'!$S:$S,'Existing Customers'!$H:$H,$MW20,'Existing Customers'!$A:$A,$MX$1)/SUMIFS('Existing Customers'!$Q:$Q,'Existing Customers'!$A:$A,$MX$1,'Existing Customers'!$H:$H,$MW20),NN20),0))</f>
        <v>0</v>
      </c>
      <c r="NE20" s="780">
        <f>IF('Customer Inputs'!$W$19="End",0,IFERROR(IF(AND($MX$2&lt;&gt;"Enter Spend&gt;&gt;&gt;",$MY$2="EXISTING"),SUMIFS('Existing Customers'!$U:$U,'Existing Customers'!$H:$H,$MW20,'Existing Customers'!$A:$A,$MX$1)/SUMIFS('Existing Customers'!$Q:$Q,'Existing Customers'!$A:$A,$MX$1,'Existing Customers'!$H:$H,$MW20),NO20),0))</f>
        <v>0</v>
      </c>
      <c r="NF20" s="783" t="e">
        <f>_xlfn.CONCAT('Customer Inputs'!$AH$19,"_",MW20)</f>
        <v>#N/A</v>
      </c>
      <c r="NG20" s="783">
        <f t="array" ref="NG20">IF('Customer Inputs'!$W$19="End",0,IFERROR(INDEX('Margin Guidence Table'!$A$1:$AG$10000,MATCH(1,('Margin Guidence Table'!$A$1:$A$10000=NF20)*('Margin Guidence Table'!$I$1:$I$10000&lt;=ROUND($MX$3,0))*('Margin Guidence Table'!$J$1:$J$10000&gt;=ROUND($MX$3,0)),0),MATCH("DATA_POINTS",'Margin Guidence Table'!$A$1:$AG$1,0)),0))</f>
        <v>0</v>
      </c>
      <c r="NH20" s="780" t="str">
        <f t="shared" si="59"/>
        <v>DEFAULT</v>
      </c>
      <c r="NI20" s="780">
        <f t="array" ref="NI20">IF('Customer Inputs'!$W$19="End",0,IFERROR(IF($NH20="SEGMENT",INDEX('Margin Guidence Table'!$A$1:$AG$10000,MATCH(1,('Margin Guidence Table'!$A$1:$A$10000=NF20)*('Margin Guidence Table'!$I$1:$I$10000&lt;=ROUND($MX$3,0))*('Margin Guidence Table'!$J$1:$J$10000&gt;=ROUND($MX$3,0)),0),MATCH("SALES_CASE",'Margin Guidence Table'!$A$1:$AG$1,0)),INDEX('Margin Guidence Table'!$A$1:$AG$10000,MATCH(1,('Margin Guidence Table'!$A$1:$A$10000=NF20)*('Margin Guidence Table'!$I$1:$I$10000&lt;=ROUND($MX$3,0))*('Margin Guidence Table'!$J$1:$J$10000&gt;=ROUND($MX$3,0)),0),MATCH("DEFAULT_SALES_CASE",'Margin Guidence Table'!$A$1:$AG$1,0))),0))</f>
        <v>0</v>
      </c>
      <c r="NJ20" s="780">
        <f t="array" ref="NJ20">IF('Customer Inputs'!$W$19="End",0,IFERROR(IF($NH20="SEGMENT",INDEX('Margin Guidence Table'!$A$1:$AG$10000,MATCH(1,('Margin Guidence Table'!$A$1:$A$10000=NF20)*('Margin Guidence Table'!$I$1:$I$10000&lt;=ROUND($MX$3,0))*('Margin Guidence Table'!$J$1:$J$10000&gt;=ROUND($MX$3,0)),0),MATCH("SALES_LBS",'Margin Guidence Table'!$A$1:$AG$1,0)),INDEX('Margin Guidence Table'!$A$1:$AG$10000,MATCH(1,('Margin Guidence Table'!$A$1:$A$10000=NF20)*('Margin Guidence Table'!$I$1:$I$10000&lt;=ROUND($MX$3,0))*('Margin Guidence Table'!$J$1:$J$10000&gt;=ROUND($MX$3,0)),0),MATCH("DEFAULT_SALES_LBS",'Margin Guidence Table'!$A$1:$AG$1,0))),0))</f>
        <v>0</v>
      </c>
      <c r="NK20" s="784">
        <f t="array" ref="NK20">IF('Customer Inputs'!$W$19="End",0,IFERROR(IF($NH20="SEGMENT",INDEX('Margin Guidence Table'!$A$1:$AG$10000,MATCH(1,('Margin Guidence Table'!$A$1:$A$10000=NF20)*('Margin Guidence Table'!$I$1:$I$10000&lt;=ROUND($MX$3,0))*('Margin Guidence Table'!$J$1:$J$10000&gt;=ROUND($MX$3,0)),0),MATCH("MDA_MIN_MARGIN_GUIDENCE",'Margin Guidence Table'!$A$1:$AG$1,0)),INDEX('Margin Guidence Table'!$A$1:$AG$10000,MATCH(1,('Margin Guidence Table'!$A$1:$A$10000=NF20)*('Margin Guidence Table'!$I$1:$I$10000&lt;=ROUND($MX$3,0))*('Margin Guidence Table'!$J$1:$J$10000&gt;=ROUND($MX$3,0)),0),MATCH("DEFAULT_MDA_MIN_MARGIN_GUIDENCE",'Margin Guidence Table'!$A$1:$AG$1,0))),0))</f>
        <v>0</v>
      </c>
      <c r="NL20" s="784">
        <f t="array" ref="NL20">IF('Customer Inputs'!$W$19="End",0,IFERROR(IF($NH20="SEGMENT",INDEX('Margin Guidence Table'!$A$1:$AG$10000,MATCH(1,('Margin Guidence Table'!$A$1:$A$10000=NF20)*('Margin Guidence Table'!$I$1:$I$10000&lt;=ROUND($MX$3,0))*('Margin Guidence Table'!$J$1:$J$10000&gt;=ROUND($MX$3,0)),0),MATCH("MDA_MEDIAN_MARGIN_GUIDENCE",'Margin Guidence Table'!$A$1:$AG$1,0)),INDEX('Margin Guidence Table'!$A$1:$AG$10000,MATCH(1,('Margin Guidence Table'!$A$1:$A$10000=NF20)*('Margin Guidence Table'!$I$1:$I$10000&lt;=ROUND($MX$3,0))*('Margin Guidence Table'!$J$1:$J$10000&gt;=ROUND($MX$3,0)),0),MATCH("DEFAULT_MDA_MEDIAN_MARGIN_GUIDENCE",'Margin Guidence Table'!$A$1:$AG$1,0))),0))</f>
        <v>0</v>
      </c>
      <c r="NM20" s="784">
        <f t="array" ref="NM20">IF('Customer Inputs'!$W$19="End",0,IFERROR(IF($NH20="SEGMENT",INDEX('Margin Guidence Table'!$A$1:$AG$10000,MATCH(1,('Margin Guidence Table'!$A$1:$A$10000=NF20)*('Margin Guidence Table'!$I$1:$I$10000&lt;=ROUND($MX$3,0))*('Margin Guidence Table'!$J$1:$J$10000&gt;=ROUND($MX$3,0)),0),MATCH("MDA_MAX_MARGIN_GUIDENCE",'Margin Guidence Table'!$A$1:$AG$1,0)),INDEX('Margin Guidence Table'!$A$1:$AG$10000,MATCH(1,('Margin Guidence Table'!$A$1:$A$10000=NF20)*('Margin Guidence Table'!$I$1:$I$10000&lt;=ROUND($MX$3,0))*('Margin Guidence Table'!$J$1:$J$10000&gt;=ROUND($MX$3,0)),0),MATCH("DEFAULT_MDA_MAX_MARGIN_GUIDENCE",'Margin Guidence Table'!$A$1:$AG$1,0))),0))</f>
        <v>0</v>
      </c>
      <c r="NN20" s="784">
        <f t="array" ref="NN20">IF('Customer Inputs'!$W$19="End",0,IFERROR(IF($NH20="SEGMENT",INDEX('Margin Guidence Table'!$A$1:$AG$10000,MATCH(1,('Margin Guidence Table'!$A$1:$A$10000=NF20)*('Margin Guidence Table'!$I$1:$I$10000&lt;=ROUND($MX$3,0))*('Margin Guidence Table'!$J$1:$J$10000&gt;=ROUND($MX$3,0)),0),MATCH("PA_PCT_SALES",'Margin Guidence Table'!$A$1:$AG$1,0)),INDEX('Margin Guidence Table'!$A$1:$AG$10000,MATCH(1,('Margin Guidence Table'!$A$1:$A$10000=NF20)*('Margin Guidence Table'!$I$1:$I$10000&lt;=ROUND($MX$3,0))*('Margin Guidence Table'!$J$1:$J$10000&gt;=ROUND($MX$3,0)),0),MATCH("DEFAULT_PA_PCT_SALES",'Margin Guidence Table'!$A$1:$AG$1,0))),0))</f>
        <v>0</v>
      </c>
      <c r="NO20" s="784">
        <f t="array" ref="NO20">IF('Customer Inputs'!$W$19="End",0,IFERROR(IF($NH20="SEGMENT",INDEX('Margin Guidence Table'!$A$1:$AG$10000,MATCH(1,('Margin Guidence Table'!$A$1:$A$10000=NF20)*('Margin Guidence Table'!$I$1:$I$10000&lt;=ROUND($MX$3,0))*('Margin Guidence Table'!$J$1:$J$10000&gt;=ROUND($MX$3,0)),0),MATCH("SELF_FUND_PCT_SALES",'Margin Guidence Table'!$A$1:$AG$1,0)),INDEX('Margin Guidence Table'!$A$1:$AG$10000,MATCH(1,('Margin Guidence Table'!$A$1:$A$10000=NF20)*('Margin Guidence Table'!$I$1:$I$10000&lt;=ROUND($MX$3,0))*('Margin Guidence Table'!$J$1:$J$10000&gt;=ROUND($MX$3,0)),0),MATCH("DEFAULT_SELF_FUND_PCT_SALES",'Margin Guidence Table'!$A$1:$AG$1,0))),0))</f>
        <v>0</v>
      </c>
      <c r="NP20" s="784">
        <f t="array" ref="NP20">IF('Customer Inputs'!$W$19="End",0,IF($MY$2="Existing",IFERROR(SUMIFS('Existing Customers'!$V:$V,'Existing Customers'!$H:$H,$MW20,'Existing Customers'!$A:$A,$MX$1)/SUMIFS('Existing Customers'!$Q:$Q,'Existing Customers'!$H:$H,$MW20,'Existing Customers'!$A:$A,$MX$1),0),IFERROR(IF($NH20="SEGMENT",INDEX('Margin Guidence Table'!$A$1:$AG$10000,MATCH(1,('Margin Guidence Table'!$A$1:$A$10000=NF20)*('Margin Guidence Table'!$I$1:$I$10000&lt;=ROUND($MX$3,0))*('Margin Guidence Table'!$J$1:$J$10000&gt;=ROUND($MX$3,0)),0),MATCH("CIA_MEDIAN_MARGIN_GUIDENCE",'Margin Guidence Table'!$A$1:$AG$1,0)),INDEX('Margin Guidence Table'!$A$1:$AG$10000,MATCH(1,('Margin Guidence Table'!$A$1:$A$10000=NF20)*('Margin Guidence Table'!$I$1:$I$10000&lt;=ROUND($MX$3,0))*('Margin Guidence Table'!$J$1:$J$10000&gt;=ROUND($MX$3,0)),0),MATCH("DEFAULT_CIA_MEDIAN_MARGIN_GUIDENCE",'Margin Guidence Table'!$A$1:$AG$1,0))),0)))</f>
        <v>0</v>
      </c>
      <c r="NQ20" s="784"/>
      <c r="NR20" s="18">
        <f t="array" ref="NR20">IF('Customer Inputs'!$W$20="End",0,IFERROR(IF($OE20="SEGMENT",INDEX('Margin Guidence Table'!$A$1:$AG$10000,MATCH(1,('Margin Guidence Table'!$A$1:$A$10000=$OC20)*('Margin Guidence Table'!$I$1:$I$10000&lt;=ROUND($NU$3,0))*('Margin Guidence Table'!$J$1:$J$10000&gt;=ROUND($NU$3,0)),0),MATCH("PCT_SALES",'Margin Guidence Table'!$A$1:$AG$1,0)),INDEX('Margin Guidence Table'!$A$1:$AG$10000,MATCH(1,('Margin Guidence Table'!$A$1:$A$10000=$OC20)*('Margin Guidence Table'!$I$1:$I$10000&lt;=ROUND($NU$3,0))*('Margin Guidence Table'!$J$1:$J$10000&gt;=ROUND($NU$3,0)),0),MATCH("DEFAULT_PCT_SALES",'Margin Guidence Table'!$A$1:$AG$1,0))),0))</f>
        <v>0</v>
      </c>
      <c r="NS20" s="1713" t="e">
        <f t="shared" si="60"/>
        <v>#DIV/0!</v>
      </c>
      <c r="NT20" s="99" t="s">
        <v>98</v>
      </c>
      <c r="NU20" s="91">
        <f>IF('Customer Inputs'!$W$20="End",0,IFERROR(IF(AND($NU$2&lt;&gt;"Enter Spend&gt;&gt;&gt;",$NV$2="EXISTING"),SUMIFS('Existing Customers'!$Q:$Q,'Existing Customers'!$A:$A,$NU$1,'Existing Customers'!$H:$H,$NT20)*$NU$4,$NU$3*$NS20),0))</f>
        <v>0</v>
      </c>
      <c r="NV20" s="86">
        <f>IF('Customer Inputs'!$W$20="End",0,IFERROR(IF(AND($NU$2&lt;&gt;"Enter Spend&gt;&gt;&gt;",$NV$2="EXISTING"),SUMIFS('Existing Customers'!$N:$N,'Existing Customers'!$A:$A,$NU$1,'Existing Customers'!$H:$H,$NT20)*$NU$4,$NU20/$OF20),0))</f>
        <v>0</v>
      </c>
      <c r="NW20" s="92">
        <f>IF('Customer Inputs'!$W$20="End",0,IFERROR(IF(AND($NU$2&lt;&gt;"Enter Spend&gt;&gt;&gt;",$NV$2="EXISTING"),SUMIFS('Existing Customers'!$O:$O,'Existing Customers'!$H:$H,$NT20,'Existing Customers'!$A:$A,$NU$1)*$NU$4,$NV20*$NU$8),0))</f>
        <v>0</v>
      </c>
      <c r="NX20" s="92">
        <f>IF('Customer Inputs'!$W$20="End",0,IFERROR(IF(AND($NU$2&lt;&gt;"Enter Spend&gt;&gt;&gt;",$NV$2="EXISTING"),SUMIFS('Existing Customers'!$P:$P,'Existing Customers'!$A:$A,$NU$1,'Existing Customers'!$H:$H,$NT20)*$NU$4,$NU20/$OG20),0))</f>
        <v>0</v>
      </c>
      <c r="NY20" s="303">
        <f>IF('Customer Inputs'!$W$20="End",0,IFERROR(IF(AND($NU$2&lt;&gt;"Enter Spend&gt;&gt;&gt;",$NV$2="EXISTING"),SUMIFS('Existing Customers'!$V:$V,'Existing Customers'!$H:$H,$NT20,'Existing Customers'!$A:$A,$NU$1)*$NU$4,0),0))</f>
        <v>0</v>
      </c>
      <c r="NZ20" s="93">
        <f>IF('Customer Inputs'!$W$20="End",0,IFERROR(IF(AND($NU$2&lt;&gt;"Enter Spend&gt;&gt;&gt;",$NV$2="EXISTING"),SUMIFS('Existing Customers'!$R:$R,'Existing Customers'!$H:$H,$NT20,'Existing Customers'!$A:$A,$NU$1)*$NU$4,0),0))</f>
        <v>0</v>
      </c>
      <c r="OA20" s="780">
        <f>IF('Customer Inputs'!$W$20="End",0,IFERROR(IF(AND($NU$2&lt;&gt;"Enter Spend&gt;&gt;&gt;",$NV$2="EXISTING"),SUMIFS('Existing Customers'!$S:$S,'Existing Customers'!$H:$H,$NT20,'Existing Customers'!$A:$A,$NU$1)/SUMIFS('Existing Customers'!$Q:$Q,'Existing Customers'!$A:$A,$NU$1,'Existing Customers'!$H:$H,$NT20),OK20),0))</f>
        <v>0</v>
      </c>
      <c r="OB20" s="780">
        <f>IF('Customer Inputs'!$W$20="End",0,IFERROR(IF(AND($NU$2&lt;&gt;"Enter Spend&gt;&gt;&gt;",$NV$2="EXISTING"),SUMIFS('Existing Customers'!$U:$U,'Existing Customers'!$H:$H,$NT20,'Existing Customers'!$A:$A,$NU$1)/SUMIFS('Existing Customers'!$Q:$Q,'Existing Customers'!$A:$A,$NU$1,'Existing Customers'!$H:$H,$NT20),OL20),0))</f>
        <v>0</v>
      </c>
      <c r="OC20" s="783" t="e">
        <f>_xlfn.CONCAT('Customer Inputs'!$AH$20,"_",NT20)</f>
        <v>#N/A</v>
      </c>
      <c r="OD20" s="783">
        <f t="array" ref="OD20">IF('Customer Inputs'!$W$20="End",0,IFERROR(INDEX('Margin Guidence Table'!$A$1:$AG$10000,MATCH(1,('Margin Guidence Table'!$A$1:$A$10000=OC20)*('Margin Guidence Table'!$I$1:$I$10000&lt;=ROUND($NU$3,0))*('Margin Guidence Table'!$J$1:$J$10000&gt;=ROUND($NU$3,0)),0),MATCH("DATA_POINTS",'Margin Guidence Table'!$A$1:$AG$1,0)),0))</f>
        <v>0</v>
      </c>
      <c r="OE20" s="780" t="str">
        <f t="shared" si="61"/>
        <v>DEFAULT</v>
      </c>
      <c r="OF20" s="780">
        <f t="array" ref="OF20">IF('Customer Inputs'!$W$20="End",0,IFERROR(IF($OE20="SEGMENT",INDEX('Margin Guidence Table'!$A$1:$AG$10000,MATCH(1,('Margin Guidence Table'!$A$1:$A$10000=OC20)*('Margin Guidence Table'!$I$1:$I$10000&lt;=ROUND($NU$3,0))*('Margin Guidence Table'!$J$1:$J$10000&gt;=ROUND($NU$3,0)),0),MATCH("SALES_CASE",'Margin Guidence Table'!$A$1:$AG$1,0)),INDEX('Margin Guidence Table'!$A$1:$AG$10000,MATCH(1,('Margin Guidence Table'!$A$1:$A$10000=OC20)*('Margin Guidence Table'!$I$1:$I$10000&lt;=ROUND($NU$3,0))*('Margin Guidence Table'!$J$1:$J$10000&gt;=ROUND($NU$3,0)),0),MATCH("DEFAULT_SALES_CASE",'Margin Guidence Table'!$A$1:$AG$1,0))),0))</f>
        <v>0</v>
      </c>
      <c r="OG20" s="780">
        <f t="array" ref="OG20">IF('Customer Inputs'!$W$20="End",0,IFERROR(IF($OE20="SEGMENT",INDEX('Margin Guidence Table'!$A$1:$AG$10000,MATCH(1,('Margin Guidence Table'!$A$1:$A$10000=OC20)*('Margin Guidence Table'!$I$1:$I$10000&lt;=ROUND($NU$3,0))*('Margin Guidence Table'!$J$1:$J$10000&gt;=ROUND($NU$3,0)),0),MATCH("SALES_LBS",'Margin Guidence Table'!$A$1:$AG$1,0)),INDEX('Margin Guidence Table'!$A$1:$AG$10000,MATCH(1,('Margin Guidence Table'!$A$1:$A$10000=OC20)*('Margin Guidence Table'!$I$1:$I$10000&lt;=ROUND($NU$3,0))*('Margin Guidence Table'!$J$1:$J$10000&gt;=ROUND($NU$3,0)),0),MATCH("DEFAULT_SALES_LBS",'Margin Guidence Table'!$A$1:$AG$1,0))),0))</f>
        <v>0</v>
      </c>
      <c r="OH20" s="784">
        <f t="array" ref="OH20">IF('Customer Inputs'!$W$20="End",0,IFERROR(IF($OE20="SEGMENT",INDEX('Margin Guidence Table'!$A$1:$AG$10000,MATCH(1,('Margin Guidence Table'!$A$1:$A$10000=OC20)*('Margin Guidence Table'!$I$1:$I$10000&lt;=ROUND($NU$3,0))*('Margin Guidence Table'!$J$1:$J$10000&gt;=ROUND($NU$3,0)),0),MATCH("MDA_MIN_MARGIN_GUIDENCE",'Margin Guidence Table'!$A$1:$AG$1,0)),INDEX('Margin Guidence Table'!$A$1:$AG$10000,MATCH(1,('Margin Guidence Table'!$A$1:$A$10000=OC20)*('Margin Guidence Table'!$I$1:$I$10000&lt;=ROUND($NU$3,0))*('Margin Guidence Table'!$J$1:$J$10000&gt;=ROUND($NU$3,0)),0),MATCH("DEFAULT_MDA_MIN_MARGIN_GUIDENCE",'Margin Guidence Table'!$A$1:$AG$1,0))),0))</f>
        <v>0</v>
      </c>
      <c r="OI20" s="784">
        <f t="array" ref="OI20">IF('Customer Inputs'!$W$20="End",0,IFERROR(IF($OE20="SEGMENT",INDEX('Margin Guidence Table'!$A$1:$AG$10000,MATCH(1,('Margin Guidence Table'!$A$1:$A$10000=OC20)*('Margin Guidence Table'!$I$1:$I$10000&lt;=ROUND($NU$3,0))*('Margin Guidence Table'!$J$1:$J$10000&gt;=ROUND($NU$3,0)),0),MATCH("MDA_MEDIAN_MARGIN_GUIDENCE",'Margin Guidence Table'!$A$1:$AG$1,0)),INDEX('Margin Guidence Table'!$A$1:$AG$10000,MATCH(1,('Margin Guidence Table'!$A$1:$A$10000=OC20)*('Margin Guidence Table'!$I$1:$I$10000&lt;=ROUND($NU$3,0))*('Margin Guidence Table'!$J$1:$J$10000&gt;=ROUND($NU$3,0)),0),MATCH("DEFAULT_MDA_MEDIAN_MARGIN_GUIDENCE",'Margin Guidence Table'!$A$1:$AG$1,0))),0))</f>
        <v>0</v>
      </c>
      <c r="OJ20" s="784">
        <f t="array" ref="OJ20">IF('Customer Inputs'!$W$20="End",0,IFERROR(IF($OE20="SEGMENT",INDEX('Margin Guidence Table'!$A$1:$AG$10000,MATCH(1,('Margin Guidence Table'!$A$1:$A$10000=OC20)*('Margin Guidence Table'!$I$1:$I$10000&lt;=ROUND($NU$3,0))*('Margin Guidence Table'!$J$1:$J$10000&gt;=ROUND($NU$3,0)),0),MATCH("MDA_MAX_MARGIN_GUIDENCE",'Margin Guidence Table'!$A$1:$AG$1,0)),INDEX('Margin Guidence Table'!$A$1:$AG$10000,MATCH(1,('Margin Guidence Table'!$A$1:$A$10000=OC20)*('Margin Guidence Table'!$I$1:$I$10000&lt;=ROUND($NU$3,0))*('Margin Guidence Table'!$J$1:$J$10000&gt;=ROUND($NU$3,0)),0),MATCH("DEFAULT_MDA_MAX_MARGIN_GUIDENCE",'Margin Guidence Table'!$A$1:$AG$1,0))),0))</f>
        <v>0</v>
      </c>
      <c r="OK20" s="784">
        <f t="array" ref="OK20">IF('Customer Inputs'!$W$20="End",0,IFERROR(IF($OE20="SEGMENT",INDEX('Margin Guidence Table'!$A$1:$AG$10000,MATCH(1,('Margin Guidence Table'!$A$1:$A$10000=OC20)*('Margin Guidence Table'!$I$1:$I$10000&lt;=ROUND($NU$3,0))*('Margin Guidence Table'!$J$1:$J$10000&gt;=ROUND($NU$3,0)),0),MATCH("PA_PCT_SALES",'Margin Guidence Table'!$A$1:$AG$1,0)),INDEX('Margin Guidence Table'!$A$1:$AG$10000,MATCH(1,('Margin Guidence Table'!$A$1:$A$10000=OC20)*('Margin Guidence Table'!$I$1:$I$10000&lt;=ROUND($NU$3,0))*('Margin Guidence Table'!$J$1:$J$10000&gt;=ROUND($NU$3,0)),0),MATCH("DEFAULT_PA_PCT_SALES",'Margin Guidence Table'!$A$1:$AG$1,0))),0))</f>
        <v>0</v>
      </c>
      <c r="OL20" s="784">
        <f t="array" ref="OL20">IF('Customer Inputs'!$W$20="End",0,IFERROR(IF($OE20="SEGMENT",INDEX('Margin Guidence Table'!$A$1:$AG$10000,MATCH(1,('Margin Guidence Table'!$A$1:$A$10000=OC20)*('Margin Guidence Table'!$I$1:$I$10000&lt;=ROUND($NU$3,0))*('Margin Guidence Table'!$J$1:$J$10000&gt;=ROUND($NU$3,0)),0),MATCH("SELF_FUND_PCT_SALES",'Margin Guidence Table'!$A$1:$AG$1,0)),INDEX('Margin Guidence Table'!$A$1:$AG$10000,MATCH(1,('Margin Guidence Table'!$A$1:$A$10000=OC20)*('Margin Guidence Table'!$I$1:$I$10000&lt;=ROUND($NU$3,0))*('Margin Guidence Table'!$J$1:$J$10000&gt;=ROUND($NU$3,0)),0),MATCH("DEFAULT_SELF_FUND_PCT_SALES",'Margin Guidence Table'!$A$1:$AG$1,0))),0))</f>
        <v>0</v>
      </c>
      <c r="OM20" s="784">
        <f t="array" ref="OM20">IF('Customer Inputs'!$W$20="End",0,IF($NV$2="Existing",IFERROR(SUMIFS('Existing Customers'!$V:$V,'Existing Customers'!$H:$H,$NT20,'Existing Customers'!$A:$A,$NU$1)/SUMIFS('Existing Customers'!$Q:$Q,'Existing Customers'!$H:$H,$NT20,'Existing Customers'!$A:$A,$NU$1),0),IFERROR(IF($OE20="SEGMENT",INDEX('Margin Guidence Table'!$A$1:$AG$10000,MATCH(1,('Margin Guidence Table'!$A$1:$A$10000=OC20)*('Margin Guidence Table'!$I$1:$I$10000&lt;=ROUND($NU$3,0))*('Margin Guidence Table'!$J$1:$J$10000&gt;=ROUND($NU$3,0)),0),MATCH("CIA_MEDIAN_MARGIN_GUIDENCE",'Margin Guidence Table'!$A$1:$AG$1,0)),INDEX('Margin Guidence Table'!$A$1:$AG$10000,MATCH(1,('Margin Guidence Table'!$A$1:$A$10000=OC20)*('Margin Guidence Table'!$I$1:$I$10000&lt;=ROUND($NU$3,0))*('Margin Guidence Table'!$J$1:$J$10000&gt;=ROUND($NU$3,0)),0),MATCH("DEFAULT_CIA_MEDIAN_MARGIN_GUIDENCE",'Margin Guidence Table'!$A$1:$AG$1,0))),0)))</f>
        <v>0</v>
      </c>
      <c r="ON20" s="784"/>
      <c r="OO20" s="18">
        <f t="array" ref="OO20">IF('Customer Inputs'!$W$21="End",0,IFERROR(IF($PB20="SEGMENT",INDEX('Margin Guidence Table'!$A$1:$AG$10000,MATCH(1,('Margin Guidence Table'!$A$1:$A$10000=$OZ20)*('Margin Guidence Table'!$I$1:$I$10000&lt;=ROUND($OR$3,0))*('Margin Guidence Table'!$J$1:$J$10000&gt;=ROUND($OR$3,0)),0),MATCH("PCT_SALES",'Margin Guidence Table'!$A$1:$AG$1,0)),INDEX('Margin Guidence Table'!$A$1:$AG$10000,MATCH(1,('Margin Guidence Table'!$A$1:$A$10000=$OZ20)*('Margin Guidence Table'!$I$1:$I$10000&lt;=ROUND($OR$3,0))*('Margin Guidence Table'!$J$1:$J$10000&gt;=ROUND($OR$3,0)),0),MATCH("DEFAULT_PCT_SALES",'Margin Guidence Table'!$A$1:$AG$1,0))),0))</f>
        <v>0</v>
      </c>
      <c r="OP20" s="1713" t="e">
        <f t="shared" si="62"/>
        <v>#DIV/0!</v>
      </c>
      <c r="OQ20" s="99" t="s">
        <v>98</v>
      </c>
      <c r="OR20" s="91">
        <f>IF('Customer Inputs'!$W$21="End",0,IFERROR(IF(AND($OR$2&lt;&gt;"Enter Spend&gt;&gt;&gt;",$OS$2="EXISTING"),SUMIFS('Existing Customers'!$Q:$Q,'Existing Customers'!$A:$A,$OR$1,'Existing Customers'!$H:$H,$OQ20)*$OR$4,$OR$3*$OP20),0))</f>
        <v>0</v>
      </c>
      <c r="OS20" s="86">
        <f>IF('Customer Inputs'!$W$21="End",0,IFERROR(IF(AND($OR$2&lt;&gt;"Enter Spend&gt;&gt;&gt;",$OS$2="EXISTING"),SUMIFS('Existing Customers'!$N:$N,'Existing Customers'!$A:$A,$OR$1,'Existing Customers'!$H:$H,$OQ20)*$OR$4,$OR20/$PC20),0))</f>
        <v>0</v>
      </c>
      <c r="OT20" s="92">
        <f>IF('Customer Inputs'!$W$21="End",0,IFERROR(IF(AND($OR$2&lt;&gt;"Enter Spend&gt;&gt;&gt;",$OS$2="EXISTING"),SUMIFS('Existing Customers'!$O:$O,'Existing Customers'!$H:$H,$OQ20,'Existing Customers'!$A:$A,$OR$1)*$OR$4,$OS20*$OR$8),0))</f>
        <v>0</v>
      </c>
      <c r="OU20" s="92">
        <f>IF('Customer Inputs'!$W$21="End",0,IFERROR(IF(AND($OR$2&lt;&gt;"Enter Spend&gt;&gt;&gt;",$OS$2="EXISTING"),SUMIFS('Existing Customers'!$P:$P,'Existing Customers'!$A:$A,$OR$1,'Existing Customers'!$H:$H,$OQ20)*$OR$4,$OR20/$PD20),0))</f>
        <v>0</v>
      </c>
      <c r="OV20" s="303">
        <f>IF('Customer Inputs'!$W$21="End",0,IFERROR(IF(AND($OR$2&lt;&gt;"Enter Spend&gt;&gt;&gt;",$OS$2="EXISTING"),SUMIFS('Existing Customers'!$V:$V,'Existing Customers'!$H:$H,$OQ20,'Existing Customers'!$A:$A,$OR$1)*$OR$4,0),0))</f>
        <v>0</v>
      </c>
      <c r="OW20" s="93">
        <f>IF('Customer Inputs'!$W$21="End",0,IFERROR(IF(AND($OR$2&lt;&gt;"Enter Spend&gt;&gt;&gt;",$OS$2="EXISTING"),SUMIFS('Existing Customers'!$R:$R,'Existing Customers'!$H:$H,$OP20,'Existing Customers'!$A:$A,$OR$1)*$OR$4,0),0))</f>
        <v>0</v>
      </c>
      <c r="OX20" s="780">
        <f>IF('Customer Inputs'!$W$21="End",0,IFERROR(IF(AND($OR$2&lt;&gt;"Enter Spend&gt;&gt;&gt;",$OS$2="EXISTING"),SUMIFS('Existing Customers'!$S:$S,'Existing Customers'!$H:$H,$OQ20,'Existing Customers'!$A:$A,$OR$1)/SUMIFS('Existing Customers'!$Q:$Q,'Existing Customers'!$A:$A,$OR$1,'Existing Customers'!$H:$H,$OQ20),PH20),0))</f>
        <v>0</v>
      </c>
      <c r="OY20" s="780">
        <f>IF('Customer Inputs'!$W$21="End",0,IFERROR(IF(AND($OR$2&lt;&gt;"Enter Spend&gt;&gt;&gt;",$OS$2="EXISTING"),SUMIFS('Existing Customers'!$U:$U,'Existing Customers'!$H:$H,$OQ20,'Existing Customers'!$A:$A,$OR$1)/SUMIFS('Existing Customers'!$Q:$Q,'Existing Customers'!$A:$A,$OR$1,'Existing Customers'!$H:$H,$OQ20),PI20),0))</f>
        <v>0</v>
      </c>
      <c r="OZ20" s="783" t="e">
        <f>_xlfn.CONCAT('Customer Inputs'!$AH$21,"_",OQ20)</f>
        <v>#N/A</v>
      </c>
      <c r="PA20" s="783">
        <f t="array" ref="PA20">IF('Customer Inputs'!$W$22="End",0,IFERROR(INDEX('Margin Guidence Table'!$A$1:$AG$10000,MATCH(1,('Margin Guidence Table'!$A$1:$A$10000=OZ20)*('Margin Guidence Table'!$I$1:$I$10000&lt;=ROUND($OR$3,0))*('Margin Guidence Table'!$J$1:$J$10000&gt;=ROUND($OR$3,0)),0),MATCH("DATA_POINTS",'Margin Guidence Table'!$A$1:$AG$1,0)),0))</f>
        <v>0</v>
      </c>
      <c r="PB20" s="780" t="str">
        <f t="shared" si="63"/>
        <v>DEFAULT</v>
      </c>
      <c r="PC20" s="780">
        <f t="array" ref="PC20">IF('Customer Inputs'!$W$21="End",0,IFERROR(IF($PB20="SEGMENT",INDEX('Margin Guidence Table'!$A$1:$AG$10000,MATCH(1,('Margin Guidence Table'!$A$1:$A$10000=OZ20)*('Margin Guidence Table'!$I$1:$I$10000&lt;=ROUND($OR$3,0))*('Margin Guidence Table'!$J$1:$J$10000&gt;=ROUND($OR$3,0)),0),MATCH("SALES_CASE",'Margin Guidence Table'!$A$1:$AG$1,0)),INDEX('Margin Guidence Table'!$A$1:$AG$10000,MATCH(1,('Margin Guidence Table'!$A$1:$A$10000=OZ20)*('Margin Guidence Table'!$I$1:$I$10000&lt;=ROUND($OR$3,0))*('Margin Guidence Table'!$J$1:$J$10000&gt;=ROUND($OR$3,0)),0),MATCH("DEFAULT_SALES_CASE",'Margin Guidence Table'!$A$1:$AG$1,0))),0))</f>
        <v>0</v>
      </c>
      <c r="PD20" s="780">
        <f t="array" ref="PD20">IF('Customer Inputs'!$W$21="End",0,IFERROR(IF($PB20="SEGMENT",INDEX('Margin Guidence Table'!$A$1:$AG$10000,MATCH(1,('Margin Guidence Table'!$A$1:$A$10000=OZ20)*('Margin Guidence Table'!$I$1:$I$10000&lt;=ROUND($OR$3,0))*('Margin Guidence Table'!$J$1:$J$10000&gt;=ROUND($OR$3,0)),0),MATCH("SALES_LBS",'Margin Guidence Table'!$A$1:$AG$1,0)),INDEX('Margin Guidence Table'!$A$1:$AG$10000,MATCH(1,('Margin Guidence Table'!$A$1:$A$10000=OZ20)*('Margin Guidence Table'!$I$1:$I$10000&lt;=ROUND($OR$3,0))*('Margin Guidence Table'!$J$1:$J$10000&gt;=ROUND($OR$3,0)),0),MATCH("DEFAULT_SALES_LBS",'Margin Guidence Table'!$A$1:$AG$1,0))),0))</f>
        <v>0</v>
      </c>
      <c r="PE20" s="784">
        <f t="array" ref="PE20">IF('Customer Inputs'!$W$21="End",0,IFERROR(IF($PB20="SEGMENT",INDEX('Margin Guidence Table'!$A$1:$AG$10000,MATCH(1,('Margin Guidence Table'!$A$1:$A$10000=OZ20)*('Margin Guidence Table'!$I$1:$I$10000&lt;=ROUND($OR$3,0))*('Margin Guidence Table'!$J$1:$J$10000&gt;=ROUND($OR$3,0)),0),MATCH("MDA_MIN_MARGIN_GUIDENCE",'Margin Guidence Table'!$A$1:$AG$1,0)),INDEX('Margin Guidence Table'!$A$1:$AG$10000,MATCH(1,('Margin Guidence Table'!$A$1:$A$10000=OZ20)*('Margin Guidence Table'!$I$1:$I$10000&lt;=ROUND($OR$3,0))*('Margin Guidence Table'!$J$1:$J$10000&gt;=ROUND($OR$3,0)),0),MATCH("DEFAULT_MDA_MIN_MARGIN_GUIDENCE",'Margin Guidence Table'!$A$1:$AG$1,0))),0))</f>
        <v>0</v>
      </c>
      <c r="PF20" s="784">
        <f t="array" ref="PF20">IF('Customer Inputs'!$W$21="End",0,IFERROR(IF($PB20="SEGMENT",INDEX('Margin Guidence Table'!$A$1:$AG$10000,MATCH(1,('Margin Guidence Table'!$A$1:$A$10000=OZ20)*('Margin Guidence Table'!$I$1:$I$10000&lt;=ROUND($OR$3,0))*('Margin Guidence Table'!$J$1:$J$10000&gt;=ROUND($OR$3,0)),0),MATCH("MDA_MEDIAN_MARGIN_GUIDENCE",'Margin Guidence Table'!$A$1:$AG$1,0)),INDEX('Margin Guidence Table'!$A$1:$AG$10000,MATCH(1,('Margin Guidence Table'!$A$1:$A$10000=OZ20)*('Margin Guidence Table'!$I$1:$I$10000&lt;=ROUND($OR$3,0))*('Margin Guidence Table'!$J$1:$J$10000&gt;=ROUND($OR$3,0)),0),MATCH("DEFAULT_MDA_MEDIAN_MARGIN_GUIDENCE",'Margin Guidence Table'!$A$1:$AG$1,0))),0))</f>
        <v>0</v>
      </c>
      <c r="PG20" s="784">
        <f t="array" ref="PG20">IF('Customer Inputs'!$W$21="End",0,IFERROR(IF($PB20="SEGMENT",INDEX('Margin Guidence Table'!$A$1:$AG$10000,MATCH(1,('Margin Guidence Table'!$A$1:$A$10000=OZ20)*('Margin Guidence Table'!$I$1:$I$10000&lt;=ROUND($OR$3,0))*('Margin Guidence Table'!$J$1:$J$10000&gt;=ROUND($OR$3,0)),0),MATCH("MDA_MAX_MARGIN_GUIDENCE",'Margin Guidence Table'!$A$1:$AG$1,0)),INDEX('Margin Guidence Table'!$A$1:$AG$10000,MATCH(1,('Margin Guidence Table'!$A$1:$A$10000=OZ20)*('Margin Guidence Table'!$I$1:$I$10000&lt;=ROUND($OR$3,0))*('Margin Guidence Table'!$J$1:$J$10000&gt;=ROUND($OR$3,0)),0),MATCH("DEFAULT_MDA_MAX_MARGIN_GUIDENCE",'Margin Guidence Table'!$A$1:$AG$1,0))),0))</f>
        <v>0</v>
      </c>
      <c r="PH20" s="784">
        <f t="array" ref="PH20">IF('Customer Inputs'!$W$21="End",0,IFERROR(IF($PB20="SEGMENT",INDEX('Margin Guidence Table'!$A$1:$AG$10000,MATCH(1,('Margin Guidence Table'!$A$1:$A$10000=OZ20)*('Margin Guidence Table'!$I$1:$I$10000&lt;=ROUND($OR$3,0))*('Margin Guidence Table'!$J$1:$J$10000&gt;=ROUND($OR$3,0)),0),MATCH("PA_PCT_SALES",'Margin Guidence Table'!$A$1:$AG$1,0)),INDEX('Margin Guidence Table'!$A$1:$AG$10000,MATCH(1,('Margin Guidence Table'!$A$1:$A$10000=OZ20)*('Margin Guidence Table'!$I$1:$I$10000&lt;=ROUND($OR$3,0))*('Margin Guidence Table'!$J$1:$J$10000&gt;=ROUND($OR$3,0)),0),MATCH("DEFAULT_PA_PCT_SALES",'Margin Guidence Table'!$A$1:$AG$1,0))),0))</f>
        <v>0</v>
      </c>
      <c r="PI20" s="784">
        <f t="array" ref="PI20">IF('Customer Inputs'!$W$21="End",0,IFERROR(IF($PB20="SEGMENT",INDEX('Margin Guidence Table'!$A$1:$AG$10000,MATCH(1,('Margin Guidence Table'!$A$1:$A$10000=OZ20)*('Margin Guidence Table'!$I$1:$I$10000&lt;=ROUND($OR$3,0))*('Margin Guidence Table'!$J$1:$J$10000&gt;=ROUND($OR$3,0)),0),MATCH("SELF_FUND_PCT_SALES",'Margin Guidence Table'!$A$1:$AG$1,0)),INDEX('Margin Guidence Table'!$A$1:$AG$10000,MATCH(1,('Margin Guidence Table'!$A$1:$A$10000=OZ20)*('Margin Guidence Table'!$I$1:$I$10000&lt;=ROUND($OR$3,0))*('Margin Guidence Table'!$J$1:$J$10000&gt;=ROUND($OR$3,0)),0),MATCH("DEFAULT_SELF_FUND_PCT_SALES",'Margin Guidence Table'!$A$1:$AG$1,0))),0))</f>
        <v>0</v>
      </c>
      <c r="PJ20" s="784">
        <f t="array" ref="PJ20">IF('Customer Inputs'!$W$21="End",0,IF($OS$2="Existing",IFERROR(SUMIFS('Existing Customers'!$V:$V,'Existing Customers'!$H:$H,$OQ20,'Existing Customers'!$A:$A,$OR$1)/SUMIFS('Existing Customers'!$Q:$Q,'Existing Customers'!$H:$H,$OQ20,'Existing Customers'!$A:$A,$OR$1),0),IFERROR(IF($PB20="SEGMENT",INDEX('Margin Guidence Table'!$A$1:$AG$10000,MATCH(1,('Margin Guidence Table'!$A$1:$A$10000=OZ20)*('Margin Guidence Table'!$I$1:$I$10000&lt;=ROUND($OR$3,0))*('Margin Guidence Table'!$J$1:$J$10000&gt;=ROUND($OR$3,0)),0),MATCH("CIA_MEDIAN_MARGIN_GUIDENCE",'Margin Guidence Table'!$A$1:$AG$1,0)),INDEX('Margin Guidence Table'!$A$1:$AG$10000,MATCH(1,('Margin Guidence Table'!$A$1:$A$10000=OZ20)*('Margin Guidence Table'!$I$1:$I$10000&lt;=ROUND($OR$3,0))*('Margin Guidence Table'!$J$1:$J$10000&gt;=ROUND($OR$3,0)),0),MATCH("DEFAULT_CIA_MEDIAN_MARGIN_GUIDENCE",'Margin Guidence Table'!$A$1:$AG$1,0))),0)))</f>
        <v>0</v>
      </c>
      <c r="PK20" s="784"/>
      <c r="PL20" s="18">
        <f t="array" ref="PL20">IF('Customer Inputs'!$W$22="End",0,IFERROR(IF($PY20="SEGMENT",INDEX('Margin Guidence Table'!$A$1:$AG$10000,MATCH(1,('Margin Guidence Table'!$A$1:$A$10000=$PW20)*('Margin Guidence Table'!$I$1:$I$10000&lt;=ROUND($PO$3,0))*('Margin Guidence Table'!$J$1:$J$10000&gt;=ROUND($PO$3,0)),0),MATCH("PCT_SALES",'Margin Guidence Table'!$A$1:$AG$1,0)),INDEX('Margin Guidence Table'!$A$1:$AG$10000,MATCH(1,('Margin Guidence Table'!$A$1:$A$10000=$PW20)*('Margin Guidence Table'!$I$1:$I$10000&lt;=ROUND($PO$3,0))*('Margin Guidence Table'!$J$1:$J$10000&gt;=ROUND($PO$3,0)),0),MATCH("DEFAULT_PCT_SALES",'Margin Guidence Table'!$A$1:$AG$1,0))),0))</f>
        <v>0</v>
      </c>
      <c r="PM20" s="1713" t="e">
        <f t="shared" si="64"/>
        <v>#DIV/0!</v>
      </c>
      <c r="PN20" s="99" t="s">
        <v>98</v>
      </c>
      <c r="PO20" s="91">
        <f>IF('Customer Inputs'!$W$22="End",0,IFERROR(IF(AND($PO$2&lt;&gt;"Enter Spend&gt;&gt;&gt;",$PP$2="EXISTING"),SUMIFS('Existing Customers'!$Q:$Q,'Existing Customers'!$A:$A,$PO$1,'Existing Customers'!$H:$H,$PN20)*$PO$4,$PO$3*$PM20),0))</f>
        <v>0</v>
      </c>
      <c r="PP20" s="86">
        <f>IF('Customer Inputs'!$W$22="End",0,IFERROR(IF(AND($PO$2&lt;&gt;"Enter Spend&gt;&gt;&gt;",$PP$2="EXISTING"),SUMIFS('Existing Customers'!$N:$N,'Existing Customers'!$A:$A,$PO$1,'Existing Customers'!$H:$H,$PN20)*$PO$4,$PO20/$PZ20),0))</f>
        <v>0</v>
      </c>
      <c r="PQ20" s="92">
        <f>IF('Customer Inputs'!$W$22="End",0,IFERROR(IF(AND($PO$2&lt;&gt;"Enter Spend&gt;&gt;&gt;",$PP$2="EXISTING"),SUMIFS('Existing Customers'!$O:$O,'Existing Customers'!$H:$H,$PN20,'Existing Customers'!$A:$A,$PO$1)*$PO$4,$PP20*$PO$8),0))</f>
        <v>0</v>
      </c>
      <c r="PR20" s="92">
        <f>IF('Customer Inputs'!$W$22="End",0,IFERROR(IF(AND($PO$2&lt;&gt;"Enter Spend&gt;&gt;&gt;",$PP$2="EXISTING"),SUMIFS('Existing Customers'!$P:$P,'Existing Customers'!$A:$A,$PO$1,'Existing Customers'!$H:$H,$PN20)*$PO$4,$PO20/$QA20),0))</f>
        <v>0</v>
      </c>
      <c r="PS20" s="303">
        <f>IF('Customer Inputs'!$W$22="End",0,IFERROR(IF(AND($PO$2&lt;&gt;"Enter Spend&gt;&gt;&gt;",$PP$2="EXISTING"),SUMIFS('Existing Customers'!$V:$V,'Existing Customers'!$H:$H,$PN20,'Existing Customers'!$A:$A,$PO$1)*$PO$4,0),0))</f>
        <v>0</v>
      </c>
      <c r="PT20" s="93">
        <f>IF('Customer Inputs'!$W$22="End",0,IFERROR(IF(AND($PO$2&lt;&gt;"Enter Spend&gt;&gt;&gt;",$PP$2="EXISTING"),SUMIFS('Existing Customers'!$R:$R,'Existing Customers'!$H:$H,$PN20,'Existing Customers'!$A:$A,$PO$1)*$PO$4,0),0))</f>
        <v>0</v>
      </c>
      <c r="PU20" s="780">
        <f>IF('Customer Inputs'!$W$22="End",0,IFERROR(IF(AND($PO$2&lt;&gt;"Enter Spend&gt;&gt;&gt;",$PP$2="EXISTING"),SUMIFS('Existing Customers'!$S:$S,'Existing Customers'!$H:$H,$PN20,'Existing Customers'!$A:$A,$PO$1)/SUMIFS('Existing Customers'!$Q:$Q,'Existing Customers'!$A:$A,$PO$1,'Existing Customers'!$H:$H,$PN20),QE20),0))</f>
        <v>0</v>
      </c>
      <c r="PV20" s="780">
        <f>IF('Customer Inputs'!$W$22="End",0,IFERROR(IF(AND($PO$2&lt;&gt;"Enter Spend&gt;&gt;&gt;",$PP$2="EXISTING"),SUMIFS('Existing Customers'!$U:$U,'Existing Customers'!$H:$H,$PN20,'Existing Customers'!$A:$A,$PO$1)/SUMIFS('Existing Customers'!$Q:$Q,'Existing Customers'!$A:$A,$PO$1,'Existing Customers'!$H:$H,$PN20),QF20),0))</f>
        <v>0</v>
      </c>
      <c r="PW20" s="783" t="e">
        <f>_xlfn.CONCAT('Customer Inputs'!$AH$22,"_",PN20)</f>
        <v>#N/A</v>
      </c>
      <c r="PX20" s="783">
        <f t="array" ref="PX20">IF('Customer Inputs'!$W$22="End",0,IFERROR(INDEX('Margin Guidence Table'!$A$1:$AG$10000,MATCH(1,('Margin Guidence Table'!$A$1:$A$10000=PW20)*('Margin Guidence Table'!$I$1:$I$10000&lt;=ROUND($PO$3,0))*('Margin Guidence Table'!$J$1:$J$10000&gt;=ROUND($PO$3,0)),0),MATCH("DATA_POINTS",'Margin Guidence Table'!$A$1:$AG$1,0)),0))</f>
        <v>0</v>
      </c>
      <c r="PY20" s="780" t="str">
        <f t="shared" si="65"/>
        <v>DEFAULT</v>
      </c>
      <c r="PZ20" s="780">
        <f t="array" ref="PZ20">IF('Customer Inputs'!$W$22="End",0,IFERROR(IF($PY20="SEGMENT",INDEX('Margin Guidence Table'!$A$1:$AG$10000,MATCH(1,('Margin Guidence Table'!$A$1:$A$10000=PW20)*('Margin Guidence Table'!$I$1:$I$10000&lt;=ROUND($PO$3,0))*('Margin Guidence Table'!$J$1:$J$10000&gt;=ROUND($PO$3,0)),0),MATCH("SALES_CASE",'Margin Guidence Table'!$A$1:$AG$1,0)),INDEX('Margin Guidence Table'!$A$1:$AG$10000,MATCH(1,('Margin Guidence Table'!$A$1:$A$10000=PW20)*('Margin Guidence Table'!$I$1:$I$10000&lt;=ROUND($PO$3,0))*('Margin Guidence Table'!$J$1:$J$10000&gt;=ROUND($PO$3,0)),0),MATCH("DEFAULT_SALES_CASE",'Margin Guidence Table'!$A$1:$AG$1,0))),0))</f>
        <v>0</v>
      </c>
      <c r="QA20" s="780">
        <f t="array" ref="QA20">IF('Customer Inputs'!$W$22="End",0,IFERROR(IF($PY20="SEGMENT",INDEX('Margin Guidence Table'!$A$1:$AG$10000,MATCH(1,('Margin Guidence Table'!$A$1:$A$10000=PW20)*('Margin Guidence Table'!$I$1:$I$10000&lt;=ROUND($PO$3,0))*('Margin Guidence Table'!$J$1:$J$10000&gt;=ROUND($PO$3,0)),0),MATCH("SALES_LBS",'Margin Guidence Table'!$A$1:$AG$1,0)),INDEX('Margin Guidence Table'!$A$1:$AG$10000,MATCH(1,('Margin Guidence Table'!$A$1:$A$10000=PW20)*('Margin Guidence Table'!$I$1:$I$10000&lt;=ROUND($PO$3,0))*('Margin Guidence Table'!$J$1:$J$10000&gt;=ROUND($PO$3,0)),0),MATCH("DEFAULT_SALES_LBS",'Margin Guidence Table'!$A$1:$AG$1,0))),0))</f>
        <v>0</v>
      </c>
      <c r="QB20" s="784">
        <f t="array" ref="QB20">IF('Customer Inputs'!$W$22="End",0,IFERROR(IF($PY20="SEGMENT",INDEX('Margin Guidence Table'!$A$1:$AG$10000,MATCH(1,('Margin Guidence Table'!$A$1:$A$10000=PW20)*('Margin Guidence Table'!$I$1:$I$10000&lt;=ROUND($PO$3,0))*('Margin Guidence Table'!$J$1:$J$10000&gt;=ROUND($PO$3,0)),0),MATCH("MDA_MIN_MARGIN_GUIDENCE",'Margin Guidence Table'!$A$1:$AG$1,0)),INDEX('Margin Guidence Table'!$A$1:$AG$10000,MATCH(1,('Margin Guidence Table'!$A$1:$A$10000=PW20)*('Margin Guidence Table'!$I$1:$I$10000&lt;=ROUND($PO$3,0))*('Margin Guidence Table'!$J$1:$J$10000&gt;=ROUND($PO$3,0)),0),MATCH("DEFAULT_MDA_MIN_MARGIN_GUIDENCE",'Margin Guidence Table'!$A$1:$AG$1,0))),0))</f>
        <v>0</v>
      </c>
      <c r="QC20" s="784">
        <f t="array" ref="QC20">IF('Customer Inputs'!$W$22="End",0,IFERROR(IF($PY20="SEGMENT",INDEX('Margin Guidence Table'!$A$1:$AG$10000,MATCH(1,('Margin Guidence Table'!$A$1:$A$10000=PW20)*('Margin Guidence Table'!$I$1:$I$10000&lt;=ROUND($PO$3,0))*('Margin Guidence Table'!$J$1:$J$10000&gt;=ROUND($PO$3,0)),0),MATCH("MDA_MEDIAN_MARGIN_GUIDENCE",'Margin Guidence Table'!$A$1:$AG$1,0)),INDEX('Margin Guidence Table'!$A$1:$AG$10000,MATCH(1,('Margin Guidence Table'!$A$1:$A$10000=PW20)*('Margin Guidence Table'!$I$1:$I$10000&lt;=ROUND($PO$3,0))*('Margin Guidence Table'!$J$1:$J$10000&gt;=ROUND($PO$3,0)),0),MATCH("DEFAULT_MDA_MEDIAN_MARGIN_GUIDENCE",'Margin Guidence Table'!$A$1:$AG$1,0))),0))</f>
        <v>0</v>
      </c>
      <c r="QD20" s="784">
        <f t="array" ref="QD20">IF('Customer Inputs'!$W$22="End",0,IFERROR(IF($PY20="SEGMENT",INDEX('Margin Guidence Table'!$A$1:$AG$10000,MATCH(1,('Margin Guidence Table'!$A$1:$A$10000=PW20)*('Margin Guidence Table'!$I$1:$I$10000&lt;=ROUND($PO$3,0))*('Margin Guidence Table'!$J$1:$J$10000&gt;=ROUND($PO$3,0)),0),MATCH("MDA_MAX_MARGIN_GUIDENCE",'Margin Guidence Table'!$A$1:$AG$1,0)),INDEX('Margin Guidence Table'!$A$1:$AG$10000,MATCH(1,('Margin Guidence Table'!$A$1:$A$10000=PW20)*('Margin Guidence Table'!$I$1:$I$10000&lt;=ROUND($PO$3,0))*('Margin Guidence Table'!$J$1:$J$10000&gt;=ROUND($PO$3,0)),0),MATCH("DEFAULT_MDA_MAX_MARGIN_GUIDENCE",'Margin Guidence Table'!$A$1:$AG$1,0))),0))</f>
        <v>0</v>
      </c>
      <c r="QE20" s="784">
        <f t="array" ref="QE20">IF('Customer Inputs'!$W$22="End",0,IFERROR(IF($PY20="SEGMENT",INDEX('Margin Guidence Table'!$A$1:$AG$10000,MATCH(1,('Margin Guidence Table'!$A$1:$A$10000=PW20)*('Margin Guidence Table'!$I$1:$I$10000&lt;=ROUND($PO$3,0))*('Margin Guidence Table'!$J$1:$J$10000&gt;=ROUND($PO$3,0)),0),MATCH("PA_PCT_SALES",'Margin Guidence Table'!$A$1:$AG$1,0)),INDEX('Margin Guidence Table'!$A$1:$AG$10000,MATCH(1,('Margin Guidence Table'!$A$1:$A$10000=PW20)*('Margin Guidence Table'!$I$1:$I$10000&lt;=ROUND($PO$3,0))*('Margin Guidence Table'!$J$1:$J$10000&gt;=ROUND($PO$3,0)),0),MATCH("DEFAULT_PA_PCT_SALES",'Margin Guidence Table'!$A$1:$AG$1,0))),0))</f>
        <v>0</v>
      </c>
      <c r="QF20" s="784">
        <f t="array" ref="QF20">IF('Customer Inputs'!$W$22="End",0,IFERROR(IF($PY20="SEGMENT",INDEX('Margin Guidence Table'!$A$1:$AG$10000,MATCH(1,('Margin Guidence Table'!$A$1:$A$10000=PW20)*('Margin Guidence Table'!$I$1:$I$10000&lt;=ROUND($PO$3,0))*('Margin Guidence Table'!$J$1:$J$10000&gt;=ROUND($PO$3,0)),0),MATCH("SELF_FUND_PCT_SALES",'Margin Guidence Table'!$A$1:$AG$1,0)),INDEX('Margin Guidence Table'!$A$1:$AG$10000,MATCH(1,('Margin Guidence Table'!$A$1:$A$10000=PW20)*('Margin Guidence Table'!$I$1:$I$10000&lt;=ROUND($PO$3,0))*('Margin Guidence Table'!$J$1:$J$10000&gt;=ROUND($PO$3,0)),0),MATCH("DEFAULT_SELF_FUND_PCT_SALES",'Margin Guidence Table'!$A$1:$AG$1,0))),0))</f>
        <v>0</v>
      </c>
      <c r="QG20" s="784">
        <f t="array" ref="QG20">IF('Customer Inputs'!$W$22="End",0,IF($PP$2="Existing",IFERROR(SUMIFS('Existing Customers'!$V:$V,'Existing Customers'!$H:$H,$PN20,'Existing Customers'!$A:$A,$PO$1)/SUMIFS('Existing Customers'!$Q:$Q,'Existing Customers'!$H:$H,$PN20,'Existing Customers'!$A:$A,$PO$1),0),IFERROR(IF($PY20="SEGMENT",INDEX('Margin Guidence Table'!$A$1:$AG$10000,MATCH(1,('Margin Guidence Table'!$A$1:$A$10000=PW20)*('Margin Guidence Table'!$I$1:$I$10000&lt;=ROUND($PO$3,0))*('Margin Guidence Table'!$J$1:$J$10000&gt;=ROUND($PO$3,0)),0),MATCH("CIA_MEDIAN_MARGIN_GUIDENCE",'Margin Guidence Table'!$A$1:$AG$1,0)),INDEX('Margin Guidence Table'!$A$1:$AG$10000,MATCH(1,('Margin Guidence Table'!$A$1:$A$10000=PW20)*('Margin Guidence Table'!$I$1:$I$10000&lt;=ROUND($PO$3,0))*('Margin Guidence Table'!$J$1:$J$10000&gt;=ROUND($PO$3,0)),0),MATCH("DEFAULT_CIA_MEDIAN_MARGIN_GUIDENCE",'Margin Guidence Table'!$A$1:$AG$1,0))),0)))</f>
        <v>0</v>
      </c>
      <c r="QH20" s="784"/>
      <c r="QI20" s="18">
        <f t="array" ref="QI20">IF('Customer Inputs'!$W$23="End",0,IFERROR(IF($QV20="SEGMENT",INDEX('Margin Guidence Table'!$A$1:$AG$10000,MATCH(1,('Margin Guidence Table'!$A$1:$A$10000=$QT20)*('Margin Guidence Table'!$I$1:$I$10000&lt;=ROUND($QL$3,0))*('Margin Guidence Table'!$J$1:$J$10000&gt;=ROUND($QL$3,0)),0),MATCH("PCT_SALES",'Margin Guidence Table'!$A$1:$AG$1,0)),INDEX('Margin Guidence Table'!$A$1:$AG$10000,MATCH(1,('Margin Guidence Table'!$A$1:$A$10000=$QT20)*('Margin Guidence Table'!$I$1:$I$10000&lt;=ROUND($QL$3,0))*('Margin Guidence Table'!$J$1:$J$10000&gt;=ROUND($QL$3,0)),0),MATCH("DEFAULT_PCT_SALES",'Margin Guidence Table'!$A$1:$AG$1,0))),0))</f>
        <v>0</v>
      </c>
      <c r="QJ20" s="1713" t="e">
        <f t="shared" si="66"/>
        <v>#DIV/0!</v>
      </c>
      <c r="QK20" s="99" t="s">
        <v>98</v>
      </c>
      <c r="QL20" s="91">
        <f>IF('Customer Inputs'!$W$23="End",0,IFERROR(IF(AND($QL$2&lt;&gt;"Enter Spend&gt;&gt;&gt;",$QM$2="EXISTING"),SUMIFS('Existing Customers'!$Q:$Q,'Existing Customers'!$A:$A,$QL$1,'Existing Customers'!$H:$H,$QK20)*$QL$4,$QL$3*$QJ20),0))</f>
        <v>0</v>
      </c>
      <c r="QM20" s="86">
        <f>IF('Customer Inputs'!$W$23="End",0,IFERROR(IF(AND($QL$2&lt;&gt;"Enter Spend&gt;&gt;&gt;",$QM$2="EXISTING"),SUMIFS('Existing Customers'!$N:$N,'Existing Customers'!$A:$A,$QL$1,'Existing Customers'!$H:$H,$QK20)*$QL$4,$QL20/$QW20),0))</f>
        <v>0</v>
      </c>
      <c r="QN20" s="92">
        <f>IF('Customer Inputs'!$W$23="End",0,IFERROR(IF(AND($QL$2&lt;&gt;"Enter Spend&gt;&gt;&gt;",$QM$2="EXISTING"),SUMIFS('Existing Customers'!$O:$O,'Existing Customers'!$H:$H,$QK20,'Existing Customers'!$A:$A,$QL$1)*$QL$4,$QM20*$QL$8),0))</f>
        <v>0</v>
      </c>
      <c r="QO20" s="92">
        <f>IF('Customer Inputs'!$W$23="End",0,IFERROR(IF(AND($QL$2&lt;&gt;"Enter Spend&gt;&gt;&gt;",$QM$2="EXISTING"),SUMIFS('Existing Customers'!$P:$P,'Existing Customers'!$A:$A,$QL$1,'Existing Customers'!$H:$H,$QK20)*$QL$4,$QL20/$QX20),0))</f>
        <v>0</v>
      </c>
      <c r="QP20" s="303">
        <f>IF('Customer Inputs'!$W$23="End",0,IFERROR(IF(AND($QL$2&lt;&gt;"Enter Spend&gt;&gt;&gt;",$QM$2="EXISTING"),SUMIFS('Existing Customers'!$V:$V,'Existing Customers'!$H:$H,$QK20,'Existing Customers'!$A:$A,$QL$1)*$QL$4,0),0))</f>
        <v>0</v>
      </c>
      <c r="QQ20" s="93">
        <f>IF('Customer Inputs'!$W$23="End",0,IFERROR(IF(AND($QL$2&lt;&gt;"Enter Spend&gt;&gt;&gt;",$QM$2="EXISTING"),SUMIFS('Existing Customers'!$R:$R,'Existing Customers'!$H:$H,$QK20,'Existing Customers'!$A:$A,$QL$1)*$QL$4,0),0))</f>
        <v>0</v>
      </c>
      <c r="QR20" s="780">
        <f>IF('Customer Inputs'!$W$23="End",0,IFERROR(IF(AND($QL$2&lt;&gt;"Enter Spend&gt;&gt;&gt;",$QM$2="EXISTING"),SUMIFS('Existing Customers'!$S:$S,'Existing Customers'!$H:$H,$QK20,'Existing Customers'!$A:$A,$QL$1)/SUMIFS('Existing Customers'!$Q:$Q,'Existing Customers'!$A:$A,$QL$1,'Existing Customers'!$H:$H,$QK20),RB20),0))</f>
        <v>0</v>
      </c>
      <c r="QS20" s="780">
        <f>IF('Customer Inputs'!$W$23="End",0,IFERROR(IF(AND($QL$2&lt;&gt;"Enter Spend&gt;&gt;&gt;",$QM$2="EXISTING"),SUMIFS('Existing Customers'!$U:$U,'Existing Customers'!$H:$H,$QK20,'Existing Customers'!$A:$A,$QL$1)/SUMIFS('Existing Customers'!$Q:$Q,'Existing Customers'!$A:$A,$QL$1,'Existing Customers'!$H:$H,$QK20),RC20),0))</f>
        <v>0</v>
      </c>
      <c r="QT20" s="783" t="e">
        <f>_xlfn.CONCAT('Customer Inputs'!$AH$23,"_",QK20)</f>
        <v>#N/A</v>
      </c>
      <c r="QU20" s="783">
        <f t="array" ref="QU20">IF('Customer Inputs'!$W$23="End",0,IFERROR(INDEX('Margin Guidence Table'!$A$1:$AG$10000,MATCH(1,('Margin Guidence Table'!$A$1:$A$10000=QT20)*('Margin Guidence Table'!$I$1:$I$10000&lt;=ROUND($QL$3,0))*('Margin Guidence Table'!$J$1:$J$10000&gt;=ROUND($QL$3,0)),0),MATCH("DATA_POINTS",'Margin Guidence Table'!$A$1:$AG$1,0)),0))</f>
        <v>0</v>
      </c>
      <c r="QV20" s="780" t="str">
        <f t="shared" si="67"/>
        <v>DEFAULT</v>
      </c>
      <c r="QW20" s="780">
        <f t="array" ref="QW20">IF('Customer Inputs'!$W$23="End",0,IFERROR(IF($QV20="SEGMENT",INDEX('Margin Guidence Table'!$A$1:$AG$10000,MATCH(1,('Margin Guidence Table'!$A$1:$A$10000=QT20)*('Margin Guidence Table'!$I$1:$I$10000&lt;=ROUND($QL$3,0))*('Margin Guidence Table'!$J$1:$J$10000&gt;=ROUND($QL$3,0)),0),MATCH("SALES_CASE",'Margin Guidence Table'!$A$1:$AG$1,0)),INDEX('Margin Guidence Table'!$A$1:$AG$10000,MATCH(1,('Margin Guidence Table'!$A$1:$A$10000=QT20)*('Margin Guidence Table'!$I$1:$I$10000&lt;=ROUND($QL$3,0))*('Margin Guidence Table'!$J$1:$J$10000&gt;=ROUND($QL$3,0)),0),MATCH("DEFAULT_SALES_CASE",'Margin Guidence Table'!$A$1:$AG$1,0))),0))</f>
        <v>0</v>
      </c>
      <c r="QX20" s="780">
        <f t="array" ref="QX20">IF('Customer Inputs'!$W$23="End",0,IFERROR(IF($QV20="SEGMENT",INDEX('Margin Guidence Table'!$A$1:$AG$10000,MATCH(1,('Margin Guidence Table'!$A$1:$A$10000=QT20)*('Margin Guidence Table'!$I$1:$I$10000&lt;=ROUND($QL$3,0))*('Margin Guidence Table'!$J$1:$J$10000&gt;=ROUND($QL$3,0)),0),MATCH("SALES_LBS",'Margin Guidence Table'!$A$1:$AG$1,0)),INDEX('Margin Guidence Table'!$A$1:$AG$10000,MATCH(1,('Margin Guidence Table'!$A$1:$A$10000=QT20)*('Margin Guidence Table'!$I$1:$I$10000&lt;=ROUND($QL$3,0))*('Margin Guidence Table'!$J$1:$J$10000&gt;=ROUND($QL$3,0)),0),MATCH("DEFAULT_SALES_LBS",'Margin Guidence Table'!$A$1:$AG$1,0))),0))</f>
        <v>0</v>
      </c>
      <c r="QY20" s="784">
        <f t="array" ref="QY20">IF('Customer Inputs'!$W$23="End",0,IFERROR(IF($QV20="SEGMENT",INDEX('Margin Guidence Table'!$A$1:$AG$10000,MATCH(1,('Margin Guidence Table'!$A$1:$A$10000=QT20)*('Margin Guidence Table'!$I$1:$I$10000&lt;=ROUND($QL$3,0))*('Margin Guidence Table'!$J$1:$J$10000&gt;=ROUND($QL$3,0)),0),MATCH("MDA_MIN_MARGIN_GUIDENCE",'Margin Guidence Table'!$A$1:$AG$1,0)),INDEX('Margin Guidence Table'!$A$1:$AG$10000,MATCH(1,('Margin Guidence Table'!$A$1:$A$10000=QT20)*('Margin Guidence Table'!$I$1:$I$10000&lt;=ROUND($QL$3,0))*('Margin Guidence Table'!$J$1:$J$10000&gt;=ROUND($QL$3,0)),0),MATCH("DEFAULT_MDA_MIN_MARGIN_GUIDENCE",'Margin Guidence Table'!$A$1:$AG$1,0))),0))</f>
        <v>0</v>
      </c>
      <c r="QZ20" s="784">
        <f t="array" ref="QZ20">IF('Customer Inputs'!$W$23="End",0,IFERROR(IF($QV20="SEGMENT",INDEX('Margin Guidence Table'!$A$1:$AG$10000,MATCH(1,('Margin Guidence Table'!$A$1:$A$10000=QT20)*('Margin Guidence Table'!$I$1:$I$10000&lt;=ROUND($QL$3,0))*('Margin Guidence Table'!$J$1:$J$10000&gt;=ROUND($QL$3,0)),0),MATCH("MDA_MEDIAN_MARGIN_GUIDENCE",'Margin Guidence Table'!$A$1:$AG$1,0)),INDEX('Margin Guidence Table'!$A$1:$AG$10000,MATCH(1,('Margin Guidence Table'!$A$1:$A$10000=QT20)*('Margin Guidence Table'!$I$1:$I$10000&lt;=ROUND($QL$3,0))*('Margin Guidence Table'!$J$1:$J$10000&gt;=ROUND($QL$3,0)),0),MATCH("DEFAULT_MDA_MEDIAN_MARGIN_GUIDENCE",'Margin Guidence Table'!$A$1:$AG$1,0))),0))</f>
        <v>0</v>
      </c>
      <c r="RA20" s="784">
        <f t="array" ref="RA20">IF('Customer Inputs'!$W$23="End",0,IFERROR(IF($QV20="SEGMENT",INDEX('Margin Guidence Table'!$A$1:$AG$10000,MATCH(1,('Margin Guidence Table'!$A$1:$A$10000=QT20)*('Margin Guidence Table'!$I$1:$I$10000&lt;=ROUND($QL$3,0))*('Margin Guidence Table'!$J$1:$J$10000&gt;=ROUND($QL$3,0)),0),MATCH("MDA_MAX_MARGIN_GUIDENCE",'Margin Guidence Table'!$A$1:$AG$1,0)),INDEX('Margin Guidence Table'!$A$1:$AG$10000,MATCH(1,('Margin Guidence Table'!$A$1:$A$10000=QT20)*('Margin Guidence Table'!$I$1:$I$10000&lt;=ROUND($QL$3,0))*('Margin Guidence Table'!$J$1:$J$10000&gt;=ROUND($QL$3,0)),0),MATCH("DEFAULT_MDA_MAX_MARGIN_GUIDENCE",'Margin Guidence Table'!$A$1:$AG$1,0))),0))</f>
        <v>0</v>
      </c>
      <c r="RB20" s="784">
        <f t="array" ref="RB20">IF('Customer Inputs'!$W$23="End",0,IFERROR(IF($QV20="SEGMENT",INDEX('Margin Guidence Table'!$A$1:$AG$10000,MATCH(1,('Margin Guidence Table'!$A$1:$A$10000=QT20)*('Margin Guidence Table'!$I$1:$I$10000&lt;=ROUND($QL$3,0))*('Margin Guidence Table'!$J$1:$J$10000&gt;=ROUND($QL$3,0)),0),MATCH("PA_PCT_SALES",'Margin Guidence Table'!$A$1:$AG$1,0)),INDEX('Margin Guidence Table'!$A$1:$AG$10000,MATCH(1,('Margin Guidence Table'!$A$1:$A$10000=QT20)*('Margin Guidence Table'!$I$1:$I$10000&lt;=ROUND($QL$3,0))*('Margin Guidence Table'!$J$1:$J$10000&gt;=ROUND($QL$3,0)),0),MATCH("DEFAULT_PA_PCT_SALES",'Margin Guidence Table'!$A$1:$AG$1,0))),0))</f>
        <v>0</v>
      </c>
      <c r="RC20" s="784">
        <f t="array" ref="RC20">IF('Customer Inputs'!$W$23="End",0,IFERROR(IF($QV20="SEGMENT",INDEX('Margin Guidence Table'!$A$1:$AG$10000,MATCH(1,('Margin Guidence Table'!$A$1:$A$10000=QT20)*('Margin Guidence Table'!$I$1:$I$10000&lt;=ROUND($QL$3,0))*('Margin Guidence Table'!$J$1:$J$10000&gt;=ROUND($QL$3,0)),0),MATCH("SELF_FUND_PCT_SALES",'Margin Guidence Table'!$A$1:$AG$1,0)),INDEX('Margin Guidence Table'!$A$1:$AG$10000,MATCH(1,('Margin Guidence Table'!$A$1:$A$10000=QT20)*('Margin Guidence Table'!$I$1:$I$10000&lt;=ROUND($QL$3,0))*('Margin Guidence Table'!$J$1:$J$10000&gt;=ROUND($QL$3,0)),0),MATCH("DEFAULT_SELF_FUND_PCT_SALES",'Margin Guidence Table'!$A$1:$AG$1,0))),0))</f>
        <v>0</v>
      </c>
      <c r="RD20" s="784">
        <f t="array" ref="RD20">IF('Customer Inputs'!$W$23="End",0,IF($QM$2="Existing",IFERROR(SUMIFS('Existing Customers'!$V:$V,'Existing Customers'!$H:$H,$QK20,'Existing Customers'!$A:$A,$QL$1)/SUMIFS('Existing Customers'!$Q:$Q,'Existing Customers'!$H:$H,$QK20,'Existing Customers'!$A:$A,$QL$1),0),IFERROR(IF($QV20="SEGMENT",INDEX('Margin Guidence Table'!$A$1:$AG$10000,MATCH(1,('Margin Guidence Table'!$A$1:$A$10000=QT20)*('Margin Guidence Table'!$I$1:$I$10000&lt;=ROUND($QL$3,0))*('Margin Guidence Table'!$J$1:$J$10000&gt;=ROUND($QL$3,0)),0),MATCH("CIA_MEDIAN_MARGIN_GUIDENCE",'Margin Guidence Table'!$A$1:$AG$1,0)),INDEX('Margin Guidence Table'!$A$1:$AG$10000,MATCH(1,('Margin Guidence Table'!$A$1:$A$10000=QT20)*('Margin Guidence Table'!$I$1:$I$10000&lt;=ROUND($QL$3,0))*('Margin Guidence Table'!$J$1:$J$10000&gt;=ROUND($QL$3,0)),0),MATCH("DEFAULT_CIA_MEDIAN_MARGIN_GUIDENCE",'Margin Guidence Table'!$A$1:$AG$1,0))),0)))</f>
        <v>0</v>
      </c>
      <c r="RE20" s="784"/>
      <c r="RF20" s="18">
        <f t="array" ref="RF20">IF('Customer Inputs'!$W$24="End",0,IFERROR(IF($RS20="SEGMENT",INDEX('Margin Guidence Table'!$A$1:$AG$10000,MATCH(1,('Margin Guidence Table'!$A$1:$A$10000=$RQ20)*('Margin Guidence Table'!$I$1:$I$10000&lt;=ROUND($RI$3,0))*('Margin Guidence Table'!$J$1:$J$10000&gt;=ROUND($RI$3,0)),0),MATCH("PCT_SALES",'Margin Guidence Table'!$A$1:$AG$1,0)),INDEX('Margin Guidence Table'!$A$1:$AG$10000,MATCH(1,('Margin Guidence Table'!$A$1:$A$10000=$RQ20)*('Margin Guidence Table'!$I$1:$I$10000&lt;=ROUND($RI$3,0))*('Margin Guidence Table'!$J$1:$J$10000&gt;=ROUND($RI$3,0)),0),MATCH("DEFAULT_PCT_SALES",'Margin Guidence Table'!$A$1:$AG$1,0))),0))</f>
        <v>0</v>
      </c>
      <c r="RG20" s="1713" t="e">
        <f t="shared" si="68"/>
        <v>#DIV/0!</v>
      </c>
      <c r="RH20" s="99" t="s">
        <v>98</v>
      </c>
      <c r="RI20" s="91">
        <f>IF('Customer Inputs'!$W$24="End",0,IFERROR(IF(AND($RI$2&lt;&gt;"Enter Spend&gt;&gt;&gt;",$RJ$2="EXISTING"),SUMIFS('Existing Customers'!$Q:$Q,'Existing Customers'!$A:$A,$RI$1,'Existing Customers'!$H:$H,$RH20)*$RI$4,$RI$3*$RG20),0))</f>
        <v>0</v>
      </c>
      <c r="RJ20" s="86">
        <f>IF('Customer Inputs'!$W$24="End",0,IFERROR(IF(AND($RI$2&lt;&gt;"Enter Spend&gt;&gt;&gt;",$RJ$2="EXISTING"),SUMIFS('Existing Customers'!$N:$N,'Existing Customers'!$A:$A,$RI$1,'Existing Customers'!$H:$H,$RH20)*$RI$4,$RI20/$RT20),0))</f>
        <v>0</v>
      </c>
      <c r="RK20" s="92">
        <f>IF('Customer Inputs'!$W$24="End",0,IFERROR(IF(AND($RI$2&lt;&gt;"Enter Spend&gt;&gt;&gt;",$RJ$2="EXISTING"),SUMIFS('Existing Customers'!$O:$O,'Existing Customers'!$H:$H,$RH20,'Existing Customers'!$A:$A,$RI$1)*$RI$4,$RJ20*$RI$8),0))</f>
        <v>0</v>
      </c>
      <c r="RL20" s="92">
        <f>IF('Customer Inputs'!$W$24="End",0,IFERROR(IF(AND($RI$2&lt;&gt;"Enter Spend&gt;&gt;&gt;",$RJ$2="EXISTING"),SUMIFS('Existing Customers'!$P:$P,'Existing Customers'!$A:$A,$RI$1,'Existing Customers'!$H:$H,$RH20)*$RI$4,$RI20/$RU20),0))</f>
        <v>0</v>
      </c>
      <c r="RM20" s="303">
        <f>IF('Customer Inputs'!$W$24="End",0,IFERROR(IF(AND($RI$2&lt;&gt;"Enter Spend&gt;&gt;&gt;",$RJ$2="EXISTING"),SUMIFS('Existing Customers'!$V:$V,'Existing Customers'!$H:$H,$RH20,'Existing Customers'!$A:$A,$RI$1)*$RI$4,0),0))</f>
        <v>0</v>
      </c>
      <c r="RN20" s="93">
        <f>IF('Customer Inputs'!$W$24="End",0,IFERROR(IF(AND($RI$2&lt;&gt;"Enter Spend&gt;&gt;&gt;",$RJ$2="EXISTING"),SUMIFS('Existing Customers'!$R:$R,'Existing Customers'!$H:$H,$RH20,'Existing Customers'!$A:$A,$RI$1)*$RI$4,0),0))</f>
        <v>0</v>
      </c>
      <c r="RO20" s="780">
        <f>IF('Customer Inputs'!$W$24="End",0,IFERROR(IF(AND($RI$2&lt;&gt;"Enter Spend&gt;&gt;&gt;",$RJ$2="EXISTING"),SUMIFS('Existing Customers'!$S:$S,'Existing Customers'!$H:$H,$RH20,'Existing Customers'!$A:$A,$RI$1)/SUMIFS('Existing Customers'!$Q:$Q,'Existing Customers'!$A:$A,$RI$1,'Existing Customers'!$H:$H,$RH20),RY20),0))</f>
        <v>0</v>
      </c>
      <c r="RP20" s="780">
        <f>IF('Customer Inputs'!$W$24="End",0,IFERROR(IF(AND($RI$2&lt;&gt;"Enter Spend&gt;&gt;&gt;",$RJ$2="EXISTING"),SUMIFS('Existing Customers'!$U:$U,'Existing Customers'!$H:$H,$RH20,'Existing Customers'!$A:$A,$RI$1)/SUMIFS('Existing Customers'!$Q:$Q,'Existing Customers'!$A:$A,$RI$1,'Existing Customers'!$H:$H,$RH20),RZ20),0))</f>
        <v>0</v>
      </c>
      <c r="RQ20" s="783" t="e">
        <f>_xlfn.CONCAT('Customer Inputs'!$AH$24,"_",RH20)</f>
        <v>#N/A</v>
      </c>
      <c r="RR20" s="783">
        <f t="array" ref="RR20">IF('Customer Inputs'!$W$24="End",0,IFERROR(INDEX('Margin Guidence Table'!$A$1:$AG$10000,MATCH(1,('Margin Guidence Table'!$A$1:$A$10000=RQ20)*('Margin Guidence Table'!$I$1:$I$10000&lt;=ROUND($RI$3,0))*('Margin Guidence Table'!$J$1:$J$10000&gt;=ROUND($RI$3,0)),0),MATCH("DATA_POINTS",'Margin Guidence Table'!$A$1:$AG$1,0)),0))</f>
        <v>0</v>
      </c>
      <c r="RS20" s="780" t="str">
        <f t="shared" si="69"/>
        <v>DEFAULT</v>
      </c>
      <c r="RT20" s="780">
        <f t="array" ref="RT20">IF('Customer Inputs'!$W$24="End",0,IFERROR(IF($RS20="SEGMENT",INDEX('Margin Guidence Table'!$A$1:$AG$10000,MATCH(1,('Margin Guidence Table'!$A$1:$A$10000=RQ20)*('Margin Guidence Table'!$I$1:$I$10000&lt;=ROUND($RI$3,0))*('Margin Guidence Table'!$J$1:$J$10000&gt;=ROUND($RI$3,0)),0),MATCH("SALES_CASE",'Margin Guidence Table'!$A$1:$AG$1,0)),INDEX('Margin Guidence Table'!$A$1:$AG$10000,MATCH(1,('Margin Guidence Table'!$A$1:$A$10000=RQ20)*('Margin Guidence Table'!$I$1:$I$10000&lt;=ROUND($RI$3,0))*('Margin Guidence Table'!$J$1:$J$10000&gt;=ROUND($RI$3,0)),0),MATCH("DEFAULT_SALES_CASE",'Margin Guidence Table'!$A$1:$AG$1,0))),0))</f>
        <v>0</v>
      </c>
      <c r="RU20" s="780">
        <f t="array" ref="RU20">IF('Customer Inputs'!$W$24="End",0,IFERROR(IF($RS20="SEGMENT",INDEX('Margin Guidence Table'!$A$1:$AG$10000,MATCH(1,('Margin Guidence Table'!$A$1:$A$10000=RQ20)*('Margin Guidence Table'!$I$1:$I$10000&lt;=ROUND($RI$3,0))*('Margin Guidence Table'!$J$1:$J$10000&gt;=ROUND($RI$3,0)),0),MATCH("SALES_LBS",'Margin Guidence Table'!$A$1:$AG$1,0)),INDEX('Margin Guidence Table'!$A$1:$AG$10000,MATCH(1,('Margin Guidence Table'!$A$1:$A$10000=RQ20)*('Margin Guidence Table'!$I$1:$I$10000&lt;=ROUND($RI$3,0))*('Margin Guidence Table'!$J$1:$J$10000&gt;=ROUND($RI$3,0)),0),MATCH("DEFAULT_SALES_LBS",'Margin Guidence Table'!$A$1:$AG$1,0))),0))</f>
        <v>0</v>
      </c>
      <c r="RV20" s="784">
        <f t="array" ref="RV20">IF('Customer Inputs'!$W$24="End",0,IFERROR(IF($RS20="SEGMENT",INDEX('Margin Guidence Table'!$A$1:$AG$10000,MATCH(1,('Margin Guidence Table'!$A$1:$A$10000=RQ20)*('Margin Guidence Table'!$I$1:$I$10000&lt;=ROUND($RI$3,0))*('Margin Guidence Table'!$J$1:$J$10000&gt;=ROUND($RI$3,0)),0),MATCH("MDA_MIN_MARGIN_GUIDENCE",'Margin Guidence Table'!$A$1:$AG$1,0)),INDEX('Margin Guidence Table'!$A$1:$AG$10000,MATCH(1,('Margin Guidence Table'!$A$1:$A$10000=RQ20)*('Margin Guidence Table'!$I$1:$I$10000&lt;=ROUND($RI$3,0))*('Margin Guidence Table'!$J$1:$J$10000&gt;=ROUND($RI$3,0)),0),MATCH("DEFAULT_MDA_MIN_MARGIN_GUIDENCE",'Margin Guidence Table'!$A$1:$AG$1,0))),0))</f>
        <v>0</v>
      </c>
      <c r="RW20" s="784">
        <f t="array" ref="RW20">IF('Customer Inputs'!$W$24="End",0,IFERROR(IF($RS20="SEGMENT",INDEX('Margin Guidence Table'!$A$1:$AG$10000,MATCH(1,('Margin Guidence Table'!$A$1:$A$10000=RQ20)*('Margin Guidence Table'!$I$1:$I$10000&lt;=ROUND($RI$3,0))*('Margin Guidence Table'!$J$1:$J$10000&gt;=ROUND($RI$3,0)),0),MATCH("MDA_MEDIAN_MARGIN_GUIDENCE",'Margin Guidence Table'!$A$1:$AG$1,0)),INDEX('Margin Guidence Table'!$A$1:$AG$10000,MATCH(1,('Margin Guidence Table'!$A$1:$A$10000=RQ20)*('Margin Guidence Table'!$I$1:$I$10000&lt;=ROUND($RI$3,0))*('Margin Guidence Table'!$J$1:$J$10000&gt;=ROUND($RI$3,0)),0),MATCH("DEFAULT_MDA_MEDIAN_MARGIN_GUIDENCE",'Margin Guidence Table'!$A$1:$AG$1,0))),0))</f>
        <v>0</v>
      </c>
      <c r="RX20" s="784">
        <f t="array" ref="RX20">IF('Customer Inputs'!$W$24="End",0,IFERROR(IF($RS20="SEGMENT",INDEX('Margin Guidence Table'!$A$1:$AG$10000,MATCH(1,('Margin Guidence Table'!$A$1:$A$10000=RQ20)*('Margin Guidence Table'!$I$1:$I$10000&lt;=ROUND($RI$3,0))*('Margin Guidence Table'!$J$1:$J$10000&gt;=ROUND($RI$3,0)),0),MATCH("MDA_MAX_MARGIN_GUIDENCE",'Margin Guidence Table'!$A$1:$AG$1,0)),INDEX('Margin Guidence Table'!$A$1:$AG$10000,MATCH(1,('Margin Guidence Table'!$A$1:$A$10000=RQ20)*('Margin Guidence Table'!$I$1:$I$10000&lt;=ROUND($RI$3,0))*('Margin Guidence Table'!$J$1:$J$10000&gt;=ROUND($RI$3,0)),0),MATCH("DEFAULT_MDA_MAX_MARGIN_GUIDENCE",'Margin Guidence Table'!$A$1:$AG$1,0))),0))</f>
        <v>0</v>
      </c>
      <c r="RY20" s="784">
        <f t="array" ref="RY20">IF('Customer Inputs'!$W$24="End",0,IFERROR(IF($RS20="SEGMENT",INDEX('Margin Guidence Table'!$A$1:$AG$10000,MATCH(1,('Margin Guidence Table'!$A$1:$A$10000=RQ20)*('Margin Guidence Table'!$I$1:$I$10000&lt;=ROUND($RI$3,0))*('Margin Guidence Table'!$J$1:$J$10000&gt;=ROUND($RI$3,0)),0),MATCH("PA_PCT_SALES",'Margin Guidence Table'!$A$1:$AG$1,0)),INDEX('Margin Guidence Table'!$A$1:$AG$10000,MATCH(1,('Margin Guidence Table'!$A$1:$A$10000=RQ20)*('Margin Guidence Table'!$I$1:$I$10000&lt;=ROUND($RI$3,0))*('Margin Guidence Table'!$J$1:$J$10000&gt;=ROUND($RI$3,0)),0),MATCH("DEFAULT_PA_PCT_SALES",'Margin Guidence Table'!$A$1:$AG$1,0))),0))</f>
        <v>0</v>
      </c>
      <c r="RZ20" s="784">
        <f t="array" ref="RZ20">IF('Customer Inputs'!$W$24="End",0,IFERROR(IF($RS20="SEGMENT",INDEX('Margin Guidence Table'!$A$1:$AG$10000,MATCH(1,('Margin Guidence Table'!$A$1:$A$10000=RQ20)*('Margin Guidence Table'!$I$1:$I$10000&lt;=ROUND($RI$3,0))*('Margin Guidence Table'!$J$1:$J$10000&gt;=ROUND($RI$3,0)),0),MATCH("SELF_FUND_PCT_SALES",'Margin Guidence Table'!$A$1:$AG$1,0)),INDEX('Margin Guidence Table'!$A$1:$AG$10000,MATCH(1,('Margin Guidence Table'!$A$1:$A$10000=RQ20)*('Margin Guidence Table'!$I$1:$I$10000&lt;=ROUND($RI$3,0))*('Margin Guidence Table'!$J$1:$J$10000&gt;=ROUND($RI$3,0)),0),MATCH("DEFAULT_SELF_FUND_PCT_SALES",'Margin Guidence Table'!$A$1:$AG$1,0))),0))</f>
        <v>0</v>
      </c>
      <c r="SA20" s="784">
        <f t="array" ref="SA20">IF('Customer Inputs'!$W$24="End",0,IF($RJ$2="Existing",IFERROR(SUMIFS('Existing Customers'!$V:$V,'Existing Customers'!$H:$H,$RH20,'Existing Customers'!$A:$A,$RI$1)/SUMIFS('Existing Customers'!$Q:$Q,'Existing Customers'!$H:$H,$RH20,'Existing Customers'!$A:$A,$RI$1),0),IFERROR(IF($RS20="SEGMENT",INDEX('Margin Guidence Table'!$A$1:$AG$10000,MATCH(1,('Margin Guidence Table'!$A$1:$A$10000=RQ20)*('Margin Guidence Table'!$I$1:$I$10000&lt;=ROUND($RI$3,0))*('Margin Guidence Table'!$J$1:$J$10000&gt;=ROUND($RI$3,0)),0),MATCH("CIA_MEDIAN_MARGIN_GUIDENCE",'Margin Guidence Table'!$A$1:$AG$1,0)),INDEX('Margin Guidence Table'!$A$1:$AG$10000,MATCH(1,('Margin Guidence Table'!$A$1:$A$10000=RQ20)*('Margin Guidence Table'!$I$1:$I$10000&lt;=ROUND($RI$3,0))*('Margin Guidence Table'!$J$1:$J$10000&gt;=ROUND($RI$3,0)),0),MATCH("DEFAULT_CIA_MEDIAN_MARGIN_GUIDENCE",'Margin Guidence Table'!$A$1:$AG$1,0))),0)))</f>
        <v>0</v>
      </c>
      <c r="SB20" s="784"/>
      <c r="SC20" s="18">
        <f t="array" ref="SC20">IF('Customer Inputs'!$W$25="End",0,IFERROR(IF($SP20="SEGMENT",INDEX('Margin Guidence Table'!$A$1:$AG$10000,MATCH(1,('Margin Guidence Table'!$A$1:$A$10000=$SN20)*('Margin Guidence Table'!$I$1:$I$10000&lt;=ROUND($SF$3,0))*('Margin Guidence Table'!$J$1:$J$10000&gt;=ROUND($SF$3,0)),0),MATCH("PCT_SALES",'Margin Guidence Table'!$A$1:$AG$1,0)),INDEX('Margin Guidence Table'!$A$1:$AG$10000,MATCH(1,('Margin Guidence Table'!$A$1:$A$10000=$SN20)*('Margin Guidence Table'!$I$1:$I$10000&lt;=ROUND($SF$3,0))*('Margin Guidence Table'!$J$1:$J$10000&gt;=ROUND($SF$3,0)),0),MATCH("DEFAULT_PCT_SALES",'Margin Guidence Table'!$A$1:$AG$1,0))),0))</f>
        <v>0</v>
      </c>
      <c r="SD20" s="1713" t="e">
        <f t="shared" si="70"/>
        <v>#DIV/0!</v>
      </c>
      <c r="SE20" s="99" t="s">
        <v>98</v>
      </c>
      <c r="SF20" s="91">
        <f>IF('Customer Inputs'!$W$25="End",0,IFERROR(IF(AND($SF$2&lt;&gt;"Enter Spend&gt;&gt;&gt;",$SG$2="EXISTING"),SUMIFS('Existing Customers'!$Q:$Q,'Existing Customers'!$A:$A,$SF$1,'Existing Customers'!$H:$H,$SE20)*$SF$4,$SF$3*$SD20),0))</f>
        <v>0</v>
      </c>
      <c r="SG20" s="86">
        <f>IF('Customer Inputs'!$W$25="End",0,IFERROR(IF(AND($SF$2&lt;&gt;"Enter Spend&gt;&gt;&gt;",$SG$2="EXISTING"),SUMIFS('Existing Customers'!$N:$N,'Existing Customers'!$A:$A,$SF$1,'Existing Customers'!$H:$H,$SE20)*$SF$4,$SF20/$SQ20),0))</f>
        <v>0</v>
      </c>
      <c r="SH20" s="92">
        <f>IF('Customer Inputs'!$W$25="End",0,IFERROR(IF(AND($SF$2&lt;&gt;"Enter Spend&gt;&gt;&gt;",$SG$2="EXISTING"),SUMIFS('Existing Customers'!$O:$O,'Existing Customers'!$H:$H,$SE20,'Existing Customers'!$A:$A,$SF$1)*$SF$4,$SG20*$SF$8),0))</f>
        <v>0</v>
      </c>
      <c r="SI20" s="92">
        <f>IF('Customer Inputs'!$W$25="End",0,IFERROR(IF(AND($SF$2&lt;&gt;"Enter Spend&gt;&gt;&gt;",$SG$2="EXISTING"),SUMIFS('Existing Customers'!$P:$P,'Existing Customers'!$A:$A,$SF$1,'Existing Customers'!$H:$H,$SE20)*$SF$4,$SF20/$SR20),0))</f>
        <v>0</v>
      </c>
      <c r="SJ20" s="303">
        <f>IF('Customer Inputs'!$W$25="End",0,IFERROR(IF(AND($SF$2&lt;&gt;"Enter Spend&gt;&gt;&gt;",$SG$2="EXISTING"),SUMIFS('Existing Customers'!$V:$V,'Existing Customers'!$H:$H,$SE20,'Existing Customers'!$A:$A,$SF$1)*$SF$4,0),0))</f>
        <v>0</v>
      </c>
      <c r="SK20" s="93">
        <f>IF('Customer Inputs'!$W$25="End",0,IFERROR(IF(AND($SF$2&lt;&gt;"Enter Spend&gt;&gt;&gt;",$SG$2="EXISTING"),SUMIFS('Existing Customers'!$R:$R,'Existing Customers'!$H:$H,$SE20,'Existing Customers'!$A:$A,$SF$1)*$SF$4,0),0))</f>
        <v>0</v>
      </c>
      <c r="SL20" s="780">
        <f>IF('Customer Inputs'!$W$25="End",0,IFERROR(IF(AND($SF$2&lt;&gt;"Enter Spend&gt;&gt;&gt;",$SG$2="EXISTING"),SUMIFS('Existing Customers'!$S:$S,'Existing Customers'!$H:$H,$SE20,'Existing Customers'!$A:$A,$SF$1)/SUMIFS('Existing Customers'!$Q:$Q,'Existing Customers'!$A:$A,$SF$1,'Existing Customers'!$H:$H,$SE20),SV20),0))</f>
        <v>0</v>
      </c>
      <c r="SM20" s="780">
        <f>IF('Customer Inputs'!$W$25="End",0,IFERROR(IF(AND($SF$2&lt;&gt;"Enter Spend&gt;&gt;&gt;",$SG$2="EXISTING"),SUMIFS('Existing Customers'!$U:$U,'Existing Customers'!$H:$H,$SE20,'Existing Customers'!$A:$A,$SF$1)/SUMIFS('Existing Customers'!$Q:$Q,'Existing Customers'!$A:$A,$SF$1,'Existing Customers'!$H:$H,$SE20),SW20),0))</f>
        <v>0</v>
      </c>
      <c r="SN20" s="783" t="e">
        <f>_xlfn.CONCAT('Customer Inputs'!$AH$25,"_",SE20)</f>
        <v>#N/A</v>
      </c>
      <c r="SO20" s="783">
        <f t="array" ref="SO20">IF('Customer Inputs'!$W$25="End",0,IFERROR(INDEX('Margin Guidence Table'!$A$1:$AG$10000,MATCH(1,('Margin Guidence Table'!$A$1:$A$10000=SN20)*('Margin Guidence Table'!$I$1:$I$10000&lt;=ROUND($SF$3,0))*('Margin Guidence Table'!$J$1:$J$10000&gt;=ROUND($SF$3,0)),0),MATCH("DATA_POINTS",'Margin Guidence Table'!$A$1:$AG$1,0)),0))</f>
        <v>0</v>
      </c>
      <c r="SP20" s="780" t="str">
        <f t="shared" si="71"/>
        <v>DEFAULT</v>
      </c>
      <c r="SQ20" s="780">
        <f t="array" ref="SQ20">IF('Customer Inputs'!$W$25="End",0,IFERROR(IF($SP20="SEGMENT",INDEX('Margin Guidence Table'!$A$1:$AG$10000,MATCH(1,('Margin Guidence Table'!$A$1:$A$10000=SN20)*('Margin Guidence Table'!$I$1:$I$10000&lt;=ROUND($SF$3,0))*('Margin Guidence Table'!$J$1:$J$10000&gt;=ROUND($SF$3,0)),0),MATCH("SALES_CASE",'Margin Guidence Table'!$A$1:$AG$1,0)),INDEX('Margin Guidence Table'!$A$1:$AG$10000,MATCH(1,('Margin Guidence Table'!$A$1:$A$10000=SN20)*('Margin Guidence Table'!$I$1:$I$10000&lt;=ROUND($SF$3,0))*('Margin Guidence Table'!$J$1:$J$10000&gt;=ROUND($SF$3,0)),0),MATCH("DEFAULT_SALES_CASE",'Margin Guidence Table'!$A$1:$AG$1,0))),0))</f>
        <v>0</v>
      </c>
      <c r="SR20" s="780">
        <f t="array" ref="SR20">IF('Customer Inputs'!$W$25="End",0,IFERROR(IF($SP20="SEGMENT",INDEX('Margin Guidence Table'!$A$1:$AG$10000,MATCH(1,('Margin Guidence Table'!$A$1:$A$10000=SN20)*('Margin Guidence Table'!$I$1:$I$10000&lt;=ROUND($SF$3,0))*('Margin Guidence Table'!$J$1:$J$10000&gt;=ROUND($SF$3,0)),0),MATCH("SALES_LBS",'Margin Guidence Table'!$A$1:$AG$1,0)),INDEX('Margin Guidence Table'!$A$1:$AG$10000,MATCH(1,('Margin Guidence Table'!$A$1:$A$10000=SN20)*('Margin Guidence Table'!$I$1:$I$10000&lt;=ROUND($SF$3,0))*('Margin Guidence Table'!$J$1:$J$10000&gt;=ROUND($SF$3,0)),0),MATCH("DEFAULT_SALES_LBS",'Margin Guidence Table'!$A$1:$AG$1,0))),0))</f>
        <v>0</v>
      </c>
      <c r="SS20" s="784">
        <f t="array" ref="SS20">IF('Customer Inputs'!$W$25="End",0,IFERROR(IF($SP20="SEGMENT",INDEX('Margin Guidence Table'!$A$1:$AG$10000,MATCH(1,('Margin Guidence Table'!$A$1:$A$10000=SN20)*('Margin Guidence Table'!$I$1:$I$10000&lt;=ROUND($SF$3,0))*('Margin Guidence Table'!$J$1:$J$10000&gt;=ROUND($SF$3,0)),0),MATCH("MDA_MIN_MARGIN_GUIDENCE",'Margin Guidence Table'!$A$1:$AG$1,0)),INDEX('Margin Guidence Table'!$A$1:$AG$10000,MATCH(1,('Margin Guidence Table'!$A$1:$A$10000=SN20)*('Margin Guidence Table'!$I$1:$I$10000&lt;=ROUND($SF$3,0))*('Margin Guidence Table'!$J$1:$J$10000&gt;=ROUND($SF$3,0)),0),MATCH("DEFAULT_MDA_MIN_MARGIN_GUIDENCE",'Margin Guidence Table'!$A$1:$AG$1,0))),0))</f>
        <v>0</v>
      </c>
      <c r="ST20" s="784">
        <f t="array" ref="ST20">IF('Customer Inputs'!$W$25="End",0,IFERROR(IF($SP20="SEGMENT",INDEX('Margin Guidence Table'!$A$1:$AG$10000,MATCH(1,('Margin Guidence Table'!$A$1:$A$10000=SN20)*('Margin Guidence Table'!$I$1:$I$10000&lt;=ROUND($SF$3,0))*('Margin Guidence Table'!$J$1:$J$10000&gt;=ROUND($SF$3,0)),0),MATCH("MDA_MEDIAN_MARGIN_GUIDENCE",'Margin Guidence Table'!$A$1:$AG$1,0)),INDEX('Margin Guidence Table'!$A$1:$AG$10000,MATCH(1,('Margin Guidence Table'!$A$1:$A$10000=SN20)*('Margin Guidence Table'!$I$1:$I$10000&lt;=ROUND($SF$3,0))*('Margin Guidence Table'!$J$1:$J$10000&gt;=ROUND($SF$3,0)),0),MATCH("DEFAULT_MDA_MEDIAN_MARGIN_GUIDENCE",'Margin Guidence Table'!$A$1:$AG$1,0))),0))</f>
        <v>0</v>
      </c>
      <c r="SU20" s="784">
        <f t="array" ref="SU20">IF('Customer Inputs'!$W$25="End",0,IFERROR(IF($SP20="SEGMENT",INDEX('Margin Guidence Table'!$A$1:$AG$10000,MATCH(1,('Margin Guidence Table'!$A$1:$A$10000=SN20)*('Margin Guidence Table'!$I$1:$I$10000&lt;=ROUND($SF$3,0))*('Margin Guidence Table'!$J$1:$J$10000&gt;=ROUND($SF$3,0)),0),MATCH("MDA_MAX_MARGIN_GUIDENCE",'Margin Guidence Table'!$A$1:$AG$1,0)),INDEX('Margin Guidence Table'!$A$1:$AG$10000,MATCH(1,('Margin Guidence Table'!$A$1:$A$10000=SN20)*('Margin Guidence Table'!$I$1:$I$10000&lt;=ROUND($SF$3,0))*('Margin Guidence Table'!$J$1:$J$10000&gt;=ROUND($SF$3,0)),0),MATCH("DEFAULT_MDA_MAX_MARGIN_GUIDENCE",'Margin Guidence Table'!$A$1:$AG$1,0))),0))</f>
        <v>0</v>
      </c>
      <c r="SV20" s="784">
        <f t="array" ref="SV20">IF('Customer Inputs'!$W$25="End",0,IFERROR(IF($SP20="SEGMENT",INDEX('Margin Guidence Table'!$A$1:$AG$10000,MATCH(1,('Margin Guidence Table'!$A$1:$A$10000=SN20)*('Margin Guidence Table'!$I$1:$I$10000&lt;=ROUND($SF$3,0))*('Margin Guidence Table'!$J$1:$J$10000&gt;=ROUND($SF$3,0)),0),MATCH("PA_PCT_SALES",'Margin Guidence Table'!$A$1:$AG$1,0)),INDEX('Margin Guidence Table'!$A$1:$AG$10000,MATCH(1,('Margin Guidence Table'!$A$1:$A$10000=SN20)*('Margin Guidence Table'!$I$1:$I$10000&lt;=ROUND($SF$3,0))*('Margin Guidence Table'!$J$1:$J$10000&gt;=ROUND($SF$3,0)),0),MATCH("DEFAULT_PA_PCT_SALES",'Margin Guidence Table'!$A$1:$AG$1,0))),0))</f>
        <v>0</v>
      </c>
      <c r="SW20" s="784">
        <f t="array" ref="SW20">IF('Customer Inputs'!$W$25="End",0,IFERROR(IF($SP20="SEGMENT",INDEX('Margin Guidence Table'!$A$1:$AG$10000,MATCH(1,('Margin Guidence Table'!$A$1:$A$10000=SN20)*('Margin Guidence Table'!$I$1:$I$10000&lt;=ROUND($SF$3,0))*('Margin Guidence Table'!$J$1:$J$10000&gt;=ROUND($SF$3,0)),0),MATCH("SELF_FUND_PCT_SALES",'Margin Guidence Table'!$A$1:$AG$1,0)),INDEX('Margin Guidence Table'!$A$1:$AG$10000,MATCH(1,('Margin Guidence Table'!$A$1:$A$10000=SN20)*('Margin Guidence Table'!$I$1:$I$10000&lt;=ROUND($SF$3,0))*('Margin Guidence Table'!$J$1:$J$10000&gt;=ROUND($SF$3,0)),0),MATCH("DEFAULT_SELF_FUND_PCT_SALES",'Margin Guidence Table'!$A$1:$AG$1,0))),0))</f>
        <v>0</v>
      </c>
      <c r="SX20" s="784">
        <f t="array" ref="SX20">IF('Customer Inputs'!$W$25="End",0,IF($SG$2="Existing",IFERROR(SUMIFS('Existing Customers'!$V:$V,'Existing Customers'!$H:$H,$SE20,'Existing Customers'!$A:$A,$SF$1)/SUMIFS('Existing Customers'!$Q:$Q,'Existing Customers'!$H:$H,$SE20,'Existing Customers'!$A:$A,$SF$1),0),IFERROR(IF($SP20="SEGMENT",INDEX('Margin Guidence Table'!$A$1:$AG$10000,MATCH(1,('Margin Guidence Table'!$A$1:$A$10000=SN20)*('Margin Guidence Table'!$I$1:$I$10000&lt;=ROUND($SF$3,0))*('Margin Guidence Table'!$J$1:$J$10000&gt;=ROUND($SF$3,0)),0),MATCH("CIA_MEDIAN_MARGIN_GUIDENCE",'Margin Guidence Table'!$A$1:$AG$1,0)),INDEX('Margin Guidence Table'!$A$1:$AG$10000,MATCH(1,('Margin Guidence Table'!$A$1:$A$10000=SN20)*('Margin Guidence Table'!$I$1:$I$10000&lt;=ROUND($SF$3,0))*('Margin Guidence Table'!$J$1:$J$10000&gt;=ROUND($SF$3,0)),0),MATCH("DEFAULT_CIA_MEDIAN_MARGIN_GUIDENCE",'Margin Guidence Table'!$A$1:$AG$1,0))),0)))</f>
        <v>0</v>
      </c>
      <c r="SY20" s="784"/>
      <c r="SZ20" s="1705"/>
      <c r="TA20" s="99" t="s">
        <v>98</v>
      </c>
      <c r="TB20" s="94"/>
      <c r="TC20" s="86"/>
      <c r="TD20" s="86"/>
      <c r="TE20" s="86"/>
      <c r="TF20" s="111"/>
      <c r="TG20" s="95"/>
      <c r="TH20" s="126"/>
      <c r="TI20" s="1705"/>
      <c r="TJ20" s="99" t="s">
        <v>98</v>
      </c>
      <c r="TK20" s="94"/>
      <c r="TL20" s="86"/>
      <c r="TM20" s="86"/>
      <c r="TN20" s="86"/>
      <c r="TO20" s="111"/>
      <c r="TP20" s="95"/>
      <c r="TQ20" s="1705"/>
      <c r="TR20" s="1705"/>
    </row>
    <row r="21" spans="1:538" ht="15.75" thickBot="1" x14ac:dyDescent="0.3">
      <c r="A21" s="1705"/>
      <c r="B21" s="99" t="s">
        <v>95</v>
      </c>
      <c r="C21" s="346">
        <f t="shared" si="0"/>
        <v>0</v>
      </c>
      <c r="D21" s="358">
        <f t="shared" si="1"/>
        <v>0</v>
      </c>
      <c r="E21" s="358">
        <f t="shared" si="2"/>
        <v>0</v>
      </c>
      <c r="F21" s="358">
        <f t="shared" si="3"/>
        <v>0</v>
      </c>
      <c r="G21" s="1428">
        <f t="shared" si="4"/>
        <v>0</v>
      </c>
      <c r="H21" s="1428">
        <f t="shared" si="5"/>
        <v>0</v>
      </c>
      <c r="I21" s="359">
        <f t="shared" si="6"/>
        <v>0</v>
      </c>
      <c r="J21" s="358">
        <f t="shared" si="7"/>
        <v>0</v>
      </c>
      <c r="K21" s="778">
        <f t="shared" si="8"/>
        <v>0</v>
      </c>
      <c r="L21" s="778">
        <f t="shared" si="9"/>
        <v>0</v>
      </c>
      <c r="M21" s="778">
        <f t="shared" si="10"/>
        <v>0</v>
      </c>
      <c r="N21" s="1428">
        <f>IF('PIM Model'!D17="$/CS",IFERROR(ROUND(SUM(BX21*$BV$35+CU21*$CS$35+DR21*$DP$35+EO21*$EM$35+FL21*$FJ$35+GI21*$GG$35+HF21*$HD$35+IC21*$IA$35+IZ21*$IX$35+JW21*$JU$35+KT21*$KR$35+LQ21*$LO$35+MN21*$ML$35+NK21*$NI$35+OH21*$OF$35+PE21*$PC$35+QB21*$PZ$35+QY21*$QW$35+RV21*$RT$35+SS21*$SQ$35)/$G$35,2),0),IF('PIM Model'!D17="$/LB",IFERROR(ROUND(SUM(BX21*$BW$35+CU21*$CT$35+DR21*$DQ$35+EO21*$EN$35+FL21*$FK$35+GI21*$GH$35+HF21*$HE$35+IC21*$IB$35+IZ21*$IY$35+JW21*$JV$35+KT21*$KS$35+LQ21*$LP$35+MN21*$MM$35+NK21*$NJ$35+OH21*$OG$35+PE21*$PD$35+QB21*$QA$35+QY21*$QX$35+RV21*$RU$35+SS21*$SR$35)/$H$35,2),0),0))</f>
        <v>0</v>
      </c>
      <c r="O21" s="1428">
        <f>IF('PIM Model'!D17="$/CS",IFERROR(ROUND(SUM(BY21*$BV$35+CV21*$CS$35+DS21*$DP$35+EP21*$EM$35+FM21*$FJ$35+GJ21*$GG$35+HG21*$HD$35+ID21*$IA$35+JA21*$IX$35+JX21*$JU$35+KU21*$KR$35+LR21*$LO$35+MO21*$ML$35+NL21*$NI$35+OI21*$OF$35+PF21*$PC$35+QC21*$PZ$35+QZ21*$QW$35+RW21*$RT$35+ST21*$SQ$35)/$G$35,2),0),IF('PIM Model'!D17="$/LB",IFERROR(ROUND(SUM(BY21*$BW$35+CV21*$CT$35+DS21*$DQ$35+EP21*$EN$35+FM21*$FK$35+GJ21*$GH$35+HG21*$HE$35+ID21*$IB$35+JA21*$IY$35+JX21*$JV$35+KU21*$KS$35+LR21*$LP$35+MO21*$MM$35+NL21*$NJ$35+OI21*$OG$35+PF21*$PD$35+QC21*$QA$35+QZ21*$QX$35+RW21*$RU$35+ST21*$SR$35)/$H$35,2),0),0))</f>
        <v>0</v>
      </c>
      <c r="P21" s="1428">
        <f>IF('PIM Model'!D17="$/CS",IFERROR(ROUND(SUM(BZ21*$BV$35+CW21*$CS$35+DT21*$DP$35+EQ21*$EM$35+FN21*$FJ$35+GK21*$GG$35+HH21*$HD$35+IE21*$IA$35+JB21*$IX$35+JY21*$JU$35+KV21*$KR$35+LS21*$LO$35+MP21*$ML$35+NM21*$NI$35+OJ21*$OF$35+PG21*$PC$35+QD21*$PZ$35+RA21*$QW$35+RX21*$RT$35+SU21*$SQ$35)/$G$35,2),0),IF('PIM Model'!D17="$/LB",IFERROR(ROUND(SUM(BZ21*$BW$35+CW21*$CT$35+DT21*$DQ$35+EQ21*$EN$35+FN21*$FK$35+GK21*$GH$35+HH21*$HE$35+IE21*$IB$35+JB21*$IY$35+JY21*$JV$35+KV21*$KS$35+LS21*$LP$35+MP21*$MM$35+NM21*$NJ$35+OJ21*$OG$35+PG21*$PD$35+QD21*$QA$35+RA21*$QX$35+RX21*$RU$35+SU21*$SR$35)/$H$35,2),0),0))</f>
        <v>0</v>
      </c>
      <c r="Q21" s="358">
        <f t="shared" si="11"/>
        <v>0</v>
      </c>
      <c r="R21" s="358">
        <f t="shared" si="12"/>
        <v>0</v>
      </c>
      <c r="S21" s="779">
        <f t="shared" si="13"/>
        <v>0</v>
      </c>
      <c r="T21" s="779">
        <f t="shared" si="14"/>
        <v>0</v>
      </c>
      <c r="U21" s="779">
        <f t="shared" si="15"/>
        <v>0</v>
      </c>
      <c r="V21" s="779">
        <f t="shared" si="16"/>
        <v>0</v>
      </c>
      <c r="W21" s="779">
        <f t="shared" si="17"/>
        <v>0</v>
      </c>
      <c r="X21" s="1705"/>
      <c r="Y21" s="1705" t="str">
        <f>'PIM Model'!E17</f>
        <v>INCLUDE</v>
      </c>
      <c r="Z21" s="1705">
        <f t="shared" si="18"/>
        <v>0</v>
      </c>
      <c r="AA21" s="1705">
        <f t="shared" si="19"/>
        <v>0</v>
      </c>
      <c r="AB21" s="99" t="s">
        <v>95</v>
      </c>
      <c r="AC21" s="107">
        <f t="shared" si="20"/>
        <v>0</v>
      </c>
      <c r="AD21" s="108">
        <f t="shared" si="21"/>
        <v>0</v>
      </c>
      <c r="AE21" s="108">
        <f t="shared" si="22"/>
        <v>0</v>
      </c>
      <c r="AF21" s="108">
        <f t="shared" si="23"/>
        <v>0</v>
      </c>
      <c r="AG21" s="110">
        <f t="shared" si="24"/>
        <v>0</v>
      </c>
      <c r="AH21" s="114">
        <f t="shared" si="25"/>
        <v>0</v>
      </c>
      <c r="AI21" s="301"/>
      <c r="AJ21" s="99" t="s">
        <v>95</v>
      </c>
      <c r="AK21" s="346">
        <f t="shared" si="26"/>
        <v>0</v>
      </c>
      <c r="AL21" s="347">
        <f t="shared" si="26"/>
        <v>0</v>
      </c>
      <c r="AM21" s="347">
        <f t="shared" si="26"/>
        <v>0</v>
      </c>
      <c r="AN21" s="350">
        <f t="shared" si="27"/>
        <v>0</v>
      </c>
      <c r="AO21" s="351">
        <f t="shared" si="28"/>
        <v>0</v>
      </c>
      <c r="AP21" s="301"/>
      <c r="AQ21" s="99" t="s">
        <v>95</v>
      </c>
      <c r="AR21" s="346">
        <f t="shared" si="29"/>
        <v>0</v>
      </c>
      <c r="AS21" s="347">
        <f t="shared" si="30"/>
        <v>0</v>
      </c>
      <c r="AT21" s="351"/>
      <c r="AU21" s="301"/>
      <c r="AV21" s="1708" t="str">
        <f>IF('PIM Ranges'!$AK19='PIM Ranges'!$AY$11,IF($AR21&lt;'PIM Ranges'!$AZ$11,"Q1",IF($AR21&lt;'PIM Ranges'!$BA$11,"Q2",IF($AR21&lt;'PIM Ranges'!$BB$11,"Q3",IF($AR21&lt;'PIM Ranges'!$BC$11,"Q4","Q5")))),IF('PIM Ranges'!$AK19='PIM Ranges'!$AY$12,IF($AR21&lt;'PIM Ranges'!$AZ$12,"Q1",IF($AR21&lt;'PIM Ranges'!$BA$12,"Q2",IF($AR21&lt;'PIM Ranges'!$BB$12,"Q3",IF($AR21&lt;'PIM Ranges'!$BC$12,"Q4","Q5")))),IF('PIM Ranges'!$AK19='PIM Ranges'!$AY$13,IF($AR21&lt;'PIM Ranges'!$AZ$13,"Q1",IF($AR21&lt;'PIM Ranges'!$BA$13,"Q2",IF($AR21&lt;'PIM Ranges'!$BB$13,"Q3",IF($AR21&lt;'PIM Ranges'!$BC$13,"Q4","Q5")))),IF('PIM Ranges'!$AK19='PIM Ranges'!$AY$14,IF($AR21&lt;'PIM Ranges'!$AZ$14,"Q1",IF($AR21&lt;'PIM Ranges'!$BA$14,"Q2",IF($AR21&lt;'PIM Ranges'!$BB$14,"Q3",IF($AR21&lt;'PIM Ranges'!$BC$14,"Q4","Q5")))),IF('PIM Ranges'!$AK19='PIM Ranges'!$AY$15,IF($AR21&lt;'PIM Ranges'!$AZ$15,"Q1",IF($AR21&lt;'PIM Ranges'!$BA$15,"Q2",IF($AR21&lt;'PIM Ranges'!$BB$15,"Q3",IF($AR21&lt;'PIM Ranges'!$BC$15,"Q4","Q5")))),IF('PIM Ranges'!$AK19='PIM Ranges'!$AY$16,IF($AR21&lt;'PIM Ranges'!$AZ$16,"Q1",IF($AR21&lt;'PIM Ranges'!$BA$16,"Q2",IF($AR21&lt;'PIM Ranges'!$BB$16,"Q3",IF($AR21&lt;'PIM Ranges'!$BC$16,"Q4","Q5")))),IF('PIM Ranges'!$AK19='PIM Ranges'!$AY$17,IF($AR21&lt;'PIM Ranges'!$AZ$17,"Q1",IF($AR21&lt;'PIM Ranges'!$BA$17,"Q2",IF($AR21&lt;'PIM Ranges'!$BB$17,"Q3",IF($AR21&lt;'PIM Ranges'!$BC$17,"Q4","Q5")))),IF('PIM Ranges'!$AK19='PIM Ranges'!$AY$18,IF($AR21&lt;'PIM Ranges'!$AZ$18,"Q1",IF($AR21&lt;'PIM Ranges'!$BA$18,"Q2",IF($AR21&lt;'PIM Ranges'!$BB$18,"Q3",IF($AR21&lt;'PIM Ranges'!$BC$18,"Q4","Q5")))),IF('PIM Ranges'!$AK19='PIM Ranges'!$AY$19,IF($AR21&lt;'PIM Ranges'!$AZ$19,"Q1",IF($AR21&lt;'PIM Ranges'!$BA$19,"Q2",IF($AR21&lt;'PIM Ranges'!$BB$19,"Q3",IF($AR21&lt;'PIM Ranges'!$BC$19,"Q4","Q5")))),IF('PIM Ranges'!$AK19='PIM Ranges'!$AY$20,IF($AR21&lt;'PIM Ranges'!$AZ$20,"Q1",IF($AR21&lt;'PIM Ranges'!$BA$20,"Q2",IF($AR21&lt;'PIM Ranges'!$BB$20,"Q3",IF($AR21&lt;'PIM Ranges'!$BC$20,"Q4","Q5")))),IF('PIM Ranges'!$AK19='PIM Ranges'!$AY$21,IF($AR21&lt;'PIM Ranges'!$AZ$21,"Q1",IF($AR21&lt;'PIM Ranges'!$BA$21,"Q2",IF($AR21&lt;'PIM Ranges'!$BB$21,"Q3",IF($AR21&lt;'PIM Ranges'!$BC$21,"Q4","Q5")))),IF('PIM Ranges'!$AK19='PIM Ranges'!$AY$22,IF($AR21&lt;'PIM Ranges'!$AZ$22,"Q1",IF($AR21&lt;'PIM Ranges'!$BA$22,"Q2",IF($AR21&lt;'PIM Ranges'!$BB$22,"Q3",IF($AR21&lt;'PIM Ranges'!$BC$22,"Q4","Q5")))),IF('PIM Ranges'!$AK19='PIM Ranges'!$AY$23,IF($AR21&lt;'PIM Ranges'!$AZ$23,"Q1",IF($AR21&lt;'PIM Ranges'!$BA$23,"Q2",IF($AR21&lt;'PIM Ranges'!$BB$23,"Q3",IF($AR21&lt;'PIM Ranges'!$BC$23,"Q4","Q5")))),IF('PIM Ranges'!$AK19='PIM Ranges'!$AY$24,IF($AR21&lt;'PIM Ranges'!$AZ$24,"Q1",IF($AR21&lt;'PIM Ranges'!$BA$24,"Q2",IF($AR21&lt;'PIM Ranges'!$BB$24,"Q3",IF($AR21&lt;'PIM Ranges'!$BC$24,"Q4","Q5")))),IF('PIM Ranges'!$AK19='PIM Ranges'!$AY$25,IF($AR21&lt;'PIM Ranges'!$AZ$25,"Q1",IF($AR21&lt;'PIM Ranges'!$BA$25,"Q2",IF($AR21&lt;'PIM Ranges'!$BB$25,"Q3",IF($AR21&lt;'PIM Ranges'!$BC$25,"Q4","Q5")))),IF('PIM Ranges'!$AK19='PIM Ranges'!$AY$26,IF($AR21&lt;'PIM Ranges'!$AZ$26,"Q1",IF($AR21&lt;'PIM Ranges'!$BA$26,"Q2",IF($AR21&lt;'PIM Ranges'!$BB$26,"Q3",IF($AR21&lt;'PIM Ranges'!$BC$26,"Q4","Q5")))),IF('PIM Ranges'!$AK19='PIM Ranges'!$AY$27,IF($AR21&lt;'PIM Ranges'!$AZ$27,"Q1",IF($AR21&lt;'PIM Ranges'!$BA$27,"Q2",IF($AR21&lt;'PIM Ranges'!$BB$27,"Q3",IF($AR21&lt;'PIM Ranges'!$BC$27,"Q4","Q5")))),IF('PIM Ranges'!$AK19='PIM Ranges'!$AY$28,IF($AR21&lt;'PIM Ranges'!$AZ$28,"Q1",IF($AR21&lt;'PIM Ranges'!$BA$28,"Q2",IF($AR21&lt;'PIM Ranges'!$BB$28,"Q3",IF($AR21&lt;'PIM Ranges'!$BC$28,"Q4","Q5")))),IF('PIM Ranges'!$AK19='PIM Ranges'!$AY$29,IF($AR21&lt;'PIM Ranges'!$AZ$29,"Q1",IF($AR21&lt;'PIM Ranges'!$BA$29,"Q2",IF($AR21&lt;'PIM Ranges'!$BB$29,"Q3",IF($AR21&lt;'PIM Ranges'!$BC$29,"Q4","Q5")))),IF('PIM Ranges'!$AK19='PIM Ranges'!$AY$30,IF($AR21&lt;'PIM Ranges'!$AZ$30,"Q1",IF($AR21&lt;'PIM Ranges'!$BA$30,"Q2",IF($AR21&lt;'PIM Ranges'!$BB$30,"Q3",IF($AR21&lt;'PIM Ranges'!$BC$30,"Q4","Q5")))),IF('PIM Ranges'!$AK19='PIM Ranges'!$AY$31,IF($AR21&lt;'PIM Ranges'!$AZ$31,"Q1",IF($AR21&lt;'PIM Ranges'!$BA$31,"Q2",IF($AR21&lt;'PIM Ranges'!$BB$31,"Q3",IF($AR21&lt;'PIM Ranges'!$BC$31,"Q4","Q5")))),IF('PIM Ranges'!$AK19='PIM Ranges'!$AY$32,IF($AR21&lt;'PIM Ranges'!$AZ$32,"Q1",IF($AR21&lt;'PIM Ranges'!$BA$32,"Q2",IF($AR21&lt;'PIM Ranges'!$BB$32,"Q3",IF($AR21&lt;'PIM Ranges'!$BC$32,"Q4","Q5"))))))))))))))))))))))))))</f>
        <v>Q1</v>
      </c>
      <c r="AW21" s="301">
        <f>VLOOKUP($AQ21&amp;$AV21,'IMargin Quartiles'!$A:$F,6,FALSE)</f>
        <v>0.12</v>
      </c>
      <c r="AX21" s="301"/>
      <c r="AY21" s="1708" t="str">
        <f>IF('PIM Ranges'!$AK19='PIM Ranges'!$AY$11,IF('PIM Ranges'!$AL19&lt;'PIM Ranges'!$AZ$11,"Q1",IF('PIM Ranges'!$AL19&lt;'PIM Ranges'!$BA$11,"Q2",IF('PIM Ranges'!$AL19&lt;'PIM Ranges'!$BB$11,"Q3",IF('PIM Ranges'!$AL19&lt;'PIM Ranges'!$BC$11,"Q4","Q5")))),IF('PIM Ranges'!$AK19='PIM Ranges'!$AY$12,IF('PIM Ranges'!$AL19&lt;'PIM Ranges'!$AZ$12,"Q1",IF('PIM Ranges'!$AL19&lt;'PIM Ranges'!$BA$12,"Q2",IF('PIM Ranges'!$AL19&lt;'PIM Ranges'!$BB$12,"Q3",IF('PIM Ranges'!$AL19&lt;'PIM Ranges'!$BC$12,"Q4","Q5")))),IF('PIM Ranges'!$AK19='PIM Ranges'!$AY$13,IF('PIM Ranges'!$AL19&lt;'PIM Ranges'!$AZ$13,"Q1",IF('PIM Ranges'!$AL19&lt;'PIM Ranges'!$BA$13,"Q2",IF('PIM Ranges'!$AL19&lt;'PIM Ranges'!$BB$13,"Q3",IF('PIM Ranges'!$AL19&lt;'PIM Ranges'!$BC$13,"Q4","Q5")))),IF('PIM Ranges'!$AK19='PIM Ranges'!$AY$14,IF('PIM Ranges'!$AL19&lt;'PIM Ranges'!$AZ$14,"Q1",IF('PIM Ranges'!$AL19&lt;'PIM Ranges'!$BA$14,"Q2",IF('PIM Ranges'!$AL19&lt;'PIM Ranges'!$BB$14,"Q3",IF('PIM Ranges'!$AL19&lt;'PIM Ranges'!$BC$14,"Q4","Q5")))),IF('PIM Ranges'!$AK19='PIM Ranges'!$AY$15,IF('PIM Ranges'!$AL19&lt;'PIM Ranges'!$AZ$15,"Q1",IF('PIM Ranges'!$AL19&lt;'PIM Ranges'!$BA$15,"Q2",IF('PIM Ranges'!$AL19&lt;'PIM Ranges'!$BB$15,"Q3",IF('PIM Ranges'!$AL19&lt;'PIM Ranges'!$BC$15,"Q4","Q5")))),IF('PIM Ranges'!$AK19='PIM Ranges'!$AY$16,IF('PIM Ranges'!$AL19&lt;'PIM Ranges'!$AZ$16,"Q1",IF('PIM Ranges'!$AL19&lt;'PIM Ranges'!$BA$16,"Q2",IF('PIM Ranges'!$AL19&lt;'PIM Ranges'!$BB$16,"Q3",IF('PIM Ranges'!$AL19&lt;'PIM Ranges'!$BC$16,"Q4","Q5")))),IF('PIM Ranges'!$AK19='PIM Ranges'!$AY$17,IF('PIM Ranges'!$AL19&lt;'PIM Ranges'!$AZ$17,"Q1",IF('PIM Ranges'!$AL19&lt;'PIM Ranges'!$BA$17,"Q2",IF('PIM Ranges'!$AL19&lt;'PIM Ranges'!$BB$17,"Q3",IF('PIM Ranges'!$AL19&lt;'PIM Ranges'!$BC$17,"Q4","Q5")))),IF('PIM Ranges'!$AK19='PIM Ranges'!$AY$18,IF('PIM Ranges'!$AL19&lt;'PIM Ranges'!$AZ$18,"Q1",IF('PIM Ranges'!$AL19&lt;'PIM Ranges'!$BA$18,"Q2",IF('PIM Ranges'!$AL19&lt;'PIM Ranges'!$BB$18,"Q3",IF('PIM Ranges'!$AL19&lt;'PIM Ranges'!$BC$18,"Q4","Q5")))),IF('PIM Ranges'!$AK19='PIM Ranges'!$AY$19,IF('PIM Ranges'!$AL19&lt;'PIM Ranges'!$AZ$19,"Q1",IF('PIM Ranges'!$AL19&lt;'PIM Ranges'!$BA$19,"Q2",IF('PIM Ranges'!$AL19&lt;'PIM Ranges'!$BB$19,"Q3",IF('PIM Ranges'!$AL19&lt;'PIM Ranges'!$BC$19,"Q4","Q5")))),IF('PIM Ranges'!$AK19='PIM Ranges'!$AY$20,IF('PIM Ranges'!$AL19&lt;'PIM Ranges'!$AZ$20,"Q1",IF('PIM Ranges'!$AL19&lt;'PIM Ranges'!$BA$20,"Q2",IF('PIM Ranges'!$AL19&lt;'PIM Ranges'!$BB$20,"Q3",IF('PIM Ranges'!$AL19&lt;'PIM Ranges'!$BC$20,"Q4","Q5")))),IF('PIM Ranges'!$AK19='PIM Ranges'!$AY$21,IF('PIM Ranges'!$AL19&lt;'PIM Ranges'!$AZ$21,"Q1",IF('PIM Ranges'!$AL19&lt;'PIM Ranges'!$BA$21,"Q2",IF('PIM Ranges'!$AL19&lt;'PIM Ranges'!$BB$21,"Q3",IF('PIM Ranges'!$AL19&lt;'PIM Ranges'!$BC$21,"Q4","Q5")))),IF('PIM Ranges'!$AK19='PIM Ranges'!$AY$22,IF('PIM Ranges'!$AL19&lt;'PIM Ranges'!$AZ$22,"Q1",IF('PIM Ranges'!$AL19&lt;'PIM Ranges'!$BA$22,"Q2",IF('PIM Ranges'!$AL19&lt;'PIM Ranges'!$BB$22,"Q3",IF('PIM Ranges'!$AL19&lt;'PIM Ranges'!$BC$22,"Q4","Q5")))),IF('PIM Ranges'!$AK19='PIM Ranges'!$AY$23,IF('PIM Ranges'!$AL19&lt;'PIM Ranges'!$AZ$23,"Q1",IF('PIM Ranges'!$AL19&lt;'PIM Ranges'!$BA$23,"Q2",IF('PIM Ranges'!$AL19&lt;'PIM Ranges'!$BB$23,"Q3",IF('PIM Ranges'!$AL19&lt;'PIM Ranges'!$BC$23,"Q4","Q5")))),IF('PIM Ranges'!$AK19='PIM Ranges'!$AY$24,IF('PIM Ranges'!$AL19&lt;'PIM Ranges'!$AZ$24,"Q1",IF('PIM Ranges'!$AL19&lt;'PIM Ranges'!$BA$24,"Q2",IF('PIM Ranges'!$AL19&lt;'PIM Ranges'!$BB$24,"Q3",IF('PIM Ranges'!$AL19&lt;'PIM Ranges'!$BC$24,"Q4","Q5")))),IF('PIM Ranges'!$AK19='PIM Ranges'!$AY$25,IF('PIM Ranges'!$AL19&lt;'PIM Ranges'!$AZ$25,"Q1",IF('PIM Ranges'!$AL19&lt;'PIM Ranges'!$BA$25,"Q2",IF('PIM Ranges'!$AL19&lt;'PIM Ranges'!$BB$25,"Q3",IF('PIM Ranges'!$AL19&lt;'PIM Ranges'!$BC$25,"Q4","Q5")))),IF('PIM Ranges'!$AK19='PIM Ranges'!$AY$26,IF('PIM Ranges'!$AL19&lt;'PIM Ranges'!$AZ$26,"Q1",IF('PIM Ranges'!$AL19&lt;'PIM Ranges'!$BA$26,"Q2",IF('PIM Ranges'!$AL19&lt;'PIM Ranges'!$BB$26,"Q3",IF('PIM Ranges'!$AL19&lt;'PIM Ranges'!$BC$26,"Q4","Q5")))),IF('PIM Ranges'!$AK19='PIM Ranges'!$AY$27,IF('PIM Ranges'!$AL19&lt;'PIM Ranges'!$AZ$27,"Q1",IF('PIM Ranges'!$AL19&lt;'PIM Ranges'!$BA$27,"Q2",IF('PIM Ranges'!$AL19&lt;'PIM Ranges'!$BB$27,"Q3",IF('PIM Ranges'!$AL19&lt;'PIM Ranges'!$BC$27,"Q4","Q5")))),IF('PIM Ranges'!$AK19='PIM Ranges'!$AY$28,IF('PIM Ranges'!$AL19&lt;'PIM Ranges'!$AZ$28,"Q1",IF('PIM Ranges'!$AL19&lt;'PIM Ranges'!$BA$28,"Q2",IF('PIM Ranges'!$AL19&lt;'PIM Ranges'!$BB$28,"Q3",IF('PIM Ranges'!$AL19&lt;'PIM Ranges'!$BC$28,"Q4","Q5")))),IF('PIM Ranges'!$AK19='PIM Ranges'!$AY$29,IF('PIM Ranges'!$AL19&lt;'PIM Ranges'!$AZ$29,"Q1",IF('PIM Ranges'!$AL19&lt;'PIM Ranges'!$BA$29,"Q2",IF('PIM Ranges'!$AL19&lt;'PIM Ranges'!$BB$29,"Q3",IF('PIM Ranges'!$AL19&lt;'PIM Ranges'!$BC$29,"Q4","Q5")))),IF('PIM Ranges'!$AK19='PIM Ranges'!$AY$30,IF('PIM Ranges'!$AL19&lt;'PIM Ranges'!$AZ$30,"Q1",IF('PIM Ranges'!$AL19&lt;'PIM Ranges'!$BA$30,"Q2",IF('PIM Ranges'!$AL19&lt;'PIM Ranges'!$BB$30,"Q3",IF('PIM Ranges'!$AL19&lt;'PIM Ranges'!$BC$30,"Q4","Q5")))),IF('PIM Ranges'!$AK19='PIM Ranges'!$AY$31,IF('PIM Ranges'!$AL19&lt;'PIM Ranges'!$AZ$31,"Q1",IF('PIM Ranges'!$AL19&lt;'PIM Ranges'!$BA$31,"Q2",IF('PIM Ranges'!$AL19&lt;'PIM Ranges'!$BB$31,"Q3",IF('PIM Ranges'!$AL19&lt;'PIM Ranges'!$BC$31,"Q4","Q5")))),IF('PIM Ranges'!$AK19='PIM Ranges'!$AY$32,IF('PIM Ranges'!$AL19&lt;'PIM Ranges'!$AZ$32,"Q1",IF('PIM Ranges'!$AL19&lt;'PIM Ranges'!$BA$32,"Q2",IF('PIM Ranges'!$AL19&lt;'PIM Ranges'!$BB$32,"Q3",IF('PIM Ranges'!$AL19&lt;'PIM Ranges'!$BC$32,"Q4","Q5"))))))))))))))))))))))))))</f>
        <v>Q1</v>
      </c>
      <c r="AZ21" s="301">
        <f t="shared" si="31"/>
        <v>0</v>
      </c>
      <c r="BA21" s="39">
        <f>'PIM Model'!C17</f>
        <v>0</v>
      </c>
      <c r="BB21" s="301"/>
      <c r="BC21" s="301"/>
      <c r="BD21" s="301" t="e">
        <f t="shared" si="72"/>
        <v>#DIV/0!</v>
      </c>
      <c r="BE21" s="301"/>
      <c r="BF21" s="301"/>
      <c r="BG21" s="105">
        <v>10</v>
      </c>
      <c r="BH21" s="18">
        <f t="array" ref="BH21">IF('Customer Inputs'!$W$6="End",0,IFERROR(IF($BU21="SEGMENT",INDEX('Margin Guidence Table'!$A$1:$AG$10000,MATCH(1,('Margin Guidence Table'!$A$1:$A$10000=$BS21)*('Margin Guidence Table'!$I$1:$I$10000&lt;=ROUND($BK$3,0))*('Margin Guidence Table'!$J$1:$J$10000&gt;=ROUND($BK$3,0)),0),MATCH("PCT_SALES",'Margin Guidence Table'!$A$1:$AG$1,0)),INDEX('Margin Guidence Table'!$A$1:$AG$10000,MATCH(1,('Margin Guidence Table'!$A$1:$A$10000=$BS21)*('Margin Guidence Table'!$I$1:$I$10000&lt;=ROUND($BK$3,0))*('Margin Guidence Table'!$J$1:$J$10000&gt;=ROUND($BK$3,0)),0),MATCH("DEFAULT_PCT_SALES",'Margin Guidence Table'!$A$1:$AG$1,0))),0))</f>
        <v>0</v>
      </c>
      <c r="BI21" s="297" t="e">
        <f t="shared" si="32"/>
        <v>#DIV/0!</v>
      </c>
      <c r="BJ21" s="99" t="s">
        <v>95</v>
      </c>
      <c r="BK21" s="91">
        <f>IF('Customer Inputs'!$W$6="End",0,IFERROR(IF(AND($BK$2&lt;&gt;"Enter Spend&gt;&gt;&gt;",$BL$2="EXISTING"),SUMIFS('Existing Customers'!$Q:$Q,'Existing Customers'!$A:$A,$BK$1,'Existing Customers'!$H:$H,$BJ21)*$BK$4,$BK$3*$BI21),0))</f>
        <v>0</v>
      </c>
      <c r="BL21" s="92">
        <f>IF('Customer Inputs'!$W$6="End",0,IFERROR(IF(AND($BK$2&lt;&gt;"Enter Spend&gt;&gt;&gt;",$BL$2="EXISTING"),SUMIFS('Existing Customers'!$N:$N,'Existing Customers'!$A:$A,$BK$1,'Existing Customers'!$H:$H,$BJ21)*$BK$4,$BK21/$BV21),0))</f>
        <v>0</v>
      </c>
      <c r="BM21" s="92">
        <f>IF('Customer Inputs'!$W$6="End",0,IFERROR(IF(AND($BK$2&lt;&gt;"Enter Spend&gt;&gt;&gt;",$BL$2="EXISTING"),SUMIFS('Existing Customers'!$O:$O,'Existing Customers'!$H:$H,$BJ21,'Existing Customers'!$A:$A,$BK$1)*$BK$4,$BL21*$BK$8),0))</f>
        <v>0</v>
      </c>
      <c r="BN21" s="92">
        <f>IF('Customer Inputs'!$W$6="End",0,IFERROR(IF(AND($BK$2&lt;&gt;"Enter Spend&gt;&gt;&gt;",$BL$2="EXISTING"),SUMIFS('Existing Customers'!$P:$P,'Existing Customers'!$A:$A,$BK$1,'Existing Customers'!$H:$H,$BJ21)*$BK$4,$BK21/$BW21),0))</f>
        <v>0</v>
      </c>
      <c r="BO21" s="303">
        <f>IF('Customer Inputs'!$W$6="End",0,IFERROR(IF(AND($BK$2&lt;&gt;"Enter Spend&gt;&gt;&gt;",$BL$2="EXISTING"),SUMIFS('Existing Customers'!$V:$V,'Existing Customers'!$H:$H,$BJ21,'Existing Customers'!$A:$A,$BK$1)*$BK$4,0),0))</f>
        <v>0</v>
      </c>
      <c r="BP21" s="93">
        <f>IF('Customer Inputs'!$W$6="End",0,IFERROR(IF(AND($BK$2&lt;&gt;"Enter Spend&gt;&gt;&gt;",$BL$2="EXISTING"),SUMIFS('Existing Customers'!$R:$R,'Existing Customers'!$H:$H,$BJ21,'Existing Customers'!$A:$A,$BK$1)*$BK$4,0),0))</f>
        <v>0</v>
      </c>
      <c r="BQ21" s="93">
        <f>IF('Customer Inputs'!$W$6="End",0,IFERROR(IF(AND($BK$2&lt;&gt;"Enter Spend&gt;&gt;&gt;",$BL$2="EXISTING"),SUMIFS('Existing Customers'!$S:$S,'Existing Customers'!$H:$H,$BJ21,'Existing Customers'!$A:$A,$BK$1)/SUMIFS('Existing Customers'!$Q:$Q,'Existing Customers'!$A:$A,$BK$1,'Existing Customers'!$H:$H,$BJ21),CA21),0))</f>
        <v>0</v>
      </c>
      <c r="BR21" s="93">
        <f>IF('Customer Inputs'!$W$6="End",0,IFERROR(IF(AND($BK$2&lt;&gt;"Enter Spend&gt;&gt;&gt;",$BL$2="EXISTING"),SUMIFS('Existing Customers'!$U:$U,'Existing Customers'!$H:$H,$BJ21,'Existing Customers'!$A:$A,$BK$1)/SUMIFS('Existing Customers'!$Q:$Q,'Existing Customers'!$A:$A,$BK$1,'Existing Customers'!$H:$H,$BJ21),CB21),0))</f>
        <v>0</v>
      </c>
      <c r="BS21" s="782" t="e">
        <f>_xlfn.CONCAT('Customer Inputs'!$AH$6,"_",BJ21)</f>
        <v>#N/A</v>
      </c>
      <c r="BT21" s="783">
        <f t="array" ref="BT21">IF('Customer Inputs'!$W$6="End",0,IFERROR(INDEX('Margin Guidence Table'!$A$1:$AG$10000,MATCH(1,('Margin Guidence Table'!$A$1:$A$10000=$BS21)*('Margin Guidence Table'!$I$1:$I$10000&lt;=ROUND($BK$3,0))*('Margin Guidence Table'!$J$1:$J$10000&gt;=ROUND($BK$3,0)),0),MATCH("DATA_POINTS",'Margin Guidence Table'!$A$1:$AG$1,0)),0))</f>
        <v>0</v>
      </c>
      <c r="BU21" s="780" t="str">
        <f t="shared" si="33"/>
        <v>DEFAULT</v>
      </c>
      <c r="BV21" s="780">
        <f t="array" ref="BV21">IF('Customer Inputs'!$W$6="End",0,IFERROR(IF($BU21="SEGMENT",INDEX('Margin Guidence Table'!$A$1:$AG$10000,MATCH(1,('Margin Guidence Table'!$A$1:$A$10000=$BS21)*('Margin Guidence Table'!$I$1:$I$10000&lt;=ROUND($BK$3,0))*('Margin Guidence Table'!$J$1:$J$10000&gt;=ROUND($BK$3,0)),0),MATCH("SALES_CASE",'Margin Guidence Table'!$A$1:$AG$1,0)),INDEX('Margin Guidence Table'!$A$1:$AG$10000,MATCH(1,('Margin Guidence Table'!$A$1:$A$10000=$BS21)*('Margin Guidence Table'!$I$1:$I$10000&lt;=ROUND($BK$3,0))*('Margin Guidence Table'!$J$1:$J$10000&gt;=ROUND($BK$3,0)),0),MATCH("DEFAULT_SALES_CASE",'Margin Guidence Table'!$A$1:$AG$1,0))),0))</f>
        <v>0</v>
      </c>
      <c r="BW21" s="780">
        <f t="array" ref="BW21">IF('Customer Inputs'!$W$6="End",0,IFERROR(IF($BU21="SEGMENT",INDEX('Margin Guidence Table'!$A$1:$AG$10000,MATCH(1,('Margin Guidence Table'!$A$1:$A$10000=$BS21)*('Margin Guidence Table'!$I$1:$I$10000&lt;=ROUND($BK$3,0))*('Margin Guidence Table'!$J$1:$J$10000&gt;=ROUND($BK$3,0)),0),MATCH("SALES_LBS",'Margin Guidence Table'!$A$1:$AG$1,0)),INDEX('Margin Guidence Table'!$A$1:$AG$10000,MATCH(1,('Margin Guidence Table'!$A$1:$A$10000=$BS21)*('Margin Guidence Table'!$I$1:$I$10000&lt;=ROUND($BK$3,0))*('Margin Guidence Table'!$J$1:$J$10000&gt;=ROUND($BK$3,0)),0),MATCH("DEFAULT_SALES_LBS",'Margin Guidence Table'!$A$1:$AG$1,0))),0))</f>
        <v>0</v>
      </c>
      <c r="BX21" s="784">
        <f t="array" ref="BX21">IF('Customer Inputs'!$W$6="End",0,IFERROR(IF($BU21="SEGMENT",INDEX('Margin Guidence Table'!$A$1:$AG$10000,MATCH(1,('Margin Guidence Table'!$A$1:$A$10000=$BS21)*('Margin Guidence Table'!$I$1:$I$10000&lt;=ROUND($BK$3,0))*('Margin Guidence Table'!$J$1:$J$10000&gt;=ROUND($BK$3,0)),0),MATCH("MDA_MIN_MARGIN_GUIDENCE",'Margin Guidence Table'!$A$1:$AG$1,0)),INDEX('Margin Guidence Table'!$A$1:$AG$10000,MATCH(1,('Margin Guidence Table'!$A$1:$A$10000=$BS21)*('Margin Guidence Table'!$I$1:$I$10000&lt;=ROUND($BK$3,0))*('Margin Guidence Table'!$J$1:$J$10000&gt;=ROUND($BK$3,0)),0),MATCH("DEFAULT_MDA_MIN_MARGIN_GUIDENCE",'Margin Guidence Table'!$A$1:$AG$1,0))),0))</f>
        <v>0</v>
      </c>
      <c r="BY21" s="784">
        <f t="array" ref="BY21">IF('Customer Inputs'!$W$6="End",0,IFERROR(IF($BU21="SEGMENT",INDEX('Margin Guidence Table'!$A$1:$AG$10000,MATCH(1,('Margin Guidence Table'!$A$1:$A$10000=$BS21)*('Margin Guidence Table'!$I$1:$I$10000&lt;=ROUND($BK$3,0))*('Margin Guidence Table'!$J$1:$J$10000&gt;=ROUND($BK$3,0)),0),MATCH("MDA_MEDIAN_MARGIN_GUIDENCE",'Margin Guidence Table'!$A$1:$AG$1,0)),INDEX('Margin Guidence Table'!$A$1:$AG$10000,MATCH(1,('Margin Guidence Table'!$A$1:$A$10000=$BS21)*('Margin Guidence Table'!$I$1:$I$10000&lt;=ROUND($BK$3,0))*('Margin Guidence Table'!$J$1:$J$10000&gt;=ROUND($BK$3,0)),0),MATCH("DEFAULT_MDA_MEDIAN_MARGIN_GUIDENCE",'Margin Guidence Table'!$A$1:$AG$1,0))),0))</f>
        <v>0</v>
      </c>
      <c r="BZ21" s="784">
        <f t="array" ref="BZ21">IF('Customer Inputs'!$W$6="End",0,IFERROR(IF($BU21="SEGMENT",INDEX('Margin Guidence Table'!$A$1:$AG$10000,MATCH(1,('Margin Guidence Table'!$A$1:$A$10000=$BS21)*('Margin Guidence Table'!$I$1:$I$10000&lt;=ROUND($BK$3,0))*('Margin Guidence Table'!$J$1:$J$10000&gt;=ROUND($BK$3,0)),0),MATCH("MDA_MAX_MARGIN_GUIDENCE",'Margin Guidence Table'!$A$1:$AG$1,0)),INDEX('Margin Guidence Table'!$A$1:$AG$10000,MATCH(1,('Margin Guidence Table'!$A$1:$A$10000=$BS21)*('Margin Guidence Table'!$I$1:$I$10000&lt;=ROUND($BK$3,0))*('Margin Guidence Table'!$J$1:$J$10000&gt;=ROUND($BK$3,0)),0),MATCH("DEFAULT_MDA_MAX_MARGIN_GUIDENCE",'Margin Guidence Table'!$A$1:$AG$1,0))),0))</f>
        <v>0</v>
      </c>
      <c r="CA21" s="784">
        <f t="array" ref="CA21">IF('Customer Inputs'!$W$6="End",0,IFERROR(IF($BU21="SEGMENT",INDEX('Margin Guidence Table'!$A$1:$AG$10000,MATCH(1,('Margin Guidence Table'!$A$1:$A$10000=$BS21)*('Margin Guidence Table'!$I$1:$I$10000&lt;=ROUND($BK$3,0))*('Margin Guidence Table'!$J$1:$J$10000&gt;=ROUND($BK$3,0)),0),MATCH("PA_PCT_SALES",'Margin Guidence Table'!$A$1:$AG$1,0)),INDEX('Margin Guidence Table'!$A$1:$AG$10000,MATCH(1,('Margin Guidence Table'!$A$1:$A$10000=$BS21)*('Margin Guidence Table'!$I$1:$I$10000&lt;=ROUND($BK$3,0))*('Margin Guidence Table'!$J$1:$J$10000&gt;=ROUND($BK$3,0)),0),MATCH("DEFAULT_PA_PCT_SALES",'Margin Guidence Table'!$A$1:$AG$1,0))),0))</f>
        <v>0</v>
      </c>
      <c r="CB21" s="784">
        <f t="array" ref="CB21">IF('Customer Inputs'!$W$6="End",0,IFERROR(IF($BU21="SEGMENT",INDEX('Margin Guidence Table'!$A$1:$AG$10000,MATCH(1,('Margin Guidence Table'!$A$1:$A$10000=$BS21)*('Margin Guidence Table'!$I$1:$I$10000&lt;=ROUND($BK$3,0))*('Margin Guidence Table'!$J$1:$J$10000&gt;=ROUND($BK$3,0)),0),MATCH("SELF_FUND_PCT_SALES",'Margin Guidence Table'!$A$1:$AG$1,0)),INDEX('Margin Guidence Table'!$A$1:$AG$10000,MATCH(1,('Margin Guidence Table'!$A$1:$A$10000=$BS21)*('Margin Guidence Table'!$I$1:$I$10000&lt;=ROUND($BK$3,0))*('Margin Guidence Table'!$J$1:$J$10000&gt;=ROUND($BK$3,0)),0),MATCH("DEFAULT_SELF_FUND_PCT_SALES",'Margin Guidence Table'!$A$1:$AG$1,0))),0))</f>
        <v>0</v>
      </c>
      <c r="CC21" s="784">
        <f t="array" ref="CC21">IF('Customer Inputs'!$W$6="End",0,IF($BL$2="Existing",IFERROR(SUMIFS('Existing Customers'!$V:$V,'Existing Customers'!$H:$H,$BJ21,'Existing Customers'!$A:$A,$BK$1)/SUMIFS('Existing Customers'!$Q:$Q,'Existing Customers'!$H:$H,$BJ21,'Existing Customers'!$A:$A,$BK$1),0),IFERROR(IF($BU21="SEGMENT",INDEX('Margin Guidence Table'!$A$1:$AG$10000,MATCH(1,('Margin Guidence Table'!$A$1:$A$10000=$BS21)*('Margin Guidence Table'!$I$1:$I$10000&lt;=ROUND($BK$3,0))*('Margin Guidence Table'!$J$1:$J$10000&gt;=ROUND($BK$3,0)),0),MATCH("CIA_MEDIAN_MARGIN_GUIDENCE",'Margin Guidence Table'!$A$1:$AG$1,0)),INDEX('Margin Guidence Table'!$A$1:$AG$10000,MATCH(1,('Margin Guidence Table'!$A$1:$A$10000=$BS21)*('Margin Guidence Table'!$I$1:$I$10000&lt;=ROUND($BK$3,0))*('Margin Guidence Table'!$J$1:$J$10000&gt;=ROUND($BK$3,0)),0),MATCH("DEFAULT_CIA_MEDIAN_MARGIN_GUIDENCE",'Margin Guidence Table'!$A$1:$AG$1,0))),0)))</f>
        <v>0</v>
      </c>
      <c r="CD21" s="126"/>
      <c r="CE21" s="18">
        <f t="array" ref="CE21">IF('Customer Inputs'!$W$7="End",0,IFERROR(IF($CR21="SEGMENT",INDEX('Margin Guidence Table'!$A$1:$AG$10000,MATCH(1,('Margin Guidence Table'!$A$1:$A$10000=$CP21)*('Margin Guidence Table'!$I$1:$I$10000&lt;=ROUND($CH$3,0))*('Margin Guidence Table'!$J$1:$J$10000&gt;=ROUND($CH$3,0)),0),MATCH("PCT_SALES",'Margin Guidence Table'!$A$1:$AG$1,0)),INDEX('Margin Guidence Table'!$A$1:$AG$10000,MATCH(1,('Margin Guidence Table'!$A$1:$A$10000=$CP21)*('Margin Guidence Table'!$I$1:$I$10000&lt;=ROUND($CH$3,0))*('Margin Guidence Table'!$J$1:$J$10000&gt;=ROUND($CH$3,0)),0),MATCH("DEFAULT_PCT_SALES",'Margin Guidence Table'!$A$1:$AG$1,0))),0))</f>
        <v>0</v>
      </c>
      <c r="CF21" s="297" t="e">
        <f t="shared" si="34"/>
        <v>#DIV/0!</v>
      </c>
      <c r="CG21" s="99" t="s">
        <v>95</v>
      </c>
      <c r="CH21" s="91">
        <f>IF('Customer Inputs'!$W$7="End",0,IFERROR(IF(AND($CH$2&lt;&gt;"Enter Spend&gt;&gt;&gt;",$CI$2="EXISTING"),SUMIFS('Existing Customers'!$Q:$Q,'Existing Customers'!$A:$A,$CH$1,'Existing Customers'!$H:$H,$CG21)*$CH$4,$CH$3*$CF21),0))</f>
        <v>0</v>
      </c>
      <c r="CI21" s="86">
        <f>IF('Customer Inputs'!$W$7="End",0,IFERROR(IF(AND($CH$2&lt;&gt;"Enter Spend&gt;&gt;&gt;",$CI$2="EXISTING"),SUMIFS('Existing Customers'!$N:$N,'Existing Customers'!$A:$A,$CH$1,'Existing Customers'!$H:$H,$CG21)*$CH$4,$CH21/$CS21),0))</f>
        <v>0</v>
      </c>
      <c r="CJ21" s="92">
        <f>IF('Customer Inputs'!$W$7="End",0,IFERROR(IF(AND($CH$2&lt;&gt;"Enter Spend&gt;&gt;&gt;",$CI$2="EXISTING"),SUMIFS('Existing Customers'!$O:$O,'Existing Customers'!$H:$H,$CG21,'Existing Customers'!$A:$A,$CH$1)*$CH$4,$CI21*$CH$8),0))</f>
        <v>0</v>
      </c>
      <c r="CK21" s="92">
        <f>IF('Customer Inputs'!$W$7="End",0,IFERROR(IF(AND($CH$2&lt;&gt;"Enter Spend&gt;&gt;&gt;",$CI$2="EXISTING"),SUMIFS('Existing Customers'!$P:$P,'Existing Customers'!$A:$A,$CH$1,'Existing Customers'!$H:$H,$CG21)*$CH$4,$CH21/$CT21),0))</f>
        <v>0</v>
      </c>
      <c r="CL21" s="93">
        <f>IF('Customer Inputs'!$W$7="End",0,IFERROR(IF(AND($CH$2&lt;&gt;"Enter Spend&gt;&gt;&gt;",$CI$2="EXISTING"),SUMIFS('Existing Customers'!$V:$V,'Existing Customers'!$H:$H,$CG21,'Existing Customers'!$A:$A,$CH$1)*$CH$4,0),0))</f>
        <v>0</v>
      </c>
      <c r="CM21" s="93">
        <f>IF('Customer Inputs'!$W$7="End",0,IFERROR(IF(AND($CH$2&lt;&gt;"Enter Spend&gt;&gt;&gt;",$CI$2="EXISTING"),SUMIFS('Existing Customers'!$R:$R,'Existing Customers'!$H:$H,$CG21,'Existing Customers'!$A:$A,$CH$1)*$CH$4,0),0))</f>
        <v>0</v>
      </c>
      <c r="CN21" s="780">
        <f>IF('Customer Inputs'!$W$7="End",0,IFERROR(IF(AND($CH$2&lt;&gt;"Enter Spend&gt;&gt;&gt;",$CI$2="EXISTING"),SUMIFS('Existing Customers'!$S:$S,'Existing Customers'!$H:$H,$CG21,'Existing Customers'!$A:$A,$CH$1)/SUMIFS('Existing Customers'!$Q:$Q,'Existing Customers'!$A:$A,$CH$1,'Existing Customers'!$H:$H,$CG21),CX21),0))</f>
        <v>0</v>
      </c>
      <c r="CO21" s="780">
        <f>IF('Customer Inputs'!$W$7="End",0,IFERROR(IF(AND($CH$2&lt;&gt;"Enter Spend&gt;&gt;&gt;",$CI$2="EXISTING"),SUMIFS('Existing Customers'!$U:$U,'Existing Customers'!$H:$H,$CG21,'Existing Customers'!$A:$A,$CH$1)/SUMIFS('Existing Customers'!$Q:$Q,'Existing Customers'!$A:$A,$CH$1,'Existing Customers'!$H:$H,$CG21),CY21),0))</f>
        <v>0</v>
      </c>
      <c r="CP21" s="783" t="e">
        <f>_xlfn.CONCAT('Customer Inputs'!$AH$7,"_",CG21)</f>
        <v>#N/A</v>
      </c>
      <c r="CQ21" s="783">
        <f t="array" ref="CQ21">IFERROR(INDEX('Margin Guidence Table'!$A$1:$AG$10000,MATCH(1,('Margin Guidence Table'!$A$1:$A$10000=$CP21)*('Margin Guidence Table'!$I$1:$I$10000&lt;=ROUND($CH$3,0))*('Margin Guidence Table'!$J$1:$J$10000&gt;=ROUND($CH$3,0)),0),MATCH("DATA_POINTS",'Margin Guidence Table'!$A$1:$AG$1,0)),0)</f>
        <v>0</v>
      </c>
      <c r="CR21" s="780" t="str">
        <f t="shared" si="35"/>
        <v>DEFAULT</v>
      </c>
      <c r="CS21" s="780">
        <f t="array" ref="CS21">IF('Customer Inputs'!$W$7="End",0,IFERROR(IF($CR21="SEGMENT",INDEX('Margin Guidence Table'!$A$1:$AG$10000,MATCH(1,('Margin Guidence Table'!$A$1:$A$10000=$CP21)*('Margin Guidence Table'!$I$1:$I$10000&lt;=ROUND($CH$3,0))*('Margin Guidence Table'!$J$1:$J$10000&gt;=ROUND($CH$3,0)),0),MATCH("SALES_CASE",'Margin Guidence Table'!$A$1:$AG$1,0)),INDEX('Margin Guidence Table'!$A$1:$AG$10000,MATCH(1,('Margin Guidence Table'!$A$1:$A$10000=$CP21)*('Margin Guidence Table'!$I$1:$I$10000&lt;=ROUND($CH$3,0))*('Margin Guidence Table'!$J$1:$J$10000&gt;=ROUND($CH$3,0)),0),MATCH("DEFAULT_SALES_CASE",'Margin Guidence Table'!$A$1:$AG$1,0))),0))</f>
        <v>0</v>
      </c>
      <c r="CT21" s="780">
        <f t="array" ref="CT21">IF('Customer Inputs'!$W$7="End",0,IFERROR(IF($CR21="SEGMENT",INDEX('Margin Guidence Table'!$A$1:$AG$10000,MATCH(1,('Margin Guidence Table'!$A$1:$A$10000=$CP21)*('Margin Guidence Table'!$I$1:$I$10000&lt;=ROUND($CH$3,0))*('Margin Guidence Table'!$J$1:$J$10000&gt;=ROUND($CH$3,0)),0),MATCH("SALES_LBS",'Margin Guidence Table'!$A$1:$AG$1,0)),INDEX('Margin Guidence Table'!$A$1:$AG$10000,MATCH(1,('Margin Guidence Table'!$A$1:$A$10000=$CP21)*('Margin Guidence Table'!$I$1:$I$10000&lt;=ROUND($CH$3,0))*('Margin Guidence Table'!$J$1:$J$10000&gt;=ROUND($CH$3,0)),0),MATCH("DEFAULT_SALES_LBS",'Margin Guidence Table'!$A$1:$AG$1,0))),0))</f>
        <v>0</v>
      </c>
      <c r="CU21" s="784">
        <f t="array" ref="CU21">IF('Customer Inputs'!$W$7="End",0,IFERROR(IF($CR21="SEGMENT",INDEX('Margin Guidence Table'!$A$1:$AG$10000,MATCH(1,('Margin Guidence Table'!$A$1:$A$10000=$CP21)*('Margin Guidence Table'!$I$1:$I$10000&lt;=ROUND($CH$3,0))*('Margin Guidence Table'!$J$1:$J$10000&gt;=ROUND($CH$3,0)),0),MATCH("MDA_MIN_MARGIN_GUIDENCE",'Margin Guidence Table'!$A$1:$AG$1,0)),INDEX('Margin Guidence Table'!$A$1:$AG$10000,MATCH(1,('Margin Guidence Table'!$A$1:$A$10000=$CP21)*('Margin Guidence Table'!$I$1:$I$10000&lt;=ROUND($CH$3,0))*('Margin Guidence Table'!$J$1:$J$10000&gt;=ROUND($CH$3,0)),0),MATCH("DEFAULT_MDA_MIN_MARGIN_GUIDENCE",'Margin Guidence Table'!$A$1:$AG$1,0))),0))</f>
        <v>0</v>
      </c>
      <c r="CV21" s="784">
        <f t="array" ref="CV21">IF('Customer Inputs'!$W$7="End",0,IFERROR(IF($CR21="SEGMENT",INDEX('Margin Guidence Table'!$A$1:$AG$10000,MATCH(1,('Margin Guidence Table'!$A$1:$A$10000=$CP21)*('Margin Guidence Table'!$I$1:$I$10000&lt;=ROUND($CH$3,0))*('Margin Guidence Table'!$J$1:$J$10000&gt;=ROUND($CH$3,0)),0),MATCH("MDA_MEDIAN_MARGIN_GUIDENCE",'Margin Guidence Table'!$A$1:$AG$1,0)),INDEX('Margin Guidence Table'!$A$1:$AG$10000,MATCH(1,('Margin Guidence Table'!$A$1:$A$10000=$CP21)*('Margin Guidence Table'!$I$1:$I$10000&lt;=ROUND($CH$3,0))*('Margin Guidence Table'!$J$1:$J$10000&gt;=ROUND($CH$3,0)),0),MATCH("DEFAULT_MDA_MEDIAN_MARGIN_GUIDENCE",'Margin Guidence Table'!$A$1:$AG$1,0))),0))</f>
        <v>0</v>
      </c>
      <c r="CW21" s="784">
        <f t="array" ref="CW21">IF('Customer Inputs'!$W$7="End",0,IFERROR(IF($CR21="SEGMENT",INDEX('Margin Guidence Table'!$A$1:$AG$10000,MATCH(1,('Margin Guidence Table'!$A$1:$A$10000=$CP21)*('Margin Guidence Table'!$I$1:$I$10000&lt;=ROUND($CH$3,0))*('Margin Guidence Table'!$J$1:$J$10000&gt;=ROUND($CH$3,0)),0),MATCH("MDA_MAX_MARGIN_GUIDENCE",'Margin Guidence Table'!$A$1:$AG$1,0)),INDEX('Margin Guidence Table'!$A$1:$AG$10000,MATCH(1,('Margin Guidence Table'!$A$1:$A$10000=$CP21)*('Margin Guidence Table'!$I$1:$I$10000&lt;=ROUND($CH$3,0))*('Margin Guidence Table'!$J$1:$J$10000&gt;=ROUND($CH$3,0)),0),MATCH("DEFAULT_MDA_MAX_MARGIN_GUIDENCE",'Margin Guidence Table'!$A$1:$AG$1,0))),0))</f>
        <v>0</v>
      </c>
      <c r="CX21" s="784">
        <f t="array" ref="CX21">IF('Customer Inputs'!$W$7="End",0,IFERROR(IF($CR21="SEGMENT",INDEX('Margin Guidence Table'!$A$1:$AG$10000,MATCH(1,('Margin Guidence Table'!$A$1:$A$10000=$CP21)*('Margin Guidence Table'!$I$1:$I$10000&lt;=ROUND($CH$3,0))*('Margin Guidence Table'!$J$1:$J$10000&gt;=ROUND($CH$3,0)),0),MATCH("PA_PCT_SALES",'Margin Guidence Table'!$A$1:$AG$1,0)),INDEX('Margin Guidence Table'!$A$1:$AG$10000,MATCH(1,('Margin Guidence Table'!$A$1:$A$10000=$CP21)*('Margin Guidence Table'!$I$1:$I$10000&lt;=ROUND($CH$3,0))*('Margin Guidence Table'!$J$1:$J$10000&gt;=ROUND($CH$3,0)),0),MATCH("DEFAULT_PA_PCT_SALES",'Margin Guidence Table'!$A$1:$AG$1,0))),0))</f>
        <v>0</v>
      </c>
      <c r="CY21" s="784">
        <f t="array" ref="CY21">IF('Customer Inputs'!$W$7="End",0,IFERROR(IF($CR21="SEGMENT",INDEX('Margin Guidence Table'!$A$1:$AG$10000,MATCH(1,('Margin Guidence Table'!$A$1:$A$10000=$CP21)*('Margin Guidence Table'!$I$1:$I$10000&lt;=ROUND($CH$3,0))*('Margin Guidence Table'!$J$1:$J$10000&gt;=ROUND($CH$3,0)),0),MATCH("SELF_FUND_PCT_SALES",'Margin Guidence Table'!$A$1:$AG$1,0)),INDEX('Margin Guidence Table'!$A$1:$AG$10000,MATCH(1,('Margin Guidence Table'!$A$1:$A$10000=$CP21)*('Margin Guidence Table'!$I$1:$I$10000&lt;=ROUND($CH$3,0))*('Margin Guidence Table'!$J$1:$J$10000&gt;=ROUND($CH$3,0)),0),MATCH("DEFAULT_SELF_FUND_PCT_SALES",'Margin Guidence Table'!$A$1:$AG$1,0))),0))</f>
        <v>0</v>
      </c>
      <c r="CZ21" s="784">
        <f t="array" ref="CZ21">IF('Customer Inputs'!$W$7="End",0,IF($CI$2="Existing",IFERROR(SUMIFS('Existing Customers'!$V:$V,'Existing Customers'!$H:$H,$CG21,'Existing Customers'!$A:$A,$CH$1)/SUMIFS('Existing Customers'!$Q:$Q,'Existing Customers'!$H:$H,$CG21,'Existing Customers'!$A:$A,$CH$1),0),IFERROR(IF($CR21="SEGMENT",INDEX('Margin Guidence Table'!$A$1:$AG$10000,MATCH(1,('Margin Guidence Table'!$A$1:$A$10000=$CP21)*('Margin Guidence Table'!$I$1:$I$10000&lt;=ROUND($CH$3,0))*('Margin Guidence Table'!$J$1:$J$10000&gt;=ROUND($CH$3,0)),0),MATCH("CIA_MEDIAN_MARGIN_GUIDENCE",'Margin Guidence Table'!$A$1:$AG$1,0)),INDEX('Margin Guidence Table'!$A$1:$AG$10000,MATCH(1,('Margin Guidence Table'!$A$1:$A$10000=$CP21)*('Margin Guidence Table'!$I$1:$I$10000&lt;=ROUND($CH$3,0))*('Margin Guidence Table'!$J$1:$J$10000&gt;=ROUND($CH$3,0)),0),MATCH("DEFAULT_CIA_MEDIAN_MARGIN_GUIDENCE",'Margin Guidence Table'!$A$1:$AG$1,0))),0)))</f>
        <v>0</v>
      </c>
      <c r="DA21" s="126"/>
      <c r="DB21" s="18">
        <f t="array" ref="DB21">IF('Customer Inputs'!$W$8="End",0,IFERROR(IF($DO21="SEGMENT",INDEX('Margin Guidence Table'!$A$1:$AG$10000,MATCH(1,('Margin Guidence Table'!$A$1:$A$10000=$DM21)*('Margin Guidence Table'!$I$1:$I$10000&lt;=ROUND($DE$3,0))*('Margin Guidence Table'!$J$1:$J$10000&gt;=ROUND($DE$3,0)),0),MATCH("PCT_SALES",'Margin Guidence Table'!$A$1:$AG$1,0)),INDEX('Margin Guidence Table'!$A$1:$AG$10000,MATCH(1,('Margin Guidence Table'!$A$1:$A$10000=$DM21)*('Margin Guidence Table'!$I$1:$I$10000&lt;=ROUND($DE$3,0))*('Margin Guidence Table'!$J$1:$J$10000&gt;=ROUND($DE$3,0)),0),MATCH("DEFAULT_PCT_SALES",'Margin Guidence Table'!$A$1:$AG$1,0))),0))</f>
        <v>0</v>
      </c>
      <c r="DC21" s="297" t="e">
        <f t="shared" si="36"/>
        <v>#DIV/0!</v>
      </c>
      <c r="DD21" s="99" t="s">
        <v>95</v>
      </c>
      <c r="DE21" s="91">
        <f>IF('Customer Inputs'!$W$8="End",0,IFERROR(IF(AND($DE$2&lt;&gt;"Enter Spend&gt;&gt;&gt;",$DF$2="EXISTING"),SUMIFS('Existing Customers'!$Q:$Q,'Existing Customers'!$A:$A,$DE$1,'Existing Customers'!$H:$H,$DD21)*$DE$4,$DE$3*$DC21),0))</f>
        <v>0</v>
      </c>
      <c r="DF21" s="86">
        <f>IF('Customer Inputs'!$W$8="End",0,IFERROR(IF(AND($DE$2&lt;&gt;"Enter Spend&gt;&gt;&gt;",$DF$2="EXISTING"),SUMIFS('Existing Customers'!$N:$N,'Existing Customers'!$A:$A,$DE$1,'Existing Customers'!$H:$H,$DD21)*$DE$4,$DE21/$DP21),0))</f>
        <v>0</v>
      </c>
      <c r="DG21" s="92">
        <f>IF('Customer Inputs'!$W$8="End",0,IFERROR(IF(AND($DE$2&lt;&gt;"Enter Spend&gt;&gt;&gt;",$DF$2="EXISTING"),SUMIFS('Existing Customers'!$O:$O,'Existing Customers'!$H:$H,$DD21,'Existing Customers'!$A:$A,$DE$1)*$DE$4,$DF21*$DE$8),0))</f>
        <v>0</v>
      </c>
      <c r="DH21" s="92">
        <f>IF('Customer Inputs'!$W$8="End",0,IFERROR(IF(AND($DE$2&lt;&gt;"Enter Spend&gt;&gt;&gt;",$DF$2="EXISTING"),SUMIFS('Existing Customers'!$P:$P,'Existing Customers'!$A:$A,$DE$1,'Existing Customers'!$H:$H,$DD21)*$DE$4,$DE21/$DQ21),0))</f>
        <v>0</v>
      </c>
      <c r="DI21" s="93">
        <f>IF('Customer Inputs'!$W$8="End",0,IFERROR(IF(AND($DE$2&lt;&gt;"Enter Spend&gt;&gt;&gt;",$DF$2="EXISTING"),SUMIFS('Existing Customers'!$V:$V,'Existing Customers'!$H:$H,$DD21,'Existing Customers'!$A:$A,$DE$1)*$DE$4,0),0))</f>
        <v>0</v>
      </c>
      <c r="DJ21" s="93">
        <f>IF('Customer Inputs'!$W$8="End",0,IFERROR(IF(AND($DE$2&lt;&gt;"Enter Spend&gt;&gt;&gt;",$DF$2="EXISTING"),SUMIFS('Existing Customers'!$R:$R,'Existing Customers'!$H:$H,$DD21,'Existing Customers'!$A:$A,$DE$1)*$DE$4,0),0))</f>
        <v>0</v>
      </c>
      <c r="DK21" s="780">
        <f>IF('Customer Inputs'!$W$8="End",0,IFERROR(IF(AND($DE$2&lt;&gt;"Enter Spend&gt;&gt;&gt;",$DF$2="EXISTING"),SUMIFS('Existing Customers'!$S:$S,'Existing Customers'!$H:$H,$DD21,'Existing Customers'!$A:$A,$DE$1)/SUMIFS('Existing Customers'!$Q:$Q,'Existing Customers'!$A:$A,$DE$1,'Existing Customers'!$H:$H,$DD21),DU21),0))</f>
        <v>0</v>
      </c>
      <c r="DL21" s="780">
        <f>IF('Customer Inputs'!$W$8="End",0,IFERROR(IF(AND($DE$2&lt;&gt;"Enter Spend&gt;&gt;&gt;",$DF$2="EXISTING"),SUMIFS('Existing Customers'!$U:$U,'Existing Customers'!$H:$H,$DD21,'Existing Customers'!$A:$A,$DE$1)/SUMIFS('Existing Customers'!$Q:$Q,'Existing Customers'!$A:$A,$DE$1,'Existing Customers'!$H:$H,$DD21),DV21),0))</f>
        <v>0</v>
      </c>
      <c r="DM21" s="783" t="e">
        <f>_xlfn.CONCAT('Customer Inputs'!$AH$8,"_",DD21)</f>
        <v>#N/A</v>
      </c>
      <c r="DN21" s="783">
        <f t="array" ref="DN21">IF('Customer Inputs'!$W$8="End",0,IFERROR(INDEX('Margin Guidence Table'!$A$1:$AG$10000,MATCH(1,('Margin Guidence Table'!$A$1:$A$10000=DM21)*('Margin Guidence Table'!$I$1:$I$10000&lt;=ROUND($DE$3,0))*('Margin Guidence Table'!$J$1:$J$10000&gt;=ROUND($DE$3,0)),0),MATCH("DATA_POINTS",'Margin Guidence Table'!$A$1:$AG$1,0)),0))</f>
        <v>0</v>
      </c>
      <c r="DO21" s="780" t="str">
        <f t="shared" si="37"/>
        <v>DEFAULT</v>
      </c>
      <c r="DP21" s="780">
        <f t="array" ref="DP21">IF('Customer Inputs'!$W$8="End",0,IFERROR(IF($DO21="SEGMENT",INDEX('Margin Guidence Table'!$A$1:$AG$10000,MATCH(1,('Margin Guidence Table'!$A$1:$A$10000=DM21)*('Margin Guidence Table'!$I$1:$I$10000&lt;=ROUND($DE$3,0))*('Margin Guidence Table'!$J$1:$J$10000&gt;=ROUND($DE$3,0)),0),MATCH("SALES_CASE",'Margin Guidence Table'!$A$1:$AG$1,0)),INDEX('Margin Guidence Table'!$A$1:$AG$10000,MATCH(1,('Margin Guidence Table'!$A$1:$A$10000=DM21)*('Margin Guidence Table'!$I$1:$I$10000&lt;=ROUND($DE$3,0))*('Margin Guidence Table'!$J$1:$J$10000&gt;=ROUND($DE$3,0)),0),MATCH("DEFAULT_SALES_CASE",'Margin Guidence Table'!$A$1:$AG$1,0))),0))</f>
        <v>0</v>
      </c>
      <c r="DQ21" s="780">
        <f t="array" ref="DQ21">IF('Customer Inputs'!$W$8="End",0,IFERROR(IF($DO21="SEGMENT",INDEX('Margin Guidence Table'!$A$1:$AG$10000,MATCH(1,('Margin Guidence Table'!$A$1:$A$10000=DM21)*('Margin Guidence Table'!$I$1:$I$10000&lt;=ROUND($DE$3,0))*('Margin Guidence Table'!$J$1:$J$10000&gt;=ROUND($DE$3,0)),0),MATCH("SALES_LBS",'Margin Guidence Table'!$A$1:$AG$1,0)),INDEX('Margin Guidence Table'!$A$1:$AG$10000,MATCH(1,('Margin Guidence Table'!$A$1:$A$10000=DM21)*('Margin Guidence Table'!$I$1:$I$10000&lt;=ROUND($DE$3,0))*('Margin Guidence Table'!$J$1:$J$10000&gt;=ROUND($DE$3,0)),0),MATCH("DEFAULT_SALES_LBS",'Margin Guidence Table'!$A$1:$AG$1,0))),0))</f>
        <v>0</v>
      </c>
      <c r="DR21" s="784">
        <f t="array" ref="DR21">IF('Customer Inputs'!$W$8="End",0,IFERROR(IF($DO21="SEGMENT",INDEX('Margin Guidence Table'!$A$1:$AG$10000,MATCH(1,('Margin Guidence Table'!$A$1:$A$10000=DM21)*('Margin Guidence Table'!$I$1:$I$10000&lt;=ROUND($DE$3,0))*('Margin Guidence Table'!$J$1:$J$10000&gt;=ROUND($DE$3,0)),0),MATCH("MDA_MIN_MARGIN_GUIDENCE",'Margin Guidence Table'!$A$1:$AG$1,0)),INDEX('Margin Guidence Table'!$A$1:$AG$10000,MATCH(1,('Margin Guidence Table'!$A$1:$A$10000=DM21)*('Margin Guidence Table'!$I$1:$I$10000&lt;=ROUND($DE$3,0))*('Margin Guidence Table'!$J$1:$J$10000&gt;=ROUND($DE$3,0)),0),MATCH("DEFAULT_MDA_MIN_MARGIN_GUIDENCE",'Margin Guidence Table'!$A$1:$AG$1,0))),0))</f>
        <v>0</v>
      </c>
      <c r="DS21" s="784">
        <f t="array" ref="DS21">IF('Customer Inputs'!$W$8="End",0,IFERROR(IF($DO21="SEGMENT",INDEX('Margin Guidence Table'!$A$1:$AG$10000,MATCH(1,('Margin Guidence Table'!$A$1:$A$10000=DM21)*('Margin Guidence Table'!$I$1:$I$10000&lt;=ROUND($DE$3,0))*('Margin Guidence Table'!$J$1:$J$10000&gt;=ROUND($DE$3,0)),0),MATCH("MDA_MEDIAN_MARGIN_GUIDENCE",'Margin Guidence Table'!$A$1:$AG$1,0)),INDEX('Margin Guidence Table'!$A$1:$AG$10000,MATCH(1,('Margin Guidence Table'!$A$1:$A$10000=DM21)*('Margin Guidence Table'!$I$1:$I$10000&lt;=ROUND($DE$3,0))*('Margin Guidence Table'!$J$1:$J$10000&gt;=ROUND($DE$3,0)),0),MATCH("DEFAULT_MDA_MEDIAN_MARGIN_GUIDENCE",'Margin Guidence Table'!$A$1:$AG$1,0))),0))</f>
        <v>0</v>
      </c>
      <c r="DT21" s="784">
        <f t="array" ref="DT21">IF('Customer Inputs'!$W$8="End",0,IFERROR(IF($DO21="SEGMENT",INDEX('Margin Guidence Table'!$A$1:$AG$10000,MATCH(1,('Margin Guidence Table'!$A$1:$A$10000=DM21)*('Margin Guidence Table'!$I$1:$I$10000&lt;=ROUND($DE$3,0))*('Margin Guidence Table'!$J$1:$J$10000&gt;=ROUND($DE$3,0)),0),MATCH("MDA_MAX_MARGIN_GUIDENCE",'Margin Guidence Table'!$A$1:$AG$1,0)),INDEX('Margin Guidence Table'!$A$1:$AG$10000,MATCH(1,('Margin Guidence Table'!$A$1:$A$10000=DM21)*('Margin Guidence Table'!$I$1:$I$10000&lt;=ROUND($DE$3,0))*('Margin Guidence Table'!$J$1:$J$10000&gt;=ROUND($DE$3,0)),0),MATCH("DEFAULT_MDA_MAX_MARGIN_GUIDENCE",'Margin Guidence Table'!$A$1:$AG$1,0))),0))</f>
        <v>0</v>
      </c>
      <c r="DU21" s="784">
        <f t="array" ref="DU21">IF('Customer Inputs'!$W$8="End",0,IFERROR(IF($DO21="SEGMENT",INDEX('Margin Guidence Table'!$A$1:$AG$10000,MATCH(1,('Margin Guidence Table'!$A$1:$A$10000=DM21)*('Margin Guidence Table'!$I$1:$I$10000&lt;=ROUND($DE$3,0))*('Margin Guidence Table'!$J$1:$J$10000&gt;=ROUND($DE$3,0)),0),MATCH("PA_PCT_SALES",'Margin Guidence Table'!$A$1:$AG$1,0)),INDEX('Margin Guidence Table'!$A$1:$AG$10000,MATCH(1,('Margin Guidence Table'!$A$1:$A$10000=DM21)*('Margin Guidence Table'!$I$1:$I$10000&lt;=ROUND($DE$3,0))*('Margin Guidence Table'!$J$1:$J$10000&gt;=ROUND($DE$3,0)),0),MATCH("DEFAULT_PA_PCT_SALES",'Margin Guidence Table'!$A$1:$AG$1,0))),0))</f>
        <v>0</v>
      </c>
      <c r="DV21" s="784">
        <f t="array" ref="DV21">IF('Customer Inputs'!$W$8="End",0,IFERROR(IF($DO21="SEGMENT",INDEX('Margin Guidence Table'!$A$1:$AG$10000,MATCH(1,('Margin Guidence Table'!$A$1:$A$10000=DM21)*('Margin Guidence Table'!$I$1:$I$10000&lt;=ROUND($DE$3,0))*('Margin Guidence Table'!$J$1:$J$10000&gt;=ROUND($DE$3,0)),0),MATCH("SELF_FUND_PCT_SALES",'Margin Guidence Table'!$A$1:$AG$1,0)),INDEX('Margin Guidence Table'!$A$1:$AG$10000,MATCH(1,('Margin Guidence Table'!$A$1:$A$10000=DM21)*('Margin Guidence Table'!$I$1:$I$10000&lt;=ROUND($DE$3,0))*('Margin Guidence Table'!$J$1:$J$10000&gt;=ROUND($DE$3,0)),0),MATCH("DEFAULT_SELF_FUND_PCT_SALES",'Margin Guidence Table'!$A$1:$AG$1,0))),0))</f>
        <v>0</v>
      </c>
      <c r="DW21" s="784">
        <f t="array" ref="DW21">IF('Customer Inputs'!$W$8="End",0,IF($DF$2="Existing",IFERROR(SUMIFS('Existing Customers'!$V:$V,'Existing Customers'!$H:$H,$DD21,'Existing Customers'!$A:$A,$DE$1)/SUMIFS('Existing Customers'!$Q:$Q,'Existing Customers'!$H:$H,$DD21,'Existing Customers'!$A:$A,$DE$1),0),IFERROR(IF($DO21="SEGMENT",INDEX('Margin Guidence Table'!$A$1:$AG$10000,MATCH(1,('Margin Guidence Table'!$A$1:$A$10000=DM21)*('Margin Guidence Table'!$I$1:$I$10000&lt;=ROUND($DE$3,0))*('Margin Guidence Table'!$J$1:$J$10000&gt;=ROUND($DE$3,0)),0),MATCH("CIA_MEDIAN_MARGIN_GUIDENCE",'Margin Guidence Table'!$A$1:$AG$1,0)),INDEX('Margin Guidence Table'!$A$1:$AG$10000,MATCH(1,('Margin Guidence Table'!$A$1:$A$10000=DM21)*('Margin Guidence Table'!$I$1:$I$10000&lt;=ROUND($DE$3,0))*('Margin Guidence Table'!$J$1:$J$10000&gt;=ROUND($DE$3,0)),0),MATCH("DEFAULT_CIA_MEDIAN_MARGIN_GUIDENCE",'Margin Guidence Table'!$A$1:$AG$1,0))),0)))</f>
        <v>0</v>
      </c>
      <c r="DX21" s="126"/>
      <c r="DY21" s="18">
        <f t="array" ref="DY21">IF('Customer Inputs'!$W$9="End",0,IFERROR(IF($EL21="SEGMENT",INDEX('Margin Guidence Table'!$A$1:$AG$10000,MATCH(1,('Margin Guidence Table'!$A$1:$A$10000=$EJ21)*('Margin Guidence Table'!$I$1:$I$10000&lt;=ROUND($EB$3,0))*('Margin Guidence Table'!$J$1:$J$10000&gt;=ROUND($EB$3,0)),0),MATCH("PCT_SALES",'Margin Guidence Table'!$A$1:$AG$1,0)),INDEX('Margin Guidence Table'!$A$1:$AG$10000,MATCH(1,('Margin Guidence Table'!$A$1:$A$10000=$EJ21)*('Margin Guidence Table'!$I$1:$I$10000&lt;=ROUND($EB$3,0))*('Margin Guidence Table'!$J$1:$J$10000&gt;=ROUND($EB$3,0)),0),MATCH("DEFAULT_PCT_SALES",'Margin Guidence Table'!$A$1:$AG$1,0))),0))</f>
        <v>0</v>
      </c>
      <c r="DZ21" s="297" t="e">
        <f t="shared" si="38"/>
        <v>#DIV/0!</v>
      </c>
      <c r="EA21" s="99" t="s">
        <v>95</v>
      </c>
      <c r="EB21" s="91">
        <f>IF('Customer Inputs'!$W$9="End",0,IFERROR(IF(AND($EB$2&lt;&gt;"Enter Spend&gt;&gt;&gt;",$EC$2="EXISTING"),SUMIFS('Existing Customers'!$Q:$Q,'Existing Customers'!$A:$A,$EB$1,'Existing Customers'!$H:$H,$EA21)*$EB$4,$EB$3*$DZ21),0))</f>
        <v>0</v>
      </c>
      <c r="EC21" s="86">
        <f>IF('Customer Inputs'!$W$9="End",0,IFERROR(IF(AND($EB$2&lt;&gt;"Enter Spend&gt;&gt;&gt;",$EC$2="EXISTING"),SUMIFS('Existing Customers'!$N:$N,'Existing Customers'!$A:$A,$EB$1,'Existing Customers'!$H:$H,$EA21)*$EB$4,$EB21/$EM21),0))</f>
        <v>0</v>
      </c>
      <c r="ED21" s="92">
        <f>IF('Customer Inputs'!$W$9="End",0,IFERROR(IF(AND($EB$2&lt;&gt;"Enter Spend&gt;&gt;&gt;",$EC$2="EXISTING"),SUMIFS('Existing Customers'!$O:$O,'Existing Customers'!$H:$H,$EA21,'Existing Customers'!$A:$A,$EB$1)*$EB$4,$EC21*$EB$8),0))</f>
        <v>0</v>
      </c>
      <c r="EE21" s="92">
        <f>IF('Customer Inputs'!$W$9="End",0,IFERROR(IF(AND($EB$2&lt;&gt;"Enter Spend&gt;&gt;&gt;",$EC$2="EXISTING"),SUMIFS('Existing Customers'!$P:$P,'Existing Customers'!$A:$A,$EB$1,'Existing Customers'!$H:$H,$EA21)*$EB$4,$EB21/$EN21),0))</f>
        <v>0</v>
      </c>
      <c r="EF21" s="93">
        <f>IF('Customer Inputs'!$W$9="End",0,IFERROR(IF(AND($EB$2&lt;&gt;"Enter Spend&gt;&gt;&gt;",$EC$2="EXISTING"),SUMIFS('Existing Customers'!$V:$V,'Existing Customers'!$H:$H,$EA21,'Existing Customers'!$A:$A,$EB$1)*$EB$4,0),0))</f>
        <v>0</v>
      </c>
      <c r="EG21" s="93">
        <f>IF('Customer Inputs'!$W$9="End",0,IFERROR(IF(AND($EB$2&lt;&gt;"Enter Spend&gt;&gt;&gt;",$EC$2="EXISTING"),SUMIFS('Existing Customers'!$R:$R,'Existing Customers'!$H:$H,$EA21,'Existing Customers'!$A:$A,$EB$1)*$EB$4,0),0))</f>
        <v>0</v>
      </c>
      <c r="EH21" s="780">
        <f>IF('Customer Inputs'!$W$9="End",0,IFERROR(IF(AND($EB$2&lt;&gt;"Enter Spend&gt;&gt;&gt;",$EC$2="EXISTING"),SUMIFS('Existing Customers'!$S:$S,'Existing Customers'!$H:$H,$EA21,'Existing Customers'!$A:$A,$EB$1)/SUMIFS('Existing Customers'!$Q:$Q,'Existing Customers'!$A:$A,$EB$1,'Existing Customers'!$H:$H,$EA21),ER21),0))</f>
        <v>0</v>
      </c>
      <c r="EI21" s="780">
        <f>IF('Customer Inputs'!$W$9="End",0,IFERROR(IF(AND($EB$2&lt;&gt;"Enter Spend&gt;&gt;&gt;",$EC$2="EXISTING"),SUMIFS('Existing Customers'!$U:$U,'Existing Customers'!$H:$H,$EA21,'Existing Customers'!$A:$A,$EB$1)/SUMIFS('Existing Customers'!$Q:$Q,'Existing Customers'!$A:$A,$EB$1,'Existing Customers'!$H:$H,$EA21),ES21),0))</f>
        <v>0</v>
      </c>
      <c r="EJ21" s="783" t="e">
        <f>_xlfn.CONCAT('Customer Inputs'!$AH$9,"_",EA21)</f>
        <v>#N/A</v>
      </c>
      <c r="EK21" s="783">
        <f t="array" ref="EK21">IF('Customer Inputs'!$W$9="End",0,IFERROR(INDEX('Margin Guidence Table'!$A$1:$AG$10000,MATCH(1,('Margin Guidence Table'!$A$1:$A$10000=EJ21)*('Margin Guidence Table'!$I$1:$I$10000&lt;=ROUND($EB$3,0))*('Margin Guidence Table'!$J$1:$J$10000&gt;=ROUND($EB$3,0)),0),MATCH("DATA_POINTS",'Margin Guidence Table'!$A$1:$AG$1,0)),0))</f>
        <v>0</v>
      </c>
      <c r="EL21" s="780" t="str">
        <f t="shared" si="39"/>
        <v>DEFAULT</v>
      </c>
      <c r="EM21" s="780">
        <f t="array" ref="EM21">IF('Customer Inputs'!$W$9="End",0,IFERROR(IF($EL21="SEGMENT",INDEX('Margin Guidence Table'!$A$1:$AG$10000,MATCH(1,('Margin Guidence Table'!$A$1:$A$10000=EJ21)*('Margin Guidence Table'!$I$1:$I$10000&lt;=ROUND($EB$3,0))*('Margin Guidence Table'!$J$1:$J$10000&gt;=ROUND($EB$3,0)),0),MATCH("SALES_CASE",'Margin Guidence Table'!$A$1:$AG$1,0)),INDEX('Margin Guidence Table'!$A$1:$AG$10000,MATCH(1,('Margin Guidence Table'!$A$1:$A$10000=EJ21)*('Margin Guidence Table'!$I$1:$I$10000&lt;=ROUND($EB$3,0))*('Margin Guidence Table'!$J$1:$J$10000&gt;=ROUND($EB$3,0)),0),MATCH("DEFAULT_SALES_CASE",'Margin Guidence Table'!$A$1:$AG$1,0))),0))</f>
        <v>0</v>
      </c>
      <c r="EN21" s="780">
        <f t="array" ref="EN21">IF('Customer Inputs'!$W$9="End",0,IFERROR(IF($EL21="SEGMENT",INDEX('Margin Guidence Table'!$A$1:$AG$10000,MATCH(1,('Margin Guidence Table'!$A$1:$A$10000=EJ21)*('Margin Guidence Table'!$I$1:$I$10000&lt;=ROUND($EB$3,0))*('Margin Guidence Table'!$J$1:$J$10000&gt;=ROUND($EB$3,0)),0),MATCH("SALES_LBS",'Margin Guidence Table'!$A$1:$AG$1,0)),INDEX('Margin Guidence Table'!$A$1:$AG$10000,MATCH(1,('Margin Guidence Table'!$A$1:$A$10000=EJ21)*('Margin Guidence Table'!$I$1:$I$10000&lt;=ROUND($EB$3,0))*('Margin Guidence Table'!$J$1:$J$10000&gt;=ROUND($EB$3,0)),0),MATCH("DEFAULT_SALES_LBS",'Margin Guidence Table'!$A$1:$AG$1,0))),0))</f>
        <v>0</v>
      </c>
      <c r="EO21" s="784">
        <f t="array" ref="EO21">IF('Customer Inputs'!$W$9="End",0,IFERROR(IF($EL21="SEGMENT",INDEX('Margin Guidence Table'!$A$1:$AG$10000,MATCH(1,('Margin Guidence Table'!$A$1:$A$10000=EJ21)*('Margin Guidence Table'!$I$1:$I$10000&lt;=ROUND($EB$3,0))*('Margin Guidence Table'!$J$1:$J$10000&gt;=ROUND($EB$3,0)),0),MATCH("MDA_MIN_MARGIN_GUIDENCE",'Margin Guidence Table'!$A$1:$AG$1,0)),INDEX('Margin Guidence Table'!$A$1:$AG$10000,MATCH(1,('Margin Guidence Table'!$A$1:$A$10000=EJ21)*('Margin Guidence Table'!$I$1:$I$10000&lt;=ROUND($EB$3,0))*('Margin Guidence Table'!$J$1:$J$10000&gt;=ROUND($EB$3,0)),0),MATCH("DEFAULT_MDA_MIN_MARGIN_GUIDENCE",'Margin Guidence Table'!$A$1:$AG$1,0))),0))</f>
        <v>0</v>
      </c>
      <c r="EP21" s="784">
        <f t="array" ref="EP21">IF('Customer Inputs'!$W$9="End",0,IFERROR(IF($EL21="SEGMENT",INDEX('Margin Guidence Table'!$A$1:$AG$10000,MATCH(1,('Margin Guidence Table'!$A$1:$A$10000=EJ21)*('Margin Guidence Table'!$I$1:$I$10000&lt;=ROUND($EB$3,0))*('Margin Guidence Table'!$J$1:$J$10000&gt;=ROUND($EB$3,0)),0),MATCH("MDA_MEDIAN_MARGIN_GUIDENCE",'Margin Guidence Table'!$A$1:$AG$1,0)),INDEX('Margin Guidence Table'!$A$1:$AG$10000,MATCH(1,('Margin Guidence Table'!$A$1:$A$10000=EJ21)*('Margin Guidence Table'!$I$1:$I$10000&lt;=ROUND($EB$3,0))*('Margin Guidence Table'!$J$1:$J$10000&gt;=ROUND($EB$3,0)),0),MATCH("DEFAULT_MDA_MEDIAN_MARGIN_GUIDENCE",'Margin Guidence Table'!$A$1:$AG$1,0))),0))</f>
        <v>0</v>
      </c>
      <c r="EQ21" s="784">
        <f t="array" ref="EQ21">IF('Customer Inputs'!$W$9="End",0,IFERROR(IF($EL21="SEGMENT",INDEX('Margin Guidence Table'!$A$1:$AG$10000,MATCH(1,('Margin Guidence Table'!$A$1:$A$10000=EJ21)*('Margin Guidence Table'!$I$1:$I$10000&lt;=ROUND($EB$3,0))*('Margin Guidence Table'!$J$1:$J$10000&gt;=ROUND($EB$3,0)),0),MATCH("MDA_MAX_MARGIN_GUIDENCE",'Margin Guidence Table'!$A$1:$AG$1,0)),INDEX('Margin Guidence Table'!$A$1:$AG$10000,MATCH(1,('Margin Guidence Table'!$A$1:$A$10000=EJ21)*('Margin Guidence Table'!$I$1:$I$10000&lt;=ROUND($EB$3,0))*('Margin Guidence Table'!$J$1:$J$10000&gt;=ROUND($EB$3,0)),0),MATCH("DEFAULT_MDA_MAX_MARGIN_GUIDENCE",'Margin Guidence Table'!$A$1:$AG$1,0))),0))</f>
        <v>0</v>
      </c>
      <c r="ER21" s="784">
        <f t="array" ref="ER21">IF('Customer Inputs'!$W$9="End",0,IFERROR(IF($EL21="SEGMENT",INDEX('Margin Guidence Table'!$A$1:$AG$10000,MATCH(1,('Margin Guidence Table'!$A$1:$A$10000=EJ21)*('Margin Guidence Table'!$I$1:$I$10000&lt;=ROUND($EB$3,0))*('Margin Guidence Table'!$J$1:$J$10000&gt;=ROUND($EB$3,0)),0),MATCH("PA_PCT_SALES",'Margin Guidence Table'!$A$1:$AG$1,0)),INDEX('Margin Guidence Table'!$A$1:$AG$10000,MATCH(1,('Margin Guidence Table'!$A$1:$A$10000=EJ21)*('Margin Guidence Table'!$I$1:$I$10000&lt;=ROUND($EB$3,0))*('Margin Guidence Table'!$J$1:$J$10000&gt;=ROUND($EB$3,0)),0),MATCH("DEFAULT_PA_PCT_SALES",'Margin Guidence Table'!$A$1:$AG$1,0))),0))</f>
        <v>0</v>
      </c>
      <c r="ES21" s="784">
        <f t="array" ref="ES21">IF('Customer Inputs'!$W$9="End",0,IFERROR(IF($EL21="SEGMENT",INDEX('Margin Guidence Table'!$A$1:$AG$10000,MATCH(1,('Margin Guidence Table'!$A$1:$A$10000=EJ21)*('Margin Guidence Table'!$I$1:$I$10000&lt;=ROUND($EB$3,0))*('Margin Guidence Table'!$J$1:$J$10000&gt;=ROUND($EB$3,0)),0),MATCH("SELF_FUND_PCT_SALES",'Margin Guidence Table'!$A$1:$AG$1,0)),INDEX('Margin Guidence Table'!$A$1:$AG$10000,MATCH(1,('Margin Guidence Table'!$A$1:$A$10000=EJ21)*('Margin Guidence Table'!$I$1:$I$10000&lt;=ROUND($EB$3,0))*('Margin Guidence Table'!$J$1:$J$10000&gt;=ROUND($EB$3,0)),0),MATCH("DEFAULT_SELF_FUND_PCT_SALES",'Margin Guidence Table'!$A$1:$AG$1,0))),0))</f>
        <v>0</v>
      </c>
      <c r="ET21" s="784">
        <f t="array" ref="ET21">IF('Customer Inputs'!$W$9="End",0,IF($EC$2="Existing",IFERROR(SUMIFS('Existing Customers'!$V:$V,'Existing Customers'!$H:$H,$EA21,'Existing Customers'!$A:$A,$EB$1)/SUMIFS('Existing Customers'!$Q:$Q,'Existing Customers'!$H:$H,$EA21,'Existing Customers'!$A:$A,$EB$1),0),IFERROR(IF($EL21="SEGMENT",INDEX('Margin Guidence Table'!$A$1:$AG$10000,MATCH(1,('Margin Guidence Table'!$A$1:$A$10000=EJ21)*('Margin Guidence Table'!$I$1:$I$10000&lt;=ROUND($EB$3,0))*('Margin Guidence Table'!$J$1:$J$10000&gt;=ROUND($EB$3,0)),0),MATCH("CIA_MEDIAN_MARGIN_GUIDENCE",'Margin Guidence Table'!$A$1:$AG$1,0)),INDEX('Margin Guidence Table'!$A$1:$AG$10000,MATCH(1,('Margin Guidence Table'!$A$1:$A$10000=EJ21)*('Margin Guidence Table'!$I$1:$I$10000&lt;=ROUND($EB$3,0))*('Margin Guidence Table'!$J$1:$J$10000&gt;=ROUND($EB$3,0)),0),MATCH("DEFAULT_CIA_MEDIAN_MARGIN_GUIDENCE",'Margin Guidence Table'!$A$1:$AG$1,0))),0)))</f>
        <v>0</v>
      </c>
      <c r="EU21" s="126"/>
      <c r="EV21" s="18">
        <f t="array" ref="EV21">IF('Customer Inputs'!$W$10="End",0,IFERROR(IF($FI21="SEGMENT",INDEX('Margin Guidence Table'!$A$1:$AG$10000,MATCH(1,('Margin Guidence Table'!$A$1:$A$10000=$FG21)*('Margin Guidence Table'!$I$1:$I$10000&lt;=ROUND($EY$3,0))*('Margin Guidence Table'!$J$1:$J$10000&gt;=ROUND($EY$3,0)),0),MATCH("PCT_SALES",'Margin Guidence Table'!$A$1:$AG$1,0)),INDEX('Margin Guidence Table'!$A$1:$AG$10000,MATCH(1,('Margin Guidence Table'!$A$1:$A$10000=$FG21)*('Margin Guidence Table'!$I$1:$I$10000&lt;=ROUND($EY$3,0))*('Margin Guidence Table'!$J$1:$J$10000&gt;=ROUND($EY$3,0)),0),MATCH("DEFAULT_PCT_SALES",'Margin Guidence Table'!$A$1:$AG$1,0))),0))</f>
        <v>0</v>
      </c>
      <c r="EW21" s="297" t="e">
        <f t="shared" si="40"/>
        <v>#DIV/0!</v>
      </c>
      <c r="EX21" s="99" t="s">
        <v>95</v>
      </c>
      <c r="EY21" s="91">
        <f>IF('Customer Inputs'!$W$10="End",0,IFERROR(IF(AND($EY$2&lt;&gt;"Enter Spend&gt;&gt;&gt;",$EZ$2="EXISTING"),SUMIFS('Existing Customers'!$Q:$Q,'Existing Customers'!$A:$A,$EY$1,'Existing Customers'!$H:$H,$EX21)*$EY$4,$EY$3*$EW21),0))</f>
        <v>0</v>
      </c>
      <c r="EZ21" s="86">
        <f>IF('Customer Inputs'!$W$10="End",0,IFERROR(IF(AND($EY$2&lt;&gt;"Enter Spend&gt;&gt;&gt;",$EZ$2="EXISTING"),SUMIFS('Existing Customers'!$N:$N,'Existing Customers'!$A:$A,$EY$1,'Existing Customers'!$H:$H,$EX21)*$EY$4,$EY21/$FJ21),0))</f>
        <v>0</v>
      </c>
      <c r="FA21" s="92">
        <f>IF('Customer Inputs'!$W$10="End",0,IFERROR(IF(AND($EY$2&lt;&gt;"Enter Spend&gt;&gt;&gt;",$EZ$2="EXISTING"),SUMIFS('Existing Customers'!$O:$O,'Existing Customers'!$H:$H,$EX21,'Existing Customers'!$A:$A,$EY$1)*$EY$4,$EZ21*$EY$8),0))</f>
        <v>0</v>
      </c>
      <c r="FB21" s="92">
        <f>IF('Customer Inputs'!$W$10="End",0,IFERROR(IF(AND($EY$2&lt;&gt;"Enter Spend&gt;&gt;&gt;",$EZ$2="EXISTING"),SUMIFS('Existing Customers'!$P:$P,'Existing Customers'!$A:$A,$EY$1,'Existing Customers'!$H:$H,$EX21)*$EY$4,$EY21/$FK21),0))</f>
        <v>0</v>
      </c>
      <c r="FC21" s="93">
        <f>IF('Customer Inputs'!$W$10="End",0,IFERROR(IF(AND($EY$2&lt;&gt;"Enter Spend&gt;&gt;&gt;",$EZ$2="EXISTING"),SUMIFS('Existing Customers'!$V:$V,'Existing Customers'!$H:$H,$EX21,'Existing Customers'!$A:$A,$EY$1)*$EY$4,0),0))</f>
        <v>0</v>
      </c>
      <c r="FD21" s="93">
        <f>IF('Customer Inputs'!$W$10="End",0,IFERROR(IF(AND($EY$2&lt;&gt;"Enter Spend&gt;&gt;&gt;",$EZ$2="EXISTING"),SUMIFS('Existing Customers'!$R:$R,'Existing Customers'!$H:$H,$EX21,'Existing Customers'!$A:$A,$EY$1)*$EY$4,0),0))</f>
        <v>0</v>
      </c>
      <c r="FE21" s="780">
        <f>IF('Customer Inputs'!$W$10="End",0,IFERROR(IF(AND($EY$2&lt;&gt;"Enter Spend&gt;&gt;&gt;",$EZ$2="EXISTING"),SUMIFS('Existing Customers'!$S:$S,'Existing Customers'!$H:$H,$EX21,'Existing Customers'!$A:$A,$EY$1)/SUMIFS('Existing Customers'!$Q:$Q,'Existing Customers'!$A:$A,$EY$1,'Existing Customers'!$H:$H,$EX21),FO21),0))</f>
        <v>0</v>
      </c>
      <c r="FF21" s="780">
        <f>IF('Customer Inputs'!$W$10="End",0,IFERROR(IF(AND($EY$2&lt;&gt;"Enter Spend&gt;&gt;&gt;",$EZ$2="EXISTING"),SUMIFS('Existing Customers'!$U:$U,'Existing Customers'!$H:$H,$EX21,'Existing Customers'!$A:$A,$EY$1)/SUMIFS('Existing Customers'!$Q:$Q,'Existing Customers'!$A:$A,$EY$1,'Existing Customers'!$H:$H,$EX21),FP21),0))</f>
        <v>0</v>
      </c>
      <c r="FG21" s="783" t="e">
        <f>_xlfn.CONCAT('Customer Inputs'!$AH$10,"_",EX21)</f>
        <v>#N/A</v>
      </c>
      <c r="FH21" s="783">
        <f t="array" ref="FH21">IF('Customer Inputs'!$W$10="End",0,IFERROR(INDEX('Margin Guidence Table'!$A$1:$AG$10000,MATCH(1,('Margin Guidence Table'!$A$1:$A$10000=FG21)*('Margin Guidence Table'!$I$1:$I$10000&lt;=ROUND($EY$3,0))*('Margin Guidence Table'!$J$1:$J$10000&gt;=ROUND($EY$3,0)),0),MATCH("DATA_POINTS",'Margin Guidence Table'!$A$1:$AG$1,0)),0))</f>
        <v>0</v>
      </c>
      <c r="FI21" s="780" t="str">
        <f t="shared" si="41"/>
        <v>DEFAULT</v>
      </c>
      <c r="FJ21" s="780">
        <f t="array" ref="FJ21">IF('Customer Inputs'!$W$10="End",0,IFERROR(IF($FI21="SEGMENT",INDEX('Margin Guidence Table'!$A$1:$AG$10000,MATCH(1,('Margin Guidence Table'!$A$1:$A$10000=FG21)*('Margin Guidence Table'!$I$1:$I$10000&lt;=ROUND($EY$3,0))*('Margin Guidence Table'!$J$1:$J$10000&gt;=ROUND($EY$3,0)),0),MATCH("SALES_CASE",'Margin Guidence Table'!$A$1:$AG$1,0)),INDEX('Margin Guidence Table'!$A$1:$AG$10000,MATCH(1,('Margin Guidence Table'!$A$1:$A$10000=FG21)*('Margin Guidence Table'!$I$1:$I$10000&lt;=ROUND($EY$3,0))*('Margin Guidence Table'!$J$1:$J$10000&gt;=ROUND($EY$3,0)),0),MATCH("DEFAULT_SALES_CASE",'Margin Guidence Table'!$A$1:$AG$1,0))),0))</f>
        <v>0</v>
      </c>
      <c r="FK21" s="780">
        <f t="array" ref="FK21">IF('Customer Inputs'!$W$10="End",0,IFERROR(IF($FI21="SEGMENT",INDEX('Margin Guidence Table'!$A$1:$AG$10000,MATCH(1,('Margin Guidence Table'!$A$1:$A$10000=FG21)*('Margin Guidence Table'!$I$1:$I$10000&lt;=ROUND($EY$3,0))*('Margin Guidence Table'!$J$1:$J$10000&gt;=ROUND($EY$3,0)),0),MATCH("SALES_LBS",'Margin Guidence Table'!$A$1:$AG$1,0)),INDEX('Margin Guidence Table'!$A$1:$AG$10000,MATCH(1,('Margin Guidence Table'!$A$1:$A$10000=FG21)*('Margin Guidence Table'!$I$1:$I$10000&lt;=ROUND($EY$3,0))*('Margin Guidence Table'!$J$1:$J$10000&gt;=ROUND($EY$3,0)),0),MATCH("DEFAULT_SALES_LBS",'Margin Guidence Table'!$A$1:$AG$1,0))),0))</f>
        <v>0</v>
      </c>
      <c r="FL21" s="784">
        <f t="array" ref="FL21">IF('Customer Inputs'!$W$10="End",0,IFERROR(IF($FI21="SEGMENT",INDEX('Margin Guidence Table'!$A$1:$AG$10000,MATCH(1,('Margin Guidence Table'!$A$1:$A$10000=FG21)*('Margin Guidence Table'!$I$1:$I$10000&lt;=ROUND($EY$3,0))*('Margin Guidence Table'!$J$1:$J$10000&gt;=ROUND($EY$3,0)),0),MATCH("MDA_MIN_MARGIN_GUIDENCE",'Margin Guidence Table'!$A$1:$AG$1,0)),INDEX('Margin Guidence Table'!$A$1:$AG$10000,MATCH(1,('Margin Guidence Table'!$A$1:$A$10000=FG21)*('Margin Guidence Table'!$I$1:$I$10000&lt;=ROUND($EY$3,0))*('Margin Guidence Table'!$J$1:$J$10000&gt;=ROUND($EY$3,0)),0),MATCH("DEFAULT_MDA_MIN_MARGIN_GUIDENCE",'Margin Guidence Table'!$A$1:$AG$1,0))),0))</f>
        <v>0</v>
      </c>
      <c r="FM21" s="784">
        <f t="array" ref="FM21">IF('Customer Inputs'!$W$10="End",0,IFERROR(IF($FI21="SEGMENT",INDEX('Margin Guidence Table'!$A$1:$AG$10000,MATCH(1,('Margin Guidence Table'!$A$1:$A$10000=FG21)*('Margin Guidence Table'!$I$1:$I$10000&lt;=ROUND($EY$3,0))*('Margin Guidence Table'!$J$1:$J$10000&gt;=ROUND($EY$3,0)),0),MATCH("MDA_MEDIAN_MARGIN_GUIDENCE",'Margin Guidence Table'!$A$1:$AG$1,0)),INDEX('Margin Guidence Table'!$A$1:$AG$10000,MATCH(1,('Margin Guidence Table'!$A$1:$A$10000=FG21)*('Margin Guidence Table'!$I$1:$I$10000&lt;=ROUND($EY$3,0))*('Margin Guidence Table'!$J$1:$J$10000&gt;=ROUND($EY$3,0)),0),MATCH("DEFAULT_MDA_MEDIAN_MARGIN_GUIDENCE",'Margin Guidence Table'!$A$1:$AG$1,0))),0))</f>
        <v>0</v>
      </c>
      <c r="FN21" s="784">
        <f t="array" ref="FN21">IF('Customer Inputs'!$W$10="End",0,IFERROR(IF($FI21="SEGMENT",INDEX('Margin Guidence Table'!$A$1:$AG$10000,MATCH(1,('Margin Guidence Table'!$A$1:$A$10000=FG21)*('Margin Guidence Table'!$I$1:$I$10000&lt;=ROUND($EY$3,0))*('Margin Guidence Table'!$J$1:$J$10000&gt;=ROUND($EY$3,0)),0),MATCH("MDA_MAX_MARGIN_GUIDENCE",'Margin Guidence Table'!$A$1:$AG$1,0)),INDEX('Margin Guidence Table'!$A$1:$AG$10000,MATCH(1,('Margin Guidence Table'!$A$1:$A$10000=FG21)*('Margin Guidence Table'!$I$1:$I$10000&lt;=ROUND($EY$3,0))*('Margin Guidence Table'!$J$1:$J$10000&gt;=ROUND($EY$3,0)),0),MATCH("DEFAULT_MDA_MAX_MARGIN_GUIDENCE",'Margin Guidence Table'!$A$1:$AG$1,0))),0))</f>
        <v>0</v>
      </c>
      <c r="FO21" s="784">
        <f t="array" ref="FO21">IF('Customer Inputs'!$W$10="End",0,IFERROR(IF($FI21="SEGMENT",INDEX('Margin Guidence Table'!$A$1:$AG$10000,MATCH(1,('Margin Guidence Table'!$A$1:$A$10000=FG21)*('Margin Guidence Table'!$I$1:$I$10000&lt;=ROUND($EY$3,0))*('Margin Guidence Table'!$J$1:$J$10000&gt;=ROUND($EY$3,0)),0),MATCH("PA_PCT_SALES",'Margin Guidence Table'!$A$1:$AG$1,0)),INDEX('Margin Guidence Table'!$A$1:$AG$10000,MATCH(1,('Margin Guidence Table'!$A$1:$A$10000=FG21)*('Margin Guidence Table'!$I$1:$I$10000&lt;=ROUND($EY$3,0))*('Margin Guidence Table'!$J$1:$J$10000&gt;=ROUND($EY$3,0)),0),MATCH("DEFAULT_PA_PCT_SALES",'Margin Guidence Table'!$A$1:$AG$1,0))),0))</f>
        <v>0</v>
      </c>
      <c r="FP21" s="784">
        <f t="array" ref="FP21">IF('Customer Inputs'!$W$10="End",0,IFERROR(IF($FI21="SEGMENT",INDEX('Margin Guidence Table'!$A$1:$AG$10000,MATCH(1,('Margin Guidence Table'!$A$1:$A$10000=FG21)*('Margin Guidence Table'!$I$1:$I$10000&lt;=ROUND($EY$3,0))*('Margin Guidence Table'!$J$1:$J$10000&gt;=ROUND($EY$3,0)),0),MATCH("SELF_FUND_PCT_SALES",'Margin Guidence Table'!$A$1:$AG$1,0)),INDEX('Margin Guidence Table'!$A$1:$AG$10000,MATCH(1,('Margin Guidence Table'!$A$1:$A$10000=FG21)*('Margin Guidence Table'!$I$1:$I$10000&lt;=ROUND($EY$3,0))*('Margin Guidence Table'!$J$1:$J$10000&gt;=ROUND($EY$3,0)),0),MATCH("DEFAULT_SELF_FUND_PCT_SALES",'Margin Guidence Table'!$A$1:$AG$1,0))),0))</f>
        <v>0</v>
      </c>
      <c r="FQ21" s="784">
        <f t="array" ref="FQ21">IF('Customer Inputs'!$W$10="End",0,IF($EZ$2="Existing",IFERROR(SUMIFS('Existing Customers'!$V:$V,'Existing Customers'!$H:$H,$EX21,'Existing Customers'!$A:$A,$EY$1)/SUMIFS('Existing Customers'!$Q:$Q,'Existing Customers'!$H:$H,$EX21,'Existing Customers'!$A:$A,$EY$1),0),IFERROR(IF($FI21="SEGMENT",INDEX('Margin Guidence Table'!$A$1:$AG$10000,MATCH(1,('Margin Guidence Table'!$A$1:$A$10000=FG21)*('Margin Guidence Table'!$I$1:$I$10000&lt;=ROUND($EY$3,0))*('Margin Guidence Table'!$J$1:$J$10000&gt;=ROUND($EY$3,0)),0),MATCH("CIA_MEDIAN_MARGIN_GUIDENCE",'Margin Guidence Table'!$A$1:$AG$1,0)),INDEX('Margin Guidence Table'!$A$1:$AG$10000,MATCH(1,('Margin Guidence Table'!$A$1:$A$10000=FG21)*('Margin Guidence Table'!$I$1:$I$10000&lt;=ROUND($EY$3,0))*('Margin Guidence Table'!$J$1:$J$10000&gt;=ROUND($EY$3,0)),0),MATCH("DEFAULT_CIA_MEDIAN_MARGIN_GUIDENCE",'Margin Guidence Table'!$A$1:$AG$1,0))),0)))</f>
        <v>0</v>
      </c>
      <c r="FR21" s="126"/>
      <c r="FS21" s="18">
        <f t="array" ref="FS21">IF('Customer Inputs'!$W$11="End",0,IFERROR(IF($GF21="SEGMENT",INDEX('Margin Guidence Table'!$A$1:$AG$10000,MATCH(1,('Margin Guidence Table'!$A$1:$A$10000=$GD21)*('Margin Guidence Table'!$I$1:$I$10000&lt;=ROUND($FV$3,0))*('Margin Guidence Table'!$J$1:$J$10000&gt;=ROUND($FV$3,0)),0),MATCH("PCT_SALES",'Margin Guidence Table'!$A$1:$AG$1,0)),INDEX('Margin Guidence Table'!$A$1:$AG$10000,MATCH(1,('Margin Guidence Table'!$A$1:$A$10000=$GD21)*('Margin Guidence Table'!$I$1:$I$10000&lt;=ROUND($FV$3,0))*('Margin Guidence Table'!$J$1:$J$10000&gt;=ROUND($FV$3,0)),0),MATCH("DEFAULT_PCT_SALES",'Margin Guidence Table'!$A$1:$AG$1,0))),0))</f>
        <v>0</v>
      </c>
      <c r="FT21" s="297" t="e">
        <f t="shared" si="42"/>
        <v>#DIV/0!</v>
      </c>
      <c r="FU21" s="99" t="s">
        <v>95</v>
      </c>
      <c r="FV21" s="91">
        <f>IF('Customer Inputs'!$W$11="End",0,IFERROR(IF(AND($FV$2&lt;&gt;"Enter Spend&gt;&gt;&gt;",$FW$2="EXISTING"),SUMIFS('Existing Customers'!$Q:$Q,'Existing Customers'!$A:$A,$FV$1,'Existing Customers'!$H:$H,$FU21)*$FV$4,$FV$3*$FT21),0))</f>
        <v>0</v>
      </c>
      <c r="FW21" s="86">
        <f>IF('Customer Inputs'!$W$11="End",0,IFERROR(IF(AND($FV$2&lt;&gt;"Enter Spend&gt;&gt;&gt;",$FW$2="EXISTING"),SUMIFS('Existing Customers'!$N:$N,'Existing Customers'!$A:$A,$FV$1,'Existing Customers'!$H:$H,$FU21)*$FV$4,$FV21/$GG21),0))</f>
        <v>0</v>
      </c>
      <c r="FX21" s="92">
        <f>IF('Customer Inputs'!$W$11="End",0,IFERROR(IF(AND($FV$2&lt;&gt;"Enter Spend&gt;&gt;&gt;",$FW$2="EXISTING"),SUMIFS('Existing Customers'!$O:$O,'Existing Customers'!$H:$H,$FU21,'Existing Customers'!$A:$A,$FV$1)*$FV$4,$FW21*$FV$8),0))</f>
        <v>0</v>
      </c>
      <c r="FY21" s="92">
        <f>IF('Customer Inputs'!$W$11="End",0,IFERROR(IF(AND($FV$2&lt;&gt;"Enter Spend&gt;&gt;&gt;",$FW$2="EXISTING"),SUMIFS('Existing Customers'!$P:$P,'Existing Customers'!$A:$A,$FV$1,'Existing Customers'!$H:$H,$FU21)*$FV$4,$FV21/$GH21),0))</f>
        <v>0</v>
      </c>
      <c r="FZ21" s="93">
        <f>IF('Customer Inputs'!$W$11="End",0,IFERROR(IF(AND($FV$2&lt;&gt;"Enter Spend&gt;&gt;&gt;",$FW$2="EXISTING"),SUMIFS('Existing Customers'!$V:$V,'Existing Customers'!$H:$H,$FU21,'Existing Customers'!$A:$A,$FV$1)*$FV$4,0),0))</f>
        <v>0</v>
      </c>
      <c r="GA21" s="93">
        <f>IF('Customer Inputs'!$W$11="End",0,IFERROR(IF(AND($FV$2&lt;&gt;"Enter Spend&gt;&gt;&gt;",$FW$2="EXISTING"),SUMIFS('Existing Customers'!$R:$R,'Existing Customers'!$H:$H,$FU21,'Existing Customers'!$A:$A,$FV$1)*$FV$4,0),0))</f>
        <v>0</v>
      </c>
      <c r="GB21" s="780">
        <f>IF('Customer Inputs'!$W$11="End",0,IFERROR(IF(AND($FV$2&lt;&gt;"Enter Spend&gt;&gt;&gt;",$FW$2="EXISTING"),SUMIFS('Existing Customers'!$S:$S,'Existing Customers'!$H:$H,$FU21,'Existing Customers'!$A:$A,$FV$1)/SUMIFS('Existing Customers'!$Q:$Q,'Existing Customers'!$A:$A,$FV$1,'Existing Customers'!$H:$H,$FU21),GL21),0))</f>
        <v>0</v>
      </c>
      <c r="GC21" s="780">
        <f>IF('Customer Inputs'!$W$11="End",0,IFERROR(IF(AND($FV$2&lt;&gt;"Enter Spend&gt;&gt;&gt;",$FW$2="EXISTING"),SUMIFS('Existing Customers'!$U:$U,'Existing Customers'!$H:$H,$FU21,'Existing Customers'!$A:$A,$FV$1)/SUMIFS('Existing Customers'!$Q:$Q,'Existing Customers'!$A:$A,$FV$1,'Existing Customers'!$H:$H,$FU21),GM21),0))</f>
        <v>0</v>
      </c>
      <c r="GD21" s="783" t="e">
        <f>_xlfn.CONCAT('Customer Inputs'!$AH$11,"_",FU21)</f>
        <v>#N/A</v>
      </c>
      <c r="GE21" s="783">
        <f t="array" ref="GE21">IF('Customer Inputs'!$W$11="End",0,IFERROR(INDEX('Margin Guidence Table'!$A$1:$AG$10000,MATCH(1,('Margin Guidence Table'!$A$1:$A$10000=GD21)*('Margin Guidence Table'!$I$1:$I$10000&lt;=ROUND($FV$3,0))*('Margin Guidence Table'!$J$1:$J$10000&gt;=ROUND($FV$3,0)),0),MATCH("DATA_POINTS",'Margin Guidence Table'!$A$1:$AG$1,0)),0))</f>
        <v>0</v>
      </c>
      <c r="GF21" s="780" t="str">
        <f t="shared" si="43"/>
        <v>DEFAULT</v>
      </c>
      <c r="GG21" s="780">
        <f t="array" ref="GG21">IF('Customer Inputs'!$W$11="End",0,IFERROR(IF($GF21="SEGMENT",INDEX('Margin Guidence Table'!$A$1:$AG$10000,MATCH(1,('Margin Guidence Table'!$A$1:$A$10000=GD21)*('Margin Guidence Table'!$I$1:$I$10000&lt;=ROUND($FV$3,0))*('Margin Guidence Table'!$J$1:$J$10000&gt;=ROUND($FV$3,0)),0),MATCH("SALES_CASE",'Margin Guidence Table'!$A$1:$AG$1,0)),INDEX('Margin Guidence Table'!$A$1:$AG$10000,MATCH(1,('Margin Guidence Table'!$A$1:$A$10000=GD21)*('Margin Guidence Table'!$I$1:$I$10000&lt;=ROUND($FV$3,0))*('Margin Guidence Table'!$J$1:$J$10000&gt;=ROUND($FV$3,0)),0),MATCH("DEFAULT_SALES_CASE",'Margin Guidence Table'!$A$1:$AG$1,0))),0))</f>
        <v>0</v>
      </c>
      <c r="GH21" s="780">
        <f t="array" ref="GH21">IF('Customer Inputs'!$W$11="End",0,IFERROR(IF($GF21="SEGMENT",INDEX('Margin Guidence Table'!$A$1:$AG$10000,MATCH(1,('Margin Guidence Table'!$A$1:$A$10000=GD21)*('Margin Guidence Table'!$I$1:$I$10000&lt;=ROUND($FV$3,0))*('Margin Guidence Table'!$J$1:$J$10000&gt;=ROUND($FV$3,0)),0),MATCH("SALES_LBS",'Margin Guidence Table'!$A$1:$AG$1,0)),INDEX('Margin Guidence Table'!$A$1:$AG$10000,MATCH(1,('Margin Guidence Table'!$A$1:$A$10000=GD21)*('Margin Guidence Table'!$I$1:$I$10000&lt;=ROUND($FV$3,0))*('Margin Guidence Table'!$J$1:$J$10000&gt;=ROUND($FV$3,0)),0),MATCH("DEFAULT_SALES_LBS",'Margin Guidence Table'!$A$1:$AG$1,0))),0))</f>
        <v>0</v>
      </c>
      <c r="GI21" s="784">
        <f t="array" ref="GI21">IF('Customer Inputs'!$W$11="End",0,IFERROR(IF($GF21="SEGMENT",INDEX('Margin Guidence Table'!$A$1:$AG$10000,MATCH(1,('Margin Guidence Table'!$A$1:$A$10000=GD21)*('Margin Guidence Table'!$I$1:$I$10000&lt;=ROUND($FV$3,0))*('Margin Guidence Table'!$J$1:$J$10000&gt;=ROUND($FV$3,0)),0),MATCH("MDA_MIN_MARGIN_GUIDENCE",'Margin Guidence Table'!$A$1:$AG$1,0)),INDEX('Margin Guidence Table'!$A$1:$AG$10000,MATCH(1,('Margin Guidence Table'!$A$1:$A$10000=GD21)*('Margin Guidence Table'!$I$1:$I$10000&lt;=ROUND($FV$3,0))*('Margin Guidence Table'!$J$1:$J$10000&gt;=ROUND($FV$3,0)),0),MATCH("DEFAULT_MDA_MIN_MARGIN_GUIDENCE",'Margin Guidence Table'!$A$1:$AG$1,0))),0))</f>
        <v>0</v>
      </c>
      <c r="GJ21" s="784">
        <f t="array" ref="GJ21">IF('Customer Inputs'!$W$11="End",0,IFERROR(IF($GF21="SEGMENT",INDEX('Margin Guidence Table'!$A$1:$AG$10000,MATCH(1,('Margin Guidence Table'!$A$1:$A$10000=GD21)*('Margin Guidence Table'!$I$1:$I$10000&lt;=ROUND($FV$3,0))*('Margin Guidence Table'!$J$1:$J$10000&gt;=ROUND($FV$3,0)),0),MATCH("MDA_MEDIAN_MARGIN_GUIDENCE",'Margin Guidence Table'!$A$1:$AG$1,0)),INDEX('Margin Guidence Table'!$A$1:$AG$10000,MATCH(1,('Margin Guidence Table'!$A$1:$A$10000=GD21)*('Margin Guidence Table'!$I$1:$I$10000&lt;=ROUND($FV$3,0))*('Margin Guidence Table'!$J$1:$J$10000&gt;=ROUND($FV$3,0)),0),MATCH("DEFAULT_MDA_MEDIAN_MARGIN_GUIDENCE",'Margin Guidence Table'!$A$1:$AG$1,0))),0))</f>
        <v>0</v>
      </c>
      <c r="GK21" s="784">
        <f t="array" ref="GK21">IF('Customer Inputs'!$W$11="End",0,IFERROR(IF($GF21="SEGMENT",INDEX('Margin Guidence Table'!$A$1:$AG$10000,MATCH(1,('Margin Guidence Table'!$A$1:$A$10000=GD21)*('Margin Guidence Table'!$I$1:$I$10000&lt;=ROUND($FV$3,0))*('Margin Guidence Table'!$J$1:$J$10000&gt;=ROUND($FV$3,0)),0),MATCH("MDA_MAX_MARGIN_GUIDENCE",'Margin Guidence Table'!$A$1:$AG$1,0)),INDEX('Margin Guidence Table'!$A$1:$AG$10000,MATCH(1,('Margin Guidence Table'!$A$1:$A$10000=GD21)*('Margin Guidence Table'!$I$1:$I$10000&lt;=ROUND($FV$3,0))*('Margin Guidence Table'!$J$1:$J$10000&gt;=ROUND($FV$3,0)),0),MATCH("DEFAULT_MDA_MAX_MARGIN_GUIDENCE",'Margin Guidence Table'!$A$1:$AG$1,0))),0))</f>
        <v>0</v>
      </c>
      <c r="GL21" s="784">
        <f t="array" ref="GL21">IF('Customer Inputs'!$W$11="End",0,IFERROR(IF($GF21="SEGMENT",INDEX('Margin Guidence Table'!$A$1:$AG$10000,MATCH(1,('Margin Guidence Table'!$A$1:$A$10000=GD21)*('Margin Guidence Table'!$I$1:$I$10000&lt;=ROUND($FV$3,0))*('Margin Guidence Table'!$J$1:$J$10000&gt;=ROUND($FV$3,0)),0),MATCH("PA_PCT_SALES",'Margin Guidence Table'!$A$1:$AG$1,0)),INDEX('Margin Guidence Table'!$A$1:$AG$10000,MATCH(1,('Margin Guidence Table'!$A$1:$A$10000=GD21)*('Margin Guidence Table'!$I$1:$I$10000&lt;=ROUND($FV$3,0))*('Margin Guidence Table'!$J$1:$J$10000&gt;=ROUND($FV$3,0)),0),MATCH("DEFAULT_PA_PCT_SALES",'Margin Guidence Table'!$A$1:$AG$1,0))),0))</f>
        <v>0</v>
      </c>
      <c r="GM21" s="784">
        <f t="array" ref="GM21">IF('Customer Inputs'!$W$11="End",0,IFERROR(IF($GF21="SEGMENT",INDEX('Margin Guidence Table'!$A$1:$AG$10000,MATCH(1,('Margin Guidence Table'!$A$1:$A$10000=GD21)*('Margin Guidence Table'!$I$1:$I$10000&lt;=ROUND($FV$3,0))*('Margin Guidence Table'!$J$1:$J$10000&gt;=ROUND($FV$3,0)),0),MATCH("SELF_FUND_PCT_SALES",'Margin Guidence Table'!$A$1:$AG$1,0)),INDEX('Margin Guidence Table'!$A$1:$AG$10000,MATCH(1,('Margin Guidence Table'!$A$1:$A$10000=GD21)*('Margin Guidence Table'!$I$1:$I$10000&lt;=ROUND($FV$3,0))*('Margin Guidence Table'!$J$1:$J$10000&gt;=ROUND($FV$3,0)),0),MATCH("DEFAULT_SELF_FUND_PCT_SALES",'Margin Guidence Table'!$A$1:$AG$1,0))),0))</f>
        <v>0</v>
      </c>
      <c r="GN21" s="784">
        <f t="array" ref="GN21">IF('Customer Inputs'!$W$11="End",0,IF($FW$2="Existing",IFERROR(SUMIFS('Existing Customers'!$V:$V,'Existing Customers'!$H:$H,$FU21,'Existing Customers'!$A:$A,$FV$1)/SUMIFS('Existing Customers'!$Q:$Q,'Existing Customers'!$H:$H,$FU21,'Existing Customers'!$A:$A,$FV$1),0),IFERROR(IF($GF21="SEGMENT",INDEX('Margin Guidence Table'!$A$1:$AG$10000,MATCH(1,('Margin Guidence Table'!$A$1:$A$10000=GD21)*('Margin Guidence Table'!$I$1:$I$10000&lt;=ROUND($FV$3,0))*('Margin Guidence Table'!$J$1:$J$10000&gt;=ROUND($FV$3,0)),0),MATCH("CIA_MEDIAN_MARGIN_GUIDENCE",'Margin Guidence Table'!$A$1:$AG$1,0)),INDEX('Margin Guidence Table'!$A$1:$AG$10000,MATCH(1,('Margin Guidence Table'!$A$1:$A$10000=GD21)*('Margin Guidence Table'!$I$1:$I$10000&lt;=ROUND($FV$3,0))*('Margin Guidence Table'!$J$1:$J$10000&gt;=ROUND($FV$3,0)),0),MATCH("DEFAULT_CIA_MEDIAN_MARGIN_GUIDENCE",'Margin Guidence Table'!$A$1:$AG$1,0))),0)))</f>
        <v>0</v>
      </c>
      <c r="GO21" s="126"/>
      <c r="GP21" s="18">
        <f t="array" ref="GP21">IF('Customer Inputs'!$W$12="End",0,IFERROR(IF($HC21="SEGMENT",INDEX('Margin Guidence Table'!$A$1:$AG$10000,MATCH(1,('Margin Guidence Table'!$A$1:$A$10000=$HA21)*('Margin Guidence Table'!$I$1:$I$10000&lt;=ROUND($GS$3,0))*('Margin Guidence Table'!$J$1:$J$10000&gt;=ROUND($GS$3,0)),0),MATCH("PCT_SALES",'Margin Guidence Table'!$A$1:$AG$1,0)),INDEX('Margin Guidence Table'!$A$1:$AG$10000,MATCH(1,('Margin Guidence Table'!$A$1:$A$10000=$HA21)*('Margin Guidence Table'!$I$1:$I$10000&lt;=ROUND($GS$3,0))*('Margin Guidence Table'!$J$1:$J$10000&gt;=ROUND($GS$3,0)),0),MATCH("DEFAULT_PCT_SALES",'Margin Guidence Table'!$A$1:$AG$1,0))),0))</f>
        <v>0</v>
      </c>
      <c r="GQ21" s="297" t="e">
        <f t="shared" si="44"/>
        <v>#DIV/0!</v>
      </c>
      <c r="GR21" s="99" t="s">
        <v>95</v>
      </c>
      <c r="GS21" s="91">
        <f>IF('Customer Inputs'!$W$12="End",0,IFERROR(IF(AND($GS$2&lt;&gt;"Enter Spend&gt;&gt;&gt;",$GT$2="EXISTING"),SUMIFS('Existing Customers'!$Q:$Q,'Existing Customers'!$A:$A,$GS$1,'Existing Customers'!$H:$H,$GR21)*$GS$4,$GS$3*$GQ21),0))</f>
        <v>0</v>
      </c>
      <c r="GT21" s="86">
        <f>IF('Customer Inputs'!$W$12="End",0,IFERROR(IF(AND($GS$2&lt;&gt;"Enter Spend&gt;&gt;&gt;",$GT$2="EXISTING"),SUMIFS('Existing Customers'!$N:$N,'Existing Customers'!$A:$A,$GS$1,'Existing Customers'!$H:$H,$GR21)*$GS$4,$GS21/$HD21),0))</f>
        <v>0</v>
      </c>
      <c r="GU21" s="92">
        <f>IF('Customer Inputs'!$W$12="End",0,IFERROR(IF(AND($GS$2&lt;&gt;"Enter Spend&gt;&gt;&gt;",$GT$2="EXISTING"),SUMIFS('Existing Customers'!$O:$O,'Existing Customers'!$H:$H,$GR21,'Existing Customers'!$A:$A,$GS$1)*$GS$4,$GT21*$GS$8),0))</f>
        <v>0</v>
      </c>
      <c r="GV21" s="92">
        <f>IF('Customer Inputs'!$W$12="End",0,IFERROR(IF(AND($GS$2&lt;&gt;"Enter Spend&gt;&gt;&gt;",$GT$2="EXISTING"),SUMIFS('Existing Customers'!$P:$P,'Existing Customers'!$A:$A,$GS$1,'Existing Customers'!$H:$H,$GR21)*$GS$4,$GS21/$HE21),0))</f>
        <v>0</v>
      </c>
      <c r="GW21" s="93">
        <f>IF('Customer Inputs'!$W$12="End",0,IFERROR(IF(AND($GS$2&lt;&gt;"Enter Spend&gt;&gt;&gt;",$GT$2="EXISTING"),SUMIFS('Existing Customers'!$V:$V,'Existing Customers'!$H:$H,$GR21,'Existing Customers'!$A:$A,$GS$1)*$GS$4,0),0))</f>
        <v>0</v>
      </c>
      <c r="GX21" s="93">
        <f>IF('Customer Inputs'!$W$12="End",0,IFERROR(IF(AND($GS$2&lt;&gt;"Enter Spend&gt;&gt;&gt;",$GT$2="EXISTING"),SUMIFS('Existing Customers'!$R:$R,'Existing Customers'!$H:$H,$GR21,'Existing Customers'!$A:$A,$GS$1)*$GS$4,0),0))</f>
        <v>0</v>
      </c>
      <c r="GY21" s="780">
        <f>IF('Customer Inputs'!$W$12="End",0,IFERROR(IF(AND($GS$2&lt;&gt;"Enter Spend&gt;&gt;&gt;",$GT$2="EXISTING"),SUMIFS('Existing Customers'!$S:$S,'Existing Customers'!$H:$H,$GR21,'Existing Customers'!$A:$A,$GS$1)/SUMIFS('Existing Customers'!$Q:$Q,'Existing Customers'!$A:$A,$GS$1,'Existing Customers'!$H:$H,$GR21),HI21),0))</f>
        <v>0</v>
      </c>
      <c r="GZ21" s="780">
        <f>IF('Customer Inputs'!$W$12="End",0,IFERROR(IF(AND($GS$2&lt;&gt;"Enter Spend&gt;&gt;&gt;",$GT$2="EXISTING"),SUMIFS('Existing Customers'!$U:$U,'Existing Customers'!$H:$H,$GR21,'Existing Customers'!$A:$A,$GS$1)/SUMIFS('Existing Customers'!$Q:$Q,'Existing Customers'!$A:$A,$GS$1,'Existing Customers'!$H:$H,$GR21),HJ21),0))</f>
        <v>0</v>
      </c>
      <c r="HA21" s="783" t="e">
        <f>_xlfn.CONCAT('Customer Inputs'!$AH$12,"_",GR21)</f>
        <v>#N/A</v>
      </c>
      <c r="HB21" s="783">
        <f t="array" ref="HB21">IF('Customer Inputs'!$W$12="End",0,IFERROR(INDEX('Margin Guidence Table'!$A$1:$AG$10000,MATCH(1,('Margin Guidence Table'!$A$1:$A$10000=HA21)*('Margin Guidence Table'!$I$1:$I$10000&lt;=ROUND($GS$3,0))*('Margin Guidence Table'!$J$1:$J$10000&gt;=ROUND($GS$3,0)),0),MATCH("DATA_POINTS",'Margin Guidence Table'!$A$1:$AG$1,0)),0))</f>
        <v>0</v>
      </c>
      <c r="HC21" s="780" t="str">
        <f t="shared" si="45"/>
        <v>DEFAULT</v>
      </c>
      <c r="HD21" s="780">
        <f t="array" ref="HD21">IF('Customer Inputs'!$W$12="End",0,IFERROR(IF($HC21="SEGMENT",INDEX('Margin Guidence Table'!$A$1:$AG$10000,MATCH(1,('Margin Guidence Table'!$A$1:$A$10000=HA21)*('Margin Guidence Table'!$I$1:$I$10000&lt;=ROUND($GS$3,0))*('Margin Guidence Table'!$J$1:$J$10000&gt;=ROUND($GS$3,0)),0),MATCH("SALES_CASE",'Margin Guidence Table'!$A$1:$AG$1,0)),INDEX('Margin Guidence Table'!$A$1:$AG$10000,MATCH(1,('Margin Guidence Table'!$A$1:$A$10000=HA21)*('Margin Guidence Table'!$I$1:$I$10000&lt;=ROUND($GS$3,0))*('Margin Guidence Table'!$J$1:$J$10000&gt;=ROUND($GS$3,0)),0),MATCH("DEFAULT_SALES_CASE",'Margin Guidence Table'!$A$1:$AG$1,0))),0))</f>
        <v>0</v>
      </c>
      <c r="HE21" s="780">
        <f t="array" ref="HE21">IF('Customer Inputs'!$W$12="End",0,IFERROR(IF($HC21="SEGMENT",INDEX('Margin Guidence Table'!$A$1:$AG$10000,MATCH(1,('Margin Guidence Table'!$A$1:$A$10000=HA21)*('Margin Guidence Table'!$I$1:$I$10000&lt;=ROUND($GS$3,0))*('Margin Guidence Table'!$J$1:$J$10000&gt;=ROUND($GS$3,0)),0),MATCH("SALES_LBS",'Margin Guidence Table'!$A$1:$AG$1,0)),INDEX('Margin Guidence Table'!$A$1:$AG$10000,MATCH(1,('Margin Guidence Table'!$A$1:$A$10000=HA21)*('Margin Guidence Table'!$I$1:$I$10000&lt;=ROUND($GS$3,0))*('Margin Guidence Table'!$J$1:$J$10000&gt;=ROUND($GS$3,0)),0),MATCH("DEFAULT_SALES_LBS",'Margin Guidence Table'!$A$1:$AG$1,0))),0))</f>
        <v>0</v>
      </c>
      <c r="HF21" s="784">
        <f t="array" ref="HF21">IF('Customer Inputs'!$W$12="End",0,IFERROR(IF($HC21="SEGMENT",INDEX('Margin Guidence Table'!$A$1:$AG$10000,MATCH(1,('Margin Guidence Table'!$A$1:$A$10000=HA21)*('Margin Guidence Table'!$I$1:$I$10000&lt;=ROUND($GS$3,0))*('Margin Guidence Table'!$J$1:$J$10000&gt;=ROUND($GS$3,0)),0),MATCH("MDA_MIN_MARGIN_GUIDENCE",'Margin Guidence Table'!$A$1:$AG$1,0)),INDEX('Margin Guidence Table'!$A$1:$AG$10000,MATCH(1,('Margin Guidence Table'!$A$1:$A$10000=HA21)*('Margin Guidence Table'!$I$1:$I$10000&lt;=ROUND($GS$3,0))*('Margin Guidence Table'!$J$1:$J$10000&gt;=ROUND($GS$3,0)),0),MATCH("DEFAULT_MDA_MIN_MARGIN_GUIDENCE",'Margin Guidence Table'!$A$1:$AG$1,0))),0))</f>
        <v>0</v>
      </c>
      <c r="HG21" s="784">
        <f t="array" ref="HG21">IF('Customer Inputs'!$W$12="End",0,IFERROR(IF($HC21="SEGMENT",INDEX('Margin Guidence Table'!$A$1:$AG$10000,MATCH(1,('Margin Guidence Table'!$A$1:$A$10000=HA21)*('Margin Guidence Table'!$I$1:$I$10000&lt;=ROUND($GS$3,0))*('Margin Guidence Table'!$J$1:$J$10000&gt;=ROUND($GS$3,0)),0),MATCH("MDA_MEDIAN_MARGIN_GUIDENCE",'Margin Guidence Table'!$A$1:$AG$1,0)),INDEX('Margin Guidence Table'!$A$1:$AG$10000,MATCH(1,('Margin Guidence Table'!$A$1:$A$10000=HA21)*('Margin Guidence Table'!$I$1:$I$10000&lt;=ROUND($GS$3,0))*('Margin Guidence Table'!$J$1:$J$10000&gt;=ROUND($GS$3,0)),0),MATCH("DEFAULT_MDA_MEDIAN_MARGIN_GUIDENCE",'Margin Guidence Table'!$A$1:$AG$1,0))),0))</f>
        <v>0</v>
      </c>
      <c r="HH21" s="784">
        <f t="array" ref="HH21">IF('Customer Inputs'!$W$12="End",0,IFERROR(IF($HC21="SEGMENT",INDEX('Margin Guidence Table'!$A$1:$AG$10000,MATCH(1,('Margin Guidence Table'!$A$1:$A$10000=HA21)*('Margin Guidence Table'!$I$1:$I$10000&lt;=ROUND($GS$3,0))*('Margin Guidence Table'!$J$1:$J$10000&gt;=ROUND($GS$3,0)),0),MATCH("MDA_MAX_MARGIN_GUIDENCE",'Margin Guidence Table'!$A$1:$AG$1,0)),INDEX('Margin Guidence Table'!$A$1:$AG$10000,MATCH(1,('Margin Guidence Table'!$A$1:$A$10000=HA21)*('Margin Guidence Table'!$I$1:$I$10000&lt;=ROUND($GS$3,0))*('Margin Guidence Table'!$J$1:$J$10000&gt;=ROUND($GS$3,0)),0),MATCH("DEFAULT_MDA_MAX_MARGIN_GUIDENCE",'Margin Guidence Table'!$A$1:$AG$1,0))),0))</f>
        <v>0</v>
      </c>
      <c r="HI21" s="784">
        <f t="array" ref="HI21">IF('Customer Inputs'!$W$12="End",0,IFERROR(IF($HC21="SEGMENT",INDEX('Margin Guidence Table'!$A$1:$AG$10000,MATCH(1,('Margin Guidence Table'!$A$1:$A$10000=HA21)*('Margin Guidence Table'!$I$1:$I$10000&lt;=ROUND($GS$3,0))*('Margin Guidence Table'!$J$1:$J$10000&gt;=ROUND($GS$3,0)),0),MATCH("PA_PCT_SALES",'Margin Guidence Table'!$A$1:$AG$1,0)),INDEX('Margin Guidence Table'!$A$1:$AG$10000,MATCH(1,('Margin Guidence Table'!$A$1:$A$10000=HA21)*('Margin Guidence Table'!$I$1:$I$10000&lt;=ROUND($GS$3,0))*('Margin Guidence Table'!$J$1:$J$10000&gt;=ROUND($GS$3,0)),0),MATCH("DEFAULT_PA_PCT_SALES",'Margin Guidence Table'!$A$1:$AG$1,0))),0))</f>
        <v>0</v>
      </c>
      <c r="HJ21" s="784">
        <f t="array" ref="HJ21">IF('Customer Inputs'!$W$12="End",0,IFERROR(IF($HC21="SEGMENT",INDEX('Margin Guidence Table'!$A$1:$AG$10000,MATCH(1,('Margin Guidence Table'!$A$1:$A$10000=HA21)*('Margin Guidence Table'!$I$1:$I$10000&lt;=ROUND($GS$3,0))*('Margin Guidence Table'!$J$1:$J$10000&gt;=ROUND($GS$3,0)),0),MATCH("SELF_FUND_PCT_SALES",'Margin Guidence Table'!$A$1:$AG$1,0)),INDEX('Margin Guidence Table'!$A$1:$AG$10000,MATCH(1,('Margin Guidence Table'!$A$1:$A$10000=HA21)*('Margin Guidence Table'!$I$1:$I$10000&lt;=ROUND($GS$3,0))*('Margin Guidence Table'!$J$1:$J$10000&gt;=ROUND($GS$3,0)),0),MATCH("DEFAULT_SELF_FUND_PCT_SALES",'Margin Guidence Table'!$A$1:$AG$1,0))),0))</f>
        <v>0</v>
      </c>
      <c r="HK21" s="784">
        <f t="array" ref="HK21">IF('Customer Inputs'!$W$12="End",0,IF($GT$2="Existing",IFERROR(SUMIFS('Existing Customers'!$V:$V,'Existing Customers'!$H:$H,$GR21,'Existing Customers'!$A:$A,$GS$1)/SUMIFS('Existing Customers'!$Q:$Q,'Existing Customers'!$H:$H,$GR21,'Existing Customers'!$A:$A,$GS$1),0),IFERROR(IF($HC21="SEGMENT",INDEX('Margin Guidence Table'!$A$1:$AG$10000,MATCH(1,('Margin Guidence Table'!$A$1:$A$10000=HA21)*('Margin Guidence Table'!$I$1:$I$10000&lt;=ROUND($GS$3,0))*('Margin Guidence Table'!$J$1:$J$10000&gt;=ROUND($GS$3,0)),0),MATCH("CIA_MEDIAN_MARGIN_GUIDENCE",'Margin Guidence Table'!$A$1:$AG$1,0)),INDEX('Margin Guidence Table'!$A$1:$AG$10000,MATCH(1,('Margin Guidence Table'!$A$1:$A$10000=HA21)*('Margin Guidence Table'!$I$1:$I$10000&lt;=ROUND($GS$3,0))*('Margin Guidence Table'!$J$1:$J$10000&gt;=ROUND($GS$3,0)),0),MATCH("DEFAULT_CIA_MEDIAN_MARGIN_GUIDENCE",'Margin Guidence Table'!$A$1:$AG$1,0))),0)))</f>
        <v>0</v>
      </c>
      <c r="HL21" s="126"/>
      <c r="HM21" s="18">
        <f t="array" ref="HM21">IF('Customer Inputs'!$W$13="End",0,IFERROR(IF($HZ21="SEGMENT",INDEX('Margin Guidence Table'!$A$1:$AG$10000,MATCH(1,('Margin Guidence Table'!$A$1:$A$10000=$HX21)*('Margin Guidence Table'!$I$1:$I$10000&lt;=ROUND($HP$3,0))*('Margin Guidence Table'!$J$1:$J$10000&gt;=ROUND($HP$3,0)),0),MATCH("PCT_SALES",'Margin Guidence Table'!$A$1:$AG$1,0)),INDEX('Margin Guidence Table'!$A$1:$AG$10000,MATCH(1,('Margin Guidence Table'!$A$1:$A$10000=$HX21)*('Margin Guidence Table'!$I$1:$I$10000&lt;=ROUND($HP$3,0))*('Margin Guidence Table'!$J$1:$J$10000&gt;=ROUND($HP$3,0)),0),MATCH("DEFAULT_PCT_SALES",'Margin Guidence Table'!$A$1:$AG$1,0))),0))</f>
        <v>0</v>
      </c>
      <c r="HN21" s="297" t="e">
        <f t="shared" si="46"/>
        <v>#DIV/0!</v>
      </c>
      <c r="HO21" s="99" t="s">
        <v>95</v>
      </c>
      <c r="HP21" s="91">
        <f>IF('Customer Inputs'!$W$13="End",0,IFERROR(IF(AND($HP$2&lt;&gt;"Enter Spend&gt;&gt;&gt;",$HQ$2="EXISTING"),SUMIFS('Existing Customers'!$Q:$Q,'Existing Customers'!$A:$A,$HP$1,'Existing Customers'!$H:$H,$HO21)*$HP$4,$HP$3*$HN21),0))</f>
        <v>0</v>
      </c>
      <c r="HQ21" s="86">
        <f>IF('Customer Inputs'!$W$13="End",0,IFERROR(IF(AND($HP$2&lt;&gt;"Enter Spend&gt;&gt;&gt;",$HQ$2="EXISTING"),SUMIFS('Existing Customers'!$N:$N,'Existing Customers'!$A:$A,$HP$1,'Existing Customers'!$H:$H,$HO21)*$HP$4,$HP21/$IA21),0))</f>
        <v>0</v>
      </c>
      <c r="HR21" s="92">
        <f>IF('Customer Inputs'!$W$13="End",0,IFERROR(IF(AND($HP$2&lt;&gt;"Enter Spend&gt;&gt;&gt;",$HQ$2="EXISTING"),SUMIFS('Existing Customers'!$O:$O,'Existing Customers'!$H:$H,$HO21,'Existing Customers'!$A:$A,$HP$1)*$HP$4,$HQ21*$HP$8),0))</f>
        <v>0</v>
      </c>
      <c r="HS21" s="92">
        <f>IF('Customer Inputs'!$W$13="End",0,IFERROR(IF(AND($HP$2&lt;&gt;"Enter Spend&gt;&gt;&gt;",$HQ$2="EXISTING"),SUMIFS('Existing Customers'!$P:$P,'Existing Customers'!$A:$A,$HP$1,'Existing Customers'!$H:$H,$HO21)*$HP$4,$HP21/$IB21),0))</f>
        <v>0</v>
      </c>
      <c r="HT21" s="93">
        <f>IF('Customer Inputs'!$W$13="End",0,IFERROR(IF(AND($HP$2&lt;&gt;"Enter Spend&gt;&gt;&gt;",$HQ$2="EXISTING"),SUMIFS('Existing Customers'!$V:$V,'Existing Customers'!$H:$H,$HO21,'Existing Customers'!$A:$A,$HP$1)*$HP$4,0),0))</f>
        <v>0</v>
      </c>
      <c r="HU21" s="93">
        <f>IF('Customer Inputs'!$W$13="End",0,IFERROR(IF(AND($HP$2&lt;&gt;"Enter Spend&gt;&gt;&gt;",$HQ$2="EXISTING"),SUMIFS('Existing Customers'!$R:$R,'Existing Customers'!$H:$H,$HO21,'Existing Customers'!$A:$A,$HP$1)*$HP$4,0),0))</f>
        <v>0</v>
      </c>
      <c r="HV21" s="780">
        <f>IF('Customer Inputs'!$W$13="End",0,IFERROR(IF(AND($HP$2&lt;&gt;"Enter Spend&gt;&gt;&gt;",$HQ$2="EXISTING"),SUMIFS('Existing Customers'!$S:$S,'Existing Customers'!$H:$H,$HO21,'Existing Customers'!$A:$A,$HP$1)/SUMIFS('Existing Customers'!$Q:$Q,'Existing Customers'!$A:$A,$HP$1,'Existing Customers'!$H:$H,$HO21),IF21),0))</f>
        <v>0</v>
      </c>
      <c r="HW21" s="780">
        <f>IF('Customer Inputs'!$W$13="End",0,IFERROR(IF(AND($HP$2&lt;&gt;"Enter Spend&gt;&gt;&gt;",$HQ$2="EXISTING"),SUMIFS('Existing Customers'!$U:$U,'Existing Customers'!$H:$H,$HO21,'Existing Customers'!$A:$A,$HP$1)/SUMIFS('Existing Customers'!$Q:$Q,'Existing Customers'!$A:$A,$HP$1,'Existing Customers'!$H:$H,$HO21),IG21),0))</f>
        <v>0</v>
      </c>
      <c r="HX21" s="783" t="e">
        <f>_xlfn.CONCAT('Customer Inputs'!$AH$13,"_",HO21)</f>
        <v>#N/A</v>
      </c>
      <c r="HY21" s="783">
        <f t="array" ref="HY21">IF('Customer Inputs'!$W$13="End",0,IFERROR(INDEX('Margin Guidence Table'!$A$1:$AG$10000,MATCH(1,('Margin Guidence Table'!$A$1:$A$10000=HX21)*('Margin Guidence Table'!$I$1:$I$10000&lt;=ROUND($HP$3,0))*('Margin Guidence Table'!$J$1:$J$10000&gt;=ROUND($HP$3,0)),0),MATCH("DATA_POINTS",'Margin Guidence Table'!$A$1:$AG$1,0)),0))</f>
        <v>0</v>
      </c>
      <c r="HZ21" s="780" t="str">
        <f t="shared" si="47"/>
        <v>DEFAULT</v>
      </c>
      <c r="IA21" s="780">
        <f t="array" ref="IA21">IF('Customer Inputs'!$W$13="End",0,IFERROR(IF($HZ21="SEGMENT",INDEX('Margin Guidence Table'!$A$1:$AG$10000,MATCH(1,('Margin Guidence Table'!$A$1:$A$10000=HX21)*('Margin Guidence Table'!$I$1:$I$10000&lt;=ROUND($HP$3,0))*('Margin Guidence Table'!$J$1:$J$10000&gt;=ROUND($HP$3,0)),0),MATCH("SALES_CASE",'Margin Guidence Table'!$A$1:$AG$1,0)),INDEX('Margin Guidence Table'!$A$1:$AG$10000,MATCH(1,('Margin Guidence Table'!$A$1:$A$10000=HX21)*('Margin Guidence Table'!$I$1:$I$10000&lt;=ROUND($HP$3,0))*('Margin Guidence Table'!$J$1:$J$10000&gt;=ROUND($HP$3,0)),0),MATCH("DEFAULT_SALES_CASE",'Margin Guidence Table'!$A$1:$AG$1,0))),0))</f>
        <v>0</v>
      </c>
      <c r="IB21" s="780">
        <f t="array" ref="IB21">IF('Customer Inputs'!$W$13="End",0,IFERROR(IF($HZ21="SEGMENT",INDEX('Margin Guidence Table'!$A$1:$AG$10000,MATCH(1,('Margin Guidence Table'!$A$1:$A$10000=HX21)*('Margin Guidence Table'!$I$1:$I$10000&lt;=ROUND($HP$3,0))*('Margin Guidence Table'!$J$1:$J$10000&gt;=ROUND($HP$3,0)),0),MATCH("SALES_LBS",'Margin Guidence Table'!$A$1:$AG$1,0)),INDEX('Margin Guidence Table'!$A$1:$AG$10000,MATCH(1,('Margin Guidence Table'!$A$1:$A$10000=HX21)*('Margin Guidence Table'!$I$1:$I$10000&lt;=ROUND($HP$3,0))*('Margin Guidence Table'!$J$1:$J$10000&gt;=ROUND($HP$3,0)),0),MATCH("DEFAULT_SALES_LBS",'Margin Guidence Table'!$A$1:$AG$1,0))),0))</f>
        <v>0</v>
      </c>
      <c r="IC21" s="784">
        <f t="array" ref="IC21">IF('Customer Inputs'!$W$13="End",0,IFERROR(IF($HZ21="SEGMENT",INDEX('Margin Guidence Table'!$A$1:$AG$10000,MATCH(1,('Margin Guidence Table'!$A$1:$A$10000=HX21)*('Margin Guidence Table'!$I$1:$I$10000&lt;=ROUND($HP$3,0))*('Margin Guidence Table'!$J$1:$J$10000&gt;=ROUND($HP$3,0)),0),MATCH("MDA_MIN_MARGIN_GUIDENCE",'Margin Guidence Table'!$A$1:$AG$1,0)),INDEX('Margin Guidence Table'!$A$1:$AG$10000,MATCH(1,('Margin Guidence Table'!$A$1:$A$10000=HX21)*('Margin Guidence Table'!$I$1:$I$10000&lt;=ROUND($HP$3,0))*('Margin Guidence Table'!$J$1:$J$10000&gt;=ROUND($HP$3,0)),0),MATCH("DEFAULT_MDA_MIN_MARGIN_GUIDENCE",'Margin Guidence Table'!$A$1:$AG$1,0))),0))</f>
        <v>0</v>
      </c>
      <c r="ID21" s="784">
        <f t="array" ref="ID21">IF('Customer Inputs'!$W$13="End",0,IFERROR(IF($HZ21="SEGMENT",INDEX('Margin Guidence Table'!$A$1:$AG$10000,MATCH(1,('Margin Guidence Table'!$A$1:$A$10000=HX21)*('Margin Guidence Table'!$I$1:$I$10000&lt;=ROUND($HP$3,0))*('Margin Guidence Table'!$J$1:$J$10000&gt;=ROUND($HP$3,0)),0),MATCH("MDA_MEDIAN_MARGIN_GUIDENCE",'Margin Guidence Table'!$A$1:$AG$1,0)),INDEX('Margin Guidence Table'!$A$1:$AG$10000,MATCH(1,('Margin Guidence Table'!$A$1:$A$10000=HX21)*('Margin Guidence Table'!$I$1:$I$10000&lt;=ROUND($HP$3,0))*('Margin Guidence Table'!$J$1:$J$10000&gt;=ROUND($HP$3,0)),0),MATCH("DEFAULT_MDA_MEDIAN_MARGIN_GUIDENCE",'Margin Guidence Table'!$A$1:$AG$1,0))),0))</f>
        <v>0</v>
      </c>
      <c r="IE21" s="784">
        <f t="array" ref="IE21">IF('Customer Inputs'!$W$13="End",0,IFERROR(IF($HZ21="SEGMENT",INDEX('Margin Guidence Table'!$A$1:$AG$10000,MATCH(1,('Margin Guidence Table'!$A$1:$A$10000=HX21)*('Margin Guidence Table'!$I$1:$I$10000&lt;=ROUND($HP$3,0))*('Margin Guidence Table'!$J$1:$J$10000&gt;=ROUND($HP$3,0)),0),MATCH("MDA_MAX_MARGIN_GUIDENCE",'Margin Guidence Table'!$A$1:$AG$1,0)),INDEX('Margin Guidence Table'!$A$1:$AG$10000,MATCH(1,('Margin Guidence Table'!$A$1:$A$10000=HX21)*('Margin Guidence Table'!$I$1:$I$10000&lt;=ROUND($HP$3,0))*('Margin Guidence Table'!$J$1:$J$10000&gt;=ROUND($HP$3,0)),0),MATCH("DEFAULT_MDA_MAX_MARGIN_GUIDENCE",'Margin Guidence Table'!$A$1:$AG$1,0))),0))</f>
        <v>0</v>
      </c>
      <c r="IF21" s="784">
        <f t="array" ref="IF21">IF('Customer Inputs'!$W$13="End",0,IFERROR(IF($HZ21="SEGMENT",INDEX('Margin Guidence Table'!$A$1:$AG$10000,MATCH(1,('Margin Guidence Table'!$A$1:$A$10000=HX21)*('Margin Guidence Table'!$I$1:$I$10000&lt;=ROUND($HP$3,0))*('Margin Guidence Table'!$J$1:$J$10000&gt;=ROUND($HP$3,0)),0),MATCH("PA_PCT_SALES",'Margin Guidence Table'!$A$1:$AG$1,0)),INDEX('Margin Guidence Table'!$A$1:$AG$10000,MATCH(1,('Margin Guidence Table'!$A$1:$A$10000=HX21)*('Margin Guidence Table'!$I$1:$I$10000&lt;=ROUND($HP$3,0))*('Margin Guidence Table'!$J$1:$J$10000&gt;=ROUND($HP$3,0)),0),MATCH("DEFAULT_PA_PCT_SALES",'Margin Guidence Table'!$A$1:$AG$1,0))),0))</f>
        <v>0</v>
      </c>
      <c r="IG21" s="784">
        <f t="array" ref="IG21">IF('Customer Inputs'!$W$13="End",0,IFERROR(IF($HZ21="SEGMENT",INDEX('Margin Guidence Table'!$A$1:$AG$10000,MATCH(1,('Margin Guidence Table'!$A$1:$A$10000=HX21)*('Margin Guidence Table'!$I$1:$I$10000&lt;=ROUND($HP$3,0))*('Margin Guidence Table'!$J$1:$J$10000&gt;=ROUND($HP$3,0)),0),MATCH("SELF_FUND_PCT_SALES",'Margin Guidence Table'!$A$1:$AG$1,0)),INDEX('Margin Guidence Table'!$A$1:$AG$10000,MATCH(1,('Margin Guidence Table'!$A$1:$A$10000=HX21)*('Margin Guidence Table'!$I$1:$I$10000&lt;=ROUND($HP$3,0))*('Margin Guidence Table'!$J$1:$J$10000&gt;=ROUND($HP$3,0)),0),MATCH("DEFAULT_SELF_FUND_PCT_SALES",'Margin Guidence Table'!$A$1:$AG$1,0))),0))</f>
        <v>0</v>
      </c>
      <c r="IH21" s="784">
        <f t="array" ref="IH21">IF('Customer Inputs'!$W$13="End",0,IF($HQ$2="Existing",IFERROR(SUMIFS('Existing Customers'!$V:$V,'Existing Customers'!$H:$H,$HO21,'Existing Customers'!$A:$A,$HP$1)/SUMIFS('Existing Customers'!$Q:$Q,'Existing Customers'!$H:$H,$HO21,'Existing Customers'!$A:$A,$HP$1),0),IFERROR(IF($HZ21="SEGMENT",INDEX('Margin Guidence Table'!$A$1:$AG$10000,MATCH(1,('Margin Guidence Table'!$A$1:$A$10000=HX21)*('Margin Guidence Table'!$I$1:$I$10000&lt;=ROUND($HP$3,0))*('Margin Guidence Table'!$J$1:$J$10000&gt;=ROUND($HP$3,0)),0),MATCH("CIA_MEDIAN_MARGIN_GUIDENCE",'Margin Guidence Table'!$A$1:$AG$1,0)),INDEX('Margin Guidence Table'!$A$1:$AG$10000,MATCH(1,('Margin Guidence Table'!$A$1:$A$10000=HX21)*('Margin Guidence Table'!$I$1:$I$10000&lt;=ROUND($HP$3,0))*('Margin Guidence Table'!$J$1:$J$10000&gt;=ROUND($HP$3,0)),0),MATCH("DEFAULT_CIA_MEDIAN_MARGIN_GUIDENCE",'Margin Guidence Table'!$A$1:$AG$1,0))),0)))</f>
        <v>0</v>
      </c>
      <c r="II21" s="126"/>
      <c r="IJ21" s="18">
        <f t="array" ref="IJ21">IF('Customer Inputs'!$W$14="End",0,IFERROR(IF($IW21="SEGMENT",INDEX('Margin Guidence Table'!$A:$AC,MATCH(1,('Margin Guidence Table'!$A:$A=$IU21)*('Margin Guidence Table'!$H:$H&lt;=ROUND($IM$3,0))*('Margin Guidence Table'!$G:$G&gt;=ROUND($IM$3,0)),0),MATCH("PCT_SALES",'Margin Guidence Table'!$A$1:$AG$1,0)),INDEX('Margin Guidence Table'!$A:$AC,MATCH(1,('Margin Guidence Table'!$A:$A=$IU21)*('Margin Guidence Table'!$H:$H&lt;=ROUND($IM$3,0))*('Margin Guidence Table'!$G:$G&gt;=ROUND($IM$3,0)),0),MATCH("DEFAULT_PCT_SALES",'Margin Guidence Table'!$A$1:$AG$1,0))),0))</f>
        <v>0</v>
      </c>
      <c r="IK21" s="297" t="e">
        <f t="shared" si="48"/>
        <v>#DIV/0!</v>
      </c>
      <c r="IL21" s="99" t="s">
        <v>95</v>
      </c>
      <c r="IM21" s="91">
        <f>IF('Customer Inputs'!$W$14="End",0,IFERROR(IF(AND($IM$2&lt;&gt;"Enter Spend&gt;&gt;&gt;",$IN$2="EXISTING"),SUMIFS('Existing Customers'!$Q:$Q,'Existing Customers'!$A:$A,$IM$1,'Existing Customers'!$H:$H,$IL21)*$IM$4,$IM$3*$IK21),0))</f>
        <v>0</v>
      </c>
      <c r="IN21" s="86">
        <f>IF('Customer Inputs'!$W$14="End",0,IFERROR(IF(AND($IM$2&lt;&gt;"Enter Spend&gt;&gt;&gt;",$IN$2="EXISTING"),SUMIFS('Existing Customers'!$N:$N,'Existing Customers'!$A:$A,$IM$1,'Existing Customers'!$H:$H,$IL21)*$IM$4,$IM21/$IX21),0))</f>
        <v>0</v>
      </c>
      <c r="IO21" s="92">
        <f>IF('Customer Inputs'!$W$14="End",0,IFERROR(IF(AND($IM$2&lt;&gt;"Enter Spend&gt;&gt;&gt;",$IN$2="EXISTING"),SUMIFS('Existing Customers'!$O:$O,'Existing Customers'!$H:$H,$IL21,'Existing Customers'!$A:$A,$IM$1)*$IM$4,$IN21*$IM$8),0))</f>
        <v>0</v>
      </c>
      <c r="IP21" s="92">
        <f>IF('Customer Inputs'!$W$14="End",0,IFERROR(IF(AND($IM$2&lt;&gt;"Enter Spend&gt;&gt;&gt;",$IN$2="EXISTING"),SUMIFS('Existing Customers'!$P:$P,'Existing Customers'!$A:$A,$IM$1,'Existing Customers'!$H:$H,$IL21)*$IM$4,$IM21/$IY21),0))</f>
        <v>0</v>
      </c>
      <c r="IQ21" s="303">
        <f>IF('Customer Inputs'!$W$14="End",0,IFERROR(IF(AND($IM$2&lt;&gt;"Enter Spend&gt;&gt;&gt;",$IN$2="EXISTING"),SUMIFS('Existing Customers'!$V:$V,'Existing Customers'!$H:$H,$IL21,'Existing Customers'!$A:$A,$IM$1)*$IM$4,0),0))</f>
        <v>0</v>
      </c>
      <c r="IR21" s="93">
        <f>IF('Customer Inputs'!$W$14="End",0,IFERROR(IF(AND($IM$2&lt;&gt;"Enter Spend&gt;&gt;&gt;",$IN$2="EXISTING"),SUMIFS('Existing Customers'!$R:$R,'Existing Customers'!$H:$H,$IL21,'Existing Customers'!$A:$A,$IM$1)*$IM$4,0),0))</f>
        <v>0</v>
      </c>
      <c r="IS21" s="780">
        <f>IF('Customer Inputs'!$W$14="End",0,IFERROR(IF(AND($IM$2&lt;&gt;"Enter Spend&gt;&gt;&gt;",$IN$2="EXISTING"),SUMIFS('Existing Customers'!$S:$S,'Existing Customers'!$H:$H,$IL21,'Existing Customers'!$A:$A,$IM$1)/SUMIFS('Existing Customers'!$Q:$Q,'Existing Customers'!$A:$A,$IM$1,'Existing Customers'!$H:$H,$IL21),JC21),0))</f>
        <v>0</v>
      </c>
      <c r="IT21" s="780">
        <f>IF('Customer Inputs'!$W$14="End",0,IFERROR(IF(AND($IM$2&lt;&gt;"Enter Spend&gt;&gt;&gt;",$IN$2="EXISTING"),SUMIFS('Existing Customers'!$U:$U,'Existing Customers'!$H:$H,$IL21,'Existing Customers'!$A:$A,$IM$1)/SUMIFS('Existing Customers'!$Q:$Q,'Existing Customers'!$A:$A,$IM$1,'Existing Customers'!$H:$H,$IL21),JD21),0))</f>
        <v>0</v>
      </c>
      <c r="IU21" s="783" t="e">
        <f>_xlfn.CONCAT('Customer Inputs'!$AH$14,"_",IL21)</f>
        <v>#N/A</v>
      </c>
      <c r="IV21" s="783">
        <f t="array" ref="IV21">IF('Customer Inputs'!$W$14="End",0,IFERROR(INDEX('Margin Guidence Table'!$A$1:$AG$10000,MATCH(1,('Margin Guidence Table'!$A$1:$A$10000=IU21)*('Margin Guidence Table'!$I$1:$I$10000&lt;=ROUND($IM$3,0))*('Margin Guidence Table'!$J$1:$J$10000&gt;=ROUND($IM$3,0)),0),MATCH("DATA_POINTS",'Margin Guidence Table'!$A$1:$AG$1,0)),0))</f>
        <v>0</v>
      </c>
      <c r="IW21" s="780" t="str">
        <f t="shared" si="49"/>
        <v>DEFAULT</v>
      </c>
      <c r="IX21" s="780">
        <f t="array" ref="IX21">IF('Customer Inputs'!$W$14="End",0,IFERROR(IF($IW21="SEGMENT",INDEX('Margin Guidence Table'!$A$1:$AG$10000,MATCH(1,('Margin Guidence Table'!$A$1:$A$10000=IU21)*('Margin Guidence Table'!$I$1:$I$10000&lt;=ROUND($IM$3,0))*('Margin Guidence Table'!$J$1:$J$10000&gt;=ROUND($IM$3,0)),0),MATCH("SALES_CASE",'Margin Guidence Table'!$A$1:$AG$1,0)),INDEX('Margin Guidence Table'!$A$1:$AG$10000,MATCH(1,('Margin Guidence Table'!$A$1:$A$10000=IU21)*('Margin Guidence Table'!$I$1:$I$10000&lt;=ROUND($IM$3,0))*('Margin Guidence Table'!$J$1:$J$10000&gt;=ROUND($IM$3,0)),0),MATCH("DEFAULT_SALES_CASE",'Margin Guidence Table'!$A$1:$AG$1,0))),0))</f>
        <v>0</v>
      </c>
      <c r="IY21" s="780">
        <f t="array" ref="IY21">IF('Customer Inputs'!$W$14="End",0,IFERROR(IF($IW21="SEGMENT",INDEX('Margin Guidence Table'!$A$1:$AG$10000,MATCH(1,('Margin Guidence Table'!$A$1:$A$10000=IU21)*('Margin Guidence Table'!$I$1:$I$10000&lt;=ROUND($IM$3,0))*('Margin Guidence Table'!$J$1:$J$10000&gt;=ROUND($IM$3,0)),0),MATCH("SALES_LBS",'Margin Guidence Table'!$A$1:$AG$1,0)),INDEX('Margin Guidence Table'!$A$1:$AG$10000,MATCH(1,('Margin Guidence Table'!$A$1:$A$10000=IU21)*('Margin Guidence Table'!$I$1:$I$10000&lt;=ROUND($IM$3,0))*('Margin Guidence Table'!$J$1:$J$10000&gt;=ROUND($IM$3,0)),0),MATCH("DEFAULT_SALES_LBS",'Margin Guidence Table'!$A$1:$AG$1,0))),0))</f>
        <v>0</v>
      </c>
      <c r="IZ21" s="784">
        <f t="array" ref="IZ21">IF('Customer Inputs'!$W$14="End",0,IFERROR(IF($IW21="SEGMENT",INDEX('Margin Guidence Table'!$A$1:$AG$10000,MATCH(1,('Margin Guidence Table'!$A$1:$A$10000=IU21)*('Margin Guidence Table'!$I$1:$I$10000&lt;=ROUND($IM$3,0))*('Margin Guidence Table'!$J$1:$J$10000&gt;=ROUND($IM$3,0)),0),MATCH("MDA_MIN_MARGIN_GUIDENCE",'Margin Guidence Table'!$A$1:$AG$1,0)),INDEX('Margin Guidence Table'!$A$1:$AG$10000,MATCH(1,('Margin Guidence Table'!$A$1:$A$10000=IU21)*('Margin Guidence Table'!$I$1:$I$10000&lt;=ROUND($IM$3,0))*('Margin Guidence Table'!$J$1:$J$10000&gt;=ROUND($IM$3,0)),0),MATCH("DEFAULT_MDA_MIN_MARGIN_GUIDENCE",'Margin Guidence Table'!$A$1:$AG$1,0))),0))</f>
        <v>0</v>
      </c>
      <c r="JA21" s="784">
        <f t="array" ref="JA21">IF('Customer Inputs'!$W$14="End",0,IFERROR(IF($IW21="SEGMENT",INDEX('Margin Guidence Table'!$A$1:$AG$10000,MATCH(1,('Margin Guidence Table'!$A$1:$A$10000=IU21)*('Margin Guidence Table'!$I$1:$I$10000&lt;=ROUND($IM$3,0))*('Margin Guidence Table'!$J$1:$J$10000&gt;=ROUND($IM$3,0)),0),MATCH("MDA_MEDIAN_MARGIN_GUIDENCE",'Margin Guidence Table'!$A$1:$AG$1,0)),INDEX('Margin Guidence Table'!$A$1:$AG$10000,MATCH(1,('Margin Guidence Table'!$A$1:$A$10000=IU21)*('Margin Guidence Table'!$I$1:$I$10000&lt;=ROUND($IM$3,0))*('Margin Guidence Table'!$J$1:$J$10000&gt;=ROUND($IM$3,0)),0),MATCH("DEFAULT_MDA_MEDIAN_MARGIN_GUIDENCE",'Margin Guidence Table'!$A$1:$AG$1,0))),0))</f>
        <v>0</v>
      </c>
      <c r="JB21" s="784">
        <f t="array" ref="JB21">IF('Customer Inputs'!$W$14="End",0,IFERROR(IF($IW21="SEGMENT",INDEX('Margin Guidence Table'!$A$1:$AG$10000,MATCH(1,('Margin Guidence Table'!$A$1:$A$10000=IU21)*('Margin Guidence Table'!$I$1:$I$10000&lt;=ROUND($IM$3,0))*('Margin Guidence Table'!$J$1:$J$10000&gt;=ROUND($IM$3,0)),0),MATCH("MDA_MAX_MARGIN_GUIDENCE",'Margin Guidence Table'!$A$1:$AG$1,0)),INDEX('Margin Guidence Table'!$A$1:$AG$10000,MATCH(1,('Margin Guidence Table'!$A$1:$A$10000=IU21)*('Margin Guidence Table'!$I$1:$I$10000&lt;=ROUND($IM$3,0))*('Margin Guidence Table'!$J$1:$J$10000&gt;=ROUND($IM$3,0)),0),MATCH("DEFAULT_MDA_MAX_MARGIN_GUIDENCE",'Margin Guidence Table'!$A$1:$AG$1,0))),0))</f>
        <v>0</v>
      </c>
      <c r="JC21" s="784">
        <f t="array" ref="JC21">IF('Customer Inputs'!$W$14="End",0,IFERROR(IF($IW21="SEGMENT",INDEX('Margin Guidence Table'!$A$1:$AG$10000,MATCH(1,('Margin Guidence Table'!$A$1:$A$10000=IU21)*('Margin Guidence Table'!$I$1:$I$10000&lt;=ROUND($IM$3,0))*('Margin Guidence Table'!$J$1:$J$10000&gt;=ROUND($IM$3,0)),0),MATCH("PA_PCT_SALES",'Margin Guidence Table'!$A$1:$AG$1,0)),INDEX('Margin Guidence Table'!$A$1:$AG$10000,MATCH(1,('Margin Guidence Table'!$A$1:$A$10000=IU21)*('Margin Guidence Table'!$I$1:$I$10000&lt;=ROUND($IM$3,0))*('Margin Guidence Table'!$J$1:$J$10000&gt;=ROUND($IM$3,0)),0),MATCH("DEFAULT_PA_PCT_SALES",'Margin Guidence Table'!$A$1:$AG$1,0))),0))</f>
        <v>0</v>
      </c>
      <c r="JD21" s="784">
        <f t="array" ref="JD21">IF('Customer Inputs'!$W$14="End",0,IFERROR(IF($IW21="SEGMENT",INDEX('Margin Guidence Table'!$A$1:$AG$10000,MATCH(1,('Margin Guidence Table'!$A$1:$A$10000=IU21)*('Margin Guidence Table'!$I$1:$I$10000&lt;=ROUND($IM$3,0))*('Margin Guidence Table'!$J$1:$J$10000&gt;=ROUND($IM$3,0)),0),MATCH("SELF_FUND_PCT_SALES",'Margin Guidence Table'!$A$1:$AG$1,0)),INDEX('Margin Guidence Table'!$A$1:$AG$10000,MATCH(1,('Margin Guidence Table'!$A$1:$A$10000=IU21)*('Margin Guidence Table'!$I$1:$I$10000&lt;=ROUND($IM$3,0))*('Margin Guidence Table'!$J$1:$J$10000&gt;=ROUND($IM$3,0)),0),MATCH("DEFAULT_SELF_FUND_PCT_SALES",'Margin Guidence Table'!$A$1:$AG$1,0))),0))</f>
        <v>0</v>
      </c>
      <c r="JE21" s="784">
        <f t="array" ref="JE21">IF('Customer Inputs'!$W$14="End",0,IF($IN$2="Existing",IFERROR(SUMIFS('Existing Customers'!$V:$V,'Existing Customers'!$H:$H,$IL21,'Existing Customers'!$A:$A,$IM$1)/SUMIFS('Existing Customers'!$Q:$Q,'Existing Customers'!$H:$H,$IL21,'Existing Customers'!$A:$A,$IM$1),0),IFERROR(IF($IW21="SEGMENT",INDEX('Margin Guidence Table'!$A$1:$AG$10000,MATCH(1,('Margin Guidence Table'!$A$1:$A$10000=IU21)*('Margin Guidence Table'!$I$1:$I$10000&lt;=ROUND($IM$3,0))*('Margin Guidence Table'!$J$1:$J$10000&gt;=ROUND($IM$3,0)),0),MATCH("CIA_MEDIAN_MARGIN_GUIDENCE",'Margin Guidence Table'!$A$1:$AG$1,0)),INDEX('Margin Guidence Table'!$A$1:$AG$10000,MATCH(1,('Margin Guidence Table'!$A$1:$A$10000=IU21)*('Margin Guidence Table'!$I$1:$I$10000&lt;=ROUND($IM$3,0))*('Margin Guidence Table'!$J$1:$J$10000&gt;=ROUND($IM$3,0)),0),MATCH("DEFAULT_CIA_MEDIAN_MARGIN_GUIDENCE",'Margin Guidence Table'!$A$1:$AG$1,0))),0)))</f>
        <v>0</v>
      </c>
      <c r="JF21" s="126"/>
      <c r="JG21" s="18">
        <f t="array" ref="JG21">IF('Customer Inputs'!$W$15="End",0,IFERROR(IF($JT21="SEGMENT",INDEX('Margin Guidence Table'!$A$1:$AG$10000,MATCH(1,('Margin Guidence Table'!$A$1:$A$10000=$JR21)*('Margin Guidence Table'!$I$1:$I$10000&lt;=ROUND($JJ$3,0))*('Margin Guidence Table'!$J$1:$J$10000&gt;=ROUND($JJ$3,0)),0),MATCH("PCT_SALES",'Margin Guidence Table'!$A$1:$AG$1,0)),INDEX('Margin Guidence Table'!$A$1:$AG$10000,MATCH(1,('Margin Guidence Table'!$A$1:$A$10000=$JR21)*('Margin Guidence Table'!$I$1:$I$10000&lt;=ROUND($JJ$3,0))*('Margin Guidence Table'!$J$1:$J$10000&gt;=ROUND($JJ$3,0)),0),MATCH("DEFAULT_PCT_SALES",'Margin Guidence Table'!$A$1:$AG$1,0))),0))</f>
        <v>0</v>
      </c>
      <c r="JH21" s="297" t="e">
        <f t="shared" si="50"/>
        <v>#DIV/0!</v>
      </c>
      <c r="JI21" s="99" t="s">
        <v>95</v>
      </c>
      <c r="JJ21" s="91">
        <f>IF('Customer Inputs'!$W$15="End",0,IFERROR(IF(AND($JJ$2&lt;&gt;"Enter Spend&gt;&gt;&gt;",$JK$2="EXISTING"),SUMIFS('Existing Customers'!$Q:$Q,'Existing Customers'!$A:$A,$JJ$1,'Existing Customers'!$H:$H,$JI21)*$JJ$4,$JJ$3*$JH21),0))</f>
        <v>0</v>
      </c>
      <c r="JK21" s="86">
        <f>IF('Customer Inputs'!$W$15="End",0,IFERROR(IF(AND($JJ$2&lt;&gt;"Enter Spend&gt;&gt;&gt;",$JK$2="EXISTING"),SUMIFS('Existing Customers'!$N:$N,'Existing Customers'!$A:$A,$JJ$1,'Existing Customers'!$H:$H,$JI21)*$JJ$4,$JJ21/$JU21),0))</f>
        <v>0</v>
      </c>
      <c r="JL21" s="92">
        <f>IF('Customer Inputs'!$W$15="End",0,IFERROR(IF(AND($JJ$2&lt;&gt;"Enter Spend&gt;&gt;&gt;",$JK$2="EXISTING"),SUMIFS('Existing Customers'!$O:$O,'Existing Customers'!$H:$H,$JI21,'Existing Customers'!$A:$A,$JJ$1)*$JJ$4,$JK21*$JJ$8),0))</f>
        <v>0</v>
      </c>
      <c r="JM21" s="92">
        <f>IF('Customer Inputs'!$W$15="End",0,IFERROR(IF(AND($JJ$2&lt;&gt;"Enter Spend&gt;&gt;&gt;",$JK$2="EXISTING"),SUMIFS('Existing Customers'!$P:$P,'Existing Customers'!$A:$A,$JJ$1,'Existing Customers'!$H:$H,$JI21)*$JJ$4,$JJ21/$JV21),0))</f>
        <v>0</v>
      </c>
      <c r="JN21" s="303">
        <f>IF('Customer Inputs'!$W$15="End",0,IFERROR(IF(AND($JJ$2&lt;&gt;"Enter Spend&gt;&gt;&gt;",$JK$2="EXISTING"),SUMIFS('Existing Customers'!$V:$V,'Existing Customers'!$H:$H,$JI21,'Existing Customers'!$A:$A,$JJ$1)*$JJ$4,0),0))</f>
        <v>0</v>
      </c>
      <c r="JO21" s="93">
        <f>IF('Customer Inputs'!$W$15="End",0,IFERROR(IF(AND($JJ$2&lt;&gt;"Enter Spend&gt;&gt;&gt;",$JK$2="EXISTING"),SUMIFS('Existing Customers'!$R:$R,'Existing Customers'!$H:$H,$JI21,'Existing Customers'!$A:$A,$JJ$1)*$JJ$4,0),0))</f>
        <v>0</v>
      </c>
      <c r="JP21" s="780">
        <f>IF('Customer Inputs'!$W$15="End",0,IFERROR(IF(AND($JJ$2&lt;&gt;"Enter Spend&gt;&gt;&gt;",$JK$2="EXISTING"),SUMIFS('Existing Customers'!$S:$S,'Existing Customers'!$H:$H,$JI21,'Existing Customers'!$A:$A,$JJ$1)/SUMIFS('Existing Customers'!$Q:$Q,'Existing Customers'!$A:$A,$JJ$1,'Existing Customers'!$H:$H,$JI21),JZ21),0))</f>
        <v>0</v>
      </c>
      <c r="JQ21" s="780">
        <f>IF('Customer Inputs'!$W$15="End",0,IFERROR(IF(AND($JJ$2&lt;&gt;"Enter Spend&gt;&gt;&gt;",$JK$2="EXISTING"),SUMIFS('Existing Customers'!$U:$U,'Existing Customers'!$H:$H,$JI21,'Existing Customers'!$A:$A,$JJ$1)/SUMIFS('Existing Customers'!$Q:$Q,'Existing Customers'!$A:$A,$JJ$1,'Existing Customers'!$H:$H,$JI21),KA21),0))</f>
        <v>0</v>
      </c>
      <c r="JR21" s="783" t="e">
        <f>_xlfn.CONCAT('Customer Inputs'!$AH$15,"_",JI21)</f>
        <v>#N/A</v>
      </c>
      <c r="JS21" s="783">
        <f t="array" ref="JS21">IF('Customer Inputs'!$W$15="End",0,IFERROR(INDEX('Margin Guidence Table'!$A$1:$AG$10000,MATCH(1,('Margin Guidence Table'!$A$1:$A$10000=JR21)*('Margin Guidence Table'!$I$1:$I$10000&lt;=ROUND($JJ$3,0))*('Margin Guidence Table'!$J$1:$J$10000&gt;=ROUND($JJ$3,0)),0),MATCH("DATA_POINTS",'Margin Guidence Table'!$A$1:$AG$1,0)),0))</f>
        <v>0</v>
      </c>
      <c r="JT21" s="780" t="str">
        <f t="shared" si="51"/>
        <v>DEFAULT</v>
      </c>
      <c r="JU21" s="780">
        <f t="array" ref="JU21">IF('Customer Inputs'!$W$15="End",0,IFERROR(IF($JT21="SEGMENT",INDEX('Margin Guidence Table'!$A$1:$AG$10000,MATCH(1,('Margin Guidence Table'!$A$1:$A$10000=JR21)*('Margin Guidence Table'!$I$1:$I$10000&lt;=ROUND($JJ$3,0))*('Margin Guidence Table'!$J$1:$J$10000&gt;=ROUND($JJ$3,0)),0),MATCH("SALES_CASE",'Margin Guidence Table'!$A$1:$AG$1,0)),INDEX('Margin Guidence Table'!$A$1:$AG$10000,MATCH(1,('Margin Guidence Table'!$A$1:$A$10000=JR21)*('Margin Guidence Table'!$I$1:$I$10000&lt;=ROUND($JJ$3,0))*('Margin Guidence Table'!$J$1:$J$10000&gt;=ROUND($JJ$3,0)),0),MATCH("DEFAULT_SALES_CASE",'Margin Guidence Table'!$A$1:$AG$1,0))),0))</f>
        <v>0</v>
      </c>
      <c r="JV21" s="780">
        <f t="array" ref="JV21">IF('Customer Inputs'!$W$15="End",0,IFERROR(IF($JT21="SEGMENT",INDEX('Margin Guidence Table'!$A$1:$AG$10000,MATCH(1,('Margin Guidence Table'!$A$1:$A$10000=JR21)*('Margin Guidence Table'!$I$1:$I$10000&lt;=ROUND($JJ$3,0))*('Margin Guidence Table'!$J$1:$J$10000&gt;=ROUND($JJ$3,0)),0),MATCH("SALES_LBS",'Margin Guidence Table'!$A$1:$AG$1,0)),INDEX('Margin Guidence Table'!$A$1:$AG$10000,MATCH(1,('Margin Guidence Table'!$A$1:$A$10000=JR21)*('Margin Guidence Table'!$I$1:$I$10000&lt;=ROUND($JJ$3,0))*('Margin Guidence Table'!$J$1:$J$10000&gt;=ROUND($JJ$3,0)),0),MATCH("DEFAULT_SALES_LBS",'Margin Guidence Table'!$A$1:$AG$1,0))),0))</f>
        <v>0</v>
      </c>
      <c r="JW21" s="784">
        <f t="array" ref="JW21">IF('Customer Inputs'!$W$15="End",0,IFERROR(IF($JT21="SEGMENT",INDEX('Margin Guidence Table'!$A$1:$AG$10000,MATCH(1,('Margin Guidence Table'!$A$1:$A$10000=JR21)*('Margin Guidence Table'!$I$1:$I$10000&lt;=ROUND($JJ$3,0))*('Margin Guidence Table'!$J$1:$J$10000&gt;=ROUND($JJ$3,0)),0),MATCH("MDA_MIN_MARGIN_GUIDENCE",'Margin Guidence Table'!$A$1:$AG$1,0)),INDEX('Margin Guidence Table'!$A$1:$AG$10000,MATCH(1,('Margin Guidence Table'!$A$1:$A$10000=JR21)*('Margin Guidence Table'!$I$1:$I$10000&lt;=ROUND($JJ$3,0))*('Margin Guidence Table'!$J$1:$J$10000&gt;=ROUND($JJ$3,0)),0),MATCH("DEFAULT_MDA_MIN_MARGIN_GUIDENCE",'Margin Guidence Table'!$A$1:$AG$1,0))),0))</f>
        <v>0</v>
      </c>
      <c r="JX21" s="784">
        <f t="array" ref="JX21">IF('Customer Inputs'!$W$15="End",0,IFERROR(IF($JT21="SEGMENT",INDEX('Margin Guidence Table'!$A$1:$AG$10000,MATCH(1,('Margin Guidence Table'!$A$1:$A$10000=JR21)*('Margin Guidence Table'!$I$1:$I$10000&lt;=ROUND($JJ$3,0))*('Margin Guidence Table'!$J$1:$J$10000&gt;=ROUND($JJ$3,0)),0),MATCH("MDA_MEDIAN_MARGIN_GUIDENCE",'Margin Guidence Table'!$A$1:$AG$1,0)),INDEX('Margin Guidence Table'!$A$1:$AG$10000,MATCH(1,('Margin Guidence Table'!$A$1:$A$10000=JR21)*('Margin Guidence Table'!$I$1:$I$10000&lt;=ROUND($JJ$3,0))*('Margin Guidence Table'!$J$1:$J$10000&gt;=ROUND($JJ$3,0)),0),MATCH("DEFAULT_MDA_MEDIAN_MARGIN_GUIDENCE",'Margin Guidence Table'!$A$1:$AG$1,0))),0))</f>
        <v>0</v>
      </c>
      <c r="JY21" s="784">
        <f t="array" ref="JY21">IF('Customer Inputs'!$W$15="End",0,IFERROR(IF($JT21="SEGMENT",INDEX('Margin Guidence Table'!$A$1:$AG$10000,MATCH(1,('Margin Guidence Table'!$A$1:$A$10000=JR21)*('Margin Guidence Table'!$I$1:$I$10000&lt;=ROUND($JJ$3,0))*('Margin Guidence Table'!$J$1:$J$10000&gt;=ROUND($JJ$3,0)),0),MATCH("MDA_MAX_MARGIN_GUIDENCE",'Margin Guidence Table'!$A$1:$AG$1,0)),INDEX('Margin Guidence Table'!$A$1:$AG$10000,MATCH(1,('Margin Guidence Table'!$A$1:$A$10000=JR21)*('Margin Guidence Table'!$I$1:$I$10000&lt;=ROUND($JJ$3,0))*('Margin Guidence Table'!$J$1:$J$10000&gt;=ROUND($JJ$3,0)),0),MATCH("DEFAULT_MDA_MAX_MARGIN_GUIDENCE",'Margin Guidence Table'!$A$1:$AG$1,0))),0))</f>
        <v>0</v>
      </c>
      <c r="JZ21" s="784">
        <f t="array" ref="JZ21">IF('Customer Inputs'!$W$15="End",0,IFERROR(IF($JT21="SEGMENT",INDEX('Margin Guidence Table'!$A$1:$AG$10000,MATCH(1,('Margin Guidence Table'!$A$1:$A$10000=JR21)*('Margin Guidence Table'!$I$1:$I$10000&lt;=ROUND($JJ$3,0))*('Margin Guidence Table'!$J$1:$J$10000&gt;=ROUND($JJ$3,0)),0),MATCH("PA_PCT_SALES",'Margin Guidence Table'!$A$1:$AG$1,0)),INDEX('Margin Guidence Table'!$A$1:$AG$10000,MATCH(1,('Margin Guidence Table'!$A$1:$A$10000=JR21)*('Margin Guidence Table'!$I$1:$I$10000&lt;=ROUND($JJ$3,0))*('Margin Guidence Table'!$J$1:$J$10000&gt;=ROUND($JJ$3,0)),0),MATCH("DEFAULT_PA_PCT_SALES",'Margin Guidence Table'!$A$1:$AG$1,0))),0))</f>
        <v>0</v>
      </c>
      <c r="KA21" s="784" cm="1">
        <f t="array" ref="KA21">IF('Customer Inputs'!$W$15="End",0,IFERROR(IF($JT21="SEGMENT",INDEX('Margin Guidence Table'!$A$1:$AG$10000,MATCH(1,('Margin Guidence Table'!$A$1:$A$10000=JR21)*('Margin Guidence Table'!$I$1:$I$10000&lt;=ROUND($JJ$3,0))*('Margin Guidence Table'!$J$1:$J$10000&gt;=ROUND($JJ$3,0)),0),MATCH("SELF_FUND_PCT_SALES",'Margin Guidence Table'!$A$1:$AG$1,0)),INDEX('Margin Guidence Table'!$A$1:$AG$10000,MATCH(1,('Margin Guidence Table'!$A$1:$A$10000=JR21)*('Margin Guidence Table'!$I$1:$I$10000&lt;=ROUND($JJ$3,0))*('Margin Guidence Table'!$J$1:$J$10000&gt;=ROUND($JJ$3,0)),0),MATCH("DEFAULT_SELF_FUND_PCT_SALES",'Margin Guidence Table'!$A$1:$AG$1,0))),0))</f>
        <v>0</v>
      </c>
      <c r="KB21" s="784">
        <f t="array" ref="KB21">IF('Customer Inputs'!$W$15="End",0,IF($JK$2="Existing",IFERROR(SUMIFS('Existing Customers'!$V:$V,'Existing Customers'!$H:$H,$JI21,'Existing Customers'!$A:$A,$JJ$1)/SUMIFS('Existing Customers'!$Q:$Q,'Existing Customers'!$H:$H,$JI21,'Existing Customers'!$A:$A,$JJ$1),0),IFERROR(IF($JT21="SEGMENT",INDEX('Margin Guidence Table'!$A$1:$AG$10000,MATCH(1,('Margin Guidence Table'!$A$1:$A$10000=JR21)*('Margin Guidence Table'!$I$1:$I$10000&lt;=ROUND($JJ$3,0))*('Margin Guidence Table'!$J$1:$J$10000&gt;=ROUND($JJ$3,0)),0),MATCH("CIA_MEDIAN_MARGIN_GUIDENCE",'Margin Guidence Table'!$A$1:$AG$1,0)),INDEX('Margin Guidence Table'!$A$1:$AG$10000,MATCH(1,('Margin Guidence Table'!$A$1:$A$10000=JR21)*('Margin Guidence Table'!$I$1:$I$10000&lt;=ROUND($JJ$3,0))*('Margin Guidence Table'!$J$1:$J$10000&gt;=ROUND($JJ$3,0)),0),MATCH("DEFAULT_CIA_MEDIAN_MARGIN_GUIDENCE",'Margin Guidence Table'!$A$1:$AG$1,0))),0)))</f>
        <v>0</v>
      </c>
      <c r="KC21" s="784"/>
      <c r="KD21" s="18">
        <f t="array" ref="KD21">IF('Customer Inputs'!$W$16="End",0,IFERROR(IF($KQ21="SEGMENT",INDEX('Margin Guidence Table'!$A$1:$AG$10000,MATCH(1,('Margin Guidence Table'!$A$1:$A$10000=$KO21)*('Margin Guidence Table'!$I$1:$I$10000&lt;=ROUND($KG$3,0))*('Margin Guidence Table'!$J$1:$J$10000&gt;=ROUND($KG$3,0)),0),MATCH("PCT_SALES",'Margin Guidence Table'!$A$1:$AG$1,0)),INDEX('Margin Guidence Table'!$A$1:$AG$10000,MATCH(1,('Margin Guidence Table'!$A$1:$A$10000=$KO21)*('Margin Guidence Table'!$I$1:$I$10000&lt;=ROUND($KG$3,0))*('Margin Guidence Table'!$J$1:$J$10000&gt;=ROUND($KG$3,0)),0),MATCH("DEFAULT_PCT_SALES",'Margin Guidence Table'!$A$1:$AG$1,0))),0))</f>
        <v>0</v>
      </c>
      <c r="KE21" s="1713" t="e">
        <f t="shared" si="52"/>
        <v>#DIV/0!</v>
      </c>
      <c r="KF21" s="99" t="s">
        <v>95</v>
      </c>
      <c r="KG21" s="91">
        <f>IF('Customer Inputs'!$W$16="End",0,IFERROR(IF(AND($KG$2&lt;&gt;"Enter Spend&gt;&gt;&gt;",$KH$2="EXISTING"),SUMIFS('Existing Customers'!$Q:$Q,'Existing Customers'!$A:$A,$KG$1,'Existing Customers'!$H:$H,$KF21)*$KG$4,$KG$3*$KE21),0))</f>
        <v>0</v>
      </c>
      <c r="KH21" s="86">
        <f>IF('Customer Inputs'!$W$16="End",0,IFERROR(IF(AND($KG$2&lt;&gt;"Enter Spend&gt;&gt;&gt;",$KH$2="EXISTING"),SUMIFS('Existing Customers'!$N:$N,'Existing Customers'!$A:$A,$KG$1,'Existing Customers'!$H:$H,$KF21)*$KG$4,$KG21/$KR21),0))</f>
        <v>0</v>
      </c>
      <c r="KI21" s="92">
        <f>IF('Customer Inputs'!$W$16="End",0,IFERROR(IF(AND($KG$2&lt;&gt;"Enter Spend&gt;&gt;&gt;",$KH$2="EXISTING"),SUMIFS('Existing Customers'!$O:$O,'Existing Customers'!$H:$H,$KF21,'Existing Customers'!$A:$A,$KG$1)*$KG$4,$KH21*$KG$8),0))</f>
        <v>0</v>
      </c>
      <c r="KJ21" s="92">
        <f>IF('Customer Inputs'!$W$16="End",0,IFERROR(IF(AND($KG$2&lt;&gt;"Enter Spend&gt;&gt;&gt;",$KH$2="EXISTING"),SUMIFS('Existing Customers'!$P:$P,'Existing Customers'!$A:$A,$KG$1,'Existing Customers'!$H:$H,$KF21)*$KG$4,$KG21/$KS21),0))</f>
        <v>0</v>
      </c>
      <c r="KK21" s="303">
        <f>IF('Customer Inputs'!$W$16="End",0,IFERROR(IF(AND($KG$2&lt;&gt;"Enter Spend&gt;&gt;&gt;",$KH$2="EXISTING"),SUMIFS('Existing Customers'!$V:$V,'Existing Customers'!$H:$H,$KF21,'Existing Customers'!$A:$A,$KG$1)*$KG$4,0),0))</f>
        <v>0</v>
      </c>
      <c r="KL21" s="93">
        <f>IF('Customer Inputs'!$W$16="End",0,IFERROR(IF(AND($KG$2&lt;&gt;"Enter Spend&gt;&gt;&gt;",$KH$2="EXISTING"),SUMIFS('Existing Customers'!$R:$R,'Existing Customers'!$H:$H,$KF21,'Existing Customers'!$A:$A,$KG$1)*$KG$4,0),0))</f>
        <v>0</v>
      </c>
      <c r="KM21" s="780">
        <f>IF('Customer Inputs'!$W$16="End",0,IFERROR(IF(AND($KG$2&lt;&gt;"Enter Spend&gt;&gt;&gt;",$KH$2="EXISTING"),SUMIFS('Existing Customers'!$S:$S,'Existing Customers'!$H:$H,$KF21,'Existing Customers'!$A:$A,$KG$1)/SUMIFS('Existing Customers'!$Q:$Q,'Existing Customers'!$A:$A,$KG$1,'Existing Customers'!$H:$H,$KF21),KW21),0))</f>
        <v>0</v>
      </c>
      <c r="KN21" s="780">
        <f>IF('Customer Inputs'!$W$16="End",0,IFERROR(IF(AND($KG$2&lt;&gt;"Enter Spend&gt;&gt;&gt;",$KH$2="EXISTING"),SUMIFS('Existing Customers'!$U:$U,'Existing Customers'!$H:$H,$KF21,'Existing Customers'!$A:$A,$KG$1)/SUMIFS('Existing Customers'!$Q:$Q,'Existing Customers'!$A:$A,$KG$1,'Existing Customers'!$H:$H,$KF21),KX21),0))</f>
        <v>0</v>
      </c>
      <c r="KO21" s="783" t="e">
        <f>_xlfn.CONCAT('Customer Inputs'!$AH$16,"_",KF21)</f>
        <v>#N/A</v>
      </c>
      <c r="KP21" s="783">
        <f t="array" ref="KP21">IF('Customer Inputs'!$W$16="End",0,IFERROR(INDEX('Margin Guidence Table'!$A$1:$AG$10000,MATCH(1,('Margin Guidence Table'!$A$1:$A$10000=KO21)*('Margin Guidence Table'!$I$1:$I$10000&lt;=ROUND($KG$3,0))*('Margin Guidence Table'!$J$1:$J$10000&gt;=ROUND($KG$3,0)),0),MATCH("DATA_POINTS",'Margin Guidence Table'!$A$1:$AG$1,0)),0))</f>
        <v>0</v>
      </c>
      <c r="KQ21" s="780" t="str">
        <f t="shared" si="53"/>
        <v>DEFAULT</v>
      </c>
      <c r="KR21" s="780">
        <f t="array" ref="KR21">IF('Customer Inputs'!$W$16="End",0,IFERROR(IF($KQ21="SEGMENT",INDEX('Margin Guidence Table'!$A$1:$AG$10000,MATCH(1,('Margin Guidence Table'!$A$1:$A$10000=KO21)*('Margin Guidence Table'!$I$1:$I$10000&lt;=ROUND($KG$3,0))*('Margin Guidence Table'!$J$1:$J$10000&gt;=ROUND($KG$3,0)),0),MATCH("SALES_CASE",'Margin Guidence Table'!$A$1:$AG$1,0)),INDEX('Margin Guidence Table'!$A$1:$AG$10000,MATCH(1,('Margin Guidence Table'!$A$1:$A$10000=KO21)*('Margin Guidence Table'!$I$1:$I$10000&lt;=ROUND($KG$3,0))*('Margin Guidence Table'!$J$1:$J$10000&gt;=ROUND($KG$3,0)),0),MATCH("DEFAULT_SALES_CASE",'Margin Guidence Table'!$A$1:$AG$1,0))),0))</f>
        <v>0</v>
      </c>
      <c r="KS21" s="780">
        <f t="array" ref="KS21">IF('Customer Inputs'!$W$16="End",0,IFERROR(IF($KQ21="SEGMENT",INDEX('Margin Guidence Table'!$A$1:$AG$10000,MATCH(1,('Margin Guidence Table'!$A$1:$A$10000=KO21)*('Margin Guidence Table'!$I$1:$I$10000&lt;=ROUND($KG$3,0))*('Margin Guidence Table'!$J$1:$J$10000&gt;=ROUND($KG$3,0)),0),MATCH("SALES_LBS",'Margin Guidence Table'!$A$1:$AG$1,0)),INDEX('Margin Guidence Table'!$A$1:$AG$10000,MATCH(1,('Margin Guidence Table'!$A$1:$A$10000=KO21)*('Margin Guidence Table'!$I$1:$I$10000&lt;=ROUND($KG$3,0))*('Margin Guidence Table'!$J$1:$J$10000&gt;=ROUND($KG$3,0)),0),MATCH("DEFAULT_SALES_LBS",'Margin Guidence Table'!$A$1:$AG$1,0))),0))</f>
        <v>0</v>
      </c>
      <c r="KT21" s="784">
        <f t="array" ref="KT21">IF('Customer Inputs'!$W$16="End",0,IFERROR(IF($KQ21="SEGMENT",INDEX('Margin Guidence Table'!$A$1:$AG$10000,MATCH(1,('Margin Guidence Table'!$A$1:$A$10000=KO21)*('Margin Guidence Table'!$I$1:$I$10000&lt;=ROUND($KG$3,0))*('Margin Guidence Table'!$J$1:$J$10000&gt;=ROUND($KG$3,0)),0),MATCH("MDA_MIN_MARGIN_GUIDENCE",'Margin Guidence Table'!$A$1:$AG$1,0)),INDEX('Margin Guidence Table'!$A$1:$AG$10000,MATCH(1,('Margin Guidence Table'!$A$1:$A$10000=KO21)*('Margin Guidence Table'!$I$1:$I$10000&lt;=ROUND($KG$3,0))*('Margin Guidence Table'!$J$1:$J$10000&gt;=ROUND($KG$3,0)),0),MATCH("DEFAULT_MDA_MIN_MARGIN_GUIDENCE",'Margin Guidence Table'!$A$1:$AG$1,0))),0))</f>
        <v>0</v>
      </c>
      <c r="KU21" s="784">
        <f t="array" ref="KU21">IF('Customer Inputs'!$W$16="End",0,IFERROR(IF($KQ21="SEGMENT",INDEX('Margin Guidence Table'!$A$1:$AG$10000,MATCH(1,('Margin Guidence Table'!$A$1:$A$10000=KO21)*('Margin Guidence Table'!$I$1:$I$10000&lt;=ROUND($KG$3,0))*('Margin Guidence Table'!$J$1:$J$10000&gt;=ROUND($KG$3,0)),0),MATCH("MDA_MEDIAN_MARGIN_GUIDENCE",'Margin Guidence Table'!$A$1:$AG$1,0)),INDEX('Margin Guidence Table'!$A$1:$AG$10000,MATCH(1,('Margin Guidence Table'!$A$1:$A$10000=KO21)*('Margin Guidence Table'!$I$1:$I$10000&lt;=ROUND($KG$3,0))*('Margin Guidence Table'!$J$1:$J$10000&gt;=ROUND($KG$3,0)),0),MATCH("DEFAULT_MDA_MEDIAN_MARGIN_GUIDENCE",'Margin Guidence Table'!$A$1:$AG$1,0))),0))</f>
        <v>0</v>
      </c>
      <c r="KV21" s="784">
        <f t="array" ref="KV21">IF('Customer Inputs'!$W$16="End",0,IFERROR(IF($KQ21="SEGMENT",INDEX('Margin Guidence Table'!$A$1:$AG$10000,MATCH(1,('Margin Guidence Table'!$A$1:$A$10000=KO21)*('Margin Guidence Table'!$I$1:$I$10000&lt;=ROUND($KG$3,0))*('Margin Guidence Table'!$J$1:$J$10000&gt;=ROUND($KG$3,0)),0),MATCH("MDA_MAX_MARGIN_GUIDENCE",'Margin Guidence Table'!$A$1:$AG$1,0)),INDEX('Margin Guidence Table'!$A$1:$AG$10000,MATCH(1,('Margin Guidence Table'!$A$1:$A$10000=KO21)*('Margin Guidence Table'!$I$1:$I$10000&lt;=ROUND($KG$3,0))*('Margin Guidence Table'!$J$1:$J$10000&gt;=ROUND($KG$3,0)),0),MATCH("DEFAULT_MDA_MAX_MARGIN_GUIDENCE",'Margin Guidence Table'!$A$1:$AG$1,0))),0))</f>
        <v>0</v>
      </c>
      <c r="KW21" s="784">
        <f t="array" ref="KW21">IF('Customer Inputs'!$W$16="End",0,IFERROR(IF($KQ21="SEGMENT",INDEX('Margin Guidence Table'!$A$1:$AG$10000,MATCH(1,('Margin Guidence Table'!$A$1:$A$10000=KO21)*('Margin Guidence Table'!$I$1:$I$10000&lt;=ROUND($KG$3,0))*('Margin Guidence Table'!$J$1:$J$10000&gt;=ROUND($KG$3,0)),0),MATCH("PA_PCT_SALES",'Margin Guidence Table'!$A$1:$AG$1,0)),INDEX('Margin Guidence Table'!$A$1:$AG$10000,MATCH(1,('Margin Guidence Table'!$A$1:$A$10000=KO21)*('Margin Guidence Table'!$I$1:$I$10000&lt;=ROUND($KG$3,0))*('Margin Guidence Table'!$J$1:$J$10000&gt;=ROUND($KG$3,0)),0),MATCH("DEFAULT_PA_PCT_SALES",'Margin Guidence Table'!$A$1:$AG$1,0))),0))</f>
        <v>0</v>
      </c>
      <c r="KX21" s="784">
        <f t="array" ref="KX21">IF('Customer Inputs'!$W$16="End",0,IFERROR(IF($KQ21="SEGMENT",INDEX('Margin Guidence Table'!$A$1:$AG$10000,MATCH(1,('Margin Guidence Table'!$A$1:$A$10000=KO21)*('Margin Guidence Table'!$I$1:$I$10000&lt;=ROUND($KG$3,0))*('Margin Guidence Table'!$J$1:$J$10000&gt;=ROUND($KG$3,0)),0),MATCH("SELF_FUND_PCT_SALES",'Margin Guidence Table'!$A$1:$AG$1,0)),INDEX('Margin Guidence Table'!$A$1:$AG$10000,MATCH(1,('Margin Guidence Table'!$A$1:$A$10000=KO21)*('Margin Guidence Table'!$I$1:$I$10000&lt;=ROUND($KG$3,0))*('Margin Guidence Table'!$J$1:$J$10000&gt;=ROUND($KG$3,0)),0),MATCH("DEFAULT_SELF_FUND_PCT_SALES",'Margin Guidence Table'!$A$1:$AG$1,0))),0))</f>
        <v>0</v>
      </c>
      <c r="KY21" s="784">
        <f t="array" ref="KY21">IF('Customer Inputs'!$W$16="End",0,IF($KH$2="Existing",IFERROR(SUMIFS('Existing Customers'!$V:$V,'Existing Customers'!$H:$H,$KF21,'Existing Customers'!$A:$A,$KG$1)/SUMIFS('Existing Customers'!$Q:$Q,'Existing Customers'!$H:$H,$KF21,'Existing Customers'!$A:$A,$KG$1),0),IFERROR(IF($KQ21="SEGMENT",INDEX('Margin Guidence Table'!$A$1:$AG$10000,MATCH(1,('Margin Guidence Table'!$A$1:$A$10000=KO21)*('Margin Guidence Table'!$I$1:$I$10000&lt;=ROUND($KG$3,0))*('Margin Guidence Table'!$J$1:$J$10000&gt;=ROUND($KG$3,0)),0),MATCH("CIA_MEDIAN_MARGIN_GUIDENCE",'Margin Guidence Table'!$A$1:$AG$1,0)),INDEX('Margin Guidence Table'!$A$1:$AG$10000,MATCH(1,('Margin Guidence Table'!$A$1:$A$10000=KO21)*('Margin Guidence Table'!$I$1:$I$10000&lt;=ROUND($KG$3,0))*('Margin Guidence Table'!$J$1:$J$10000&gt;=ROUND($KG$3,0)),0),MATCH("DEFAULT_CIA_MEDIAN_MARGIN_GUIDENCE",'Margin Guidence Table'!$A$1:$AG$1,0))),0)))</f>
        <v>0</v>
      </c>
      <c r="KZ21" s="784"/>
      <c r="LA21" s="18">
        <f t="array" ref="LA21">IF('Customer Inputs'!$W$17="End",0,IFERROR(IF($LN21="SEGMENT",INDEX('Margin Guidence Table'!$A$1:$AG$10000,MATCH(1,('Margin Guidence Table'!$A$1:$A$10000=$LL21)*('Margin Guidence Table'!$I$1:$I$10000&lt;=ROUND($LD$3,0))*('Margin Guidence Table'!$J$1:$J$10000&gt;=ROUND($LD$3,0)),0),MATCH("PCT_SALES",'Margin Guidence Table'!$A$1:$AG$1,0)),INDEX('Margin Guidence Table'!$A$1:$AG$10000,MATCH(1,('Margin Guidence Table'!$A$1:$A$10000=$LL21)*('Margin Guidence Table'!$I$1:$I$10000&lt;=ROUND($LD$3,0))*('Margin Guidence Table'!$J$1:$J$10000&gt;=ROUND($LD$3,0)),0),MATCH("DEFAULT_PCT_SALES",'Margin Guidence Table'!$A$1:$AG$1,0))),0))</f>
        <v>0</v>
      </c>
      <c r="LB21" s="1713" t="e">
        <f t="shared" si="54"/>
        <v>#DIV/0!</v>
      </c>
      <c r="LC21" s="99" t="s">
        <v>95</v>
      </c>
      <c r="LD21" s="91">
        <f>IF('Customer Inputs'!$W$17="End",0,IFERROR(IF(AND($LD$2&lt;&gt;"Enter Spend&gt;&gt;&gt;",$LE$2="EXISTING"),SUMIFS('Existing Customers'!$Q:$Q,'Existing Customers'!$A:$A,$LD$1,'Existing Customers'!$H:$H,$LC21)*$LD$4,$LD$3*$LB21),0))</f>
        <v>0</v>
      </c>
      <c r="LE21" s="86">
        <f>IF('Customer Inputs'!$W$17="End",0,IFERROR(IF(AND($LD$2&lt;&gt;"Enter Spend&gt;&gt;&gt;",$LE$2="EXISTING"),SUMIFS('Existing Customers'!$N:$N,'Existing Customers'!$A:$A,$LD$1,'Existing Customers'!$H:$H,$LC21)*$LD$4,$LD21/$LO21),0))</f>
        <v>0</v>
      </c>
      <c r="LF21" s="92">
        <f>IF('Customer Inputs'!$W$17="End",0,IFERROR(IF(AND($LD$2&lt;&gt;"Enter Spend&gt;&gt;&gt;",$LE$2="EXISTING"),SUMIFS('Existing Customers'!$O:$O,'Existing Customers'!$H:$H,$LC21,'Existing Customers'!$A:$A,$LD$1)*$LD$4,$LE21*$LD$8),0))</f>
        <v>0</v>
      </c>
      <c r="LG21" s="92">
        <f>IF('Customer Inputs'!$W$17="End",0,IFERROR(IF(AND($LD$2&lt;&gt;"Enter Spend&gt;&gt;&gt;",$LE$2="EXISTING"),SUMIFS('Existing Customers'!$P:$P,'Existing Customers'!$A:$A,$LD$1,'Existing Customers'!$H:$H,$LC21)*$LD$4,$LD21/$LP21),0))</f>
        <v>0</v>
      </c>
      <c r="LH21" s="303">
        <f>IF('Customer Inputs'!$W$17="End",0,IFERROR(IF(AND($LD$2&lt;&gt;"Enter Spend&gt;&gt;&gt;",$LE$2="EXISTING"),SUMIFS('Existing Customers'!$V:$V,'Existing Customers'!$H:$H,$LC21,'Existing Customers'!$A:$A,$LD$1)*$LD$4,0),0))</f>
        <v>0</v>
      </c>
      <c r="LI21" s="93">
        <f>IF('Customer Inputs'!$W$17="End",0,IFERROR(IF(AND($LD$2&lt;&gt;"Enter Spend&gt;&gt;&gt;",$LE$2="EXISTING"),SUMIFS('Existing Customers'!$R:$R,'Existing Customers'!$H:$H,$LC21,'Existing Customers'!$A:$A,$LD$1)*$LD$4,0),0))</f>
        <v>0</v>
      </c>
      <c r="LJ21" s="780">
        <f>IF('Customer Inputs'!$W$17="End",0,IFERROR(IF(AND($LD$2&lt;&gt;"Enter Spend&gt;&gt;&gt;",$LE$2="EXISTING"),SUMIFS('Existing Customers'!$S:$S,'Existing Customers'!$H:$H,$LC21,'Existing Customers'!$A:$A,$LD$1)/SUMIFS('Existing Customers'!$Q:$Q,'Existing Customers'!$A:$A,$LD$1,'Existing Customers'!$H:$H,$LC21),LT21),0))</f>
        <v>0</v>
      </c>
      <c r="LK21" s="780">
        <f>IF('Customer Inputs'!$W$17="End",0,IFERROR(IF(AND($LD$2&lt;&gt;"Enter Spend&gt;&gt;&gt;",$LE$2="EXISTING"),SUMIFS('Existing Customers'!$U:$U,'Existing Customers'!$H:$H,$LC21,'Existing Customers'!$A:$A,$LD$1)/SUMIFS('Existing Customers'!$Q:$Q,'Existing Customers'!$A:$A,$LD$1,'Existing Customers'!$H:$H,$LC21),LU21),0))</f>
        <v>0</v>
      </c>
      <c r="LL21" s="783" t="e">
        <f>_xlfn.CONCAT('Customer Inputs'!$AH$17,"_",LC21)</f>
        <v>#N/A</v>
      </c>
      <c r="LM21" s="783">
        <f t="array" ref="LM21">IF('Customer Inputs'!$W$17="End",0,IFERROR(INDEX('Margin Guidence Table'!$A$1:$AG$10000,MATCH(1,('Margin Guidence Table'!$A$1:$A$10000=LL21)*('Margin Guidence Table'!$I$1:$I$10000&lt;=ROUND($LD$3,0))*('Margin Guidence Table'!$J$1:$J$10000&gt;=ROUND($LD$3,0)),0),MATCH("DATA_POINTS",'Margin Guidence Table'!$A$1:$AG$1,0)),0))</f>
        <v>0</v>
      </c>
      <c r="LN21" s="780" t="str">
        <f t="shared" si="55"/>
        <v>DEFAULT</v>
      </c>
      <c r="LO21" s="780">
        <f t="array" ref="LO21">IF('Customer Inputs'!$W$17="End",0,IFERROR(IF($LN21="SEGMENT",INDEX('Margin Guidence Table'!$A$1:$AG$10000,MATCH(1,('Margin Guidence Table'!$A$1:$A$10000=LL21)*('Margin Guidence Table'!$I$1:$I$10000&lt;=ROUND($LD$3,0))*('Margin Guidence Table'!$J$1:$J$10000&gt;=ROUND($LD$3,0)),0),MATCH("SALES_CASE",'Margin Guidence Table'!$A$1:$AG$1,0)),INDEX('Margin Guidence Table'!$A$1:$AG$10000,MATCH(1,('Margin Guidence Table'!$A$1:$A$10000=LL21)*('Margin Guidence Table'!$I$1:$I$10000&lt;=ROUND($LD$3,0))*('Margin Guidence Table'!$J$1:$J$10000&gt;=ROUND($LD$3,0)),0),MATCH("DEFAULT_SALES_CASE",'Margin Guidence Table'!$A$1:$AG$1,0))),0))</f>
        <v>0</v>
      </c>
      <c r="LP21" s="780">
        <f t="array" ref="LP21">IF('Customer Inputs'!$W$17="End",0,IFERROR(IF($LN21="SEGMENT",INDEX('Margin Guidence Table'!$A$1:$AG$10000,MATCH(1,('Margin Guidence Table'!$A$1:$A$10000=LL21)*('Margin Guidence Table'!$I$1:$I$10000&lt;=ROUND($LD$3,0))*('Margin Guidence Table'!$J$1:$J$10000&gt;=ROUND($LD$3,0)),0),MATCH("SALES_LBS",'Margin Guidence Table'!$A$1:$AG$1,0)),INDEX('Margin Guidence Table'!$A$1:$AG$10000,MATCH(1,('Margin Guidence Table'!$A$1:$A$10000=LL21)*('Margin Guidence Table'!$I$1:$I$10000&lt;=ROUND($LD$3,0))*('Margin Guidence Table'!$J$1:$J$10000&gt;=ROUND($LD$3,0)),0),MATCH("DEFAULT_SALES_LBS",'Margin Guidence Table'!$A$1:$AG$1,0))),0))</f>
        <v>0</v>
      </c>
      <c r="LQ21" s="784">
        <f t="array" ref="LQ21">IF('Customer Inputs'!$W$17="End",0,IFERROR(IF($LN21="SEGMENT",INDEX('Margin Guidence Table'!$A$1:$AG$10000,MATCH(1,('Margin Guidence Table'!$A$1:$A$10000=LL21)*('Margin Guidence Table'!$I$1:$I$10000&lt;=ROUND($LD$3,0))*('Margin Guidence Table'!$J$1:$J$10000&gt;=ROUND($LD$3,0)),0),MATCH("MDA_MIN_MARGIN_GUIDENCE",'Margin Guidence Table'!$A$1:$AG$1,0)),INDEX('Margin Guidence Table'!$A$1:$AG$10000,MATCH(1,('Margin Guidence Table'!$A$1:$A$10000=LL21)*('Margin Guidence Table'!$I$1:$I$10000&lt;=ROUND($LD$3,0))*('Margin Guidence Table'!$J$1:$J$10000&gt;=ROUND($LD$3,0)),0),MATCH("DEFAULT_MDA_MIN_MARGIN_GUIDENCE",'Margin Guidence Table'!$A$1:$AG$1,0))),0))</f>
        <v>0</v>
      </c>
      <c r="LR21" s="784">
        <f t="array" ref="LR21">IF('Customer Inputs'!$W$17="End",0,IFERROR(IF($LN21="SEGMENT",INDEX('Margin Guidence Table'!$A$1:$AG$10000,MATCH(1,('Margin Guidence Table'!$A$1:$A$10000=LL21)*('Margin Guidence Table'!$I$1:$I$10000&lt;=ROUND($LD$3,0))*('Margin Guidence Table'!$J$1:$J$10000&gt;=ROUND($LD$3,0)),0),MATCH("MDA_MEDIAN_MARGIN_GUIDENCE",'Margin Guidence Table'!$A$1:$AG$1,0)),INDEX('Margin Guidence Table'!$A$1:$AG$10000,MATCH(1,('Margin Guidence Table'!$A$1:$A$10000=LL21)*('Margin Guidence Table'!$I$1:$I$10000&lt;=ROUND($LD$3,0))*('Margin Guidence Table'!$J$1:$J$10000&gt;=ROUND($LD$3,0)),0),MATCH("DEFAULT_MDA_MEDIAN_MARGIN_GUIDENCE",'Margin Guidence Table'!$A$1:$AG$1,0))),0))</f>
        <v>0</v>
      </c>
      <c r="LS21" s="784">
        <f t="array" ref="LS21">IF('Customer Inputs'!$W$17="End",0,IFERROR(IF($LN21="SEGMENT",INDEX('Margin Guidence Table'!$A$1:$AG$10000,MATCH(1,('Margin Guidence Table'!$A$1:$A$10000=LL21)*('Margin Guidence Table'!$I$1:$I$10000&lt;=ROUND($LD$3,0))*('Margin Guidence Table'!$J$1:$J$10000&gt;=ROUND($LD$3,0)),0),MATCH("MDA_MAX_MARGIN_GUIDENCE",'Margin Guidence Table'!$A$1:$AG$1,0)),INDEX('Margin Guidence Table'!$A$1:$AG$10000,MATCH(1,('Margin Guidence Table'!$A$1:$A$10000=LL21)*('Margin Guidence Table'!$I$1:$I$10000&lt;=ROUND($LD$3,0))*('Margin Guidence Table'!$J$1:$J$10000&gt;=ROUND($LD$3,0)),0),MATCH("DEFAULT_MDA_MAX_MARGIN_GUIDENCE",'Margin Guidence Table'!$A$1:$AG$1,0))),0))</f>
        <v>0</v>
      </c>
      <c r="LT21" s="784">
        <f t="array" ref="LT21">IF('Customer Inputs'!$W$17="End",0,IFERROR(IF($LN21="SEGMENT",INDEX('Margin Guidence Table'!$A$1:$AG$10000,MATCH(1,('Margin Guidence Table'!$A$1:$A$10000=LL21)*('Margin Guidence Table'!$I$1:$I$10000&lt;=ROUND($LD$3,0))*('Margin Guidence Table'!$J$1:$J$10000&gt;=ROUND($LD$3,0)),0),MATCH("PA_PCT_SALES",'Margin Guidence Table'!$A$1:$AG$1,0)),INDEX('Margin Guidence Table'!$A$1:$AG$10000,MATCH(1,('Margin Guidence Table'!$A$1:$A$10000=LL21)*('Margin Guidence Table'!$I$1:$I$10000&lt;=ROUND($LD$3,0))*('Margin Guidence Table'!$J$1:$J$10000&gt;=ROUND($LD$3,0)),0),MATCH("DEFAULT_PA_PCT_SALES",'Margin Guidence Table'!$A$1:$AG$1,0))),0))</f>
        <v>0</v>
      </c>
      <c r="LU21" s="784">
        <f t="array" ref="LU21">IF('Customer Inputs'!$W$17="End",0,IFERROR(IF($LN21="SEGMENT",INDEX('Margin Guidence Table'!$A$1:$AG$10000,MATCH(1,('Margin Guidence Table'!$A$1:$A$10000=LL21)*('Margin Guidence Table'!$I$1:$I$10000&lt;=ROUND($LD$3,0))*('Margin Guidence Table'!$J$1:$J$10000&gt;=ROUND($LD$3,0)),0),MATCH("SELF_FUND_PCT_SALES",'Margin Guidence Table'!$A$1:$AG$1,0)),INDEX('Margin Guidence Table'!$A$1:$AG$10000,MATCH(1,('Margin Guidence Table'!$A$1:$A$10000=LL21)*('Margin Guidence Table'!$I$1:$I$10000&lt;=ROUND($LD$3,0))*('Margin Guidence Table'!$J$1:$J$10000&gt;=ROUND($LD$3,0)),0),MATCH("DEFAULT_SELF_FUND_PCT_SALES",'Margin Guidence Table'!$A$1:$AG$1,0))),0))</f>
        <v>0</v>
      </c>
      <c r="LV21" s="784">
        <f t="array" ref="LV21">IF('Customer Inputs'!$W$17="End",0,IF($LE$2="Existing",IFERROR(SUMIFS('Existing Customers'!$V:$V,'Existing Customers'!$H:$H,$LC21,'Existing Customers'!$A:$A,$LD$1)/SUMIFS('Existing Customers'!$Q:$Q,'Existing Customers'!$H:$H,$LC21,'Existing Customers'!$A:$A,$LD$1),0),IFERROR(IF($LN21="SEGMENT",INDEX('Margin Guidence Table'!$A$1:$AG$10000,MATCH(1,('Margin Guidence Table'!$A$1:$A$10000=LL21)*('Margin Guidence Table'!$I$1:$I$10000&lt;=ROUND($LD$3,0))*('Margin Guidence Table'!$J$1:$J$10000&gt;=ROUND($LD$3,0)),0),MATCH("CIA_MEDIAN_MARGIN_GUIDENCE",'Margin Guidence Table'!$A$1:$AG$1,0)),INDEX('Margin Guidence Table'!$A$1:$AG$10000,MATCH(1,('Margin Guidence Table'!$A$1:$A$10000=LL21)*('Margin Guidence Table'!$I$1:$I$10000&lt;=ROUND($LD$3,0))*('Margin Guidence Table'!$J$1:$J$10000&gt;=ROUND($LD$3,0)),0),MATCH("DEFAULT_CIA_MEDIAN_MARGIN_GUIDENCE",'Margin Guidence Table'!$A$1:$AG$1,0))),0)))</f>
        <v>0</v>
      </c>
      <c r="LW21" s="784"/>
      <c r="LX21" s="18">
        <f t="array" ref="LX21">IF('Customer Inputs'!$W$18="End",0,IFERROR(IF($MK21="SEGMENT",INDEX('Margin Guidence Table'!$A$1:$AG$10000,MATCH(1,('Margin Guidence Table'!$A$1:$A$10000=$MI21)*('Margin Guidence Table'!$I$1:$I$10000&lt;=ROUND($MA$3,0))*('Margin Guidence Table'!$J$1:$J$10000&gt;=ROUND($MA$3,0)),0),MATCH("PCT_SALES",'Margin Guidence Table'!$A$1:$AG$1,0)),INDEX('Margin Guidence Table'!$A$1:$AG$10000,MATCH(1,('Margin Guidence Table'!$A$1:$A$10000=$MI21)*('Margin Guidence Table'!$I$1:$I$10000&lt;=ROUND($MA$3,0))*('Margin Guidence Table'!$J$1:$J$10000&gt;=ROUND($MA$3,0)),0),MATCH("DEFAULT_PCT_SALES",'Margin Guidence Table'!$A$1:$AG$1,0))),0))</f>
        <v>0</v>
      </c>
      <c r="LY21" s="1713" t="e">
        <f t="shared" si="56"/>
        <v>#DIV/0!</v>
      </c>
      <c r="LZ21" s="99" t="s">
        <v>95</v>
      </c>
      <c r="MA21" s="91">
        <f>IF('Customer Inputs'!$W$18="End",0,IFERROR(IF(AND($MA$2&lt;&gt;"Enter Spend&gt;&gt;&gt;",$MB$2="EXISTING"),SUMIFS('Existing Customers'!$Q:$Q,'Existing Customers'!$A:$A,$MA$1,'Existing Customers'!$H:$H,$LZ21)*$MA$4,$MA$3*$LY21),0))</f>
        <v>0</v>
      </c>
      <c r="MB21" s="86">
        <f>IF('Customer Inputs'!$W$18="End",0,IFERROR(IF(AND($MA$2&lt;&gt;"Enter Spend&gt;&gt;&gt;",$MB$2="EXISTING"),SUMIFS('Existing Customers'!$N:$N,'Existing Customers'!$A:$A,$MA$1,'Existing Customers'!$H:$H,$LZ21)*$MA$4,$MA21/$ML21),0))</f>
        <v>0</v>
      </c>
      <c r="MC21" s="92">
        <f>IF('Customer Inputs'!$W$18="End",0,IFERROR(IF(AND($MA$2&lt;&gt;"Enter Spend&gt;&gt;&gt;",$MB$2="EXISTING"),SUMIFS('Existing Customers'!$O:$O,'Existing Customers'!$H:$H,$LZ21,'Existing Customers'!$A:$A,$MA$1)*$MA$4,$MB21*$MA$8),0))</f>
        <v>0</v>
      </c>
      <c r="MD21" s="92">
        <f>IF('Customer Inputs'!$W$18="End",0,IFERROR(IF(AND($MA$2&lt;&gt;"Enter Spend&gt;&gt;&gt;",$MB$2="EXISTING"),SUMIFS('Existing Customers'!$P:$P,'Existing Customers'!$A:$A,$MA$1,'Existing Customers'!$H:$H,$LZ21)*$MA$4,$MA21/$MM21),0))</f>
        <v>0</v>
      </c>
      <c r="ME21" s="303">
        <f>IF('Customer Inputs'!$W$18="End",0,IFERROR(IF(AND($MA$2&lt;&gt;"Enter Spend&gt;&gt;&gt;",$MB$2="EXISTING"),SUMIFS('Existing Customers'!$V:$V,'Existing Customers'!$H:$H,$LZ21,'Existing Customers'!$A:$A,$MA$1)*$MA$4,0),0))</f>
        <v>0</v>
      </c>
      <c r="MF21" s="93">
        <f>IF('Customer Inputs'!$W$18="End",0,IFERROR(IF(AND($MA$2&lt;&gt;"Enter Spend&gt;&gt;&gt;",$MB$2="EXISTING"),SUMIFS('Existing Customers'!$R:$R,'Existing Customers'!$H:$H,$LZ21,'Existing Customers'!$A:$A,$MA$1)*$MA$4,0),0))</f>
        <v>0</v>
      </c>
      <c r="MG21" s="780">
        <f>IF('Customer Inputs'!$W$18="End",0,IFERROR(IF(AND($MA$2&lt;&gt;"Enter Spend&gt;&gt;&gt;",$MB$2="EXISTING"),SUMIFS('Existing Customers'!$S:$S,'Existing Customers'!$H:$H,$LZ21,'Existing Customers'!$A:$A,$MA$1)/SUMIFS('Existing Customers'!$Q:$Q,'Existing Customers'!$A:$A,$MA$1,'Existing Customers'!$H:$H,$LZ21),MQ21),0))</f>
        <v>0</v>
      </c>
      <c r="MH21" s="780">
        <f>IF('Customer Inputs'!$W$18="End",0,IFERROR(IF(AND($MA$2&lt;&gt;"Enter Spend&gt;&gt;&gt;",$MB$2="EXISTING"),SUMIFS('Existing Customers'!$U:$U,'Existing Customers'!$H:$H,$LZ21,'Existing Customers'!$A:$A,$MA$1)/SUMIFS('Existing Customers'!$Q:$Q,'Existing Customers'!$A:$A,$MA$1,'Existing Customers'!$H:$H,$LZ21),MR21),0))</f>
        <v>0</v>
      </c>
      <c r="MI21" s="783" t="e">
        <f>_xlfn.CONCAT('Customer Inputs'!$AH$18,"_",LZ21)</f>
        <v>#N/A</v>
      </c>
      <c r="MJ21" s="783">
        <f t="array" ref="MJ21">IF('Customer Inputs'!$W$18="End",0,IFERROR(INDEX('Margin Guidence Table'!$A$1:$AG$10000,MATCH(1,('Margin Guidence Table'!$A$1:$A$10000=MI21)*('Margin Guidence Table'!$I$1:$I$10000&lt;=ROUND($MA$3,0))*('Margin Guidence Table'!$J$1:$J$10000&gt;=ROUND($MA$3,0)),0),MATCH("DATA_POINTS",'Margin Guidence Table'!$A$1:$AG$1,0)),0))</f>
        <v>0</v>
      </c>
      <c r="MK21" s="780" t="str">
        <f t="shared" si="57"/>
        <v>DEFAULT</v>
      </c>
      <c r="ML21" s="780">
        <f t="array" ref="ML21">IF('Customer Inputs'!$W$18="End",0,IFERROR(IF($MK21="SEGMENT",INDEX('Margin Guidence Table'!$A$1:$AG$10000,MATCH(1,('Margin Guidence Table'!$A$1:$A$10000=MI21)*('Margin Guidence Table'!$I$1:$I$10000&lt;=ROUND($MA$3,0))*('Margin Guidence Table'!$J$1:$J$10000&gt;=ROUND($MA$3,0)),0),MATCH("SALES_CASE",'Margin Guidence Table'!$A$1:$AG$1,0)),INDEX('Margin Guidence Table'!$A$1:$AG$10000,MATCH(1,('Margin Guidence Table'!$A$1:$A$10000=MI21)*('Margin Guidence Table'!$I$1:$I$10000&lt;=ROUND($MA$3,0))*('Margin Guidence Table'!$J$1:$J$10000&gt;=ROUND($MA$3,0)),0),MATCH("DEFAULT_SALES_CASE",'Margin Guidence Table'!$A$1:$AG$1,0))),0))</f>
        <v>0</v>
      </c>
      <c r="MM21" s="780">
        <f t="array" ref="MM21">IF('Customer Inputs'!$W$18="End",0,IFERROR(IF($MK21="SEGMENT",INDEX('Margin Guidence Table'!$A$1:$AG$10000,MATCH(1,('Margin Guidence Table'!$A$1:$A$10000=MI21)*('Margin Guidence Table'!$I$1:$I$10000&lt;=ROUND($MA$3,0))*('Margin Guidence Table'!$J$1:$J$10000&gt;=ROUND($MA$3,0)),0),MATCH("SALES_LBS",'Margin Guidence Table'!$A$1:$AG$1,0)),INDEX('Margin Guidence Table'!$A$1:$AG$10000,MATCH(1,('Margin Guidence Table'!$A$1:$A$10000=MI21)*('Margin Guidence Table'!$I$1:$I$10000&lt;=ROUND($MA$3,0))*('Margin Guidence Table'!$J$1:$J$10000&gt;=ROUND($MA$3,0)),0),MATCH("DEFAULT_SALES_LBS",'Margin Guidence Table'!$A$1:$AG$1,0))),0))</f>
        <v>0</v>
      </c>
      <c r="MN21" s="784">
        <f t="array" ref="MN21">IF('Customer Inputs'!$W$18="End",0,IFERROR(IF($MK21="SEGMENT",INDEX('Margin Guidence Table'!$A$1:$AG$10000,MATCH(1,('Margin Guidence Table'!$A$1:$A$10000=MI21)*('Margin Guidence Table'!$I$1:$I$10000&lt;=ROUND($MA$3,0))*('Margin Guidence Table'!$J$1:$J$10000&gt;=ROUND($MA$3,0)),0),MATCH("MDA_MIN_MARGIN_GUIDENCE",'Margin Guidence Table'!$A$1:$AG$1,0)),INDEX('Margin Guidence Table'!$A$1:$AG$10000,MATCH(1,('Margin Guidence Table'!$A$1:$A$10000=MI21)*('Margin Guidence Table'!$I$1:$I$10000&lt;=ROUND($MA$3,0))*('Margin Guidence Table'!$J$1:$J$10000&gt;=ROUND($MA$3,0)),0),MATCH("DEFAULT_MDA_MIN_MARGIN_GUIDENCE",'Margin Guidence Table'!$A$1:$AG$1,0))),0))</f>
        <v>0</v>
      </c>
      <c r="MO21" s="784">
        <f t="array" ref="MO21">IF('Customer Inputs'!$W$18="End",0,IFERROR(IF($MK21="SEGMENT",INDEX('Margin Guidence Table'!$A$1:$AG$10000,MATCH(1,('Margin Guidence Table'!$A$1:$A$10000=MI21)*('Margin Guidence Table'!$I$1:$I$10000&lt;=ROUND($MA$3,0))*('Margin Guidence Table'!$J$1:$J$10000&gt;=ROUND($MA$3,0)),0),MATCH("MDA_MEDIAN_MARGIN_GUIDENCE",'Margin Guidence Table'!$A$1:$AG$1,0)),INDEX('Margin Guidence Table'!$A$1:$AG$10000,MATCH(1,('Margin Guidence Table'!$A$1:$A$10000=MI21)*('Margin Guidence Table'!$I$1:$I$10000&lt;=ROUND($MA$3,0))*('Margin Guidence Table'!$J$1:$J$10000&gt;=ROUND($MA$3,0)),0),MATCH("DEFAULT_MDA_MEDIAN_MARGIN_GUIDENCE",'Margin Guidence Table'!$A$1:$AG$1,0))),0))</f>
        <v>0</v>
      </c>
      <c r="MP21" s="784">
        <f t="array" ref="MP21">IF('Customer Inputs'!$W$18="End",0,IFERROR(IF($MK21="SEGMENT",INDEX('Margin Guidence Table'!$A$1:$AG$10000,MATCH(1,('Margin Guidence Table'!$A$1:$A$10000=MI21)*('Margin Guidence Table'!$I$1:$I$10000&lt;=ROUND($MA$3,0))*('Margin Guidence Table'!$J$1:$J$10000&gt;=ROUND($MA$3,0)),0),MATCH("MDA_MAX_MARGIN_GUIDENCE",'Margin Guidence Table'!$A$1:$AG$1,0)),INDEX('Margin Guidence Table'!$A$1:$AG$10000,MATCH(1,('Margin Guidence Table'!$A$1:$A$10000=MI21)*('Margin Guidence Table'!$I$1:$I$10000&lt;=ROUND($MA$3,0))*('Margin Guidence Table'!$J$1:$J$10000&gt;=ROUND($MA$3,0)),0),MATCH("DEFAULT_MDA_MAX_MARGIN_GUIDENCE",'Margin Guidence Table'!$A$1:$AG$1,0))),0))</f>
        <v>0</v>
      </c>
      <c r="MQ21" s="784">
        <f t="array" ref="MQ21">IF('Customer Inputs'!$W$18="End",0,IFERROR(IF($MK21="SEGMENT",INDEX('Margin Guidence Table'!$A$1:$AG$10000,MATCH(1,('Margin Guidence Table'!$A$1:$A$10000=MI21)*('Margin Guidence Table'!$I$1:$I$10000&lt;=ROUND($MA$3,0))*('Margin Guidence Table'!$J$1:$J$10000&gt;=ROUND($MA$3,0)),0),MATCH("PA_PCT_SALES",'Margin Guidence Table'!$A$1:$AG$1,0)),INDEX('Margin Guidence Table'!$A$1:$AG$10000,MATCH(1,('Margin Guidence Table'!$A$1:$A$10000=MI21)*('Margin Guidence Table'!$I$1:$I$10000&lt;=ROUND($MA$3,0))*('Margin Guidence Table'!$J$1:$J$10000&gt;=ROUND($MA$3,0)),0),MATCH("DEFAULT_PA_PCT_SALES",'Margin Guidence Table'!$A$1:$AG$1,0))),0))</f>
        <v>0</v>
      </c>
      <c r="MR21" s="784">
        <f t="array" ref="MR21">IF('Customer Inputs'!$W$18="End",0,IFERROR(IF($MK21="SEGMENT",INDEX('Margin Guidence Table'!$A$1:$AG$10000,MATCH(1,('Margin Guidence Table'!$A$1:$A$10000=MI21)*('Margin Guidence Table'!$I$1:$I$10000&lt;=ROUND($MA$3,0))*('Margin Guidence Table'!$J$1:$J$10000&gt;=ROUND($MA$3,0)),0),MATCH("SELF_FUND_PCT_SALES",'Margin Guidence Table'!$A$1:$AG$1,0)),INDEX('Margin Guidence Table'!$A$1:$AG$10000,MATCH(1,('Margin Guidence Table'!$A$1:$A$10000=MI21)*('Margin Guidence Table'!$I$1:$I$10000&lt;=ROUND($MA$3,0))*('Margin Guidence Table'!$J$1:$J$10000&gt;=ROUND($MA$3,0)),0),MATCH("DEFAULT_SELF_FUND_PCT_SALES",'Margin Guidence Table'!$A$1:$AG$1,0))),0))</f>
        <v>0</v>
      </c>
      <c r="MS21" s="784">
        <f t="array" ref="MS21">IF('Customer Inputs'!$W$18="End",0,IF($MB$2="Existing",IFERROR(SUMIFS('Existing Customers'!$V:$V,'Existing Customers'!$H:$H,$LZ21,'Existing Customers'!$A:$A,$MA$1)/SUMIFS('Existing Customers'!$Q:$Q,'Existing Customers'!$H:$H,$LZ21,'Existing Customers'!$A:$A,$MA$1),0),IFERROR(IF($MK21="SEGMENT",INDEX('Margin Guidence Table'!$A$1:$AG$10000,MATCH(1,('Margin Guidence Table'!$A$1:$A$10000=MI21)*('Margin Guidence Table'!$I$1:$I$10000&lt;=ROUND($MA$3,0))*('Margin Guidence Table'!$J$1:$J$10000&gt;=ROUND($MA$3,0)),0),MATCH("CIA_MEDIAN_MARGIN_GUIDENCE",'Margin Guidence Table'!$A$1:$AG$1,0)),INDEX('Margin Guidence Table'!$A$1:$AG$10000,MATCH(1,('Margin Guidence Table'!$A$1:$A$10000=MI21)*('Margin Guidence Table'!$I$1:$I$10000&lt;=ROUND($MA$3,0))*('Margin Guidence Table'!$J$1:$J$10000&gt;=ROUND($MA$3,0)),0),MATCH("DEFAULT_CIA_MEDIAN_MARGIN_GUIDENCE",'Margin Guidence Table'!$A$1:$AG$1,0))),0)))</f>
        <v>0</v>
      </c>
      <c r="MT21" s="784"/>
      <c r="MU21" s="18">
        <f t="array" ref="MU21">IF('Customer Inputs'!$W$19="End",0,IFERROR(IF($NH21="SEGMENT",INDEX('Margin Guidence Table'!$A$1:$AG$10000,MATCH(1,('Margin Guidence Table'!$A$1:$A$10000=$NF21)*('Margin Guidence Table'!$I$1:$I$10000&lt;=ROUND($MX$3,0))*('Margin Guidence Table'!$J$1:$J$10000&gt;=ROUND($MX$3,0)),0),MATCH("PCT_SALES",'Margin Guidence Table'!$A$1:$AG$1,0)),INDEX('Margin Guidence Table'!$A$1:$AG$10000,MATCH(1,('Margin Guidence Table'!$A$1:$A$10000=$NF21)*('Margin Guidence Table'!$I$1:$I$10000&lt;=ROUND($MX$3,0))*('Margin Guidence Table'!$J$1:$J$10000&gt;=ROUND($MX$3,0)),0),MATCH("DEFAULT_PCT_SALES",'Margin Guidence Table'!$A$1:$AG$1,0))),0))</f>
        <v>0</v>
      </c>
      <c r="MV21" s="1713" t="e">
        <f t="shared" si="58"/>
        <v>#DIV/0!</v>
      </c>
      <c r="MW21" s="99" t="s">
        <v>95</v>
      </c>
      <c r="MX21" s="91">
        <f>IF('Customer Inputs'!$W$19="End",0,IFERROR(IF(AND($MX$2&lt;&gt;"Enter Spend&gt;&gt;&gt;",$MY$2="EXISTING"),SUMIFS('Existing Customers'!$Q:$Q,'Existing Customers'!$A:$A,$MX$1,'Existing Customers'!$H:$H,$MW21)*$MX$4,$MX$3*$MV21),0))</f>
        <v>0</v>
      </c>
      <c r="MY21" s="86">
        <f>IF('Customer Inputs'!$W$19="End",0,IFERROR(IF(AND($MX$2&lt;&gt;"Enter Spend&gt;&gt;&gt;",$MY$2="EXISTING"),SUMIFS('Existing Customers'!$N:$N,'Existing Customers'!$A:$A,$MX$1,'Existing Customers'!$H:$H,$MW21)*$MX$4,$MX21/$NI21),0))</f>
        <v>0</v>
      </c>
      <c r="MZ21" s="92">
        <f>IF('Customer Inputs'!$W$19="End",0,IFERROR(IF(AND($MX$2&lt;&gt;"Enter Spend&gt;&gt;&gt;",$MY$2="EXISTING"),SUMIFS('Existing Customers'!$O:$O,'Existing Customers'!$H:$H,$MW21,'Existing Customers'!$A:$A,$MX$1)*$MX$4,$MY21*$MX$8),0))</f>
        <v>0</v>
      </c>
      <c r="NA21" s="92">
        <f>IF('Customer Inputs'!$W$19="End",0,IFERROR(IF(AND($MX$2&lt;&gt;"Enter Spend&gt;&gt;&gt;",$MY$2="EXISTING"),SUMIFS('Existing Customers'!$P:$P,'Existing Customers'!$A:$A,$MX$1,'Existing Customers'!$H:$H,$MW21)*$MX$4,$MX21/$NJ21),0))</f>
        <v>0</v>
      </c>
      <c r="NB21" s="303">
        <f>IF('Customer Inputs'!$W$19="End",0,IFERROR(IF(AND($MX$2&lt;&gt;"Enter Spend&gt;&gt;&gt;",$MY$2="EXISTING"),SUMIFS('Existing Customers'!$V:$V,'Existing Customers'!$H:$H,$MW21,'Existing Customers'!$A:$A,$MX$1)*$MX$4,0),0))</f>
        <v>0</v>
      </c>
      <c r="NC21" s="93">
        <f>IF('Customer Inputs'!$W$19="End",0,IFERROR(IF(AND($MX$2&lt;&gt;"Enter Spend&gt;&gt;&gt;",$MY$2="EXISTING"),SUMIFS('Existing Customers'!$R:$R,'Existing Customers'!$H:$H,$MW21,'Existing Customers'!$A:$A,$MX$1)*$MX$4,0),0))</f>
        <v>0</v>
      </c>
      <c r="ND21" s="780">
        <f>IF('Customer Inputs'!$W$19="End",0,IFERROR(IF(AND($MX$2&lt;&gt;"Enter Spend&gt;&gt;&gt;",$MY$2="EXISTING"),SUMIFS('Existing Customers'!$S:$S,'Existing Customers'!$H:$H,$MW21,'Existing Customers'!$A:$A,$MX$1)/SUMIFS('Existing Customers'!$Q:$Q,'Existing Customers'!$A:$A,$MX$1,'Existing Customers'!$H:$H,$MW21),NN21),0))</f>
        <v>0</v>
      </c>
      <c r="NE21" s="780">
        <f>IF('Customer Inputs'!$W$19="End",0,IFERROR(IF(AND($MX$2&lt;&gt;"Enter Spend&gt;&gt;&gt;",$MY$2="EXISTING"),SUMIFS('Existing Customers'!$U:$U,'Existing Customers'!$H:$H,$MW21,'Existing Customers'!$A:$A,$MX$1)/SUMIFS('Existing Customers'!$Q:$Q,'Existing Customers'!$A:$A,$MX$1,'Existing Customers'!$H:$H,$MW21),NO21),0))</f>
        <v>0</v>
      </c>
      <c r="NF21" s="783" t="e">
        <f>_xlfn.CONCAT('Customer Inputs'!$AH$19,"_",MW21)</f>
        <v>#N/A</v>
      </c>
      <c r="NG21" s="783">
        <f t="array" ref="NG21">IF('Customer Inputs'!$W$19="End",0,IFERROR(INDEX('Margin Guidence Table'!$A$1:$AG$10000,MATCH(1,('Margin Guidence Table'!$A$1:$A$10000=NF21)*('Margin Guidence Table'!$I$1:$I$10000&lt;=ROUND($MX$3,0))*('Margin Guidence Table'!$J$1:$J$10000&gt;=ROUND($MX$3,0)),0),MATCH("DATA_POINTS",'Margin Guidence Table'!$A$1:$AG$1,0)),0))</f>
        <v>0</v>
      </c>
      <c r="NH21" s="780" t="str">
        <f t="shared" si="59"/>
        <v>DEFAULT</v>
      </c>
      <c r="NI21" s="780">
        <f t="array" ref="NI21">IF('Customer Inputs'!$W$19="End",0,IFERROR(IF($NH21="SEGMENT",INDEX('Margin Guidence Table'!$A$1:$AG$10000,MATCH(1,('Margin Guidence Table'!$A$1:$A$10000=NF21)*('Margin Guidence Table'!$I$1:$I$10000&lt;=ROUND($MX$3,0))*('Margin Guidence Table'!$J$1:$J$10000&gt;=ROUND($MX$3,0)),0),MATCH("SALES_CASE",'Margin Guidence Table'!$A$1:$AG$1,0)),INDEX('Margin Guidence Table'!$A$1:$AG$10000,MATCH(1,('Margin Guidence Table'!$A$1:$A$10000=NF21)*('Margin Guidence Table'!$I$1:$I$10000&lt;=ROUND($MX$3,0))*('Margin Guidence Table'!$J$1:$J$10000&gt;=ROUND($MX$3,0)),0),MATCH("DEFAULT_SALES_CASE",'Margin Guidence Table'!$A$1:$AG$1,0))),0))</f>
        <v>0</v>
      </c>
      <c r="NJ21" s="780">
        <f t="array" ref="NJ21">IF('Customer Inputs'!$W$19="End",0,IFERROR(IF($NH21="SEGMENT",INDEX('Margin Guidence Table'!$A$1:$AG$10000,MATCH(1,('Margin Guidence Table'!$A$1:$A$10000=NF21)*('Margin Guidence Table'!$I$1:$I$10000&lt;=ROUND($MX$3,0))*('Margin Guidence Table'!$J$1:$J$10000&gt;=ROUND($MX$3,0)),0),MATCH("SALES_LBS",'Margin Guidence Table'!$A$1:$AG$1,0)),INDEX('Margin Guidence Table'!$A$1:$AG$10000,MATCH(1,('Margin Guidence Table'!$A$1:$A$10000=NF21)*('Margin Guidence Table'!$I$1:$I$10000&lt;=ROUND($MX$3,0))*('Margin Guidence Table'!$J$1:$J$10000&gt;=ROUND($MX$3,0)),0),MATCH("DEFAULT_SALES_LBS",'Margin Guidence Table'!$A$1:$AG$1,0))),0))</f>
        <v>0</v>
      </c>
      <c r="NK21" s="784">
        <f t="array" ref="NK21">IF('Customer Inputs'!$W$19="End",0,IFERROR(IF($NH21="SEGMENT",INDEX('Margin Guidence Table'!$A$1:$AG$10000,MATCH(1,('Margin Guidence Table'!$A$1:$A$10000=NF21)*('Margin Guidence Table'!$I$1:$I$10000&lt;=ROUND($MX$3,0))*('Margin Guidence Table'!$J$1:$J$10000&gt;=ROUND($MX$3,0)),0),MATCH("MDA_MIN_MARGIN_GUIDENCE",'Margin Guidence Table'!$A$1:$AG$1,0)),INDEX('Margin Guidence Table'!$A$1:$AG$10000,MATCH(1,('Margin Guidence Table'!$A$1:$A$10000=NF21)*('Margin Guidence Table'!$I$1:$I$10000&lt;=ROUND($MX$3,0))*('Margin Guidence Table'!$J$1:$J$10000&gt;=ROUND($MX$3,0)),0),MATCH("DEFAULT_MDA_MIN_MARGIN_GUIDENCE",'Margin Guidence Table'!$A$1:$AG$1,0))),0))</f>
        <v>0</v>
      </c>
      <c r="NL21" s="784">
        <f t="array" ref="NL21">IF('Customer Inputs'!$W$19="End",0,IFERROR(IF($NH21="SEGMENT",INDEX('Margin Guidence Table'!$A$1:$AG$10000,MATCH(1,('Margin Guidence Table'!$A$1:$A$10000=NF21)*('Margin Guidence Table'!$I$1:$I$10000&lt;=ROUND($MX$3,0))*('Margin Guidence Table'!$J$1:$J$10000&gt;=ROUND($MX$3,0)),0),MATCH("MDA_MEDIAN_MARGIN_GUIDENCE",'Margin Guidence Table'!$A$1:$AG$1,0)),INDEX('Margin Guidence Table'!$A$1:$AG$10000,MATCH(1,('Margin Guidence Table'!$A$1:$A$10000=NF21)*('Margin Guidence Table'!$I$1:$I$10000&lt;=ROUND($MX$3,0))*('Margin Guidence Table'!$J$1:$J$10000&gt;=ROUND($MX$3,0)),0),MATCH("DEFAULT_MDA_MEDIAN_MARGIN_GUIDENCE",'Margin Guidence Table'!$A$1:$AG$1,0))),0))</f>
        <v>0</v>
      </c>
      <c r="NM21" s="784">
        <f t="array" ref="NM21">IF('Customer Inputs'!$W$19="End",0,IFERROR(IF($NH21="SEGMENT",INDEX('Margin Guidence Table'!$A$1:$AG$10000,MATCH(1,('Margin Guidence Table'!$A$1:$A$10000=NF21)*('Margin Guidence Table'!$I$1:$I$10000&lt;=ROUND($MX$3,0))*('Margin Guidence Table'!$J$1:$J$10000&gt;=ROUND($MX$3,0)),0),MATCH("MDA_MAX_MARGIN_GUIDENCE",'Margin Guidence Table'!$A$1:$AG$1,0)),INDEX('Margin Guidence Table'!$A$1:$AG$10000,MATCH(1,('Margin Guidence Table'!$A$1:$A$10000=NF21)*('Margin Guidence Table'!$I$1:$I$10000&lt;=ROUND($MX$3,0))*('Margin Guidence Table'!$J$1:$J$10000&gt;=ROUND($MX$3,0)),0),MATCH("DEFAULT_MDA_MAX_MARGIN_GUIDENCE",'Margin Guidence Table'!$A$1:$AG$1,0))),0))</f>
        <v>0</v>
      </c>
      <c r="NN21" s="784">
        <f t="array" ref="NN21">IF('Customer Inputs'!$W$19="End",0,IFERROR(IF($NH21="SEGMENT",INDEX('Margin Guidence Table'!$A$1:$AG$10000,MATCH(1,('Margin Guidence Table'!$A$1:$A$10000=NF21)*('Margin Guidence Table'!$I$1:$I$10000&lt;=ROUND($MX$3,0))*('Margin Guidence Table'!$J$1:$J$10000&gt;=ROUND($MX$3,0)),0),MATCH("PA_PCT_SALES",'Margin Guidence Table'!$A$1:$AG$1,0)),INDEX('Margin Guidence Table'!$A$1:$AG$10000,MATCH(1,('Margin Guidence Table'!$A$1:$A$10000=NF21)*('Margin Guidence Table'!$I$1:$I$10000&lt;=ROUND($MX$3,0))*('Margin Guidence Table'!$J$1:$J$10000&gt;=ROUND($MX$3,0)),0),MATCH("DEFAULT_PA_PCT_SALES",'Margin Guidence Table'!$A$1:$AG$1,0))),0))</f>
        <v>0</v>
      </c>
      <c r="NO21" s="784">
        <f t="array" ref="NO21">IF('Customer Inputs'!$W$19="End",0,IFERROR(IF($NH21="SEGMENT",INDEX('Margin Guidence Table'!$A$1:$AG$10000,MATCH(1,('Margin Guidence Table'!$A$1:$A$10000=NF21)*('Margin Guidence Table'!$I$1:$I$10000&lt;=ROUND($MX$3,0))*('Margin Guidence Table'!$J$1:$J$10000&gt;=ROUND($MX$3,0)),0),MATCH("SELF_FUND_PCT_SALES",'Margin Guidence Table'!$A$1:$AG$1,0)),INDEX('Margin Guidence Table'!$A$1:$AG$10000,MATCH(1,('Margin Guidence Table'!$A$1:$A$10000=NF21)*('Margin Guidence Table'!$I$1:$I$10000&lt;=ROUND($MX$3,0))*('Margin Guidence Table'!$J$1:$J$10000&gt;=ROUND($MX$3,0)),0),MATCH("DEFAULT_SELF_FUND_PCT_SALES",'Margin Guidence Table'!$A$1:$AG$1,0))),0))</f>
        <v>0</v>
      </c>
      <c r="NP21" s="784">
        <f t="array" ref="NP21">IF('Customer Inputs'!$W$19="End",0,IF($MY$2="Existing",IFERROR(SUMIFS('Existing Customers'!$V:$V,'Existing Customers'!$H:$H,$MW21,'Existing Customers'!$A:$A,$MX$1)/SUMIFS('Existing Customers'!$Q:$Q,'Existing Customers'!$H:$H,$MW21,'Existing Customers'!$A:$A,$MX$1),0),IFERROR(IF($NH21="SEGMENT",INDEX('Margin Guidence Table'!$A$1:$AG$10000,MATCH(1,('Margin Guidence Table'!$A$1:$A$10000=NF21)*('Margin Guidence Table'!$I$1:$I$10000&lt;=ROUND($MX$3,0))*('Margin Guidence Table'!$J$1:$J$10000&gt;=ROUND($MX$3,0)),0),MATCH("CIA_MEDIAN_MARGIN_GUIDENCE",'Margin Guidence Table'!$A$1:$AG$1,0)),INDEX('Margin Guidence Table'!$A$1:$AG$10000,MATCH(1,('Margin Guidence Table'!$A$1:$A$10000=NF21)*('Margin Guidence Table'!$I$1:$I$10000&lt;=ROUND($MX$3,0))*('Margin Guidence Table'!$J$1:$J$10000&gt;=ROUND($MX$3,0)),0),MATCH("DEFAULT_CIA_MEDIAN_MARGIN_GUIDENCE",'Margin Guidence Table'!$A$1:$AG$1,0))),0)))</f>
        <v>0</v>
      </c>
      <c r="NQ21" s="784"/>
      <c r="NR21" s="18">
        <f t="array" ref="NR21">IF('Customer Inputs'!$W$20="End",0,IFERROR(IF($OE21="SEGMENT",INDEX('Margin Guidence Table'!$A$1:$AG$10000,MATCH(1,('Margin Guidence Table'!$A$1:$A$10000=$OC21)*('Margin Guidence Table'!$I$1:$I$10000&lt;=ROUND($NU$3,0))*('Margin Guidence Table'!$J$1:$J$10000&gt;=ROUND($NU$3,0)),0),MATCH("PCT_SALES",'Margin Guidence Table'!$A$1:$AG$1,0)),INDEX('Margin Guidence Table'!$A$1:$AG$10000,MATCH(1,('Margin Guidence Table'!$A$1:$A$10000=$OC21)*('Margin Guidence Table'!$I$1:$I$10000&lt;=ROUND($NU$3,0))*('Margin Guidence Table'!$J$1:$J$10000&gt;=ROUND($NU$3,0)),0),MATCH("DEFAULT_PCT_SALES",'Margin Guidence Table'!$A$1:$AG$1,0))),0))</f>
        <v>0</v>
      </c>
      <c r="NS21" s="1713" t="e">
        <f t="shared" si="60"/>
        <v>#DIV/0!</v>
      </c>
      <c r="NT21" s="99" t="s">
        <v>95</v>
      </c>
      <c r="NU21" s="91">
        <f>IF('Customer Inputs'!$W$20="End",0,IFERROR(IF(AND($NU$2&lt;&gt;"Enter Spend&gt;&gt;&gt;",$NV$2="EXISTING"),SUMIFS('Existing Customers'!$Q:$Q,'Existing Customers'!$A:$A,$NU$1,'Existing Customers'!$H:$H,$NT21)*$NU$4,$NU$3*$NS21),0))</f>
        <v>0</v>
      </c>
      <c r="NV21" s="86">
        <f>IF('Customer Inputs'!$W$20="End",0,IFERROR(IF(AND($NU$2&lt;&gt;"Enter Spend&gt;&gt;&gt;",$NV$2="EXISTING"),SUMIFS('Existing Customers'!$N:$N,'Existing Customers'!$A:$A,$NU$1,'Existing Customers'!$H:$H,$NT21)*$NU$4,$NU21/$OF21),0))</f>
        <v>0</v>
      </c>
      <c r="NW21" s="92">
        <f>IF('Customer Inputs'!$W$20="End",0,IFERROR(IF(AND($NU$2&lt;&gt;"Enter Spend&gt;&gt;&gt;",$NV$2="EXISTING"),SUMIFS('Existing Customers'!$O:$O,'Existing Customers'!$H:$H,$NT21,'Existing Customers'!$A:$A,$NU$1)*$NU$4,$NV21*$NU$8),0))</f>
        <v>0</v>
      </c>
      <c r="NX21" s="92">
        <f>IF('Customer Inputs'!$W$20="End",0,IFERROR(IF(AND($NU$2&lt;&gt;"Enter Spend&gt;&gt;&gt;",$NV$2="EXISTING"),SUMIFS('Existing Customers'!$P:$P,'Existing Customers'!$A:$A,$NU$1,'Existing Customers'!$H:$H,$NT21)*$NU$4,$NU21/$OG21),0))</f>
        <v>0</v>
      </c>
      <c r="NY21" s="303">
        <f>IF('Customer Inputs'!$W$20="End",0,IFERROR(IF(AND($NU$2&lt;&gt;"Enter Spend&gt;&gt;&gt;",$NV$2="EXISTING"),SUMIFS('Existing Customers'!$V:$V,'Existing Customers'!$H:$H,$NT21,'Existing Customers'!$A:$A,$NU$1)*$NU$4,0),0))</f>
        <v>0</v>
      </c>
      <c r="NZ21" s="93">
        <f>IF('Customer Inputs'!$W$20="End",0,IFERROR(IF(AND($NU$2&lt;&gt;"Enter Spend&gt;&gt;&gt;",$NV$2="EXISTING"),SUMIFS('Existing Customers'!$R:$R,'Existing Customers'!$H:$H,$NT21,'Existing Customers'!$A:$A,$NU$1)*$NU$4,0),0))</f>
        <v>0</v>
      </c>
      <c r="OA21" s="780">
        <f>IF('Customer Inputs'!$W$20="End",0,IFERROR(IF(AND($NU$2&lt;&gt;"Enter Spend&gt;&gt;&gt;",$NV$2="EXISTING"),SUMIFS('Existing Customers'!$S:$S,'Existing Customers'!$H:$H,$NT21,'Existing Customers'!$A:$A,$NU$1)/SUMIFS('Existing Customers'!$Q:$Q,'Existing Customers'!$A:$A,$NU$1,'Existing Customers'!$H:$H,$NT21),OK21),0))</f>
        <v>0</v>
      </c>
      <c r="OB21" s="780">
        <f>IF('Customer Inputs'!$W$20="End",0,IFERROR(IF(AND($NU$2&lt;&gt;"Enter Spend&gt;&gt;&gt;",$NV$2="EXISTING"),SUMIFS('Existing Customers'!$U:$U,'Existing Customers'!$H:$H,$NT21,'Existing Customers'!$A:$A,$NU$1)/SUMIFS('Existing Customers'!$Q:$Q,'Existing Customers'!$A:$A,$NU$1,'Existing Customers'!$H:$H,$NT21),OL21),0))</f>
        <v>0</v>
      </c>
      <c r="OC21" s="783" t="e">
        <f>_xlfn.CONCAT('Customer Inputs'!$AH$20,"_",NT21)</f>
        <v>#N/A</v>
      </c>
      <c r="OD21" s="783">
        <f t="array" ref="OD21">IF('Customer Inputs'!$W$20="End",0,IFERROR(INDEX('Margin Guidence Table'!$A$1:$AG$10000,MATCH(1,('Margin Guidence Table'!$A$1:$A$10000=OC21)*('Margin Guidence Table'!$I$1:$I$10000&lt;=ROUND($NU$3,0))*('Margin Guidence Table'!$J$1:$J$10000&gt;=ROUND($NU$3,0)),0),MATCH("DATA_POINTS",'Margin Guidence Table'!$A$1:$AG$1,0)),0))</f>
        <v>0</v>
      </c>
      <c r="OE21" s="780" t="str">
        <f t="shared" si="61"/>
        <v>DEFAULT</v>
      </c>
      <c r="OF21" s="780">
        <f t="array" ref="OF21">IF('Customer Inputs'!$W$20="End",0,IFERROR(IF($OE21="SEGMENT",INDEX('Margin Guidence Table'!$A$1:$AG$10000,MATCH(1,('Margin Guidence Table'!$A$1:$A$10000=OC21)*('Margin Guidence Table'!$I$1:$I$10000&lt;=ROUND($NU$3,0))*('Margin Guidence Table'!$J$1:$J$10000&gt;=ROUND($NU$3,0)),0),MATCH("SALES_CASE",'Margin Guidence Table'!$A$1:$AG$1,0)),INDEX('Margin Guidence Table'!$A$1:$AG$10000,MATCH(1,('Margin Guidence Table'!$A$1:$A$10000=OC21)*('Margin Guidence Table'!$I$1:$I$10000&lt;=ROUND($NU$3,0))*('Margin Guidence Table'!$J$1:$J$10000&gt;=ROUND($NU$3,0)),0),MATCH("DEFAULT_SALES_CASE",'Margin Guidence Table'!$A$1:$AG$1,0))),0))</f>
        <v>0</v>
      </c>
      <c r="OG21" s="780">
        <f t="array" ref="OG21">IF('Customer Inputs'!$W$20="End",0,IFERROR(IF($OE21="SEGMENT",INDEX('Margin Guidence Table'!$A$1:$AG$10000,MATCH(1,('Margin Guidence Table'!$A$1:$A$10000=OC21)*('Margin Guidence Table'!$I$1:$I$10000&lt;=ROUND($NU$3,0))*('Margin Guidence Table'!$J$1:$J$10000&gt;=ROUND($NU$3,0)),0),MATCH("SALES_LBS",'Margin Guidence Table'!$A$1:$AG$1,0)),INDEX('Margin Guidence Table'!$A$1:$AG$10000,MATCH(1,('Margin Guidence Table'!$A$1:$A$10000=OC21)*('Margin Guidence Table'!$I$1:$I$10000&lt;=ROUND($NU$3,0))*('Margin Guidence Table'!$J$1:$J$10000&gt;=ROUND($NU$3,0)),0),MATCH("DEFAULT_SALES_LBS",'Margin Guidence Table'!$A$1:$AG$1,0))),0))</f>
        <v>0</v>
      </c>
      <c r="OH21" s="784">
        <f t="array" ref="OH21">IF('Customer Inputs'!$W$20="End",0,IFERROR(IF($OE21="SEGMENT",INDEX('Margin Guidence Table'!$A$1:$AG$10000,MATCH(1,('Margin Guidence Table'!$A$1:$A$10000=OC21)*('Margin Guidence Table'!$I$1:$I$10000&lt;=ROUND($NU$3,0))*('Margin Guidence Table'!$J$1:$J$10000&gt;=ROUND($NU$3,0)),0),MATCH("MDA_MIN_MARGIN_GUIDENCE",'Margin Guidence Table'!$A$1:$AG$1,0)),INDEX('Margin Guidence Table'!$A$1:$AG$10000,MATCH(1,('Margin Guidence Table'!$A$1:$A$10000=OC21)*('Margin Guidence Table'!$I$1:$I$10000&lt;=ROUND($NU$3,0))*('Margin Guidence Table'!$J$1:$J$10000&gt;=ROUND($NU$3,0)),0),MATCH("DEFAULT_MDA_MIN_MARGIN_GUIDENCE",'Margin Guidence Table'!$A$1:$AG$1,0))),0))</f>
        <v>0</v>
      </c>
      <c r="OI21" s="784">
        <f t="array" ref="OI21">IF('Customer Inputs'!$W$20="End",0,IFERROR(IF($OE21="SEGMENT",INDEX('Margin Guidence Table'!$A$1:$AG$10000,MATCH(1,('Margin Guidence Table'!$A$1:$A$10000=OC21)*('Margin Guidence Table'!$I$1:$I$10000&lt;=ROUND($NU$3,0))*('Margin Guidence Table'!$J$1:$J$10000&gt;=ROUND($NU$3,0)),0),MATCH("MDA_MEDIAN_MARGIN_GUIDENCE",'Margin Guidence Table'!$A$1:$AG$1,0)),INDEX('Margin Guidence Table'!$A$1:$AG$10000,MATCH(1,('Margin Guidence Table'!$A$1:$A$10000=OC21)*('Margin Guidence Table'!$I$1:$I$10000&lt;=ROUND($NU$3,0))*('Margin Guidence Table'!$J$1:$J$10000&gt;=ROUND($NU$3,0)),0),MATCH("DEFAULT_MDA_MEDIAN_MARGIN_GUIDENCE",'Margin Guidence Table'!$A$1:$AG$1,0))),0))</f>
        <v>0</v>
      </c>
      <c r="OJ21" s="784">
        <f t="array" ref="OJ21">IF('Customer Inputs'!$W$20="End",0,IFERROR(IF($OE21="SEGMENT",INDEX('Margin Guidence Table'!$A$1:$AG$10000,MATCH(1,('Margin Guidence Table'!$A$1:$A$10000=OC21)*('Margin Guidence Table'!$I$1:$I$10000&lt;=ROUND($NU$3,0))*('Margin Guidence Table'!$J$1:$J$10000&gt;=ROUND($NU$3,0)),0),MATCH("MDA_MAX_MARGIN_GUIDENCE",'Margin Guidence Table'!$A$1:$AG$1,0)),INDEX('Margin Guidence Table'!$A$1:$AG$10000,MATCH(1,('Margin Guidence Table'!$A$1:$A$10000=OC21)*('Margin Guidence Table'!$I$1:$I$10000&lt;=ROUND($NU$3,0))*('Margin Guidence Table'!$J$1:$J$10000&gt;=ROUND($NU$3,0)),0),MATCH("DEFAULT_MDA_MAX_MARGIN_GUIDENCE",'Margin Guidence Table'!$A$1:$AG$1,0))),0))</f>
        <v>0</v>
      </c>
      <c r="OK21" s="784">
        <f t="array" ref="OK21">IF('Customer Inputs'!$W$20="End",0,IFERROR(IF($OE21="SEGMENT",INDEX('Margin Guidence Table'!$A$1:$AG$10000,MATCH(1,('Margin Guidence Table'!$A$1:$A$10000=OC21)*('Margin Guidence Table'!$I$1:$I$10000&lt;=ROUND($NU$3,0))*('Margin Guidence Table'!$J$1:$J$10000&gt;=ROUND($NU$3,0)),0),MATCH("PA_PCT_SALES",'Margin Guidence Table'!$A$1:$AG$1,0)),INDEX('Margin Guidence Table'!$A$1:$AG$10000,MATCH(1,('Margin Guidence Table'!$A$1:$A$10000=OC21)*('Margin Guidence Table'!$I$1:$I$10000&lt;=ROUND($NU$3,0))*('Margin Guidence Table'!$J$1:$J$10000&gt;=ROUND($NU$3,0)),0),MATCH("DEFAULT_PA_PCT_SALES",'Margin Guidence Table'!$A$1:$AG$1,0))),0))</f>
        <v>0</v>
      </c>
      <c r="OL21" s="784">
        <f t="array" ref="OL21">IF('Customer Inputs'!$W$20="End",0,IFERROR(IF($OE21="SEGMENT",INDEX('Margin Guidence Table'!$A$1:$AG$10000,MATCH(1,('Margin Guidence Table'!$A$1:$A$10000=OC21)*('Margin Guidence Table'!$I$1:$I$10000&lt;=ROUND($NU$3,0))*('Margin Guidence Table'!$J$1:$J$10000&gt;=ROUND($NU$3,0)),0),MATCH("SELF_FUND_PCT_SALES",'Margin Guidence Table'!$A$1:$AG$1,0)),INDEX('Margin Guidence Table'!$A$1:$AG$10000,MATCH(1,('Margin Guidence Table'!$A$1:$A$10000=OC21)*('Margin Guidence Table'!$I$1:$I$10000&lt;=ROUND($NU$3,0))*('Margin Guidence Table'!$J$1:$J$10000&gt;=ROUND($NU$3,0)),0),MATCH("DEFAULT_SELF_FUND_PCT_SALES",'Margin Guidence Table'!$A$1:$AG$1,0))),0))</f>
        <v>0</v>
      </c>
      <c r="OM21" s="784">
        <f t="array" ref="OM21">IF('Customer Inputs'!$W$20="End",0,IF($NV$2="Existing",IFERROR(SUMIFS('Existing Customers'!$V:$V,'Existing Customers'!$H:$H,$NT21,'Existing Customers'!$A:$A,$NU$1)/SUMIFS('Existing Customers'!$Q:$Q,'Existing Customers'!$H:$H,$NT21,'Existing Customers'!$A:$A,$NU$1),0),IFERROR(IF($OE21="SEGMENT",INDEX('Margin Guidence Table'!$A$1:$AG$10000,MATCH(1,('Margin Guidence Table'!$A$1:$A$10000=OC21)*('Margin Guidence Table'!$I$1:$I$10000&lt;=ROUND($NU$3,0))*('Margin Guidence Table'!$J$1:$J$10000&gt;=ROUND($NU$3,0)),0),MATCH("CIA_MEDIAN_MARGIN_GUIDENCE",'Margin Guidence Table'!$A$1:$AG$1,0)),INDEX('Margin Guidence Table'!$A$1:$AG$10000,MATCH(1,('Margin Guidence Table'!$A$1:$A$10000=OC21)*('Margin Guidence Table'!$I$1:$I$10000&lt;=ROUND($NU$3,0))*('Margin Guidence Table'!$J$1:$J$10000&gt;=ROUND($NU$3,0)),0),MATCH("DEFAULT_CIA_MEDIAN_MARGIN_GUIDENCE",'Margin Guidence Table'!$A$1:$AG$1,0))),0)))</f>
        <v>0</v>
      </c>
      <c r="ON21" s="784"/>
      <c r="OO21" s="18">
        <f t="array" ref="OO21">IF('Customer Inputs'!$W$21="End",0,IFERROR(IF($PB21="SEGMENT",INDEX('Margin Guidence Table'!$A$1:$AG$10000,MATCH(1,('Margin Guidence Table'!$A$1:$A$10000=$OZ21)*('Margin Guidence Table'!$I$1:$I$10000&lt;=ROUND($OR$3,0))*('Margin Guidence Table'!$J$1:$J$10000&gt;=ROUND($OR$3,0)),0),MATCH("PCT_SALES",'Margin Guidence Table'!$A$1:$AG$1,0)),INDEX('Margin Guidence Table'!$A$1:$AG$10000,MATCH(1,('Margin Guidence Table'!$A$1:$A$10000=$OZ21)*('Margin Guidence Table'!$I$1:$I$10000&lt;=ROUND($OR$3,0))*('Margin Guidence Table'!$J$1:$J$10000&gt;=ROUND($OR$3,0)),0),MATCH("DEFAULT_PCT_SALES",'Margin Guidence Table'!$A$1:$AG$1,0))),0))</f>
        <v>0</v>
      </c>
      <c r="OP21" s="1713" t="e">
        <f t="shared" si="62"/>
        <v>#DIV/0!</v>
      </c>
      <c r="OQ21" s="99" t="s">
        <v>95</v>
      </c>
      <c r="OR21" s="91">
        <f>IF('Customer Inputs'!$W$21="End",0,IFERROR(IF(AND($OR$2&lt;&gt;"Enter Spend&gt;&gt;&gt;",$OS$2="EXISTING"),SUMIFS('Existing Customers'!$Q:$Q,'Existing Customers'!$A:$A,$OR$1,'Existing Customers'!$H:$H,$OQ21)*$OR$4,$OR$3*$OP21),0))</f>
        <v>0</v>
      </c>
      <c r="OS21" s="86">
        <f>IF('Customer Inputs'!$W$21="End",0,IFERROR(IF(AND($OR$2&lt;&gt;"Enter Spend&gt;&gt;&gt;",$OS$2="EXISTING"),SUMIFS('Existing Customers'!$N:$N,'Existing Customers'!$A:$A,$OR$1,'Existing Customers'!$H:$H,$OQ21)*$OR$4,$OR21/$PC21),0))</f>
        <v>0</v>
      </c>
      <c r="OT21" s="92">
        <f>IF('Customer Inputs'!$W$21="End",0,IFERROR(IF(AND($OR$2&lt;&gt;"Enter Spend&gt;&gt;&gt;",$OS$2="EXISTING"),SUMIFS('Existing Customers'!$O:$O,'Existing Customers'!$H:$H,$OQ21,'Existing Customers'!$A:$A,$OR$1)*$OR$4,$OS21*$OR$8),0))</f>
        <v>0</v>
      </c>
      <c r="OU21" s="92">
        <f>IF('Customer Inputs'!$W$21="End",0,IFERROR(IF(AND($OR$2&lt;&gt;"Enter Spend&gt;&gt;&gt;",$OS$2="EXISTING"),SUMIFS('Existing Customers'!$P:$P,'Existing Customers'!$A:$A,$OR$1,'Existing Customers'!$H:$H,$OQ21)*$OR$4,$OR21/$PD21),0))</f>
        <v>0</v>
      </c>
      <c r="OV21" s="303">
        <f>IF('Customer Inputs'!$W$21="End",0,IFERROR(IF(AND($OR$2&lt;&gt;"Enter Spend&gt;&gt;&gt;",$OS$2="EXISTING"),SUMIFS('Existing Customers'!$V:$V,'Existing Customers'!$H:$H,$OQ21,'Existing Customers'!$A:$A,$OR$1)*$OR$4,0),0))</f>
        <v>0</v>
      </c>
      <c r="OW21" s="93">
        <f>IF('Customer Inputs'!$W$21="End",0,IFERROR(IF(AND($OR$2&lt;&gt;"Enter Spend&gt;&gt;&gt;",$OS$2="EXISTING"),SUMIFS('Existing Customers'!$R:$R,'Existing Customers'!$H:$H,$OP21,'Existing Customers'!$A:$A,$OR$1)*$OR$4,0),0))</f>
        <v>0</v>
      </c>
      <c r="OX21" s="780">
        <f>IF('Customer Inputs'!$W$21="End",0,IFERROR(IF(AND($OR$2&lt;&gt;"Enter Spend&gt;&gt;&gt;",$OS$2="EXISTING"),SUMIFS('Existing Customers'!$S:$S,'Existing Customers'!$H:$H,$OQ21,'Existing Customers'!$A:$A,$OR$1)/SUMIFS('Existing Customers'!$Q:$Q,'Existing Customers'!$A:$A,$OR$1,'Existing Customers'!$H:$H,$OQ21),PH21),0))</f>
        <v>0</v>
      </c>
      <c r="OY21" s="780">
        <f>IF('Customer Inputs'!$W$21="End",0,IFERROR(IF(AND($OR$2&lt;&gt;"Enter Spend&gt;&gt;&gt;",$OS$2="EXISTING"),SUMIFS('Existing Customers'!$U:$U,'Existing Customers'!$H:$H,$OQ21,'Existing Customers'!$A:$A,$OR$1)/SUMIFS('Existing Customers'!$Q:$Q,'Existing Customers'!$A:$A,$OR$1,'Existing Customers'!$H:$H,$OQ21),PI21),0))</f>
        <v>0</v>
      </c>
      <c r="OZ21" s="783" t="e">
        <f>_xlfn.CONCAT('Customer Inputs'!$AH$21,"_",OQ21)</f>
        <v>#N/A</v>
      </c>
      <c r="PA21" s="783">
        <f t="array" ref="PA21">IF('Customer Inputs'!$W$22="End",0,IFERROR(INDEX('Margin Guidence Table'!$A$1:$AG$10000,MATCH(1,('Margin Guidence Table'!$A$1:$A$10000=OZ21)*('Margin Guidence Table'!$I$1:$I$10000&lt;=ROUND($OR$3,0))*('Margin Guidence Table'!$J$1:$J$10000&gt;=ROUND($OR$3,0)),0),MATCH("DATA_POINTS",'Margin Guidence Table'!$A$1:$AG$1,0)),0))</f>
        <v>0</v>
      </c>
      <c r="PB21" s="780" t="str">
        <f t="shared" si="63"/>
        <v>DEFAULT</v>
      </c>
      <c r="PC21" s="780">
        <f t="array" ref="PC21">IF('Customer Inputs'!$W$21="End",0,IFERROR(IF($PB21="SEGMENT",INDEX('Margin Guidence Table'!$A$1:$AG$10000,MATCH(1,('Margin Guidence Table'!$A$1:$A$10000=OZ21)*('Margin Guidence Table'!$I$1:$I$10000&lt;=ROUND($OR$3,0))*('Margin Guidence Table'!$J$1:$J$10000&gt;=ROUND($OR$3,0)),0),MATCH("SALES_CASE",'Margin Guidence Table'!$A$1:$AG$1,0)),INDEX('Margin Guidence Table'!$A$1:$AG$10000,MATCH(1,('Margin Guidence Table'!$A$1:$A$10000=OZ21)*('Margin Guidence Table'!$I$1:$I$10000&lt;=ROUND($OR$3,0))*('Margin Guidence Table'!$J$1:$J$10000&gt;=ROUND($OR$3,0)),0),MATCH("DEFAULT_SALES_CASE",'Margin Guidence Table'!$A$1:$AG$1,0))),0))</f>
        <v>0</v>
      </c>
      <c r="PD21" s="780">
        <f t="array" ref="PD21">IF('Customer Inputs'!$W$21="End",0,IFERROR(IF($PB21="SEGMENT",INDEX('Margin Guidence Table'!$A$1:$AG$10000,MATCH(1,('Margin Guidence Table'!$A$1:$A$10000=OZ21)*('Margin Guidence Table'!$I$1:$I$10000&lt;=ROUND($OR$3,0))*('Margin Guidence Table'!$J$1:$J$10000&gt;=ROUND($OR$3,0)),0),MATCH("SALES_LBS",'Margin Guidence Table'!$A$1:$AG$1,0)),INDEX('Margin Guidence Table'!$A$1:$AG$10000,MATCH(1,('Margin Guidence Table'!$A$1:$A$10000=OZ21)*('Margin Guidence Table'!$I$1:$I$10000&lt;=ROUND($OR$3,0))*('Margin Guidence Table'!$J$1:$J$10000&gt;=ROUND($OR$3,0)),0),MATCH("DEFAULT_SALES_LBS",'Margin Guidence Table'!$A$1:$AG$1,0))),0))</f>
        <v>0</v>
      </c>
      <c r="PE21" s="784">
        <f t="array" ref="PE21">IF('Customer Inputs'!$W$21="End",0,IFERROR(IF($PB21="SEGMENT",INDEX('Margin Guidence Table'!$A$1:$AG$10000,MATCH(1,('Margin Guidence Table'!$A$1:$A$10000=OZ21)*('Margin Guidence Table'!$I$1:$I$10000&lt;=ROUND($OR$3,0))*('Margin Guidence Table'!$J$1:$J$10000&gt;=ROUND($OR$3,0)),0),MATCH("MDA_MIN_MARGIN_GUIDENCE",'Margin Guidence Table'!$A$1:$AG$1,0)),INDEX('Margin Guidence Table'!$A$1:$AG$10000,MATCH(1,('Margin Guidence Table'!$A$1:$A$10000=OZ21)*('Margin Guidence Table'!$I$1:$I$10000&lt;=ROUND($OR$3,0))*('Margin Guidence Table'!$J$1:$J$10000&gt;=ROUND($OR$3,0)),0),MATCH("DEFAULT_MDA_MIN_MARGIN_GUIDENCE",'Margin Guidence Table'!$A$1:$AG$1,0))),0))</f>
        <v>0</v>
      </c>
      <c r="PF21" s="784">
        <f t="array" ref="PF21">IF('Customer Inputs'!$W$21="End",0,IFERROR(IF($PB21="SEGMENT",INDEX('Margin Guidence Table'!$A$1:$AG$10000,MATCH(1,('Margin Guidence Table'!$A$1:$A$10000=OZ21)*('Margin Guidence Table'!$I$1:$I$10000&lt;=ROUND($OR$3,0))*('Margin Guidence Table'!$J$1:$J$10000&gt;=ROUND($OR$3,0)),0),MATCH("MDA_MEDIAN_MARGIN_GUIDENCE",'Margin Guidence Table'!$A$1:$AG$1,0)),INDEX('Margin Guidence Table'!$A$1:$AG$10000,MATCH(1,('Margin Guidence Table'!$A$1:$A$10000=OZ21)*('Margin Guidence Table'!$I$1:$I$10000&lt;=ROUND($OR$3,0))*('Margin Guidence Table'!$J$1:$J$10000&gt;=ROUND($OR$3,0)),0),MATCH("DEFAULT_MDA_MEDIAN_MARGIN_GUIDENCE",'Margin Guidence Table'!$A$1:$AG$1,0))),0))</f>
        <v>0</v>
      </c>
      <c r="PG21" s="784">
        <f t="array" ref="PG21">IF('Customer Inputs'!$W$21="End",0,IFERROR(IF($PB21="SEGMENT",INDEX('Margin Guidence Table'!$A$1:$AG$10000,MATCH(1,('Margin Guidence Table'!$A$1:$A$10000=OZ21)*('Margin Guidence Table'!$I$1:$I$10000&lt;=ROUND($OR$3,0))*('Margin Guidence Table'!$J$1:$J$10000&gt;=ROUND($OR$3,0)),0),MATCH("MDA_MAX_MARGIN_GUIDENCE",'Margin Guidence Table'!$A$1:$AG$1,0)),INDEX('Margin Guidence Table'!$A$1:$AG$10000,MATCH(1,('Margin Guidence Table'!$A$1:$A$10000=OZ21)*('Margin Guidence Table'!$I$1:$I$10000&lt;=ROUND($OR$3,0))*('Margin Guidence Table'!$J$1:$J$10000&gt;=ROUND($OR$3,0)),0),MATCH("DEFAULT_MDA_MAX_MARGIN_GUIDENCE",'Margin Guidence Table'!$A$1:$AG$1,0))),0))</f>
        <v>0</v>
      </c>
      <c r="PH21" s="784">
        <f t="array" ref="PH21">IF('Customer Inputs'!$W$21="End",0,IFERROR(IF($PB21="SEGMENT",INDEX('Margin Guidence Table'!$A$1:$AG$10000,MATCH(1,('Margin Guidence Table'!$A$1:$A$10000=OZ21)*('Margin Guidence Table'!$I$1:$I$10000&lt;=ROUND($OR$3,0))*('Margin Guidence Table'!$J$1:$J$10000&gt;=ROUND($OR$3,0)),0),MATCH("PA_PCT_SALES",'Margin Guidence Table'!$A$1:$AG$1,0)),INDEX('Margin Guidence Table'!$A$1:$AG$10000,MATCH(1,('Margin Guidence Table'!$A$1:$A$10000=OZ21)*('Margin Guidence Table'!$I$1:$I$10000&lt;=ROUND($OR$3,0))*('Margin Guidence Table'!$J$1:$J$10000&gt;=ROUND($OR$3,0)),0),MATCH("DEFAULT_PA_PCT_SALES",'Margin Guidence Table'!$A$1:$AG$1,0))),0))</f>
        <v>0</v>
      </c>
      <c r="PI21" s="784">
        <f t="array" ref="PI21">IF('Customer Inputs'!$W$21="End",0,IFERROR(IF($PB21="SEGMENT",INDEX('Margin Guidence Table'!$A$1:$AG$10000,MATCH(1,('Margin Guidence Table'!$A$1:$A$10000=OZ21)*('Margin Guidence Table'!$I$1:$I$10000&lt;=ROUND($OR$3,0))*('Margin Guidence Table'!$J$1:$J$10000&gt;=ROUND($OR$3,0)),0),MATCH("SELF_FUND_PCT_SALES",'Margin Guidence Table'!$A$1:$AG$1,0)),INDEX('Margin Guidence Table'!$A$1:$AG$10000,MATCH(1,('Margin Guidence Table'!$A$1:$A$10000=OZ21)*('Margin Guidence Table'!$I$1:$I$10000&lt;=ROUND($OR$3,0))*('Margin Guidence Table'!$J$1:$J$10000&gt;=ROUND($OR$3,0)),0),MATCH("DEFAULT_SELF_FUND_PCT_SALES",'Margin Guidence Table'!$A$1:$AG$1,0))),0))</f>
        <v>0</v>
      </c>
      <c r="PJ21" s="784">
        <f t="array" ref="PJ21">IF('Customer Inputs'!$W$21="End",0,IF($OS$2="Existing",IFERROR(SUMIFS('Existing Customers'!$V:$V,'Existing Customers'!$H:$H,$OQ21,'Existing Customers'!$A:$A,$OR$1)/SUMIFS('Existing Customers'!$Q:$Q,'Existing Customers'!$H:$H,$OQ21,'Existing Customers'!$A:$A,$OR$1),0),IFERROR(IF($PB21="SEGMENT",INDEX('Margin Guidence Table'!$A$1:$AG$10000,MATCH(1,('Margin Guidence Table'!$A$1:$A$10000=OZ21)*('Margin Guidence Table'!$I$1:$I$10000&lt;=ROUND($OR$3,0))*('Margin Guidence Table'!$J$1:$J$10000&gt;=ROUND($OR$3,0)),0),MATCH("CIA_MEDIAN_MARGIN_GUIDENCE",'Margin Guidence Table'!$A$1:$AG$1,0)),INDEX('Margin Guidence Table'!$A$1:$AG$10000,MATCH(1,('Margin Guidence Table'!$A$1:$A$10000=OZ21)*('Margin Guidence Table'!$I$1:$I$10000&lt;=ROUND($OR$3,0))*('Margin Guidence Table'!$J$1:$J$10000&gt;=ROUND($OR$3,0)),0),MATCH("DEFAULT_CIA_MEDIAN_MARGIN_GUIDENCE",'Margin Guidence Table'!$A$1:$AG$1,0))),0)))</f>
        <v>0</v>
      </c>
      <c r="PK21" s="784"/>
      <c r="PL21" s="18">
        <f t="array" ref="PL21">IF('Customer Inputs'!$W$22="End",0,IFERROR(IF($PY21="SEGMENT",INDEX('Margin Guidence Table'!$A$1:$AG$10000,MATCH(1,('Margin Guidence Table'!$A$1:$A$10000=$PW21)*('Margin Guidence Table'!$I$1:$I$10000&lt;=ROUND($PO$3,0))*('Margin Guidence Table'!$J$1:$J$10000&gt;=ROUND($PO$3,0)),0),MATCH("PCT_SALES",'Margin Guidence Table'!$A$1:$AG$1,0)),INDEX('Margin Guidence Table'!$A$1:$AG$10000,MATCH(1,('Margin Guidence Table'!$A$1:$A$10000=$PW21)*('Margin Guidence Table'!$I$1:$I$10000&lt;=ROUND($PO$3,0))*('Margin Guidence Table'!$J$1:$J$10000&gt;=ROUND($PO$3,0)),0),MATCH("DEFAULT_PCT_SALES",'Margin Guidence Table'!$A$1:$AG$1,0))),0))</f>
        <v>0</v>
      </c>
      <c r="PM21" s="1713" t="e">
        <f t="shared" si="64"/>
        <v>#DIV/0!</v>
      </c>
      <c r="PN21" s="99" t="s">
        <v>95</v>
      </c>
      <c r="PO21" s="91">
        <f>IF('Customer Inputs'!$W$22="End",0,IFERROR(IF(AND($PO$2&lt;&gt;"Enter Spend&gt;&gt;&gt;",$PP$2="EXISTING"),SUMIFS('Existing Customers'!$Q:$Q,'Existing Customers'!$A:$A,$PO$1,'Existing Customers'!$H:$H,$PN21)*$PO$4,$PO$3*$PM21),0))</f>
        <v>0</v>
      </c>
      <c r="PP21" s="86">
        <f>IF('Customer Inputs'!$W$22="End",0,IFERROR(IF(AND($PO$2&lt;&gt;"Enter Spend&gt;&gt;&gt;",$PP$2="EXISTING"),SUMIFS('Existing Customers'!$N:$N,'Existing Customers'!$A:$A,$PO$1,'Existing Customers'!$H:$H,$PN21)*$PO$4,$PO21/$PZ21),0))</f>
        <v>0</v>
      </c>
      <c r="PQ21" s="92">
        <f>IF('Customer Inputs'!$W$22="End",0,IFERROR(IF(AND($PO$2&lt;&gt;"Enter Spend&gt;&gt;&gt;",$PP$2="EXISTING"),SUMIFS('Existing Customers'!$O:$O,'Existing Customers'!$H:$H,$PN21,'Existing Customers'!$A:$A,$PO$1)*$PO$4,$PP21*$PO$8),0))</f>
        <v>0</v>
      </c>
      <c r="PR21" s="92">
        <f>IF('Customer Inputs'!$W$22="End",0,IFERROR(IF(AND($PO$2&lt;&gt;"Enter Spend&gt;&gt;&gt;",$PP$2="EXISTING"),SUMIFS('Existing Customers'!$P:$P,'Existing Customers'!$A:$A,$PO$1,'Existing Customers'!$H:$H,$PN21)*$PO$4,$PO21/$QA21),0))</f>
        <v>0</v>
      </c>
      <c r="PS21" s="303">
        <f>IF('Customer Inputs'!$W$22="End",0,IFERROR(IF(AND($PO$2&lt;&gt;"Enter Spend&gt;&gt;&gt;",$PP$2="EXISTING"),SUMIFS('Existing Customers'!$V:$V,'Existing Customers'!$H:$H,$PN21,'Existing Customers'!$A:$A,$PO$1)*$PO$4,0),0))</f>
        <v>0</v>
      </c>
      <c r="PT21" s="93">
        <f>IF('Customer Inputs'!$W$22="End",0,IFERROR(IF(AND($PO$2&lt;&gt;"Enter Spend&gt;&gt;&gt;",$PP$2="EXISTING"),SUMIFS('Existing Customers'!$R:$R,'Existing Customers'!$H:$H,$PN21,'Existing Customers'!$A:$A,$PO$1)*$PO$4,0),0))</f>
        <v>0</v>
      </c>
      <c r="PU21" s="780">
        <f>IF('Customer Inputs'!$W$22="End",0,IFERROR(IF(AND($PO$2&lt;&gt;"Enter Spend&gt;&gt;&gt;",$PP$2="EXISTING"),SUMIFS('Existing Customers'!$S:$S,'Existing Customers'!$H:$H,$PN21,'Existing Customers'!$A:$A,$PO$1)/SUMIFS('Existing Customers'!$Q:$Q,'Existing Customers'!$A:$A,$PO$1,'Existing Customers'!$H:$H,$PN21),QE21),0))</f>
        <v>0</v>
      </c>
      <c r="PV21" s="780">
        <f>IF('Customer Inputs'!$W$22="End",0,IFERROR(IF(AND($PO$2&lt;&gt;"Enter Spend&gt;&gt;&gt;",$PP$2="EXISTING"),SUMIFS('Existing Customers'!$U:$U,'Existing Customers'!$H:$H,$PN21,'Existing Customers'!$A:$A,$PO$1)/SUMIFS('Existing Customers'!$Q:$Q,'Existing Customers'!$A:$A,$PO$1,'Existing Customers'!$H:$H,$PN21),QF21),0))</f>
        <v>0</v>
      </c>
      <c r="PW21" s="783" t="e">
        <f>_xlfn.CONCAT('Customer Inputs'!$AH$22,"_",PN21)</f>
        <v>#N/A</v>
      </c>
      <c r="PX21" s="783">
        <f t="array" ref="PX21">IF('Customer Inputs'!$W$22="End",0,IFERROR(INDEX('Margin Guidence Table'!$A$1:$AG$10000,MATCH(1,('Margin Guidence Table'!$A$1:$A$10000=PW21)*('Margin Guidence Table'!$I$1:$I$10000&lt;=ROUND($PO$3,0))*('Margin Guidence Table'!$J$1:$J$10000&gt;=ROUND($PO$3,0)),0),MATCH("DATA_POINTS",'Margin Guidence Table'!$A$1:$AG$1,0)),0))</f>
        <v>0</v>
      </c>
      <c r="PY21" s="780" t="str">
        <f t="shared" si="65"/>
        <v>DEFAULT</v>
      </c>
      <c r="PZ21" s="780">
        <f t="array" ref="PZ21">IF('Customer Inputs'!$W$22="End",0,IFERROR(IF($PY21="SEGMENT",INDEX('Margin Guidence Table'!$A$1:$AG$10000,MATCH(1,('Margin Guidence Table'!$A$1:$A$10000=PW21)*('Margin Guidence Table'!$I$1:$I$10000&lt;=ROUND($PO$3,0))*('Margin Guidence Table'!$J$1:$J$10000&gt;=ROUND($PO$3,0)),0),MATCH("SALES_CASE",'Margin Guidence Table'!$A$1:$AG$1,0)),INDEX('Margin Guidence Table'!$A$1:$AG$10000,MATCH(1,('Margin Guidence Table'!$A$1:$A$10000=PW21)*('Margin Guidence Table'!$I$1:$I$10000&lt;=ROUND($PO$3,0))*('Margin Guidence Table'!$J$1:$J$10000&gt;=ROUND($PO$3,0)),0),MATCH("DEFAULT_SALES_CASE",'Margin Guidence Table'!$A$1:$AG$1,0))),0))</f>
        <v>0</v>
      </c>
      <c r="QA21" s="780">
        <f t="array" ref="QA21">IF('Customer Inputs'!$W$22="End",0,IFERROR(IF($PY21="SEGMENT",INDEX('Margin Guidence Table'!$A$1:$AG$10000,MATCH(1,('Margin Guidence Table'!$A$1:$A$10000=PW21)*('Margin Guidence Table'!$I$1:$I$10000&lt;=ROUND($PO$3,0))*('Margin Guidence Table'!$J$1:$J$10000&gt;=ROUND($PO$3,0)),0),MATCH("SALES_LBS",'Margin Guidence Table'!$A$1:$AG$1,0)),INDEX('Margin Guidence Table'!$A$1:$AG$10000,MATCH(1,('Margin Guidence Table'!$A$1:$A$10000=PW21)*('Margin Guidence Table'!$I$1:$I$10000&lt;=ROUND($PO$3,0))*('Margin Guidence Table'!$J$1:$J$10000&gt;=ROUND($PO$3,0)),0),MATCH("DEFAULT_SALES_LBS",'Margin Guidence Table'!$A$1:$AG$1,0))),0))</f>
        <v>0</v>
      </c>
      <c r="QB21" s="784">
        <f t="array" ref="QB21">IF('Customer Inputs'!$W$22="End",0,IFERROR(IF($PY21="SEGMENT",INDEX('Margin Guidence Table'!$A$1:$AG$10000,MATCH(1,('Margin Guidence Table'!$A$1:$A$10000=PW21)*('Margin Guidence Table'!$I$1:$I$10000&lt;=ROUND($PO$3,0))*('Margin Guidence Table'!$J$1:$J$10000&gt;=ROUND($PO$3,0)),0),MATCH("MDA_MIN_MARGIN_GUIDENCE",'Margin Guidence Table'!$A$1:$AG$1,0)),INDEX('Margin Guidence Table'!$A$1:$AG$10000,MATCH(1,('Margin Guidence Table'!$A$1:$A$10000=PW21)*('Margin Guidence Table'!$I$1:$I$10000&lt;=ROUND($PO$3,0))*('Margin Guidence Table'!$J$1:$J$10000&gt;=ROUND($PO$3,0)),0),MATCH("DEFAULT_MDA_MIN_MARGIN_GUIDENCE",'Margin Guidence Table'!$A$1:$AG$1,0))),0))</f>
        <v>0</v>
      </c>
      <c r="QC21" s="784">
        <f t="array" ref="QC21">IF('Customer Inputs'!$W$22="End",0,IFERROR(IF($PY21="SEGMENT",INDEX('Margin Guidence Table'!$A$1:$AG$10000,MATCH(1,('Margin Guidence Table'!$A$1:$A$10000=PW21)*('Margin Guidence Table'!$I$1:$I$10000&lt;=ROUND($PO$3,0))*('Margin Guidence Table'!$J$1:$J$10000&gt;=ROUND($PO$3,0)),0),MATCH("MDA_MEDIAN_MARGIN_GUIDENCE",'Margin Guidence Table'!$A$1:$AG$1,0)),INDEX('Margin Guidence Table'!$A$1:$AG$10000,MATCH(1,('Margin Guidence Table'!$A$1:$A$10000=PW21)*('Margin Guidence Table'!$I$1:$I$10000&lt;=ROUND($PO$3,0))*('Margin Guidence Table'!$J$1:$J$10000&gt;=ROUND($PO$3,0)),0),MATCH("DEFAULT_MDA_MEDIAN_MARGIN_GUIDENCE",'Margin Guidence Table'!$A$1:$AG$1,0))),0))</f>
        <v>0</v>
      </c>
      <c r="QD21" s="784">
        <f t="array" ref="QD21">IF('Customer Inputs'!$W$22="End",0,IFERROR(IF($PY21="SEGMENT",INDEX('Margin Guidence Table'!$A$1:$AG$10000,MATCH(1,('Margin Guidence Table'!$A$1:$A$10000=PW21)*('Margin Guidence Table'!$I$1:$I$10000&lt;=ROUND($PO$3,0))*('Margin Guidence Table'!$J$1:$J$10000&gt;=ROUND($PO$3,0)),0),MATCH("MDA_MAX_MARGIN_GUIDENCE",'Margin Guidence Table'!$A$1:$AG$1,0)),INDEX('Margin Guidence Table'!$A$1:$AG$10000,MATCH(1,('Margin Guidence Table'!$A$1:$A$10000=PW21)*('Margin Guidence Table'!$I$1:$I$10000&lt;=ROUND($PO$3,0))*('Margin Guidence Table'!$J$1:$J$10000&gt;=ROUND($PO$3,0)),0),MATCH("DEFAULT_MDA_MAX_MARGIN_GUIDENCE",'Margin Guidence Table'!$A$1:$AG$1,0))),0))</f>
        <v>0</v>
      </c>
      <c r="QE21" s="784">
        <f t="array" ref="QE21">IF('Customer Inputs'!$W$22="End",0,IFERROR(IF($PY21="SEGMENT",INDEX('Margin Guidence Table'!$A$1:$AG$10000,MATCH(1,('Margin Guidence Table'!$A$1:$A$10000=PW21)*('Margin Guidence Table'!$I$1:$I$10000&lt;=ROUND($PO$3,0))*('Margin Guidence Table'!$J$1:$J$10000&gt;=ROUND($PO$3,0)),0),MATCH("PA_PCT_SALES",'Margin Guidence Table'!$A$1:$AG$1,0)),INDEX('Margin Guidence Table'!$A$1:$AG$10000,MATCH(1,('Margin Guidence Table'!$A$1:$A$10000=PW21)*('Margin Guidence Table'!$I$1:$I$10000&lt;=ROUND($PO$3,0))*('Margin Guidence Table'!$J$1:$J$10000&gt;=ROUND($PO$3,0)),0),MATCH("DEFAULT_PA_PCT_SALES",'Margin Guidence Table'!$A$1:$AG$1,0))),0))</f>
        <v>0</v>
      </c>
      <c r="QF21" s="784">
        <f t="array" ref="QF21">IF('Customer Inputs'!$W$22="End",0,IFERROR(IF($PY21="SEGMENT",INDEX('Margin Guidence Table'!$A$1:$AG$10000,MATCH(1,('Margin Guidence Table'!$A$1:$A$10000=PW21)*('Margin Guidence Table'!$I$1:$I$10000&lt;=ROUND($PO$3,0))*('Margin Guidence Table'!$J$1:$J$10000&gt;=ROUND($PO$3,0)),0),MATCH("SELF_FUND_PCT_SALES",'Margin Guidence Table'!$A$1:$AG$1,0)),INDEX('Margin Guidence Table'!$A$1:$AG$10000,MATCH(1,('Margin Guidence Table'!$A$1:$A$10000=PW21)*('Margin Guidence Table'!$I$1:$I$10000&lt;=ROUND($PO$3,0))*('Margin Guidence Table'!$J$1:$J$10000&gt;=ROUND($PO$3,0)),0),MATCH("DEFAULT_SELF_FUND_PCT_SALES",'Margin Guidence Table'!$A$1:$AG$1,0))),0))</f>
        <v>0</v>
      </c>
      <c r="QG21" s="784">
        <f t="array" ref="QG21">IF('Customer Inputs'!$W$22="End",0,IF($PP$2="Existing",IFERROR(SUMIFS('Existing Customers'!$V:$V,'Existing Customers'!$H:$H,$PN21,'Existing Customers'!$A:$A,$PO$1)/SUMIFS('Existing Customers'!$Q:$Q,'Existing Customers'!$H:$H,$PN21,'Existing Customers'!$A:$A,$PO$1),0),IFERROR(IF($PY21="SEGMENT",INDEX('Margin Guidence Table'!$A$1:$AG$10000,MATCH(1,('Margin Guidence Table'!$A$1:$A$10000=PW21)*('Margin Guidence Table'!$I$1:$I$10000&lt;=ROUND($PO$3,0))*('Margin Guidence Table'!$J$1:$J$10000&gt;=ROUND($PO$3,0)),0),MATCH("CIA_MEDIAN_MARGIN_GUIDENCE",'Margin Guidence Table'!$A$1:$AG$1,0)),INDEX('Margin Guidence Table'!$A$1:$AG$10000,MATCH(1,('Margin Guidence Table'!$A$1:$A$10000=PW21)*('Margin Guidence Table'!$I$1:$I$10000&lt;=ROUND($PO$3,0))*('Margin Guidence Table'!$J$1:$J$10000&gt;=ROUND($PO$3,0)),0),MATCH("DEFAULT_CIA_MEDIAN_MARGIN_GUIDENCE",'Margin Guidence Table'!$A$1:$AG$1,0))),0)))</f>
        <v>0</v>
      </c>
      <c r="QH21" s="784"/>
      <c r="QI21" s="18">
        <f t="array" ref="QI21">IF('Customer Inputs'!$W$23="End",0,IFERROR(IF($QV21="SEGMENT",INDEX('Margin Guidence Table'!$A$1:$AG$10000,MATCH(1,('Margin Guidence Table'!$A$1:$A$10000=$QT21)*('Margin Guidence Table'!$I$1:$I$10000&lt;=ROUND($QL$3,0))*('Margin Guidence Table'!$J$1:$J$10000&gt;=ROUND($QL$3,0)),0),MATCH("PCT_SALES",'Margin Guidence Table'!$A$1:$AG$1,0)),INDEX('Margin Guidence Table'!$A$1:$AG$10000,MATCH(1,('Margin Guidence Table'!$A$1:$A$10000=$QT21)*('Margin Guidence Table'!$I$1:$I$10000&lt;=ROUND($QL$3,0))*('Margin Guidence Table'!$J$1:$J$10000&gt;=ROUND($QL$3,0)),0),MATCH("DEFAULT_PCT_SALES",'Margin Guidence Table'!$A$1:$AG$1,0))),0))</f>
        <v>0</v>
      </c>
      <c r="QJ21" s="1713" t="e">
        <f t="shared" si="66"/>
        <v>#DIV/0!</v>
      </c>
      <c r="QK21" s="99" t="s">
        <v>95</v>
      </c>
      <c r="QL21" s="91">
        <f>IF('Customer Inputs'!$W$23="End",0,IFERROR(IF(AND($QL$2&lt;&gt;"Enter Spend&gt;&gt;&gt;",$QM$2="EXISTING"),SUMIFS('Existing Customers'!$Q:$Q,'Existing Customers'!$A:$A,$QL$1,'Existing Customers'!$H:$H,$QK21)*$QL$4,$QL$3*$QJ21),0))</f>
        <v>0</v>
      </c>
      <c r="QM21" s="86">
        <f>IF('Customer Inputs'!$W$23="End",0,IFERROR(IF(AND($QL$2&lt;&gt;"Enter Spend&gt;&gt;&gt;",$QM$2="EXISTING"),SUMIFS('Existing Customers'!$N:$N,'Existing Customers'!$A:$A,$QL$1,'Existing Customers'!$H:$H,$QK21)*$QL$4,$QL21/$QW21),0))</f>
        <v>0</v>
      </c>
      <c r="QN21" s="92">
        <f>IF('Customer Inputs'!$W$23="End",0,IFERROR(IF(AND($QL$2&lt;&gt;"Enter Spend&gt;&gt;&gt;",$QM$2="EXISTING"),SUMIFS('Existing Customers'!$O:$O,'Existing Customers'!$H:$H,$QK21,'Existing Customers'!$A:$A,$QL$1)*$QL$4,$QM21*$QL$8),0))</f>
        <v>0</v>
      </c>
      <c r="QO21" s="92">
        <f>IF('Customer Inputs'!$W$23="End",0,IFERROR(IF(AND($QL$2&lt;&gt;"Enter Spend&gt;&gt;&gt;",$QM$2="EXISTING"),SUMIFS('Existing Customers'!$P:$P,'Existing Customers'!$A:$A,$QL$1,'Existing Customers'!$H:$H,$QK21)*$QL$4,$QL21/$QX21),0))</f>
        <v>0</v>
      </c>
      <c r="QP21" s="303">
        <f>IF('Customer Inputs'!$W$23="End",0,IFERROR(IF(AND($QL$2&lt;&gt;"Enter Spend&gt;&gt;&gt;",$QM$2="EXISTING"),SUMIFS('Existing Customers'!$V:$V,'Existing Customers'!$H:$H,$QK21,'Existing Customers'!$A:$A,$QL$1)*$QL$4,0),0))</f>
        <v>0</v>
      </c>
      <c r="QQ21" s="93">
        <f>IF('Customer Inputs'!$W$23="End",0,IFERROR(IF(AND($QL$2&lt;&gt;"Enter Spend&gt;&gt;&gt;",$QM$2="EXISTING"),SUMIFS('Existing Customers'!$R:$R,'Existing Customers'!$H:$H,$QK21,'Existing Customers'!$A:$A,$QL$1)*$QL$4,0),0))</f>
        <v>0</v>
      </c>
      <c r="QR21" s="780">
        <f>IF('Customer Inputs'!$W$23="End",0,IFERROR(IF(AND($QL$2&lt;&gt;"Enter Spend&gt;&gt;&gt;",$QM$2="EXISTING"),SUMIFS('Existing Customers'!$S:$S,'Existing Customers'!$H:$H,$QK21,'Existing Customers'!$A:$A,$QL$1)/SUMIFS('Existing Customers'!$Q:$Q,'Existing Customers'!$A:$A,$QL$1,'Existing Customers'!$H:$H,$QK21),RB21),0))</f>
        <v>0</v>
      </c>
      <c r="QS21" s="780">
        <f>IF('Customer Inputs'!$W$23="End",0,IFERROR(IF(AND($QL$2&lt;&gt;"Enter Spend&gt;&gt;&gt;",$QM$2="EXISTING"),SUMIFS('Existing Customers'!$U:$U,'Existing Customers'!$H:$H,$QK21,'Existing Customers'!$A:$A,$QL$1)/SUMIFS('Existing Customers'!$Q:$Q,'Existing Customers'!$A:$A,$QL$1,'Existing Customers'!$H:$H,$QK21),RC21),0))</f>
        <v>0</v>
      </c>
      <c r="QT21" s="783" t="e">
        <f>_xlfn.CONCAT('Customer Inputs'!$AH$23,"_",QK21)</f>
        <v>#N/A</v>
      </c>
      <c r="QU21" s="783">
        <f t="array" ref="QU21">IF('Customer Inputs'!$W$23="End",0,IFERROR(INDEX('Margin Guidence Table'!$A$1:$AG$10000,MATCH(1,('Margin Guidence Table'!$A$1:$A$10000=QT21)*('Margin Guidence Table'!$I$1:$I$10000&lt;=ROUND($QL$3,0))*('Margin Guidence Table'!$J$1:$J$10000&gt;=ROUND($QL$3,0)),0),MATCH("DATA_POINTS",'Margin Guidence Table'!$A$1:$AG$1,0)),0))</f>
        <v>0</v>
      </c>
      <c r="QV21" s="780" t="str">
        <f t="shared" si="67"/>
        <v>DEFAULT</v>
      </c>
      <c r="QW21" s="780">
        <f t="array" ref="QW21">IF('Customer Inputs'!$W$23="End",0,IFERROR(IF($QV21="SEGMENT",INDEX('Margin Guidence Table'!$A$1:$AG$10000,MATCH(1,('Margin Guidence Table'!$A$1:$A$10000=QT21)*('Margin Guidence Table'!$I$1:$I$10000&lt;=ROUND($QL$3,0))*('Margin Guidence Table'!$J$1:$J$10000&gt;=ROUND($QL$3,0)),0),MATCH("SALES_CASE",'Margin Guidence Table'!$A$1:$AG$1,0)),INDEX('Margin Guidence Table'!$A$1:$AG$10000,MATCH(1,('Margin Guidence Table'!$A$1:$A$10000=QT21)*('Margin Guidence Table'!$I$1:$I$10000&lt;=ROUND($QL$3,0))*('Margin Guidence Table'!$J$1:$J$10000&gt;=ROUND($QL$3,0)),0),MATCH("DEFAULT_SALES_CASE",'Margin Guidence Table'!$A$1:$AG$1,0))),0))</f>
        <v>0</v>
      </c>
      <c r="QX21" s="780">
        <f t="array" ref="QX21">IF('Customer Inputs'!$W$23="End",0,IFERROR(IF($QV21="SEGMENT",INDEX('Margin Guidence Table'!$A$1:$AG$10000,MATCH(1,('Margin Guidence Table'!$A$1:$A$10000=QT21)*('Margin Guidence Table'!$I$1:$I$10000&lt;=ROUND($QL$3,0))*('Margin Guidence Table'!$J$1:$J$10000&gt;=ROUND($QL$3,0)),0),MATCH("SALES_LBS",'Margin Guidence Table'!$A$1:$AG$1,0)),INDEX('Margin Guidence Table'!$A$1:$AG$10000,MATCH(1,('Margin Guidence Table'!$A$1:$A$10000=QT21)*('Margin Guidence Table'!$I$1:$I$10000&lt;=ROUND($QL$3,0))*('Margin Guidence Table'!$J$1:$J$10000&gt;=ROUND($QL$3,0)),0),MATCH("DEFAULT_SALES_LBS",'Margin Guidence Table'!$A$1:$AG$1,0))),0))</f>
        <v>0</v>
      </c>
      <c r="QY21" s="784">
        <f t="array" ref="QY21">IF('Customer Inputs'!$W$23="End",0,IFERROR(IF($QV21="SEGMENT",INDEX('Margin Guidence Table'!$A$1:$AG$10000,MATCH(1,('Margin Guidence Table'!$A$1:$A$10000=QT21)*('Margin Guidence Table'!$I$1:$I$10000&lt;=ROUND($QL$3,0))*('Margin Guidence Table'!$J$1:$J$10000&gt;=ROUND($QL$3,0)),0),MATCH("MDA_MIN_MARGIN_GUIDENCE",'Margin Guidence Table'!$A$1:$AG$1,0)),INDEX('Margin Guidence Table'!$A$1:$AG$10000,MATCH(1,('Margin Guidence Table'!$A$1:$A$10000=QT21)*('Margin Guidence Table'!$I$1:$I$10000&lt;=ROUND($QL$3,0))*('Margin Guidence Table'!$J$1:$J$10000&gt;=ROUND($QL$3,0)),0),MATCH("DEFAULT_MDA_MIN_MARGIN_GUIDENCE",'Margin Guidence Table'!$A$1:$AG$1,0))),0))</f>
        <v>0</v>
      </c>
      <c r="QZ21" s="784">
        <f t="array" ref="QZ21">IF('Customer Inputs'!$W$23="End",0,IFERROR(IF($QV21="SEGMENT",INDEX('Margin Guidence Table'!$A$1:$AG$10000,MATCH(1,('Margin Guidence Table'!$A$1:$A$10000=QT21)*('Margin Guidence Table'!$I$1:$I$10000&lt;=ROUND($QL$3,0))*('Margin Guidence Table'!$J$1:$J$10000&gt;=ROUND($QL$3,0)),0),MATCH("MDA_MEDIAN_MARGIN_GUIDENCE",'Margin Guidence Table'!$A$1:$AG$1,0)),INDEX('Margin Guidence Table'!$A$1:$AG$10000,MATCH(1,('Margin Guidence Table'!$A$1:$A$10000=QT21)*('Margin Guidence Table'!$I$1:$I$10000&lt;=ROUND($QL$3,0))*('Margin Guidence Table'!$J$1:$J$10000&gt;=ROUND($QL$3,0)),0),MATCH("DEFAULT_MDA_MEDIAN_MARGIN_GUIDENCE",'Margin Guidence Table'!$A$1:$AG$1,0))),0))</f>
        <v>0</v>
      </c>
      <c r="RA21" s="784">
        <f t="array" ref="RA21">IF('Customer Inputs'!$W$23="End",0,IFERROR(IF($QV21="SEGMENT",INDEX('Margin Guidence Table'!$A$1:$AG$10000,MATCH(1,('Margin Guidence Table'!$A$1:$A$10000=QT21)*('Margin Guidence Table'!$I$1:$I$10000&lt;=ROUND($QL$3,0))*('Margin Guidence Table'!$J$1:$J$10000&gt;=ROUND($QL$3,0)),0),MATCH("MDA_MAX_MARGIN_GUIDENCE",'Margin Guidence Table'!$A$1:$AG$1,0)),INDEX('Margin Guidence Table'!$A$1:$AG$10000,MATCH(1,('Margin Guidence Table'!$A$1:$A$10000=QT21)*('Margin Guidence Table'!$I$1:$I$10000&lt;=ROUND($QL$3,0))*('Margin Guidence Table'!$J$1:$J$10000&gt;=ROUND($QL$3,0)),0),MATCH("DEFAULT_MDA_MAX_MARGIN_GUIDENCE",'Margin Guidence Table'!$A$1:$AG$1,0))),0))</f>
        <v>0</v>
      </c>
      <c r="RB21" s="784">
        <f t="array" ref="RB21">IF('Customer Inputs'!$W$23="End",0,IFERROR(IF($QV21="SEGMENT",INDEX('Margin Guidence Table'!$A$1:$AG$10000,MATCH(1,('Margin Guidence Table'!$A$1:$A$10000=QT21)*('Margin Guidence Table'!$I$1:$I$10000&lt;=ROUND($QL$3,0))*('Margin Guidence Table'!$J$1:$J$10000&gt;=ROUND($QL$3,0)),0),MATCH("PA_PCT_SALES",'Margin Guidence Table'!$A$1:$AG$1,0)),INDEX('Margin Guidence Table'!$A$1:$AG$10000,MATCH(1,('Margin Guidence Table'!$A$1:$A$10000=QT21)*('Margin Guidence Table'!$I$1:$I$10000&lt;=ROUND($QL$3,0))*('Margin Guidence Table'!$J$1:$J$10000&gt;=ROUND($QL$3,0)),0),MATCH("DEFAULT_PA_PCT_SALES",'Margin Guidence Table'!$A$1:$AG$1,0))),0))</f>
        <v>0</v>
      </c>
      <c r="RC21" s="784">
        <f t="array" ref="RC21">IF('Customer Inputs'!$W$23="End",0,IFERROR(IF($QV21="SEGMENT",INDEX('Margin Guidence Table'!$A$1:$AG$10000,MATCH(1,('Margin Guidence Table'!$A$1:$A$10000=QT21)*('Margin Guidence Table'!$I$1:$I$10000&lt;=ROUND($QL$3,0))*('Margin Guidence Table'!$J$1:$J$10000&gt;=ROUND($QL$3,0)),0),MATCH("SELF_FUND_PCT_SALES",'Margin Guidence Table'!$A$1:$AG$1,0)),INDEX('Margin Guidence Table'!$A$1:$AG$10000,MATCH(1,('Margin Guidence Table'!$A$1:$A$10000=QT21)*('Margin Guidence Table'!$I$1:$I$10000&lt;=ROUND($QL$3,0))*('Margin Guidence Table'!$J$1:$J$10000&gt;=ROUND($QL$3,0)),0),MATCH("DEFAULT_SELF_FUND_PCT_SALES",'Margin Guidence Table'!$A$1:$AG$1,0))),0))</f>
        <v>0</v>
      </c>
      <c r="RD21" s="784">
        <f t="array" ref="RD21">IF('Customer Inputs'!$W$23="End",0,IF($QM$2="Existing",IFERROR(SUMIFS('Existing Customers'!$V:$V,'Existing Customers'!$H:$H,$QK21,'Existing Customers'!$A:$A,$QL$1)/SUMIFS('Existing Customers'!$Q:$Q,'Existing Customers'!$H:$H,$QK21,'Existing Customers'!$A:$A,$QL$1),0),IFERROR(IF($QV21="SEGMENT",INDEX('Margin Guidence Table'!$A$1:$AG$10000,MATCH(1,('Margin Guidence Table'!$A$1:$A$10000=QT21)*('Margin Guidence Table'!$I$1:$I$10000&lt;=ROUND($QL$3,0))*('Margin Guidence Table'!$J$1:$J$10000&gt;=ROUND($QL$3,0)),0),MATCH("CIA_MEDIAN_MARGIN_GUIDENCE",'Margin Guidence Table'!$A$1:$AG$1,0)),INDEX('Margin Guidence Table'!$A$1:$AG$10000,MATCH(1,('Margin Guidence Table'!$A$1:$A$10000=QT21)*('Margin Guidence Table'!$I$1:$I$10000&lt;=ROUND($QL$3,0))*('Margin Guidence Table'!$J$1:$J$10000&gt;=ROUND($QL$3,0)),0),MATCH("DEFAULT_CIA_MEDIAN_MARGIN_GUIDENCE",'Margin Guidence Table'!$A$1:$AG$1,0))),0)))</f>
        <v>0</v>
      </c>
      <c r="RE21" s="784"/>
      <c r="RF21" s="18">
        <f t="array" ref="RF21">IF('Customer Inputs'!$W$24="End",0,IFERROR(IF($RS21="SEGMENT",INDEX('Margin Guidence Table'!$A$1:$AG$10000,MATCH(1,('Margin Guidence Table'!$A$1:$A$10000=$RQ21)*('Margin Guidence Table'!$I$1:$I$10000&lt;=ROUND($RI$3,0))*('Margin Guidence Table'!$J$1:$J$10000&gt;=ROUND($RI$3,0)),0),MATCH("PCT_SALES",'Margin Guidence Table'!$A$1:$AG$1,0)),INDEX('Margin Guidence Table'!$A$1:$AG$10000,MATCH(1,('Margin Guidence Table'!$A$1:$A$10000=$RQ21)*('Margin Guidence Table'!$I$1:$I$10000&lt;=ROUND($RI$3,0))*('Margin Guidence Table'!$J$1:$J$10000&gt;=ROUND($RI$3,0)),0),MATCH("DEFAULT_PCT_SALES",'Margin Guidence Table'!$A$1:$AG$1,0))),0))</f>
        <v>0</v>
      </c>
      <c r="RG21" s="1713" t="e">
        <f t="shared" si="68"/>
        <v>#DIV/0!</v>
      </c>
      <c r="RH21" s="99" t="s">
        <v>95</v>
      </c>
      <c r="RI21" s="91">
        <f>IF('Customer Inputs'!$W$24="End",0,IFERROR(IF(AND($RI$2&lt;&gt;"Enter Spend&gt;&gt;&gt;",$RJ$2="EXISTING"),SUMIFS('Existing Customers'!$Q:$Q,'Existing Customers'!$A:$A,$RI$1,'Existing Customers'!$H:$H,$RH21)*$RI$4,$RI$3*$RG21),0))</f>
        <v>0</v>
      </c>
      <c r="RJ21" s="86">
        <f>IF('Customer Inputs'!$W$24="End",0,IFERROR(IF(AND($RI$2&lt;&gt;"Enter Spend&gt;&gt;&gt;",$RJ$2="EXISTING"),SUMIFS('Existing Customers'!$N:$N,'Existing Customers'!$A:$A,$RI$1,'Existing Customers'!$H:$H,$RH21)*$RI$4,$RI21/$RT21),0))</f>
        <v>0</v>
      </c>
      <c r="RK21" s="92">
        <f>IF('Customer Inputs'!$W$24="End",0,IFERROR(IF(AND($RI$2&lt;&gt;"Enter Spend&gt;&gt;&gt;",$RJ$2="EXISTING"),SUMIFS('Existing Customers'!$O:$O,'Existing Customers'!$H:$H,$RH21,'Existing Customers'!$A:$A,$RI$1)*$RI$4,$RJ21*$RI$8),0))</f>
        <v>0</v>
      </c>
      <c r="RL21" s="92">
        <f>IF('Customer Inputs'!$W$24="End",0,IFERROR(IF(AND($RI$2&lt;&gt;"Enter Spend&gt;&gt;&gt;",$RJ$2="EXISTING"),SUMIFS('Existing Customers'!$P:$P,'Existing Customers'!$A:$A,$RI$1,'Existing Customers'!$H:$H,$RH21)*$RI$4,$RI21/$RU21),0))</f>
        <v>0</v>
      </c>
      <c r="RM21" s="303">
        <f>IF('Customer Inputs'!$W$24="End",0,IFERROR(IF(AND($RI$2&lt;&gt;"Enter Spend&gt;&gt;&gt;",$RJ$2="EXISTING"),SUMIFS('Existing Customers'!$V:$V,'Existing Customers'!$H:$H,$RH21,'Existing Customers'!$A:$A,$RI$1)*$RI$4,0),0))</f>
        <v>0</v>
      </c>
      <c r="RN21" s="93">
        <f>IF('Customer Inputs'!$W$24="End",0,IFERROR(IF(AND($RI$2&lt;&gt;"Enter Spend&gt;&gt;&gt;",$RJ$2="EXISTING"),SUMIFS('Existing Customers'!$R:$R,'Existing Customers'!$H:$H,$RH21,'Existing Customers'!$A:$A,$RI$1)*$RI$4,0),0))</f>
        <v>0</v>
      </c>
      <c r="RO21" s="780">
        <f>IF('Customer Inputs'!$W$24="End",0,IFERROR(IF(AND($RI$2&lt;&gt;"Enter Spend&gt;&gt;&gt;",$RJ$2="EXISTING"),SUMIFS('Existing Customers'!$S:$S,'Existing Customers'!$H:$H,$RH21,'Existing Customers'!$A:$A,$RI$1)/SUMIFS('Existing Customers'!$Q:$Q,'Existing Customers'!$A:$A,$RI$1,'Existing Customers'!$H:$H,$RH21),RY21),0))</f>
        <v>0</v>
      </c>
      <c r="RP21" s="780">
        <f>IF('Customer Inputs'!$W$24="End",0,IFERROR(IF(AND($RI$2&lt;&gt;"Enter Spend&gt;&gt;&gt;",$RJ$2="EXISTING"),SUMIFS('Existing Customers'!$U:$U,'Existing Customers'!$H:$H,$RH21,'Existing Customers'!$A:$A,$RI$1)/SUMIFS('Existing Customers'!$Q:$Q,'Existing Customers'!$A:$A,$RI$1,'Existing Customers'!$H:$H,$RH21),RZ21),0))</f>
        <v>0</v>
      </c>
      <c r="RQ21" s="783" t="e">
        <f>_xlfn.CONCAT('Customer Inputs'!$AH$24,"_",RH21)</f>
        <v>#N/A</v>
      </c>
      <c r="RR21" s="783">
        <f t="array" ref="RR21">IF('Customer Inputs'!$W$24="End",0,IFERROR(INDEX('Margin Guidence Table'!$A$1:$AG$10000,MATCH(1,('Margin Guidence Table'!$A$1:$A$10000=RQ21)*('Margin Guidence Table'!$I$1:$I$10000&lt;=ROUND($RI$3,0))*('Margin Guidence Table'!$J$1:$J$10000&gt;=ROUND($RI$3,0)),0),MATCH("DATA_POINTS",'Margin Guidence Table'!$A$1:$AG$1,0)),0))</f>
        <v>0</v>
      </c>
      <c r="RS21" s="780" t="str">
        <f t="shared" si="69"/>
        <v>DEFAULT</v>
      </c>
      <c r="RT21" s="780">
        <f t="array" ref="RT21">IF('Customer Inputs'!$W$24="End",0,IFERROR(IF($RS21="SEGMENT",INDEX('Margin Guidence Table'!$A$1:$AG$10000,MATCH(1,('Margin Guidence Table'!$A$1:$A$10000=RQ21)*('Margin Guidence Table'!$I$1:$I$10000&lt;=ROUND($RI$3,0))*('Margin Guidence Table'!$J$1:$J$10000&gt;=ROUND($RI$3,0)),0),MATCH("SALES_CASE",'Margin Guidence Table'!$A$1:$AG$1,0)),INDEX('Margin Guidence Table'!$A$1:$AG$10000,MATCH(1,('Margin Guidence Table'!$A$1:$A$10000=RQ21)*('Margin Guidence Table'!$I$1:$I$10000&lt;=ROUND($RI$3,0))*('Margin Guidence Table'!$J$1:$J$10000&gt;=ROUND($RI$3,0)),0),MATCH("DEFAULT_SALES_CASE",'Margin Guidence Table'!$A$1:$AG$1,0))),0))</f>
        <v>0</v>
      </c>
      <c r="RU21" s="780">
        <f t="array" ref="RU21">IF('Customer Inputs'!$W$24="End",0,IFERROR(IF($RS21="SEGMENT",INDEX('Margin Guidence Table'!$A$1:$AG$10000,MATCH(1,('Margin Guidence Table'!$A$1:$A$10000=RQ21)*('Margin Guidence Table'!$I$1:$I$10000&lt;=ROUND($RI$3,0))*('Margin Guidence Table'!$J$1:$J$10000&gt;=ROUND($RI$3,0)),0),MATCH("SALES_LBS",'Margin Guidence Table'!$A$1:$AG$1,0)),INDEX('Margin Guidence Table'!$A$1:$AG$10000,MATCH(1,('Margin Guidence Table'!$A$1:$A$10000=RQ21)*('Margin Guidence Table'!$I$1:$I$10000&lt;=ROUND($RI$3,0))*('Margin Guidence Table'!$J$1:$J$10000&gt;=ROUND($RI$3,0)),0),MATCH("DEFAULT_SALES_LBS",'Margin Guidence Table'!$A$1:$AG$1,0))),0))</f>
        <v>0</v>
      </c>
      <c r="RV21" s="784">
        <f t="array" ref="RV21">IF('Customer Inputs'!$W$24="End",0,IFERROR(IF($RS21="SEGMENT",INDEX('Margin Guidence Table'!$A$1:$AG$10000,MATCH(1,('Margin Guidence Table'!$A$1:$A$10000=RQ21)*('Margin Guidence Table'!$I$1:$I$10000&lt;=ROUND($RI$3,0))*('Margin Guidence Table'!$J$1:$J$10000&gt;=ROUND($RI$3,0)),0),MATCH("MDA_MIN_MARGIN_GUIDENCE",'Margin Guidence Table'!$A$1:$AG$1,0)),INDEX('Margin Guidence Table'!$A$1:$AG$10000,MATCH(1,('Margin Guidence Table'!$A$1:$A$10000=RQ21)*('Margin Guidence Table'!$I$1:$I$10000&lt;=ROUND($RI$3,0))*('Margin Guidence Table'!$J$1:$J$10000&gt;=ROUND($RI$3,0)),0),MATCH("DEFAULT_MDA_MIN_MARGIN_GUIDENCE",'Margin Guidence Table'!$A$1:$AG$1,0))),0))</f>
        <v>0</v>
      </c>
      <c r="RW21" s="784">
        <f t="array" ref="RW21">IF('Customer Inputs'!$W$24="End",0,IFERROR(IF($RS21="SEGMENT",INDEX('Margin Guidence Table'!$A$1:$AG$10000,MATCH(1,('Margin Guidence Table'!$A$1:$A$10000=RQ21)*('Margin Guidence Table'!$I$1:$I$10000&lt;=ROUND($RI$3,0))*('Margin Guidence Table'!$J$1:$J$10000&gt;=ROUND($RI$3,0)),0),MATCH("MDA_MEDIAN_MARGIN_GUIDENCE",'Margin Guidence Table'!$A$1:$AG$1,0)),INDEX('Margin Guidence Table'!$A$1:$AG$10000,MATCH(1,('Margin Guidence Table'!$A$1:$A$10000=RQ21)*('Margin Guidence Table'!$I$1:$I$10000&lt;=ROUND($RI$3,0))*('Margin Guidence Table'!$J$1:$J$10000&gt;=ROUND($RI$3,0)),0),MATCH("DEFAULT_MDA_MEDIAN_MARGIN_GUIDENCE",'Margin Guidence Table'!$A$1:$AG$1,0))),0))</f>
        <v>0</v>
      </c>
      <c r="RX21" s="784">
        <f t="array" ref="RX21">IF('Customer Inputs'!$W$24="End",0,IFERROR(IF($RS21="SEGMENT",INDEX('Margin Guidence Table'!$A$1:$AG$10000,MATCH(1,('Margin Guidence Table'!$A$1:$A$10000=RQ21)*('Margin Guidence Table'!$I$1:$I$10000&lt;=ROUND($RI$3,0))*('Margin Guidence Table'!$J$1:$J$10000&gt;=ROUND($RI$3,0)),0),MATCH("MDA_MAX_MARGIN_GUIDENCE",'Margin Guidence Table'!$A$1:$AG$1,0)),INDEX('Margin Guidence Table'!$A$1:$AG$10000,MATCH(1,('Margin Guidence Table'!$A$1:$A$10000=RQ21)*('Margin Guidence Table'!$I$1:$I$10000&lt;=ROUND($RI$3,0))*('Margin Guidence Table'!$J$1:$J$10000&gt;=ROUND($RI$3,0)),0),MATCH("DEFAULT_MDA_MAX_MARGIN_GUIDENCE",'Margin Guidence Table'!$A$1:$AG$1,0))),0))</f>
        <v>0</v>
      </c>
      <c r="RY21" s="784">
        <f t="array" ref="RY21">IF('Customer Inputs'!$W$24="End",0,IFERROR(IF($RS21="SEGMENT",INDEX('Margin Guidence Table'!$A$1:$AG$10000,MATCH(1,('Margin Guidence Table'!$A$1:$A$10000=RQ21)*('Margin Guidence Table'!$I$1:$I$10000&lt;=ROUND($RI$3,0))*('Margin Guidence Table'!$J$1:$J$10000&gt;=ROUND($RI$3,0)),0),MATCH("PA_PCT_SALES",'Margin Guidence Table'!$A$1:$AG$1,0)),INDEX('Margin Guidence Table'!$A$1:$AG$10000,MATCH(1,('Margin Guidence Table'!$A$1:$A$10000=RQ21)*('Margin Guidence Table'!$I$1:$I$10000&lt;=ROUND($RI$3,0))*('Margin Guidence Table'!$J$1:$J$10000&gt;=ROUND($RI$3,0)),0),MATCH("DEFAULT_PA_PCT_SALES",'Margin Guidence Table'!$A$1:$AG$1,0))),0))</f>
        <v>0</v>
      </c>
      <c r="RZ21" s="784">
        <f t="array" ref="RZ21">IF('Customer Inputs'!$W$24="End",0,IFERROR(IF($RS21="SEGMENT",INDEX('Margin Guidence Table'!$A$1:$AG$10000,MATCH(1,('Margin Guidence Table'!$A$1:$A$10000=RQ21)*('Margin Guidence Table'!$I$1:$I$10000&lt;=ROUND($RI$3,0))*('Margin Guidence Table'!$J$1:$J$10000&gt;=ROUND($RI$3,0)),0),MATCH("SELF_FUND_PCT_SALES",'Margin Guidence Table'!$A$1:$AG$1,0)),INDEX('Margin Guidence Table'!$A$1:$AG$10000,MATCH(1,('Margin Guidence Table'!$A$1:$A$10000=RQ21)*('Margin Guidence Table'!$I$1:$I$10000&lt;=ROUND($RI$3,0))*('Margin Guidence Table'!$J$1:$J$10000&gt;=ROUND($RI$3,0)),0),MATCH("DEFAULT_SELF_FUND_PCT_SALES",'Margin Guidence Table'!$A$1:$AG$1,0))),0))</f>
        <v>0</v>
      </c>
      <c r="SA21" s="784">
        <f t="array" ref="SA21">IF('Customer Inputs'!$W$24="End",0,IF($RJ$2="Existing",IFERROR(SUMIFS('Existing Customers'!$V:$V,'Existing Customers'!$H:$H,$RH21,'Existing Customers'!$A:$A,$RI$1)/SUMIFS('Existing Customers'!$Q:$Q,'Existing Customers'!$H:$H,$RH21,'Existing Customers'!$A:$A,$RI$1),0),IFERROR(IF($RS21="SEGMENT",INDEX('Margin Guidence Table'!$A$1:$AG$10000,MATCH(1,('Margin Guidence Table'!$A$1:$A$10000=RQ21)*('Margin Guidence Table'!$I$1:$I$10000&lt;=ROUND($RI$3,0))*('Margin Guidence Table'!$J$1:$J$10000&gt;=ROUND($RI$3,0)),0),MATCH("CIA_MEDIAN_MARGIN_GUIDENCE",'Margin Guidence Table'!$A$1:$AG$1,0)),INDEX('Margin Guidence Table'!$A$1:$AG$10000,MATCH(1,('Margin Guidence Table'!$A$1:$A$10000=RQ21)*('Margin Guidence Table'!$I$1:$I$10000&lt;=ROUND($RI$3,0))*('Margin Guidence Table'!$J$1:$J$10000&gt;=ROUND($RI$3,0)),0),MATCH("DEFAULT_CIA_MEDIAN_MARGIN_GUIDENCE",'Margin Guidence Table'!$A$1:$AG$1,0))),0)))</f>
        <v>0</v>
      </c>
      <c r="SB21" s="784"/>
      <c r="SC21" s="18">
        <f t="array" ref="SC21">IF('Customer Inputs'!$W$25="End",0,IFERROR(IF($SP21="SEGMENT",INDEX('Margin Guidence Table'!$A$1:$AG$10000,MATCH(1,('Margin Guidence Table'!$A$1:$A$10000=$SN21)*('Margin Guidence Table'!$I$1:$I$10000&lt;=ROUND($SF$3,0))*('Margin Guidence Table'!$J$1:$J$10000&gt;=ROUND($SF$3,0)),0),MATCH("PCT_SALES",'Margin Guidence Table'!$A$1:$AG$1,0)),INDEX('Margin Guidence Table'!$A$1:$AG$10000,MATCH(1,('Margin Guidence Table'!$A$1:$A$10000=$SN21)*('Margin Guidence Table'!$I$1:$I$10000&lt;=ROUND($SF$3,0))*('Margin Guidence Table'!$J$1:$J$10000&gt;=ROUND($SF$3,0)),0),MATCH("DEFAULT_PCT_SALES",'Margin Guidence Table'!$A$1:$AG$1,0))),0))</f>
        <v>0</v>
      </c>
      <c r="SD21" s="1713" t="e">
        <f t="shared" si="70"/>
        <v>#DIV/0!</v>
      </c>
      <c r="SE21" s="99" t="s">
        <v>95</v>
      </c>
      <c r="SF21" s="91">
        <f>IF('Customer Inputs'!$W$25="End",0,IFERROR(IF(AND($SF$2&lt;&gt;"Enter Spend&gt;&gt;&gt;",$SG$2="EXISTING"),SUMIFS('Existing Customers'!$Q:$Q,'Existing Customers'!$A:$A,$SF$1,'Existing Customers'!$H:$H,$SE21)*$SF$4,$SF$3*$SD21),0))</f>
        <v>0</v>
      </c>
      <c r="SG21" s="86">
        <f>IF('Customer Inputs'!$W$25="End",0,IFERROR(IF(AND($SF$2&lt;&gt;"Enter Spend&gt;&gt;&gt;",$SG$2="EXISTING"),SUMIFS('Existing Customers'!$N:$N,'Existing Customers'!$A:$A,$SF$1,'Existing Customers'!$H:$H,$SE21)*$SF$4,$SF21/$SQ21),0))</f>
        <v>0</v>
      </c>
      <c r="SH21" s="92">
        <f>IF('Customer Inputs'!$W$25="End",0,IFERROR(IF(AND($SF$2&lt;&gt;"Enter Spend&gt;&gt;&gt;",$SG$2="EXISTING"),SUMIFS('Existing Customers'!$O:$O,'Existing Customers'!$H:$H,$SE21,'Existing Customers'!$A:$A,$SF$1)*$SF$4,$SG21*$SF$8),0))</f>
        <v>0</v>
      </c>
      <c r="SI21" s="92">
        <f>IF('Customer Inputs'!$W$25="End",0,IFERROR(IF(AND($SF$2&lt;&gt;"Enter Spend&gt;&gt;&gt;",$SG$2="EXISTING"),SUMIFS('Existing Customers'!$P:$P,'Existing Customers'!$A:$A,$SF$1,'Existing Customers'!$H:$H,$SE21)*$SF$4,$SF21/$SR21),0))</f>
        <v>0</v>
      </c>
      <c r="SJ21" s="303">
        <f>IF('Customer Inputs'!$W$25="End",0,IFERROR(IF(AND($SF$2&lt;&gt;"Enter Spend&gt;&gt;&gt;",$SG$2="EXISTING"),SUMIFS('Existing Customers'!$V:$V,'Existing Customers'!$H:$H,$SE21,'Existing Customers'!$A:$A,$SF$1)*$SF$4,0),0))</f>
        <v>0</v>
      </c>
      <c r="SK21" s="93">
        <f>IF('Customer Inputs'!$W$25="End",0,IFERROR(IF(AND($SF$2&lt;&gt;"Enter Spend&gt;&gt;&gt;",$SG$2="EXISTING"),SUMIFS('Existing Customers'!$R:$R,'Existing Customers'!$H:$H,$SE21,'Existing Customers'!$A:$A,$SF$1)*$SF$4,0),0))</f>
        <v>0</v>
      </c>
      <c r="SL21" s="780">
        <f>IF('Customer Inputs'!$W$25="End",0,IFERROR(IF(AND($SF$2&lt;&gt;"Enter Spend&gt;&gt;&gt;",$SG$2="EXISTING"),SUMIFS('Existing Customers'!$S:$S,'Existing Customers'!$H:$H,$SE21,'Existing Customers'!$A:$A,$SF$1)/SUMIFS('Existing Customers'!$Q:$Q,'Existing Customers'!$A:$A,$SF$1,'Existing Customers'!$H:$H,$SE21),SV21),0))</f>
        <v>0</v>
      </c>
      <c r="SM21" s="780">
        <f>IF('Customer Inputs'!$W$25="End",0,IFERROR(IF(AND($SF$2&lt;&gt;"Enter Spend&gt;&gt;&gt;",$SG$2="EXISTING"),SUMIFS('Existing Customers'!$U:$U,'Existing Customers'!$H:$H,$SE21,'Existing Customers'!$A:$A,$SF$1)/SUMIFS('Existing Customers'!$Q:$Q,'Existing Customers'!$A:$A,$SF$1,'Existing Customers'!$H:$H,$SE21),SW21),0))</f>
        <v>0</v>
      </c>
      <c r="SN21" s="783" t="e">
        <f>_xlfn.CONCAT('Customer Inputs'!$AH$25,"_",SE21)</f>
        <v>#N/A</v>
      </c>
      <c r="SO21" s="783">
        <f t="array" ref="SO21">IF('Customer Inputs'!$W$25="End",0,IFERROR(INDEX('Margin Guidence Table'!$A$1:$AG$10000,MATCH(1,('Margin Guidence Table'!$A$1:$A$10000=SN21)*('Margin Guidence Table'!$I$1:$I$10000&lt;=ROUND($SF$3,0))*('Margin Guidence Table'!$J$1:$J$10000&gt;=ROUND($SF$3,0)),0),MATCH("DATA_POINTS",'Margin Guidence Table'!$A$1:$AG$1,0)),0))</f>
        <v>0</v>
      </c>
      <c r="SP21" s="780" t="str">
        <f t="shared" si="71"/>
        <v>DEFAULT</v>
      </c>
      <c r="SQ21" s="780">
        <f t="array" ref="SQ21">IF('Customer Inputs'!$W$25="End",0,IFERROR(IF($SP21="SEGMENT",INDEX('Margin Guidence Table'!$A$1:$AG$10000,MATCH(1,('Margin Guidence Table'!$A$1:$A$10000=SN21)*('Margin Guidence Table'!$I$1:$I$10000&lt;=ROUND($SF$3,0))*('Margin Guidence Table'!$J$1:$J$10000&gt;=ROUND($SF$3,0)),0),MATCH("SALES_CASE",'Margin Guidence Table'!$A$1:$AG$1,0)),INDEX('Margin Guidence Table'!$A$1:$AG$10000,MATCH(1,('Margin Guidence Table'!$A$1:$A$10000=SN21)*('Margin Guidence Table'!$I$1:$I$10000&lt;=ROUND($SF$3,0))*('Margin Guidence Table'!$J$1:$J$10000&gt;=ROUND($SF$3,0)),0),MATCH("DEFAULT_SALES_CASE",'Margin Guidence Table'!$A$1:$AG$1,0))),0))</f>
        <v>0</v>
      </c>
      <c r="SR21" s="780">
        <f t="array" ref="SR21">IF('Customer Inputs'!$W$25="End",0,IFERROR(IF($SP21="SEGMENT",INDEX('Margin Guidence Table'!$A$1:$AG$10000,MATCH(1,('Margin Guidence Table'!$A$1:$A$10000=SN21)*('Margin Guidence Table'!$I$1:$I$10000&lt;=ROUND($SF$3,0))*('Margin Guidence Table'!$J$1:$J$10000&gt;=ROUND($SF$3,0)),0),MATCH("SALES_LBS",'Margin Guidence Table'!$A$1:$AG$1,0)),INDEX('Margin Guidence Table'!$A$1:$AG$10000,MATCH(1,('Margin Guidence Table'!$A$1:$A$10000=SN21)*('Margin Guidence Table'!$I$1:$I$10000&lt;=ROUND($SF$3,0))*('Margin Guidence Table'!$J$1:$J$10000&gt;=ROUND($SF$3,0)),0),MATCH("DEFAULT_SALES_LBS",'Margin Guidence Table'!$A$1:$AG$1,0))),0))</f>
        <v>0</v>
      </c>
      <c r="SS21" s="784">
        <f t="array" ref="SS21">IF('Customer Inputs'!$W$25="End",0,IFERROR(IF($SP21="SEGMENT",INDEX('Margin Guidence Table'!$A$1:$AG$10000,MATCH(1,('Margin Guidence Table'!$A$1:$A$10000=SN21)*('Margin Guidence Table'!$I$1:$I$10000&lt;=ROUND($SF$3,0))*('Margin Guidence Table'!$J$1:$J$10000&gt;=ROUND($SF$3,0)),0),MATCH("MDA_MIN_MARGIN_GUIDENCE",'Margin Guidence Table'!$A$1:$AG$1,0)),INDEX('Margin Guidence Table'!$A$1:$AG$10000,MATCH(1,('Margin Guidence Table'!$A$1:$A$10000=SN21)*('Margin Guidence Table'!$I$1:$I$10000&lt;=ROUND($SF$3,0))*('Margin Guidence Table'!$J$1:$J$10000&gt;=ROUND($SF$3,0)),0),MATCH("DEFAULT_MDA_MIN_MARGIN_GUIDENCE",'Margin Guidence Table'!$A$1:$AG$1,0))),0))</f>
        <v>0</v>
      </c>
      <c r="ST21" s="784">
        <f t="array" ref="ST21">IF('Customer Inputs'!$W$25="End",0,IFERROR(IF($SP21="SEGMENT",INDEX('Margin Guidence Table'!$A$1:$AG$10000,MATCH(1,('Margin Guidence Table'!$A$1:$A$10000=SN21)*('Margin Guidence Table'!$I$1:$I$10000&lt;=ROUND($SF$3,0))*('Margin Guidence Table'!$J$1:$J$10000&gt;=ROUND($SF$3,0)),0),MATCH("MDA_MEDIAN_MARGIN_GUIDENCE",'Margin Guidence Table'!$A$1:$AG$1,0)),INDEX('Margin Guidence Table'!$A$1:$AG$10000,MATCH(1,('Margin Guidence Table'!$A$1:$A$10000=SN21)*('Margin Guidence Table'!$I$1:$I$10000&lt;=ROUND($SF$3,0))*('Margin Guidence Table'!$J$1:$J$10000&gt;=ROUND($SF$3,0)),0),MATCH("DEFAULT_MDA_MEDIAN_MARGIN_GUIDENCE",'Margin Guidence Table'!$A$1:$AG$1,0))),0))</f>
        <v>0</v>
      </c>
      <c r="SU21" s="784">
        <f t="array" ref="SU21">IF('Customer Inputs'!$W$25="End",0,IFERROR(IF($SP21="SEGMENT",INDEX('Margin Guidence Table'!$A$1:$AG$10000,MATCH(1,('Margin Guidence Table'!$A$1:$A$10000=SN21)*('Margin Guidence Table'!$I$1:$I$10000&lt;=ROUND($SF$3,0))*('Margin Guidence Table'!$J$1:$J$10000&gt;=ROUND($SF$3,0)),0),MATCH("MDA_MAX_MARGIN_GUIDENCE",'Margin Guidence Table'!$A$1:$AG$1,0)),INDEX('Margin Guidence Table'!$A$1:$AG$10000,MATCH(1,('Margin Guidence Table'!$A$1:$A$10000=SN21)*('Margin Guidence Table'!$I$1:$I$10000&lt;=ROUND($SF$3,0))*('Margin Guidence Table'!$J$1:$J$10000&gt;=ROUND($SF$3,0)),0),MATCH("DEFAULT_MDA_MAX_MARGIN_GUIDENCE",'Margin Guidence Table'!$A$1:$AG$1,0))),0))</f>
        <v>0</v>
      </c>
      <c r="SV21" s="784">
        <f t="array" ref="SV21">IF('Customer Inputs'!$W$25="End",0,IFERROR(IF($SP21="SEGMENT",INDEX('Margin Guidence Table'!$A$1:$AG$10000,MATCH(1,('Margin Guidence Table'!$A$1:$A$10000=SN21)*('Margin Guidence Table'!$I$1:$I$10000&lt;=ROUND($SF$3,0))*('Margin Guidence Table'!$J$1:$J$10000&gt;=ROUND($SF$3,0)),0),MATCH("PA_PCT_SALES",'Margin Guidence Table'!$A$1:$AG$1,0)),INDEX('Margin Guidence Table'!$A$1:$AG$10000,MATCH(1,('Margin Guidence Table'!$A$1:$A$10000=SN21)*('Margin Guidence Table'!$I$1:$I$10000&lt;=ROUND($SF$3,0))*('Margin Guidence Table'!$J$1:$J$10000&gt;=ROUND($SF$3,0)),0),MATCH("DEFAULT_PA_PCT_SALES",'Margin Guidence Table'!$A$1:$AG$1,0))),0))</f>
        <v>0</v>
      </c>
      <c r="SW21" s="784">
        <f t="array" ref="SW21">IF('Customer Inputs'!$W$25="End",0,IFERROR(IF($SP21="SEGMENT",INDEX('Margin Guidence Table'!$A$1:$AG$10000,MATCH(1,('Margin Guidence Table'!$A$1:$A$10000=SN21)*('Margin Guidence Table'!$I$1:$I$10000&lt;=ROUND($SF$3,0))*('Margin Guidence Table'!$J$1:$J$10000&gt;=ROUND($SF$3,0)),0),MATCH("SELF_FUND_PCT_SALES",'Margin Guidence Table'!$A$1:$AG$1,0)),INDEX('Margin Guidence Table'!$A$1:$AG$10000,MATCH(1,('Margin Guidence Table'!$A$1:$A$10000=SN21)*('Margin Guidence Table'!$I$1:$I$10000&lt;=ROUND($SF$3,0))*('Margin Guidence Table'!$J$1:$J$10000&gt;=ROUND($SF$3,0)),0),MATCH("DEFAULT_SELF_FUND_PCT_SALES",'Margin Guidence Table'!$A$1:$AG$1,0))),0))</f>
        <v>0</v>
      </c>
      <c r="SX21" s="784">
        <f t="array" ref="SX21">IF('Customer Inputs'!$W$25="End",0,IF($SG$2="Existing",IFERROR(SUMIFS('Existing Customers'!$V:$V,'Existing Customers'!$H:$H,$SE21,'Existing Customers'!$A:$A,$SF$1)/SUMIFS('Existing Customers'!$Q:$Q,'Existing Customers'!$H:$H,$SE21,'Existing Customers'!$A:$A,$SF$1),0),IFERROR(IF($SP21="SEGMENT",INDEX('Margin Guidence Table'!$A$1:$AG$10000,MATCH(1,('Margin Guidence Table'!$A$1:$A$10000=SN21)*('Margin Guidence Table'!$I$1:$I$10000&lt;=ROUND($SF$3,0))*('Margin Guidence Table'!$J$1:$J$10000&gt;=ROUND($SF$3,0)),0),MATCH("CIA_MEDIAN_MARGIN_GUIDENCE",'Margin Guidence Table'!$A$1:$AG$1,0)),INDEX('Margin Guidence Table'!$A$1:$AG$10000,MATCH(1,('Margin Guidence Table'!$A$1:$A$10000=SN21)*('Margin Guidence Table'!$I$1:$I$10000&lt;=ROUND($SF$3,0))*('Margin Guidence Table'!$J$1:$J$10000&gt;=ROUND($SF$3,0)),0),MATCH("DEFAULT_CIA_MEDIAN_MARGIN_GUIDENCE",'Margin Guidence Table'!$A$1:$AG$1,0))),0)))</f>
        <v>0</v>
      </c>
      <c r="SY21" s="784"/>
      <c r="SZ21" s="1705"/>
      <c r="TA21" s="99" t="s">
        <v>95</v>
      </c>
      <c r="TB21" s="94"/>
      <c r="TC21" s="86"/>
      <c r="TD21" s="86"/>
      <c r="TE21" s="86"/>
      <c r="TF21" s="111"/>
      <c r="TG21" s="95"/>
      <c r="TH21" s="126"/>
      <c r="TI21" s="1705"/>
      <c r="TJ21" s="99" t="s">
        <v>95</v>
      </c>
      <c r="TK21" s="94"/>
      <c r="TL21" s="86"/>
      <c r="TM21" s="86"/>
      <c r="TN21" s="86"/>
      <c r="TO21" s="111"/>
      <c r="TP21" s="95"/>
      <c r="TQ21" s="1705"/>
      <c r="TR21" s="1705"/>
    </row>
    <row r="22" spans="1:538" ht="15.75" thickBot="1" x14ac:dyDescent="0.3">
      <c r="A22" s="1705"/>
      <c r="B22" s="99" t="s">
        <v>96</v>
      </c>
      <c r="C22" s="346">
        <f t="shared" si="0"/>
        <v>0</v>
      </c>
      <c r="D22" s="358">
        <f t="shared" si="1"/>
        <v>0</v>
      </c>
      <c r="E22" s="358">
        <f t="shared" si="2"/>
        <v>0</v>
      </c>
      <c r="F22" s="358">
        <f t="shared" si="3"/>
        <v>0</v>
      </c>
      <c r="G22" s="1428">
        <f t="shared" si="4"/>
        <v>0</v>
      </c>
      <c r="H22" s="1428">
        <f t="shared" si="5"/>
        <v>0</v>
      </c>
      <c r="I22" s="359">
        <f t="shared" si="6"/>
        <v>0</v>
      </c>
      <c r="J22" s="358">
        <f t="shared" si="7"/>
        <v>0</v>
      </c>
      <c r="K22" s="778">
        <f t="shared" si="8"/>
        <v>0</v>
      </c>
      <c r="L22" s="778">
        <f t="shared" si="9"/>
        <v>0</v>
      </c>
      <c r="M22" s="778">
        <f t="shared" si="10"/>
        <v>0</v>
      </c>
      <c r="N22" s="1428">
        <f>IF('PIM Model'!D18="$/CS",IFERROR(ROUND(SUM(BX22*$BV$35+CU22*$CS$35+DR22*$DP$35+EO22*$EM$35+FL22*$FJ$35+GI22*$GG$35+HF22*$HD$35+IC22*$IA$35+IZ22*$IX$35+JW22*$JU$35+KT22*$KR$35+LQ22*$LO$35+MN22*$ML$35+NK22*$NI$35+OH22*$OF$35+PE22*$PC$35+QB22*$PZ$35+QY22*$QW$35+RV22*$RT$35+SS22*$SQ$35)/$G$35,2),0),IF('PIM Model'!D18="$/LB",IFERROR(ROUND(SUM(BX22*$BW$35+CU22*$CT$35+DR22*$DQ$35+EO22*$EN$35+FL22*$FK$35+GI22*$GH$35+HF22*$HE$35+IC22*$IB$35+IZ22*$IY$35+JW22*$JV$35+KT22*$KS$35+LQ22*$LP$35+MN22*$MM$35+NK22*$NJ$35+OH22*$OG$35+PE22*$PD$35+QB22*$QA$35+QY22*$QX$35+RV22*$RU$35+SS22*$SR$35)/$H$35,2),0),0))</f>
        <v>0</v>
      </c>
      <c r="O22" s="1428">
        <f>IF('PIM Model'!D18="$/CS",IFERROR(ROUND(SUM(BY22*$BV$35+CV22*$CS$35+DS22*$DP$35+EP22*$EM$35+FM22*$FJ$35+GJ22*$GG$35+HG22*$HD$35+ID22*$IA$35+JA22*$IX$35+JX22*$JU$35+KU22*$KR$35+LR22*$LO$35+MO22*$ML$35+NL22*$NI$35+OI22*$OF$35+PF22*$PC$35+QC22*$PZ$35+QZ22*$QW$35+RW22*$RT$35+ST22*$SQ$35)/$G$35,2),0),IF('PIM Model'!D18="$/LB",IFERROR(ROUND(SUM(BY22*$BW$35+CV22*$CT$35+DS22*$DQ$35+EP22*$EN$35+FM22*$FK$35+GJ22*$GH$35+HG22*$HE$35+ID22*$IB$35+JA22*$IY$35+JX22*$JV$35+KU22*$KS$35+LR22*$LP$35+MO22*$MM$35+NL22*$NJ$35+OI22*$OG$35+PF22*$PD$35+QC22*$QA$35+QZ22*$QX$35+RW22*$RU$35+ST22*$SR$35)/$H$35,2),0),0))</f>
        <v>0</v>
      </c>
      <c r="P22" s="1428">
        <f>IF('PIM Model'!D18="$/CS",IFERROR(ROUND(SUM(BZ22*$BV$35+CW22*$CS$35+DT22*$DP$35+EQ22*$EM$35+FN22*$FJ$35+GK22*$GG$35+HH22*$HD$35+IE22*$IA$35+JB22*$IX$35+JY22*$JU$35+KV22*$KR$35+LS22*$LO$35+MP22*$ML$35+NM22*$NI$35+OJ22*$OF$35+PG22*$PC$35+QD22*$PZ$35+RA22*$QW$35+RX22*$RT$35+SU22*$SQ$35)/$G$35,2),0),IF('PIM Model'!D18="$/LB",IFERROR(ROUND(SUM(BZ22*$BW$35+CW22*$CT$35+DT22*$DQ$35+EQ22*$EN$35+FN22*$FK$35+GK22*$GH$35+HH22*$HE$35+IE22*$IB$35+JB22*$IY$35+JY22*$JV$35+KV22*$KS$35+LS22*$LP$35+MP22*$MM$35+NM22*$NJ$35+OJ22*$OG$35+PG22*$PD$35+QD22*$QA$35+RA22*$QX$35+RX22*$RU$35+SU22*$SR$35)/$H$35,2),0),0))</f>
        <v>0</v>
      </c>
      <c r="Q22" s="358">
        <f t="shared" si="11"/>
        <v>0</v>
      </c>
      <c r="R22" s="358">
        <f t="shared" si="12"/>
        <v>0</v>
      </c>
      <c r="S22" s="779">
        <f t="shared" si="13"/>
        <v>0</v>
      </c>
      <c r="T22" s="779">
        <f t="shared" si="14"/>
        <v>0</v>
      </c>
      <c r="U22" s="779">
        <f t="shared" si="15"/>
        <v>0</v>
      </c>
      <c r="V22" s="779">
        <f t="shared" si="16"/>
        <v>0</v>
      </c>
      <c r="W22" s="779">
        <f t="shared" si="17"/>
        <v>0</v>
      </c>
      <c r="X22" s="1705"/>
      <c r="Y22" s="1705" t="str">
        <f>'PIM Model'!E18</f>
        <v>INCLUDE</v>
      </c>
      <c r="Z22" s="1705">
        <f t="shared" si="18"/>
        <v>0</v>
      </c>
      <c r="AA22" s="1705">
        <f t="shared" si="19"/>
        <v>0</v>
      </c>
      <c r="AB22" s="99" t="s">
        <v>96</v>
      </c>
      <c r="AC22" s="107">
        <f t="shared" si="20"/>
        <v>0</v>
      </c>
      <c r="AD22" s="108">
        <f t="shared" si="21"/>
        <v>0</v>
      </c>
      <c r="AE22" s="108">
        <f t="shared" si="22"/>
        <v>0</v>
      </c>
      <c r="AF22" s="108">
        <f t="shared" si="23"/>
        <v>0</v>
      </c>
      <c r="AG22" s="110">
        <f t="shared" si="24"/>
        <v>0</v>
      </c>
      <c r="AH22" s="114">
        <f t="shared" si="25"/>
        <v>0</v>
      </c>
      <c r="AI22" s="301"/>
      <c r="AJ22" s="99" t="s">
        <v>96</v>
      </c>
      <c r="AK22" s="346">
        <f t="shared" si="26"/>
        <v>0</v>
      </c>
      <c r="AL22" s="347">
        <f t="shared" si="26"/>
        <v>0</v>
      </c>
      <c r="AM22" s="347">
        <f t="shared" si="26"/>
        <v>0</v>
      </c>
      <c r="AN22" s="350">
        <f t="shared" si="27"/>
        <v>0</v>
      </c>
      <c r="AO22" s="351">
        <f t="shared" si="28"/>
        <v>0</v>
      </c>
      <c r="AP22" s="301"/>
      <c r="AQ22" s="99" t="s">
        <v>96</v>
      </c>
      <c r="AR22" s="346">
        <f t="shared" si="29"/>
        <v>0</v>
      </c>
      <c r="AS22" s="347">
        <f t="shared" si="30"/>
        <v>0</v>
      </c>
      <c r="AT22" s="351"/>
      <c r="AU22" s="301"/>
      <c r="AV22" s="1708" t="str">
        <f>IF('PIM Ranges'!$AK20='PIM Ranges'!$AY$11,IF($AR22&lt;'PIM Ranges'!$AZ$11,"Q1",IF($AR22&lt;'PIM Ranges'!$BA$11,"Q2",IF($AR22&lt;'PIM Ranges'!$BB$11,"Q3",IF($AR22&lt;'PIM Ranges'!$BC$11,"Q4","Q5")))),IF('PIM Ranges'!$AK20='PIM Ranges'!$AY$12,IF($AR22&lt;'PIM Ranges'!$AZ$12,"Q1",IF($AR22&lt;'PIM Ranges'!$BA$12,"Q2",IF($AR22&lt;'PIM Ranges'!$BB$12,"Q3",IF($AR22&lt;'PIM Ranges'!$BC$12,"Q4","Q5")))),IF('PIM Ranges'!$AK20='PIM Ranges'!$AY$13,IF($AR22&lt;'PIM Ranges'!$AZ$13,"Q1",IF($AR22&lt;'PIM Ranges'!$BA$13,"Q2",IF($AR22&lt;'PIM Ranges'!$BB$13,"Q3",IF($AR22&lt;'PIM Ranges'!$BC$13,"Q4","Q5")))),IF('PIM Ranges'!$AK20='PIM Ranges'!$AY$14,IF($AR22&lt;'PIM Ranges'!$AZ$14,"Q1",IF($AR22&lt;'PIM Ranges'!$BA$14,"Q2",IF($AR22&lt;'PIM Ranges'!$BB$14,"Q3",IF($AR22&lt;'PIM Ranges'!$BC$14,"Q4","Q5")))),IF('PIM Ranges'!$AK20='PIM Ranges'!$AY$15,IF($AR22&lt;'PIM Ranges'!$AZ$15,"Q1",IF($AR22&lt;'PIM Ranges'!$BA$15,"Q2",IF($AR22&lt;'PIM Ranges'!$BB$15,"Q3",IF($AR22&lt;'PIM Ranges'!$BC$15,"Q4","Q5")))),IF('PIM Ranges'!$AK20='PIM Ranges'!$AY$16,IF($AR22&lt;'PIM Ranges'!$AZ$16,"Q1",IF($AR22&lt;'PIM Ranges'!$BA$16,"Q2",IF($AR22&lt;'PIM Ranges'!$BB$16,"Q3",IF($AR22&lt;'PIM Ranges'!$BC$16,"Q4","Q5")))),IF('PIM Ranges'!$AK20='PIM Ranges'!$AY$17,IF($AR22&lt;'PIM Ranges'!$AZ$17,"Q1",IF($AR22&lt;'PIM Ranges'!$BA$17,"Q2",IF($AR22&lt;'PIM Ranges'!$BB$17,"Q3",IF($AR22&lt;'PIM Ranges'!$BC$17,"Q4","Q5")))),IF('PIM Ranges'!$AK20='PIM Ranges'!$AY$18,IF($AR22&lt;'PIM Ranges'!$AZ$18,"Q1",IF($AR22&lt;'PIM Ranges'!$BA$18,"Q2",IF($AR22&lt;'PIM Ranges'!$BB$18,"Q3",IF($AR22&lt;'PIM Ranges'!$BC$18,"Q4","Q5")))),IF('PIM Ranges'!$AK20='PIM Ranges'!$AY$19,IF($AR22&lt;'PIM Ranges'!$AZ$19,"Q1",IF($AR22&lt;'PIM Ranges'!$BA$19,"Q2",IF($AR22&lt;'PIM Ranges'!$BB$19,"Q3",IF($AR22&lt;'PIM Ranges'!$BC$19,"Q4","Q5")))),IF('PIM Ranges'!$AK20='PIM Ranges'!$AY$20,IF($AR22&lt;'PIM Ranges'!$AZ$20,"Q1",IF($AR22&lt;'PIM Ranges'!$BA$20,"Q2",IF($AR22&lt;'PIM Ranges'!$BB$20,"Q3",IF($AR22&lt;'PIM Ranges'!$BC$20,"Q4","Q5")))),IF('PIM Ranges'!$AK20='PIM Ranges'!$AY$21,IF($AR22&lt;'PIM Ranges'!$AZ$21,"Q1",IF($AR22&lt;'PIM Ranges'!$BA$21,"Q2",IF($AR22&lt;'PIM Ranges'!$BB$21,"Q3",IF($AR22&lt;'PIM Ranges'!$BC$21,"Q4","Q5")))),IF('PIM Ranges'!$AK20='PIM Ranges'!$AY$22,IF($AR22&lt;'PIM Ranges'!$AZ$22,"Q1",IF($AR22&lt;'PIM Ranges'!$BA$22,"Q2",IF($AR22&lt;'PIM Ranges'!$BB$22,"Q3",IF($AR22&lt;'PIM Ranges'!$BC$22,"Q4","Q5")))),IF('PIM Ranges'!$AK20='PIM Ranges'!$AY$23,IF($AR22&lt;'PIM Ranges'!$AZ$23,"Q1",IF($AR22&lt;'PIM Ranges'!$BA$23,"Q2",IF($AR22&lt;'PIM Ranges'!$BB$23,"Q3",IF($AR22&lt;'PIM Ranges'!$BC$23,"Q4","Q5")))),IF('PIM Ranges'!$AK20='PIM Ranges'!$AY$24,IF($AR22&lt;'PIM Ranges'!$AZ$24,"Q1",IF($AR22&lt;'PIM Ranges'!$BA$24,"Q2",IF($AR22&lt;'PIM Ranges'!$BB$24,"Q3",IF($AR22&lt;'PIM Ranges'!$BC$24,"Q4","Q5")))),IF('PIM Ranges'!$AK20='PIM Ranges'!$AY$25,IF($AR22&lt;'PIM Ranges'!$AZ$25,"Q1",IF($AR22&lt;'PIM Ranges'!$BA$25,"Q2",IF($AR22&lt;'PIM Ranges'!$BB$25,"Q3",IF($AR22&lt;'PIM Ranges'!$BC$25,"Q4","Q5")))),IF('PIM Ranges'!$AK20='PIM Ranges'!$AY$26,IF($AR22&lt;'PIM Ranges'!$AZ$26,"Q1",IF($AR22&lt;'PIM Ranges'!$BA$26,"Q2",IF($AR22&lt;'PIM Ranges'!$BB$26,"Q3",IF($AR22&lt;'PIM Ranges'!$BC$26,"Q4","Q5")))),IF('PIM Ranges'!$AK20='PIM Ranges'!$AY$27,IF($AR22&lt;'PIM Ranges'!$AZ$27,"Q1",IF($AR22&lt;'PIM Ranges'!$BA$27,"Q2",IF($AR22&lt;'PIM Ranges'!$BB$27,"Q3",IF($AR22&lt;'PIM Ranges'!$BC$27,"Q4","Q5")))),IF('PIM Ranges'!$AK20='PIM Ranges'!$AY$28,IF($AR22&lt;'PIM Ranges'!$AZ$28,"Q1",IF($AR22&lt;'PIM Ranges'!$BA$28,"Q2",IF($AR22&lt;'PIM Ranges'!$BB$28,"Q3",IF($AR22&lt;'PIM Ranges'!$BC$28,"Q4","Q5")))),IF('PIM Ranges'!$AK20='PIM Ranges'!$AY$29,IF($AR22&lt;'PIM Ranges'!$AZ$29,"Q1",IF($AR22&lt;'PIM Ranges'!$BA$29,"Q2",IF($AR22&lt;'PIM Ranges'!$BB$29,"Q3",IF($AR22&lt;'PIM Ranges'!$BC$29,"Q4","Q5")))),IF('PIM Ranges'!$AK20='PIM Ranges'!$AY$30,IF($AR22&lt;'PIM Ranges'!$AZ$30,"Q1",IF($AR22&lt;'PIM Ranges'!$BA$30,"Q2",IF($AR22&lt;'PIM Ranges'!$BB$30,"Q3",IF($AR22&lt;'PIM Ranges'!$BC$30,"Q4","Q5")))),IF('PIM Ranges'!$AK20='PIM Ranges'!$AY$31,IF($AR22&lt;'PIM Ranges'!$AZ$31,"Q1",IF($AR22&lt;'PIM Ranges'!$BA$31,"Q2",IF($AR22&lt;'PIM Ranges'!$BB$31,"Q3",IF($AR22&lt;'PIM Ranges'!$BC$31,"Q4","Q5")))),IF('PIM Ranges'!$AK20='PIM Ranges'!$AY$32,IF($AR22&lt;'PIM Ranges'!$AZ$32,"Q1",IF($AR22&lt;'PIM Ranges'!$BA$32,"Q2",IF($AR22&lt;'PIM Ranges'!$BB$32,"Q3",IF($AR22&lt;'PIM Ranges'!$BC$32,"Q4","Q5"))))))))))))))))))))))))))</f>
        <v>Q1</v>
      </c>
      <c r="AW22" s="301">
        <f>VLOOKUP($AQ22&amp;$AV22,'IMargin Quartiles'!$A:$F,6,FALSE)</f>
        <v>0.18</v>
      </c>
      <c r="AX22" s="301"/>
      <c r="AY22" s="1708" t="str">
        <f>IF('PIM Ranges'!$AK20='PIM Ranges'!$AY$11,IF('PIM Ranges'!$AL20&lt;'PIM Ranges'!$AZ$11,"Q1",IF('PIM Ranges'!$AL20&lt;'PIM Ranges'!$BA$11,"Q2",IF('PIM Ranges'!$AL20&lt;'PIM Ranges'!$BB$11,"Q3",IF('PIM Ranges'!$AL20&lt;'PIM Ranges'!$BC$11,"Q4","Q5")))),IF('PIM Ranges'!$AK20='PIM Ranges'!$AY$12,IF('PIM Ranges'!$AL20&lt;'PIM Ranges'!$AZ$12,"Q1",IF('PIM Ranges'!$AL20&lt;'PIM Ranges'!$BA$12,"Q2",IF('PIM Ranges'!$AL20&lt;'PIM Ranges'!$BB$12,"Q3",IF('PIM Ranges'!$AL20&lt;'PIM Ranges'!$BC$12,"Q4","Q5")))),IF('PIM Ranges'!$AK20='PIM Ranges'!$AY$13,IF('PIM Ranges'!$AL20&lt;'PIM Ranges'!$AZ$13,"Q1",IF('PIM Ranges'!$AL20&lt;'PIM Ranges'!$BA$13,"Q2",IF('PIM Ranges'!$AL20&lt;'PIM Ranges'!$BB$13,"Q3",IF('PIM Ranges'!$AL20&lt;'PIM Ranges'!$BC$13,"Q4","Q5")))),IF('PIM Ranges'!$AK20='PIM Ranges'!$AY$14,IF('PIM Ranges'!$AL20&lt;'PIM Ranges'!$AZ$14,"Q1",IF('PIM Ranges'!$AL20&lt;'PIM Ranges'!$BA$14,"Q2",IF('PIM Ranges'!$AL20&lt;'PIM Ranges'!$BB$14,"Q3",IF('PIM Ranges'!$AL20&lt;'PIM Ranges'!$BC$14,"Q4","Q5")))),IF('PIM Ranges'!$AK20='PIM Ranges'!$AY$15,IF('PIM Ranges'!$AL20&lt;'PIM Ranges'!$AZ$15,"Q1",IF('PIM Ranges'!$AL20&lt;'PIM Ranges'!$BA$15,"Q2",IF('PIM Ranges'!$AL20&lt;'PIM Ranges'!$BB$15,"Q3",IF('PIM Ranges'!$AL20&lt;'PIM Ranges'!$BC$15,"Q4","Q5")))),IF('PIM Ranges'!$AK20='PIM Ranges'!$AY$16,IF('PIM Ranges'!$AL20&lt;'PIM Ranges'!$AZ$16,"Q1",IF('PIM Ranges'!$AL20&lt;'PIM Ranges'!$BA$16,"Q2",IF('PIM Ranges'!$AL20&lt;'PIM Ranges'!$BB$16,"Q3",IF('PIM Ranges'!$AL20&lt;'PIM Ranges'!$BC$16,"Q4","Q5")))),IF('PIM Ranges'!$AK20='PIM Ranges'!$AY$17,IF('PIM Ranges'!$AL20&lt;'PIM Ranges'!$AZ$17,"Q1",IF('PIM Ranges'!$AL20&lt;'PIM Ranges'!$BA$17,"Q2",IF('PIM Ranges'!$AL20&lt;'PIM Ranges'!$BB$17,"Q3",IF('PIM Ranges'!$AL20&lt;'PIM Ranges'!$BC$17,"Q4","Q5")))),IF('PIM Ranges'!$AK20='PIM Ranges'!$AY$18,IF('PIM Ranges'!$AL20&lt;'PIM Ranges'!$AZ$18,"Q1",IF('PIM Ranges'!$AL20&lt;'PIM Ranges'!$BA$18,"Q2",IF('PIM Ranges'!$AL20&lt;'PIM Ranges'!$BB$18,"Q3",IF('PIM Ranges'!$AL20&lt;'PIM Ranges'!$BC$18,"Q4","Q5")))),IF('PIM Ranges'!$AK20='PIM Ranges'!$AY$19,IF('PIM Ranges'!$AL20&lt;'PIM Ranges'!$AZ$19,"Q1",IF('PIM Ranges'!$AL20&lt;'PIM Ranges'!$BA$19,"Q2",IF('PIM Ranges'!$AL20&lt;'PIM Ranges'!$BB$19,"Q3",IF('PIM Ranges'!$AL20&lt;'PIM Ranges'!$BC$19,"Q4","Q5")))),IF('PIM Ranges'!$AK20='PIM Ranges'!$AY$20,IF('PIM Ranges'!$AL20&lt;'PIM Ranges'!$AZ$20,"Q1",IF('PIM Ranges'!$AL20&lt;'PIM Ranges'!$BA$20,"Q2",IF('PIM Ranges'!$AL20&lt;'PIM Ranges'!$BB$20,"Q3",IF('PIM Ranges'!$AL20&lt;'PIM Ranges'!$BC$20,"Q4","Q5")))),IF('PIM Ranges'!$AK20='PIM Ranges'!$AY$21,IF('PIM Ranges'!$AL20&lt;'PIM Ranges'!$AZ$21,"Q1",IF('PIM Ranges'!$AL20&lt;'PIM Ranges'!$BA$21,"Q2",IF('PIM Ranges'!$AL20&lt;'PIM Ranges'!$BB$21,"Q3",IF('PIM Ranges'!$AL20&lt;'PIM Ranges'!$BC$21,"Q4","Q5")))),IF('PIM Ranges'!$AK20='PIM Ranges'!$AY$22,IF('PIM Ranges'!$AL20&lt;'PIM Ranges'!$AZ$22,"Q1",IF('PIM Ranges'!$AL20&lt;'PIM Ranges'!$BA$22,"Q2",IF('PIM Ranges'!$AL20&lt;'PIM Ranges'!$BB$22,"Q3",IF('PIM Ranges'!$AL20&lt;'PIM Ranges'!$BC$22,"Q4","Q5")))),IF('PIM Ranges'!$AK20='PIM Ranges'!$AY$23,IF('PIM Ranges'!$AL20&lt;'PIM Ranges'!$AZ$23,"Q1",IF('PIM Ranges'!$AL20&lt;'PIM Ranges'!$BA$23,"Q2",IF('PIM Ranges'!$AL20&lt;'PIM Ranges'!$BB$23,"Q3",IF('PIM Ranges'!$AL20&lt;'PIM Ranges'!$BC$23,"Q4","Q5")))),IF('PIM Ranges'!$AK20='PIM Ranges'!$AY$24,IF('PIM Ranges'!$AL20&lt;'PIM Ranges'!$AZ$24,"Q1",IF('PIM Ranges'!$AL20&lt;'PIM Ranges'!$BA$24,"Q2",IF('PIM Ranges'!$AL20&lt;'PIM Ranges'!$BB$24,"Q3",IF('PIM Ranges'!$AL20&lt;'PIM Ranges'!$BC$24,"Q4","Q5")))),IF('PIM Ranges'!$AK20='PIM Ranges'!$AY$25,IF('PIM Ranges'!$AL20&lt;'PIM Ranges'!$AZ$25,"Q1",IF('PIM Ranges'!$AL20&lt;'PIM Ranges'!$BA$25,"Q2",IF('PIM Ranges'!$AL20&lt;'PIM Ranges'!$BB$25,"Q3",IF('PIM Ranges'!$AL20&lt;'PIM Ranges'!$BC$25,"Q4","Q5")))),IF('PIM Ranges'!$AK20='PIM Ranges'!$AY$26,IF('PIM Ranges'!$AL20&lt;'PIM Ranges'!$AZ$26,"Q1",IF('PIM Ranges'!$AL20&lt;'PIM Ranges'!$BA$26,"Q2",IF('PIM Ranges'!$AL20&lt;'PIM Ranges'!$BB$26,"Q3",IF('PIM Ranges'!$AL20&lt;'PIM Ranges'!$BC$26,"Q4","Q5")))),IF('PIM Ranges'!$AK20='PIM Ranges'!$AY$27,IF('PIM Ranges'!$AL20&lt;'PIM Ranges'!$AZ$27,"Q1",IF('PIM Ranges'!$AL20&lt;'PIM Ranges'!$BA$27,"Q2",IF('PIM Ranges'!$AL20&lt;'PIM Ranges'!$BB$27,"Q3",IF('PIM Ranges'!$AL20&lt;'PIM Ranges'!$BC$27,"Q4","Q5")))),IF('PIM Ranges'!$AK20='PIM Ranges'!$AY$28,IF('PIM Ranges'!$AL20&lt;'PIM Ranges'!$AZ$28,"Q1",IF('PIM Ranges'!$AL20&lt;'PIM Ranges'!$BA$28,"Q2",IF('PIM Ranges'!$AL20&lt;'PIM Ranges'!$BB$28,"Q3",IF('PIM Ranges'!$AL20&lt;'PIM Ranges'!$BC$28,"Q4","Q5")))),IF('PIM Ranges'!$AK20='PIM Ranges'!$AY$29,IF('PIM Ranges'!$AL20&lt;'PIM Ranges'!$AZ$29,"Q1",IF('PIM Ranges'!$AL20&lt;'PIM Ranges'!$BA$29,"Q2",IF('PIM Ranges'!$AL20&lt;'PIM Ranges'!$BB$29,"Q3",IF('PIM Ranges'!$AL20&lt;'PIM Ranges'!$BC$29,"Q4","Q5")))),IF('PIM Ranges'!$AK20='PIM Ranges'!$AY$30,IF('PIM Ranges'!$AL20&lt;'PIM Ranges'!$AZ$30,"Q1",IF('PIM Ranges'!$AL20&lt;'PIM Ranges'!$BA$30,"Q2",IF('PIM Ranges'!$AL20&lt;'PIM Ranges'!$BB$30,"Q3",IF('PIM Ranges'!$AL20&lt;'PIM Ranges'!$BC$30,"Q4","Q5")))),IF('PIM Ranges'!$AK20='PIM Ranges'!$AY$31,IF('PIM Ranges'!$AL20&lt;'PIM Ranges'!$AZ$31,"Q1",IF('PIM Ranges'!$AL20&lt;'PIM Ranges'!$BA$31,"Q2",IF('PIM Ranges'!$AL20&lt;'PIM Ranges'!$BB$31,"Q3",IF('PIM Ranges'!$AL20&lt;'PIM Ranges'!$BC$31,"Q4","Q5")))),IF('PIM Ranges'!$AK20='PIM Ranges'!$AY$32,IF('PIM Ranges'!$AL20&lt;'PIM Ranges'!$AZ$32,"Q1",IF('PIM Ranges'!$AL20&lt;'PIM Ranges'!$BA$32,"Q2",IF('PIM Ranges'!$AL20&lt;'PIM Ranges'!$BB$32,"Q3",IF('PIM Ranges'!$AL20&lt;'PIM Ranges'!$BC$32,"Q4","Q5"))))))))))))))))))))))))))</f>
        <v>Q1</v>
      </c>
      <c r="AZ22" s="301">
        <f t="shared" si="31"/>
        <v>0</v>
      </c>
      <c r="BA22" s="39">
        <f>'PIM Model'!C18</f>
        <v>0</v>
      </c>
      <c r="BB22" s="301"/>
      <c r="BC22" s="301"/>
      <c r="BD22" s="301" t="e">
        <f t="shared" si="72"/>
        <v>#DIV/0!</v>
      </c>
      <c r="BE22" s="301"/>
      <c r="BF22" s="301"/>
      <c r="BG22" s="105">
        <v>11</v>
      </c>
      <c r="BH22" s="18">
        <f t="array" ref="BH22">IF('Customer Inputs'!$W$6="End",0,IFERROR(IF($BU22="SEGMENT",INDEX('Margin Guidence Table'!$A$1:$AG$10000,MATCH(1,('Margin Guidence Table'!$A$1:$A$10000=$BS22)*('Margin Guidence Table'!$I$1:$I$10000&lt;=ROUND($BK$3,0))*('Margin Guidence Table'!$J$1:$J$10000&gt;=ROUND($BK$3,0)),0),MATCH("PCT_SALES",'Margin Guidence Table'!$A$1:$AG$1,0)),INDEX('Margin Guidence Table'!$A$1:$AG$10000,MATCH(1,('Margin Guidence Table'!$A$1:$A$10000=$BS22)*('Margin Guidence Table'!$I$1:$I$10000&lt;=ROUND($BK$3,0))*('Margin Guidence Table'!$J$1:$J$10000&gt;=ROUND($BK$3,0)),0),MATCH("DEFAULT_PCT_SALES",'Margin Guidence Table'!$A$1:$AG$1,0))),0))</f>
        <v>0</v>
      </c>
      <c r="BI22" s="297" t="e">
        <f t="shared" si="32"/>
        <v>#DIV/0!</v>
      </c>
      <c r="BJ22" s="99" t="s">
        <v>96</v>
      </c>
      <c r="BK22" s="91">
        <f>IF('Customer Inputs'!$W$6="End",0,IFERROR(IF(AND($BK$2&lt;&gt;"Enter Spend&gt;&gt;&gt;",$BL$2="EXISTING"),SUMIFS('Existing Customers'!$Q:$Q,'Existing Customers'!$A:$A,$BK$1,'Existing Customers'!$H:$H,$BJ22)*$BK$4,$BK$3*$BI22),0))</f>
        <v>0</v>
      </c>
      <c r="BL22" s="92">
        <f>IF('Customer Inputs'!$W$6="End",0,IFERROR(IF(AND($BK$2&lt;&gt;"Enter Spend&gt;&gt;&gt;",$BL$2="EXISTING"),SUMIFS('Existing Customers'!$N:$N,'Existing Customers'!$A:$A,$BK$1,'Existing Customers'!$H:$H,$BJ22)*$BK$4,$BK22/$BV22),0))</f>
        <v>0</v>
      </c>
      <c r="BM22" s="92">
        <f>IF('Customer Inputs'!$W$6="End",0,IFERROR(IF(AND($BK$2&lt;&gt;"Enter Spend&gt;&gt;&gt;",$BL$2="EXISTING"),SUMIFS('Existing Customers'!$O:$O,'Existing Customers'!$H:$H,$BJ22,'Existing Customers'!$A:$A,$BK$1)*$BK$4,$BL22*$BK$8),0))</f>
        <v>0</v>
      </c>
      <c r="BN22" s="92">
        <f>IF('Customer Inputs'!$W$6="End",0,IFERROR(IF(AND($BK$2&lt;&gt;"Enter Spend&gt;&gt;&gt;",$BL$2="EXISTING"),SUMIFS('Existing Customers'!$P:$P,'Existing Customers'!$A:$A,$BK$1,'Existing Customers'!$H:$H,$BJ22)*$BK$4,$BK22/$BW22),0))</f>
        <v>0</v>
      </c>
      <c r="BO22" s="303">
        <f>IF('Customer Inputs'!$W$6="End",0,IFERROR(IF(AND($BK$2&lt;&gt;"Enter Spend&gt;&gt;&gt;",$BL$2="EXISTING"),SUMIFS('Existing Customers'!$V:$V,'Existing Customers'!$H:$H,$BJ22,'Existing Customers'!$A:$A,$BK$1)*$BK$4,0),0))</f>
        <v>0</v>
      </c>
      <c r="BP22" s="93">
        <f>IF('Customer Inputs'!$W$6="End",0,IFERROR(IF(AND($BK$2&lt;&gt;"Enter Spend&gt;&gt;&gt;",$BL$2="EXISTING"),SUMIFS('Existing Customers'!$R:$R,'Existing Customers'!$H:$H,$BJ22,'Existing Customers'!$A:$A,$BK$1)*$BK$4,0),0))</f>
        <v>0</v>
      </c>
      <c r="BQ22" s="93">
        <f>IF('Customer Inputs'!$W$6="End",0,IFERROR(IF(AND($BK$2&lt;&gt;"Enter Spend&gt;&gt;&gt;",$BL$2="EXISTING"),SUMIFS('Existing Customers'!$S:$S,'Existing Customers'!$H:$H,$BJ22,'Existing Customers'!$A:$A,$BK$1)/SUMIFS('Existing Customers'!$Q:$Q,'Existing Customers'!$A:$A,$BK$1,'Existing Customers'!$H:$H,$BJ22),CA22),0))</f>
        <v>0</v>
      </c>
      <c r="BR22" s="93">
        <f>IF('Customer Inputs'!$W$6="End",0,IFERROR(IF(AND($BK$2&lt;&gt;"Enter Spend&gt;&gt;&gt;",$BL$2="EXISTING"),SUMIFS('Existing Customers'!$U:$U,'Existing Customers'!$H:$H,$BJ22,'Existing Customers'!$A:$A,$BK$1)/SUMIFS('Existing Customers'!$Q:$Q,'Existing Customers'!$A:$A,$BK$1,'Existing Customers'!$H:$H,$BJ22),CB22),0))</f>
        <v>0</v>
      </c>
      <c r="BS22" s="782" t="e">
        <f>_xlfn.CONCAT('Customer Inputs'!$AH$6,"_",BJ22)</f>
        <v>#N/A</v>
      </c>
      <c r="BT22" s="783">
        <f t="array" ref="BT22">IF('Customer Inputs'!$W$6="End",0,IFERROR(INDEX('Margin Guidence Table'!$A$1:$AG$10000,MATCH(1,('Margin Guidence Table'!$A$1:$A$10000=$BS22)*('Margin Guidence Table'!$I$1:$I$10000&lt;=ROUND($BK$3,0))*('Margin Guidence Table'!$J$1:$J$10000&gt;=ROUND($BK$3,0)),0),MATCH("DATA_POINTS",'Margin Guidence Table'!$A$1:$AG$1,0)),0))</f>
        <v>0</v>
      </c>
      <c r="BU22" s="780" t="str">
        <f t="shared" si="33"/>
        <v>DEFAULT</v>
      </c>
      <c r="BV22" s="780">
        <f t="array" ref="BV22">IF('Customer Inputs'!$W$6="End",0,IFERROR(IF($BU22="SEGMENT",INDEX('Margin Guidence Table'!$A$1:$AG$10000,MATCH(1,('Margin Guidence Table'!$A$1:$A$10000=$BS22)*('Margin Guidence Table'!$I$1:$I$10000&lt;=ROUND($BK$3,0))*('Margin Guidence Table'!$J$1:$J$10000&gt;=ROUND($BK$3,0)),0),MATCH("SALES_CASE",'Margin Guidence Table'!$A$1:$AG$1,0)),INDEX('Margin Guidence Table'!$A$1:$AG$10000,MATCH(1,('Margin Guidence Table'!$A$1:$A$10000=$BS22)*('Margin Guidence Table'!$I$1:$I$10000&lt;=ROUND($BK$3,0))*('Margin Guidence Table'!$J$1:$J$10000&gt;=ROUND($BK$3,0)),0),MATCH("DEFAULT_SALES_CASE",'Margin Guidence Table'!$A$1:$AG$1,0))),0))</f>
        <v>0</v>
      </c>
      <c r="BW22" s="780">
        <f t="array" ref="BW22">IF('Customer Inputs'!$W$6="End",0,IFERROR(IF($BU22="SEGMENT",INDEX('Margin Guidence Table'!$A$1:$AG$10000,MATCH(1,('Margin Guidence Table'!$A$1:$A$10000=$BS22)*('Margin Guidence Table'!$I$1:$I$10000&lt;=ROUND($BK$3,0))*('Margin Guidence Table'!$J$1:$J$10000&gt;=ROUND($BK$3,0)),0),MATCH("SALES_LBS",'Margin Guidence Table'!$A$1:$AG$1,0)),INDEX('Margin Guidence Table'!$A$1:$AG$10000,MATCH(1,('Margin Guidence Table'!$A$1:$A$10000=$BS22)*('Margin Guidence Table'!$I$1:$I$10000&lt;=ROUND($BK$3,0))*('Margin Guidence Table'!$J$1:$J$10000&gt;=ROUND($BK$3,0)),0),MATCH("DEFAULT_SALES_LBS",'Margin Guidence Table'!$A$1:$AG$1,0))),0))</f>
        <v>0</v>
      </c>
      <c r="BX22" s="784">
        <f t="array" ref="BX22">IF('Customer Inputs'!$W$6="End",0,IFERROR(IF($BU22="SEGMENT",INDEX('Margin Guidence Table'!$A$1:$AG$10000,MATCH(1,('Margin Guidence Table'!$A$1:$A$10000=$BS22)*('Margin Guidence Table'!$I$1:$I$10000&lt;=ROUND($BK$3,0))*('Margin Guidence Table'!$J$1:$J$10000&gt;=ROUND($BK$3,0)),0),MATCH("MDA_MIN_MARGIN_GUIDENCE",'Margin Guidence Table'!$A$1:$AG$1,0)),INDEX('Margin Guidence Table'!$A$1:$AG$10000,MATCH(1,('Margin Guidence Table'!$A$1:$A$10000=$BS22)*('Margin Guidence Table'!$I$1:$I$10000&lt;=ROUND($BK$3,0))*('Margin Guidence Table'!$J$1:$J$10000&gt;=ROUND($BK$3,0)),0),MATCH("DEFAULT_MDA_MIN_MARGIN_GUIDENCE",'Margin Guidence Table'!$A$1:$AG$1,0))),0))</f>
        <v>0</v>
      </c>
      <c r="BY22" s="784">
        <f t="array" ref="BY22">IF('Customer Inputs'!$W$6="End",0,IFERROR(IF($BU22="SEGMENT",INDEX('Margin Guidence Table'!$A$1:$AG$10000,MATCH(1,('Margin Guidence Table'!$A$1:$A$10000=$BS22)*('Margin Guidence Table'!$I$1:$I$10000&lt;=ROUND($BK$3,0))*('Margin Guidence Table'!$J$1:$J$10000&gt;=ROUND($BK$3,0)),0),MATCH("MDA_MEDIAN_MARGIN_GUIDENCE",'Margin Guidence Table'!$A$1:$AG$1,0)),INDEX('Margin Guidence Table'!$A$1:$AG$10000,MATCH(1,('Margin Guidence Table'!$A$1:$A$10000=$BS22)*('Margin Guidence Table'!$I$1:$I$10000&lt;=ROUND($BK$3,0))*('Margin Guidence Table'!$J$1:$J$10000&gt;=ROUND($BK$3,0)),0),MATCH("DEFAULT_MDA_MEDIAN_MARGIN_GUIDENCE",'Margin Guidence Table'!$A$1:$AG$1,0))),0))</f>
        <v>0</v>
      </c>
      <c r="BZ22" s="784">
        <f t="array" ref="BZ22">IF('Customer Inputs'!$W$6="End",0,IFERROR(IF($BU22="SEGMENT",INDEX('Margin Guidence Table'!$A$1:$AG$10000,MATCH(1,('Margin Guidence Table'!$A$1:$A$10000=$BS22)*('Margin Guidence Table'!$I$1:$I$10000&lt;=ROUND($BK$3,0))*('Margin Guidence Table'!$J$1:$J$10000&gt;=ROUND($BK$3,0)),0),MATCH("MDA_MAX_MARGIN_GUIDENCE",'Margin Guidence Table'!$A$1:$AG$1,0)),INDEX('Margin Guidence Table'!$A$1:$AG$10000,MATCH(1,('Margin Guidence Table'!$A$1:$A$10000=$BS22)*('Margin Guidence Table'!$I$1:$I$10000&lt;=ROUND($BK$3,0))*('Margin Guidence Table'!$J$1:$J$10000&gt;=ROUND($BK$3,0)),0),MATCH("DEFAULT_MDA_MAX_MARGIN_GUIDENCE",'Margin Guidence Table'!$A$1:$AG$1,0))),0))</f>
        <v>0</v>
      </c>
      <c r="CA22" s="784">
        <f t="array" ref="CA22">IF('Customer Inputs'!$W$6="End",0,IFERROR(IF($BU22="SEGMENT",INDEX('Margin Guidence Table'!$A$1:$AG$10000,MATCH(1,('Margin Guidence Table'!$A$1:$A$10000=$BS22)*('Margin Guidence Table'!$I$1:$I$10000&lt;=ROUND($BK$3,0))*('Margin Guidence Table'!$J$1:$J$10000&gt;=ROUND($BK$3,0)),0),MATCH("PA_PCT_SALES",'Margin Guidence Table'!$A$1:$AG$1,0)),INDEX('Margin Guidence Table'!$A$1:$AG$10000,MATCH(1,('Margin Guidence Table'!$A$1:$A$10000=$BS22)*('Margin Guidence Table'!$I$1:$I$10000&lt;=ROUND($BK$3,0))*('Margin Guidence Table'!$J$1:$J$10000&gt;=ROUND($BK$3,0)),0),MATCH("DEFAULT_PA_PCT_SALES",'Margin Guidence Table'!$A$1:$AG$1,0))),0))</f>
        <v>0</v>
      </c>
      <c r="CB22" s="784">
        <f t="array" ref="CB22">IF('Customer Inputs'!$W$6="End",0,IFERROR(IF($BU22="SEGMENT",INDEX('Margin Guidence Table'!$A$1:$AG$10000,MATCH(1,('Margin Guidence Table'!$A$1:$A$10000=$BS22)*('Margin Guidence Table'!$I$1:$I$10000&lt;=ROUND($BK$3,0))*('Margin Guidence Table'!$J$1:$J$10000&gt;=ROUND($BK$3,0)),0),MATCH("SELF_FUND_PCT_SALES",'Margin Guidence Table'!$A$1:$AG$1,0)),INDEX('Margin Guidence Table'!$A$1:$AG$10000,MATCH(1,('Margin Guidence Table'!$A$1:$A$10000=$BS22)*('Margin Guidence Table'!$I$1:$I$10000&lt;=ROUND($BK$3,0))*('Margin Guidence Table'!$J$1:$J$10000&gt;=ROUND($BK$3,0)),0),MATCH("DEFAULT_SELF_FUND_PCT_SALES",'Margin Guidence Table'!$A$1:$AG$1,0))),0))</f>
        <v>0</v>
      </c>
      <c r="CC22" s="784">
        <f t="array" ref="CC22">IF('Customer Inputs'!$W$6="End",0,IF($BL$2="Existing",IFERROR(SUMIFS('Existing Customers'!$V:$V,'Existing Customers'!$H:$H,$BJ22,'Existing Customers'!$A:$A,$BK$1)/SUMIFS('Existing Customers'!$Q:$Q,'Existing Customers'!$H:$H,$BJ22,'Existing Customers'!$A:$A,$BK$1),0),IFERROR(IF($BU22="SEGMENT",INDEX('Margin Guidence Table'!$A$1:$AG$10000,MATCH(1,('Margin Guidence Table'!$A$1:$A$10000=$BS22)*('Margin Guidence Table'!$I$1:$I$10000&lt;=ROUND($BK$3,0))*('Margin Guidence Table'!$J$1:$J$10000&gt;=ROUND($BK$3,0)),0),MATCH("CIA_MEDIAN_MARGIN_GUIDENCE",'Margin Guidence Table'!$A$1:$AG$1,0)),INDEX('Margin Guidence Table'!$A$1:$AG$10000,MATCH(1,('Margin Guidence Table'!$A$1:$A$10000=$BS22)*('Margin Guidence Table'!$I$1:$I$10000&lt;=ROUND($BK$3,0))*('Margin Guidence Table'!$J$1:$J$10000&gt;=ROUND($BK$3,0)),0),MATCH("DEFAULT_CIA_MEDIAN_MARGIN_GUIDENCE",'Margin Guidence Table'!$A$1:$AG$1,0))),0)))</f>
        <v>0</v>
      </c>
      <c r="CD22" s="126"/>
      <c r="CE22" s="18">
        <f t="array" ref="CE22">IF('Customer Inputs'!$W$7="End",0,IFERROR(IF($CR22="SEGMENT",INDEX('Margin Guidence Table'!$A$1:$AG$10000,MATCH(1,('Margin Guidence Table'!$A$1:$A$10000=$CP22)*('Margin Guidence Table'!$I$1:$I$10000&lt;=ROUND($CH$3,0))*('Margin Guidence Table'!$J$1:$J$10000&gt;=ROUND($CH$3,0)),0),MATCH("PCT_SALES",'Margin Guidence Table'!$A$1:$AG$1,0)),INDEX('Margin Guidence Table'!$A$1:$AG$10000,MATCH(1,('Margin Guidence Table'!$A$1:$A$10000=$CP22)*('Margin Guidence Table'!$I$1:$I$10000&lt;=ROUND($CH$3,0))*('Margin Guidence Table'!$J$1:$J$10000&gt;=ROUND($CH$3,0)),0),MATCH("DEFAULT_PCT_SALES",'Margin Guidence Table'!$A$1:$AG$1,0))),0))</f>
        <v>0</v>
      </c>
      <c r="CF22" s="297" t="e">
        <f t="shared" si="34"/>
        <v>#DIV/0!</v>
      </c>
      <c r="CG22" s="99" t="s">
        <v>96</v>
      </c>
      <c r="CH22" s="91">
        <f>IF('Customer Inputs'!$W$7="End",0,IFERROR(IF(AND($CH$2&lt;&gt;"Enter Spend&gt;&gt;&gt;",$CI$2="EXISTING"),SUMIFS('Existing Customers'!$Q:$Q,'Existing Customers'!$A:$A,$CH$1,'Existing Customers'!$H:$H,$CG22)*$CH$4,$CH$3*$CF22),0))</f>
        <v>0</v>
      </c>
      <c r="CI22" s="86">
        <f>IF('Customer Inputs'!$W$7="End",0,IFERROR(IF(AND($CH$2&lt;&gt;"Enter Spend&gt;&gt;&gt;",$CI$2="EXISTING"),SUMIFS('Existing Customers'!$N:$N,'Existing Customers'!$A:$A,$CH$1,'Existing Customers'!$H:$H,$CG22)*$CH$4,$CH22/$CS22),0))</f>
        <v>0</v>
      </c>
      <c r="CJ22" s="92">
        <f>IF('Customer Inputs'!$W$7="End",0,IFERROR(IF(AND($CH$2&lt;&gt;"Enter Spend&gt;&gt;&gt;",$CI$2="EXISTING"),SUMIFS('Existing Customers'!$O:$O,'Existing Customers'!$H:$H,$CG22,'Existing Customers'!$A:$A,$CH$1)*$CH$4,$CI22*$CH$8),0))</f>
        <v>0</v>
      </c>
      <c r="CK22" s="92">
        <f>IF('Customer Inputs'!$W$7="End",0,IFERROR(IF(AND($CH$2&lt;&gt;"Enter Spend&gt;&gt;&gt;",$CI$2="EXISTING"),SUMIFS('Existing Customers'!$P:$P,'Existing Customers'!$A:$A,$CH$1,'Existing Customers'!$H:$H,$CG22)*$CH$4,$CH22/$CT22),0))</f>
        <v>0</v>
      </c>
      <c r="CL22" s="93">
        <f>IF('Customer Inputs'!$W$7="End",0,IFERROR(IF(AND($CH$2&lt;&gt;"Enter Spend&gt;&gt;&gt;",$CI$2="EXISTING"),SUMIFS('Existing Customers'!$V:$V,'Existing Customers'!$H:$H,$CG22,'Existing Customers'!$A:$A,$CH$1)*$CH$4,0),0))</f>
        <v>0</v>
      </c>
      <c r="CM22" s="93">
        <f>IF('Customer Inputs'!$W$7="End",0,IFERROR(IF(AND($CH$2&lt;&gt;"Enter Spend&gt;&gt;&gt;",$CI$2="EXISTING"),SUMIFS('Existing Customers'!$R:$R,'Existing Customers'!$H:$H,$CG22,'Existing Customers'!$A:$A,$CH$1)*$CH$4,0),0))</f>
        <v>0</v>
      </c>
      <c r="CN22" s="780">
        <f>IF('Customer Inputs'!$W$7="End",0,IFERROR(IF(AND($CH$2&lt;&gt;"Enter Spend&gt;&gt;&gt;",$CI$2="EXISTING"),SUMIFS('Existing Customers'!$S:$S,'Existing Customers'!$H:$H,$CG22,'Existing Customers'!$A:$A,$CH$1)/SUMIFS('Existing Customers'!$Q:$Q,'Existing Customers'!$A:$A,$CH$1,'Existing Customers'!$H:$H,$CG22),CX22),0))</f>
        <v>0</v>
      </c>
      <c r="CO22" s="780">
        <f>IF('Customer Inputs'!$W$7="End",0,IFERROR(IF(AND($CH$2&lt;&gt;"Enter Spend&gt;&gt;&gt;",$CI$2="EXISTING"),SUMIFS('Existing Customers'!$U:$U,'Existing Customers'!$H:$H,$CG22,'Existing Customers'!$A:$A,$CH$1)/SUMIFS('Existing Customers'!$Q:$Q,'Existing Customers'!$A:$A,$CH$1,'Existing Customers'!$H:$H,$CG22),CY22),0))</f>
        <v>0</v>
      </c>
      <c r="CP22" s="783" t="e">
        <f>_xlfn.CONCAT('Customer Inputs'!$AH$7,"_",CG22)</f>
        <v>#N/A</v>
      </c>
      <c r="CQ22" s="783">
        <f t="array" ref="CQ22">IFERROR(INDEX('Margin Guidence Table'!$A$1:$AG$10000,MATCH(1,('Margin Guidence Table'!$A$1:$A$10000=$CP22)*('Margin Guidence Table'!$I$1:$I$10000&lt;=ROUND($CH$3,0))*('Margin Guidence Table'!$J$1:$J$10000&gt;=ROUND($CH$3,0)),0),MATCH("DATA_POINTS",'Margin Guidence Table'!$A$1:$AG$1,0)),0)</f>
        <v>0</v>
      </c>
      <c r="CR22" s="780" t="str">
        <f t="shared" si="35"/>
        <v>DEFAULT</v>
      </c>
      <c r="CS22" s="780">
        <f t="array" ref="CS22">IF('Customer Inputs'!$W$7="End",0,IFERROR(IF($CR22="SEGMENT",INDEX('Margin Guidence Table'!$A$1:$AG$10000,MATCH(1,('Margin Guidence Table'!$A$1:$A$10000=$CP22)*('Margin Guidence Table'!$I$1:$I$10000&lt;=ROUND($CH$3,0))*('Margin Guidence Table'!$J$1:$J$10000&gt;=ROUND($CH$3,0)),0),MATCH("SALES_CASE",'Margin Guidence Table'!$A$1:$AG$1,0)),INDEX('Margin Guidence Table'!$A$1:$AG$10000,MATCH(1,('Margin Guidence Table'!$A$1:$A$10000=$CP22)*('Margin Guidence Table'!$I$1:$I$10000&lt;=ROUND($CH$3,0))*('Margin Guidence Table'!$J$1:$J$10000&gt;=ROUND($CH$3,0)),0),MATCH("DEFAULT_SALES_CASE",'Margin Guidence Table'!$A$1:$AG$1,0))),0))</f>
        <v>0</v>
      </c>
      <c r="CT22" s="780">
        <f t="array" ref="CT22">IF('Customer Inputs'!$W$7="End",0,IFERROR(IF($CR22="SEGMENT",INDEX('Margin Guidence Table'!$A$1:$AG$10000,MATCH(1,('Margin Guidence Table'!$A$1:$A$10000=$CP22)*('Margin Guidence Table'!$I$1:$I$10000&lt;=ROUND($CH$3,0))*('Margin Guidence Table'!$J$1:$J$10000&gt;=ROUND($CH$3,0)),0),MATCH("SALES_LBS",'Margin Guidence Table'!$A$1:$AG$1,0)),INDEX('Margin Guidence Table'!$A$1:$AG$10000,MATCH(1,('Margin Guidence Table'!$A$1:$A$10000=$CP22)*('Margin Guidence Table'!$I$1:$I$10000&lt;=ROUND($CH$3,0))*('Margin Guidence Table'!$J$1:$J$10000&gt;=ROUND($CH$3,0)),0),MATCH("DEFAULT_SALES_LBS",'Margin Guidence Table'!$A$1:$AG$1,0))),0))</f>
        <v>0</v>
      </c>
      <c r="CU22" s="784">
        <f t="array" ref="CU22">IF('Customer Inputs'!$W$7="End",0,IFERROR(IF($CR22="SEGMENT",INDEX('Margin Guidence Table'!$A$1:$AG$10000,MATCH(1,('Margin Guidence Table'!$A$1:$A$10000=$CP22)*('Margin Guidence Table'!$I$1:$I$10000&lt;=ROUND($CH$3,0))*('Margin Guidence Table'!$J$1:$J$10000&gt;=ROUND($CH$3,0)),0),MATCH("MDA_MIN_MARGIN_GUIDENCE",'Margin Guidence Table'!$A$1:$AG$1,0)),INDEX('Margin Guidence Table'!$A$1:$AG$10000,MATCH(1,('Margin Guidence Table'!$A$1:$A$10000=$CP22)*('Margin Guidence Table'!$I$1:$I$10000&lt;=ROUND($CH$3,0))*('Margin Guidence Table'!$J$1:$J$10000&gt;=ROUND($CH$3,0)),0),MATCH("DEFAULT_MDA_MIN_MARGIN_GUIDENCE",'Margin Guidence Table'!$A$1:$AG$1,0))),0))</f>
        <v>0</v>
      </c>
      <c r="CV22" s="784">
        <f t="array" ref="CV22">IF('Customer Inputs'!$W$7="End",0,IFERROR(IF($CR22="SEGMENT",INDEX('Margin Guidence Table'!$A$1:$AG$10000,MATCH(1,('Margin Guidence Table'!$A$1:$A$10000=$CP22)*('Margin Guidence Table'!$I$1:$I$10000&lt;=ROUND($CH$3,0))*('Margin Guidence Table'!$J$1:$J$10000&gt;=ROUND($CH$3,0)),0),MATCH("MDA_MEDIAN_MARGIN_GUIDENCE",'Margin Guidence Table'!$A$1:$AG$1,0)),INDEX('Margin Guidence Table'!$A$1:$AG$10000,MATCH(1,('Margin Guidence Table'!$A$1:$A$10000=$CP22)*('Margin Guidence Table'!$I$1:$I$10000&lt;=ROUND($CH$3,0))*('Margin Guidence Table'!$J$1:$J$10000&gt;=ROUND($CH$3,0)),0),MATCH("DEFAULT_MDA_MEDIAN_MARGIN_GUIDENCE",'Margin Guidence Table'!$A$1:$AG$1,0))),0))</f>
        <v>0</v>
      </c>
      <c r="CW22" s="784">
        <f t="array" ref="CW22">IF('Customer Inputs'!$W$7="End",0,IFERROR(IF($CR22="SEGMENT",INDEX('Margin Guidence Table'!$A$1:$AG$10000,MATCH(1,('Margin Guidence Table'!$A$1:$A$10000=$CP22)*('Margin Guidence Table'!$I$1:$I$10000&lt;=ROUND($CH$3,0))*('Margin Guidence Table'!$J$1:$J$10000&gt;=ROUND($CH$3,0)),0),MATCH("MDA_MAX_MARGIN_GUIDENCE",'Margin Guidence Table'!$A$1:$AG$1,0)),INDEX('Margin Guidence Table'!$A$1:$AG$10000,MATCH(1,('Margin Guidence Table'!$A$1:$A$10000=$CP22)*('Margin Guidence Table'!$I$1:$I$10000&lt;=ROUND($CH$3,0))*('Margin Guidence Table'!$J$1:$J$10000&gt;=ROUND($CH$3,0)),0),MATCH("DEFAULT_MDA_MAX_MARGIN_GUIDENCE",'Margin Guidence Table'!$A$1:$AG$1,0))),0))</f>
        <v>0</v>
      </c>
      <c r="CX22" s="784">
        <f t="array" ref="CX22">IF('Customer Inputs'!$W$7="End",0,IFERROR(IF($CR22="SEGMENT",INDEX('Margin Guidence Table'!$A$1:$AG$10000,MATCH(1,('Margin Guidence Table'!$A$1:$A$10000=$CP22)*('Margin Guidence Table'!$I$1:$I$10000&lt;=ROUND($CH$3,0))*('Margin Guidence Table'!$J$1:$J$10000&gt;=ROUND($CH$3,0)),0),MATCH("PA_PCT_SALES",'Margin Guidence Table'!$A$1:$AG$1,0)),INDEX('Margin Guidence Table'!$A$1:$AG$10000,MATCH(1,('Margin Guidence Table'!$A$1:$A$10000=$CP22)*('Margin Guidence Table'!$I$1:$I$10000&lt;=ROUND($CH$3,0))*('Margin Guidence Table'!$J$1:$J$10000&gt;=ROUND($CH$3,0)),0),MATCH("DEFAULT_PA_PCT_SALES",'Margin Guidence Table'!$A$1:$AG$1,0))),0))</f>
        <v>0</v>
      </c>
      <c r="CY22" s="784">
        <f t="array" ref="CY22">IF('Customer Inputs'!$W$7="End",0,IFERROR(IF($CR22="SEGMENT",INDEX('Margin Guidence Table'!$A$1:$AG$10000,MATCH(1,('Margin Guidence Table'!$A$1:$A$10000=$CP22)*('Margin Guidence Table'!$I$1:$I$10000&lt;=ROUND($CH$3,0))*('Margin Guidence Table'!$J$1:$J$10000&gt;=ROUND($CH$3,0)),0),MATCH("SELF_FUND_PCT_SALES",'Margin Guidence Table'!$A$1:$AG$1,0)),INDEX('Margin Guidence Table'!$A$1:$AG$10000,MATCH(1,('Margin Guidence Table'!$A$1:$A$10000=$CP22)*('Margin Guidence Table'!$I$1:$I$10000&lt;=ROUND($CH$3,0))*('Margin Guidence Table'!$J$1:$J$10000&gt;=ROUND($CH$3,0)),0),MATCH("DEFAULT_SELF_FUND_PCT_SALES",'Margin Guidence Table'!$A$1:$AG$1,0))),0))</f>
        <v>0</v>
      </c>
      <c r="CZ22" s="784">
        <f t="array" ref="CZ22">IF('Customer Inputs'!$W$7="End",0,IF($CI$2="Existing",IFERROR(SUMIFS('Existing Customers'!$V:$V,'Existing Customers'!$H:$H,$CG22,'Existing Customers'!$A:$A,$CH$1)/SUMIFS('Existing Customers'!$Q:$Q,'Existing Customers'!$H:$H,$CG22,'Existing Customers'!$A:$A,$CH$1),0),IFERROR(IF($CR22="SEGMENT",INDEX('Margin Guidence Table'!$A$1:$AG$10000,MATCH(1,('Margin Guidence Table'!$A$1:$A$10000=$CP22)*('Margin Guidence Table'!$I$1:$I$10000&lt;=ROUND($CH$3,0))*('Margin Guidence Table'!$J$1:$J$10000&gt;=ROUND($CH$3,0)),0),MATCH("CIA_MEDIAN_MARGIN_GUIDENCE",'Margin Guidence Table'!$A$1:$AG$1,0)),INDEX('Margin Guidence Table'!$A$1:$AG$10000,MATCH(1,('Margin Guidence Table'!$A$1:$A$10000=$CP22)*('Margin Guidence Table'!$I$1:$I$10000&lt;=ROUND($CH$3,0))*('Margin Guidence Table'!$J$1:$J$10000&gt;=ROUND($CH$3,0)),0),MATCH("DEFAULT_CIA_MEDIAN_MARGIN_GUIDENCE",'Margin Guidence Table'!$A$1:$AG$1,0))),0)))</f>
        <v>0</v>
      </c>
      <c r="DA22" s="126"/>
      <c r="DB22" s="18">
        <f t="array" ref="DB22">IF('Customer Inputs'!$W$8="End",0,IFERROR(IF($DO22="SEGMENT",INDEX('Margin Guidence Table'!$A$1:$AG$10000,MATCH(1,('Margin Guidence Table'!$A$1:$A$10000=$DM22)*('Margin Guidence Table'!$I$1:$I$10000&lt;=ROUND($DE$3,0))*('Margin Guidence Table'!$J$1:$J$10000&gt;=ROUND($DE$3,0)),0),MATCH("PCT_SALES",'Margin Guidence Table'!$A$1:$AG$1,0)),INDEX('Margin Guidence Table'!$A$1:$AG$10000,MATCH(1,('Margin Guidence Table'!$A$1:$A$10000=$DM22)*('Margin Guidence Table'!$I$1:$I$10000&lt;=ROUND($DE$3,0))*('Margin Guidence Table'!$J$1:$J$10000&gt;=ROUND($DE$3,0)),0),MATCH("DEFAULT_PCT_SALES",'Margin Guidence Table'!$A$1:$AG$1,0))),0))</f>
        <v>0</v>
      </c>
      <c r="DC22" s="297" t="e">
        <f t="shared" si="36"/>
        <v>#DIV/0!</v>
      </c>
      <c r="DD22" s="99" t="s">
        <v>96</v>
      </c>
      <c r="DE22" s="91">
        <f>IF('Customer Inputs'!$W$8="End",0,IFERROR(IF(AND($DE$2&lt;&gt;"Enter Spend&gt;&gt;&gt;",$DF$2="EXISTING"),SUMIFS('Existing Customers'!$Q:$Q,'Existing Customers'!$A:$A,$DE$1,'Existing Customers'!$H:$H,$DD22)*$DE$4,$DE$3*$DC22),0))</f>
        <v>0</v>
      </c>
      <c r="DF22" s="86">
        <f>IF('Customer Inputs'!$W$8="End",0,IFERROR(IF(AND($DE$2&lt;&gt;"Enter Spend&gt;&gt;&gt;",$DF$2="EXISTING"),SUMIFS('Existing Customers'!$N:$N,'Existing Customers'!$A:$A,$DE$1,'Existing Customers'!$H:$H,$DD22)*$DE$4,$DE22/$DP22),0))</f>
        <v>0</v>
      </c>
      <c r="DG22" s="92">
        <f>IF('Customer Inputs'!$W$8="End",0,IFERROR(IF(AND($DE$2&lt;&gt;"Enter Spend&gt;&gt;&gt;",$DF$2="EXISTING"),SUMIFS('Existing Customers'!$O:$O,'Existing Customers'!$H:$H,$DD22,'Existing Customers'!$A:$A,$DE$1)*$DE$4,$DF22*$DE$8),0))</f>
        <v>0</v>
      </c>
      <c r="DH22" s="92">
        <f>IF('Customer Inputs'!$W$8="End",0,IFERROR(IF(AND($DE$2&lt;&gt;"Enter Spend&gt;&gt;&gt;",$DF$2="EXISTING"),SUMIFS('Existing Customers'!$P:$P,'Existing Customers'!$A:$A,$DE$1,'Existing Customers'!$H:$H,$DD22)*$DE$4,$DE22/$DQ22),0))</f>
        <v>0</v>
      </c>
      <c r="DI22" s="93">
        <f>IF('Customer Inputs'!$W$8="End",0,IFERROR(IF(AND($DE$2&lt;&gt;"Enter Spend&gt;&gt;&gt;",$DF$2="EXISTING"),SUMIFS('Existing Customers'!$V:$V,'Existing Customers'!$H:$H,$DD22,'Existing Customers'!$A:$A,$DE$1)*$DE$4,0),0))</f>
        <v>0</v>
      </c>
      <c r="DJ22" s="93">
        <f>IF('Customer Inputs'!$W$8="End",0,IFERROR(IF(AND($DE$2&lt;&gt;"Enter Spend&gt;&gt;&gt;",$DF$2="EXISTING"),SUMIFS('Existing Customers'!$R:$R,'Existing Customers'!$H:$H,$DD22,'Existing Customers'!$A:$A,$DE$1)*$DE$4,0),0))</f>
        <v>0</v>
      </c>
      <c r="DK22" s="780">
        <f>IF('Customer Inputs'!$W$8="End",0,IFERROR(IF(AND($DE$2&lt;&gt;"Enter Spend&gt;&gt;&gt;",$DF$2="EXISTING"),SUMIFS('Existing Customers'!$S:$S,'Existing Customers'!$H:$H,$DD22,'Existing Customers'!$A:$A,$DE$1)/SUMIFS('Existing Customers'!$Q:$Q,'Existing Customers'!$A:$A,$DE$1,'Existing Customers'!$H:$H,$DD22),DU22),0))</f>
        <v>0</v>
      </c>
      <c r="DL22" s="780">
        <f>IF('Customer Inputs'!$W$8="End",0,IFERROR(IF(AND($DE$2&lt;&gt;"Enter Spend&gt;&gt;&gt;",$DF$2="EXISTING"),SUMIFS('Existing Customers'!$U:$U,'Existing Customers'!$H:$H,$DD22,'Existing Customers'!$A:$A,$DE$1)/SUMIFS('Existing Customers'!$Q:$Q,'Existing Customers'!$A:$A,$DE$1,'Existing Customers'!$H:$H,$DD22),DV22),0))</f>
        <v>0</v>
      </c>
      <c r="DM22" s="783" t="e">
        <f>_xlfn.CONCAT('Customer Inputs'!$AH$8,"_",DD22)</f>
        <v>#N/A</v>
      </c>
      <c r="DN22" s="783">
        <f t="array" ref="DN22">IF('Customer Inputs'!$W$8="End",0,IFERROR(INDEX('Margin Guidence Table'!$A$1:$AG$10000,MATCH(1,('Margin Guidence Table'!$A$1:$A$10000=DM22)*('Margin Guidence Table'!$I$1:$I$10000&lt;=ROUND($DE$3,0))*('Margin Guidence Table'!$J$1:$J$10000&gt;=ROUND($DE$3,0)),0),MATCH("DATA_POINTS",'Margin Guidence Table'!$A$1:$AG$1,0)),0))</f>
        <v>0</v>
      </c>
      <c r="DO22" s="780" t="str">
        <f t="shared" si="37"/>
        <v>DEFAULT</v>
      </c>
      <c r="DP22" s="780">
        <f t="array" ref="DP22">IF('Customer Inputs'!$W$8="End",0,IFERROR(IF($DO22="SEGMENT",INDEX('Margin Guidence Table'!$A$1:$AG$10000,MATCH(1,('Margin Guidence Table'!$A$1:$A$10000=DM22)*('Margin Guidence Table'!$I$1:$I$10000&lt;=ROUND($DE$3,0))*('Margin Guidence Table'!$J$1:$J$10000&gt;=ROUND($DE$3,0)),0),MATCH("SALES_CASE",'Margin Guidence Table'!$A$1:$AG$1,0)),INDEX('Margin Guidence Table'!$A$1:$AG$10000,MATCH(1,('Margin Guidence Table'!$A$1:$A$10000=DM22)*('Margin Guidence Table'!$I$1:$I$10000&lt;=ROUND($DE$3,0))*('Margin Guidence Table'!$J$1:$J$10000&gt;=ROUND($DE$3,0)),0),MATCH("DEFAULT_SALES_CASE",'Margin Guidence Table'!$A$1:$AG$1,0))),0))</f>
        <v>0</v>
      </c>
      <c r="DQ22" s="780">
        <f t="array" ref="DQ22">IF('Customer Inputs'!$W$8="End",0,IFERROR(IF($DO22="SEGMENT",INDEX('Margin Guidence Table'!$A$1:$AG$10000,MATCH(1,('Margin Guidence Table'!$A$1:$A$10000=DM22)*('Margin Guidence Table'!$I$1:$I$10000&lt;=ROUND($DE$3,0))*('Margin Guidence Table'!$J$1:$J$10000&gt;=ROUND($DE$3,0)),0),MATCH("SALES_LBS",'Margin Guidence Table'!$A$1:$AG$1,0)),INDEX('Margin Guidence Table'!$A$1:$AG$10000,MATCH(1,('Margin Guidence Table'!$A$1:$A$10000=DM22)*('Margin Guidence Table'!$I$1:$I$10000&lt;=ROUND($DE$3,0))*('Margin Guidence Table'!$J$1:$J$10000&gt;=ROUND($DE$3,0)),0),MATCH("DEFAULT_SALES_LBS",'Margin Guidence Table'!$A$1:$AG$1,0))),0))</f>
        <v>0</v>
      </c>
      <c r="DR22" s="784">
        <f t="array" ref="DR22">IF('Customer Inputs'!$W$8="End",0,IFERROR(IF($DO22="SEGMENT",INDEX('Margin Guidence Table'!$A$1:$AG$10000,MATCH(1,('Margin Guidence Table'!$A$1:$A$10000=DM22)*('Margin Guidence Table'!$I$1:$I$10000&lt;=ROUND($DE$3,0))*('Margin Guidence Table'!$J$1:$J$10000&gt;=ROUND($DE$3,0)),0),MATCH("MDA_MIN_MARGIN_GUIDENCE",'Margin Guidence Table'!$A$1:$AG$1,0)),INDEX('Margin Guidence Table'!$A$1:$AG$10000,MATCH(1,('Margin Guidence Table'!$A$1:$A$10000=DM22)*('Margin Guidence Table'!$I$1:$I$10000&lt;=ROUND($DE$3,0))*('Margin Guidence Table'!$J$1:$J$10000&gt;=ROUND($DE$3,0)),0),MATCH("DEFAULT_MDA_MIN_MARGIN_GUIDENCE",'Margin Guidence Table'!$A$1:$AG$1,0))),0))</f>
        <v>0</v>
      </c>
      <c r="DS22" s="784">
        <f t="array" ref="DS22">IF('Customer Inputs'!$W$8="End",0,IFERROR(IF($DO22="SEGMENT",INDEX('Margin Guidence Table'!$A$1:$AG$10000,MATCH(1,('Margin Guidence Table'!$A$1:$A$10000=DM22)*('Margin Guidence Table'!$I$1:$I$10000&lt;=ROUND($DE$3,0))*('Margin Guidence Table'!$J$1:$J$10000&gt;=ROUND($DE$3,0)),0),MATCH("MDA_MEDIAN_MARGIN_GUIDENCE",'Margin Guidence Table'!$A$1:$AG$1,0)),INDEX('Margin Guidence Table'!$A$1:$AG$10000,MATCH(1,('Margin Guidence Table'!$A$1:$A$10000=DM22)*('Margin Guidence Table'!$I$1:$I$10000&lt;=ROUND($DE$3,0))*('Margin Guidence Table'!$J$1:$J$10000&gt;=ROUND($DE$3,0)),0),MATCH("DEFAULT_MDA_MEDIAN_MARGIN_GUIDENCE",'Margin Guidence Table'!$A$1:$AG$1,0))),0))</f>
        <v>0</v>
      </c>
      <c r="DT22" s="784">
        <f t="array" ref="DT22">IF('Customer Inputs'!$W$8="End",0,IFERROR(IF($DO22="SEGMENT",INDEX('Margin Guidence Table'!$A$1:$AG$10000,MATCH(1,('Margin Guidence Table'!$A$1:$A$10000=DM22)*('Margin Guidence Table'!$I$1:$I$10000&lt;=ROUND($DE$3,0))*('Margin Guidence Table'!$J$1:$J$10000&gt;=ROUND($DE$3,0)),0),MATCH("MDA_MAX_MARGIN_GUIDENCE",'Margin Guidence Table'!$A$1:$AG$1,0)),INDEX('Margin Guidence Table'!$A$1:$AG$10000,MATCH(1,('Margin Guidence Table'!$A$1:$A$10000=DM22)*('Margin Guidence Table'!$I$1:$I$10000&lt;=ROUND($DE$3,0))*('Margin Guidence Table'!$J$1:$J$10000&gt;=ROUND($DE$3,0)),0),MATCH("DEFAULT_MDA_MAX_MARGIN_GUIDENCE",'Margin Guidence Table'!$A$1:$AG$1,0))),0))</f>
        <v>0</v>
      </c>
      <c r="DU22" s="784">
        <f t="array" ref="DU22">IF('Customer Inputs'!$W$8="End",0,IFERROR(IF($DO22="SEGMENT",INDEX('Margin Guidence Table'!$A$1:$AG$10000,MATCH(1,('Margin Guidence Table'!$A$1:$A$10000=DM22)*('Margin Guidence Table'!$I$1:$I$10000&lt;=ROUND($DE$3,0))*('Margin Guidence Table'!$J$1:$J$10000&gt;=ROUND($DE$3,0)),0),MATCH("PA_PCT_SALES",'Margin Guidence Table'!$A$1:$AG$1,0)),INDEX('Margin Guidence Table'!$A$1:$AG$10000,MATCH(1,('Margin Guidence Table'!$A$1:$A$10000=DM22)*('Margin Guidence Table'!$I$1:$I$10000&lt;=ROUND($DE$3,0))*('Margin Guidence Table'!$J$1:$J$10000&gt;=ROUND($DE$3,0)),0),MATCH("DEFAULT_PA_PCT_SALES",'Margin Guidence Table'!$A$1:$AG$1,0))),0))</f>
        <v>0</v>
      </c>
      <c r="DV22" s="784">
        <f t="array" ref="DV22">IF('Customer Inputs'!$W$8="End",0,IFERROR(IF($DO22="SEGMENT",INDEX('Margin Guidence Table'!$A$1:$AG$10000,MATCH(1,('Margin Guidence Table'!$A$1:$A$10000=DM22)*('Margin Guidence Table'!$I$1:$I$10000&lt;=ROUND($DE$3,0))*('Margin Guidence Table'!$J$1:$J$10000&gt;=ROUND($DE$3,0)),0),MATCH("SELF_FUND_PCT_SALES",'Margin Guidence Table'!$A$1:$AG$1,0)),INDEX('Margin Guidence Table'!$A$1:$AG$10000,MATCH(1,('Margin Guidence Table'!$A$1:$A$10000=DM22)*('Margin Guidence Table'!$I$1:$I$10000&lt;=ROUND($DE$3,0))*('Margin Guidence Table'!$J$1:$J$10000&gt;=ROUND($DE$3,0)),0),MATCH("DEFAULT_SELF_FUND_PCT_SALES",'Margin Guidence Table'!$A$1:$AG$1,0))),0))</f>
        <v>0</v>
      </c>
      <c r="DW22" s="784">
        <f t="array" ref="DW22">IF('Customer Inputs'!$W$8="End",0,IF($DF$2="Existing",IFERROR(SUMIFS('Existing Customers'!$V:$V,'Existing Customers'!$H:$H,$DD22,'Existing Customers'!$A:$A,$DE$1)/SUMIFS('Existing Customers'!$Q:$Q,'Existing Customers'!$H:$H,$DD22,'Existing Customers'!$A:$A,$DE$1),0),IFERROR(IF($DO22="SEGMENT",INDEX('Margin Guidence Table'!$A$1:$AG$10000,MATCH(1,('Margin Guidence Table'!$A$1:$A$10000=DM22)*('Margin Guidence Table'!$I$1:$I$10000&lt;=ROUND($DE$3,0))*('Margin Guidence Table'!$J$1:$J$10000&gt;=ROUND($DE$3,0)),0),MATCH("CIA_MEDIAN_MARGIN_GUIDENCE",'Margin Guidence Table'!$A$1:$AG$1,0)),INDEX('Margin Guidence Table'!$A$1:$AG$10000,MATCH(1,('Margin Guidence Table'!$A$1:$A$10000=DM22)*('Margin Guidence Table'!$I$1:$I$10000&lt;=ROUND($DE$3,0))*('Margin Guidence Table'!$J$1:$J$10000&gt;=ROUND($DE$3,0)),0),MATCH("DEFAULT_CIA_MEDIAN_MARGIN_GUIDENCE",'Margin Guidence Table'!$A$1:$AG$1,0))),0)))</f>
        <v>0</v>
      </c>
      <c r="DX22" s="126"/>
      <c r="DY22" s="18">
        <f t="array" ref="DY22">IF('Customer Inputs'!$W$9="End",0,IFERROR(IF($EL22="SEGMENT",INDEX('Margin Guidence Table'!$A$1:$AG$10000,MATCH(1,('Margin Guidence Table'!$A$1:$A$10000=$EJ22)*('Margin Guidence Table'!$I$1:$I$10000&lt;=ROUND($EB$3,0))*('Margin Guidence Table'!$J$1:$J$10000&gt;=ROUND($EB$3,0)),0),MATCH("PCT_SALES",'Margin Guidence Table'!$A$1:$AG$1,0)),INDEX('Margin Guidence Table'!$A$1:$AG$10000,MATCH(1,('Margin Guidence Table'!$A$1:$A$10000=$EJ22)*('Margin Guidence Table'!$I$1:$I$10000&lt;=ROUND($EB$3,0))*('Margin Guidence Table'!$J$1:$J$10000&gt;=ROUND($EB$3,0)),0),MATCH("DEFAULT_PCT_SALES",'Margin Guidence Table'!$A$1:$AG$1,0))),0))</f>
        <v>0</v>
      </c>
      <c r="DZ22" s="297" t="e">
        <f t="shared" si="38"/>
        <v>#DIV/0!</v>
      </c>
      <c r="EA22" s="99" t="s">
        <v>96</v>
      </c>
      <c r="EB22" s="91">
        <f>IF('Customer Inputs'!$W$9="End",0,IFERROR(IF(AND($EB$2&lt;&gt;"Enter Spend&gt;&gt;&gt;",$EC$2="EXISTING"),SUMIFS('Existing Customers'!$Q:$Q,'Existing Customers'!$A:$A,$EB$1,'Existing Customers'!$H:$H,$EA22)*$EB$4,$EB$3*$DZ22),0))</f>
        <v>0</v>
      </c>
      <c r="EC22" s="86">
        <f>IF('Customer Inputs'!$W$9="End",0,IFERROR(IF(AND($EB$2&lt;&gt;"Enter Spend&gt;&gt;&gt;",$EC$2="EXISTING"),SUMIFS('Existing Customers'!$N:$N,'Existing Customers'!$A:$A,$EB$1,'Existing Customers'!$H:$H,$EA22)*$EB$4,$EB22/$EM22),0))</f>
        <v>0</v>
      </c>
      <c r="ED22" s="92">
        <f>IF('Customer Inputs'!$W$9="End",0,IFERROR(IF(AND($EB$2&lt;&gt;"Enter Spend&gt;&gt;&gt;",$EC$2="EXISTING"),SUMIFS('Existing Customers'!$O:$O,'Existing Customers'!$H:$H,$EA22,'Existing Customers'!$A:$A,$EB$1)*$EB$4,$EC22*$EB$8),0))</f>
        <v>0</v>
      </c>
      <c r="EE22" s="92">
        <f>IF('Customer Inputs'!$W$9="End",0,IFERROR(IF(AND($EB$2&lt;&gt;"Enter Spend&gt;&gt;&gt;",$EC$2="EXISTING"),SUMIFS('Existing Customers'!$P:$P,'Existing Customers'!$A:$A,$EB$1,'Existing Customers'!$H:$H,$EA22)*$EB$4,$EB22/$EN22),0))</f>
        <v>0</v>
      </c>
      <c r="EF22" s="93">
        <f>IF('Customer Inputs'!$W$9="End",0,IFERROR(IF(AND($EB$2&lt;&gt;"Enter Spend&gt;&gt;&gt;",$EC$2="EXISTING"),SUMIFS('Existing Customers'!$V:$V,'Existing Customers'!$H:$H,$EA22,'Existing Customers'!$A:$A,$EB$1)*$EB$4,0),0))</f>
        <v>0</v>
      </c>
      <c r="EG22" s="93">
        <f>IF('Customer Inputs'!$W$9="End",0,IFERROR(IF(AND($EB$2&lt;&gt;"Enter Spend&gt;&gt;&gt;",$EC$2="EXISTING"),SUMIFS('Existing Customers'!$R:$R,'Existing Customers'!$H:$H,$EA22,'Existing Customers'!$A:$A,$EB$1)*$EB$4,0),0))</f>
        <v>0</v>
      </c>
      <c r="EH22" s="780">
        <f>IF('Customer Inputs'!$W$9="End",0,IFERROR(IF(AND($EB$2&lt;&gt;"Enter Spend&gt;&gt;&gt;",$EC$2="EXISTING"),SUMIFS('Existing Customers'!$S:$S,'Existing Customers'!$H:$H,$EA22,'Existing Customers'!$A:$A,$EB$1)/SUMIFS('Existing Customers'!$Q:$Q,'Existing Customers'!$A:$A,$EB$1,'Existing Customers'!$H:$H,$EA22),ER22),0))</f>
        <v>0</v>
      </c>
      <c r="EI22" s="780">
        <f>IF('Customer Inputs'!$W$9="End",0,IFERROR(IF(AND($EB$2&lt;&gt;"Enter Spend&gt;&gt;&gt;",$EC$2="EXISTING"),SUMIFS('Existing Customers'!$U:$U,'Existing Customers'!$H:$H,$EA22,'Existing Customers'!$A:$A,$EB$1)/SUMIFS('Existing Customers'!$Q:$Q,'Existing Customers'!$A:$A,$EB$1,'Existing Customers'!$H:$H,$EA22),ES22),0))</f>
        <v>0</v>
      </c>
      <c r="EJ22" s="783" t="e">
        <f>_xlfn.CONCAT('Customer Inputs'!$AH$9,"_",EA22)</f>
        <v>#N/A</v>
      </c>
      <c r="EK22" s="783">
        <f t="array" ref="EK22">IF('Customer Inputs'!$W$9="End",0,IFERROR(INDEX('Margin Guidence Table'!$A$1:$AG$10000,MATCH(1,('Margin Guidence Table'!$A$1:$A$10000=EJ22)*('Margin Guidence Table'!$I$1:$I$10000&lt;=ROUND($EB$3,0))*('Margin Guidence Table'!$J$1:$J$10000&gt;=ROUND($EB$3,0)),0),MATCH("DATA_POINTS",'Margin Guidence Table'!$A$1:$AG$1,0)),0))</f>
        <v>0</v>
      </c>
      <c r="EL22" s="780" t="str">
        <f t="shared" si="39"/>
        <v>DEFAULT</v>
      </c>
      <c r="EM22" s="780">
        <f t="array" ref="EM22">IF('Customer Inputs'!$W$9="End",0,IFERROR(IF($EL22="SEGMENT",INDEX('Margin Guidence Table'!$A$1:$AG$10000,MATCH(1,('Margin Guidence Table'!$A$1:$A$10000=EJ22)*('Margin Guidence Table'!$I$1:$I$10000&lt;=ROUND($EB$3,0))*('Margin Guidence Table'!$J$1:$J$10000&gt;=ROUND($EB$3,0)),0),MATCH("SALES_CASE",'Margin Guidence Table'!$A$1:$AG$1,0)),INDEX('Margin Guidence Table'!$A$1:$AG$10000,MATCH(1,('Margin Guidence Table'!$A$1:$A$10000=EJ22)*('Margin Guidence Table'!$I$1:$I$10000&lt;=ROUND($EB$3,0))*('Margin Guidence Table'!$J$1:$J$10000&gt;=ROUND($EB$3,0)),0),MATCH("DEFAULT_SALES_CASE",'Margin Guidence Table'!$A$1:$AG$1,0))),0))</f>
        <v>0</v>
      </c>
      <c r="EN22" s="780">
        <f t="array" ref="EN22">IF('Customer Inputs'!$W$9="End",0,IFERROR(IF($EL22="SEGMENT",INDEX('Margin Guidence Table'!$A$1:$AG$10000,MATCH(1,('Margin Guidence Table'!$A$1:$A$10000=EJ22)*('Margin Guidence Table'!$I$1:$I$10000&lt;=ROUND($EB$3,0))*('Margin Guidence Table'!$J$1:$J$10000&gt;=ROUND($EB$3,0)),0),MATCH("SALES_LBS",'Margin Guidence Table'!$A$1:$AG$1,0)),INDEX('Margin Guidence Table'!$A$1:$AG$10000,MATCH(1,('Margin Guidence Table'!$A$1:$A$10000=EJ22)*('Margin Guidence Table'!$I$1:$I$10000&lt;=ROUND($EB$3,0))*('Margin Guidence Table'!$J$1:$J$10000&gt;=ROUND($EB$3,0)),0),MATCH("DEFAULT_SALES_LBS",'Margin Guidence Table'!$A$1:$AG$1,0))),0))</f>
        <v>0</v>
      </c>
      <c r="EO22" s="784">
        <f t="array" ref="EO22">IF('Customer Inputs'!$W$9="End",0,IFERROR(IF($EL22="SEGMENT",INDEX('Margin Guidence Table'!$A$1:$AG$10000,MATCH(1,('Margin Guidence Table'!$A$1:$A$10000=EJ22)*('Margin Guidence Table'!$I$1:$I$10000&lt;=ROUND($EB$3,0))*('Margin Guidence Table'!$J$1:$J$10000&gt;=ROUND($EB$3,0)),0),MATCH("MDA_MIN_MARGIN_GUIDENCE",'Margin Guidence Table'!$A$1:$AG$1,0)),INDEX('Margin Guidence Table'!$A$1:$AG$10000,MATCH(1,('Margin Guidence Table'!$A$1:$A$10000=EJ22)*('Margin Guidence Table'!$I$1:$I$10000&lt;=ROUND($EB$3,0))*('Margin Guidence Table'!$J$1:$J$10000&gt;=ROUND($EB$3,0)),0),MATCH("DEFAULT_MDA_MIN_MARGIN_GUIDENCE",'Margin Guidence Table'!$A$1:$AG$1,0))),0))</f>
        <v>0</v>
      </c>
      <c r="EP22" s="784">
        <f t="array" ref="EP22">IF('Customer Inputs'!$W$9="End",0,IFERROR(IF($EL22="SEGMENT",INDEX('Margin Guidence Table'!$A$1:$AG$10000,MATCH(1,('Margin Guidence Table'!$A$1:$A$10000=EJ22)*('Margin Guidence Table'!$I$1:$I$10000&lt;=ROUND($EB$3,0))*('Margin Guidence Table'!$J$1:$J$10000&gt;=ROUND($EB$3,0)),0),MATCH("MDA_MEDIAN_MARGIN_GUIDENCE",'Margin Guidence Table'!$A$1:$AG$1,0)),INDEX('Margin Guidence Table'!$A$1:$AG$10000,MATCH(1,('Margin Guidence Table'!$A$1:$A$10000=EJ22)*('Margin Guidence Table'!$I$1:$I$10000&lt;=ROUND($EB$3,0))*('Margin Guidence Table'!$J$1:$J$10000&gt;=ROUND($EB$3,0)),0),MATCH("DEFAULT_MDA_MEDIAN_MARGIN_GUIDENCE",'Margin Guidence Table'!$A$1:$AG$1,0))),0))</f>
        <v>0</v>
      </c>
      <c r="EQ22" s="784">
        <f t="array" ref="EQ22">IF('Customer Inputs'!$W$9="End",0,IFERROR(IF($EL22="SEGMENT",INDEX('Margin Guidence Table'!$A$1:$AG$10000,MATCH(1,('Margin Guidence Table'!$A$1:$A$10000=EJ22)*('Margin Guidence Table'!$I$1:$I$10000&lt;=ROUND($EB$3,0))*('Margin Guidence Table'!$J$1:$J$10000&gt;=ROUND($EB$3,0)),0),MATCH("MDA_MAX_MARGIN_GUIDENCE",'Margin Guidence Table'!$A$1:$AG$1,0)),INDEX('Margin Guidence Table'!$A$1:$AG$10000,MATCH(1,('Margin Guidence Table'!$A$1:$A$10000=EJ22)*('Margin Guidence Table'!$I$1:$I$10000&lt;=ROUND($EB$3,0))*('Margin Guidence Table'!$J$1:$J$10000&gt;=ROUND($EB$3,0)),0),MATCH("DEFAULT_MDA_MAX_MARGIN_GUIDENCE",'Margin Guidence Table'!$A$1:$AG$1,0))),0))</f>
        <v>0</v>
      </c>
      <c r="ER22" s="784">
        <f t="array" ref="ER22">IF('Customer Inputs'!$W$9="End",0,IFERROR(IF($EL22="SEGMENT",INDEX('Margin Guidence Table'!$A$1:$AG$10000,MATCH(1,('Margin Guidence Table'!$A$1:$A$10000=EJ22)*('Margin Guidence Table'!$I$1:$I$10000&lt;=ROUND($EB$3,0))*('Margin Guidence Table'!$J$1:$J$10000&gt;=ROUND($EB$3,0)),0),MATCH("PA_PCT_SALES",'Margin Guidence Table'!$A$1:$AG$1,0)),INDEX('Margin Guidence Table'!$A$1:$AG$10000,MATCH(1,('Margin Guidence Table'!$A$1:$A$10000=EJ22)*('Margin Guidence Table'!$I$1:$I$10000&lt;=ROUND($EB$3,0))*('Margin Guidence Table'!$J$1:$J$10000&gt;=ROUND($EB$3,0)),0),MATCH("DEFAULT_PA_PCT_SALES",'Margin Guidence Table'!$A$1:$AG$1,0))),0))</f>
        <v>0</v>
      </c>
      <c r="ES22" s="784">
        <f t="array" ref="ES22">IF('Customer Inputs'!$W$9="End",0,IFERROR(IF($EL22="SEGMENT",INDEX('Margin Guidence Table'!$A$1:$AG$10000,MATCH(1,('Margin Guidence Table'!$A$1:$A$10000=EJ22)*('Margin Guidence Table'!$I$1:$I$10000&lt;=ROUND($EB$3,0))*('Margin Guidence Table'!$J$1:$J$10000&gt;=ROUND($EB$3,0)),0),MATCH("SELF_FUND_PCT_SALES",'Margin Guidence Table'!$A$1:$AG$1,0)),INDEX('Margin Guidence Table'!$A$1:$AG$10000,MATCH(1,('Margin Guidence Table'!$A$1:$A$10000=EJ22)*('Margin Guidence Table'!$I$1:$I$10000&lt;=ROUND($EB$3,0))*('Margin Guidence Table'!$J$1:$J$10000&gt;=ROUND($EB$3,0)),0),MATCH("DEFAULT_SELF_FUND_PCT_SALES",'Margin Guidence Table'!$A$1:$AG$1,0))),0))</f>
        <v>0</v>
      </c>
      <c r="ET22" s="784">
        <f t="array" ref="ET22">IF('Customer Inputs'!$W$9="End",0,IF($EC$2="Existing",IFERROR(SUMIFS('Existing Customers'!$V:$V,'Existing Customers'!$H:$H,$EA22,'Existing Customers'!$A:$A,$EB$1)/SUMIFS('Existing Customers'!$Q:$Q,'Existing Customers'!$H:$H,$EA22,'Existing Customers'!$A:$A,$EB$1),0),IFERROR(IF($EL22="SEGMENT",INDEX('Margin Guidence Table'!$A$1:$AG$10000,MATCH(1,('Margin Guidence Table'!$A$1:$A$10000=EJ22)*('Margin Guidence Table'!$I$1:$I$10000&lt;=ROUND($EB$3,0))*('Margin Guidence Table'!$J$1:$J$10000&gt;=ROUND($EB$3,0)),0),MATCH("CIA_MEDIAN_MARGIN_GUIDENCE",'Margin Guidence Table'!$A$1:$AG$1,0)),INDEX('Margin Guidence Table'!$A$1:$AG$10000,MATCH(1,('Margin Guidence Table'!$A$1:$A$10000=EJ22)*('Margin Guidence Table'!$I$1:$I$10000&lt;=ROUND($EB$3,0))*('Margin Guidence Table'!$J$1:$J$10000&gt;=ROUND($EB$3,0)),0),MATCH("DEFAULT_CIA_MEDIAN_MARGIN_GUIDENCE",'Margin Guidence Table'!$A$1:$AG$1,0))),0)))</f>
        <v>0</v>
      </c>
      <c r="EU22" s="126"/>
      <c r="EV22" s="18">
        <f t="array" ref="EV22">IF('Customer Inputs'!$W$10="End",0,IFERROR(IF($FI22="SEGMENT",INDEX('Margin Guidence Table'!$A$1:$AG$10000,MATCH(1,('Margin Guidence Table'!$A$1:$A$10000=$FG22)*('Margin Guidence Table'!$I$1:$I$10000&lt;=ROUND($EY$3,0))*('Margin Guidence Table'!$J$1:$J$10000&gt;=ROUND($EY$3,0)),0),MATCH("PCT_SALES",'Margin Guidence Table'!$A$1:$AG$1,0)),INDEX('Margin Guidence Table'!$A$1:$AG$10000,MATCH(1,('Margin Guidence Table'!$A$1:$A$10000=$FG22)*('Margin Guidence Table'!$I$1:$I$10000&lt;=ROUND($EY$3,0))*('Margin Guidence Table'!$J$1:$J$10000&gt;=ROUND($EY$3,0)),0),MATCH("DEFAULT_PCT_SALES",'Margin Guidence Table'!$A$1:$AG$1,0))),0))</f>
        <v>0</v>
      </c>
      <c r="EW22" s="297" t="e">
        <f t="shared" si="40"/>
        <v>#DIV/0!</v>
      </c>
      <c r="EX22" s="99" t="s">
        <v>96</v>
      </c>
      <c r="EY22" s="91">
        <f>IF('Customer Inputs'!$W$10="End",0,IFERROR(IF(AND($EY$2&lt;&gt;"Enter Spend&gt;&gt;&gt;",$EZ$2="EXISTING"),SUMIFS('Existing Customers'!$Q:$Q,'Existing Customers'!$A:$A,$EY$1,'Existing Customers'!$H:$H,$EX22)*$EY$4,$EY$3*$EW22),0))</f>
        <v>0</v>
      </c>
      <c r="EZ22" s="86">
        <f>IF('Customer Inputs'!$W$10="End",0,IFERROR(IF(AND($EY$2&lt;&gt;"Enter Spend&gt;&gt;&gt;",$EZ$2="EXISTING"),SUMIFS('Existing Customers'!$N:$N,'Existing Customers'!$A:$A,$EY$1,'Existing Customers'!$H:$H,$EX22)*$EY$4,$EY22/$FJ22),0))</f>
        <v>0</v>
      </c>
      <c r="FA22" s="92">
        <f>IF('Customer Inputs'!$W$10="End",0,IFERROR(IF(AND($EY$2&lt;&gt;"Enter Spend&gt;&gt;&gt;",$EZ$2="EXISTING"),SUMIFS('Existing Customers'!$O:$O,'Existing Customers'!$H:$H,$EX22,'Existing Customers'!$A:$A,$EY$1)*$EY$4,$EZ22*$EY$8),0))</f>
        <v>0</v>
      </c>
      <c r="FB22" s="92">
        <f>IF('Customer Inputs'!$W$10="End",0,IFERROR(IF(AND($EY$2&lt;&gt;"Enter Spend&gt;&gt;&gt;",$EZ$2="EXISTING"),SUMIFS('Existing Customers'!$P:$P,'Existing Customers'!$A:$A,$EY$1,'Existing Customers'!$H:$H,$EX22)*$EY$4,$EY22/$FK22),0))</f>
        <v>0</v>
      </c>
      <c r="FC22" s="93">
        <f>IF('Customer Inputs'!$W$10="End",0,IFERROR(IF(AND($EY$2&lt;&gt;"Enter Spend&gt;&gt;&gt;",$EZ$2="EXISTING"),SUMIFS('Existing Customers'!$V:$V,'Existing Customers'!$H:$H,$EX22,'Existing Customers'!$A:$A,$EY$1)*$EY$4,0),0))</f>
        <v>0</v>
      </c>
      <c r="FD22" s="93">
        <f>IF('Customer Inputs'!$W$10="End",0,IFERROR(IF(AND($EY$2&lt;&gt;"Enter Spend&gt;&gt;&gt;",$EZ$2="EXISTING"),SUMIFS('Existing Customers'!$R:$R,'Existing Customers'!$H:$H,$EX22,'Existing Customers'!$A:$A,$EY$1)*$EY$4,0),0))</f>
        <v>0</v>
      </c>
      <c r="FE22" s="780">
        <f>IF('Customer Inputs'!$W$10="End",0,IFERROR(IF(AND($EY$2&lt;&gt;"Enter Spend&gt;&gt;&gt;",$EZ$2="EXISTING"),SUMIFS('Existing Customers'!$S:$S,'Existing Customers'!$H:$H,$EX22,'Existing Customers'!$A:$A,$EY$1)/SUMIFS('Existing Customers'!$Q:$Q,'Existing Customers'!$A:$A,$EY$1,'Existing Customers'!$H:$H,$EX22),FO22),0))</f>
        <v>0</v>
      </c>
      <c r="FF22" s="780">
        <f>IF('Customer Inputs'!$W$10="End",0,IFERROR(IF(AND($EY$2&lt;&gt;"Enter Spend&gt;&gt;&gt;",$EZ$2="EXISTING"),SUMIFS('Existing Customers'!$U:$U,'Existing Customers'!$H:$H,$EX22,'Existing Customers'!$A:$A,$EY$1)/SUMIFS('Existing Customers'!$Q:$Q,'Existing Customers'!$A:$A,$EY$1,'Existing Customers'!$H:$H,$EX22),FP22),0))</f>
        <v>0</v>
      </c>
      <c r="FG22" s="783" t="e">
        <f>_xlfn.CONCAT('Customer Inputs'!$AH$10,"_",EX22)</f>
        <v>#N/A</v>
      </c>
      <c r="FH22" s="783">
        <f t="array" ref="FH22">IF('Customer Inputs'!$W$10="End",0,IFERROR(INDEX('Margin Guidence Table'!$A$1:$AG$10000,MATCH(1,('Margin Guidence Table'!$A$1:$A$10000=FG22)*('Margin Guidence Table'!$I$1:$I$10000&lt;=ROUND($EY$3,0))*('Margin Guidence Table'!$J$1:$J$10000&gt;=ROUND($EY$3,0)),0),MATCH("DATA_POINTS",'Margin Guidence Table'!$A$1:$AG$1,0)),0))</f>
        <v>0</v>
      </c>
      <c r="FI22" s="780" t="str">
        <f t="shared" si="41"/>
        <v>DEFAULT</v>
      </c>
      <c r="FJ22" s="780">
        <f t="array" ref="FJ22">IF('Customer Inputs'!$W$10="End",0,IFERROR(IF($FI22="SEGMENT",INDEX('Margin Guidence Table'!$A$1:$AG$10000,MATCH(1,('Margin Guidence Table'!$A$1:$A$10000=FG22)*('Margin Guidence Table'!$I$1:$I$10000&lt;=ROUND($EY$3,0))*('Margin Guidence Table'!$J$1:$J$10000&gt;=ROUND($EY$3,0)),0),MATCH("SALES_CASE",'Margin Guidence Table'!$A$1:$AG$1,0)),INDEX('Margin Guidence Table'!$A$1:$AG$10000,MATCH(1,('Margin Guidence Table'!$A$1:$A$10000=FG22)*('Margin Guidence Table'!$I$1:$I$10000&lt;=ROUND($EY$3,0))*('Margin Guidence Table'!$J$1:$J$10000&gt;=ROUND($EY$3,0)),0),MATCH("DEFAULT_SALES_CASE",'Margin Guidence Table'!$A$1:$AG$1,0))),0))</f>
        <v>0</v>
      </c>
      <c r="FK22" s="780">
        <f t="array" ref="FK22">IF('Customer Inputs'!$W$10="End",0,IFERROR(IF($FI22="SEGMENT",INDEX('Margin Guidence Table'!$A$1:$AG$10000,MATCH(1,('Margin Guidence Table'!$A$1:$A$10000=FG22)*('Margin Guidence Table'!$I$1:$I$10000&lt;=ROUND($EY$3,0))*('Margin Guidence Table'!$J$1:$J$10000&gt;=ROUND($EY$3,0)),0),MATCH("SALES_LBS",'Margin Guidence Table'!$A$1:$AG$1,0)),INDEX('Margin Guidence Table'!$A$1:$AG$10000,MATCH(1,('Margin Guidence Table'!$A$1:$A$10000=FG22)*('Margin Guidence Table'!$I$1:$I$10000&lt;=ROUND($EY$3,0))*('Margin Guidence Table'!$J$1:$J$10000&gt;=ROUND($EY$3,0)),0),MATCH("DEFAULT_SALES_LBS",'Margin Guidence Table'!$A$1:$AG$1,0))),0))</f>
        <v>0</v>
      </c>
      <c r="FL22" s="784">
        <f t="array" ref="FL22">IF('Customer Inputs'!$W$10="End",0,IFERROR(IF($FI22="SEGMENT",INDEX('Margin Guidence Table'!$A$1:$AG$10000,MATCH(1,('Margin Guidence Table'!$A$1:$A$10000=FG22)*('Margin Guidence Table'!$I$1:$I$10000&lt;=ROUND($EY$3,0))*('Margin Guidence Table'!$J$1:$J$10000&gt;=ROUND($EY$3,0)),0),MATCH("MDA_MIN_MARGIN_GUIDENCE",'Margin Guidence Table'!$A$1:$AG$1,0)),INDEX('Margin Guidence Table'!$A$1:$AG$10000,MATCH(1,('Margin Guidence Table'!$A$1:$A$10000=FG22)*('Margin Guidence Table'!$I$1:$I$10000&lt;=ROUND($EY$3,0))*('Margin Guidence Table'!$J$1:$J$10000&gt;=ROUND($EY$3,0)),0),MATCH("DEFAULT_MDA_MIN_MARGIN_GUIDENCE",'Margin Guidence Table'!$A$1:$AG$1,0))),0))</f>
        <v>0</v>
      </c>
      <c r="FM22" s="784">
        <f t="array" ref="FM22">IF('Customer Inputs'!$W$10="End",0,IFERROR(IF($FI22="SEGMENT",INDEX('Margin Guidence Table'!$A$1:$AG$10000,MATCH(1,('Margin Guidence Table'!$A$1:$A$10000=FG22)*('Margin Guidence Table'!$I$1:$I$10000&lt;=ROUND($EY$3,0))*('Margin Guidence Table'!$J$1:$J$10000&gt;=ROUND($EY$3,0)),0),MATCH("MDA_MEDIAN_MARGIN_GUIDENCE",'Margin Guidence Table'!$A$1:$AG$1,0)),INDEX('Margin Guidence Table'!$A$1:$AG$10000,MATCH(1,('Margin Guidence Table'!$A$1:$A$10000=FG22)*('Margin Guidence Table'!$I$1:$I$10000&lt;=ROUND($EY$3,0))*('Margin Guidence Table'!$J$1:$J$10000&gt;=ROUND($EY$3,0)),0),MATCH("DEFAULT_MDA_MEDIAN_MARGIN_GUIDENCE",'Margin Guidence Table'!$A$1:$AG$1,0))),0))</f>
        <v>0</v>
      </c>
      <c r="FN22" s="784">
        <f t="array" ref="FN22">IF('Customer Inputs'!$W$10="End",0,IFERROR(IF($FI22="SEGMENT",INDEX('Margin Guidence Table'!$A$1:$AG$10000,MATCH(1,('Margin Guidence Table'!$A$1:$A$10000=FG22)*('Margin Guidence Table'!$I$1:$I$10000&lt;=ROUND($EY$3,0))*('Margin Guidence Table'!$J$1:$J$10000&gt;=ROUND($EY$3,0)),0),MATCH("MDA_MAX_MARGIN_GUIDENCE",'Margin Guidence Table'!$A$1:$AG$1,0)),INDEX('Margin Guidence Table'!$A$1:$AG$10000,MATCH(1,('Margin Guidence Table'!$A$1:$A$10000=FG22)*('Margin Guidence Table'!$I$1:$I$10000&lt;=ROUND($EY$3,0))*('Margin Guidence Table'!$J$1:$J$10000&gt;=ROUND($EY$3,0)),0),MATCH("DEFAULT_MDA_MAX_MARGIN_GUIDENCE",'Margin Guidence Table'!$A$1:$AG$1,0))),0))</f>
        <v>0</v>
      </c>
      <c r="FO22" s="784">
        <f t="array" ref="FO22">IF('Customer Inputs'!$W$10="End",0,IFERROR(IF($FI22="SEGMENT",INDEX('Margin Guidence Table'!$A$1:$AG$10000,MATCH(1,('Margin Guidence Table'!$A$1:$A$10000=FG22)*('Margin Guidence Table'!$I$1:$I$10000&lt;=ROUND($EY$3,0))*('Margin Guidence Table'!$J$1:$J$10000&gt;=ROUND($EY$3,0)),0),MATCH("PA_PCT_SALES",'Margin Guidence Table'!$A$1:$AG$1,0)),INDEX('Margin Guidence Table'!$A$1:$AG$10000,MATCH(1,('Margin Guidence Table'!$A$1:$A$10000=FG22)*('Margin Guidence Table'!$I$1:$I$10000&lt;=ROUND($EY$3,0))*('Margin Guidence Table'!$J$1:$J$10000&gt;=ROUND($EY$3,0)),0),MATCH("DEFAULT_PA_PCT_SALES",'Margin Guidence Table'!$A$1:$AG$1,0))),0))</f>
        <v>0</v>
      </c>
      <c r="FP22" s="784">
        <f t="array" ref="FP22">IF('Customer Inputs'!$W$10="End",0,IFERROR(IF($FI22="SEGMENT",INDEX('Margin Guidence Table'!$A$1:$AG$10000,MATCH(1,('Margin Guidence Table'!$A$1:$A$10000=FG22)*('Margin Guidence Table'!$I$1:$I$10000&lt;=ROUND($EY$3,0))*('Margin Guidence Table'!$J$1:$J$10000&gt;=ROUND($EY$3,0)),0),MATCH("SELF_FUND_PCT_SALES",'Margin Guidence Table'!$A$1:$AG$1,0)),INDEX('Margin Guidence Table'!$A$1:$AG$10000,MATCH(1,('Margin Guidence Table'!$A$1:$A$10000=FG22)*('Margin Guidence Table'!$I$1:$I$10000&lt;=ROUND($EY$3,0))*('Margin Guidence Table'!$J$1:$J$10000&gt;=ROUND($EY$3,0)),0),MATCH("DEFAULT_SELF_FUND_PCT_SALES",'Margin Guidence Table'!$A$1:$AG$1,0))),0))</f>
        <v>0</v>
      </c>
      <c r="FQ22" s="784">
        <f t="array" ref="FQ22">IF('Customer Inputs'!$W$10="End",0,IF($EZ$2="Existing",IFERROR(SUMIFS('Existing Customers'!$V:$V,'Existing Customers'!$H:$H,$EX22,'Existing Customers'!$A:$A,$EY$1)/SUMIFS('Existing Customers'!$Q:$Q,'Existing Customers'!$H:$H,$EX22,'Existing Customers'!$A:$A,$EY$1),0),IFERROR(IF($FI22="SEGMENT",INDEX('Margin Guidence Table'!$A$1:$AG$10000,MATCH(1,('Margin Guidence Table'!$A$1:$A$10000=FG22)*('Margin Guidence Table'!$I$1:$I$10000&lt;=ROUND($EY$3,0))*('Margin Guidence Table'!$J$1:$J$10000&gt;=ROUND($EY$3,0)),0),MATCH("CIA_MEDIAN_MARGIN_GUIDENCE",'Margin Guidence Table'!$A$1:$AG$1,0)),INDEX('Margin Guidence Table'!$A$1:$AG$10000,MATCH(1,('Margin Guidence Table'!$A$1:$A$10000=FG22)*('Margin Guidence Table'!$I$1:$I$10000&lt;=ROUND($EY$3,0))*('Margin Guidence Table'!$J$1:$J$10000&gt;=ROUND($EY$3,0)),0),MATCH("DEFAULT_CIA_MEDIAN_MARGIN_GUIDENCE",'Margin Guidence Table'!$A$1:$AG$1,0))),0)))</f>
        <v>0</v>
      </c>
      <c r="FR22" s="126"/>
      <c r="FS22" s="18">
        <f t="array" ref="FS22">IF('Customer Inputs'!$W$11="End",0,IFERROR(IF($GF22="SEGMENT",INDEX('Margin Guidence Table'!$A$1:$AG$10000,MATCH(1,('Margin Guidence Table'!$A$1:$A$10000=$GD22)*('Margin Guidence Table'!$I$1:$I$10000&lt;=ROUND($FV$3,0))*('Margin Guidence Table'!$J$1:$J$10000&gt;=ROUND($FV$3,0)),0),MATCH("PCT_SALES",'Margin Guidence Table'!$A$1:$AG$1,0)),INDEX('Margin Guidence Table'!$A$1:$AG$10000,MATCH(1,('Margin Guidence Table'!$A$1:$A$10000=$GD22)*('Margin Guidence Table'!$I$1:$I$10000&lt;=ROUND($FV$3,0))*('Margin Guidence Table'!$J$1:$J$10000&gt;=ROUND($FV$3,0)),0),MATCH("DEFAULT_PCT_SALES",'Margin Guidence Table'!$A$1:$AG$1,0))),0))</f>
        <v>0</v>
      </c>
      <c r="FT22" s="297" t="e">
        <f t="shared" si="42"/>
        <v>#DIV/0!</v>
      </c>
      <c r="FU22" s="99" t="s">
        <v>96</v>
      </c>
      <c r="FV22" s="91">
        <f>IF('Customer Inputs'!$W$11="End",0,IFERROR(IF(AND($FV$2&lt;&gt;"Enter Spend&gt;&gt;&gt;",$FW$2="EXISTING"),SUMIFS('Existing Customers'!$Q:$Q,'Existing Customers'!$A:$A,$FV$1,'Existing Customers'!$H:$H,$FU22)*$FV$4,$FV$3*$FT22),0))</f>
        <v>0</v>
      </c>
      <c r="FW22" s="86">
        <f>IF('Customer Inputs'!$W$11="End",0,IFERROR(IF(AND($FV$2&lt;&gt;"Enter Spend&gt;&gt;&gt;",$FW$2="EXISTING"),SUMIFS('Existing Customers'!$N:$N,'Existing Customers'!$A:$A,$FV$1,'Existing Customers'!$H:$H,$FU22)*$FV$4,$FV22/$GG22),0))</f>
        <v>0</v>
      </c>
      <c r="FX22" s="92">
        <f>IF('Customer Inputs'!$W$11="End",0,IFERROR(IF(AND($FV$2&lt;&gt;"Enter Spend&gt;&gt;&gt;",$FW$2="EXISTING"),SUMIFS('Existing Customers'!$O:$O,'Existing Customers'!$H:$H,$FU22,'Existing Customers'!$A:$A,$FV$1)*$FV$4,$FW22*$FV$8),0))</f>
        <v>0</v>
      </c>
      <c r="FY22" s="92">
        <f>IF('Customer Inputs'!$W$11="End",0,IFERROR(IF(AND($FV$2&lt;&gt;"Enter Spend&gt;&gt;&gt;",$FW$2="EXISTING"),SUMIFS('Existing Customers'!$P:$P,'Existing Customers'!$A:$A,$FV$1,'Existing Customers'!$H:$H,$FU22)*$FV$4,$FV22/$GH22),0))</f>
        <v>0</v>
      </c>
      <c r="FZ22" s="93">
        <f>IF('Customer Inputs'!$W$11="End",0,IFERROR(IF(AND($FV$2&lt;&gt;"Enter Spend&gt;&gt;&gt;",$FW$2="EXISTING"),SUMIFS('Existing Customers'!$V:$V,'Existing Customers'!$H:$H,$FU22,'Existing Customers'!$A:$A,$FV$1)*$FV$4,0),0))</f>
        <v>0</v>
      </c>
      <c r="GA22" s="93">
        <f>IF('Customer Inputs'!$W$11="End",0,IFERROR(IF(AND($FV$2&lt;&gt;"Enter Spend&gt;&gt;&gt;",$FW$2="EXISTING"),SUMIFS('Existing Customers'!$R:$R,'Existing Customers'!$H:$H,$FU22,'Existing Customers'!$A:$A,$FV$1)*$FV$4,0),0))</f>
        <v>0</v>
      </c>
      <c r="GB22" s="780">
        <f>IF('Customer Inputs'!$W$11="End",0,IFERROR(IF(AND($FV$2&lt;&gt;"Enter Spend&gt;&gt;&gt;",$FW$2="EXISTING"),SUMIFS('Existing Customers'!$S:$S,'Existing Customers'!$H:$H,$FU22,'Existing Customers'!$A:$A,$FV$1)/SUMIFS('Existing Customers'!$Q:$Q,'Existing Customers'!$A:$A,$FV$1,'Existing Customers'!$H:$H,$FU22),GL22),0))</f>
        <v>0</v>
      </c>
      <c r="GC22" s="780">
        <f>IF('Customer Inputs'!$W$11="End",0,IFERROR(IF(AND($FV$2&lt;&gt;"Enter Spend&gt;&gt;&gt;",$FW$2="EXISTING"),SUMIFS('Existing Customers'!$U:$U,'Existing Customers'!$H:$H,$FU22,'Existing Customers'!$A:$A,$FV$1)/SUMIFS('Existing Customers'!$Q:$Q,'Existing Customers'!$A:$A,$FV$1,'Existing Customers'!$H:$H,$FU22),GM22),0))</f>
        <v>0</v>
      </c>
      <c r="GD22" s="783" t="e">
        <f>_xlfn.CONCAT('Customer Inputs'!$AH$11,"_",FU22)</f>
        <v>#N/A</v>
      </c>
      <c r="GE22" s="783">
        <f t="array" ref="GE22">IF('Customer Inputs'!$W$11="End",0,IFERROR(INDEX('Margin Guidence Table'!$A$1:$AG$10000,MATCH(1,('Margin Guidence Table'!$A$1:$A$10000=GD22)*('Margin Guidence Table'!$I$1:$I$10000&lt;=ROUND($FV$3,0))*('Margin Guidence Table'!$J$1:$J$10000&gt;=ROUND($FV$3,0)),0),MATCH("DATA_POINTS",'Margin Guidence Table'!$A$1:$AG$1,0)),0))</f>
        <v>0</v>
      </c>
      <c r="GF22" s="780" t="str">
        <f t="shared" si="43"/>
        <v>DEFAULT</v>
      </c>
      <c r="GG22" s="780">
        <f t="array" ref="GG22">IF('Customer Inputs'!$W$11="End",0,IFERROR(IF($GF22="SEGMENT",INDEX('Margin Guidence Table'!$A$1:$AG$10000,MATCH(1,('Margin Guidence Table'!$A$1:$A$10000=GD22)*('Margin Guidence Table'!$I$1:$I$10000&lt;=ROUND($FV$3,0))*('Margin Guidence Table'!$J$1:$J$10000&gt;=ROUND($FV$3,0)),0),MATCH("SALES_CASE",'Margin Guidence Table'!$A$1:$AG$1,0)),INDEX('Margin Guidence Table'!$A$1:$AG$10000,MATCH(1,('Margin Guidence Table'!$A$1:$A$10000=GD22)*('Margin Guidence Table'!$I$1:$I$10000&lt;=ROUND($FV$3,0))*('Margin Guidence Table'!$J$1:$J$10000&gt;=ROUND($FV$3,0)),0),MATCH("DEFAULT_SALES_CASE",'Margin Guidence Table'!$A$1:$AG$1,0))),0))</f>
        <v>0</v>
      </c>
      <c r="GH22" s="780">
        <f t="array" ref="GH22">IF('Customer Inputs'!$W$11="End",0,IFERROR(IF($GF22="SEGMENT",INDEX('Margin Guidence Table'!$A$1:$AG$10000,MATCH(1,('Margin Guidence Table'!$A$1:$A$10000=GD22)*('Margin Guidence Table'!$I$1:$I$10000&lt;=ROUND($FV$3,0))*('Margin Guidence Table'!$J$1:$J$10000&gt;=ROUND($FV$3,0)),0),MATCH("SALES_LBS",'Margin Guidence Table'!$A$1:$AG$1,0)),INDEX('Margin Guidence Table'!$A$1:$AG$10000,MATCH(1,('Margin Guidence Table'!$A$1:$A$10000=GD22)*('Margin Guidence Table'!$I$1:$I$10000&lt;=ROUND($FV$3,0))*('Margin Guidence Table'!$J$1:$J$10000&gt;=ROUND($FV$3,0)),0),MATCH("DEFAULT_SALES_LBS",'Margin Guidence Table'!$A$1:$AG$1,0))),0))</f>
        <v>0</v>
      </c>
      <c r="GI22" s="784">
        <f t="array" ref="GI22">IF('Customer Inputs'!$W$11="End",0,IFERROR(IF($GF22="SEGMENT",INDEX('Margin Guidence Table'!$A$1:$AG$10000,MATCH(1,('Margin Guidence Table'!$A$1:$A$10000=GD22)*('Margin Guidence Table'!$I$1:$I$10000&lt;=ROUND($FV$3,0))*('Margin Guidence Table'!$J$1:$J$10000&gt;=ROUND($FV$3,0)),0),MATCH("MDA_MIN_MARGIN_GUIDENCE",'Margin Guidence Table'!$A$1:$AG$1,0)),INDEX('Margin Guidence Table'!$A$1:$AG$10000,MATCH(1,('Margin Guidence Table'!$A$1:$A$10000=GD22)*('Margin Guidence Table'!$I$1:$I$10000&lt;=ROUND($FV$3,0))*('Margin Guidence Table'!$J$1:$J$10000&gt;=ROUND($FV$3,0)),0),MATCH("DEFAULT_MDA_MIN_MARGIN_GUIDENCE",'Margin Guidence Table'!$A$1:$AG$1,0))),0))</f>
        <v>0</v>
      </c>
      <c r="GJ22" s="784">
        <f t="array" ref="GJ22">IF('Customer Inputs'!$W$11="End",0,IFERROR(IF($GF22="SEGMENT",INDEX('Margin Guidence Table'!$A$1:$AG$10000,MATCH(1,('Margin Guidence Table'!$A$1:$A$10000=GD22)*('Margin Guidence Table'!$I$1:$I$10000&lt;=ROUND($FV$3,0))*('Margin Guidence Table'!$J$1:$J$10000&gt;=ROUND($FV$3,0)),0),MATCH("MDA_MEDIAN_MARGIN_GUIDENCE",'Margin Guidence Table'!$A$1:$AG$1,0)),INDEX('Margin Guidence Table'!$A$1:$AG$10000,MATCH(1,('Margin Guidence Table'!$A$1:$A$10000=GD22)*('Margin Guidence Table'!$I$1:$I$10000&lt;=ROUND($FV$3,0))*('Margin Guidence Table'!$J$1:$J$10000&gt;=ROUND($FV$3,0)),0),MATCH("DEFAULT_MDA_MEDIAN_MARGIN_GUIDENCE",'Margin Guidence Table'!$A$1:$AG$1,0))),0))</f>
        <v>0</v>
      </c>
      <c r="GK22" s="784">
        <f t="array" ref="GK22">IF('Customer Inputs'!$W$11="End",0,IFERROR(IF($GF22="SEGMENT",INDEX('Margin Guidence Table'!$A$1:$AG$10000,MATCH(1,('Margin Guidence Table'!$A$1:$A$10000=GD22)*('Margin Guidence Table'!$I$1:$I$10000&lt;=ROUND($FV$3,0))*('Margin Guidence Table'!$J$1:$J$10000&gt;=ROUND($FV$3,0)),0),MATCH("MDA_MAX_MARGIN_GUIDENCE",'Margin Guidence Table'!$A$1:$AG$1,0)),INDEX('Margin Guidence Table'!$A$1:$AG$10000,MATCH(1,('Margin Guidence Table'!$A$1:$A$10000=GD22)*('Margin Guidence Table'!$I$1:$I$10000&lt;=ROUND($FV$3,0))*('Margin Guidence Table'!$J$1:$J$10000&gt;=ROUND($FV$3,0)),0),MATCH("DEFAULT_MDA_MAX_MARGIN_GUIDENCE",'Margin Guidence Table'!$A$1:$AG$1,0))),0))</f>
        <v>0</v>
      </c>
      <c r="GL22" s="784">
        <f t="array" ref="GL22">IF('Customer Inputs'!$W$11="End",0,IFERROR(IF($GF22="SEGMENT",INDEX('Margin Guidence Table'!$A$1:$AG$10000,MATCH(1,('Margin Guidence Table'!$A$1:$A$10000=GD22)*('Margin Guidence Table'!$I$1:$I$10000&lt;=ROUND($FV$3,0))*('Margin Guidence Table'!$J$1:$J$10000&gt;=ROUND($FV$3,0)),0),MATCH("PA_PCT_SALES",'Margin Guidence Table'!$A$1:$AG$1,0)),INDEX('Margin Guidence Table'!$A$1:$AG$10000,MATCH(1,('Margin Guidence Table'!$A$1:$A$10000=GD22)*('Margin Guidence Table'!$I$1:$I$10000&lt;=ROUND($FV$3,0))*('Margin Guidence Table'!$J$1:$J$10000&gt;=ROUND($FV$3,0)),0),MATCH("DEFAULT_PA_PCT_SALES",'Margin Guidence Table'!$A$1:$AG$1,0))),0))</f>
        <v>0</v>
      </c>
      <c r="GM22" s="784">
        <f t="array" ref="GM22">IF('Customer Inputs'!$W$11="End",0,IFERROR(IF($GF22="SEGMENT",INDEX('Margin Guidence Table'!$A$1:$AG$10000,MATCH(1,('Margin Guidence Table'!$A$1:$A$10000=GD22)*('Margin Guidence Table'!$I$1:$I$10000&lt;=ROUND($FV$3,0))*('Margin Guidence Table'!$J$1:$J$10000&gt;=ROUND($FV$3,0)),0),MATCH("SELF_FUND_PCT_SALES",'Margin Guidence Table'!$A$1:$AG$1,0)),INDEX('Margin Guidence Table'!$A$1:$AG$10000,MATCH(1,('Margin Guidence Table'!$A$1:$A$10000=GD22)*('Margin Guidence Table'!$I$1:$I$10000&lt;=ROUND($FV$3,0))*('Margin Guidence Table'!$J$1:$J$10000&gt;=ROUND($FV$3,0)),0),MATCH("DEFAULT_SELF_FUND_PCT_SALES",'Margin Guidence Table'!$A$1:$AG$1,0))),0))</f>
        <v>0</v>
      </c>
      <c r="GN22" s="784">
        <f t="array" ref="GN22">IF('Customer Inputs'!$W$11="End",0,IF($FW$2="Existing",IFERROR(SUMIFS('Existing Customers'!$V:$V,'Existing Customers'!$H:$H,$FU22,'Existing Customers'!$A:$A,$FV$1)/SUMIFS('Existing Customers'!$Q:$Q,'Existing Customers'!$H:$H,$FU22,'Existing Customers'!$A:$A,$FV$1),0),IFERROR(IF($GF22="SEGMENT",INDEX('Margin Guidence Table'!$A$1:$AG$10000,MATCH(1,('Margin Guidence Table'!$A$1:$A$10000=GD22)*('Margin Guidence Table'!$I$1:$I$10000&lt;=ROUND($FV$3,0))*('Margin Guidence Table'!$J$1:$J$10000&gt;=ROUND($FV$3,0)),0),MATCH("CIA_MEDIAN_MARGIN_GUIDENCE",'Margin Guidence Table'!$A$1:$AG$1,0)),INDEX('Margin Guidence Table'!$A$1:$AG$10000,MATCH(1,('Margin Guidence Table'!$A$1:$A$10000=GD22)*('Margin Guidence Table'!$I$1:$I$10000&lt;=ROUND($FV$3,0))*('Margin Guidence Table'!$J$1:$J$10000&gt;=ROUND($FV$3,0)),0),MATCH("DEFAULT_CIA_MEDIAN_MARGIN_GUIDENCE",'Margin Guidence Table'!$A$1:$AG$1,0))),0)))</f>
        <v>0</v>
      </c>
      <c r="GO22" s="126"/>
      <c r="GP22" s="18">
        <f t="array" ref="GP22">IF('Customer Inputs'!$W$12="End",0,IFERROR(IF($HC22="SEGMENT",INDEX('Margin Guidence Table'!$A$1:$AG$10000,MATCH(1,('Margin Guidence Table'!$A$1:$A$10000=$HA22)*('Margin Guidence Table'!$I$1:$I$10000&lt;=ROUND($GS$3,0))*('Margin Guidence Table'!$J$1:$J$10000&gt;=ROUND($GS$3,0)),0),MATCH("PCT_SALES",'Margin Guidence Table'!$A$1:$AG$1,0)),INDEX('Margin Guidence Table'!$A$1:$AG$10000,MATCH(1,('Margin Guidence Table'!$A$1:$A$10000=$HA22)*('Margin Guidence Table'!$I$1:$I$10000&lt;=ROUND($GS$3,0))*('Margin Guidence Table'!$J$1:$J$10000&gt;=ROUND($GS$3,0)),0),MATCH("DEFAULT_PCT_SALES",'Margin Guidence Table'!$A$1:$AG$1,0))),0))</f>
        <v>0</v>
      </c>
      <c r="GQ22" s="297" t="e">
        <f t="shared" si="44"/>
        <v>#DIV/0!</v>
      </c>
      <c r="GR22" s="99" t="s">
        <v>96</v>
      </c>
      <c r="GS22" s="91">
        <f>IF('Customer Inputs'!$W$12="End",0,IFERROR(IF(AND($GS$2&lt;&gt;"Enter Spend&gt;&gt;&gt;",$GT$2="EXISTING"),SUMIFS('Existing Customers'!$Q:$Q,'Existing Customers'!$A:$A,$GS$1,'Existing Customers'!$H:$H,$GR22)*$GS$4,$GS$3*$GQ22),0))</f>
        <v>0</v>
      </c>
      <c r="GT22" s="86">
        <f>IF('Customer Inputs'!$W$12="End",0,IFERROR(IF(AND($GS$2&lt;&gt;"Enter Spend&gt;&gt;&gt;",$GT$2="EXISTING"),SUMIFS('Existing Customers'!$N:$N,'Existing Customers'!$A:$A,$GS$1,'Existing Customers'!$H:$H,$GR22)*$GS$4,$GS22/$HD22),0))</f>
        <v>0</v>
      </c>
      <c r="GU22" s="92">
        <f>IF('Customer Inputs'!$W$12="End",0,IFERROR(IF(AND($GS$2&lt;&gt;"Enter Spend&gt;&gt;&gt;",$GT$2="EXISTING"),SUMIFS('Existing Customers'!$O:$O,'Existing Customers'!$H:$H,$GR22,'Existing Customers'!$A:$A,$GS$1)*$GS$4,$GT22*$GS$8),0))</f>
        <v>0</v>
      </c>
      <c r="GV22" s="92">
        <f>IF('Customer Inputs'!$W$12="End",0,IFERROR(IF(AND($GS$2&lt;&gt;"Enter Spend&gt;&gt;&gt;",$GT$2="EXISTING"),SUMIFS('Existing Customers'!$P:$P,'Existing Customers'!$A:$A,$GS$1,'Existing Customers'!$H:$H,$GR22)*$GS$4,$GS22/$HE22),0))</f>
        <v>0</v>
      </c>
      <c r="GW22" s="93">
        <f>IF('Customer Inputs'!$W$12="End",0,IFERROR(IF(AND($GS$2&lt;&gt;"Enter Spend&gt;&gt;&gt;",$GT$2="EXISTING"),SUMIFS('Existing Customers'!$V:$V,'Existing Customers'!$H:$H,$GR22,'Existing Customers'!$A:$A,$GS$1)*$GS$4,0),0))</f>
        <v>0</v>
      </c>
      <c r="GX22" s="93">
        <f>IF('Customer Inputs'!$W$12="End",0,IFERROR(IF(AND($GS$2&lt;&gt;"Enter Spend&gt;&gt;&gt;",$GT$2="EXISTING"),SUMIFS('Existing Customers'!$R:$R,'Existing Customers'!$H:$H,$GR22,'Existing Customers'!$A:$A,$GS$1)*$GS$4,0),0))</f>
        <v>0</v>
      </c>
      <c r="GY22" s="780">
        <f>IF('Customer Inputs'!$W$12="End",0,IFERROR(IF(AND($GS$2&lt;&gt;"Enter Spend&gt;&gt;&gt;",$GT$2="EXISTING"),SUMIFS('Existing Customers'!$S:$S,'Existing Customers'!$H:$H,$GR22,'Existing Customers'!$A:$A,$GS$1)/SUMIFS('Existing Customers'!$Q:$Q,'Existing Customers'!$A:$A,$GS$1,'Existing Customers'!$H:$H,$GR22),HI22),0))</f>
        <v>0</v>
      </c>
      <c r="GZ22" s="780">
        <f>IF('Customer Inputs'!$W$12="End",0,IFERROR(IF(AND($GS$2&lt;&gt;"Enter Spend&gt;&gt;&gt;",$GT$2="EXISTING"),SUMIFS('Existing Customers'!$U:$U,'Existing Customers'!$H:$H,$GR22,'Existing Customers'!$A:$A,$GS$1)/SUMIFS('Existing Customers'!$Q:$Q,'Existing Customers'!$A:$A,$GS$1,'Existing Customers'!$H:$H,$GR22),HJ22),0))</f>
        <v>0</v>
      </c>
      <c r="HA22" s="783" t="e">
        <f>_xlfn.CONCAT('Customer Inputs'!$AH$12,"_",GR22)</f>
        <v>#N/A</v>
      </c>
      <c r="HB22" s="783">
        <f t="array" ref="HB22">IF('Customer Inputs'!$W$12="End",0,IFERROR(INDEX('Margin Guidence Table'!$A$1:$AG$10000,MATCH(1,('Margin Guidence Table'!$A$1:$A$10000=HA22)*('Margin Guidence Table'!$I$1:$I$10000&lt;=ROUND($GS$3,0))*('Margin Guidence Table'!$J$1:$J$10000&gt;=ROUND($GS$3,0)),0),MATCH("DATA_POINTS",'Margin Guidence Table'!$A$1:$AG$1,0)),0))</f>
        <v>0</v>
      </c>
      <c r="HC22" s="780" t="str">
        <f t="shared" si="45"/>
        <v>DEFAULT</v>
      </c>
      <c r="HD22" s="780">
        <f t="array" ref="HD22">IF('Customer Inputs'!$W$12="End",0,IFERROR(IF($HC22="SEGMENT",INDEX('Margin Guidence Table'!$A$1:$AG$10000,MATCH(1,('Margin Guidence Table'!$A$1:$A$10000=HA22)*('Margin Guidence Table'!$I$1:$I$10000&lt;=ROUND($GS$3,0))*('Margin Guidence Table'!$J$1:$J$10000&gt;=ROUND($GS$3,0)),0),MATCH("SALES_CASE",'Margin Guidence Table'!$A$1:$AG$1,0)),INDEX('Margin Guidence Table'!$A$1:$AG$10000,MATCH(1,('Margin Guidence Table'!$A$1:$A$10000=HA22)*('Margin Guidence Table'!$I$1:$I$10000&lt;=ROUND($GS$3,0))*('Margin Guidence Table'!$J$1:$J$10000&gt;=ROUND($GS$3,0)),0),MATCH("DEFAULT_SALES_CASE",'Margin Guidence Table'!$A$1:$AG$1,0))),0))</f>
        <v>0</v>
      </c>
      <c r="HE22" s="780">
        <f t="array" ref="HE22">IF('Customer Inputs'!$W$12="End",0,IFERROR(IF($HC22="SEGMENT",INDEX('Margin Guidence Table'!$A$1:$AG$10000,MATCH(1,('Margin Guidence Table'!$A$1:$A$10000=HA22)*('Margin Guidence Table'!$I$1:$I$10000&lt;=ROUND($GS$3,0))*('Margin Guidence Table'!$J$1:$J$10000&gt;=ROUND($GS$3,0)),0),MATCH("SALES_LBS",'Margin Guidence Table'!$A$1:$AG$1,0)),INDEX('Margin Guidence Table'!$A$1:$AG$10000,MATCH(1,('Margin Guidence Table'!$A$1:$A$10000=HA22)*('Margin Guidence Table'!$I$1:$I$10000&lt;=ROUND($GS$3,0))*('Margin Guidence Table'!$J$1:$J$10000&gt;=ROUND($GS$3,0)),0),MATCH("DEFAULT_SALES_LBS",'Margin Guidence Table'!$A$1:$AG$1,0))),0))</f>
        <v>0</v>
      </c>
      <c r="HF22" s="784">
        <f t="array" ref="HF22">IF('Customer Inputs'!$W$12="End",0,IFERROR(IF($HC22="SEGMENT",INDEX('Margin Guidence Table'!$A$1:$AG$10000,MATCH(1,('Margin Guidence Table'!$A$1:$A$10000=HA22)*('Margin Guidence Table'!$I$1:$I$10000&lt;=ROUND($GS$3,0))*('Margin Guidence Table'!$J$1:$J$10000&gt;=ROUND($GS$3,0)),0),MATCH("MDA_MIN_MARGIN_GUIDENCE",'Margin Guidence Table'!$A$1:$AG$1,0)),INDEX('Margin Guidence Table'!$A$1:$AG$10000,MATCH(1,('Margin Guidence Table'!$A$1:$A$10000=HA22)*('Margin Guidence Table'!$I$1:$I$10000&lt;=ROUND($GS$3,0))*('Margin Guidence Table'!$J$1:$J$10000&gt;=ROUND($GS$3,0)),0),MATCH("DEFAULT_MDA_MIN_MARGIN_GUIDENCE",'Margin Guidence Table'!$A$1:$AG$1,0))),0))</f>
        <v>0</v>
      </c>
      <c r="HG22" s="784">
        <f t="array" ref="HG22">IF('Customer Inputs'!$W$12="End",0,IFERROR(IF($HC22="SEGMENT",INDEX('Margin Guidence Table'!$A$1:$AG$10000,MATCH(1,('Margin Guidence Table'!$A$1:$A$10000=HA22)*('Margin Guidence Table'!$I$1:$I$10000&lt;=ROUND($GS$3,0))*('Margin Guidence Table'!$J$1:$J$10000&gt;=ROUND($GS$3,0)),0),MATCH("MDA_MEDIAN_MARGIN_GUIDENCE",'Margin Guidence Table'!$A$1:$AG$1,0)),INDEX('Margin Guidence Table'!$A$1:$AG$10000,MATCH(1,('Margin Guidence Table'!$A$1:$A$10000=HA22)*('Margin Guidence Table'!$I$1:$I$10000&lt;=ROUND($GS$3,0))*('Margin Guidence Table'!$J$1:$J$10000&gt;=ROUND($GS$3,0)),0),MATCH("DEFAULT_MDA_MEDIAN_MARGIN_GUIDENCE",'Margin Guidence Table'!$A$1:$AG$1,0))),0))</f>
        <v>0</v>
      </c>
      <c r="HH22" s="784">
        <f t="array" ref="HH22">IF('Customer Inputs'!$W$12="End",0,IFERROR(IF($HC22="SEGMENT",INDEX('Margin Guidence Table'!$A$1:$AG$10000,MATCH(1,('Margin Guidence Table'!$A$1:$A$10000=HA22)*('Margin Guidence Table'!$I$1:$I$10000&lt;=ROUND($GS$3,0))*('Margin Guidence Table'!$J$1:$J$10000&gt;=ROUND($GS$3,0)),0),MATCH("MDA_MAX_MARGIN_GUIDENCE",'Margin Guidence Table'!$A$1:$AG$1,0)),INDEX('Margin Guidence Table'!$A$1:$AG$10000,MATCH(1,('Margin Guidence Table'!$A$1:$A$10000=HA22)*('Margin Guidence Table'!$I$1:$I$10000&lt;=ROUND($GS$3,0))*('Margin Guidence Table'!$J$1:$J$10000&gt;=ROUND($GS$3,0)),0),MATCH("DEFAULT_MDA_MAX_MARGIN_GUIDENCE",'Margin Guidence Table'!$A$1:$AG$1,0))),0))</f>
        <v>0</v>
      </c>
      <c r="HI22" s="784">
        <f t="array" ref="HI22">IF('Customer Inputs'!$W$12="End",0,IFERROR(IF($HC22="SEGMENT",INDEX('Margin Guidence Table'!$A$1:$AG$10000,MATCH(1,('Margin Guidence Table'!$A$1:$A$10000=HA22)*('Margin Guidence Table'!$I$1:$I$10000&lt;=ROUND($GS$3,0))*('Margin Guidence Table'!$J$1:$J$10000&gt;=ROUND($GS$3,0)),0),MATCH("PA_PCT_SALES",'Margin Guidence Table'!$A$1:$AG$1,0)),INDEX('Margin Guidence Table'!$A$1:$AG$10000,MATCH(1,('Margin Guidence Table'!$A$1:$A$10000=HA22)*('Margin Guidence Table'!$I$1:$I$10000&lt;=ROUND($GS$3,0))*('Margin Guidence Table'!$J$1:$J$10000&gt;=ROUND($GS$3,0)),0),MATCH("DEFAULT_PA_PCT_SALES",'Margin Guidence Table'!$A$1:$AG$1,0))),0))</f>
        <v>0</v>
      </c>
      <c r="HJ22" s="784">
        <f t="array" ref="HJ22">IF('Customer Inputs'!$W$12="End",0,IFERROR(IF($HC22="SEGMENT",INDEX('Margin Guidence Table'!$A$1:$AG$10000,MATCH(1,('Margin Guidence Table'!$A$1:$A$10000=HA22)*('Margin Guidence Table'!$I$1:$I$10000&lt;=ROUND($GS$3,0))*('Margin Guidence Table'!$J$1:$J$10000&gt;=ROUND($GS$3,0)),0),MATCH("SELF_FUND_PCT_SALES",'Margin Guidence Table'!$A$1:$AG$1,0)),INDEX('Margin Guidence Table'!$A$1:$AG$10000,MATCH(1,('Margin Guidence Table'!$A$1:$A$10000=HA22)*('Margin Guidence Table'!$I$1:$I$10000&lt;=ROUND($GS$3,0))*('Margin Guidence Table'!$J$1:$J$10000&gt;=ROUND($GS$3,0)),0),MATCH("DEFAULT_SELF_FUND_PCT_SALES",'Margin Guidence Table'!$A$1:$AG$1,0))),0))</f>
        <v>0</v>
      </c>
      <c r="HK22" s="784">
        <f t="array" ref="HK22">IF('Customer Inputs'!$W$12="End",0,IF($GT$2="Existing",IFERROR(SUMIFS('Existing Customers'!$V:$V,'Existing Customers'!$H:$H,$GR22,'Existing Customers'!$A:$A,$GS$1)/SUMIFS('Existing Customers'!$Q:$Q,'Existing Customers'!$H:$H,$GR22,'Existing Customers'!$A:$A,$GS$1),0),IFERROR(IF($HC22="SEGMENT",INDEX('Margin Guidence Table'!$A$1:$AG$10000,MATCH(1,('Margin Guidence Table'!$A$1:$A$10000=HA22)*('Margin Guidence Table'!$I$1:$I$10000&lt;=ROUND($GS$3,0))*('Margin Guidence Table'!$J$1:$J$10000&gt;=ROUND($GS$3,0)),0),MATCH("CIA_MEDIAN_MARGIN_GUIDENCE",'Margin Guidence Table'!$A$1:$AG$1,0)),INDEX('Margin Guidence Table'!$A$1:$AG$10000,MATCH(1,('Margin Guidence Table'!$A$1:$A$10000=HA22)*('Margin Guidence Table'!$I$1:$I$10000&lt;=ROUND($GS$3,0))*('Margin Guidence Table'!$J$1:$J$10000&gt;=ROUND($GS$3,0)),0),MATCH("DEFAULT_CIA_MEDIAN_MARGIN_GUIDENCE",'Margin Guidence Table'!$A$1:$AG$1,0))),0)))</f>
        <v>0</v>
      </c>
      <c r="HL22" s="126"/>
      <c r="HM22" s="18">
        <f t="array" ref="HM22">IF('Customer Inputs'!$W$13="End",0,IFERROR(IF($HZ22="SEGMENT",INDEX('Margin Guidence Table'!$A$1:$AG$10000,MATCH(1,('Margin Guidence Table'!$A$1:$A$10000=$HX22)*('Margin Guidence Table'!$I$1:$I$10000&lt;=ROUND($HP$3,0))*('Margin Guidence Table'!$J$1:$J$10000&gt;=ROUND($HP$3,0)),0),MATCH("PCT_SALES",'Margin Guidence Table'!$A$1:$AG$1,0)),INDEX('Margin Guidence Table'!$A$1:$AG$10000,MATCH(1,('Margin Guidence Table'!$A$1:$A$10000=$HX22)*('Margin Guidence Table'!$I$1:$I$10000&lt;=ROUND($HP$3,0))*('Margin Guidence Table'!$J$1:$J$10000&gt;=ROUND($HP$3,0)),0),MATCH("DEFAULT_PCT_SALES",'Margin Guidence Table'!$A$1:$AG$1,0))),0))</f>
        <v>0</v>
      </c>
      <c r="HN22" s="297" t="e">
        <f t="shared" si="46"/>
        <v>#DIV/0!</v>
      </c>
      <c r="HO22" s="99" t="s">
        <v>96</v>
      </c>
      <c r="HP22" s="91">
        <f>IF('Customer Inputs'!$W$13="End",0,IFERROR(IF(AND($HP$2&lt;&gt;"Enter Spend&gt;&gt;&gt;",$HQ$2="EXISTING"),SUMIFS('Existing Customers'!$Q:$Q,'Existing Customers'!$A:$A,$HP$1,'Existing Customers'!$H:$H,$HO22)*$HP$4,$HP$3*$HN22),0))</f>
        <v>0</v>
      </c>
      <c r="HQ22" s="86">
        <f>IF('Customer Inputs'!$W$13="End",0,IFERROR(IF(AND($HP$2&lt;&gt;"Enter Spend&gt;&gt;&gt;",$HQ$2="EXISTING"),SUMIFS('Existing Customers'!$N:$N,'Existing Customers'!$A:$A,$HP$1,'Existing Customers'!$H:$H,$HO22)*$HP$4,$HP22/$IA22),0))</f>
        <v>0</v>
      </c>
      <c r="HR22" s="92">
        <f>IF('Customer Inputs'!$W$13="End",0,IFERROR(IF(AND($HP$2&lt;&gt;"Enter Spend&gt;&gt;&gt;",$HQ$2="EXISTING"),SUMIFS('Existing Customers'!$O:$O,'Existing Customers'!$H:$H,$HO22,'Existing Customers'!$A:$A,$HP$1)*$HP$4,$HQ22*$HP$8),0))</f>
        <v>0</v>
      </c>
      <c r="HS22" s="92">
        <f>IF('Customer Inputs'!$W$13="End",0,IFERROR(IF(AND($HP$2&lt;&gt;"Enter Spend&gt;&gt;&gt;",$HQ$2="EXISTING"),SUMIFS('Existing Customers'!$P:$P,'Existing Customers'!$A:$A,$HP$1,'Existing Customers'!$H:$H,$HO22)*$HP$4,$HP22/$IB22),0))</f>
        <v>0</v>
      </c>
      <c r="HT22" s="93">
        <f>IF('Customer Inputs'!$W$13="End",0,IFERROR(IF(AND($HP$2&lt;&gt;"Enter Spend&gt;&gt;&gt;",$HQ$2="EXISTING"),SUMIFS('Existing Customers'!$V:$V,'Existing Customers'!$H:$H,$HO22,'Existing Customers'!$A:$A,$HP$1)*$HP$4,0),0))</f>
        <v>0</v>
      </c>
      <c r="HU22" s="93">
        <f>IF('Customer Inputs'!$W$13="End",0,IFERROR(IF(AND($HP$2&lt;&gt;"Enter Spend&gt;&gt;&gt;",$HQ$2="EXISTING"),SUMIFS('Existing Customers'!$R:$R,'Existing Customers'!$H:$H,$HO22,'Existing Customers'!$A:$A,$HP$1)*$HP$4,0),0))</f>
        <v>0</v>
      </c>
      <c r="HV22" s="780">
        <f>IF('Customer Inputs'!$W$13="End",0,IFERROR(IF(AND($HP$2&lt;&gt;"Enter Spend&gt;&gt;&gt;",$HQ$2="EXISTING"),SUMIFS('Existing Customers'!$S:$S,'Existing Customers'!$H:$H,$HO22,'Existing Customers'!$A:$A,$HP$1)/SUMIFS('Existing Customers'!$Q:$Q,'Existing Customers'!$A:$A,$HP$1,'Existing Customers'!$H:$H,$HO22),IF22),0))</f>
        <v>0</v>
      </c>
      <c r="HW22" s="780">
        <f>IF('Customer Inputs'!$W$13="End",0,IFERROR(IF(AND($HP$2&lt;&gt;"Enter Spend&gt;&gt;&gt;",$HQ$2="EXISTING"),SUMIFS('Existing Customers'!$U:$U,'Existing Customers'!$H:$H,$HO22,'Existing Customers'!$A:$A,$HP$1)/SUMIFS('Existing Customers'!$Q:$Q,'Existing Customers'!$A:$A,$HP$1,'Existing Customers'!$H:$H,$HO22),IG22),0))</f>
        <v>0</v>
      </c>
      <c r="HX22" s="783" t="e">
        <f>_xlfn.CONCAT('Customer Inputs'!$AH$13,"_",HO22)</f>
        <v>#N/A</v>
      </c>
      <c r="HY22" s="783">
        <f t="array" ref="HY22">IF('Customer Inputs'!$W$13="End",0,IFERROR(INDEX('Margin Guidence Table'!$A$1:$AG$10000,MATCH(1,('Margin Guidence Table'!$A$1:$A$10000=HX22)*('Margin Guidence Table'!$I$1:$I$10000&lt;=ROUND($HP$3,0))*('Margin Guidence Table'!$J$1:$J$10000&gt;=ROUND($HP$3,0)),0),MATCH("DATA_POINTS",'Margin Guidence Table'!$A$1:$AG$1,0)),0))</f>
        <v>0</v>
      </c>
      <c r="HZ22" s="780" t="str">
        <f t="shared" si="47"/>
        <v>DEFAULT</v>
      </c>
      <c r="IA22" s="780">
        <f t="array" ref="IA22">IF('Customer Inputs'!$W$13="End",0,IFERROR(IF($HZ22="SEGMENT",INDEX('Margin Guidence Table'!$A$1:$AG$10000,MATCH(1,('Margin Guidence Table'!$A$1:$A$10000=HX22)*('Margin Guidence Table'!$I$1:$I$10000&lt;=ROUND($HP$3,0))*('Margin Guidence Table'!$J$1:$J$10000&gt;=ROUND($HP$3,0)),0),MATCH("SALES_CASE",'Margin Guidence Table'!$A$1:$AG$1,0)),INDEX('Margin Guidence Table'!$A$1:$AG$10000,MATCH(1,('Margin Guidence Table'!$A$1:$A$10000=HX22)*('Margin Guidence Table'!$I$1:$I$10000&lt;=ROUND($HP$3,0))*('Margin Guidence Table'!$J$1:$J$10000&gt;=ROUND($HP$3,0)),0),MATCH("DEFAULT_SALES_CASE",'Margin Guidence Table'!$A$1:$AG$1,0))),0))</f>
        <v>0</v>
      </c>
      <c r="IB22" s="780">
        <f t="array" ref="IB22">IF('Customer Inputs'!$W$13="End",0,IFERROR(IF($HZ22="SEGMENT",INDEX('Margin Guidence Table'!$A$1:$AG$10000,MATCH(1,('Margin Guidence Table'!$A$1:$A$10000=HX22)*('Margin Guidence Table'!$I$1:$I$10000&lt;=ROUND($HP$3,0))*('Margin Guidence Table'!$J$1:$J$10000&gt;=ROUND($HP$3,0)),0),MATCH("SALES_LBS",'Margin Guidence Table'!$A$1:$AG$1,0)),INDEX('Margin Guidence Table'!$A$1:$AG$10000,MATCH(1,('Margin Guidence Table'!$A$1:$A$10000=HX22)*('Margin Guidence Table'!$I$1:$I$10000&lt;=ROUND($HP$3,0))*('Margin Guidence Table'!$J$1:$J$10000&gt;=ROUND($HP$3,0)),0),MATCH("DEFAULT_SALES_LBS",'Margin Guidence Table'!$A$1:$AG$1,0))),0))</f>
        <v>0</v>
      </c>
      <c r="IC22" s="784">
        <f t="array" ref="IC22">IF('Customer Inputs'!$W$13="End",0,IFERROR(IF($HZ22="SEGMENT",INDEX('Margin Guidence Table'!$A$1:$AG$10000,MATCH(1,('Margin Guidence Table'!$A$1:$A$10000=HX22)*('Margin Guidence Table'!$I$1:$I$10000&lt;=ROUND($HP$3,0))*('Margin Guidence Table'!$J$1:$J$10000&gt;=ROUND($HP$3,0)),0),MATCH("MDA_MIN_MARGIN_GUIDENCE",'Margin Guidence Table'!$A$1:$AG$1,0)),INDEX('Margin Guidence Table'!$A$1:$AG$10000,MATCH(1,('Margin Guidence Table'!$A$1:$A$10000=HX22)*('Margin Guidence Table'!$I$1:$I$10000&lt;=ROUND($HP$3,0))*('Margin Guidence Table'!$J$1:$J$10000&gt;=ROUND($HP$3,0)),0),MATCH("DEFAULT_MDA_MIN_MARGIN_GUIDENCE",'Margin Guidence Table'!$A$1:$AG$1,0))),0))</f>
        <v>0</v>
      </c>
      <c r="ID22" s="784">
        <f t="array" ref="ID22">IF('Customer Inputs'!$W$13="End",0,IFERROR(IF($HZ22="SEGMENT",INDEX('Margin Guidence Table'!$A$1:$AG$10000,MATCH(1,('Margin Guidence Table'!$A$1:$A$10000=HX22)*('Margin Guidence Table'!$I$1:$I$10000&lt;=ROUND($HP$3,0))*('Margin Guidence Table'!$J$1:$J$10000&gt;=ROUND($HP$3,0)),0),MATCH("MDA_MEDIAN_MARGIN_GUIDENCE",'Margin Guidence Table'!$A$1:$AG$1,0)),INDEX('Margin Guidence Table'!$A$1:$AG$10000,MATCH(1,('Margin Guidence Table'!$A$1:$A$10000=HX22)*('Margin Guidence Table'!$I$1:$I$10000&lt;=ROUND($HP$3,0))*('Margin Guidence Table'!$J$1:$J$10000&gt;=ROUND($HP$3,0)),0),MATCH("DEFAULT_MDA_MEDIAN_MARGIN_GUIDENCE",'Margin Guidence Table'!$A$1:$AG$1,0))),0))</f>
        <v>0</v>
      </c>
      <c r="IE22" s="784">
        <f t="array" ref="IE22">IF('Customer Inputs'!$W$13="End",0,IFERROR(IF($HZ22="SEGMENT",INDEX('Margin Guidence Table'!$A$1:$AG$10000,MATCH(1,('Margin Guidence Table'!$A$1:$A$10000=HX22)*('Margin Guidence Table'!$I$1:$I$10000&lt;=ROUND($HP$3,0))*('Margin Guidence Table'!$J$1:$J$10000&gt;=ROUND($HP$3,0)),0),MATCH("MDA_MAX_MARGIN_GUIDENCE",'Margin Guidence Table'!$A$1:$AG$1,0)),INDEX('Margin Guidence Table'!$A$1:$AG$10000,MATCH(1,('Margin Guidence Table'!$A$1:$A$10000=HX22)*('Margin Guidence Table'!$I$1:$I$10000&lt;=ROUND($HP$3,0))*('Margin Guidence Table'!$J$1:$J$10000&gt;=ROUND($HP$3,0)),0),MATCH("DEFAULT_MDA_MAX_MARGIN_GUIDENCE",'Margin Guidence Table'!$A$1:$AG$1,0))),0))</f>
        <v>0</v>
      </c>
      <c r="IF22" s="784">
        <f t="array" ref="IF22">IF('Customer Inputs'!$W$13="End",0,IFERROR(IF($HZ22="SEGMENT",INDEX('Margin Guidence Table'!$A$1:$AG$10000,MATCH(1,('Margin Guidence Table'!$A$1:$A$10000=HX22)*('Margin Guidence Table'!$I$1:$I$10000&lt;=ROUND($HP$3,0))*('Margin Guidence Table'!$J$1:$J$10000&gt;=ROUND($HP$3,0)),0),MATCH("PA_PCT_SALES",'Margin Guidence Table'!$A$1:$AG$1,0)),INDEX('Margin Guidence Table'!$A$1:$AG$10000,MATCH(1,('Margin Guidence Table'!$A$1:$A$10000=HX22)*('Margin Guidence Table'!$I$1:$I$10000&lt;=ROUND($HP$3,0))*('Margin Guidence Table'!$J$1:$J$10000&gt;=ROUND($HP$3,0)),0),MATCH("DEFAULT_PA_PCT_SALES",'Margin Guidence Table'!$A$1:$AG$1,0))),0))</f>
        <v>0</v>
      </c>
      <c r="IG22" s="784">
        <f t="array" ref="IG22">IF('Customer Inputs'!$W$13="End",0,IFERROR(IF($HZ22="SEGMENT",INDEX('Margin Guidence Table'!$A$1:$AG$10000,MATCH(1,('Margin Guidence Table'!$A$1:$A$10000=HX22)*('Margin Guidence Table'!$I$1:$I$10000&lt;=ROUND($HP$3,0))*('Margin Guidence Table'!$J$1:$J$10000&gt;=ROUND($HP$3,0)),0),MATCH("SELF_FUND_PCT_SALES",'Margin Guidence Table'!$A$1:$AG$1,0)),INDEX('Margin Guidence Table'!$A$1:$AG$10000,MATCH(1,('Margin Guidence Table'!$A$1:$A$10000=HX22)*('Margin Guidence Table'!$I$1:$I$10000&lt;=ROUND($HP$3,0))*('Margin Guidence Table'!$J$1:$J$10000&gt;=ROUND($HP$3,0)),0),MATCH("DEFAULT_SELF_FUND_PCT_SALES",'Margin Guidence Table'!$A$1:$AG$1,0))),0))</f>
        <v>0</v>
      </c>
      <c r="IH22" s="784">
        <f t="array" ref="IH22">IF('Customer Inputs'!$W$13="End",0,IF($HQ$2="Existing",IFERROR(SUMIFS('Existing Customers'!$V:$V,'Existing Customers'!$H:$H,$HO22,'Existing Customers'!$A:$A,$HP$1)/SUMIFS('Existing Customers'!$Q:$Q,'Existing Customers'!$H:$H,$HO22,'Existing Customers'!$A:$A,$HP$1),0),IFERROR(IF($HZ22="SEGMENT",INDEX('Margin Guidence Table'!$A$1:$AG$10000,MATCH(1,('Margin Guidence Table'!$A$1:$A$10000=HX22)*('Margin Guidence Table'!$I$1:$I$10000&lt;=ROUND($HP$3,0))*('Margin Guidence Table'!$J$1:$J$10000&gt;=ROUND($HP$3,0)),0),MATCH("CIA_MEDIAN_MARGIN_GUIDENCE",'Margin Guidence Table'!$A$1:$AG$1,0)),INDEX('Margin Guidence Table'!$A$1:$AG$10000,MATCH(1,('Margin Guidence Table'!$A$1:$A$10000=HX22)*('Margin Guidence Table'!$I$1:$I$10000&lt;=ROUND($HP$3,0))*('Margin Guidence Table'!$J$1:$J$10000&gt;=ROUND($HP$3,0)),0),MATCH("DEFAULT_CIA_MEDIAN_MARGIN_GUIDENCE",'Margin Guidence Table'!$A$1:$AG$1,0))),0)))</f>
        <v>0</v>
      </c>
      <c r="II22" s="126"/>
      <c r="IJ22" s="18">
        <f t="array" ref="IJ22">IF('Customer Inputs'!$W$14="End",0,IFERROR(IF($IW22="SEGMENT",INDEX('Margin Guidence Table'!$A:$AC,MATCH(1,('Margin Guidence Table'!$A:$A=$IU22)*('Margin Guidence Table'!$H:$H&lt;=ROUND($IM$3,0))*('Margin Guidence Table'!$G:$G&gt;=ROUND($IM$3,0)),0),MATCH("PCT_SALES",'Margin Guidence Table'!$A$1:$AG$1,0)),INDEX('Margin Guidence Table'!$A:$AC,MATCH(1,('Margin Guidence Table'!$A:$A=$IU22)*('Margin Guidence Table'!$H:$H&lt;=ROUND($IM$3,0))*('Margin Guidence Table'!$G:$G&gt;=ROUND($IM$3,0)),0),MATCH("DEFAULT_PCT_SALES",'Margin Guidence Table'!$A$1:$AG$1,0))),0))</f>
        <v>0</v>
      </c>
      <c r="IK22" s="297" t="e">
        <f t="shared" si="48"/>
        <v>#DIV/0!</v>
      </c>
      <c r="IL22" s="99" t="s">
        <v>96</v>
      </c>
      <c r="IM22" s="91">
        <f>IF('Customer Inputs'!$W$14="End",0,IFERROR(IF(AND($IM$2&lt;&gt;"Enter Spend&gt;&gt;&gt;",$IN$2="EXISTING"),SUMIFS('Existing Customers'!$Q:$Q,'Existing Customers'!$A:$A,$IM$1,'Existing Customers'!$H:$H,$IL22)*$IM$4,$IM$3*$IK22),0))</f>
        <v>0</v>
      </c>
      <c r="IN22" s="86">
        <f>IF('Customer Inputs'!$W$14="End",0,IFERROR(IF(AND($IM$2&lt;&gt;"Enter Spend&gt;&gt;&gt;",$IN$2="EXISTING"),SUMIFS('Existing Customers'!$N:$N,'Existing Customers'!$A:$A,$IM$1,'Existing Customers'!$H:$H,$IL22)*$IM$4,$IM22/$IX22),0))</f>
        <v>0</v>
      </c>
      <c r="IO22" s="92">
        <f>IF('Customer Inputs'!$W$14="End",0,IFERROR(IF(AND($IM$2&lt;&gt;"Enter Spend&gt;&gt;&gt;",$IN$2="EXISTING"),SUMIFS('Existing Customers'!$O:$O,'Existing Customers'!$H:$H,$IL22,'Existing Customers'!$A:$A,$IM$1)*$IM$4,$IN22*$IM$8),0))</f>
        <v>0</v>
      </c>
      <c r="IP22" s="92">
        <f>IF('Customer Inputs'!$W$14="End",0,IFERROR(IF(AND($IM$2&lt;&gt;"Enter Spend&gt;&gt;&gt;",$IN$2="EXISTING"),SUMIFS('Existing Customers'!$P:$P,'Existing Customers'!$A:$A,$IM$1,'Existing Customers'!$H:$H,$IL22)*$IM$4,$IM22/$IY22),0))</f>
        <v>0</v>
      </c>
      <c r="IQ22" s="303">
        <f>IF('Customer Inputs'!$W$14="End",0,IFERROR(IF(AND($IM$2&lt;&gt;"Enter Spend&gt;&gt;&gt;",$IN$2="EXISTING"),SUMIFS('Existing Customers'!$V:$V,'Existing Customers'!$H:$H,$IL22,'Existing Customers'!$A:$A,$IM$1)*$IM$4,0),0))</f>
        <v>0</v>
      </c>
      <c r="IR22" s="93">
        <f>IF('Customer Inputs'!$W$14="End",0,IFERROR(IF(AND($IM$2&lt;&gt;"Enter Spend&gt;&gt;&gt;",$IN$2="EXISTING"),SUMIFS('Existing Customers'!$R:$R,'Existing Customers'!$H:$H,$IL22,'Existing Customers'!$A:$A,$IM$1)*$IM$4,0),0))</f>
        <v>0</v>
      </c>
      <c r="IS22" s="780">
        <f>IF('Customer Inputs'!$W$14="End",0,IFERROR(IF(AND($IM$2&lt;&gt;"Enter Spend&gt;&gt;&gt;",$IN$2="EXISTING"),SUMIFS('Existing Customers'!$S:$S,'Existing Customers'!$H:$H,$IL22,'Existing Customers'!$A:$A,$IM$1)/SUMIFS('Existing Customers'!$Q:$Q,'Existing Customers'!$A:$A,$IM$1,'Existing Customers'!$H:$H,$IL22),JC22),0))</f>
        <v>0</v>
      </c>
      <c r="IT22" s="780">
        <f>IF('Customer Inputs'!$W$14="End",0,IFERROR(IF(AND($IM$2&lt;&gt;"Enter Spend&gt;&gt;&gt;",$IN$2="EXISTING"),SUMIFS('Existing Customers'!$U:$U,'Existing Customers'!$H:$H,$IL22,'Existing Customers'!$A:$A,$IM$1)/SUMIFS('Existing Customers'!$Q:$Q,'Existing Customers'!$A:$A,$IM$1,'Existing Customers'!$H:$H,$IL22),JD22),0))</f>
        <v>0</v>
      </c>
      <c r="IU22" s="783" t="e">
        <f>_xlfn.CONCAT('Customer Inputs'!$AH$14,"_",IL22)</f>
        <v>#N/A</v>
      </c>
      <c r="IV22" s="783">
        <f t="array" ref="IV22">IF('Customer Inputs'!$W$14="End",0,IFERROR(INDEX('Margin Guidence Table'!$A$1:$AG$10000,MATCH(1,('Margin Guidence Table'!$A$1:$A$10000=IU22)*('Margin Guidence Table'!$I$1:$I$10000&lt;=ROUND($IM$3,0))*('Margin Guidence Table'!$J$1:$J$10000&gt;=ROUND($IM$3,0)),0),MATCH("DATA_POINTS",'Margin Guidence Table'!$A$1:$AG$1,0)),0))</f>
        <v>0</v>
      </c>
      <c r="IW22" s="780" t="str">
        <f t="shared" si="49"/>
        <v>DEFAULT</v>
      </c>
      <c r="IX22" s="780">
        <f t="array" ref="IX22">IF('Customer Inputs'!$W$14="End",0,IFERROR(IF($IW22="SEGMENT",INDEX('Margin Guidence Table'!$A$1:$AG$10000,MATCH(1,('Margin Guidence Table'!$A$1:$A$10000=IU22)*('Margin Guidence Table'!$I$1:$I$10000&lt;=ROUND($IM$3,0))*('Margin Guidence Table'!$J$1:$J$10000&gt;=ROUND($IM$3,0)),0),MATCH("SALES_CASE",'Margin Guidence Table'!$A$1:$AG$1,0)),INDEX('Margin Guidence Table'!$A$1:$AG$10000,MATCH(1,('Margin Guidence Table'!$A$1:$A$10000=IU22)*('Margin Guidence Table'!$I$1:$I$10000&lt;=ROUND($IM$3,0))*('Margin Guidence Table'!$J$1:$J$10000&gt;=ROUND($IM$3,0)),0),MATCH("DEFAULT_SALES_CASE",'Margin Guidence Table'!$A$1:$AG$1,0))),0))</f>
        <v>0</v>
      </c>
      <c r="IY22" s="780">
        <f t="array" ref="IY22">IF('Customer Inputs'!$W$14="End",0,IFERROR(IF($IW22="SEGMENT",INDEX('Margin Guidence Table'!$A$1:$AG$10000,MATCH(1,('Margin Guidence Table'!$A$1:$A$10000=IU22)*('Margin Guidence Table'!$I$1:$I$10000&lt;=ROUND($IM$3,0))*('Margin Guidence Table'!$J$1:$J$10000&gt;=ROUND($IM$3,0)),0),MATCH("SALES_LBS",'Margin Guidence Table'!$A$1:$AG$1,0)),INDEX('Margin Guidence Table'!$A$1:$AG$10000,MATCH(1,('Margin Guidence Table'!$A$1:$A$10000=IU22)*('Margin Guidence Table'!$I$1:$I$10000&lt;=ROUND($IM$3,0))*('Margin Guidence Table'!$J$1:$J$10000&gt;=ROUND($IM$3,0)),0),MATCH("DEFAULT_SALES_LBS",'Margin Guidence Table'!$A$1:$AG$1,0))),0))</f>
        <v>0</v>
      </c>
      <c r="IZ22" s="784">
        <f t="array" ref="IZ22">IF('Customer Inputs'!$W$14="End",0,IFERROR(IF($IW22="SEGMENT",INDEX('Margin Guidence Table'!$A$1:$AG$10000,MATCH(1,('Margin Guidence Table'!$A$1:$A$10000=IU22)*('Margin Guidence Table'!$I$1:$I$10000&lt;=ROUND($IM$3,0))*('Margin Guidence Table'!$J$1:$J$10000&gt;=ROUND($IM$3,0)),0),MATCH("MDA_MIN_MARGIN_GUIDENCE",'Margin Guidence Table'!$A$1:$AG$1,0)),INDEX('Margin Guidence Table'!$A$1:$AG$10000,MATCH(1,('Margin Guidence Table'!$A$1:$A$10000=IU22)*('Margin Guidence Table'!$I$1:$I$10000&lt;=ROUND($IM$3,0))*('Margin Guidence Table'!$J$1:$J$10000&gt;=ROUND($IM$3,0)),0),MATCH("DEFAULT_MDA_MIN_MARGIN_GUIDENCE",'Margin Guidence Table'!$A$1:$AG$1,0))),0))</f>
        <v>0</v>
      </c>
      <c r="JA22" s="784">
        <f t="array" ref="JA22">IF('Customer Inputs'!$W$14="End",0,IFERROR(IF($IW22="SEGMENT",INDEX('Margin Guidence Table'!$A$1:$AG$10000,MATCH(1,('Margin Guidence Table'!$A$1:$A$10000=IU22)*('Margin Guidence Table'!$I$1:$I$10000&lt;=ROUND($IM$3,0))*('Margin Guidence Table'!$J$1:$J$10000&gt;=ROUND($IM$3,0)),0),MATCH("MDA_MEDIAN_MARGIN_GUIDENCE",'Margin Guidence Table'!$A$1:$AG$1,0)),INDEX('Margin Guidence Table'!$A$1:$AG$10000,MATCH(1,('Margin Guidence Table'!$A$1:$A$10000=IU22)*('Margin Guidence Table'!$I$1:$I$10000&lt;=ROUND($IM$3,0))*('Margin Guidence Table'!$J$1:$J$10000&gt;=ROUND($IM$3,0)),0),MATCH("DEFAULT_MDA_MEDIAN_MARGIN_GUIDENCE",'Margin Guidence Table'!$A$1:$AG$1,0))),0))</f>
        <v>0</v>
      </c>
      <c r="JB22" s="784">
        <f t="array" ref="JB22">IF('Customer Inputs'!$W$14="End",0,IFERROR(IF($IW22="SEGMENT",INDEX('Margin Guidence Table'!$A$1:$AG$10000,MATCH(1,('Margin Guidence Table'!$A$1:$A$10000=IU22)*('Margin Guidence Table'!$I$1:$I$10000&lt;=ROUND($IM$3,0))*('Margin Guidence Table'!$J$1:$J$10000&gt;=ROUND($IM$3,0)),0),MATCH("MDA_MAX_MARGIN_GUIDENCE",'Margin Guidence Table'!$A$1:$AG$1,0)),INDEX('Margin Guidence Table'!$A$1:$AG$10000,MATCH(1,('Margin Guidence Table'!$A$1:$A$10000=IU22)*('Margin Guidence Table'!$I$1:$I$10000&lt;=ROUND($IM$3,0))*('Margin Guidence Table'!$J$1:$J$10000&gt;=ROUND($IM$3,0)),0),MATCH("DEFAULT_MDA_MAX_MARGIN_GUIDENCE",'Margin Guidence Table'!$A$1:$AG$1,0))),0))</f>
        <v>0</v>
      </c>
      <c r="JC22" s="784">
        <f t="array" ref="JC22">IF('Customer Inputs'!$W$14="End",0,IFERROR(IF($IW22="SEGMENT",INDEX('Margin Guidence Table'!$A$1:$AG$10000,MATCH(1,('Margin Guidence Table'!$A$1:$A$10000=IU22)*('Margin Guidence Table'!$I$1:$I$10000&lt;=ROUND($IM$3,0))*('Margin Guidence Table'!$J$1:$J$10000&gt;=ROUND($IM$3,0)),0),MATCH("PA_PCT_SALES",'Margin Guidence Table'!$A$1:$AG$1,0)),INDEX('Margin Guidence Table'!$A$1:$AG$10000,MATCH(1,('Margin Guidence Table'!$A$1:$A$10000=IU22)*('Margin Guidence Table'!$I$1:$I$10000&lt;=ROUND($IM$3,0))*('Margin Guidence Table'!$J$1:$J$10000&gt;=ROUND($IM$3,0)),0),MATCH("DEFAULT_PA_PCT_SALES",'Margin Guidence Table'!$A$1:$AG$1,0))),0))</f>
        <v>0</v>
      </c>
      <c r="JD22" s="784">
        <f t="array" ref="JD22">IF('Customer Inputs'!$W$14="End",0,IFERROR(IF($IW22="SEGMENT",INDEX('Margin Guidence Table'!$A$1:$AG$10000,MATCH(1,('Margin Guidence Table'!$A$1:$A$10000=IU22)*('Margin Guidence Table'!$I$1:$I$10000&lt;=ROUND($IM$3,0))*('Margin Guidence Table'!$J$1:$J$10000&gt;=ROUND($IM$3,0)),0),MATCH("SELF_FUND_PCT_SALES",'Margin Guidence Table'!$A$1:$AG$1,0)),INDEX('Margin Guidence Table'!$A$1:$AG$10000,MATCH(1,('Margin Guidence Table'!$A$1:$A$10000=IU22)*('Margin Guidence Table'!$I$1:$I$10000&lt;=ROUND($IM$3,0))*('Margin Guidence Table'!$J$1:$J$10000&gt;=ROUND($IM$3,0)),0),MATCH("DEFAULT_SELF_FUND_PCT_SALES",'Margin Guidence Table'!$A$1:$AG$1,0))),0))</f>
        <v>0</v>
      </c>
      <c r="JE22" s="784">
        <f t="array" ref="JE22">IF('Customer Inputs'!$W$14="End",0,IF($IN$2="Existing",IFERROR(SUMIFS('Existing Customers'!$V:$V,'Existing Customers'!$H:$H,$IL22,'Existing Customers'!$A:$A,$IM$1)/SUMIFS('Existing Customers'!$Q:$Q,'Existing Customers'!$H:$H,$IL22,'Existing Customers'!$A:$A,$IM$1),0),IFERROR(IF($IW22="SEGMENT",INDEX('Margin Guidence Table'!$A$1:$AG$10000,MATCH(1,('Margin Guidence Table'!$A$1:$A$10000=IU22)*('Margin Guidence Table'!$I$1:$I$10000&lt;=ROUND($IM$3,0))*('Margin Guidence Table'!$J$1:$J$10000&gt;=ROUND($IM$3,0)),0),MATCH("CIA_MEDIAN_MARGIN_GUIDENCE",'Margin Guidence Table'!$A$1:$AG$1,0)),INDEX('Margin Guidence Table'!$A$1:$AG$10000,MATCH(1,('Margin Guidence Table'!$A$1:$A$10000=IU22)*('Margin Guidence Table'!$I$1:$I$10000&lt;=ROUND($IM$3,0))*('Margin Guidence Table'!$J$1:$J$10000&gt;=ROUND($IM$3,0)),0),MATCH("DEFAULT_CIA_MEDIAN_MARGIN_GUIDENCE",'Margin Guidence Table'!$A$1:$AG$1,0))),0)))</f>
        <v>0</v>
      </c>
      <c r="JF22" s="126"/>
      <c r="JG22" s="18">
        <f t="array" ref="JG22">IF('Customer Inputs'!$W$15="End",0,IFERROR(IF($JT22="SEGMENT",INDEX('Margin Guidence Table'!$A$1:$AG$10000,MATCH(1,('Margin Guidence Table'!$A$1:$A$10000=$JR22)*('Margin Guidence Table'!$I$1:$I$10000&lt;=ROUND($JJ$3,0))*('Margin Guidence Table'!$J$1:$J$10000&gt;=ROUND($JJ$3,0)),0),MATCH("PCT_SALES",'Margin Guidence Table'!$A$1:$AG$1,0)),INDEX('Margin Guidence Table'!$A$1:$AG$10000,MATCH(1,('Margin Guidence Table'!$A$1:$A$10000=$JR22)*('Margin Guidence Table'!$I$1:$I$10000&lt;=ROUND($JJ$3,0))*('Margin Guidence Table'!$J$1:$J$10000&gt;=ROUND($JJ$3,0)),0),MATCH("DEFAULT_PCT_SALES",'Margin Guidence Table'!$A$1:$AG$1,0))),0))</f>
        <v>0</v>
      </c>
      <c r="JH22" s="297" t="e">
        <f t="shared" si="50"/>
        <v>#DIV/0!</v>
      </c>
      <c r="JI22" s="99" t="s">
        <v>96</v>
      </c>
      <c r="JJ22" s="91">
        <f>IF('Customer Inputs'!$W$15="End",0,IFERROR(IF(AND($JJ$2&lt;&gt;"Enter Spend&gt;&gt;&gt;",$JK$2="EXISTING"),SUMIFS('Existing Customers'!$Q:$Q,'Existing Customers'!$A:$A,$JJ$1,'Existing Customers'!$H:$H,$JI22)*$JJ$4,$JJ$3*$JH22),0))</f>
        <v>0</v>
      </c>
      <c r="JK22" s="86">
        <f>IF('Customer Inputs'!$W$15="End",0,IFERROR(IF(AND($JJ$2&lt;&gt;"Enter Spend&gt;&gt;&gt;",$JK$2="EXISTING"),SUMIFS('Existing Customers'!$N:$N,'Existing Customers'!$A:$A,$JJ$1,'Existing Customers'!$H:$H,$JI22)*$JJ$4,$JJ22/$JU22),0))</f>
        <v>0</v>
      </c>
      <c r="JL22" s="92">
        <f>IF('Customer Inputs'!$W$15="End",0,IFERROR(IF(AND($JJ$2&lt;&gt;"Enter Spend&gt;&gt;&gt;",$JK$2="EXISTING"),SUMIFS('Existing Customers'!$O:$O,'Existing Customers'!$H:$H,$JI22,'Existing Customers'!$A:$A,$JJ$1)*$JJ$4,$JK22*$JJ$8),0))</f>
        <v>0</v>
      </c>
      <c r="JM22" s="92">
        <f>IF('Customer Inputs'!$W$15="End",0,IFERROR(IF(AND($JJ$2&lt;&gt;"Enter Spend&gt;&gt;&gt;",$JK$2="EXISTING"),SUMIFS('Existing Customers'!$P:$P,'Existing Customers'!$A:$A,$JJ$1,'Existing Customers'!$H:$H,$JI22)*$JJ$4,$JJ22/$JV22),0))</f>
        <v>0</v>
      </c>
      <c r="JN22" s="303">
        <f>IF('Customer Inputs'!$W$15="End",0,IFERROR(IF(AND($JJ$2&lt;&gt;"Enter Spend&gt;&gt;&gt;",$JK$2="EXISTING"),SUMIFS('Existing Customers'!$V:$V,'Existing Customers'!$H:$H,$JI22,'Existing Customers'!$A:$A,$JJ$1)*$JJ$4,0),0))</f>
        <v>0</v>
      </c>
      <c r="JO22" s="93">
        <f>IF('Customer Inputs'!$W$15="End",0,IFERROR(IF(AND($JJ$2&lt;&gt;"Enter Spend&gt;&gt;&gt;",$JK$2="EXISTING"),SUMIFS('Existing Customers'!$R:$R,'Existing Customers'!$H:$H,$JI22,'Existing Customers'!$A:$A,$JJ$1)*$JJ$4,0),0))</f>
        <v>0</v>
      </c>
      <c r="JP22" s="780">
        <f>IF('Customer Inputs'!$W$15="End",0,IFERROR(IF(AND($JJ$2&lt;&gt;"Enter Spend&gt;&gt;&gt;",$JK$2="EXISTING"),SUMIFS('Existing Customers'!$S:$S,'Existing Customers'!$H:$H,$JI22,'Existing Customers'!$A:$A,$JJ$1)/SUMIFS('Existing Customers'!$Q:$Q,'Existing Customers'!$A:$A,$JJ$1,'Existing Customers'!$H:$H,$JI22),JZ22),0))</f>
        <v>0</v>
      </c>
      <c r="JQ22" s="780">
        <f>IF('Customer Inputs'!$W$15="End",0,IFERROR(IF(AND($JJ$2&lt;&gt;"Enter Spend&gt;&gt;&gt;",$JK$2="EXISTING"),SUMIFS('Existing Customers'!$U:$U,'Existing Customers'!$H:$H,$JI22,'Existing Customers'!$A:$A,$JJ$1)/SUMIFS('Existing Customers'!$Q:$Q,'Existing Customers'!$A:$A,$JJ$1,'Existing Customers'!$H:$H,$JI22),KA22),0))</f>
        <v>0</v>
      </c>
      <c r="JR22" s="783" t="e">
        <f>_xlfn.CONCAT('Customer Inputs'!$AH$15,"_",JI22)</f>
        <v>#N/A</v>
      </c>
      <c r="JS22" s="783">
        <f t="array" ref="JS22">IF('Customer Inputs'!$W$15="End",0,IFERROR(INDEX('Margin Guidence Table'!$A$1:$AG$10000,MATCH(1,('Margin Guidence Table'!$A$1:$A$10000=JR22)*('Margin Guidence Table'!$I$1:$I$10000&lt;=ROUND($JJ$3,0))*('Margin Guidence Table'!$J$1:$J$10000&gt;=ROUND($JJ$3,0)),0),MATCH("DATA_POINTS",'Margin Guidence Table'!$A$1:$AG$1,0)),0))</f>
        <v>0</v>
      </c>
      <c r="JT22" s="780" t="str">
        <f t="shared" si="51"/>
        <v>DEFAULT</v>
      </c>
      <c r="JU22" s="780">
        <f t="array" ref="JU22">IF('Customer Inputs'!$W$15="End",0,IFERROR(IF($JT22="SEGMENT",INDEX('Margin Guidence Table'!$A$1:$AG$10000,MATCH(1,('Margin Guidence Table'!$A$1:$A$10000=JR22)*('Margin Guidence Table'!$I$1:$I$10000&lt;=ROUND($JJ$3,0))*('Margin Guidence Table'!$J$1:$J$10000&gt;=ROUND($JJ$3,0)),0),MATCH("SALES_CASE",'Margin Guidence Table'!$A$1:$AG$1,0)),INDEX('Margin Guidence Table'!$A$1:$AG$10000,MATCH(1,('Margin Guidence Table'!$A$1:$A$10000=JR22)*('Margin Guidence Table'!$I$1:$I$10000&lt;=ROUND($JJ$3,0))*('Margin Guidence Table'!$J$1:$J$10000&gt;=ROUND($JJ$3,0)),0),MATCH("DEFAULT_SALES_CASE",'Margin Guidence Table'!$A$1:$AG$1,0))),0))</f>
        <v>0</v>
      </c>
      <c r="JV22" s="780">
        <f t="array" ref="JV22">IF('Customer Inputs'!$W$15="End",0,IFERROR(IF($JT22="SEGMENT",INDEX('Margin Guidence Table'!$A$1:$AG$10000,MATCH(1,('Margin Guidence Table'!$A$1:$A$10000=JR22)*('Margin Guidence Table'!$I$1:$I$10000&lt;=ROUND($JJ$3,0))*('Margin Guidence Table'!$J$1:$J$10000&gt;=ROUND($JJ$3,0)),0),MATCH("SALES_LBS",'Margin Guidence Table'!$A$1:$AG$1,0)),INDEX('Margin Guidence Table'!$A$1:$AG$10000,MATCH(1,('Margin Guidence Table'!$A$1:$A$10000=JR22)*('Margin Guidence Table'!$I$1:$I$10000&lt;=ROUND($JJ$3,0))*('Margin Guidence Table'!$J$1:$J$10000&gt;=ROUND($JJ$3,0)),0),MATCH("DEFAULT_SALES_LBS",'Margin Guidence Table'!$A$1:$AG$1,0))),0))</f>
        <v>0</v>
      </c>
      <c r="JW22" s="784">
        <f t="array" ref="JW22">IF('Customer Inputs'!$W$15="End",0,IFERROR(IF($JT22="SEGMENT",INDEX('Margin Guidence Table'!$A$1:$AG$10000,MATCH(1,('Margin Guidence Table'!$A$1:$A$10000=JR22)*('Margin Guidence Table'!$I$1:$I$10000&lt;=ROUND($JJ$3,0))*('Margin Guidence Table'!$J$1:$J$10000&gt;=ROUND($JJ$3,0)),0),MATCH("MDA_MIN_MARGIN_GUIDENCE",'Margin Guidence Table'!$A$1:$AG$1,0)),INDEX('Margin Guidence Table'!$A$1:$AG$10000,MATCH(1,('Margin Guidence Table'!$A$1:$A$10000=JR22)*('Margin Guidence Table'!$I$1:$I$10000&lt;=ROUND($JJ$3,0))*('Margin Guidence Table'!$J$1:$J$10000&gt;=ROUND($JJ$3,0)),0),MATCH("DEFAULT_MDA_MIN_MARGIN_GUIDENCE",'Margin Guidence Table'!$A$1:$AG$1,0))),0))</f>
        <v>0</v>
      </c>
      <c r="JX22" s="784">
        <f t="array" ref="JX22">IF('Customer Inputs'!$W$15="End",0,IFERROR(IF($JT22="SEGMENT",INDEX('Margin Guidence Table'!$A$1:$AG$10000,MATCH(1,('Margin Guidence Table'!$A$1:$A$10000=JR22)*('Margin Guidence Table'!$I$1:$I$10000&lt;=ROUND($JJ$3,0))*('Margin Guidence Table'!$J$1:$J$10000&gt;=ROUND($JJ$3,0)),0),MATCH("MDA_MEDIAN_MARGIN_GUIDENCE",'Margin Guidence Table'!$A$1:$AG$1,0)),INDEX('Margin Guidence Table'!$A$1:$AG$10000,MATCH(1,('Margin Guidence Table'!$A$1:$A$10000=JR22)*('Margin Guidence Table'!$I$1:$I$10000&lt;=ROUND($JJ$3,0))*('Margin Guidence Table'!$J$1:$J$10000&gt;=ROUND($JJ$3,0)),0),MATCH("DEFAULT_MDA_MEDIAN_MARGIN_GUIDENCE",'Margin Guidence Table'!$A$1:$AG$1,0))),0))</f>
        <v>0</v>
      </c>
      <c r="JY22" s="784">
        <f t="array" ref="JY22">IF('Customer Inputs'!$W$15="End",0,IFERROR(IF($JT22="SEGMENT",INDEX('Margin Guidence Table'!$A$1:$AG$10000,MATCH(1,('Margin Guidence Table'!$A$1:$A$10000=JR22)*('Margin Guidence Table'!$I$1:$I$10000&lt;=ROUND($JJ$3,0))*('Margin Guidence Table'!$J$1:$J$10000&gt;=ROUND($JJ$3,0)),0),MATCH("MDA_MAX_MARGIN_GUIDENCE",'Margin Guidence Table'!$A$1:$AG$1,0)),INDEX('Margin Guidence Table'!$A$1:$AG$10000,MATCH(1,('Margin Guidence Table'!$A$1:$A$10000=JR22)*('Margin Guidence Table'!$I$1:$I$10000&lt;=ROUND($JJ$3,0))*('Margin Guidence Table'!$J$1:$J$10000&gt;=ROUND($JJ$3,0)),0),MATCH("DEFAULT_MDA_MAX_MARGIN_GUIDENCE",'Margin Guidence Table'!$A$1:$AG$1,0))),0))</f>
        <v>0</v>
      </c>
      <c r="JZ22" s="784">
        <f t="array" ref="JZ22">IF('Customer Inputs'!$W$15="End",0,IFERROR(IF($JT22="SEGMENT",INDEX('Margin Guidence Table'!$A$1:$AG$10000,MATCH(1,('Margin Guidence Table'!$A$1:$A$10000=JR22)*('Margin Guidence Table'!$I$1:$I$10000&lt;=ROUND($JJ$3,0))*('Margin Guidence Table'!$J$1:$J$10000&gt;=ROUND($JJ$3,0)),0),MATCH("PA_PCT_SALES",'Margin Guidence Table'!$A$1:$AG$1,0)),INDEX('Margin Guidence Table'!$A$1:$AG$10000,MATCH(1,('Margin Guidence Table'!$A$1:$A$10000=JR22)*('Margin Guidence Table'!$I$1:$I$10000&lt;=ROUND($JJ$3,0))*('Margin Guidence Table'!$J$1:$J$10000&gt;=ROUND($JJ$3,0)),0),MATCH("DEFAULT_PA_PCT_SALES",'Margin Guidence Table'!$A$1:$AG$1,0))),0))</f>
        <v>0</v>
      </c>
      <c r="KA22" s="784" cm="1">
        <f t="array" ref="KA22">IF('Customer Inputs'!$W$15="End",0,IFERROR(IF($JT22="SEGMENT",INDEX('Margin Guidence Table'!$A$1:$AG$10000,MATCH(1,('Margin Guidence Table'!$A$1:$A$10000=JR22)*('Margin Guidence Table'!$I$1:$I$10000&lt;=ROUND($JJ$3,0))*('Margin Guidence Table'!$J$1:$J$10000&gt;=ROUND($JJ$3,0)),0),MATCH("SELF_FUND_PCT_SALES",'Margin Guidence Table'!$A$1:$AG$1,0)),INDEX('Margin Guidence Table'!$A$1:$AG$10000,MATCH(1,('Margin Guidence Table'!$A$1:$A$10000=JR22)*('Margin Guidence Table'!$I$1:$I$10000&lt;=ROUND($JJ$3,0))*('Margin Guidence Table'!$J$1:$J$10000&gt;=ROUND($JJ$3,0)),0),MATCH("DEFAULT_SELF_FUND_PCT_SALES",'Margin Guidence Table'!$A$1:$AG$1,0))),0))</f>
        <v>0</v>
      </c>
      <c r="KB22" s="784">
        <f t="array" ref="KB22">IF('Customer Inputs'!$W$15="End",0,IF($JK$2="Existing",IFERROR(SUMIFS('Existing Customers'!$V:$V,'Existing Customers'!$H:$H,$JI22,'Existing Customers'!$A:$A,$JJ$1)/SUMIFS('Existing Customers'!$Q:$Q,'Existing Customers'!$H:$H,$JI22,'Existing Customers'!$A:$A,$JJ$1),0),IFERROR(IF($JT22="SEGMENT",INDEX('Margin Guidence Table'!$A$1:$AG$10000,MATCH(1,('Margin Guidence Table'!$A$1:$A$10000=JR22)*('Margin Guidence Table'!$I$1:$I$10000&lt;=ROUND($JJ$3,0))*('Margin Guidence Table'!$J$1:$J$10000&gt;=ROUND($JJ$3,0)),0),MATCH("CIA_MEDIAN_MARGIN_GUIDENCE",'Margin Guidence Table'!$A$1:$AG$1,0)),INDEX('Margin Guidence Table'!$A$1:$AG$10000,MATCH(1,('Margin Guidence Table'!$A$1:$A$10000=JR22)*('Margin Guidence Table'!$I$1:$I$10000&lt;=ROUND($JJ$3,0))*('Margin Guidence Table'!$J$1:$J$10000&gt;=ROUND($JJ$3,0)),0),MATCH("DEFAULT_CIA_MEDIAN_MARGIN_GUIDENCE",'Margin Guidence Table'!$A$1:$AG$1,0))),0)))</f>
        <v>0</v>
      </c>
      <c r="KC22" s="784"/>
      <c r="KD22" s="18">
        <f t="array" ref="KD22">IF('Customer Inputs'!$W$16="End",0,IFERROR(IF($KQ22="SEGMENT",INDEX('Margin Guidence Table'!$A$1:$AG$10000,MATCH(1,('Margin Guidence Table'!$A$1:$A$10000=$KO22)*('Margin Guidence Table'!$I$1:$I$10000&lt;=ROUND($KG$3,0))*('Margin Guidence Table'!$J$1:$J$10000&gt;=ROUND($KG$3,0)),0),MATCH("PCT_SALES",'Margin Guidence Table'!$A$1:$AG$1,0)),INDEX('Margin Guidence Table'!$A$1:$AG$10000,MATCH(1,('Margin Guidence Table'!$A$1:$A$10000=$KO22)*('Margin Guidence Table'!$I$1:$I$10000&lt;=ROUND($KG$3,0))*('Margin Guidence Table'!$J$1:$J$10000&gt;=ROUND($KG$3,0)),0),MATCH("DEFAULT_PCT_SALES",'Margin Guidence Table'!$A$1:$AG$1,0))),0))</f>
        <v>0</v>
      </c>
      <c r="KE22" s="1713" t="e">
        <f t="shared" si="52"/>
        <v>#DIV/0!</v>
      </c>
      <c r="KF22" s="99" t="s">
        <v>96</v>
      </c>
      <c r="KG22" s="91">
        <f>IF('Customer Inputs'!$W$16="End",0,IFERROR(IF(AND($KG$2&lt;&gt;"Enter Spend&gt;&gt;&gt;",$KH$2="EXISTING"),SUMIFS('Existing Customers'!$Q:$Q,'Existing Customers'!$A:$A,$KG$1,'Existing Customers'!$H:$H,$KF22)*$KG$4,$KG$3*$KE22),0))</f>
        <v>0</v>
      </c>
      <c r="KH22" s="86">
        <f>IF('Customer Inputs'!$W$16="End",0,IFERROR(IF(AND($KG$2&lt;&gt;"Enter Spend&gt;&gt;&gt;",$KH$2="EXISTING"),SUMIFS('Existing Customers'!$N:$N,'Existing Customers'!$A:$A,$KG$1,'Existing Customers'!$H:$H,$KF22)*$KG$4,$KG22/$KR22),0))</f>
        <v>0</v>
      </c>
      <c r="KI22" s="92">
        <f>IF('Customer Inputs'!$W$16="End",0,IFERROR(IF(AND($KG$2&lt;&gt;"Enter Spend&gt;&gt;&gt;",$KH$2="EXISTING"),SUMIFS('Existing Customers'!$O:$O,'Existing Customers'!$H:$H,$KF22,'Existing Customers'!$A:$A,$KG$1)*$KG$4,$KH22*$KG$8),0))</f>
        <v>0</v>
      </c>
      <c r="KJ22" s="92">
        <f>IF('Customer Inputs'!$W$16="End",0,IFERROR(IF(AND($KG$2&lt;&gt;"Enter Spend&gt;&gt;&gt;",$KH$2="EXISTING"),SUMIFS('Existing Customers'!$P:$P,'Existing Customers'!$A:$A,$KG$1,'Existing Customers'!$H:$H,$KF22)*$KG$4,$KG22/$KS22),0))</f>
        <v>0</v>
      </c>
      <c r="KK22" s="303">
        <f>IF('Customer Inputs'!$W$16="End",0,IFERROR(IF(AND($KG$2&lt;&gt;"Enter Spend&gt;&gt;&gt;",$KH$2="EXISTING"),SUMIFS('Existing Customers'!$V:$V,'Existing Customers'!$H:$H,$KF22,'Existing Customers'!$A:$A,$KG$1)*$KG$4,0),0))</f>
        <v>0</v>
      </c>
      <c r="KL22" s="93">
        <f>IF('Customer Inputs'!$W$16="End",0,IFERROR(IF(AND($KG$2&lt;&gt;"Enter Spend&gt;&gt;&gt;",$KH$2="EXISTING"),SUMIFS('Existing Customers'!$R:$R,'Existing Customers'!$H:$H,$KF22,'Existing Customers'!$A:$A,$KG$1)*$KG$4,0),0))</f>
        <v>0</v>
      </c>
      <c r="KM22" s="780">
        <f>IF('Customer Inputs'!$W$16="End",0,IFERROR(IF(AND($KG$2&lt;&gt;"Enter Spend&gt;&gt;&gt;",$KH$2="EXISTING"),SUMIFS('Existing Customers'!$S:$S,'Existing Customers'!$H:$H,$KF22,'Existing Customers'!$A:$A,$KG$1)/SUMIFS('Existing Customers'!$Q:$Q,'Existing Customers'!$A:$A,$KG$1,'Existing Customers'!$H:$H,$KF22),KW22),0))</f>
        <v>0</v>
      </c>
      <c r="KN22" s="780">
        <f>IF('Customer Inputs'!$W$16="End",0,IFERROR(IF(AND($KG$2&lt;&gt;"Enter Spend&gt;&gt;&gt;",$KH$2="EXISTING"),SUMIFS('Existing Customers'!$U:$U,'Existing Customers'!$H:$H,$KF22,'Existing Customers'!$A:$A,$KG$1)/SUMIFS('Existing Customers'!$Q:$Q,'Existing Customers'!$A:$A,$KG$1,'Existing Customers'!$H:$H,$KF22),KX22),0))</f>
        <v>0</v>
      </c>
      <c r="KO22" s="783" t="e">
        <f>_xlfn.CONCAT('Customer Inputs'!$AH$16,"_",KF22)</f>
        <v>#N/A</v>
      </c>
      <c r="KP22" s="783">
        <f t="array" ref="KP22">IF('Customer Inputs'!$W$16="End",0,IFERROR(INDEX('Margin Guidence Table'!$A$1:$AG$10000,MATCH(1,('Margin Guidence Table'!$A$1:$A$10000=KO22)*('Margin Guidence Table'!$I$1:$I$10000&lt;=ROUND($KG$3,0))*('Margin Guidence Table'!$J$1:$J$10000&gt;=ROUND($KG$3,0)),0),MATCH("DATA_POINTS",'Margin Guidence Table'!$A$1:$AG$1,0)),0))</f>
        <v>0</v>
      </c>
      <c r="KQ22" s="780" t="str">
        <f t="shared" si="53"/>
        <v>DEFAULT</v>
      </c>
      <c r="KR22" s="780">
        <f t="array" ref="KR22">IF('Customer Inputs'!$W$16="End",0,IFERROR(IF($KQ22="SEGMENT",INDEX('Margin Guidence Table'!$A$1:$AG$10000,MATCH(1,('Margin Guidence Table'!$A$1:$A$10000=KO22)*('Margin Guidence Table'!$I$1:$I$10000&lt;=ROUND($KG$3,0))*('Margin Guidence Table'!$J$1:$J$10000&gt;=ROUND($KG$3,0)),0),MATCH("SALES_CASE",'Margin Guidence Table'!$A$1:$AG$1,0)),INDEX('Margin Guidence Table'!$A$1:$AG$10000,MATCH(1,('Margin Guidence Table'!$A$1:$A$10000=KO22)*('Margin Guidence Table'!$I$1:$I$10000&lt;=ROUND($KG$3,0))*('Margin Guidence Table'!$J$1:$J$10000&gt;=ROUND($KG$3,0)),0),MATCH("DEFAULT_SALES_CASE",'Margin Guidence Table'!$A$1:$AG$1,0))),0))</f>
        <v>0</v>
      </c>
      <c r="KS22" s="780">
        <f t="array" ref="KS22">IF('Customer Inputs'!$W$16="End",0,IFERROR(IF($KQ22="SEGMENT",INDEX('Margin Guidence Table'!$A$1:$AG$10000,MATCH(1,('Margin Guidence Table'!$A$1:$A$10000=KO22)*('Margin Guidence Table'!$I$1:$I$10000&lt;=ROUND($KG$3,0))*('Margin Guidence Table'!$J$1:$J$10000&gt;=ROUND($KG$3,0)),0),MATCH("SALES_LBS",'Margin Guidence Table'!$A$1:$AG$1,0)),INDEX('Margin Guidence Table'!$A$1:$AG$10000,MATCH(1,('Margin Guidence Table'!$A$1:$A$10000=KO22)*('Margin Guidence Table'!$I$1:$I$10000&lt;=ROUND($KG$3,0))*('Margin Guidence Table'!$J$1:$J$10000&gt;=ROUND($KG$3,0)),0),MATCH("DEFAULT_SALES_LBS",'Margin Guidence Table'!$A$1:$AG$1,0))),0))</f>
        <v>0</v>
      </c>
      <c r="KT22" s="784">
        <f t="array" ref="KT22">IF('Customer Inputs'!$W$16="End",0,IFERROR(IF($KQ22="SEGMENT",INDEX('Margin Guidence Table'!$A$1:$AG$10000,MATCH(1,('Margin Guidence Table'!$A$1:$A$10000=KO22)*('Margin Guidence Table'!$I$1:$I$10000&lt;=ROUND($KG$3,0))*('Margin Guidence Table'!$J$1:$J$10000&gt;=ROUND($KG$3,0)),0),MATCH("MDA_MIN_MARGIN_GUIDENCE",'Margin Guidence Table'!$A$1:$AG$1,0)),INDEX('Margin Guidence Table'!$A$1:$AG$10000,MATCH(1,('Margin Guidence Table'!$A$1:$A$10000=KO22)*('Margin Guidence Table'!$I$1:$I$10000&lt;=ROUND($KG$3,0))*('Margin Guidence Table'!$J$1:$J$10000&gt;=ROUND($KG$3,0)),0),MATCH("DEFAULT_MDA_MIN_MARGIN_GUIDENCE",'Margin Guidence Table'!$A$1:$AG$1,0))),0))</f>
        <v>0</v>
      </c>
      <c r="KU22" s="784">
        <f t="array" ref="KU22">IF('Customer Inputs'!$W$16="End",0,IFERROR(IF($KQ22="SEGMENT",INDEX('Margin Guidence Table'!$A$1:$AG$10000,MATCH(1,('Margin Guidence Table'!$A$1:$A$10000=KO22)*('Margin Guidence Table'!$I$1:$I$10000&lt;=ROUND($KG$3,0))*('Margin Guidence Table'!$J$1:$J$10000&gt;=ROUND($KG$3,0)),0),MATCH("MDA_MEDIAN_MARGIN_GUIDENCE",'Margin Guidence Table'!$A$1:$AG$1,0)),INDEX('Margin Guidence Table'!$A$1:$AG$10000,MATCH(1,('Margin Guidence Table'!$A$1:$A$10000=KO22)*('Margin Guidence Table'!$I$1:$I$10000&lt;=ROUND($KG$3,0))*('Margin Guidence Table'!$J$1:$J$10000&gt;=ROUND($KG$3,0)),0),MATCH("DEFAULT_MDA_MEDIAN_MARGIN_GUIDENCE",'Margin Guidence Table'!$A$1:$AG$1,0))),0))</f>
        <v>0</v>
      </c>
      <c r="KV22" s="784">
        <f t="array" ref="KV22">IF('Customer Inputs'!$W$16="End",0,IFERROR(IF($KQ22="SEGMENT",INDEX('Margin Guidence Table'!$A$1:$AG$10000,MATCH(1,('Margin Guidence Table'!$A$1:$A$10000=KO22)*('Margin Guidence Table'!$I$1:$I$10000&lt;=ROUND($KG$3,0))*('Margin Guidence Table'!$J$1:$J$10000&gt;=ROUND($KG$3,0)),0),MATCH("MDA_MAX_MARGIN_GUIDENCE",'Margin Guidence Table'!$A$1:$AG$1,0)),INDEX('Margin Guidence Table'!$A$1:$AG$10000,MATCH(1,('Margin Guidence Table'!$A$1:$A$10000=KO22)*('Margin Guidence Table'!$I$1:$I$10000&lt;=ROUND($KG$3,0))*('Margin Guidence Table'!$J$1:$J$10000&gt;=ROUND($KG$3,0)),0),MATCH("DEFAULT_MDA_MAX_MARGIN_GUIDENCE",'Margin Guidence Table'!$A$1:$AG$1,0))),0))</f>
        <v>0</v>
      </c>
      <c r="KW22" s="784">
        <f t="array" ref="KW22">IF('Customer Inputs'!$W$16="End",0,IFERROR(IF($KQ22="SEGMENT",INDEX('Margin Guidence Table'!$A$1:$AG$10000,MATCH(1,('Margin Guidence Table'!$A$1:$A$10000=KO22)*('Margin Guidence Table'!$I$1:$I$10000&lt;=ROUND($KG$3,0))*('Margin Guidence Table'!$J$1:$J$10000&gt;=ROUND($KG$3,0)),0),MATCH("PA_PCT_SALES",'Margin Guidence Table'!$A$1:$AG$1,0)),INDEX('Margin Guidence Table'!$A$1:$AG$10000,MATCH(1,('Margin Guidence Table'!$A$1:$A$10000=KO22)*('Margin Guidence Table'!$I$1:$I$10000&lt;=ROUND($KG$3,0))*('Margin Guidence Table'!$J$1:$J$10000&gt;=ROUND($KG$3,0)),0),MATCH("DEFAULT_PA_PCT_SALES",'Margin Guidence Table'!$A$1:$AG$1,0))),0))</f>
        <v>0</v>
      </c>
      <c r="KX22" s="784">
        <f t="array" ref="KX22">IF('Customer Inputs'!$W$16="End",0,IFERROR(IF($KQ22="SEGMENT",INDEX('Margin Guidence Table'!$A$1:$AG$10000,MATCH(1,('Margin Guidence Table'!$A$1:$A$10000=KO22)*('Margin Guidence Table'!$I$1:$I$10000&lt;=ROUND($KG$3,0))*('Margin Guidence Table'!$J$1:$J$10000&gt;=ROUND($KG$3,0)),0),MATCH("SELF_FUND_PCT_SALES",'Margin Guidence Table'!$A$1:$AG$1,0)),INDEX('Margin Guidence Table'!$A$1:$AG$10000,MATCH(1,('Margin Guidence Table'!$A$1:$A$10000=KO22)*('Margin Guidence Table'!$I$1:$I$10000&lt;=ROUND($KG$3,0))*('Margin Guidence Table'!$J$1:$J$10000&gt;=ROUND($KG$3,0)),0),MATCH("DEFAULT_SELF_FUND_PCT_SALES",'Margin Guidence Table'!$A$1:$AG$1,0))),0))</f>
        <v>0</v>
      </c>
      <c r="KY22" s="784">
        <f t="array" ref="KY22">IF('Customer Inputs'!$W$16="End",0,IF($KH$2="Existing",IFERROR(SUMIFS('Existing Customers'!$V:$V,'Existing Customers'!$H:$H,$KF22,'Existing Customers'!$A:$A,$KG$1)/SUMIFS('Existing Customers'!$Q:$Q,'Existing Customers'!$H:$H,$KF22,'Existing Customers'!$A:$A,$KG$1),0),IFERROR(IF($KQ22="SEGMENT",INDEX('Margin Guidence Table'!$A$1:$AG$10000,MATCH(1,('Margin Guidence Table'!$A$1:$A$10000=KO22)*('Margin Guidence Table'!$I$1:$I$10000&lt;=ROUND($KG$3,0))*('Margin Guidence Table'!$J$1:$J$10000&gt;=ROUND($KG$3,0)),0),MATCH("CIA_MEDIAN_MARGIN_GUIDENCE",'Margin Guidence Table'!$A$1:$AG$1,0)),INDEX('Margin Guidence Table'!$A$1:$AG$10000,MATCH(1,('Margin Guidence Table'!$A$1:$A$10000=KO22)*('Margin Guidence Table'!$I$1:$I$10000&lt;=ROUND($KG$3,0))*('Margin Guidence Table'!$J$1:$J$10000&gt;=ROUND($KG$3,0)),0),MATCH("DEFAULT_CIA_MEDIAN_MARGIN_GUIDENCE",'Margin Guidence Table'!$A$1:$AG$1,0))),0)))</f>
        <v>0</v>
      </c>
      <c r="KZ22" s="784"/>
      <c r="LA22" s="18">
        <f t="array" ref="LA22">IF('Customer Inputs'!$W$17="End",0,IFERROR(IF($LN22="SEGMENT",INDEX('Margin Guidence Table'!$A$1:$AG$10000,MATCH(1,('Margin Guidence Table'!$A$1:$A$10000=$LL22)*('Margin Guidence Table'!$I$1:$I$10000&lt;=ROUND($LD$3,0))*('Margin Guidence Table'!$J$1:$J$10000&gt;=ROUND($LD$3,0)),0),MATCH("PCT_SALES",'Margin Guidence Table'!$A$1:$AG$1,0)),INDEX('Margin Guidence Table'!$A$1:$AG$10000,MATCH(1,('Margin Guidence Table'!$A$1:$A$10000=$LL22)*('Margin Guidence Table'!$I$1:$I$10000&lt;=ROUND($LD$3,0))*('Margin Guidence Table'!$J$1:$J$10000&gt;=ROUND($LD$3,0)),0),MATCH("DEFAULT_PCT_SALES",'Margin Guidence Table'!$A$1:$AG$1,0))),0))</f>
        <v>0</v>
      </c>
      <c r="LB22" s="1713" t="e">
        <f t="shared" si="54"/>
        <v>#DIV/0!</v>
      </c>
      <c r="LC22" s="99" t="s">
        <v>96</v>
      </c>
      <c r="LD22" s="91">
        <f>IF('Customer Inputs'!$W$17="End",0,IFERROR(IF(AND($LD$2&lt;&gt;"Enter Spend&gt;&gt;&gt;",$LE$2="EXISTING"),SUMIFS('Existing Customers'!$Q:$Q,'Existing Customers'!$A:$A,$LD$1,'Existing Customers'!$H:$H,$LC22)*$LD$4,$LD$3*$LB22),0))</f>
        <v>0</v>
      </c>
      <c r="LE22" s="86">
        <f>IF('Customer Inputs'!$W$17="End",0,IFERROR(IF(AND($LD$2&lt;&gt;"Enter Spend&gt;&gt;&gt;",$LE$2="EXISTING"),SUMIFS('Existing Customers'!$N:$N,'Existing Customers'!$A:$A,$LD$1,'Existing Customers'!$H:$H,$LC22)*$LD$4,$LD22/$LO22),0))</f>
        <v>0</v>
      </c>
      <c r="LF22" s="92">
        <f>IF('Customer Inputs'!$W$17="End",0,IFERROR(IF(AND($LD$2&lt;&gt;"Enter Spend&gt;&gt;&gt;",$LE$2="EXISTING"),SUMIFS('Existing Customers'!$O:$O,'Existing Customers'!$H:$H,$LC22,'Existing Customers'!$A:$A,$LD$1)*$LD$4,$LE22*$LD$8),0))</f>
        <v>0</v>
      </c>
      <c r="LG22" s="92">
        <f>IF('Customer Inputs'!$W$17="End",0,IFERROR(IF(AND($LD$2&lt;&gt;"Enter Spend&gt;&gt;&gt;",$LE$2="EXISTING"),SUMIFS('Existing Customers'!$P:$P,'Existing Customers'!$A:$A,$LD$1,'Existing Customers'!$H:$H,$LC22)*$LD$4,$LD22/$LP22),0))</f>
        <v>0</v>
      </c>
      <c r="LH22" s="303">
        <f>IF('Customer Inputs'!$W$17="End",0,IFERROR(IF(AND($LD$2&lt;&gt;"Enter Spend&gt;&gt;&gt;",$LE$2="EXISTING"),SUMIFS('Existing Customers'!$V:$V,'Existing Customers'!$H:$H,$LC22,'Existing Customers'!$A:$A,$LD$1)*$LD$4,0),0))</f>
        <v>0</v>
      </c>
      <c r="LI22" s="93">
        <f>IF('Customer Inputs'!$W$17="End",0,IFERROR(IF(AND($LD$2&lt;&gt;"Enter Spend&gt;&gt;&gt;",$LE$2="EXISTING"),SUMIFS('Existing Customers'!$R:$R,'Existing Customers'!$H:$H,$LC22,'Existing Customers'!$A:$A,$LD$1)*$LD$4,0),0))</f>
        <v>0</v>
      </c>
      <c r="LJ22" s="780">
        <f>IF('Customer Inputs'!$W$17="End",0,IFERROR(IF(AND($LD$2&lt;&gt;"Enter Spend&gt;&gt;&gt;",$LE$2="EXISTING"),SUMIFS('Existing Customers'!$S:$S,'Existing Customers'!$H:$H,$LC22,'Existing Customers'!$A:$A,$LD$1)/SUMIFS('Existing Customers'!$Q:$Q,'Existing Customers'!$A:$A,$LD$1,'Existing Customers'!$H:$H,$LC22),LT22),0))</f>
        <v>0</v>
      </c>
      <c r="LK22" s="780">
        <f>IF('Customer Inputs'!$W$17="End",0,IFERROR(IF(AND($LD$2&lt;&gt;"Enter Spend&gt;&gt;&gt;",$LE$2="EXISTING"),SUMIFS('Existing Customers'!$U:$U,'Existing Customers'!$H:$H,$LC22,'Existing Customers'!$A:$A,$LD$1)/SUMIFS('Existing Customers'!$Q:$Q,'Existing Customers'!$A:$A,$LD$1,'Existing Customers'!$H:$H,$LC22),LU22),0))</f>
        <v>0</v>
      </c>
      <c r="LL22" s="783" t="e">
        <f>_xlfn.CONCAT('Customer Inputs'!$AH$17,"_",LC22)</f>
        <v>#N/A</v>
      </c>
      <c r="LM22" s="783">
        <f t="array" ref="LM22">IF('Customer Inputs'!$W$17="End",0,IFERROR(INDEX('Margin Guidence Table'!$A$1:$AG$10000,MATCH(1,('Margin Guidence Table'!$A$1:$A$10000=LL22)*('Margin Guidence Table'!$I$1:$I$10000&lt;=ROUND($LD$3,0))*('Margin Guidence Table'!$J$1:$J$10000&gt;=ROUND($LD$3,0)),0),MATCH("DATA_POINTS",'Margin Guidence Table'!$A$1:$AG$1,0)),0))</f>
        <v>0</v>
      </c>
      <c r="LN22" s="780" t="str">
        <f t="shared" si="55"/>
        <v>DEFAULT</v>
      </c>
      <c r="LO22" s="780">
        <f t="array" ref="LO22">IF('Customer Inputs'!$W$17="End",0,IFERROR(IF($LN22="SEGMENT",INDEX('Margin Guidence Table'!$A$1:$AG$10000,MATCH(1,('Margin Guidence Table'!$A$1:$A$10000=LL22)*('Margin Guidence Table'!$I$1:$I$10000&lt;=ROUND($LD$3,0))*('Margin Guidence Table'!$J$1:$J$10000&gt;=ROUND($LD$3,0)),0),MATCH("SALES_CASE",'Margin Guidence Table'!$A$1:$AG$1,0)),INDEX('Margin Guidence Table'!$A$1:$AG$10000,MATCH(1,('Margin Guidence Table'!$A$1:$A$10000=LL22)*('Margin Guidence Table'!$I$1:$I$10000&lt;=ROUND($LD$3,0))*('Margin Guidence Table'!$J$1:$J$10000&gt;=ROUND($LD$3,0)),0),MATCH("DEFAULT_SALES_CASE",'Margin Guidence Table'!$A$1:$AG$1,0))),0))</f>
        <v>0</v>
      </c>
      <c r="LP22" s="780">
        <f t="array" ref="LP22">IF('Customer Inputs'!$W$17="End",0,IFERROR(IF($LN22="SEGMENT",INDEX('Margin Guidence Table'!$A$1:$AG$10000,MATCH(1,('Margin Guidence Table'!$A$1:$A$10000=LL22)*('Margin Guidence Table'!$I$1:$I$10000&lt;=ROUND($LD$3,0))*('Margin Guidence Table'!$J$1:$J$10000&gt;=ROUND($LD$3,0)),0),MATCH("SALES_LBS",'Margin Guidence Table'!$A$1:$AG$1,0)),INDEX('Margin Guidence Table'!$A$1:$AG$10000,MATCH(1,('Margin Guidence Table'!$A$1:$A$10000=LL22)*('Margin Guidence Table'!$I$1:$I$10000&lt;=ROUND($LD$3,0))*('Margin Guidence Table'!$J$1:$J$10000&gt;=ROUND($LD$3,0)),0),MATCH("DEFAULT_SALES_LBS",'Margin Guidence Table'!$A$1:$AG$1,0))),0))</f>
        <v>0</v>
      </c>
      <c r="LQ22" s="784">
        <f t="array" ref="LQ22">IF('Customer Inputs'!$W$17="End",0,IFERROR(IF($LN22="SEGMENT",INDEX('Margin Guidence Table'!$A$1:$AG$10000,MATCH(1,('Margin Guidence Table'!$A$1:$A$10000=LL22)*('Margin Guidence Table'!$I$1:$I$10000&lt;=ROUND($LD$3,0))*('Margin Guidence Table'!$J$1:$J$10000&gt;=ROUND($LD$3,0)),0),MATCH("MDA_MIN_MARGIN_GUIDENCE",'Margin Guidence Table'!$A$1:$AG$1,0)),INDEX('Margin Guidence Table'!$A$1:$AG$10000,MATCH(1,('Margin Guidence Table'!$A$1:$A$10000=LL22)*('Margin Guidence Table'!$I$1:$I$10000&lt;=ROUND($LD$3,0))*('Margin Guidence Table'!$J$1:$J$10000&gt;=ROUND($LD$3,0)),0),MATCH("DEFAULT_MDA_MIN_MARGIN_GUIDENCE",'Margin Guidence Table'!$A$1:$AG$1,0))),0))</f>
        <v>0</v>
      </c>
      <c r="LR22" s="784">
        <f t="array" ref="LR22">IF('Customer Inputs'!$W$17="End",0,IFERROR(IF($LN22="SEGMENT",INDEX('Margin Guidence Table'!$A$1:$AG$10000,MATCH(1,('Margin Guidence Table'!$A$1:$A$10000=LL22)*('Margin Guidence Table'!$I$1:$I$10000&lt;=ROUND($LD$3,0))*('Margin Guidence Table'!$J$1:$J$10000&gt;=ROUND($LD$3,0)),0),MATCH("MDA_MEDIAN_MARGIN_GUIDENCE",'Margin Guidence Table'!$A$1:$AG$1,0)),INDEX('Margin Guidence Table'!$A$1:$AG$10000,MATCH(1,('Margin Guidence Table'!$A$1:$A$10000=LL22)*('Margin Guidence Table'!$I$1:$I$10000&lt;=ROUND($LD$3,0))*('Margin Guidence Table'!$J$1:$J$10000&gt;=ROUND($LD$3,0)),0),MATCH("DEFAULT_MDA_MEDIAN_MARGIN_GUIDENCE",'Margin Guidence Table'!$A$1:$AG$1,0))),0))</f>
        <v>0</v>
      </c>
      <c r="LS22" s="784">
        <f t="array" ref="LS22">IF('Customer Inputs'!$W$17="End",0,IFERROR(IF($LN22="SEGMENT",INDEX('Margin Guidence Table'!$A$1:$AG$10000,MATCH(1,('Margin Guidence Table'!$A$1:$A$10000=LL22)*('Margin Guidence Table'!$I$1:$I$10000&lt;=ROUND($LD$3,0))*('Margin Guidence Table'!$J$1:$J$10000&gt;=ROUND($LD$3,0)),0),MATCH("MDA_MAX_MARGIN_GUIDENCE",'Margin Guidence Table'!$A$1:$AG$1,0)),INDEX('Margin Guidence Table'!$A$1:$AG$10000,MATCH(1,('Margin Guidence Table'!$A$1:$A$10000=LL22)*('Margin Guidence Table'!$I$1:$I$10000&lt;=ROUND($LD$3,0))*('Margin Guidence Table'!$J$1:$J$10000&gt;=ROUND($LD$3,0)),0),MATCH("DEFAULT_MDA_MAX_MARGIN_GUIDENCE",'Margin Guidence Table'!$A$1:$AG$1,0))),0))</f>
        <v>0</v>
      </c>
      <c r="LT22" s="784">
        <f t="array" ref="LT22">IF('Customer Inputs'!$W$17="End",0,IFERROR(IF($LN22="SEGMENT",INDEX('Margin Guidence Table'!$A$1:$AG$10000,MATCH(1,('Margin Guidence Table'!$A$1:$A$10000=LL22)*('Margin Guidence Table'!$I$1:$I$10000&lt;=ROUND($LD$3,0))*('Margin Guidence Table'!$J$1:$J$10000&gt;=ROUND($LD$3,0)),0),MATCH("PA_PCT_SALES",'Margin Guidence Table'!$A$1:$AG$1,0)),INDEX('Margin Guidence Table'!$A$1:$AG$10000,MATCH(1,('Margin Guidence Table'!$A$1:$A$10000=LL22)*('Margin Guidence Table'!$I$1:$I$10000&lt;=ROUND($LD$3,0))*('Margin Guidence Table'!$J$1:$J$10000&gt;=ROUND($LD$3,0)),0),MATCH("DEFAULT_PA_PCT_SALES",'Margin Guidence Table'!$A$1:$AG$1,0))),0))</f>
        <v>0</v>
      </c>
      <c r="LU22" s="784">
        <f t="array" ref="LU22">IF('Customer Inputs'!$W$17="End",0,IFERROR(IF($LN22="SEGMENT",INDEX('Margin Guidence Table'!$A$1:$AG$10000,MATCH(1,('Margin Guidence Table'!$A$1:$A$10000=LL22)*('Margin Guidence Table'!$I$1:$I$10000&lt;=ROUND($LD$3,0))*('Margin Guidence Table'!$J$1:$J$10000&gt;=ROUND($LD$3,0)),0),MATCH("SELF_FUND_PCT_SALES",'Margin Guidence Table'!$A$1:$AG$1,0)),INDEX('Margin Guidence Table'!$A$1:$AG$10000,MATCH(1,('Margin Guidence Table'!$A$1:$A$10000=LL22)*('Margin Guidence Table'!$I$1:$I$10000&lt;=ROUND($LD$3,0))*('Margin Guidence Table'!$J$1:$J$10000&gt;=ROUND($LD$3,0)),0),MATCH("DEFAULT_SELF_FUND_PCT_SALES",'Margin Guidence Table'!$A$1:$AG$1,0))),0))</f>
        <v>0</v>
      </c>
      <c r="LV22" s="784">
        <f t="array" ref="LV22">IF('Customer Inputs'!$W$17="End",0,IF($LE$2="Existing",IFERROR(SUMIFS('Existing Customers'!$V:$V,'Existing Customers'!$H:$H,$LC22,'Existing Customers'!$A:$A,$LD$1)/SUMIFS('Existing Customers'!$Q:$Q,'Existing Customers'!$H:$H,$LC22,'Existing Customers'!$A:$A,$LD$1),0),IFERROR(IF($LN22="SEGMENT",INDEX('Margin Guidence Table'!$A$1:$AG$10000,MATCH(1,('Margin Guidence Table'!$A$1:$A$10000=LL22)*('Margin Guidence Table'!$I$1:$I$10000&lt;=ROUND($LD$3,0))*('Margin Guidence Table'!$J$1:$J$10000&gt;=ROUND($LD$3,0)),0),MATCH("CIA_MEDIAN_MARGIN_GUIDENCE",'Margin Guidence Table'!$A$1:$AG$1,0)),INDEX('Margin Guidence Table'!$A$1:$AG$10000,MATCH(1,('Margin Guidence Table'!$A$1:$A$10000=LL22)*('Margin Guidence Table'!$I$1:$I$10000&lt;=ROUND($LD$3,0))*('Margin Guidence Table'!$J$1:$J$10000&gt;=ROUND($LD$3,0)),0),MATCH("DEFAULT_CIA_MEDIAN_MARGIN_GUIDENCE",'Margin Guidence Table'!$A$1:$AG$1,0))),0)))</f>
        <v>0</v>
      </c>
      <c r="LW22" s="784"/>
      <c r="LX22" s="18">
        <f t="array" ref="LX22">IF('Customer Inputs'!$W$18="End",0,IFERROR(IF($MK22="SEGMENT",INDEX('Margin Guidence Table'!$A$1:$AG$10000,MATCH(1,('Margin Guidence Table'!$A$1:$A$10000=$MI22)*('Margin Guidence Table'!$I$1:$I$10000&lt;=ROUND($MA$3,0))*('Margin Guidence Table'!$J$1:$J$10000&gt;=ROUND($MA$3,0)),0),MATCH("PCT_SALES",'Margin Guidence Table'!$A$1:$AG$1,0)),INDEX('Margin Guidence Table'!$A$1:$AG$10000,MATCH(1,('Margin Guidence Table'!$A$1:$A$10000=$MI22)*('Margin Guidence Table'!$I$1:$I$10000&lt;=ROUND($MA$3,0))*('Margin Guidence Table'!$J$1:$J$10000&gt;=ROUND($MA$3,0)),0),MATCH("DEFAULT_PCT_SALES",'Margin Guidence Table'!$A$1:$AG$1,0))),0))</f>
        <v>0</v>
      </c>
      <c r="LY22" s="1713" t="e">
        <f t="shared" si="56"/>
        <v>#DIV/0!</v>
      </c>
      <c r="LZ22" s="99" t="s">
        <v>96</v>
      </c>
      <c r="MA22" s="91">
        <f>IF('Customer Inputs'!$W$18="End",0,IFERROR(IF(AND($MA$2&lt;&gt;"Enter Spend&gt;&gt;&gt;",$MB$2="EXISTING"),SUMIFS('Existing Customers'!$Q:$Q,'Existing Customers'!$A:$A,$MA$1,'Existing Customers'!$H:$H,$LZ22)*$MA$4,$MA$3*$LY22),0))</f>
        <v>0</v>
      </c>
      <c r="MB22" s="86">
        <f>IF('Customer Inputs'!$W$18="End",0,IFERROR(IF(AND($MA$2&lt;&gt;"Enter Spend&gt;&gt;&gt;",$MB$2="EXISTING"),SUMIFS('Existing Customers'!$N:$N,'Existing Customers'!$A:$A,$MA$1,'Existing Customers'!$H:$H,$LZ22)*$MA$4,$MA22/$ML22),0))</f>
        <v>0</v>
      </c>
      <c r="MC22" s="92">
        <f>IF('Customer Inputs'!$W$18="End",0,IFERROR(IF(AND($MA$2&lt;&gt;"Enter Spend&gt;&gt;&gt;",$MB$2="EXISTING"),SUMIFS('Existing Customers'!$O:$O,'Existing Customers'!$H:$H,$LZ22,'Existing Customers'!$A:$A,$MA$1)*$MA$4,$MB22*$MA$8),0))</f>
        <v>0</v>
      </c>
      <c r="MD22" s="92">
        <f>IF('Customer Inputs'!$W$18="End",0,IFERROR(IF(AND($MA$2&lt;&gt;"Enter Spend&gt;&gt;&gt;",$MB$2="EXISTING"),SUMIFS('Existing Customers'!$P:$P,'Existing Customers'!$A:$A,$MA$1,'Existing Customers'!$H:$H,$LZ22)*$MA$4,$MA22/$MM22),0))</f>
        <v>0</v>
      </c>
      <c r="ME22" s="303">
        <f>IF('Customer Inputs'!$W$18="End",0,IFERROR(IF(AND($MA$2&lt;&gt;"Enter Spend&gt;&gt;&gt;",$MB$2="EXISTING"),SUMIFS('Existing Customers'!$V:$V,'Existing Customers'!$H:$H,$LZ22,'Existing Customers'!$A:$A,$MA$1)*$MA$4,0),0))</f>
        <v>0</v>
      </c>
      <c r="MF22" s="93">
        <f>IF('Customer Inputs'!$W$18="End",0,IFERROR(IF(AND($MA$2&lt;&gt;"Enter Spend&gt;&gt;&gt;",$MB$2="EXISTING"),SUMIFS('Existing Customers'!$R:$R,'Existing Customers'!$H:$H,$LZ22,'Existing Customers'!$A:$A,$MA$1)*$MA$4,0),0))</f>
        <v>0</v>
      </c>
      <c r="MG22" s="780">
        <f>IF('Customer Inputs'!$W$18="End",0,IFERROR(IF(AND($MA$2&lt;&gt;"Enter Spend&gt;&gt;&gt;",$MB$2="EXISTING"),SUMIFS('Existing Customers'!$S:$S,'Existing Customers'!$H:$H,$LZ22,'Existing Customers'!$A:$A,$MA$1)/SUMIFS('Existing Customers'!$Q:$Q,'Existing Customers'!$A:$A,$MA$1,'Existing Customers'!$H:$H,$LZ22),MQ22),0))</f>
        <v>0</v>
      </c>
      <c r="MH22" s="780">
        <f>IF('Customer Inputs'!$W$18="End",0,IFERROR(IF(AND($MA$2&lt;&gt;"Enter Spend&gt;&gt;&gt;",$MB$2="EXISTING"),SUMIFS('Existing Customers'!$U:$U,'Existing Customers'!$H:$H,$LZ22,'Existing Customers'!$A:$A,$MA$1)/SUMIFS('Existing Customers'!$Q:$Q,'Existing Customers'!$A:$A,$MA$1,'Existing Customers'!$H:$H,$LZ22),MR22),0))</f>
        <v>0</v>
      </c>
      <c r="MI22" s="783" t="e">
        <f>_xlfn.CONCAT('Customer Inputs'!$AH$18,"_",LZ22)</f>
        <v>#N/A</v>
      </c>
      <c r="MJ22" s="783">
        <f t="array" ref="MJ22">IF('Customer Inputs'!$W$18="End",0,IFERROR(INDEX('Margin Guidence Table'!$A$1:$AG$10000,MATCH(1,('Margin Guidence Table'!$A$1:$A$10000=MI22)*('Margin Guidence Table'!$I$1:$I$10000&lt;=ROUND($MA$3,0))*('Margin Guidence Table'!$J$1:$J$10000&gt;=ROUND($MA$3,0)),0),MATCH("DATA_POINTS",'Margin Guidence Table'!$A$1:$AG$1,0)),0))</f>
        <v>0</v>
      </c>
      <c r="MK22" s="780" t="str">
        <f t="shared" si="57"/>
        <v>DEFAULT</v>
      </c>
      <c r="ML22" s="780">
        <f t="array" ref="ML22">IF('Customer Inputs'!$W$18="End",0,IFERROR(IF($MK22="SEGMENT",INDEX('Margin Guidence Table'!$A$1:$AG$10000,MATCH(1,('Margin Guidence Table'!$A$1:$A$10000=MI22)*('Margin Guidence Table'!$I$1:$I$10000&lt;=ROUND($MA$3,0))*('Margin Guidence Table'!$J$1:$J$10000&gt;=ROUND($MA$3,0)),0),MATCH("SALES_CASE",'Margin Guidence Table'!$A$1:$AG$1,0)),INDEX('Margin Guidence Table'!$A$1:$AG$10000,MATCH(1,('Margin Guidence Table'!$A$1:$A$10000=MI22)*('Margin Guidence Table'!$I$1:$I$10000&lt;=ROUND($MA$3,0))*('Margin Guidence Table'!$J$1:$J$10000&gt;=ROUND($MA$3,0)),0),MATCH("DEFAULT_SALES_CASE",'Margin Guidence Table'!$A$1:$AG$1,0))),0))</f>
        <v>0</v>
      </c>
      <c r="MM22" s="780">
        <f t="array" ref="MM22">IF('Customer Inputs'!$W$18="End",0,IFERROR(IF($MK22="SEGMENT",INDEX('Margin Guidence Table'!$A$1:$AG$10000,MATCH(1,('Margin Guidence Table'!$A$1:$A$10000=MI22)*('Margin Guidence Table'!$I$1:$I$10000&lt;=ROUND($MA$3,0))*('Margin Guidence Table'!$J$1:$J$10000&gt;=ROUND($MA$3,0)),0),MATCH("SALES_LBS",'Margin Guidence Table'!$A$1:$AG$1,0)),INDEX('Margin Guidence Table'!$A$1:$AG$10000,MATCH(1,('Margin Guidence Table'!$A$1:$A$10000=MI22)*('Margin Guidence Table'!$I$1:$I$10000&lt;=ROUND($MA$3,0))*('Margin Guidence Table'!$J$1:$J$10000&gt;=ROUND($MA$3,0)),0),MATCH("DEFAULT_SALES_LBS",'Margin Guidence Table'!$A$1:$AG$1,0))),0))</f>
        <v>0</v>
      </c>
      <c r="MN22" s="784">
        <f t="array" ref="MN22">IF('Customer Inputs'!$W$18="End",0,IFERROR(IF($MK22="SEGMENT",INDEX('Margin Guidence Table'!$A$1:$AG$10000,MATCH(1,('Margin Guidence Table'!$A$1:$A$10000=MI22)*('Margin Guidence Table'!$I$1:$I$10000&lt;=ROUND($MA$3,0))*('Margin Guidence Table'!$J$1:$J$10000&gt;=ROUND($MA$3,0)),0),MATCH("MDA_MIN_MARGIN_GUIDENCE",'Margin Guidence Table'!$A$1:$AG$1,0)),INDEX('Margin Guidence Table'!$A$1:$AG$10000,MATCH(1,('Margin Guidence Table'!$A$1:$A$10000=MI22)*('Margin Guidence Table'!$I$1:$I$10000&lt;=ROUND($MA$3,0))*('Margin Guidence Table'!$J$1:$J$10000&gt;=ROUND($MA$3,0)),0),MATCH("DEFAULT_MDA_MIN_MARGIN_GUIDENCE",'Margin Guidence Table'!$A$1:$AG$1,0))),0))</f>
        <v>0</v>
      </c>
      <c r="MO22" s="784">
        <f t="array" ref="MO22">IF('Customer Inputs'!$W$18="End",0,IFERROR(IF($MK22="SEGMENT",INDEX('Margin Guidence Table'!$A$1:$AG$10000,MATCH(1,('Margin Guidence Table'!$A$1:$A$10000=MI22)*('Margin Guidence Table'!$I$1:$I$10000&lt;=ROUND($MA$3,0))*('Margin Guidence Table'!$J$1:$J$10000&gt;=ROUND($MA$3,0)),0),MATCH("MDA_MEDIAN_MARGIN_GUIDENCE",'Margin Guidence Table'!$A$1:$AG$1,0)),INDEX('Margin Guidence Table'!$A$1:$AG$10000,MATCH(1,('Margin Guidence Table'!$A$1:$A$10000=MI22)*('Margin Guidence Table'!$I$1:$I$10000&lt;=ROUND($MA$3,0))*('Margin Guidence Table'!$J$1:$J$10000&gt;=ROUND($MA$3,0)),0),MATCH("DEFAULT_MDA_MEDIAN_MARGIN_GUIDENCE",'Margin Guidence Table'!$A$1:$AG$1,0))),0))</f>
        <v>0</v>
      </c>
      <c r="MP22" s="784">
        <f t="array" ref="MP22">IF('Customer Inputs'!$W$18="End",0,IFERROR(IF($MK22="SEGMENT",INDEX('Margin Guidence Table'!$A$1:$AG$10000,MATCH(1,('Margin Guidence Table'!$A$1:$A$10000=MI22)*('Margin Guidence Table'!$I$1:$I$10000&lt;=ROUND($MA$3,0))*('Margin Guidence Table'!$J$1:$J$10000&gt;=ROUND($MA$3,0)),0),MATCH("MDA_MAX_MARGIN_GUIDENCE",'Margin Guidence Table'!$A$1:$AG$1,0)),INDEX('Margin Guidence Table'!$A$1:$AG$10000,MATCH(1,('Margin Guidence Table'!$A$1:$A$10000=MI22)*('Margin Guidence Table'!$I$1:$I$10000&lt;=ROUND($MA$3,0))*('Margin Guidence Table'!$J$1:$J$10000&gt;=ROUND($MA$3,0)),0),MATCH("DEFAULT_MDA_MAX_MARGIN_GUIDENCE",'Margin Guidence Table'!$A$1:$AG$1,0))),0))</f>
        <v>0</v>
      </c>
      <c r="MQ22" s="784">
        <f t="array" ref="MQ22">IF('Customer Inputs'!$W$18="End",0,IFERROR(IF($MK22="SEGMENT",INDEX('Margin Guidence Table'!$A$1:$AG$10000,MATCH(1,('Margin Guidence Table'!$A$1:$A$10000=MI22)*('Margin Guidence Table'!$I$1:$I$10000&lt;=ROUND($MA$3,0))*('Margin Guidence Table'!$J$1:$J$10000&gt;=ROUND($MA$3,0)),0),MATCH("PA_PCT_SALES",'Margin Guidence Table'!$A$1:$AG$1,0)),INDEX('Margin Guidence Table'!$A$1:$AG$10000,MATCH(1,('Margin Guidence Table'!$A$1:$A$10000=MI22)*('Margin Guidence Table'!$I$1:$I$10000&lt;=ROUND($MA$3,0))*('Margin Guidence Table'!$J$1:$J$10000&gt;=ROUND($MA$3,0)),0),MATCH("DEFAULT_PA_PCT_SALES",'Margin Guidence Table'!$A$1:$AG$1,0))),0))</f>
        <v>0</v>
      </c>
      <c r="MR22" s="784">
        <f t="array" ref="MR22">IF('Customer Inputs'!$W$18="End",0,IFERROR(IF($MK22="SEGMENT",INDEX('Margin Guidence Table'!$A$1:$AG$10000,MATCH(1,('Margin Guidence Table'!$A$1:$A$10000=MI22)*('Margin Guidence Table'!$I$1:$I$10000&lt;=ROUND($MA$3,0))*('Margin Guidence Table'!$J$1:$J$10000&gt;=ROUND($MA$3,0)),0),MATCH("SELF_FUND_PCT_SALES",'Margin Guidence Table'!$A$1:$AG$1,0)),INDEX('Margin Guidence Table'!$A$1:$AG$10000,MATCH(1,('Margin Guidence Table'!$A$1:$A$10000=MI22)*('Margin Guidence Table'!$I$1:$I$10000&lt;=ROUND($MA$3,0))*('Margin Guidence Table'!$J$1:$J$10000&gt;=ROUND($MA$3,0)),0),MATCH("DEFAULT_SELF_FUND_PCT_SALES",'Margin Guidence Table'!$A$1:$AG$1,0))),0))</f>
        <v>0</v>
      </c>
      <c r="MS22" s="784">
        <f t="array" ref="MS22">IF('Customer Inputs'!$W$18="End",0,IF($MB$2="Existing",IFERROR(SUMIFS('Existing Customers'!$V:$V,'Existing Customers'!$H:$H,$LZ22,'Existing Customers'!$A:$A,$MA$1)/SUMIFS('Existing Customers'!$Q:$Q,'Existing Customers'!$H:$H,$LZ22,'Existing Customers'!$A:$A,$MA$1),0),IFERROR(IF($MK22="SEGMENT",INDEX('Margin Guidence Table'!$A$1:$AG$10000,MATCH(1,('Margin Guidence Table'!$A$1:$A$10000=MI22)*('Margin Guidence Table'!$I$1:$I$10000&lt;=ROUND($MA$3,0))*('Margin Guidence Table'!$J$1:$J$10000&gt;=ROUND($MA$3,0)),0),MATCH("CIA_MEDIAN_MARGIN_GUIDENCE",'Margin Guidence Table'!$A$1:$AG$1,0)),INDEX('Margin Guidence Table'!$A$1:$AG$10000,MATCH(1,('Margin Guidence Table'!$A$1:$A$10000=MI22)*('Margin Guidence Table'!$I$1:$I$10000&lt;=ROUND($MA$3,0))*('Margin Guidence Table'!$J$1:$J$10000&gt;=ROUND($MA$3,0)),0),MATCH("DEFAULT_CIA_MEDIAN_MARGIN_GUIDENCE",'Margin Guidence Table'!$A$1:$AG$1,0))),0)))</f>
        <v>0</v>
      </c>
      <c r="MT22" s="784"/>
      <c r="MU22" s="18">
        <f t="array" ref="MU22">IF('Customer Inputs'!$W$19="End",0,IFERROR(IF($NH22="SEGMENT",INDEX('Margin Guidence Table'!$A$1:$AG$10000,MATCH(1,('Margin Guidence Table'!$A$1:$A$10000=$NF22)*('Margin Guidence Table'!$I$1:$I$10000&lt;=ROUND($MX$3,0))*('Margin Guidence Table'!$J$1:$J$10000&gt;=ROUND($MX$3,0)),0),MATCH("PCT_SALES",'Margin Guidence Table'!$A$1:$AG$1,0)),INDEX('Margin Guidence Table'!$A$1:$AG$10000,MATCH(1,('Margin Guidence Table'!$A$1:$A$10000=$NF22)*('Margin Guidence Table'!$I$1:$I$10000&lt;=ROUND($MX$3,0))*('Margin Guidence Table'!$J$1:$J$10000&gt;=ROUND($MX$3,0)),0),MATCH("DEFAULT_PCT_SALES",'Margin Guidence Table'!$A$1:$AG$1,0))),0))</f>
        <v>0</v>
      </c>
      <c r="MV22" s="1713" t="e">
        <f t="shared" si="58"/>
        <v>#DIV/0!</v>
      </c>
      <c r="MW22" s="99" t="s">
        <v>96</v>
      </c>
      <c r="MX22" s="91">
        <f>IF('Customer Inputs'!$W$19="End",0,IFERROR(IF(AND($MX$2&lt;&gt;"Enter Spend&gt;&gt;&gt;",$MY$2="EXISTING"),SUMIFS('Existing Customers'!$Q:$Q,'Existing Customers'!$A:$A,$MX$1,'Existing Customers'!$H:$H,$MW22)*$MX$4,$MX$3*$MV22),0))</f>
        <v>0</v>
      </c>
      <c r="MY22" s="86">
        <f>IF('Customer Inputs'!$W$19="End",0,IFERROR(IF(AND($MX$2&lt;&gt;"Enter Spend&gt;&gt;&gt;",$MY$2="EXISTING"),SUMIFS('Existing Customers'!$N:$N,'Existing Customers'!$A:$A,$MX$1,'Existing Customers'!$H:$H,$MW22)*$MX$4,$MX22/$NI22),0))</f>
        <v>0</v>
      </c>
      <c r="MZ22" s="92">
        <f>IF('Customer Inputs'!$W$19="End",0,IFERROR(IF(AND($MX$2&lt;&gt;"Enter Spend&gt;&gt;&gt;",$MY$2="EXISTING"),SUMIFS('Existing Customers'!$O:$O,'Existing Customers'!$H:$H,$MW22,'Existing Customers'!$A:$A,$MX$1)*$MX$4,$MY22*$MX$8),0))</f>
        <v>0</v>
      </c>
      <c r="NA22" s="92">
        <f>IF('Customer Inputs'!$W$19="End",0,IFERROR(IF(AND($MX$2&lt;&gt;"Enter Spend&gt;&gt;&gt;",$MY$2="EXISTING"),SUMIFS('Existing Customers'!$P:$P,'Existing Customers'!$A:$A,$MX$1,'Existing Customers'!$H:$H,$MW22)*$MX$4,$MX22/$NJ22),0))</f>
        <v>0</v>
      </c>
      <c r="NB22" s="303">
        <f>IF('Customer Inputs'!$W$19="End",0,IFERROR(IF(AND($MX$2&lt;&gt;"Enter Spend&gt;&gt;&gt;",$MY$2="EXISTING"),SUMIFS('Existing Customers'!$V:$V,'Existing Customers'!$H:$H,$MW22,'Existing Customers'!$A:$A,$MX$1)*$MX$4,0),0))</f>
        <v>0</v>
      </c>
      <c r="NC22" s="93">
        <f>IF('Customer Inputs'!$W$19="End",0,IFERROR(IF(AND($MX$2&lt;&gt;"Enter Spend&gt;&gt;&gt;",$MY$2="EXISTING"),SUMIFS('Existing Customers'!$R:$R,'Existing Customers'!$H:$H,$MW22,'Existing Customers'!$A:$A,$MX$1)*$MX$4,0),0))</f>
        <v>0</v>
      </c>
      <c r="ND22" s="780">
        <f>IF('Customer Inputs'!$W$19="End",0,IFERROR(IF(AND($MX$2&lt;&gt;"Enter Spend&gt;&gt;&gt;",$MY$2="EXISTING"),SUMIFS('Existing Customers'!$S:$S,'Existing Customers'!$H:$H,$MW22,'Existing Customers'!$A:$A,$MX$1)/SUMIFS('Existing Customers'!$Q:$Q,'Existing Customers'!$A:$A,$MX$1,'Existing Customers'!$H:$H,$MW22),NN22),0))</f>
        <v>0</v>
      </c>
      <c r="NE22" s="780">
        <f>IF('Customer Inputs'!$W$19="End",0,IFERROR(IF(AND($MX$2&lt;&gt;"Enter Spend&gt;&gt;&gt;",$MY$2="EXISTING"),SUMIFS('Existing Customers'!$U:$U,'Existing Customers'!$H:$H,$MW22,'Existing Customers'!$A:$A,$MX$1)/SUMIFS('Existing Customers'!$Q:$Q,'Existing Customers'!$A:$A,$MX$1,'Existing Customers'!$H:$H,$MW22),NO22),0))</f>
        <v>0</v>
      </c>
      <c r="NF22" s="783" t="e">
        <f>_xlfn.CONCAT('Customer Inputs'!$AH$19,"_",MW22)</f>
        <v>#N/A</v>
      </c>
      <c r="NG22" s="783">
        <f t="array" ref="NG22">IF('Customer Inputs'!$W$19="End",0,IFERROR(INDEX('Margin Guidence Table'!$A$1:$AG$10000,MATCH(1,('Margin Guidence Table'!$A$1:$A$10000=NF22)*('Margin Guidence Table'!$I$1:$I$10000&lt;=ROUND($MX$3,0))*('Margin Guidence Table'!$J$1:$J$10000&gt;=ROUND($MX$3,0)),0),MATCH("DATA_POINTS",'Margin Guidence Table'!$A$1:$AG$1,0)),0))</f>
        <v>0</v>
      </c>
      <c r="NH22" s="780" t="str">
        <f t="shared" si="59"/>
        <v>DEFAULT</v>
      </c>
      <c r="NI22" s="780">
        <f t="array" ref="NI22">IF('Customer Inputs'!$W$19="End",0,IFERROR(IF($NH22="SEGMENT",INDEX('Margin Guidence Table'!$A$1:$AG$10000,MATCH(1,('Margin Guidence Table'!$A$1:$A$10000=NF22)*('Margin Guidence Table'!$I$1:$I$10000&lt;=ROUND($MX$3,0))*('Margin Guidence Table'!$J$1:$J$10000&gt;=ROUND($MX$3,0)),0),MATCH("SALES_CASE",'Margin Guidence Table'!$A$1:$AG$1,0)),INDEX('Margin Guidence Table'!$A$1:$AG$10000,MATCH(1,('Margin Guidence Table'!$A$1:$A$10000=NF22)*('Margin Guidence Table'!$I$1:$I$10000&lt;=ROUND($MX$3,0))*('Margin Guidence Table'!$J$1:$J$10000&gt;=ROUND($MX$3,0)),0),MATCH("DEFAULT_SALES_CASE",'Margin Guidence Table'!$A$1:$AG$1,0))),0))</f>
        <v>0</v>
      </c>
      <c r="NJ22" s="780">
        <f t="array" ref="NJ22">IF('Customer Inputs'!$W$19="End",0,IFERROR(IF($NH22="SEGMENT",INDEX('Margin Guidence Table'!$A$1:$AG$10000,MATCH(1,('Margin Guidence Table'!$A$1:$A$10000=NF22)*('Margin Guidence Table'!$I$1:$I$10000&lt;=ROUND($MX$3,0))*('Margin Guidence Table'!$J$1:$J$10000&gt;=ROUND($MX$3,0)),0),MATCH("SALES_LBS",'Margin Guidence Table'!$A$1:$AG$1,0)),INDEX('Margin Guidence Table'!$A$1:$AG$10000,MATCH(1,('Margin Guidence Table'!$A$1:$A$10000=NF22)*('Margin Guidence Table'!$I$1:$I$10000&lt;=ROUND($MX$3,0))*('Margin Guidence Table'!$J$1:$J$10000&gt;=ROUND($MX$3,0)),0),MATCH("DEFAULT_SALES_LBS",'Margin Guidence Table'!$A$1:$AG$1,0))),0))</f>
        <v>0</v>
      </c>
      <c r="NK22" s="784">
        <f t="array" ref="NK22">IF('Customer Inputs'!$W$19="End",0,IFERROR(IF($NH22="SEGMENT",INDEX('Margin Guidence Table'!$A$1:$AG$10000,MATCH(1,('Margin Guidence Table'!$A$1:$A$10000=NF22)*('Margin Guidence Table'!$I$1:$I$10000&lt;=ROUND($MX$3,0))*('Margin Guidence Table'!$J$1:$J$10000&gt;=ROUND($MX$3,0)),0),MATCH("MDA_MIN_MARGIN_GUIDENCE",'Margin Guidence Table'!$A$1:$AG$1,0)),INDEX('Margin Guidence Table'!$A$1:$AG$10000,MATCH(1,('Margin Guidence Table'!$A$1:$A$10000=NF22)*('Margin Guidence Table'!$I$1:$I$10000&lt;=ROUND($MX$3,0))*('Margin Guidence Table'!$J$1:$J$10000&gt;=ROUND($MX$3,0)),0),MATCH("DEFAULT_MDA_MIN_MARGIN_GUIDENCE",'Margin Guidence Table'!$A$1:$AG$1,0))),0))</f>
        <v>0</v>
      </c>
      <c r="NL22" s="784">
        <f t="array" ref="NL22">IF('Customer Inputs'!$W$19="End",0,IFERROR(IF($NH22="SEGMENT",INDEX('Margin Guidence Table'!$A$1:$AG$10000,MATCH(1,('Margin Guidence Table'!$A$1:$A$10000=NF22)*('Margin Guidence Table'!$I$1:$I$10000&lt;=ROUND($MX$3,0))*('Margin Guidence Table'!$J$1:$J$10000&gt;=ROUND($MX$3,0)),0),MATCH("MDA_MEDIAN_MARGIN_GUIDENCE",'Margin Guidence Table'!$A$1:$AG$1,0)),INDEX('Margin Guidence Table'!$A$1:$AG$10000,MATCH(1,('Margin Guidence Table'!$A$1:$A$10000=NF22)*('Margin Guidence Table'!$I$1:$I$10000&lt;=ROUND($MX$3,0))*('Margin Guidence Table'!$J$1:$J$10000&gt;=ROUND($MX$3,0)),0),MATCH("DEFAULT_MDA_MEDIAN_MARGIN_GUIDENCE",'Margin Guidence Table'!$A$1:$AG$1,0))),0))</f>
        <v>0</v>
      </c>
      <c r="NM22" s="784">
        <f t="array" ref="NM22">IF('Customer Inputs'!$W$19="End",0,IFERROR(IF($NH22="SEGMENT",INDEX('Margin Guidence Table'!$A$1:$AG$10000,MATCH(1,('Margin Guidence Table'!$A$1:$A$10000=NF22)*('Margin Guidence Table'!$I$1:$I$10000&lt;=ROUND($MX$3,0))*('Margin Guidence Table'!$J$1:$J$10000&gt;=ROUND($MX$3,0)),0),MATCH("MDA_MAX_MARGIN_GUIDENCE",'Margin Guidence Table'!$A$1:$AG$1,0)),INDEX('Margin Guidence Table'!$A$1:$AG$10000,MATCH(1,('Margin Guidence Table'!$A$1:$A$10000=NF22)*('Margin Guidence Table'!$I$1:$I$10000&lt;=ROUND($MX$3,0))*('Margin Guidence Table'!$J$1:$J$10000&gt;=ROUND($MX$3,0)),0),MATCH("DEFAULT_MDA_MAX_MARGIN_GUIDENCE",'Margin Guidence Table'!$A$1:$AG$1,0))),0))</f>
        <v>0</v>
      </c>
      <c r="NN22" s="784">
        <f t="array" ref="NN22">IF('Customer Inputs'!$W$19="End",0,IFERROR(IF($NH22="SEGMENT",INDEX('Margin Guidence Table'!$A$1:$AG$10000,MATCH(1,('Margin Guidence Table'!$A$1:$A$10000=NF22)*('Margin Guidence Table'!$I$1:$I$10000&lt;=ROUND($MX$3,0))*('Margin Guidence Table'!$J$1:$J$10000&gt;=ROUND($MX$3,0)),0),MATCH("PA_PCT_SALES",'Margin Guidence Table'!$A$1:$AG$1,0)),INDEX('Margin Guidence Table'!$A$1:$AG$10000,MATCH(1,('Margin Guidence Table'!$A$1:$A$10000=NF22)*('Margin Guidence Table'!$I$1:$I$10000&lt;=ROUND($MX$3,0))*('Margin Guidence Table'!$J$1:$J$10000&gt;=ROUND($MX$3,0)),0),MATCH("DEFAULT_PA_PCT_SALES",'Margin Guidence Table'!$A$1:$AG$1,0))),0))</f>
        <v>0</v>
      </c>
      <c r="NO22" s="784">
        <f t="array" ref="NO22">IF('Customer Inputs'!$W$19="End",0,IFERROR(IF($NH22="SEGMENT",INDEX('Margin Guidence Table'!$A$1:$AG$10000,MATCH(1,('Margin Guidence Table'!$A$1:$A$10000=NF22)*('Margin Guidence Table'!$I$1:$I$10000&lt;=ROUND($MX$3,0))*('Margin Guidence Table'!$J$1:$J$10000&gt;=ROUND($MX$3,0)),0),MATCH("SELF_FUND_PCT_SALES",'Margin Guidence Table'!$A$1:$AG$1,0)),INDEX('Margin Guidence Table'!$A$1:$AG$10000,MATCH(1,('Margin Guidence Table'!$A$1:$A$10000=NF22)*('Margin Guidence Table'!$I$1:$I$10000&lt;=ROUND($MX$3,0))*('Margin Guidence Table'!$J$1:$J$10000&gt;=ROUND($MX$3,0)),0),MATCH("DEFAULT_SELF_FUND_PCT_SALES",'Margin Guidence Table'!$A$1:$AG$1,0))),0))</f>
        <v>0</v>
      </c>
      <c r="NP22" s="784">
        <f t="array" ref="NP22">IF('Customer Inputs'!$W$19="End",0,IF($MY$2="Existing",IFERROR(SUMIFS('Existing Customers'!$V:$V,'Existing Customers'!$H:$H,$MW22,'Existing Customers'!$A:$A,$MX$1)/SUMIFS('Existing Customers'!$Q:$Q,'Existing Customers'!$H:$H,$MW22,'Existing Customers'!$A:$A,$MX$1),0),IFERROR(IF($NH22="SEGMENT",INDEX('Margin Guidence Table'!$A$1:$AG$10000,MATCH(1,('Margin Guidence Table'!$A$1:$A$10000=NF22)*('Margin Guidence Table'!$I$1:$I$10000&lt;=ROUND($MX$3,0))*('Margin Guidence Table'!$J$1:$J$10000&gt;=ROUND($MX$3,0)),0),MATCH("CIA_MEDIAN_MARGIN_GUIDENCE",'Margin Guidence Table'!$A$1:$AG$1,0)),INDEX('Margin Guidence Table'!$A$1:$AG$10000,MATCH(1,('Margin Guidence Table'!$A$1:$A$10000=NF22)*('Margin Guidence Table'!$I$1:$I$10000&lt;=ROUND($MX$3,0))*('Margin Guidence Table'!$J$1:$J$10000&gt;=ROUND($MX$3,0)),0),MATCH("DEFAULT_CIA_MEDIAN_MARGIN_GUIDENCE",'Margin Guidence Table'!$A$1:$AG$1,0))),0)))</f>
        <v>0</v>
      </c>
      <c r="NQ22" s="784"/>
      <c r="NR22" s="18">
        <f t="array" ref="NR22">IF('Customer Inputs'!$W$20="End",0,IFERROR(IF($OE22="SEGMENT",INDEX('Margin Guidence Table'!$A$1:$AG$10000,MATCH(1,('Margin Guidence Table'!$A$1:$A$10000=$OC22)*('Margin Guidence Table'!$I$1:$I$10000&lt;=ROUND($NU$3,0))*('Margin Guidence Table'!$J$1:$J$10000&gt;=ROUND($NU$3,0)),0),MATCH("PCT_SALES",'Margin Guidence Table'!$A$1:$AG$1,0)),INDEX('Margin Guidence Table'!$A$1:$AG$10000,MATCH(1,('Margin Guidence Table'!$A$1:$A$10000=$OC22)*('Margin Guidence Table'!$I$1:$I$10000&lt;=ROUND($NU$3,0))*('Margin Guidence Table'!$J$1:$J$10000&gt;=ROUND($NU$3,0)),0),MATCH("DEFAULT_PCT_SALES",'Margin Guidence Table'!$A$1:$AG$1,0))),0))</f>
        <v>0</v>
      </c>
      <c r="NS22" s="1713" t="e">
        <f t="shared" si="60"/>
        <v>#DIV/0!</v>
      </c>
      <c r="NT22" s="99" t="s">
        <v>96</v>
      </c>
      <c r="NU22" s="91">
        <f>IF('Customer Inputs'!$W$20="End",0,IFERROR(IF(AND($NU$2&lt;&gt;"Enter Spend&gt;&gt;&gt;",$NV$2="EXISTING"),SUMIFS('Existing Customers'!$Q:$Q,'Existing Customers'!$A:$A,$NU$1,'Existing Customers'!$H:$H,$NT22)*$NU$4,$NU$3*$NS22),0))</f>
        <v>0</v>
      </c>
      <c r="NV22" s="86">
        <f>IF('Customer Inputs'!$W$20="End",0,IFERROR(IF(AND($NU$2&lt;&gt;"Enter Spend&gt;&gt;&gt;",$NV$2="EXISTING"),SUMIFS('Existing Customers'!$N:$N,'Existing Customers'!$A:$A,$NU$1,'Existing Customers'!$H:$H,$NT22)*$NU$4,$NU22/$OF22),0))</f>
        <v>0</v>
      </c>
      <c r="NW22" s="92">
        <f>IF('Customer Inputs'!$W$20="End",0,IFERROR(IF(AND($NU$2&lt;&gt;"Enter Spend&gt;&gt;&gt;",$NV$2="EXISTING"),SUMIFS('Existing Customers'!$O:$O,'Existing Customers'!$H:$H,$NT22,'Existing Customers'!$A:$A,$NU$1)*$NU$4,$NV22*$NU$8),0))</f>
        <v>0</v>
      </c>
      <c r="NX22" s="92">
        <f>IF('Customer Inputs'!$W$20="End",0,IFERROR(IF(AND($NU$2&lt;&gt;"Enter Spend&gt;&gt;&gt;",$NV$2="EXISTING"),SUMIFS('Existing Customers'!$P:$P,'Existing Customers'!$A:$A,$NU$1,'Existing Customers'!$H:$H,$NT22)*$NU$4,$NU22/$OG22),0))</f>
        <v>0</v>
      </c>
      <c r="NY22" s="303">
        <f>IF('Customer Inputs'!$W$20="End",0,IFERROR(IF(AND($NU$2&lt;&gt;"Enter Spend&gt;&gt;&gt;",$NV$2="EXISTING"),SUMIFS('Existing Customers'!$V:$V,'Existing Customers'!$H:$H,$NT22,'Existing Customers'!$A:$A,$NU$1)*$NU$4,0),0))</f>
        <v>0</v>
      </c>
      <c r="NZ22" s="93">
        <f>IF('Customer Inputs'!$W$20="End",0,IFERROR(IF(AND($NU$2&lt;&gt;"Enter Spend&gt;&gt;&gt;",$NV$2="EXISTING"),SUMIFS('Existing Customers'!$R:$R,'Existing Customers'!$H:$H,$NT22,'Existing Customers'!$A:$A,$NU$1)*$NU$4,0),0))</f>
        <v>0</v>
      </c>
      <c r="OA22" s="780">
        <f>IF('Customer Inputs'!$W$20="End",0,IFERROR(IF(AND($NU$2&lt;&gt;"Enter Spend&gt;&gt;&gt;",$NV$2="EXISTING"),SUMIFS('Existing Customers'!$S:$S,'Existing Customers'!$H:$H,$NT22,'Existing Customers'!$A:$A,$NU$1)/SUMIFS('Existing Customers'!$Q:$Q,'Existing Customers'!$A:$A,$NU$1,'Existing Customers'!$H:$H,$NT22),OK22),0))</f>
        <v>0</v>
      </c>
      <c r="OB22" s="780">
        <f>IF('Customer Inputs'!$W$20="End",0,IFERROR(IF(AND($NU$2&lt;&gt;"Enter Spend&gt;&gt;&gt;",$NV$2="EXISTING"),SUMIFS('Existing Customers'!$U:$U,'Existing Customers'!$H:$H,$NT22,'Existing Customers'!$A:$A,$NU$1)/SUMIFS('Existing Customers'!$Q:$Q,'Existing Customers'!$A:$A,$NU$1,'Existing Customers'!$H:$H,$NT22),OL22),0))</f>
        <v>0</v>
      </c>
      <c r="OC22" s="783" t="e">
        <f>_xlfn.CONCAT('Customer Inputs'!$AH$20,"_",NT22)</f>
        <v>#N/A</v>
      </c>
      <c r="OD22" s="783">
        <f t="array" ref="OD22">IF('Customer Inputs'!$W$20="End",0,IFERROR(INDEX('Margin Guidence Table'!$A$1:$AG$10000,MATCH(1,('Margin Guidence Table'!$A$1:$A$10000=OC22)*('Margin Guidence Table'!$I$1:$I$10000&lt;=ROUND($NU$3,0))*('Margin Guidence Table'!$J$1:$J$10000&gt;=ROUND($NU$3,0)),0),MATCH("DATA_POINTS",'Margin Guidence Table'!$A$1:$AG$1,0)),0))</f>
        <v>0</v>
      </c>
      <c r="OE22" s="780" t="str">
        <f t="shared" si="61"/>
        <v>DEFAULT</v>
      </c>
      <c r="OF22" s="780">
        <f t="array" ref="OF22">IF('Customer Inputs'!$W$20="End",0,IFERROR(IF($OE22="SEGMENT",INDEX('Margin Guidence Table'!$A$1:$AG$10000,MATCH(1,('Margin Guidence Table'!$A$1:$A$10000=OC22)*('Margin Guidence Table'!$I$1:$I$10000&lt;=ROUND($NU$3,0))*('Margin Guidence Table'!$J$1:$J$10000&gt;=ROUND($NU$3,0)),0),MATCH("SALES_CASE",'Margin Guidence Table'!$A$1:$AG$1,0)),INDEX('Margin Guidence Table'!$A$1:$AG$10000,MATCH(1,('Margin Guidence Table'!$A$1:$A$10000=OC22)*('Margin Guidence Table'!$I$1:$I$10000&lt;=ROUND($NU$3,0))*('Margin Guidence Table'!$J$1:$J$10000&gt;=ROUND($NU$3,0)),0),MATCH("DEFAULT_SALES_CASE",'Margin Guidence Table'!$A$1:$AG$1,0))),0))</f>
        <v>0</v>
      </c>
      <c r="OG22" s="780">
        <f t="array" ref="OG22">IF('Customer Inputs'!$W$20="End",0,IFERROR(IF($OE22="SEGMENT",INDEX('Margin Guidence Table'!$A$1:$AG$10000,MATCH(1,('Margin Guidence Table'!$A$1:$A$10000=OC22)*('Margin Guidence Table'!$I$1:$I$10000&lt;=ROUND($NU$3,0))*('Margin Guidence Table'!$J$1:$J$10000&gt;=ROUND($NU$3,0)),0),MATCH("SALES_LBS",'Margin Guidence Table'!$A$1:$AG$1,0)),INDEX('Margin Guidence Table'!$A$1:$AG$10000,MATCH(1,('Margin Guidence Table'!$A$1:$A$10000=OC22)*('Margin Guidence Table'!$I$1:$I$10000&lt;=ROUND($NU$3,0))*('Margin Guidence Table'!$J$1:$J$10000&gt;=ROUND($NU$3,0)),0),MATCH("DEFAULT_SALES_LBS",'Margin Guidence Table'!$A$1:$AG$1,0))),0))</f>
        <v>0</v>
      </c>
      <c r="OH22" s="784">
        <f t="array" ref="OH22">IF('Customer Inputs'!$W$20="End",0,IFERROR(IF($OE22="SEGMENT",INDEX('Margin Guidence Table'!$A$1:$AG$10000,MATCH(1,('Margin Guidence Table'!$A$1:$A$10000=OC22)*('Margin Guidence Table'!$I$1:$I$10000&lt;=ROUND($NU$3,0))*('Margin Guidence Table'!$J$1:$J$10000&gt;=ROUND($NU$3,0)),0),MATCH("MDA_MIN_MARGIN_GUIDENCE",'Margin Guidence Table'!$A$1:$AG$1,0)),INDEX('Margin Guidence Table'!$A$1:$AG$10000,MATCH(1,('Margin Guidence Table'!$A$1:$A$10000=OC22)*('Margin Guidence Table'!$I$1:$I$10000&lt;=ROUND($NU$3,0))*('Margin Guidence Table'!$J$1:$J$10000&gt;=ROUND($NU$3,0)),0),MATCH("DEFAULT_MDA_MIN_MARGIN_GUIDENCE",'Margin Guidence Table'!$A$1:$AG$1,0))),0))</f>
        <v>0</v>
      </c>
      <c r="OI22" s="784">
        <f t="array" ref="OI22">IF('Customer Inputs'!$W$20="End",0,IFERROR(IF($OE22="SEGMENT",INDEX('Margin Guidence Table'!$A$1:$AG$10000,MATCH(1,('Margin Guidence Table'!$A$1:$A$10000=OC22)*('Margin Guidence Table'!$I$1:$I$10000&lt;=ROUND($NU$3,0))*('Margin Guidence Table'!$J$1:$J$10000&gt;=ROUND($NU$3,0)),0),MATCH("MDA_MEDIAN_MARGIN_GUIDENCE",'Margin Guidence Table'!$A$1:$AG$1,0)),INDEX('Margin Guidence Table'!$A$1:$AG$10000,MATCH(1,('Margin Guidence Table'!$A$1:$A$10000=OC22)*('Margin Guidence Table'!$I$1:$I$10000&lt;=ROUND($NU$3,0))*('Margin Guidence Table'!$J$1:$J$10000&gt;=ROUND($NU$3,0)),0),MATCH("DEFAULT_MDA_MEDIAN_MARGIN_GUIDENCE",'Margin Guidence Table'!$A$1:$AG$1,0))),0))</f>
        <v>0</v>
      </c>
      <c r="OJ22" s="784">
        <f t="array" ref="OJ22">IF('Customer Inputs'!$W$20="End",0,IFERROR(IF($OE22="SEGMENT",INDEX('Margin Guidence Table'!$A$1:$AG$10000,MATCH(1,('Margin Guidence Table'!$A$1:$A$10000=OC22)*('Margin Guidence Table'!$I$1:$I$10000&lt;=ROUND($NU$3,0))*('Margin Guidence Table'!$J$1:$J$10000&gt;=ROUND($NU$3,0)),0),MATCH("MDA_MAX_MARGIN_GUIDENCE",'Margin Guidence Table'!$A$1:$AG$1,0)),INDEX('Margin Guidence Table'!$A$1:$AG$10000,MATCH(1,('Margin Guidence Table'!$A$1:$A$10000=OC22)*('Margin Guidence Table'!$I$1:$I$10000&lt;=ROUND($NU$3,0))*('Margin Guidence Table'!$J$1:$J$10000&gt;=ROUND($NU$3,0)),0),MATCH("DEFAULT_MDA_MAX_MARGIN_GUIDENCE",'Margin Guidence Table'!$A$1:$AG$1,0))),0))</f>
        <v>0</v>
      </c>
      <c r="OK22" s="784">
        <f t="array" ref="OK22">IF('Customer Inputs'!$W$20="End",0,IFERROR(IF($OE22="SEGMENT",INDEX('Margin Guidence Table'!$A$1:$AG$10000,MATCH(1,('Margin Guidence Table'!$A$1:$A$10000=OC22)*('Margin Guidence Table'!$I$1:$I$10000&lt;=ROUND($NU$3,0))*('Margin Guidence Table'!$J$1:$J$10000&gt;=ROUND($NU$3,0)),0),MATCH("PA_PCT_SALES",'Margin Guidence Table'!$A$1:$AG$1,0)),INDEX('Margin Guidence Table'!$A$1:$AG$10000,MATCH(1,('Margin Guidence Table'!$A$1:$A$10000=OC22)*('Margin Guidence Table'!$I$1:$I$10000&lt;=ROUND($NU$3,0))*('Margin Guidence Table'!$J$1:$J$10000&gt;=ROUND($NU$3,0)),0),MATCH("DEFAULT_PA_PCT_SALES",'Margin Guidence Table'!$A$1:$AG$1,0))),0))</f>
        <v>0</v>
      </c>
      <c r="OL22" s="784">
        <f t="array" ref="OL22">IF('Customer Inputs'!$W$20="End",0,IFERROR(IF($OE22="SEGMENT",INDEX('Margin Guidence Table'!$A$1:$AG$10000,MATCH(1,('Margin Guidence Table'!$A$1:$A$10000=OC22)*('Margin Guidence Table'!$I$1:$I$10000&lt;=ROUND($NU$3,0))*('Margin Guidence Table'!$J$1:$J$10000&gt;=ROUND($NU$3,0)),0),MATCH("SELF_FUND_PCT_SALES",'Margin Guidence Table'!$A$1:$AG$1,0)),INDEX('Margin Guidence Table'!$A$1:$AG$10000,MATCH(1,('Margin Guidence Table'!$A$1:$A$10000=OC22)*('Margin Guidence Table'!$I$1:$I$10000&lt;=ROUND($NU$3,0))*('Margin Guidence Table'!$J$1:$J$10000&gt;=ROUND($NU$3,0)),0),MATCH("DEFAULT_SELF_FUND_PCT_SALES",'Margin Guidence Table'!$A$1:$AG$1,0))),0))</f>
        <v>0</v>
      </c>
      <c r="OM22" s="784">
        <f t="array" ref="OM22">IF('Customer Inputs'!$W$20="End",0,IF($NV$2="Existing",IFERROR(SUMIFS('Existing Customers'!$V:$V,'Existing Customers'!$H:$H,$NT22,'Existing Customers'!$A:$A,$NU$1)/SUMIFS('Existing Customers'!$Q:$Q,'Existing Customers'!$H:$H,$NT22,'Existing Customers'!$A:$A,$NU$1),0),IFERROR(IF($OE22="SEGMENT",INDEX('Margin Guidence Table'!$A$1:$AG$10000,MATCH(1,('Margin Guidence Table'!$A$1:$A$10000=OC22)*('Margin Guidence Table'!$I$1:$I$10000&lt;=ROUND($NU$3,0))*('Margin Guidence Table'!$J$1:$J$10000&gt;=ROUND($NU$3,0)),0),MATCH("CIA_MEDIAN_MARGIN_GUIDENCE",'Margin Guidence Table'!$A$1:$AG$1,0)),INDEX('Margin Guidence Table'!$A$1:$AG$10000,MATCH(1,('Margin Guidence Table'!$A$1:$A$10000=OC22)*('Margin Guidence Table'!$I$1:$I$10000&lt;=ROUND($NU$3,0))*('Margin Guidence Table'!$J$1:$J$10000&gt;=ROUND($NU$3,0)),0),MATCH("DEFAULT_CIA_MEDIAN_MARGIN_GUIDENCE",'Margin Guidence Table'!$A$1:$AG$1,0))),0)))</f>
        <v>0</v>
      </c>
      <c r="ON22" s="784"/>
      <c r="OO22" s="18">
        <f t="array" ref="OO22">IF('Customer Inputs'!$W$21="End",0,IFERROR(IF($PB22="SEGMENT",INDEX('Margin Guidence Table'!$A$1:$AG$10000,MATCH(1,('Margin Guidence Table'!$A$1:$A$10000=$OZ22)*('Margin Guidence Table'!$I$1:$I$10000&lt;=ROUND($OR$3,0))*('Margin Guidence Table'!$J$1:$J$10000&gt;=ROUND($OR$3,0)),0),MATCH("PCT_SALES",'Margin Guidence Table'!$A$1:$AG$1,0)),INDEX('Margin Guidence Table'!$A$1:$AG$10000,MATCH(1,('Margin Guidence Table'!$A$1:$A$10000=$OZ22)*('Margin Guidence Table'!$I$1:$I$10000&lt;=ROUND($OR$3,0))*('Margin Guidence Table'!$J$1:$J$10000&gt;=ROUND($OR$3,0)),0),MATCH("DEFAULT_PCT_SALES",'Margin Guidence Table'!$A$1:$AG$1,0))),0))</f>
        <v>0</v>
      </c>
      <c r="OP22" s="1713" t="e">
        <f t="shared" si="62"/>
        <v>#DIV/0!</v>
      </c>
      <c r="OQ22" s="99" t="s">
        <v>96</v>
      </c>
      <c r="OR22" s="91">
        <f>IF('Customer Inputs'!$W$21="End",0,IFERROR(IF(AND($OR$2&lt;&gt;"Enter Spend&gt;&gt;&gt;",$OS$2="EXISTING"),SUMIFS('Existing Customers'!$Q:$Q,'Existing Customers'!$A:$A,$OR$1,'Existing Customers'!$H:$H,$OQ22)*$OR$4,$OR$3*$OP22),0))</f>
        <v>0</v>
      </c>
      <c r="OS22" s="86">
        <f>IF('Customer Inputs'!$W$21="End",0,IFERROR(IF(AND($OR$2&lt;&gt;"Enter Spend&gt;&gt;&gt;",$OS$2="EXISTING"),SUMIFS('Existing Customers'!$N:$N,'Existing Customers'!$A:$A,$OR$1,'Existing Customers'!$H:$H,$OQ22)*$OR$4,$OR22/$PC22),0))</f>
        <v>0</v>
      </c>
      <c r="OT22" s="92">
        <f>IF('Customer Inputs'!$W$21="End",0,IFERROR(IF(AND($OR$2&lt;&gt;"Enter Spend&gt;&gt;&gt;",$OS$2="EXISTING"),SUMIFS('Existing Customers'!$O:$O,'Existing Customers'!$H:$H,$OQ22,'Existing Customers'!$A:$A,$OR$1)*$OR$4,$OS22*$OR$8),0))</f>
        <v>0</v>
      </c>
      <c r="OU22" s="92">
        <f>IF('Customer Inputs'!$W$21="End",0,IFERROR(IF(AND($OR$2&lt;&gt;"Enter Spend&gt;&gt;&gt;",$OS$2="EXISTING"),SUMIFS('Existing Customers'!$P:$P,'Existing Customers'!$A:$A,$OR$1,'Existing Customers'!$H:$H,$OQ22)*$OR$4,$OR22/$PD22),0))</f>
        <v>0</v>
      </c>
      <c r="OV22" s="303">
        <f>IF('Customer Inputs'!$W$21="End",0,IFERROR(IF(AND($OR$2&lt;&gt;"Enter Spend&gt;&gt;&gt;",$OS$2="EXISTING"),SUMIFS('Existing Customers'!$V:$V,'Existing Customers'!$H:$H,$OQ22,'Existing Customers'!$A:$A,$OR$1)*$OR$4,0),0))</f>
        <v>0</v>
      </c>
      <c r="OW22" s="93">
        <f>IF('Customer Inputs'!$W$21="End",0,IFERROR(IF(AND($OR$2&lt;&gt;"Enter Spend&gt;&gt;&gt;",$OS$2="EXISTING"),SUMIFS('Existing Customers'!$R:$R,'Existing Customers'!$H:$H,$OP22,'Existing Customers'!$A:$A,$OR$1)*$OR$4,0),0))</f>
        <v>0</v>
      </c>
      <c r="OX22" s="780">
        <f>IF('Customer Inputs'!$W$21="End",0,IFERROR(IF(AND($OR$2&lt;&gt;"Enter Spend&gt;&gt;&gt;",$OS$2="EXISTING"),SUMIFS('Existing Customers'!$S:$S,'Existing Customers'!$H:$H,$OQ22,'Existing Customers'!$A:$A,$OR$1)/SUMIFS('Existing Customers'!$Q:$Q,'Existing Customers'!$A:$A,$OR$1,'Existing Customers'!$H:$H,$OQ22),PH22),0))</f>
        <v>0</v>
      </c>
      <c r="OY22" s="780">
        <f>IF('Customer Inputs'!$W$21="End",0,IFERROR(IF(AND($OR$2&lt;&gt;"Enter Spend&gt;&gt;&gt;",$OS$2="EXISTING"),SUMIFS('Existing Customers'!$U:$U,'Existing Customers'!$H:$H,$OQ22,'Existing Customers'!$A:$A,$OR$1)/SUMIFS('Existing Customers'!$Q:$Q,'Existing Customers'!$A:$A,$OR$1,'Existing Customers'!$H:$H,$OQ22),PI22),0))</f>
        <v>0</v>
      </c>
      <c r="OZ22" s="783" t="e">
        <f>_xlfn.CONCAT('Customer Inputs'!$AH$21,"_",OQ22)</f>
        <v>#N/A</v>
      </c>
      <c r="PA22" s="783">
        <f t="array" ref="PA22">IF('Customer Inputs'!$W$22="End",0,IFERROR(INDEX('Margin Guidence Table'!$A$1:$AG$10000,MATCH(1,('Margin Guidence Table'!$A$1:$A$10000=OZ22)*('Margin Guidence Table'!$I$1:$I$10000&lt;=ROUND($OR$3,0))*('Margin Guidence Table'!$J$1:$J$10000&gt;=ROUND($OR$3,0)),0),MATCH("DATA_POINTS",'Margin Guidence Table'!$A$1:$AG$1,0)),0))</f>
        <v>0</v>
      </c>
      <c r="PB22" s="780" t="str">
        <f t="shared" si="63"/>
        <v>DEFAULT</v>
      </c>
      <c r="PC22" s="780">
        <f t="array" ref="PC22">IF('Customer Inputs'!$W$21="End",0,IFERROR(IF($PB22="SEGMENT",INDEX('Margin Guidence Table'!$A$1:$AG$10000,MATCH(1,('Margin Guidence Table'!$A$1:$A$10000=OZ22)*('Margin Guidence Table'!$I$1:$I$10000&lt;=ROUND($OR$3,0))*('Margin Guidence Table'!$J$1:$J$10000&gt;=ROUND($OR$3,0)),0),MATCH("SALES_CASE",'Margin Guidence Table'!$A$1:$AG$1,0)),INDEX('Margin Guidence Table'!$A$1:$AG$10000,MATCH(1,('Margin Guidence Table'!$A$1:$A$10000=OZ22)*('Margin Guidence Table'!$I$1:$I$10000&lt;=ROUND($OR$3,0))*('Margin Guidence Table'!$J$1:$J$10000&gt;=ROUND($OR$3,0)),0),MATCH("DEFAULT_SALES_CASE",'Margin Guidence Table'!$A$1:$AG$1,0))),0))</f>
        <v>0</v>
      </c>
      <c r="PD22" s="780">
        <f t="array" ref="PD22">IF('Customer Inputs'!$W$21="End",0,IFERROR(IF($PB22="SEGMENT",INDEX('Margin Guidence Table'!$A$1:$AG$10000,MATCH(1,('Margin Guidence Table'!$A$1:$A$10000=OZ22)*('Margin Guidence Table'!$I$1:$I$10000&lt;=ROUND($OR$3,0))*('Margin Guidence Table'!$J$1:$J$10000&gt;=ROUND($OR$3,0)),0),MATCH("SALES_LBS",'Margin Guidence Table'!$A$1:$AG$1,0)),INDEX('Margin Guidence Table'!$A$1:$AG$10000,MATCH(1,('Margin Guidence Table'!$A$1:$A$10000=OZ22)*('Margin Guidence Table'!$I$1:$I$10000&lt;=ROUND($OR$3,0))*('Margin Guidence Table'!$J$1:$J$10000&gt;=ROUND($OR$3,0)),0),MATCH("DEFAULT_SALES_LBS",'Margin Guidence Table'!$A$1:$AG$1,0))),0))</f>
        <v>0</v>
      </c>
      <c r="PE22" s="784">
        <f t="array" ref="PE22">IF('Customer Inputs'!$W$21="End",0,IFERROR(IF($PB22="SEGMENT",INDEX('Margin Guidence Table'!$A$1:$AG$10000,MATCH(1,('Margin Guidence Table'!$A$1:$A$10000=OZ22)*('Margin Guidence Table'!$I$1:$I$10000&lt;=ROUND($OR$3,0))*('Margin Guidence Table'!$J$1:$J$10000&gt;=ROUND($OR$3,0)),0),MATCH("MDA_MIN_MARGIN_GUIDENCE",'Margin Guidence Table'!$A$1:$AG$1,0)),INDEX('Margin Guidence Table'!$A$1:$AG$10000,MATCH(1,('Margin Guidence Table'!$A$1:$A$10000=OZ22)*('Margin Guidence Table'!$I$1:$I$10000&lt;=ROUND($OR$3,0))*('Margin Guidence Table'!$J$1:$J$10000&gt;=ROUND($OR$3,0)),0),MATCH("DEFAULT_MDA_MIN_MARGIN_GUIDENCE",'Margin Guidence Table'!$A$1:$AG$1,0))),0))</f>
        <v>0</v>
      </c>
      <c r="PF22" s="784">
        <f t="array" ref="PF22">IF('Customer Inputs'!$W$21="End",0,IFERROR(IF($PB22="SEGMENT",INDEX('Margin Guidence Table'!$A$1:$AG$10000,MATCH(1,('Margin Guidence Table'!$A$1:$A$10000=OZ22)*('Margin Guidence Table'!$I$1:$I$10000&lt;=ROUND($OR$3,0))*('Margin Guidence Table'!$J$1:$J$10000&gt;=ROUND($OR$3,0)),0),MATCH("MDA_MEDIAN_MARGIN_GUIDENCE",'Margin Guidence Table'!$A$1:$AG$1,0)),INDEX('Margin Guidence Table'!$A$1:$AG$10000,MATCH(1,('Margin Guidence Table'!$A$1:$A$10000=OZ22)*('Margin Guidence Table'!$I$1:$I$10000&lt;=ROUND($OR$3,0))*('Margin Guidence Table'!$J$1:$J$10000&gt;=ROUND($OR$3,0)),0),MATCH("DEFAULT_MDA_MEDIAN_MARGIN_GUIDENCE",'Margin Guidence Table'!$A$1:$AG$1,0))),0))</f>
        <v>0</v>
      </c>
      <c r="PG22" s="784">
        <f t="array" ref="PG22">IF('Customer Inputs'!$W$21="End",0,IFERROR(IF($PB22="SEGMENT",INDEX('Margin Guidence Table'!$A$1:$AG$10000,MATCH(1,('Margin Guidence Table'!$A$1:$A$10000=OZ22)*('Margin Guidence Table'!$I$1:$I$10000&lt;=ROUND($OR$3,0))*('Margin Guidence Table'!$J$1:$J$10000&gt;=ROUND($OR$3,0)),0),MATCH("MDA_MAX_MARGIN_GUIDENCE",'Margin Guidence Table'!$A$1:$AG$1,0)),INDEX('Margin Guidence Table'!$A$1:$AG$10000,MATCH(1,('Margin Guidence Table'!$A$1:$A$10000=OZ22)*('Margin Guidence Table'!$I$1:$I$10000&lt;=ROUND($OR$3,0))*('Margin Guidence Table'!$J$1:$J$10000&gt;=ROUND($OR$3,0)),0),MATCH("DEFAULT_MDA_MAX_MARGIN_GUIDENCE",'Margin Guidence Table'!$A$1:$AG$1,0))),0))</f>
        <v>0</v>
      </c>
      <c r="PH22" s="784">
        <f t="array" ref="PH22">IF('Customer Inputs'!$W$21="End",0,IFERROR(IF($PB22="SEGMENT",INDEX('Margin Guidence Table'!$A$1:$AG$10000,MATCH(1,('Margin Guidence Table'!$A$1:$A$10000=OZ22)*('Margin Guidence Table'!$I$1:$I$10000&lt;=ROUND($OR$3,0))*('Margin Guidence Table'!$J$1:$J$10000&gt;=ROUND($OR$3,0)),0),MATCH("PA_PCT_SALES",'Margin Guidence Table'!$A$1:$AG$1,0)),INDEX('Margin Guidence Table'!$A$1:$AG$10000,MATCH(1,('Margin Guidence Table'!$A$1:$A$10000=OZ22)*('Margin Guidence Table'!$I$1:$I$10000&lt;=ROUND($OR$3,0))*('Margin Guidence Table'!$J$1:$J$10000&gt;=ROUND($OR$3,0)),0),MATCH("DEFAULT_PA_PCT_SALES",'Margin Guidence Table'!$A$1:$AG$1,0))),0))</f>
        <v>0</v>
      </c>
      <c r="PI22" s="784">
        <f t="array" ref="PI22">IF('Customer Inputs'!$W$21="End",0,IFERROR(IF($PB22="SEGMENT",INDEX('Margin Guidence Table'!$A$1:$AG$10000,MATCH(1,('Margin Guidence Table'!$A$1:$A$10000=OZ22)*('Margin Guidence Table'!$I$1:$I$10000&lt;=ROUND($OR$3,0))*('Margin Guidence Table'!$J$1:$J$10000&gt;=ROUND($OR$3,0)),0),MATCH("SELF_FUND_PCT_SALES",'Margin Guidence Table'!$A$1:$AG$1,0)),INDEX('Margin Guidence Table'!$A$1:$AG$10000,MATCH(1,('Margin Guidence Table'!$A$1:$A$10000=OZ22)*('Margin Guidence Table'!$I$1:$I$10000&lt;=ROUND($OR$3,0))*('Margin Guidence Table'!$J$1:$J$10000&gt;=ROUND($OR$3,0)),0),MATCH("DEFAULT_SELF_FUND_PCT_SALES",'Margin Guidence Table'!$A$1:$AG$1,0))),0))</f>
        <v>0</v>
      </c>
      <c r="PJ22" s="784">
        <f t="array" ref="PJ22">IF('Customer Inputs'!$W$21="End",0,IF($OS$2="Existing",IFERROR(SUMIFS('Existing Customers'!$V:$V,'Existing Customers'!$H:$H,$OQ22,'Existing Customers'!$A:$A,$OR$1)/SUMIFS('Existing Customers'!$Q:$Q,'Existing Customers'!$H:$H,$OQ22,'Existing Customers'!$A:$A,$OR$1),0),IFERROR(IF($PB22="SEGMENT",INDEX('Margin Guidence Table'!$A$1:$AG$10000,MATCH(1,('Margin Guidence Table'!$A$1:$A$10000=OZ22)*('Margin Guidence Table'!$I$1:$I$10000&lt;=ROUND($OR$3,0))*('Margin Guidence Table'!$J$1:$J$10000&gt;=ROUND($OR$3,0)),0),MATCH("CIA_MEDIAN_MARGIN_GUIDENCE",'Margin Guidence Table'!$A$1:$AG$1,0)),INDEX('Margin Guidence Table'!$A$1:$AG$10000,MATCH(1,('Margin Guidence Table'!$A$1:$A$10000=OZ22)*('Margin Guidence Table'!$I$1:$I$10000&lt;=ROUND($OR$3,0))*('Margin Guidence Table'!$J$1:$J$10000&gt;=ROUND($OR$3,0)),0),MATCH("DEFAULT_CIA_MEDIAN_MARGIN_GUIDENCE",'Margin Guidence Table'!$A$1:$AG$1,0))),0)))</f>
        <v>0</v>
      </c>
      <c r="PK22" s="784"/>
      <c r="PL22" s="18">
        <f t="array" ref="PL22">IF('Customer Inputs'!$W$22="End",0,IFERROR(IF($PY22="SEGMENT",INDEX('Margin Guidence Table'!$A$1:$AG$10000,MATCH(1,('Margin Guidence Table'!$A$1:$A$10000=$PW22)*('Margin Guidence Table'!$I$1:$I$10000&lt;=ROUND($PO$3,0))*('Margin Guidence Table'!$J$1:$J$10000&gt;=ROUND($PO$3,0)),0),MATCH("PCT_SALES",'Margin Guidence Table'!$A$1:$AG$1,0)),INDEX('Margin Guidence Table'!$A$1:$AG$10000,MATCH(1,('Margin Guidence Table'!$A$1:$A$10000=$PW22)*('Margin Guidence Table'!$I$1:$I$10000&lt;=ROUND($PO$3,0))*('Margin Guidence Table'!$J$1:$J$10000&gt;=ROUND($PO$3,0)),0),MATCH("DEFAULT_PCT_SALES",'Margin Guidence Table'!$A$1:$AG$1,0))),0))</f>
        <v>0</v>
      </c>
      <c r="PM22" s="1713" t="e">
        <f t="shared" si="64"/>
        <v>#DIV/0!</v>
      </c>
      <c r="PN22" s="99" t="s">
        <v>96</v>
      </c>
      <c r="PO22" s="91">
        <f>IF('Customer Inputs'!$W$22="End",0,IFERROR(IF(AND($PO$2&lt;&gt;"Enter Spend&gt;&gt;&gt;",$PP$2="EXISTING"),SUMIFS('Existing Customers'!$Q:$Q,'Existing Customers'!$A:$A,$PO$1,'Existing Customers'!$H:$H,$PN22)*$PO$4,$PO$3*$PM22),0))</f>
        <v>0</v>
      </c>
      <c r="PP22" s="86">
        <f>IF('Customer Inputs'!$W$22="End",0,IFERROR(IF(AND($PO$2&lt;&gt;"Enter Spend&gt;&gt;&gt;",$PP$2="EXISTING"),SUMIFS('Existing Customers'!$N:$N,'Existing Customers'!$A:$A,$PO$1,'Existing Customers'!$H:$H,$PN22)*$PO$4,$PO22/$PZ22),0))</f>
        <v>0</v>
      </c>
      <c r="PQ22" s="92">
        <f>IF('Customer Inputs'!$W$22="End",0,IFERROR(IF(AND($PO$2&lt;&gt;"Enter Spend&gt;&gt;&gt;",$PP$2="EXISTING"),SUMIFS('Existing Customers'!$O:$O,'Existing Customers'!$H:$H,$PN22,'Existing Customers'!$A:$A,$PO$1)*$PO$4,$PP22*$PO$8),0))</f>
        <v>0</v>
      </c>
      <c r="PR22" s="92">
        <f>IF('Customer Inputs'!$W$22="End",0,IFERROR(IF(AND($PO$2&lt;&gt;"Enter Spend&gt;&gt;&gt;",$PP$2="EXISTING"),SUMIFS('Existing Customers'!$P:$P,'Existing Customers'!$A:$A,$PO$1,'Existing Customers'!$H:$H,$PN22)*$PO$4,$PO22/$QA22),0))</f>
        <v>0</v>
      </c>
      <c r="PS22" s="303">
        <f>IF('Customer Inputs'!$W$22="End",0,IFERROR(IF(AND($PO$2&lt;&gt;"Enter Spend&gt;&gt;&gt;",$PP$2="EXISTING"),SUMIFS('Existing Customers'!$V:$V,'Existing Customers'!$H:$H,$PN22,'Existing Customers'!$A:$A,$PO$1)*$PO$4,0),0))</f>
        <v>0</v>
      </c>
      <c r="PT22" s="93">
        <f>IF('Customer Inputs'!$W$22="End",0,IFERROR(IF(AND($PO$2&lt;&gt;"Enter Spend&gt;&gt;&gt;",$PP$2="EXISTING"),SUMIFS('Existing Customers'!$R:$R,'Existing Customers'!$H:$H,$PN22,'Existing Customers'!$A:$A,$PO$1)*$PO$4,0),0))</f>
        <v>0</v>
      </c>
      <c r="PU22" s="780">
        <f>IF('Customer Inputs'!$W$22="End",0,IFERROR(IF(AND($PO$2&lt;&gt;"Enter Spend&gt;&gt;&gt;",$PP$2="EXISTING"),SUMIFS('Existing Customers'!$S:$S,'Existing Customers'!$H:$H,$PN22,'Existing Customers'!$A:$A,$PO$1)/SUMIFS('Existing Customers'!$Q:$Q,'Existing Customers'!$A:$A,$PO$1,'Existing Customers'!$H:$H,$PN22),QE22),0))</f>
        <v>0</v>
      </c>
      <c r="PV22" s="780">
        <f>IF('Customer Inputs'!$W$22="End",0,IFERROR(IF(AND($PO$2&lt;&gt;"Enter Spend&gt;&gt;&gt;",$PP$2="EXISTING"),SUMIFS('Existing Customers'!$U:$U,'Existing Customers'!$H:$H,$PN22,'Existing Customers'!$A:$A,$PO$1)/SUMIFS('Existing Customers'!$Q:$Q,'Existing Customers'!$A:$A,$PO$1,'Existing Customers'!$H:$H,$PN22),QF22),0))</f>
        <v>0</v>
      </c>
      <c r="PW22" s="783" t="e">
        <f>_xlfn.CONCAT('Customer Inputs'!$AH$22,"_",PN22)</f>
        <v>#N/A</v>
      </c>
      <c r="PX22" s="783">
        <f t="array" ref="PX22">IF('Customer Inputs'!$W$22="End",0,IFERROR(INDEX('Margin Guidence Table'!$A$1:$AG$10000,MATCH(1,('Margin Guidence Table'!$A$1:$A$10000=PW22)*('Margin Guidence Table'!$I$1:$I$10000&lt;=ROUND($PO$3,0))*('Margin Guidence Table'!$J$1:$J$10000&gt;=ROUND($PO$3,0)),0),MATCH("DATA_POINTS",'Margin Guidence Table'!$A$1:$AG$1,0)),0))</f>
        <v>0</v>
      </c>
      <c r="PY22" s="780" t="str">
        <f t="shared" si="65"/>
        <v>DEFAULT</v>
      </c>
      <c r="PZ22" s="780">
        <f t="array" ref="PZ22">IF('Customer Inputs'!$W$22="End",0,IFERROR(IF($PY22="SEGMENT",INDEX('Margin Guidence Table'!$A$1:$AG$10000,MATCH(1,('Margin Guidence Table'!$A$1:$A$10000=PW22)*('Margin Guidence Table'!$I$1:$I$10000&lt;=ROUND($PO$3,0))*('Margin Guidence Table'!$J$1:$J$10000&gt;=ROUND($PO$3,0)),0),MATCH("SALES_CASE",'Margin Guidence Table'!$A$1:$AG$1,0)),INDEX('Margin Guidence Table'!$A$1:$AG$10000,MATCH(1,('Margin Guidence Table'!$A$1:$A$10000=PW22)*('Margin Guidence Table'!$I$1:$I$10000&lt;=ROUND($PO$3,0))*('Margin Guidence Table'!$J$1:$J$10000&gt;=ROUND($PO$3,0)),0),MATCH("DEFAULT_SALES_CASE",'Margin Guidence Table'!$A$1:$AG$1,0))),0))</f>
        <v>0</v>
      </c>
      <c r="QA22" s="780">
        <f t="array" ref="QA22">IF('Customer Inputs'!$W$22="End",0,IFERROR(IF($PY22="SEGMENT",INDEX('Margin Guidence Table'!$A$1:$AG$10000,MATCH(1,('Margin Guidence Table'!$A$1:$A$10000=PW22)*('Margin Guidence Table'!$I$1:$I$10000&lt;=ROUND($PO$3,0))*('Margin Guidence Table'!$J$1:$J$10000&gt;=ROUND($PO$3,0)),0),MATCH("SALES_LBS",'Margin Guidence Table'!$A$1:$AG$1,0)),INDEX('Margin Guidence Table'!$A$1:$AG$10000,MATCH(1,('Margin Guidence Table'!$A$1:$A$10000=PW22)*('Margin Guidence Table'!$I$1:$I$10000&lt;=ROUND($PO$3,0))*('Margin Guidence Table'!$J$1:$J$10000&gt;=ROUND($PO$3,0)),0),MATCH("DEFAULT_SALES_LBS",'Margin Guidence Table'!$A$1:$AG$1,0))),0))</f>
        <v>0</v>
      </c>
      <c r="QB22" s="784">
        <f t="array" ref="QB22">IF('Customer Inputs'!$W$22="End",0,IFERROR(IF($PY22="SEGMENT",INDEX('Margin Guidence Table'!$A$1:$AG$10000,MATCH(1,('Margin Guidence Table'!$A$1:$A$10000=PW22)*('Margin Guidence Table'!$I$1:$I$10000&lt;=ROUND($PO$3,0))*('Margin Guidence Table'!$J$1:$J$10000&gt;=ROUND($PO$3,0)),0),MATCH("MDA_MIN_MARGIN_GUIDENCE",'Margin Guidence Table'!$A$1:$AG$1,0)),INDEX('Margin Guidence Table'!$A$1:$AG$10000,MATCH(1,('Margin Guidence Table'!$A$1:$A$10000=PW22)*('Margin Guidence Table'!$I$1:$I$10000&lt;=ROUND($PO$3,0))*('Margin Guidence Table'!$J$1:$J$10000&gt;=ROUND($PO$3,0)),0),MATCH("DEFAULT_MDA_MIN_MARGIN_GUIDENCE",'Margin Guidence Table'!$A$1:$AG$1,0))),0))</f>
        <v>0</v>
      </c>
      <c r="QC22" s="784">
        <f t="array" ref="QC22">IF('Customer Inputs'!$W$22="End",0,IFERROR(IF($PY22="SEGMENT",INDEX('Margin Guidence Table'!$A$1:$AG$10000,MATCH(1,('Margin Guidence Table'!$A$1:$A$10000=PW22)*('Margin Guidence Table'!$I$1:$I$10000&lt;=ROUND($PO$3,0))*('Margin Guidence Table'!$J$1:$J$10000&gt;=ROUND($PO$3,0)),0),MATCH("MDA_MEDIAN_MARGIN_GUIDENCE",'Margin Guidence Table'!$A$1:$AG$1,0)),INDEX('Margin Guidence Table'!$A$1:$AG$10000,MATCH(1,('Margin Guidence Table'!$A$1:$A$10000=PW22)*('Margin Guidence Table'!$I$1:$I$10000&lt;=ROUND($PO$3,0))*('Margin Guidence Table'!$J$1:$J$10000&gt;=ROUND($PO$3,0)),0),MATCH("DEFAULT_MDA_MEDIAN_MARGIN_GUIDENCE",'Margin Guidence Table'!$A$1:$AG$1,0))),0))</f>
        <v>0</v>
      </c>
      <c r="QD22" s="784">
        <f t="array" ref="QD22">IF('Customer Inputs'!$W$22="End",0,IFERROR(IF($PY22="SEGMENT",INDEX('Margin Guidence Table'!$A$1:$AG$10000,MATCH(1,('Margin Guidence Table'!$A$1:$A$10000=PW22)*('Margin Guidence Table'!$I$1:$I$10000&lt;=ROUND($PO$3,0))*('Margin Guidence Table'!$J$1:$J$10000&gt;=ROUND($PO$3,0)),0),MATCH("MDA_MAX_MARGIN_GUIDENCE",'Margin Guidence Table'!$A$1:$AG$1,0)),INDEX('Margin Guidence Table'!$A$1:$AG$10000,MATCH(1,('Margin Guidence Table'!$A$1:$A$10000=PW22)*('Margin Guidence Table'!$I$1:$I$10000&lt;=ROUND($PO$3,0))*('Margin Guidence Table'!$J$1:$J$10000&gt;=ROUND($PO$3,0)),0),MATCH("DEFAULT_MDA_MAX_MARGIN_GUIDENCE",'Margin Guidence Table'!$A$1:$AG$1,0))),0))</f>
        <v>0</v>
      </c>
      <c r="QE22" s="784">
        <f t="array" ref="QE22">IF('Customer Inputs'!$W$22="End",0,IFERROR(IF($PY22="SEGMENT",INDEX('Margin Guidence Table'!$A$1:$AG$10000,MATCH(1,('Margin Guidence Table'!$A$1:$A$10000=PW22)*('Margin Guidence Table'!$I$1:$I$10000&lt;=ROUND($PO$3,0))*('Margin Guidence Table'!$J$1:$J$10000&gt;=ROUND($PO$3,0)),0),MATCH("PA_PCT_SALES",'Margin Guidence Table'!$A$1:$AG$1,0)),INDEX('Margin Guidence Table'!$A$1:$AG$10000,MATCH(1,('Margin Guidence Table'!$A$1:$A$10000=PW22)*('Margin Guidence Table'!$I$1:$I$10000&lt;=ROUND($PO$3,0))*('Margin Guidence Table'!$J$1:$J$10000&gt;=ROUND($PO$3,0)),0),MATCH("DEFAULT_PA_PCT_SALES",'Margin Guidence Table'!$A$1:$AG$1,0))),0))</f>
        <v>0</v>
      </c>
      <c r="QF22" s="784">
        <f t="array" ref="QF22">IF('Customer Inputs'!$W$22="End",0,IFERROR(IF($PY22="SEGMENT",INDEX('Margin Guidence Table'!$A$1:$AG$10000,MATCH(1,('Margin Guidence Table'!$A$1:$A$10000=PW22)*('Margin Guidence Table'!$I$1:$I$10000&lt;=ROUND($PO$3,0))*('Margin Guidence Table'!$J$1:$J$10000&gt;=ROUND($PO$3,0)),0),MATCH("SELF_FUND_PCT_SALES",'Margin Guidence Table'!$A$1:$AG$1,0)),INDEX('Margin Guidence Table'!$A$1:$AG$10000,MATCH(1,('Margin Guidence Table'!$A$1:$A$10000=PW22)*('Margin Guidence Table'!$I$1:$I$10000&lt;=ROUND($PO$3,0))*('Margin Guidence Table'!$J$1:$J$10000&gt;=ROUND($PO$3,0)),0),MATCH("DEFAULT_SELF_FUND_PCT_SALES",'Margin Guidence Table'!$A$1:$AG$1,0))),0))</f>
        <v>0</v>
      </c>
      <c r="QG22" s="784">
        <f t="array" ref="QG22">IF('Customer Inputs'!$W$22="End",0,IF($PP$2="Existing",IFERROR(SUMIFS('Existing Customers'!$V:$V,'Existing Customers'!$H:$H,$PN22,'Existing Customers'!$A:$A,$PO$1)/SUMIFS('Existing Customers'!$Q:$Q,'Existing Customers'!$H:$H,$PN22,'Existing Customers'!$A:$A,$PO$1),0),IFERROR(IF($PY22="SEGMENT",INDEX('Margin Guidence Table'!$A$1:$AG$10000,MATCH(1,('Margin Guidence Table'!$A$1:$A$10000=PW22)*('Margin Guidence Table'!$I$1:$I$10000&lt;=ROUND($PO$3,0))*('Margin Guidence Table'!$J$1:$J$10000&gt;=ROUND($PO$3,0)),0),MATCH("CIA_MEDIAN_MARGIN_GUIDENCE",'Margin Guidence Table'!$A$1:$AG$1,0)),INDEX('Margin Guidence Table'!$A$1:$AG$10000,MATCH(1,('Margin Guidence Table'!$A$1:$A$10000=PW22)*('Margin Guidence Table'!$I$1:$I$10000&lt;=ROUND($PO$3,0))*('Margin Guidence Table'!$J$1:$J$10000&gt;=ROUND($PO$3,0)),0),MATCH("DEFAULT_CIA_MEDIAN_MARGIN_GUIDENCE",'Margin Guidence Table'!$A$1:$AG$1,0))),0)))</f>
        <v>0</v>
      </c>
      <c r="QH22" s="784"/>
      <c r="QI22" s="18">
        <f t="array" ref="QI22">IF('Customer Inputs'!$W$23="End",0,IFERROR(IF($QV22="SEGMENT",INDEX('Margin Guidence Table'!$A$1:$AG$10000,MATCH(1,('Margin Guidence Table'!$A$1:$A$10000=$QT22)*('Margin Guidence Table'!$I$1:$I$10000&lt;=ROUND($QL$3,0))*('Margin Guidence Table'!$J$1:$J$10000&gt;=ROUND($QL$3,0)),0),MATCH("PCT_SALES",'Margin Guidence Table'!$A$1:$AG$1,0)),INDEX('Margin Guidence Table'!$A$1:$AG$10000,MATCH(1,('Margin Guidence Table'!$A$1:$A$10000=$QT22)*('Margin Guidence Table'!$I$1:$I$10000&lt;=ROUND($QL$3,0))*('Margin Guidence Table'!$J$1:$J$10000&gt;=ROUND($QL$3,0)),0),MATCH("DEFAULT_PCT_SALES",'Margin Guidence Table'!$A$1:$AG$1,0))),0))</f>
        <v>0</v>
      </c>
      <c r="QJ22" s="1713" t="e">
        <f t="shared" si="66"/>
        <v>#DIV/0!</v>
      </c>
      <c r="QK22" s="99" t="s">
        <v>96</v>
      </c>
      <c r="QL22" s="91">
        <f>IF('Customer Inputs'!$W$23="End",0,IFERROR(IF(AND($QL$2&lt;&gt;"Enter Spend&gt;&gt;&gt;",$QM$2="EXISTING"),SUMIFS('Existing Customers'!$Q:$Q,'Existing Customers'!$A:$A,$QL$1,'Existing Customers'!$H:$H,$QK22)*$QL$4,$QL$3*$QJ22),0))</f>
        <v>0</v>
      </c>
      <c r="QM22" s="86">
        <f>IF('Customer Inputs'!$W$23="End",0,IFERROR(IF(AND($QL$2&lt;&gt;"Enter Spend&gt;&gt;&gt;",$QM$2="EXISTING"),SUMIFS('Existing Customers'!$N:$N,'Existing Customers'!$A:$A,$QL$1,'Existing Customers'!$H:$H,$QK22)*$QL$4,$QL22/$QW22),0))</f>
        <v>0</v>
      </c>
      <c r="QN22" s="92">
        <f>IF('Customer Inputs'!$W$23="End",0,IFERROR(IF(AND($QL$2&lt;&gt;"Enter Spend&gt;&gt;&gt;",$QM$2="EXISTING"),SUMIFS('Existing Customers'!$O:$O,'Existing Customers'!$H:$H,$QK22,'Existing Customers'!$A:$A,$QL$1)*$QL$4,$QM22*$QL$8),0))</f>
        <v>0</v>
      </c>
      <c r="QO22" s="92">
        <f>IF('Customer Inputs'!$W$23="End",0,IFERROR(IF(AND($QL$2&lt;&gt;"Enter Spend&gt;&gt;&gt;",$QM$2="EXISTING"),SUMIFS('Existing Customers'!$P:$P,'Existing Customers'!$A:$A,$QL$1,'Existing Customers'!$H:$H,$QK22)*$QL$4,$QL22/$QX22),0))</f>
        <v>0</v>
      </c>
      <c r="QP22" s="303">
        <f>IF('Customer Inputs'!$W$23="End",0,IFERROR(IF(AND($QL$2&lt;&gt;"Enter Spend&gt;&gt;&gt;",$QM$2="EXISTING"),SUMIFS('Existing Customers'!$V:$V,'Existing Customers'!$H:$H,$QK22,'Existing Customers'!$A:$A,$QL$1)*$QL$4,0),0))</f>
        <v>0</v>
      </c>
      <c r="QQ22" s="93">
        <f>IF('Customer Inputs'!$W$23="End",0,IFERROR(IF(AND($QL$2&lt;&gt;"Enter Spend&gt;&gt;&gt;",$QM$2="EXISTING"),SUMIFS('Existing Customers'!$R:$R,'Existing Customers'!$H:$H,$QK22,'Existing Customers'!$A:$A,$QL$1)*$QL$4,0),0))</f>
        <v>0</v>
      </c>
      <c r="QR22" s="780">
        <f>IF('Customer Inputs'!$W$23="End",0,IFERROR(IF(AND($QL$2&lt;&gt;"Enter Spend&gt;&gt;&gt;",$QM$2="EXISTING"),SUMIFS('Existing Customers'!$S:$S,'Existing Customers'!$H:$H,$QK22,'Existing Customers'!$A:$A,$QL$1)/SUMIFS('Existing Customers'!$Q:$Q,'Existing Customers'!$A:$A,$QL$1,'Existing Customers'!$H:$H,$QK22),RB22),0))</f>
        <v>0</v>
      </c>
      <c r="QS22" s="780">
        <f>IF('Customer Inputs'!$W$23="End",0,IFERROR(IF(AND($QL$2&lt;&gt;"Enter Spend&gt;&gt;&gt;",$QM$2="EXISTING"),SUMIFS('Existing Customers'!$U:$U,'Existing Customers'!$H:$H,$QK22,'Existing Customers'!$A:$A,$QL$1)/SUMIFS('Existing Customers'!$Q:$Q,'Existing Customers'!$A:$A,$QL$1,'Existing Customers'!$H:$H,$QK22),RC22),0))</f>
        <v>0</v>
      </c>
      <c r="QT22" s="783" t="e">
        <f>_xlfn.CONCAT('Customer Inputs'!$AH$23,"_",QK22)</f>
        <v>#N/A</v>
      </c>
      <c r="QU22" s="783">
        <f t="array" ref="QU22">IF('Customer Inputs'!$W$23="End",0,IFERROR(INDEX('Margin Guidence Table'!$A$1:$AG$10000,MATCH(1,('Margin Guidence Table'!$A$1:$A$10000=QT22)*('Margin Guidence Table'!$I$1:$I$10000&lt;=ROUND($QL$3,0))*('Margin Guidence Table'!$J$1:$J$10000&gt;=ROUND($QL$3,0)),0),MATCH("DATA_POINTS",'Margin Guidence Table'!$A$1:$AG$1,0)),0))</f>
        <v>0</v>
      </c>
      <c r="QV22" s="780" t="str">
        <f t="shared" si="67"/>
        <v>DEFAULT</v>
      </c>
      <c r="QW22" s="780">
        <f t="array" ref="QW22">IF('Customer Inputs'!$W$23="End",0,IFERROR(IF($QV22="SEGMENT",INDEX('Margin Guidence Table'!$A$1:$AG$10000,MATCH(1,('Margin Guidence Table'!$A$1:$A$10000=QT22)*('Margin Guidence Table'!$I$1:$I$10000&lt;=ROUND($QL$3,0))*('Margin Guidence Table'!$J$1:$J$10000&gt;=ROUND($QL$3,0)),0),MATCH("SALES_CASE",'Margin Guidence Table'!$A$1:$AG$1,0)),INDEX('Margin Guidence Table'!$A$1:$AG$10000,MATCH(1,('Margin Guidence Table'!$A$1:$A$10000=QT22)*('Margin Guidence Table'!$I$1:$I$10000&lt;=ROUND($QL$3,0))*('Margin Guidence Table'!$J$1:$J$10000&gt;=ROUND($QL$3,0)),0),MATCH("DEFAULT_SALES_CASE",'Margin Guidence Table'!$A$1:$AG$1,0))),0))</f>
        <v>0</v>
      </c>
      <c r="QX22" s="780">
        <f t="array" ref="QX22">IF('Customer Inputs'!$W$23="End",0,IFERROR(IF($QV22="SEGMENT",INDEX('Margin Guidence Table'!$A$1:$AG$10000,MATCH(1,('Margin Guidence Table'!$A$1:$A$10000=QT22)*('Margin Guidence Table'!$I$1:$I$10000&lt;=ROUND($QL$3,0))*('Margin Guidence Table'!$J$1:$J$10000&gt;=ROUND($QL$3,0)),0),MATCH("SALES_LBS",'Margin Guidence Table'!$A$1:$AG$1,0)),INDEX('Margin Guidence Table'!$A$1:$AG$10000,MATCH(1,('Margin Guidence Table'!$A$1:$A$10000=QT22)*('Margin Guidence Table'!$I$1:$I$10000&lt;=ROUND($QL$3,0))*('Margin Guidence Table'!$J$1:$J$10000&gt;=ROUND($QL$3,0)),0),MATCH("DEFAULT_SALES_LBS",'Margin Guidence Table'!$A$1:$AG$1,0))),0))</f>
        <v>0</v>
      </c>
      <c r="QY22" s="784">
        <f t="array" ref="QY22">IF('Customer Inputs'!$W$23="End",0,IFERROR(IF($QV22="SEGMENT",INDEX('Margin Guidence Table'!$A$1:$AG$10000,MATCH(1,('Margin Guidence Table'!$A$1:$A$10000=QT22)*('Margin Guidence Table'!$I$1:$I$10000&lt;=ROUND($QL$3,0))*('Margin Guidence Table'!$J$1:$J$10000&gt;=ROUND($QL$3,0)),0),MATCH("MDA_MIN_MARGIN_GUIDENCE",'Margin Guidence Table'!$A$1:$AG$1,0)),INDEX('Margin Guidence Table'!$A$1:$AG$10000,MATCH(1,('Margin Guidence Table'!$A$1:$A$10000=QT22)*('Margin Guidence Table'!$I$1:$I$10000&lt;=ROUND($QL$3,0))*('Margin Guidence Table'!$J$1:$J$10000&gt;=ROUND($QL$3,0)),0),MATCH("DEFAULT_MDA_MIN_MARGIN_GUIDENCE",'Margin Guidence Table'!$A$1:$AG$1,0))),0))</f>
        <v>0</v>
      </c>
      <c r="QZ22" s="784">
        <f t="array" ref="QZ22">IF('Customer Inputs'!$W$23="End",0,IFERROR(IF($QV22="SEGMENT",INDEX('Margin Guidence Table'!$A$1:$AG$10000,MATCH(1,('Margin Guidence Table'!$A$1:$A$10000=QT22)*('Margin Guidence Table'!$I$1:$I$10000&lt;=ROUND($QL$3,0))*('Margin Guidence Table'!$J$1:$J$10000&gt;=ROUND($QL$3,0)),0),MATCH("MDA_MEDIAN_MARGIN_GUIDENCE",'Margin Guidence Table'!$A$1:$AG$1,0)),INDEX('Margin Guidence Table'!$A$1:$AG$10000,MATCH(1,('Margin Guidence Table'!$A$1:$A$10000=QT22)*('Margin Guidence Table'!$I$1:$I$10000&lt;=ROUND($QL$3,0))*('Margin Guidence Table'!$J$1:$J$10000&gt;=ROUND($QL$3,0)),0),MATCH("DEFAULT_MDA_MEDIAN_MARGIN_GUIDENCE",'Margin Guidence Table'!$A$1:$AG$1,0))),0))</f>
        <v>0</v>
      </c>
      <c r="RA22" s="784">
        <f t="array" ref="RA22">IF('Customer Inputs'!$W$23="End",0,IFERROR(IF($QV22="SEGMENT",INDEX('Margin Guidence Table'!$A$1:$AG$10000,MATCH(1,('Margin Guidence Table'!$A$1:$A$10000=QT22)*('Margin Guidence Table'!$I$1:$I$10000&lt;=ROUND($QL$3,0))*('Margin Guidence Table'!$J$1:$J$10000&gt;=ROUND($QL$3,0)),0),MATCH("MDA_MAX_MARGIN_GUIDENCE",'Margin Guidence Table'!$A$1:$AG$1,0)),INDEX('Margin Guidence Table'!$A$1:$AG$10000,MATCH(1,('Margin Guidence Table'!$A$1:$A$10000=QT22)*('Margin Guidence Table'!$I$1:$I$10000&lt;=ROUND($QL$3,0))*('Margin Guidence Table'!$J$1:$J$10000&gt;=ROUND($QL$3,0)),0),MATCH("DEFAULT_MDA_MAX_MARGIN_GUIDENCE",'Margin Guidence Table'!$A$1:$AG$1,0))),0))</f>
        <v>0</v>
      </c>
      <c r="RB22" s="784">
        <f t="array" ref="RB22">IF('Customer Inputs'!$W$23="End",0,IFERROR(IF($QV22="SEGMENT",INDEX('Margin Guidence Table'!$A$1:$AG$10000,MATCH(1,('Margin Guidence Table'!$A$1:$A$10000=QT22)*('Margin Guidence Table'!$I$1:$I$10000&lt;=ROUND($QL$3,0))*('Margin Guidence Table'!$J$1:$J$10000&gt;=ROUND($QL$3,0)),0),MATCH("PA_PCT_SALES",'Margin Guidence Table'!$A$1:$AG$1,0)),INDEX('Margin Guidence Table'!$A$1:$AG$10000,MATCH(1,('Margin Guidence Table'!$A$1:$A$10000=QT22)*('Margin Guidence Table'!$I$1:$I$10000&lt;=ROUND($QL$3,0))*('Margin Guidence Table'!$J$1:$J$10000&gt;=ROUND($QL$3,0)),0),MATCH("DEFAULT_PA_PCT_SALES",'Margin Guidence Table'!$A$1:$AG$1,0))),0))</f>
        <v>0</v>
      </c>
      <c r="RC22" s="784">
        <f t="array" ref="RC22">IF('Customer Inputs'!$W$23="End",0,IFERROR(IF($QV22="SEGMENT",INDEX('Margin Guidence Table'!$A$1:$AG$10000,MATCH(1,('Margin Guidence Table'!$A$1:$A$10000=QT22)*('Margin Guidence Table'!$I$1:$I$10000&lt;=ROUND($QL$3,0))*('Margin Guidence Table'!$J$1:$J$10000&gt;=ROUND($QL$3,0)),0),MATCH("SELF_FUND_PCT_SALES",'Margin Guidence Table'!$A$1:$AG$1,0)),INDEX('Margin Guidence Table'!$A$1:$AG$10000,MATCH(1,('Margin Guidence Table'!$A$1:$A$10000=QT22)*('Margin Guidence Table'!$I$1:$I$10000&lt;=ROUND($QL$3,0))*('Margin Guidence Table'!$J$1:$J$10000&gt;=ROUND($QL$3,0)),0),MATCH("DEFAULT_SELF_FUND_PCT_SALES",'Margin Guidence Table'!$A$1:$AG$1,0))),0))</f>
        <v>0</v>
      </c>
      <c r="RD22" s="784">
        <f t="array" ref="RD22">IF('Customer Inputs'!$W$23="End",0,IF($QM$2="Existing",IFERROR(SUMIFS('Existing Customers'!$V:$V,'Existing Customers'!$H:$H,$QK22,'Existing Customers'!$A:$A,$QL$1)/SUMIFS('Existing Customers'!$Q:$Q,'Existing Customers'!$H:$H,$QK22,'Existing Customers'!$A:$A,$QL$1),0),IFERROR(IF($QV22="SEGMENT",INDEX('Margin Guidence Table'!$A$1:$AG$10000,MATCH(1,('Margin Guidence Table'!$A$1:$A$10000=QT22)*('Margin Guidence Table'!$I$1:$I$10000&lt;=ROUND($QL$3,0))*('Margin Guidence Table'!$J$1:$J$10000&gt;=ROUND($QL$3,0)),0),MATCH("CIA_MEDIAN_MARGIN_GUIDENCE",'Margin Guidence Table'!$A$1:$AG$1,0)),INDEX('Margin Guidence Table'!$A$1:$AG$10000,MATCH(1,('Margin Guidence Table'!$A$1:$A$10000=QT22)*('Margin Guidence Table'!$I$1:$I$10000&lt;=ROUND($QL$3,0))*('Margin Guidence Table'!$J$1:$J$10000&gt;=ROUND($QL$3,0)),0),MATCH("DEFAULT_CIA_MEDIAN_MARGIN_GUIDENCE",'Margin Guidence Table'!$A$1:$AG$1,0))),0)))</f>
        <v>0</v>
      </c>
      <c r="RE22" s="784"/>
      <c r="RF22" s="18">
        <f t="array" ref="RF22">IF('Customer Inputs'!$W$24="End",0,IFERROR(IF($RS22="SEGMENT",INDEX('Margin Guidence Table'!$A$1:$AG$10000,MATCH(1,('Margin Guidence Table'!$A$1:$A$10000=$RQ22)*('Margin Guidence Table'!$I$1:$I$10000&lt;=ROUND($RI$3,0))*('Margin Guidence Table'!$J$1:$J$10000&gt;=ROUND($RI$3,0)),0),MATCH("PCT_SALES",'Margin Guidence Table'!$A$1:$AG$1,0)),INDEX('Margin Guidence Table'!$A$1:$AG$10000,MATCH(1,('Margin Guidence Table'!$A$1:$A$10000=$RQ22)*('Margin Guidence Table'!$I$1:$I$10000&lt;=ROUND($RI$3,0))*('Margin Guidence Table'!$J$1:$J$10000&gt;=ROUND($RI$3,0)),0),MATCH("DEFAULT_PCT_SALES",'Margin Guidence Table'!$A$1:$AG$1,0))),0))</f>
        <v>0</v>
      </c>
      <c r="RG22" s="1713" t="e">
        <f t="shared" si="68"/>
        <v>#DIV/0!</v>
      </c>
      <c r="RH22" s="99" t="s">
        <v>96</v>
      </c>
      <c r="RI22" s="91">
        <f>IF('Customer Inputs'!$W$24="End",0,IFERROR(IF(AND($RI$2&lt;&gt;"Enter Spend&gt;&gt;&gt;",$RJ$2="EXISTING"),SUMIFS('Existing Customers'!$Q:$Q,'Existing Customers'!$A:$A,$RI$1,'Existing Customers'!$H:$H,$RH22)*$RI$4,$RI$3*$RG22),0))</f>
        <v>0</v>
      </c>
      <c r="RJ22" s="86">
        <f>IF('Customer Inputs'!$W$24="End",0,IFERROR(IF(AND($RI$2&lt;&gt;"Enter Spend&gt;&gt;&gt;",$RJ$2="EXISTING"),SUMIFS('Existing Customers'!$N:$N,'Existing Customers'!$A:$A,$RI$1,'Existing Customers'!$H:$H,$RH22)*$RI$4,$RI22/$RT22),0))</f>
        <v>0</v>
      </c>
      <c r="RK22" s="92">
        <f>IF('Customer Inputs'!$W$24="End",0,IFERROR(IF(AND($RI$2&lt;&gt;"Enter Spend&gt;&gt;&gt;",$RJ$2="EXISTING"),SUMIFS('Existing Customers'!$O:$O,'Existing Customers'!$H:$H,$RH22,'Existing Customers'!$A:$A,$RI$1)*$RI$4,$RJ22*$RI$8),0))</f>
        <v>0</v>
      </c>
      <c r="RL22" s="92">
        <f>IF('Customer Inputs'!$W$24="End",0,IFERROR(IF(AND($RI$2&lt;&gt;"Enter Spend&gt;&gt;&gt;",$RJ$2="EXISTING"),SUMIFS('Existing Customers'!$P:$P,'Existing Customers'!$A:$A,$RI$1,'Existing Customers'!$H:$H,$RH22)*$RI$4,$RI22/$RU22),0))</f>
        <v>0</v>
      </c>
      <c r="RM22" s="303">
        <f>IF('Customer Inputs'!$W$24="End",0,IFERROR(IF(AND($RI$2&lt;&gt;"Enter Spend&gt;&gt;&gt;",$RJ$2="EXISTING"),SUMIFS('Existing Customers'!$V:$V,'Existing Customers'!$H:$H,$RH22,'Existing Customers'!$A:$A,$RI$1)*$RI$4,0),0))</f>
        <v>0</v>
      </c>
      <c r="RN22" s="93">
        <f>IF('Customer Inputs'!$W$24="End",0,IFERROR(IF(AND($RI$2&lt;&gt;"Enter Spend&gt;&gt;&gt;",$RJ$2="EXISTING"),SUMIFS('Existing Customers'!$R:$R,'Existing Customers'!$H:$H,$RH22,'Existing Customers'!$A:$A,$RI$1)*$RI$4,0),0))</f>
        <v>0</v>
      </c>
      <c r="RO22" s="780">
        <f>IF('Customer Inputs'!$W$24="End",0,IFERROR(IF(AND($RI$2&lt;&gt;"Enter Spend&gt;&gt;&gt;",$RJ$2="EXISTING"),SUMIFS('Existing Customers'!$S:$S,'Existing Customers'!$H:$H,$RH22,'Existing Customers'!$A:$A,$RI$1)/SUMIFS('Existing Customers'!$Q:$Q,'Existing Customers'!$A:$A,$RI$1,'Existing Customers'!$H:$H,$RH22),RY22),0))</f>
        <v>0</v>
      </c>
      <c r="RP22" s="780">
        <f>IF('Customer Inputs'!$W$24="End",0,IFERROR(IF(AND($RI$2&lt;&gt;"Enter Spend&gt;&gt;&gt;",$RJ$2="EXISTING"),SUMIFS('Existing Customers'!$U:$U,'Existing Customers'!$H:$H,$RH22,'Existing Customers'!$A:$A,$RI$1)/SUMIFS('Existing Customers'!$Q:$Q,'Existing Customers'!$A:$A,$RI$1,'Existing Customers'!$H:$H,$RH22),RZ22),0))</f>
        <v>0</v>
      </c>
      <c r="RQ22" s="783" t="e">
        <f>_xlfn.CONCAT('Customer Inputs'!$AH$24,"_",RH22)</f>
        <v>#N/A</v>
      </c>
      <c r="RR22" s="783">
        <f t="array" ref="RR22">IF('Customer Inputs'!$W$24="End",0,IFERROR(INDEX('Margin Guidence Table'!$A$1:$AG$10000,MATCH(1,('Margin Guidence Table'!$A$1:$A$10000=RQ22)*('Margin Guidence Table'!$I$1:$I$10000&lt;=ROUND($RI$3,0))*('Margin Guidence Table'!$J$1:$J$10000&gt;=ROUND($RI$3,0)),0),MATCH("DATA_POINTS",'Margin Guidence Table'!$A$1:$AG$1,0)),0))</f>
        <v>0</v>
      </c>
      <c r="RS22" s="780" t="str">
        <f t="shared" si="69"/>
        <v>DEFAULT</v>
      </c>
      <c r="RT22" s="780">
        <f t="array" ref="RT22">IF('Customer Inputs'!$W$24="End",0,IFERROR(IF($RS22="SEGMENT",INDEX('Margin Guidence Table'!$A$1:$AG$10000,MATCH(1,('Margin Guidence Table'!$A$1:$A$10000=RQ22)*('Margin Guidence Table'!$I$1:$I$10000&lt;=ROUND($RI$3,0))*('Margin Guidence Table'!$J$1:$J$10000&gt;=ROUND($RI$3,0)),0),MATCH("SALES_CASE",'Margin Guidence Table'!$A$1:$AG$1,0)),INDEX('Margin Guidence Table'!$A$1:$AG$10000,MATCH(1,('Margin Guidence Table'!$A$1:$A$10000=RQ22)*('Margin Guidence Table'!$I$1:$I$10000&lt;=ROUND($RI$3,0))*('Margin Guidence Table'!$J$1:$J$10000&gt;=ROUND($RI$3,0)),0),MATCH("DEFAULT_SALES_CASE",'Margin Guidence Table'!$A$1:$AG$1,0))),0))</f>
        <v>0</v>
      </c>
      <c r="RU22" s="780">
        <f t="array" ref="RU22">IF('Customer Inputs'!$W$24="End",0,IFERROR(IF($RS22="SEGMENT",INDEX('Margin Guidence Table'!$A$1:$AG$10000,MATCH(1,('Margin Guidence Table'!$A$1:$A$10000=RQ22)*('Margin Guidence Table'!$I$1:$I$10000&lt;=ROUND($RI$3,0))*('Margin Guidence Table'!$J$1:$J$10000&gt;=ROUND($RI$3,0)),0),MATCH("SALES_LBS",'Margin Guidence Table'!$A$1:$AG$1,0)),INDEX('Margin Guidence Table'!$A$1:$AG$10000,MATCH(1,('Margin Guidence Table'!$A$1:$A$10000=RQ22)*('Margin Guidence Table'!$I$1:$I$10000&lt;=ROUND($RI$3,0))*('Margin Guidence Table'!$J$1:$J$10000&gt;=ROUND($RI$3,0)),0),MATCH("DEFAULT_SALES_LBS",'Margin Guidence Table'!$A$1:$AG$1,0))),0))</f>
        <v>0</v>
      </c>
      <c r="RV22" s="784">
        <f t="array" ref="RV22">IF('Customer Inputs'!$W$24="End",0,IFERROR(IF($RS22="SEGMENT",INDEX('Margin Guidence Table'!$A$1:$AG$10000,MATCH(1,('Margin Guidence Table'!$A$1:$A$10000=RQ22)*('Margin Guidence Table'!$I$1:$I$10000&lt;=ROUND($RI$3,0))*('Margin Guidence Table'!$J$1:$J$10000&gt;=ROUND($RI$3,0)),0),MATCH("MDA_MIN_MARGIN_GUIDENCE",'Margin Guidence Table'!$A$1:$AG$1,0)),INDEX('Margin Guidence Table'!$A$1:$AG$10000,MATCH(1,('Margin Guidence Table'!$A$1:$A$10000=RQ22)*('Margin Guidence Table'!$I$1:$I$10000&lt;=ROUND($RI$3,0))*('Margin Guidence Table'!$J$1:$J$10000&gt;=ROUND($RI$3,0)),0),MATCH("DEFAULT_MDA_MIN_MARGIN_GUIDENCE",'Margin Guidence Table'!$A$1:$AG$1,0))),0))</f>
        <v>0</v>
      </c>
      <c r="RW22" s="784">
        <f t="array" ref="RW22">IF('Customer Inputs'!$W$24="End",0,IFERROR(IF($RS22="SEGMENT",INDEX('Margin Guidence Table'!$A$1:$AG$10000,MATCH(1,('Margin Guidence Table'!$A$1:$A$10000=RQ22)*('Margin Guidence Table'!$I$1:$I$10000&lt;=ROUND($RI$3,0))*('Margin Guidence Table'!$J$1:$J$10000&gt;=ROUND($RI$3,0)),0),MATCH("MDA_MEDIAN_MARGIN_GUIDENCE",'Margin Guidence Table'!$A$1:$AG$1,0)),INDEX('Margin Guidence Table'!$A$1:$AG$10000,MATCH(1,('Margin Guidence Table'!$A$1:$A$10000=RQ22)*('Margin Guidence Table'!$I$1:$I$10000&lt;=ROUND($RI$3,0))*('Margin Guidence Table'!$J$1:$J$10000&gt;=ROUND($RI$3,0)),0),MATCH("DEFAULT_MDA_MEDIAN_MARGIN_GUIDENCE",'Margin Guidence Table'!$A$1:$AG$1,0))),0))</f>
        <v>0</v>
      </c>
      <c r="RX22" s="784">
        <f t="array" ref="RX22">IF('Customer Inputs'!$W$24="End",0,IFERROR(IF($RS22="SEGMENT",INDEX('Margin Guidence Table'!$A$1:$AG$10000,MATCH(1,('Margin Guidence Table'!$A$1:$A$10000=RQ22)*('Margin Guidence Table'!$I$1:$I$10000&lt;=ROUND($RI$3,0))*('Margin Guidence Table'!$J$1:$J$10000&gt;=ROUND($RI$3,0)),0),MATCH("MDA_MAX_MARGIN_GUIDENCE",'Margin Guidence Table'!$A$1:$AG$1,0)),INDEX('Margin Guidence Table'!$A$1:$AG$10000,MATCH(1,('Margin Guidence Table'!$A$1:$A$10000=RQ22)*('Margin Guidence Table'!$I$1:$I$10000&lt;=ROUND($RI$3,0))*('Margin Guidence Table'!$J$1:$J$10000&gt;=ROUND($RI$3,0)),0),MATCH("DEFAULT_MDA_MAX_MARGIN_GUIDENCE",'Margin Guidence Table'!$A$1:$AG$1,0))),0))</f>
        <v>0</v>
      </c>
      <c r="RY22" s="784">
        <f t="array" ref="RY22">IF('Customer Inputs'!$W$24="End",0,IFERROR(IF($RS22="SEGMENT",INDEX('Margin Guidence Table'!$A$1:$AG$10000,MATCH(1,('Margin Guidence Table'!$A$1:$A$10000=RQ22)*('Margin Guidence Table'!$I$1:$I$10000&lt;=ROUND($RI$3,0))*('Margin Guidence Table'!$J$1:$J$10000&gt;=ROUND($RI$3,0)),0),MATCH("PA_PCT_SALES",'Margin Guidence Table'!$A$1:$AG$1,0)),INDEX('Margin Guidence Table'!$A$1:$AG$10000,MATCH(1,('Margin Guidence Table'!$A$1:$A$10000=RQ22)*('Margin Guidence Table'!$I$1:$I$10000&lt;=ROUND($RI$3,0))*('Margin Guidence Table'!$J$1:$J$10000&gt;=ROUND($RI$3,0)),0),MATCH("DEFAULT_PA_PCT_SALES",'Margin Guidence Table'!$A$1:$AG$1,0))),0))</f>
        <v>0</v>
      </c>
      <c r="RZ22" s="784">
        <f t="array" ref="RZ22">IF('Customer Inputs'!$W$24="End",0,IFERROR(IF($RS22="SEGMENT",INDEX('Margin Guidence Table'!$A$1:$AG$10000,MATCH(1,('Margin Guidence Table'!$A$1:$A$10000=RQ22)*('Margin Guidence Table'!$I$1:$I$10000&lt;=ROUND($RI$3,0))*('Margin Guidence Table'!$J$1:$J$10000&gt;=ROUND($RI$3,0)),0),MATCH("SELF_FUND_PCT_SALES",'Margin Guidence Table'!$A$1:$AG$1,0)),INDEX('Margin Guidence Table'!$A$1:$AG$10000,MATCH(1,('Margin Guidence Table'!$A$1:$A$10000=RQ22)*('Margin Guidence Table'!$I$1:$I$10000&lt;=ROUND($RI$3,0))*('Margin Guidence Table'!$J$1:$J$10000&gt;=ROUND($RI$3,0)),0),MATCH("DEFAULT_SELF_FUND_PCT_SALES",'Margin Guidence Table'!$A$1:$AG$1,0))),0))</f>
        <v>0</v>
      </c>
      <c r="SA22" s="784">
        <f t="array" ref="SA22">IF('Customer Inputs'!$W$24="End",0,IF($RJ$2="Existing",IFERROR(SUMIFS('Existing Customers'!$V:$V,'Existing Customers'!$H:$H,$RH22,'Existing Customers'!$A:$A,$RI$1)/SUMIFS('Existing Customers'!$Q:$Q,'Existing Customers'!$H:$H,$RH22,'Existing Customers'!$A:$A,$RI$1),0),IFERROR(IF($RS22="SEGMENT",INDEX('Margin Guidence Table'!$A$1:$AG$10000,MATCH(1,('Margin Guidence Table'!$A$1:$A$10000=RQ22)*('Margin Guidence Table'!$I$1:$I$10000&lt;=ROUND($RI$3,0))*('Margin Guidence Table'!$J$1:$J$10000&gt;=ROUND($RI$3,0)),0),MATCH("CIA_MEDIAN_MARGIN_GUIDENCE",'Margin Guidence Table'!$A$1:$AG$1,0)),INDEX('Margin Guidence Table'!$A$1:$AG$10000,MATCH(1,('Margin Guidence Table'!$A$1:$A$10000=RQ22)*('Margin Guidence Table'!$I$1:$I$10000&lt;=ROUND($RI$3,0))*('Margin Guidence Table'!$J$1:$J$10000&gt;=ROUND($RI$3,0)),0),MATCH("DEFAULT_CIA_MEDIAN_MARGIN_GUIDENCE",'Margin Guidence Table'!$A$1:$AG$1,0))),0)))</f>
        <v>0</v>
      </c>
      <c r="SB22" s="784"/>
      <c r="SC22" s="18">
        <f t="array" ref="SC22">IF('Customer Inputs'!$W$25="End",0,IFERROR(IF($SP22="SEGMENT",INDEX('Margin Guidence Table'!$A$1:$AG$10000,MATCH(1,('Margin Guidence Table'!$A$1:$A$10000=$SN22)*('Margin Guidence Table'!$I$1:$I$10000&lt;=ROUND($SF$3,0))*('Margin Guidence Table'!$J$1:$J$10000&gt;=ROUND($SF$3,0)),0),MATCH("PCT_SALES",'Margin Guidence Table'!$A$1:$AG$1,0)),INDEX('Margin Guidence Table'!$A$1:$AG$10000,MATCH(1,('Margin Guidence Table'!$A$1:$A$10000=$SN22)*('Margin Guidence Table'!$I$1:$I$10000&lt;=ROUND($SF$3,0))*('Margin Guidence Table'!$J$1:$J$10000&gt;=ROUND($SF$3,0)),0),MATCH("DEFAULT_PCT_SALES",'Margin Guidence Table'!$A$1:$AG$1,0))),0))</f>
        <v>0</v>
      </c>
      <c r="SD22" s="1713" t="e">
        <f t="shared" si="70"/>
        <v>#DIV/0!</v>
      </c>
      <c r="SE22" s="99" t="s">
        <v>96</v>
      </c>
      <c r="SF22" s="91">
        <f>IF('Customer Inputs'!$W$25="End",0,IFERROR(IF(AND($SF$2&lt;&gt;"Enter Spend&gt;&gt;&gt;",$SG$2="EXISTING"),SUMIFS('Existing Customers'!$Q:$Q,'Existing Customers'!$A:$A,$SF$1,'Existing Customers'!$H:$H,$SE22)*$SF$4,$SF$3*$SD22),0))</f>
        <v>0</v>
      </c>
      <c r="SG22" s="86">
        <f>IF('Customer Inputs'!$W$25="End",0,IFERROR(IF(AND($SF$2&lt;&gt;"Enter Spend&gt;&gt;&gt;",$SG$2="EXISTING"),SUMIFS('Existing Customers'!$N:$N,'Existing Customers'!$A:$A,$SF$1,'Existing Customers'!$H:$H,$SE22)*$SF$4,$SF22/$SQ22),0))</f>
        <v>0</v>
      </c>
      <c r="SH22" s="92">
        <f>IF('Customer Inputs'!$W$25="End",0,IFERROR(IF(AND($SF$2&lt;&gt;"Enter Spend&gt;&gt;&gt;",$SG$2="EXISTING"),SUMIFS('Existing Customers'!$O:$O,'Existing Customers'!$H:$H,$SE22,'Existing Customers'!$A:$A,$SF$1)*$SF$4,$SG22*$SF$8),0))</f>
        <v>0</v>
      </c>
      <c r="SI22" s="92">
        <f>IF('Customer Inputs'!$W$25="End",0,IFERROR(IF(AND($SF$2&lt;&gt;"Enter Spend&gt;&gt;&gt;",$SG$2="EXISTING"),SUMIFS('Existing Customers'!$P:$P,'Existing Customers'!$A:$A,$SF$1,'Existing Customers'!$H:$H,$SE22)*$SF$4,$SF22/$SR22),0))</f>
        <v>0</v>
      </c>
      <c r="SJ22" s="303">
        <f>IF('Customer Inputs'!$W$25="End",0,IFERROR(IF(AND($SF$2&lt;&gt;"Enter Spend&gt;&gt;&gt;",$SG$2="EXISTING"),SUMIFS('Existing Customers'!$V:$V,'Existing Customers'!$H:$H,$SE22,'Existing Customers'!$A:$A,$SF$1)*$SF$4,0),0))</f>
        <v>0</v>
      </c>
      <c r="SK22" s="93">
        <f>IF('Customer Inputs'!$W$25="End",0,IFERROR(IF(AND($SF$2&lt;&gt;"Enter Spend&gt;&gt;&gt;",$SG$2="EXISTING"),SUMIFS('Existing Customers'!$R:$R,'Existing Customers'!$H:$H,$SE22,'Existing Customers'!$A:$A,$SF$1)*$SF$4,0),0))</f>
        <v>0</v>
      </c>
      <c r="SL22" s="780">
        <f>IF('Customer Inputs'!$W$25="End",0,IFERROR(IF(AND($SF$2&lt;&gt;"Enter Spend&gt;&gt;&gt;",$SG$2="EXISTING"),SUMIFS('Existing Customers'!$S:$S,'Existing Customers'!$H:$H,$SE22,'Existing Customers'!$A:$A,$SF$1)/SUMIFS('Existing Customers'!$Q:$Q,'Existing Customers'!$A:$A,$SF$1,'Existing Customers'!$H:$H,$SE22),SV22),0))</f>
        <v>0</v>
      </c>
      <c r="SM22" s="780">
        <f>IF('Customer Inputs'!$W$25="End",0,IFERROR(IF(AND($SF$2&lt;&gt;"Enter Spend&gt;&gt;&gt;",$SG$2="EXISTING"),SUMIFS('Existing Customers'!$U:$U,'Existing Customers'!$H:$H,$SE22,'Existing Customers'!$A:$A,$SF$1)/SUMIFS('Existing Customers'!$Q:$Q,'Existing Customers'!$A:$A,$SF$1,'Existing Customers'!$H:$H,$SE22),SW22),0))</f>
        <v>0</v>
      </c>
      <c r="SN22" s="783" t="e">
        <f>_xlfn.CONCAT('Customer Inputs'!$AH$25,"_",SE22)</f>
        <v>#N/A</v>
      </c>
      <c r="SO22" s="783">
        <f t="array" ref="SO22">IF('Customer Inputs'!$W$25="End",0,IFERROR(INDEX('Margin Guidence Table'!$A$1:$AG$10000,MATCH(1,('Margin Guidence Table'!$A$1:$A$10000=SN22)*('Margin Guidence Table'!$I$1:$I$10000&lt;=ROUND($SF$3,0))*('Margin Guidence Table'!$J$1:$J$10000&gt;=ROUND($SF$3,0)),0),MATCH("DATA_POINTS",'Margin Guidence Table'!$A$1:$AG$1,0)),0))</f>
        <v>0</v>
      </c>
      <c r="SP22" s="780" t="str">
        <f t="shared" si="71"/>
        <v>DEFAULT</v>
      </c>
      <c r="SQ22" s="780">
        <f t="array" ref="SQ22">IF('Customer Inputs'!$W$25="End",0,IFERROR(IF($SP22="SEGMENT",INDEX('Margin Guidence Table'!$A$1:$AG$10000,MATCH(1,('Margin Guidence Table'!$A$1:$A$10000=SN22)*('Margin Guidence Table'!$I$1:$I$10000&lt;=ROUND($SF$3,0))*('Margin Guidence Table'!$J$1:$J$10000&gt;=ROUND($SF$3,0)),0),MATCH("SALES_CASE",'Margin Guidence Table'!$A$1:$AG$1,0)),INDEX('Margin Guidence Table'!$A$1:$AG$10000,MATCH(1,('Margin Guidence Table'!$A$1:$A$10000=SN22)*('Margin Guidence Table'!$I$1:$I$10000&lt;=ROUND($SF$3,0))*('Margin Guidence Table'!$J$1:$J$10000&gt;=ROUND($SF$3,0)),0),MATCH("DEFAULT_SALES_CASE",'Margin Guidence Table'!$A$1:$AG$1,0))),0))</f>
        <v>0</v>
      </c>
      <c r="SR22" s="780">
        <f t="array" ref="SR22">IF('Customer Inputs'!$W$25="End",0,IFERROR(IF($SP22="SEGMENT",INDEX('Margin Guidence Table'!$A$1:$AG$10000,MATCH(1,('Margin Guidence Table'!$A$1:$A$10000=SN22)*('Margin Guidence Table'!$I$1:$I$10000&lt;=ROUND($SF$3,0))*('Margin Guidence Table'!$J$1:$J$10000&gt;=ROUND($SF$3,0)),0),MATCH("SALES_LBS",'Margin Guidence Table'!$A$1:$AG$1,0)),INDEX('Margin Guidence Table'!$A$1:$AG$10000,MATCH(1,('Margin Guidence Table'!$A$1:$A$10000=SN22)*('Margin Guidence Table'!$I$1:$I$10000&lt;=ROUND($SF$3,0))*('Margin Guidence Table'!$J$1:$J$10000&gt;=ROUND($SF$3,0)),0),MATCH("DEFAULT_SALES_LBS",'Margin Guidence Table'!$A$1:$AG$1,0))),0))</f>
        <v>0</v>
      </c>
      <c r="SS22" s="784">
        <f t="array" ref="SS22">IF('Customer Inputs'!$W$25="End",0,IFERROR(IF($SP22="SEGMENT",INDEX('Margin Guidence Table'!$A$1:$AG$10000,MATCH(1,('Margin Guidence Table'!$A$1:$A$10000=SN22)*('Margin Guidence Table'!$I$1:$I$10000&lt;=ROUND($SF$3,0))*('Margin Guidence Table'!$J$1:$J$10000&gt;=ROUND($SF$3,0)),0),MATCH("MDA_MIN_MARGIN_GUIDENCE",'Margin Guidence Table'!$A$1:$AG$1,0)),INDEX('Margin Guidence Table'!$A$1:$AG$10000,MATCH(1,('Margin Guidence Table'!$A$1:$A$10000=SN22)*('Margin Guidence Table'!$I$1:$I$10000&lt;=ROUND($SF$3,0))*('Margin Guidence Table'!$J$1:$J$10000&gt;=ROUND($SF$3,0)),0),MATCH("DEFAULT_MDA_MIN_MARGIN_GUIDENCE",'Margin Guidence Table'!$A$1:$AG$1,0))),0))</f>
        <v>0</v>
      </c>
      <c r="ST22" s="784">
        <f t="array" ref="ST22">IF('Customer Inputs'!$W$25="End",0,IFERROR(IF($SP22="SEGMENT",INDEX('Margin Guidence Table'!$A$1:$AG$10000,MATCH(1,('Margin Guidence Table'!$A$1:$A$10000=SN22)*('Margin Guidence Table'!$I$1:$I$10000&lt;=ROUND($SF$3,0))*('Margin Guidence Table'!$J$1:$J$10000&gt;=ROUND($SF$3,0)),0),MATCH("MDA_MEDIAN_MARGIN_GUIDENCE",'Margin Guidence Table'!$A$1:$AG$1,0)),INDEX('Margin Guidence Table'!$A$1:$AG$10000,MATCH(1,('Margin Guidence Table'!$A$1:$A$10000=SN22)*('Margin Guidence Table'!$I$1:$I$10000&lt;=ROUND($SF$3,0))*('Margin Guidence Table'!$J$1:$J$10000&gt;=ROUND($SF$3,0)),0),MATCH("DEFAULT_MDA_MEDIAN_MARGIN_GUIDENCE",'Margin Guidence Table'!$A$1:$AG$1,0))),0))</f>
        <v>0</v>
      </c>
      <c r="SU22" s="784">
        <f t="array" ref="SU22">IF('Customer Inputs'!$W$25="End",0,IFERROR(IF($SP22="SEGMENT",INDEX('Margin Guidence Table'!$A$1:$AG$10000,MATCH(1,('Margin Guidence Table'!$A$1:$A$10000=SN22)*('Margin Guidence Table'!$I$1:$I$10000&lt;=ROUND($SF$3,0))*('Margin Guidence Table'!$J$1:$J$10000&gt;=ROUND($SF$3,0)),0),MATCH("MDA_MAX_MARGIN_GUIDENCE",'Margin Guidence Table'!$A$1:$AG$1,0)),INDEX('Margin Guidence Table'!$A$1:$AG$10000,MATCH(1,('Margin Guidence Table'!$A$1:$A$10000=SN22)*('Margin Guidence Table'!$I$1:$I$10000&lt;=ROUND($SF$3,0))*('Margin Guidence Table'!$J$1:$J$10000&gt;=ROUND($SF$3,0)),0),MATCH("DEFAULT_MDA_MAX_MARGIN_GUIDENCE",'Margin Guidence Table'!$A$1:$AG$1,0))),0))</f>
        <v>0</v>
      </c>
      <c r="SV22" s="784">
        <f t="array" ref="SV22">IF('Customer Inputs'!$W$25="End",0,IFERROR(IF($SP22="SEGMENT",INDEX('Margin Guidence Table'!$A$1:$AG$10000,MATCH(1,('Margin Guidence Table'!$A$1:$A$10000=SN22)*('Margin Guidence Table'!$I$1:$I$10000&lt;=ROUND($SF$3,0))*('Margin Guidence Table'!$J$1:$J$10000&gt;=ROUND($SF$3,0)),0),MATCH("PA_PCT_SALES",'Margin Guidence Table'!$A$1:$AG$1,0)),INDEX('Margin Guidence Table'!$A$1:$AG$10000,MATCH(1,('Margin Guidence Table'!$A$1:$A$10000=SN22)*('Margin Guidence Table'!$I$1:$I$10000&lt;=ROUND($SF$3,0))*('Margin Guidence Table'!$J$1:$J$10000&gt;=ROUND($SF$3,0)),0),MATCH("DEFAULT_PA_PCT_SALES",'Margin Guidence Table'!$A$1:$AG$1,0))),0))</f>
        <v>0</v>
      </c>
      <c r="SW22" s="784">
        <f t="array" ref="SW22">IF('Customer Inputs'!$W$25="End",0,IFERROR(IF($SP22="SEGMENT",INDEX('Margin Guidence Table'!$A$1:$AG$10000,MATCH(1,('Margin Guidence Table'!$A$1:$A$10000=SN22)*('Margin Guidence Table'!$I$1:$I$10000&lt;=ROUND($SF$3,0))*('Margin Guidence Table'!$J$1:$J$10000&gt;=ROUND($SF$3,0)),0),MATCH("SELF_FUND_PCT_SALES",'Margin Guidence Table'!$A$1:$AG$1,0)),INDEX('Margin Guidence Table'!$A$1:$AG$10000,MATCH(1,('Margin Guidence Table'!$A$1:$A$10000=SN22)*('Margin Guidence Table'!$I$1:$I$10000&lt;=ROUND($SF$3,0))*('Margin Guidence Table'!$J$1:$J$10000&gt;=ROUND($SF$3,0)),0),MATCH("DEFAULT_SELF_FUND_PCT_SALES",'Margin Guidence Table'!$A$1:$AG$1,0))),0))</f>
        <v>0</v>
      </c>
      <c r="SX22" s="784">
        <f t="array" ref="SX22">IF('Customer Inputs'!$W$25="End",0,IF($SG$2="Existing",IFERROR(SUMIFS('Existing Customers'!$V:$V,'Existing Customers'!$H:$H,$SE22,'Existing Customers'!$A:$A,$SF$1)/SUMIFS('Existing Customers'!$Q:$Q,'Existing Customers'!$H:$H,$SE22,'Existing Customers'!$A:$A,$SF$1),0),IFERROR(IF($SP22="SEGMENT",INDEX('Margin Guidence Table'!$A$1:$AG$10000,MATCH(1,('Margin Guidence Table'!$A$1:$A$10000=SN22)*('Margin Guidence Table'!$I$1:$I$10000&lt;=ROUND($SF$3,0))*('Margin Guidence Table'!$J$1:$J$10000&gt;=ROUND($SF$3,0)),0),MATCH("CIA_MEDIAN_MARGIN_GUIDENCE",'Margin Guidence Table'!$A$1:$AG$1,0)),INDEX('Margin Guidence Table'!$A$1:$AG$10000,MATCH(1,('Margin Guidence Table'!$A$1:$A$10000=SN22)*('Margin Guidence Table'!$I$1:$I$10000&lt;=ROUND($SF$3,0))*('Margin Guidence Table'!$J$1:$J$10000&gt;=ROUND($SF$3,0)),0),MATCH("DEFAULT_CIA_MEDIAN_MARGIN_GUIDENCE",'Margin Guidence Table'!$A$1:$AG$1,0))),0)))</f>
        <v>0</v>
      </c>
      <c r="SY22" s="784"/>
      <c r="SZ22" s="1705"/>
      <c r="TA22" s="99" t="s">
        <v>96</v>
      </c>
      <c r="TB22" s="94"/>
      <c r="TC22" s="86"/>
      <c r="TD22" s="86"/>
      <c r="TE22" s="86"/>
      <c r="TF22" s="111"/>
      <c r="TG22" s="95"/>
      <c r="TH22" s="126"/>
      <c r="TI22" s="1705"/>
      <c r="TJ22" s="99" t="s">
        <v>96</v>
      </c>
      <c r="TK22" s="94"/>
      <c r="TL22" s="86"/>
      <c r="TM22" s="86"/>
      <c r="TN22" s="86"/>
      <c r="TO22" s="111"/>
      <c r="TP22" s="95"/>
      <c r="TQ22" s="1705"/>
      <c r="TR22" s="1705"/>
    </row>
    <row r="23" spans="1:538" ht="15.75" thickBot="1" x14ac:dyDescent="0.3">
      <c r="A23" s="1705"/>
      <c r="B23" s="99" t="s">
        <v>101</v>
      </c>
      <c r="C23" s="346">
        <f t="shared" si="0"/>
        <v>0</v>
      </c>
      <c r="D23" s="358">
        <f t="shared" si="1"/>
        <v>0</v>
      </c>
      <c r="E23" s="358">
        <f t="shared" si="2"/>
        <v>0</v>
      </c>
      <c r="F23" s="358">
        <f t="shared" si="3"/>
        <v>0</v>
      </c>
      <c r="G23" s="1428">
        <f t="shared" si="4"/>
        <v>0</v>
      </c>
      <c r="H23" s="1428">
        <f t="shared" si="5"/>
        <v>0</v>
      </c>
      <c r="I23" s="359">
        <f t="shared" si="6"/>
        <v>0</v>
      </c>
      <c r="J23" s="358">
        <f t="shared" si="7"/>
        <v>0</v>
      </c>
      <c r="K23" s="778">
        <f t="shared" si="8"/>
        <v>0</v>
      </c>
      <c r="L23" s="778">
        <f t="shared" si="9"/>
        <v>0</v>
      </c>
      <c r="M23" s="778">
        <f t="shared" si="10"/>
        <v>0</v>
      </c>
      <c r="N23" s="1428">
        <f>IF('PIM Model'!D19="$/CS",IFERROR(ROUND(SUM(BX23*$BV$35+CU23*$CS$35+DR23*$DP$35+EO23*$EM$35+FL23*$FJ$35+GI23*$GG$35+HF23*$HD$35+IC23*$IA$35+IZ23*$IX$35+JW23*$JU$35+KT23*$KR$35+LQ23*$LO$35+MN23*$ML$35+NK23*$NI$35+OH23*$OF$35+PE23*$PC$35+QB23*$PZ$35+QY23*$QW$35+RV23*$RT$35+SS23*$SQ$35)/$G$35,2),0),IF('PIM Model'!D19="$/LB",IFERROR(ROUND(SUM(BX23*$BW$35+CU23*$CT$35+DR23*$DQ$35+EO23*$EN$35+FL23*$FK$35+GI23*$GH$35+HF23*$HE$35+IC23*$IB$35+IZ23*$IY$35+JW23*$JV$35+KT23*$KS$35+LQ23*$LP$35+MN23*$MM$35+NK23*$NJ$35+OH23*$OG$35+PE23*$PD$35+QB23*$QA$35+QY23*$QX$35+RV23*$RU$35+SS23*$SR$35)/$H$35,2),0),0))</f>
        <v>0</v>
      </c>
      <c r="O23" s="1428">
        <f>IF('PIM Model'!D19="$/CS",IFERROR(ROUND(SUM(BY23*$BV$35+CV23*$CS$35+DS23*$DP$35+EP23*$EM$35+FM23*$FJ$35+GJ23*$GG$35+HG23*$HD$35+ID23*$IA$35+JA23*$IX$35+JX23*$JU$35+KU23*$KR$35+LR23*$LO$35+MO23*$ML$35+NL23*$NI$35+OI23*$OF$35+PF23*$PC$35+QC23*$PZ$35+QZ23*$QW$35+RW23*$RT$35+ST23*$SQ$35)/$G$35,2),0),IF('PIM Model'!D19="$/LB",IFERROR(ROUND(SUM(BY23*$BW$35+CV23*$CT$35+DS23*$DQ$35+EP23*$EN$35+FM23*$FK$35+GJ23*$GH$35+HG23*$HE$35+ID23*$IB$35+JA23*$IY$35+JX23*$JV$35+KU23*$KS$35+LR23*$LP$35+MO23*$MM$35+NL23*$NJ$35+OI23*$OG$35+PF23*$PD$35+QC23*$QA$35+QZ23*$QX$35+RW23*$RU$35+ST23*$SR$35)/$H$35,2),0),0))</f>
        <v>0</v>
      </c>
      <c r="P23" s="1428">
        <f>IF('PIM Model'!D19="$/CS",IFERROR(ROUND(SUM(BZ23*$BV$35+CW23*$CS$35+DT23*$DP$35+EQ23*$EM$35+FN23*$FJ$35+GK23*$GG$35+HH23*$HD$35+IE23*$IA$35+JB23*$IX$35+JY23*$JU$35+KV23*$KR$35+LS23*$LO$35+MP23*$ML$35+NM23*$NI$35+OJ23*$OF$35+PG23*$PC$35+QD23*$PZ$35+RA23*$QW$35+RX23*$RT$35+SU23*$SQ$35)/$G$35,2),0),IF('PIM Model'!D19="$/LB",IFERROR(ROUND(SUM(BZ23*$BW$35+CW23*$CT$35+DT23*$DQ$35+EQ23*$EN$35+FN23*$FK$35+GK23*$GH$35+HH23*$HE$35+IE23*$IB$35+JB23*$IY$35+JY23*$JV$35+KV23*$KS$35+LS23*$LP$35+MP23*$MM$35+NM23*$NJ$35+OJ23*$OG$35+PG23*$PD$35+QD23*$QA$35+RA23*$QX$35+RX23*$RU$35+SU23*$SR$35)/$H$35,2),0),0))</f>
        <v>0</v>
      </c>
      <c r="Q23" s="358">
        <f t="shared" si="11"/>
        <v>0</v>
      </c>
      <c r="R23" s="358">
        <f t="shared" si="12"/>
        <v>0</v>
      </c>
      <c r="S23" s="779">
        <f t="shared" si="13"/>
        <v>0</v>
      </c>
      <c r="T23" s="779">
        <f t="shared" si="14"/>
        <v>0</v>
      </c>
      <c r="U23" s="779">
        <f t="shared" si="15"/>
        <v>0</v>
      </c>
      <c r="V23" s="779">
        <f t="shared" si="16"/>
        <v>0</v>
      </c>
      <c r="W23" s="779">
        <f t="shared" si="17"/>
        <v>0</v>
      </c>
      <c r="X23" s="1705"/>
      <c r="Y23" s="1705" t="str">
        <f>'PIM Model'!E19</f>
        <v>INCLUDE</v>
      </c>
      <c r="Z23" s="1705">
        <f t="shared" si="18"/>
        <v>0</v>
      </c>
      <c r="AA23" s="1705">
        <f t="shared" si="19"/>
        <v>0</v>
      </c>
      <c r="AB23" s="99" t="s">
        <v>101</v>
      </c>
      <c r="AC23" s="107">
        <f t="shared" si="20"/>
        <v>0</v>
      </c>
      <c r="AD23" s="108">
        <f t="shared" si="21"/>
        <v>0</v>
      </c>
      <c r="AE23" s="108">
        <f t="shared" si="22"/>
        <v>0</v>
      </c>
      <c r="AF23" s="108">
        <f t="shared" si="23"/>
        <v>0</v>
      </c>
      <c r="AG23" s="110">
        <f t="shared" si="24"/>
        <v>0</v>
      </c>
      <c r="AH23" s="114">
        <f t="shared" si="25"/>
        <v>0</v>
      </c>
      <c r="AI23" s="301"/>
      <c r="AJ23" s="99" t="s">
        <v>101</v>
      </c>
      <c r="AK23" s="346">
        <f t="shared" si="26"/>
        <v>0</v>
      </c>
      <c r="AL23" s="347">
        <f t="shared" si="26"/>
        <v>0</v>
      </c>
      <c r="AM23" s="347">
        <f t="shared" si="26"/>
        <v>0</v>
      </c>
      <c r="AN23" s="350">
        <f t="shared" si="27"/>
        <v>0</v>
      </c>
      <c r="AO23" s="351">
        <f t="shared" si="28"/>
        <v>0</v>
      </c>
      <c r="AP23" s="301"/>
      <c r="AQ23" s="99" t="s">
        <v>101</v>
      </c>
      <c r="AR23" s="346">
        <f t="shared" si="29"/>
        <v>0</v>
      </c>
      <c r="AS23" s="347">
        <f t="shared" si="30"/>
        <v>0</v>
      </c>
      <c r="AT23" s="351"/>
      <c r="AU23" s="301"/>
      <c r="AV23" s="1708" t="str">
        <f>IF('PIM Ranges'!$AK21='PIM Ranges'!$AY$11,IF($AR23&lt;'PIM Ranges'!$AZ$11,"Q1",IF($AR23&lt;'PIM Ranges'!$BA$11,"Q2",IF($AR23&lt;'PIM Ranges'!$BB$11,"Q3",IF($AR23&lt;'PIM Ranges'!$BC$11,"Q4","Q5")))),IF('PIM Ranges'!$AK21='PIM Ranges'!$AY$12,IF($AR23&lt;'PIM Ranges'!$AZ$12,"Q1",IF($AR23&lt;'PIM Ranges'!$BA$12,"Q2",IF($AR23&lt;'PIM Ranges'!$BB$12,"Q3",IF($AR23&lt;'PIM Ranges'!$BC$12,"Q4","Q5")))),IF('PIM Ranges'!$AK21='PIM Ranges'!$AY$13,IF($AR23&lt;'PIM Ranges'!$AZ$13,"Q1",IF($AR23&lt;'PIM Ranges'!$BA$13,"Q2",IF($AR23&lt;'PIM Ranges'!$BB$13,"Q3",IF($AR23&lt;'PIM Ranges'!$BC$13,"Q4","Q5")))),IF('PIM Ranges'!$AK21='PIM Ranges'!$AY$14,IF($AR23&lt;'PIM Ranges'!$AZ$14,"Q1",IF($AR23&lt;'PIM Ranges'!$BA$14,"Q2",IF($AR23&lt;'PIM Ranges'!$BB$14,"Q3",IF($AR23&lt;'PIM Ranges'!$BC$14,"Q4","Q5")))),IF('PIM Ranges'!$AK21='PIM Ranges'!$AY$15,IF($AR23&lt;'PIM Ranges'!$AZ$15,"Q1",IF($AR23&lt;'PIM Ranges'!$BA$15,"Q2",IF($AR23&lt;'PIM Ranges'!$BB$15,"Q3",IF($AR23&lt;'PIM Ranges'!$BC$15,"Q4","Q5")))),IF('PIM Ranges'!$AK21='PIM Ranges'!$AY$16,IF($AR23&lt;'PIM Ranges'!$AZ$16,"Q1",IF($AR23&lt;'PIM Ranges'!$BA$16,"Q2",IF($AR23&lt;'PIM Ranges'!$BB$16,"Q3",IF($AR23&lt;'PIM Ranges'!$BC$16,"Q4","Q5")))),IF('PIM Ranges'!$AK21='PIM Ranges'!$AY$17,IF($AR23&lt;'PIM Ranges'!$AZ$17,"Q1",IF($AR23&lt;'PIM Ranges'!$BA$17,"Q2",IF($AR23&lt;'PIM Ranges'!$BB$17,"Q3",IF($AR23&lt;'PIM Ranges'!$BC$17,"Q4","Q5")))),IF('PIM Ranges'!$AK21='PIM Ranges'!$AY$18,IF($AR23&lt;'PIM Ranges'!$AZ$18,"Q1",IF($AR23&lt;'PIM Ranges'!$BA$18,"Q2",IF($AR23&lt;'PIM Ranges'!$BB$18,"Q3",IF($AR23&lt;'PIM Ranges'!$BC$18,"Q4","Q5")))),IF('PIM Ranges'!$AK21='PIM Ranges'!$AY$19,IF($AR23&lt;'PIM Ranges'!$AZ$19,"Q1",IF($AR23&lt;'PIM Ranges'!$BA$19,"Q2",IF($AR23&lt;'PIM Ranges'!$BB$19,"Q3",IF($AR23&lt;'PIM Ranges'!$BC$19,"Q4","Q5")))),IF('PIM Ranges'!$AK21='PIM Ranges'!$AY$20,IF($AR23&lt;'PIM Ranges'!$AZ$20,"Q1",IF($AR23&lt;'PIM Ranges'!$BA$20,"Q2",IF($AR23&lt;'PIM Ranges'!$BB$20,"Q3",IF($AR23&lt;'PIM Ranges'!$BC$20,"Q4","Q5")))),IF('PIM Ranges'!$AK21='PIM Ranges'!$AY$21,IF($AR23&lt;'PIM Ranges'!$AZ$21,"Q1",IF($AR23&lt;'PIM Ranges'!$BA$21,"Q2",IF($AR23&lt;'PIM Ranges'!$BB$21,"Q3",IF($AR23&lt;'PIM Ranges'!$BC$21,"Q4","Q5")))),IF('PIM Ranges'!$AK21='PIM Ranges'!$AY$22,IF($AR23&lt;'PIM Ranges'!$AZ$22,"Q1",IF($AR23&lt;'PIM Ranges'!$BA$22,"Q2",IF($AR23&lt;'PIM Ranges'!$BB$22,"Q3",IF($AR23&lt;'PIM Ranges'!$BC$22,"Q4","Q5")))),IF('PIM Ranges'!$AK21='PIM Ranges'!$AY$23,IF($AR23&lt;'PIM Ranges'!$AZ$23,"Q1",IF($AR23&lt;'PIM Ranges'!$BA$23,"Q2",IF($AR23&lt;'PIM Ranges'!$BB$23,"Q3",IF($AR23&lt;'PIM Ranges'!$BC$23,"Q4","Q5")))),IF('PIM Ranges'!$AK21='PIM Ranges'!$AY$24,IF($AR23&lt;'PIM Ranges'!$AZ$24,"Q1",IF($AR23&lt;'PIM Ranges'!$BA$24,"Q2",IF($AR23&lt;'PIM Ranges'!$BB$24,"Q3",IF($AR23&lt;'PIM Ranges'!$BC$24,"Q4","Q5")))),IF('PIM Ranges'!$AK21='PIM Ranges'!$AY$25,IF($AR23&lt;'PIM Ranges'!$AZ$25,"Q1",IF($AR23&lt;'PIM Ranges'!$BA$25,"Q2",IF($AR23&lt;'PIM Ranges'!$BB$25,"Q3",IF($AR23&lt;'PIM Ranges'!$BC$25,"Q4","Q5")))),IF('PIM Ranges'!$AK21='PIM Ranges'!$AY$26,IF($AR23&lt;'PIM Ranges'!$AZ$26,"Q1",IF($AR23&lt;'PIM Ranges'!$BA$26,"Q2",IF($AR23&lt;'PIM Ranges'!$BB$26,"Q3",IF($AR23&lt;'PIM Ranges'!$BC$26,"Q4","Q5")))),IF('PIM Ranges'!$AK21='PIM Ranges'!$AY$27,IF($AR23&lt;'PIM Ranges'!$AZ$27,"Q1",IF($AR23&lt;'PIM Ranges'!$BA$27,"Q2",IF($AR23&lt;'PIM Ranges'!$BB$27,"Q3",IF($AR23&lt;'PIM Ranges'!$BC$27,"Q4","Q5")))),IF('PIM Ranges'!$AK21='PIM Ranges'!$AY$28,IF($AR23&lt;'PIM Ranges'!$AZ$28,"Q1",IF($AR23&lt;'PIM Ranges'!$BA$28,"Q2",IF($AR23&lt;'PIM Ranges'!$BB$28,"Q3",IF($AR23&lt;'PIM Ranges'!$BC$28,"Q4","Q5")))),IF('PIM Ranges'!$AK21='PIM Ranges'!$AY$29,IF($AR23&lt;'PIM Ranges'!$AZ$29,"Q1",IF($AR23&lt;'PIM Ranges'!$BA$29,"Q2",IF($AR23&lt;'PIM Ranges'!$BB$29,"Q3",IF($AR23&lt;'PIM Ranges'!$BC$29,"Q4","Q5")))),IF('PIM Ranges'!$AK21='PIM Ranges'!$AY$30,IF($AR23&lt;'PIM Ranges'!$AZ$30,"Q1",IF($AR23&lt;'PIM Ranges'!$BA$30,"Q2",IF($AR23&lt;'PIM Ranges'!$BB$30,"Q3",IF($AR23&lt;'PIM Ranges'!$BC$30,"Q4","Q5")))),IF('PIM Ranges'!$AK21='PIM Ranges'!$AY$31,IF($AR23&lt;'PIM Ranges'!$AZ$31,"Q1",IF($AR23&lt;'PIM Ranges'!$BA$31,"Q2",IF($AR23&lt;'PIM Ranges'!$BB$31,"Q3",IF($AR23&lt;'PIM Ranges'!$BC$31,"Q4","Q5")))),IF('PIM Ranges'!$AK21='PIM Ranges'!$AY$32,IF($AR23&lt;'PIM Ranges'!$AZ$32,"Q1",IF($AR23&lt;'PIM Ranges'!$BA$32,"Q2",IF($AR23&lt;'PIM Ranges'!$BB$32,"Q3",IF($AR23&lt;'PIM Ranges'!$BC$32,"Q4","Q5"))))))))))))))))))))))))))</f>
        <v>Q1</v>
      </c>
      <c r="AW23" s="301">
        <f>VLOOKUP($AQ23&amp;$AV23,'IMargin Quartiles'!$A:$F,6,FALSE)</f>
        <v>0.18</v>
      </c>
      <c r="AX23" s="301"/>
      <c r="AY23" s="1708" t="str">
        <f>IF('PIM Ranges'!$AK21='PIM Ranges'!$AY$11,IF('PIM Ranges'!$AL21&lt;'PIM Ranges'!$AZ$11,"Q1",IF('PIM Ranges'!$AL21&lt;'PIM Ranges'!$BA$11,"Q2",IF('PIM Ranges'!$AL21&lt;'PIM Ranges'!$BB$11,"Q3",IF('PIM Ranges'!$AL21&lt;'PIM Ranges'!$BC$11,"Q4","Q5")))),IF('PIM Ranges'!$AK21='PIM Ranges'!$AY$12,IF('PIM Ranges'!$AL21&lt;'PIM Ranges'!$AZ$12,"Q1",IF('PIM Ranges'!$AL21&lt;'PIM Ranges'!$BA$12,"Q2",IF('PIM Ranges'!$AL21&lt;'PIM Ranges'!$BB$12,"Q3",IF('PIM Ranges'!$AL21&lt;'PIM Ranges'!$BC$12,"Q4","Q5")))),IF('PIM Ranges'!$AK21='PIM Ranges'!$AY$13,IF('PIM Ranges'!$AL21&lt;'PIM Ranges'!$AZ$13,"Q1",IF('PIM Ranges'!$AL21&lt;'PIM Ranges'!$BA$13,"Q2",IF('PIM Ranges'!$AL21&lt;'PIM Ranges'!$BB$13,"Q3",IF('PIM Ranges'!$AL21&lt;'PIM Ranges'!$BC$13,"Q4","Q5")))),IF('PIM Ranges'!$AK21='PIM Ranges'!$AY$14,IF('PIM Ranges'!$AL21&lt;'PIM Ranges'!$AZ$14,"Q1",IF('PIM Ranges'!$AL21&lt;'PIM Ranges'!$BA$14,"Q2",IF('PIM Ranges'!$AL21&lt;'PIM Ranges'!$BB$14,"Q3",IF('PIM Ranges'!$AL21&lt;'PIM Ranges'!$BC$14,"Q4","Q5")))),IF('PIM Ranges'!$AK21='PIM Ranges'!$AY$15,IF('PIM Ranges'!$AL21&lt;'PIM Ranges'!$AZ$15,"Q1",IF('PIM Ranges'!$AL21&lt;'PIM Ranges'!$BA$15,"Q2",IF('PIM Ranges'!$AL21&lt;'PIM Ranges'!$BB$15,"Q3",IF('PIM Ranges'!$AL21&lt;'PIM Ranges'!$BC$15,"Q4","Q5")))),IF('PIM Ranges'!$AK21='PIM Ranges'!$AY$16,IF('PIM Ranges'!$AL21&lt;'PIM Ranges'!$AZ$16,"Q1",IF('PIM Ranges'!$AL21&lt;'PIM Ranges'!$BA$16,"Q2",IF('PIM Ranges'!$AL21&lt;'PIM Ranges'!$BB$16,"Q3",IF('PIM Ranges'!$AL21&lt;'PIM Ranges'!$BC$16,"Q4","Q5")))),IF('PIM Ranges'!$AK21='PIM Ranges'!$AY$17,IF('PIM Ranges'!$AL21&lt;'PIM Ranges'!$AZ$17,"Q1",IF('PIM Ranges'!$AL21&lt;'PIM Ranges'!$BA$17,"Q2",IF('PIM Ranges'!$AL21&lt;'PIM Ranges'!$BB$17,"Q3",IF('PIM Ranges'!$AL21&lt;'PIM Ranges'!$BC$17,"Q4","Q5")))),IF('PIM Ranges'!$AK21='PIM Ranges'!$AY$18,IF('PIM Ranges'!$AL21&lt;'PIM Ranges'!$AZ$18,"Q1",IF('PIM Ranges'!$AL21&lt;'PIM Ranges'!$BA$18,"Q2",IF('PIM Ranges'!$AL21&lt;'PIM Ranges'!$BB$18,"Q3",IF('PIM Ranges'!$AL21&lt;'PIM Ranges'!$BC$18,"Q4","Q5")))),IF('PIM Ranges'!$AK21='PIM Ranges'!$AY$19,IF('PIM Ranges'!$AL21&lt;'PIM Ranges'!$AZ$19,"Q1",IF('PIM Ranges'!$AL21&lt;'PIM Ranges'!$BA$19,"Q2",IF('PIM Ranges'!$AL21&lt;'PIM Ranges'!$BB$19,"Q3",IF('PIM Ranges'!$AL21&lt;'PIM Ranges'!$BC$19,"Q4","Q5")))),IF('PIM Ranges'!$AK21='PIM Ranges'!$AY$20,IF('PIM Ranges'!$AL21&lt;'PIM Ranges'!$AZ$20,"Q1",IF('PIM Ranges'!$AL21&lt;'PIM Ranges'!$BA$20,"Q2",IF('PIM Ranges'!$AL21&lt;'PIM Ranges'!$BB$20,"Q3",IF('PIM Ranges'!$AL21&lt;'PIM Ranges'!$BC$20,"Q4","Q5")))),IF('PIM Ranges'!$AK21='PIM Ranges'!$AY$21,IF('PIM Ranges'!$AL21&lt;'PIM Ranges'!$AZ$21,"Q1",IF('PIM Ranges'!$AL21&lt;'PIM Ranges'!$BA$21,"Q2",IF('PIM Ranges'!$AL21&lt;'PIM Ranges'!$BB$21,"Q3",IF('PIM Ranges'!$AL21&lt;'PIM Ranges'!$BC$21,"Q4","Q5")))),IF('PIM Ranges'!$AK21='PIM Ranges'!$AY$22,IF('PIM Ranges'!$AL21&lt;'PIM Ranges'!$AZ$22,"Q1",IF('PIM Ranges'!$AL21&lt;'PIM Ranges'!$BA$22,"Q2",IF('PIM Ranges'!$AL21&lt;'PIM Ranges'!$BB$22,"Q3",IF('PIM Ranges'!$AL21&lt;'PIM Ranges'!$BC$22,"Q4","Q5")))),IF('PIM Ranges'!$AK21='PIM Ranges'!$AY$23,IF('PIM Ranges'!$AL21&lt;'PIM Ranges'!$AZ$23,"Q1",IF('PIM Ranges'!$AL21&lt;'PIM Ranges'!$BA$23,"Q2",IF('PIM Ranges'!$AL21&lt;'PIM Ranges'!$BB$23,"Q3",IF('PIM Ranges'!$AL21&lt;'PIM Ranges'!$BC$23,"Q4","Q5")))),IF('PIM Ranges'!$AK21='PIM Ranges'!$AY$24,IF('PIM Ranges'!$AL21&lt;'PIM Ranges'!$AZ$24,"Q1",IF('PIM Ranges'!$AL21&lt;'PIM Ranges'!$BA$24,"Q2",IF('PIM Ranges'!$AL21&lt;'PIM Ranges'!$BB$24,"Q3",IF('PIM Ranges'!$AL21&lt;'PIM Ranges'!$BC$24,"Q4","Q5")))),IF('PIM Ranges'!$AK21='PIM Ranges'!$AY$25,IF('PIM Ranges'!$AL21&lt;'PIM Ranges'!$AZ$25,"Q1",IF('PIM Ranges'!$AL21&lt;'PIM Ranges'!$BA$25,"Q2",IF('PIM Ranges'!$AL21&lt;'PIM Ranges'!$BB$25,"Q3",IF('PIM Ranges'!$AL21&lt;'PIM Ranges'!$BC$25,"Q4","Q5")))),IF('PIM Ranges'!$AK21='PIM Ranges'!$AY$26,IF('PIM Ranges'!$AL21&lt;'PIM Ranges'!$AZ$26,"Q1",IF('PIM Ranges'!$AL21&lt;'PIM Ranges'!$BA$26,"Q2",IF('PIM Ranges'!$AL21&lt;'PIM Ranges'!$BB$26,"Q3",IF('PIM Ranges'!$AL21&lt;'PIM Ranges'!$BC$26,"Q4","Q5")))),IF('PIM Ranges'!$AK21='PIM Ranges'!$AY$27,IF('PIM Ranges'!$AL21&lt;'PIM Ranges'!$AZ$27,"Q1",IF('PIM Ranges'!$AL21&lt;'PIM Ranges'!$BA$27,"Q2",IF('PIM Ranges'!$AL21&lt;'PIM Ranges'!$BB$27,"Q3",IF('PIM Ranges'!$AL21&lt;'PIM Ranges'!$BC$27,"Q4","Q5")))),IF('PIM Ranges'!$AK21='PIM Ranges'!$AY$28,IF('PIM Ranges'!$AL21&lt;'PIM Ranges'!$AZ$28,"Q1",IF('PIM Ranges'!$AL21&lt;'PIM Ranges'!$BA$28,"Q2",IF('PIM Ranges'!$AL21&lt;'PIM Ranges'!$BB$28,"Q3",IF('PIM Ranges'!$AL21&lt;'PIM Ranges'!$BC$28,"Q4","Q5")))),IF('PIM Ranges'!$AK21='PIM Ranges'!$AY$29,IF('PIM Ranges'!$AL21&lt;'PIM Ranges'!$AZ$29,"Q1",IF('PIM Ranges'!$AL21&lt;'PIM Ranges'!$BA$29,"Q2",IF('PIM Ranges'!$AL21&lt;'PIM Ranges'!$BB$29,"Q3",IF('PIM Ranges'!$AL21&lt;'PIM Ranges'!$BC$29,"Q4","Q5")))),IF('PIM Ranges'!$AK21='PIM Ranges'!$AY$30,IF('PIM Ranges'!$AL21&lt;'PIM Ranges'!$AZ$30,"Q1",IF('PIM Ranges'!$AL21&lt;'PIM Ranges'!$BA$30,"Q2",IF('PIM Ranges'!$AL21&lt;'PIM Ranges'!$BB$30,"Q3",IF('PIM Ranges'!$AL21&lt;'PIM Ranges'!$BC$30,"Q4","Q5")))),IF('PIM Ranges'!$AK21='PIM Ranges'!$AY$31,IF('PIM Ranges'!$AL21&lt;'PIM Ranges'!$AZ$31,"Q1",IF('PIM Ranges'!$AL21&lt;'PIM Ranges'!$BA$31,"Q2",IF('PIM Ranges'!$AL21&lt;'PIM Ranges'!$BB$31,"Q3",IF('PIM Ranges'!$AL21&lt;'PIM Ranges'!$BC$31,"Q4","Q5")))),IF('PIM Ranges'!$AK21='PIM Ranges'!$AY$32,IF('PIM Ranges'!$AL21&lt;'PIM Ranges'!$AZ$32,"Q1",IF('PIM Ranges'!$AL21&lt;'PIM Ranges'!$BA$32,"Q2",IF('PIM Ranges'!$AL21&lt;'PIM Ranges'!$BB$32,"Q3",IF('PIM Ranges'!$AL21&lt;'PIM Ranges'!$BC$32,"Q4","Q5"))))))))))))))))))))))))))</f>
        <v>Q1</v>
      </c>
      <c r="AZ23" s="301">
        <f t="shared" si="31"/>
        <v>0</v>
      </c>
      <c r="BA23" s="39">
        <f>'PIM Model'!C19</f>
        <v>0</v>
      </c>
      <c r="BB23" s="301"/>
      <c r="BC23" s="301"/>
      <c r="BD23" s="301" t="e">
        <f t="shared" si="72"/>
        <v>#DIV/0!</v>
      </c>
      <c r="BE23" s="301"/>
      <c r="BF23" s="301"/>
      <c r="BG23" s="105">
        <v>12</v>
      </c>
      <c r="BH23" s="18">
        <f t="array" ref="BH23">IF('Customer Inputs'!$W$6="End",0,IFERROR(IF($BU23="SEGMENT",INDEX('Margin Guidence Table'!$A$1:$AG$10000,MATCH(1,('Margin Guidence Table'!$A$1:$A$10000=$BS23)*('Margin Guidence Table'!$I$1:$I$10000&lt;=ROUND($BK$3,0))*('Margin Guidence Table'!$J$1:$J$10000&gt;=ROUND($BK$3,0)),0),MATCH("PCT_SALES",'Margin Guidence Table'!$A$1:$AG$1,0)),INDEX('Margin Guidence Table'!$A$1:$AG$10000,MATCH(1,('Margin Guidence Table'!$A$1:$A$10000=$BS23)*('Margin Guidence Table'!$I$1:$I$10000&lt;=ROUND($BK$3,0))*('Margin Guidence Table'!$J$1:$J$10000&gt;=ROUND($BK$3,0)),0),MATCH("DEFAULT_PCT_SALES",'Margin Guidence Table'!$A$1:$AG$1,0))),0))</f>
        <v>0</v>
      </c>
      <c r="BI23" s="297" t="e">
        <f t="shared" si="32"/>
        <v>#DIV/0!</v>
      </c>
      <c r="BJ23" s="99" t="s">
        <v>101</v>
      </c>
      <c r="BK23" s="91">
        <f>IF('Customer Inputs'!$W$6="End",0,IFERROR(IF(AND($BK$2&lt;&gt;"Enter Spend&gt;&gt;&gt;",$BL$2="EXISTING"),SUMIFS('Existing Customers'!$Q:$Q,'Existing Customers'!$A:$A,$BK$1,'Existing Customers'!$H:$H,$BJ23)*$BK$4,$BK$3*$BI23),0))</f>
        <v>0</v>
      </c>
      <c r="BL23" s="92">
        <f>IF('Customer Inputs'!$W$6="End",0,IFERROR(IF(AND($BK$2&lt;&gt;"Enter Spend&gt;&gt;&gt;",$BL$2="EXISTING"),SUMIFS('Existing Customers'!$N:$N,'Existing Customers'!$A:$A,$BK$1,'Existing Customers'!$H:$H,$BJ23)*$BK$4,$BK23/$BV23),0))</f>
        <v>0</v>
      </c>
      <c r="BM23" s="92">
        <f>IF('Customer Inputs'!$W$6="End",0,IFERROR(IF(AND($BK$2&lt;&gt;"Enter Spend&gt;&gt;&gt;",$BL$2="EXISTING"),SUMIFS('Existing Customers'!$O:$O,'Existing Customers'!$H:$H,$BJ23,'Existing Customers'!$A:$A,$BK$1)*$BK$4,$BL23*$BK$8),0))</f>
        <v>0</v>
      </c>
      <c r="BN23" s="92">
        <f>IF('Customer Inputs'!$W$6="End",0,IFERROR(IF(AND($BK$2&lt;&gt;"Enter Spend&gt;&gt;&gt;",$BL$2="EXISTING"),SUMIFS('Existing Customers'!$P:$P,'Existing Customers'!$A:$A,$BK$1,'Existing Customers'!$H:$H,$BJ23)*$BK$4,$BK23/$BW23),0))</f>
        <v>0</v>
      </c>
      <c r="BO23" s="303">
        <f>IF('Customer Inputs'!$W$6="End",0,IFERROR(IF(AND($BK$2&lt;&gt;"Enter Spend&gt;&gt;&gt;",$BL$2="EXISTING"),SUMIFS('Existing Customers'!$V:$V,'Existing Customers'!$H:$H,$BJ23,'Existing Customers'!$A:$A,$BK$1)*$BK$4,0),0))</f>
        <v>0</v>
      </c>
      <c r="BP23" s="93">
        <f>IF('Customer Inputs'!$W$6="End",0,IFERROR(IF(AND($BK$2&lt;&gt;"Enter Spend&gt;&gt;&gt;",$BL$2="EXISTING"),SUMIFS('Existing Customers'!$R:$R,'Existing Customers'!$H:$H,$BJ23,'Existing Customers'!$A:$A,$BK$1)*$BK$4,0),0))</f>
        <v>0</v>
      </c>
      <c r="BQ23" s="93">
        <f>IF('Customer Inputs'!$W$6="End",0,IFERROR(IF(AND($BK$2&lt;&gt;"Enter Spend&gt;&gt;&gt;",$BL$2="EXISTING"),SUMIFS('Existing Customers'!$S:$S,'Existing Customers'!$H:$H,$BJ23,'Existing Customers'!$A:$A,$BK$1)/SUMIFS('Existing Customers'!$Q:$Q,'Existing Customers'!$A:$A,$BK$1,'Existing Customers'!$H:$H,$BJ23),CA23),0))</f>
        <v>0</v>
      </c>
      <c r="BR23" s="93">
        <f>IF('Customer Inputs'!$W$6="End",0,IFERROR(IF(AND($BK$2&lt;&gt;"Enter Spend&gt;&gt;&gt;",$BL$2="EXISTING"),SUMIFS('Existing Customers'!$U:$U,'Existing Customers'!$H:$H,$BJ23,'Existing Customers'!$A:$A,$BK$1)/SUMIFS('Existing Customers'!$Q:$Q,'Existing Customers'!$A:$A,$BK$1,'Existing Customers'!$H:$H,$BJ23),CB23),0))</f>
        <v>0</v>
      </c>
      <c r="BS23" s="782" t="e">
        <f>_xlfn.CONCAT('Customer Inputs'!$AH$6,"_",BJ23)</f>
        <v>#N/A</v>
      </c>
      <c r="BT23" s="783">
        <f t="array" ref="BT23">IF('Customer Inputs'!$W$6="End",0,IFERROR(INDEX('Margin Guidence Table'!$A$1:$AG$10000,MATCH(1,('Margin Guidence Table'!$A$1:$A$10000=$BS23)*('Margin Guidence Table'!$I$1:$I$10000&lt;=ROUND($BK$3,0))*('Margin Guidence Table'!$J$1:$J$10000&gt;=ROUND($BK$3,0)),0),MATCH("DATA_POINTS",'Margin Guidence Table'!$A$1:$AG$1,0)),0))</f>
        <v>0</v>
      </c>
      <c r="BU23" s="780" t="str">
        <f t="shared" si="33"/>
        <v>DEFAULT</v>
      </c>
      <c r="BV23" s="780">
        <f t="array" ref="BV23">IF('Customer Inputs'!$W$6="End",0,IFERROR(IF($BU23="SEGMENT",INDEX('Margin Guidence Table'!$A$1:$AG$10000,MATCH(1,('Margin Guidence Table'!$A$1:$A$10000=$BS23)*('Margin Guidence Table'!$I$1:$I$10000&lt;=ROUND($BK$3,0))*('Margin Guidence Table'!$J$1:$J$10000&gt;=ROUND($BK$3,0)),0),MATCH("SALES_CASE",'Margin Guidence Table'!$A$1:$AG$1,0)),INDEX('Margin Guidence Table'!$A$1:$AG$10000,MATCH(1,('Margin Guidence Table'!$A$1:$A$10000=$BS23)*('Margin Guidence Table'!$I$1:$I$10000&lt;=ROUND($BK$3,0))*('Margin Guidence Table'!$J$1:$J$10000&gt;=ROUND($BK$3,0)),0),MATCH("DEFAULT_SALES_CASE",'Margin Guidence Table'!$A$1:$AG$1,0))),0))</f>
        <v>0</v>
      </c>
      <c r="BW23" s="780">
        <f t="array" ref="BW23">IF('Customer Inputs'!$W$6="End",0,IFERROR(IF($BU23="SEGMENT",INDEX('Margin Guidence Table'!$A$1:$AG$10000,MATCH(1,('Margin Guidence Table'!$A$1:$A$10000=$BS23)*('Margin Guidence Table'!$I$1:$I$10000&lt;=ROUND($BK$3,0))*('Margin Guidence Table'!$J$1:$J$10000&gt;=ROUND($BK$3,0)),0),MATCH("SALES_LBS",'Margin Guidence Table'!$A$1:$AG$1,0)),INDEX('Margin Guidence Table'!$A$1:$AG$10000,MATCH(1,('Margin Guidence Table'!$A$1:$A$10000=$BS23)*('Margin Guidence Table'!$I$1:$I$10000&lt;=ROUND($BK$3,0))*('Margin Guidence Table'!$J$1:$J$10000&gt;=ROUND($BK$3,0)),0),MATCH("DEFAULT_SALES_LBS",'Margin Guidence Table'!$A$1:$AG$1,0))),0))</f>
        <v>0</v>
      </c>
      <c r="BX23" s="784">
        <f t="array" ref="BX23">IF('Customer Inputs'!$W$6="End",0,IFERROR(IF($BU23="SEGMENT",INDEX('Margin Guidence Table'!$A$1:$AG$10000,MATCH(1,('Margin Guidence Table'!$A$1:$A$10000=$BS23)*('Margin Guidence Table'!$I$1:$I$10000&lt;=ROUND($BK$3,0))*('Margin Guidence Table'!$J$1:$J$10000&gt;=ROUND($BK$3,0)),0),MATCH("MDA_MIN_MARGIN_GUIDENCE",'Margin Guidence Table'!$A$1:$AG$1,0)),INDEX('Margin Guidence Table'!$A$1:$AG$10000,MATCH(1,('Margin Guidence Table'!$A$1:$A$10000=$BS23)*('Margin Guidence Table'!$I$1:$I$10000&lt;=ROUND($BK$3,0))*('Margin Guidence Table'!$J$1:$J$10000&gt;=ROUND($BK$3,0)),0),MATCH("DEFAULT_MDA_MIN_MARGIN_GUIDENCE",'Margin Guidence Table'!$A$1:$AG$1,0))),0))</f>
        <v>0</v>
      </c>
      <c r="BY23" s="784">
        <f t="array" ref="BY23">IF('Customer Inputs'!$W$6="End",0,IFERROR(IF($BU23="SEGMENT",INDEX('Margin Guidence Table'!$A$1:$AG$10000,MATCH(1,('Margin Guidence Table'!$A$1:$A$10000=$BS23)*('Margin Guidence Table'!$I$1:$I$10000&lt;=ROUND($BK$3,0))*('Margin Guidence Table'!$J$1:$J$10000&gt;=ROUND($BK$3,0)),0),MATCH("MDA_MEDIAN_MARGIN_GUIDENCE",'Margin Guidence Table'!$A$1:$AG$1,0)),INDEX('Margin Guidence Table'!$A$1:$AG$10000,MATCH(1,('Margin Guidence Table'!$A$1:$A$10000=$BS23)*('Margin Guidence Table'!$I$1:$I$10000&lt;=ROUND($BK$3,0))*('Margin Guidence Table'!$J$1:$J$10000&gt;=ROUND($BK$3,0)),0),MATCH("DEFAULT_MDA_MEDIAN_MARGIN_GUIDENCE",'Margin Guidence Table'!$A$1:$AG$1,0))),0))</f>
        <v>0</v>
      </c>
      <c r="BZ23" s="784">
        <f t="array" ref="BZ23">IF('Customer Inputs'!$W$6="End",0,IFERROR(IF($BU23="SEGMENT",INDEX('Margin Guidence Table'!$A$1:$AG$10000,MATCH(1,('Margin Guidence Table'!$A$1:$A$10000=$BS23)*('Margin Guidence Table'!$I$1:$I$10000&lt;=ROUND($BK$3,0))*('Margin Guidence Table'!$J$1:$J$10000&gt;=ROUND($BK$3,0)),0),MATCH("MDA_MAX_MARGIN_GUIDENCE",'Margin Guidence Table'!$A$1:$AG$1,0)),INDEX('Margin Guidence Table'!$A$1:$AG$10000,MATCH(1,('Margin Guidence Table'!$A$1:$A$10000=$BS23)*('Margin Guidence Table'!$I$1:$I$10000&lt;=ROUND($BK$3,0))*('Margin Guidence Table'!$J$1:$J$10000&gt;=ROUND($BK$3,0)),0),MATCH("DEFAULT_MDA_MAX_MARGIN_GUIDENCE",'Margin Guidence Table'!$A$1:$AG$1,0))),0))</f>
        <v>0</v>
      </c>
      <c r="CA23" s="784">
        <f t="array" ref="CA23">IF('Customer Inputs'!$W$6="End",0,IFERROR(IF($BU23="SEGMENT",INDEX('Margin Guidence Table'!$A$1:$AG$10000,MATCH(1,('Margin Guidence Table'!$A$1:$A$10000=$BS23)*('Margin Guidence Table'!$I$1:$I$10000&lt;=ROUND($BK$3,0))*('Margin Guidence Table'!$J$1:$J$10000&gt;=ROUND($BK$3,0)),0),MATCH("PA_PCT_SALES",'Margin Guidence Table'!$A$1:$AG$1,0)),INDEX('Margin Guidence Table'!$A$1:$AG$10000,MATCH(1,('Margin Guidence Table'!$A$1:$A$10000=$BS23)*('Margin Guidence Table'!$I$1:$I$10000&lt;=ROUND($BK$3,0))*('Margin Guidence Table'!$J$1:$J$10000&gt;=ROUND($BK$3,0)),0),MATCH("DEFAULT_PA_PCT_SALES",'Margin Guidence Table'!$A$1:$AG$1,0))),0))</f>
        <v>0</v>
      </c>
      <c r="CB23" s="784">
        <f t="array" ref="CB23">IF('Customer Inputs'!$W$6="End",0,IFERROR(IF($BU23="SEGMENT",INDEX('Margin Guidence Table'!$A$1:$AG$10000,MATCH(1,('Margin Guidence Table'!$A$1:$A$10000=$BS23)*('Margin Guidence Table'!$I$1:$I$10000&lt;=ROUND($BK$3,0))*('Margin Guidence Table'!$J$1:$J$10000&gt;=ROUND($BK$3,0)),0),MATCH("SELF_FUND_PCT_SALES",'Margin Guidence Table'!$A$1:$AG$1,0)),INDEX('Margin Guidence Table'!$A$1:$AG$10000,MATCH(1,('Margin Guidence Table'!$A$1:$A$10000=$BS23)*('Margin Guidence Table'!$I$1:$I$10000&lt;=ROUND($BK$3,0))*('Margin Guidence Table'!$J$1:$J$10000&gt;=ROUND($BK$3,0)),0),MATCH("DEFAULT_SELF_FUND_PCT_SALES",'Margin Guidence Table'!$A$1:$AG$1,0))),0))</f>
        <v>0</v>
      </c>
      <c r="CC23" s="784">
        <f t="array" ref="CC23">IF('Customer Inputs'!$W$6="End",0,IF($BL$2="Existing",IFERROR(SUMIFS('Existing Customers'!$V:$V,'Existing Customers'!$H:$H,$BJ23,'Existing Customers'!$A:$A,$BK$1)/SUMIFS('Existing Customers'!$Q:$Q,'Existing Customers'!$H:$H,$BJ23,'Existing Customers'!$A:$A,$BK$1),0),IFERROR(IF($BU23="SEGMENT",INDEX('Margin Guidence Table'!$A$1:$AG$10000,MATCH(1,('Margin Guidence Table'!$A$1:$A$10000=$BS23)*('Margin Guidence Table'!$I$1:$I$10000&lt;=ROUND($BK$3,0))*('Margin Guidence Table'!$J$1:$J$10000&gt;=ROUND($BK$3,0)),0),MATCH("CIA_MEDIAN_MARGIN_GUIDENCE",'Margin Guidence Table'!$A$1:$AG$1,0)),INDEX('Margin Guidence Table'!$A$1:$AG$10000,MATCH(1,('Margin Guidence Table'!$A$1:$A$10000=$BS23)*('Margin Guidence Table'!$I$1:$I$10000&lt;=ROUND($BK$3,0))*('Margin Guidence Table'!$J$1:$J$10000&gt;=ROUND($BK$3,0)),0),MATCH("DEFAULT_CIA_MEDIAN_MARGIN_GUIDENCE",'Margin Guidence Table'!$A$1:$AG$1,0))),0)))</f>
        <v>0</v>
      </c>
      <c r="CD23" s="126"/>
      <c r="CE23" s="18">
        <f t="array" ref="CE23">IF('Customer Inputs'!$W$7="End",0,IFERROR(IF($CR23="SEGMENT",INDEX('Margin Guidence Table'!$A$1:$AG$10000,MATCH(1,('Margin Guidence Table'!$A$1:$A$10000=$CP23)*('Margin Guidence Table'!$I$1:$I$10000&lt;=ROUND($CH$3,0))*('Margin Guidence Table'!$J$1:$J$10000&gt;=ROUND($CH$3,0)),0),MATCH("PCT_SALES",'Margin Guidence Table'!$A$1:$AG$1,0)),INDEX('Margin Guidence Table'!$A$1:$AG$10000,MATCH(1,('Margin Guidence Table'!$A$1:$A$10000=$CP23)*('Margin Guidence Table'!$I$1:$I$10000&lt;=ROUND($CH$3,0))*('Margin Guidence Table'!$J$1:$J$10000&gt;=ROUND($CH$3,0)),0),MATCH("DEFAULT_PCT_SALES",'Margin Guidence Table'!$A$1:$AG$1,0))),0))</f>
        <v>0</v>
      </c>
      <c r="CF23" s="297" t="e">
        <f t="shared" si="34"/>
        <v>#DIV/0!</v>
      </c>
      <c r="CG23" s="99" t="s">
        <v>101</v>
      </c>
      <c r="CH23" s="91">
        <f>IF('Customer Inputs'!$W$7="End",0,IFERROR(IF(AND($CH$2&lt;&gt;"Enter Spend&gt;&gt;&gt;",$CI$2="EXISTING"),SUMIFS('Existing Customers'!$Q:$Q,'Existing Customers'!$A:$A,$CH$1,'Existing Customers'!$H:$H,$CG23)*$CH$4,$CH$3*$CF23),0))</f>
        <v>0</v>
      </c>
      <c r="CI23" s="86">
        <f>IF('Customer Inputs'!$W$7="End",0,IFERROR(IF(AND($CH$2&lt;&gt;"Enter Spend&gt;&gt;&gt;",$CI$2="EXISTING"),SUMIFS('Existing Customers'!$N:$N,'Existing Customers'!$A:$A,$CH$1,'Existing Customers'!$H:$H,$CG23)*$CH$4,$CH23/$CS23),0))</f>
        <v>0</v>
      </c>
      <c r="CJ23" s="92">
        <f>IF('Customer Inputs'!$W$7="End",0,IFERROR(IF(AND($CH$2&lt;&gt;"Enter Spend&gt;&gt;&gt;",$CI$2="EXISTING"),SUMIFS('Existing Customers'!$O:$O,'Existing Customers'!$H:$H,$CG23,'Existing Customers'!$A:$A,$CH$1)*$CH$4,$CI23*$CH$8),0))</f>
        <v>0</v>
      </c>
      <c r="CK23" s="92">
        <f>IF('Customer Inputs'!$W$7="End",0,IFERROR(IF(AND($CH$2&lt;&gt;"Enter Spend&gt;&gt;&gt;",$CI$2="EXISTING"),SUMIFS('Existing Customers'!$P:$P,'Existing Customers'!$A:$A,$CH$1,'Existing Customers'!$H:$H,$CG23)*$CH$4,$CH23/$CT23),0))</f>
        <v>0</v>
      </c>
      <c r="CL23" s="93">
        <f>IF('Customer Inputs'!$W$7="End",0,IFERROR(IF(AND($CH$2&lt;&gt;"Enter Spend&gt;&gt;&gt;",$CI$2="EXISTING"),SUMIFS('Existing Customers'!$V:$V,'Existing Customers'!$H:$H,$CG23,'Existing Customers'!$A:$A,$CH$1)*$CH$4,0),0))</f>
        <v>0</v>
      </c>
      <c r="CM23" s="93">
        <f>IF('Customer Inputs'!$W$7="End",0,IFERROR(IF(AND($CH$2&lt;&gt;"Enter Spend&gt;&gt;&gt;",$CI$2="EXISTING"),SUMIFS('Existing Customers'!$R:$R,'Existing Customers'!$H:$H,$CG23,'Existing Customers'!$A:$A,$CH$1)*$CH$4,0),0))</f>
        <v>0</v>
      </c>
      <c r="CN23" s="780">
        <f>IF('Customer Inputs'!$W$7="End",0,IFERROR(IF(AND($CH$2&lt;&gt;"Enter Spend&gt;&gt;&gt;",$CI$2="EXISTING"),SUMIFS('Existing Customers'!$S:$S,'Existing Customers'!$H:$H,$CG23,'Existing Customers'!$A:$A,$CH$1)/SUMIFS('Existing Customers'!$Q:$Q,'Existing Customers'!$A:$A,$CH$1,'Existing Customers'!$H:$H,$CG23),CX23),0))</f>
        <v>0</v>
      </c>
      <c r="CO23" s="780">
        <f>IF('Customer Inputs'!$W$7="End",0,IFERROR(IF(AND($CH$2&lt;&gt;"Enter Spend&gt;&gt;&gt;",$CI$2="EXISTING"),SUMIFS('Existing Customers'!$U:$U,'Existing Customers'!$H:$H,$CG23,'Existing Customers'!$A:$A,$CH$1)/SUMIFS('Existing Customers'!$Q:$Q,'Existing Customers'!$A:$A,$CH$1,'Existing Customers'!$H:$H,$CG23),CY23),0))</f>
        <v>0</v>
      </c>
      <c r="CP23" s="783" t="e">
        <f>_xlfn.CONCAT('Customer Inputs'!$AH$7,"_",CG23)</f>
        <v>#N/A</v>
      </c>
      <c r="CQ23" s="783">
        <f t="array" ref="CQ23">IFERROR(INDEX('Margin Guidence Table'!$A$1:$AG$10000,MATCH(1,('Margin Guidence Table'!$A$1:$A$10000=$CP23)*('Margin Guidence Table'!$I$1:$I$10000&lt;=ROUND($CH$3,0))*('Margin Guidence Table'!$J$1:$J$10000&gt;=ROUND($CH$3,0)),0),MATCH("DATA_POINTS",'Margin Guidence Table'!$A$1:$AG$1,0)),0)</f>
        <v>0</v>
      </c>
      <c r="CR23" s="780" t="str">
        <f t="shared" si="35"/>
        <v>DEFAULT</v>
      </c>
      <c r="CS23" s="780">
        <f t="array" ref="CS23">IF('Customer Inputs'!$W$7="End",0,IFERROR(IF($CR23="SEGMENT",INDEX('Margin Guidence Table'!$A$1:$AG$10000,MATCH(1,('Margin Guidence Table'!$A$1:$A$10000=$CP23)*('Margin Guidence Table'!$I$1:$I$10000&lt;=ROUND($CH$3,0))*('Margin Guidence Table'!$J$1:$J$10000&gt;=ROUND($CH$3,0)),0),MATCH("SALES_CASE",'Margin Guidence Table'!$A$1:$AG$1,0)),INDEX('Margin Guidence Table'!$A$1:$AG$10000,MATCH(1,('Margin Guidence Table'!$A$1:$A$10000=$CP23)*('Margin Guidence Table'!$I$1:$I$10000&lt;=ROUND($CH$3,0))*('Margin Guidence Table'!$J$1:$J$10000&gt;=ROUND($CH$3,0)),0),MATCH("DEFAULT_SALES_CASE",'Margin Guidence Table'!$A$1:$AG$1,0))),0))</f>
        <v>0</v>
      </c>
      <c r="CT23" s="780">
        <f t="array" ref="CT23">IF('Customer Inputs'!$W$7="End",0,IFERROR(IF($CR23="SEGMENT",INDEX('Margin Guidence Table'!$A$1:$AG$10000,MATCH(1,('Margin Guidence Table'!$A$1:$A$10000=$CP23)*('Margin Guidence Table'!$I$1:$I$10000&lt;=ROUND($CH$3,0))*('Margin Guidence Table'!$J$1:$J$10000&gt;=ROUND($CH$3,0)),0),MATCH("SALES_LBS",'Margin Guidence Table'!$A$1:$AG$1,0)),INDEX('Margin Guidence Table'!$A$1:$AG$10000,MATCH(1,('Margin Guidence Table'!$A$1:$A$10000=$CP23)*('Margin Guidence Table'!$I$1:$I$10000&lt;=ROUND($CH$3,0))*('Margin Guidence Table'!$J$1:$J$10000&gt;=ROUND($CH$3,0)),0),MATCH("DEFAULT_SALES_LBS",'Margin Guidence Table'!$A$1:$AG$1,0))),0))</f>
        <v>0</v>
      </c>
      <c r="CU23" s="784">
        <f t="array" ref="CU23">IF('Customer Inputs'!$W$7="End",0,IFERROR(IF($CR23="SEGMENT",INDEX('Margin Guidence Table'!$A$1:$AG$10000,MATCH(1,('Margin Guidence Table'!$A$1:$A$10000=$CP23)*('Margin Guidence Table'!$I$1:$I$10000&lt;=ROUND($CH$3,0))*('Margin Guidence Table'!$J$1:$J$10000&gt;=ROUND($CH$3,0)),0),MATCH("MDA_MIN_MARGIN_GUIDENCE",'Margin Guidence Table'!$A$1:$AG$1,0)),INDEX('Margin Guidence Table'!$A$1:$AG$10000,MATCH(1,('Margin Guidence Table'!$A$1:$A$10000=$CP23)*('Margin Guidence Table'!$I$1:$I$10000&lt;=ROUND($CH$3,0))*('Margin Guidence Table'!$J$1:$J$10000&gt;=ROUND($CH$3,0)),0),MATCH("DEFAULT_MDA_MIN_MARGIN_GUIDENCE",'Margin Guidence Table'!$A$1:$AG$1,0))),0))</f>
        <v>0</v>
      </c>
      <c r="CV23" s="784">
        <f t="array" ref="CV23">IF('Customer Inputs'!$W$7="End",0,IFERROR(IF($CR23="SEGMENT",INDEX('Margin Guidence Table'!$A$1:$AG$10000,MATCH(1,('Margin Guidence Table'!$A$1:$A$10000=$CP23)*('Margin Guidence Table'!$I$1:$I$10000&lt;=ROUND($CH$3,0))*('Margin Guidence Table'!$J$1:$J$10000&gt;=ROUND($CH$3,0)),0),MATCH("MDA_MEDIAN_MARGIN_GUIDENCE",'Margin Guidence Table'!$A$1:$AG$1,0)),INDEX('Margin Guidence Table'!$A$1:$AG$10000,MATCH(1,('Margin Guidence Table'!$A$1:$A$10000=$CP23)*('Margin Guidence Table'!$I$1:$I$10000&lt;=ROUND($CH$3,0))*('Margin Guidence Table'!$J$1:$J$10000&gt;=ROUND($CH$3,0)),0),MATCH("DEFAULT_MDA_MEDIAN_MARGIN_GUIDENCE",'Margin Guidence Table'!$A$1:$AG$1,0))),0))</f>
        <v>0</v>
      </c>
      <c r="CW23" s="784">
        <f t="array" ref="CW23">IF('Customer Inputs'!$W$7="End",0,IFERROR(IF($CR23="SEGMENT",INDEX('Margin Guidence Table'!$A$1:$AG$10000,MATCH(1,('Margin Guidence Table'!$A$1:$A$10000=$CP23)*('Margin Guidence Table'!$I$1:$I$10000&lt;=ROUND($CH$3,0))*('Margin Guidence Table'!$J$1:$J$10000&gt;=ROUND($CH$3,0)),0),MATCH("MDA_MAX_MARGIN_GUIDENCE",'Margin Guidence Table'!$A$1:$AG$1,0)),INDEX('Margin Guidence Table'!$A$1:$AG$10000,MATCH(1,('Margin Guidence Table'!$A$1:$A$10000=$CP23)*('Margin Guidence Table'!$I$1:$I$10000&lt;=ROUND($CH$3,0))*('Margin Guidence Table'!$J$1:$J$10000&gt;=ROUND($CH$3,0)),0),MATCH("DEFAULT_MDA_MAX_MARGIN_GUIDENCE",'Margin Guidence Table'!$A$1:$AG$1,0))),0))</f>
        <v>0</v>
      </c>
      <c r="CX23" s="784">
        <f t="array" ref="CX23">IF('Customer Inputs'!$W$7="End",0,IFERROR(IF($CR23="SEGMENT",INDEX('Margin Guidence Table'!$A$1:$AG$10000,MATCH(1,('Margin Guidence Table'!$A$1:$A$10000=$CP23)*('Margin Guidence Table'!$I$1:$I$10000&lt;=ROUND($CH$3,0))*('Margin Guidence Table'!$J$1:$J$10000&gt;=ROUND($CH$3,0)),0),MATCH("PA_PCT_SALES",'Margin Guidence Table'!$A$1:$AG$1,0)),INDEX('Margin Guidence Table'!$A$1:$AG$10000,MATCH(1,('Margin Guidence Table'!$A$1:$A$10000=$CP23)*('Margin Guidence Table'!$I$1:$I$10000&lt;=ROUND($CH$3,0))*('Margin Guidence Table'!$J$1:$J$10000&gt;=ROUND($CH$3,0)),0),MATCH("DEFAULT_PA_PCT_SALES",'Margin Guidence Table'!$A$1:$AG$1,0))),0))</f>
        <v>0</v>
      </c>
      <c r="CY23" s="784">
        <f t="array" ref="CY23">IF('Customer Inputs'!$W$7="End",0,IFERROR(IF($CR23="SEGMENT",INDEX('Margin Guidence Table'!$A$1:$AG$10000,MATCH(1,('Margin Guidence Table'!$A$1:$A$10000=$CP23)*('Margin Guidence Table'!$I$1:$I$10000&lt;=ROUND($CH$3,0))*('Margin Guidence Table'!$J$1:$J$10000&gt;=ROUND($CH$3,0)),0),MATCH("SELF_FUND_PCT_SALES",'Margin Guidence Table'!$A$1:$AG$1,0)),INDEX('Margin Guidence Table'!$A$1:$AG$10000,MATCH(1,('Margin Guidence Table'!$A$1:$A$10000=$CP23)*('Margin Guidence Table'!$I$1:$I$10000&lt;=ROUND($CH$3,0))*('Margin Guidence Table'!$J$1:$J$10000&gt;=ROUND($CH$3,0)),0),MATCH("DEFAULT_SELF_FUND_PCT_SALES",'Margin Guidence Table'!$A$1:$AG$1,0))),0))</f>
        <v>0</v>
      </c>
      <c r="CZ23" s="784">
        <f t="array" ref="CZ23">IF('Customer Inputs'!$W$7="End",0,IF($CI$2="Existing",IFERROR(SUMIFS('Existing Customers'!$V:$V,'Existing Customers'!$H:$H,$CG23,'Existing Customers'!$A:$A,$CH$1)/SUMIFS('Existing Customers'!$Q:$Q,'Existing Customers'!$H:$H,$CG23,'Existing Customers'!$A:$A,$CH$1),0),IFERROR(IF($CR23="SEGMENT",INDEX('Margin Guidence Table'!$A$1:$AG$10000,MATCH(1,('Margin Guidence Table'!$A$1:$A$10000=$CP23)*('Margin Guidence Table'!$I$1:$I$10000&lt;=ROUND($CH$3,0))*('Margin Guidence Table'!$J$1:$J$10000&gt;=ROUND($CH$3,0)),0),MATCH("CIA_MEDIAN_MARGIN_GUIDENCE",'Margin Guidence Table'!$A$1:$AG$1,0)),INDEX('Margin Guidence Table'!$A$1:$AG$10000,MATCH(1,('Margin Guidence Table'!$A$1:$A$10000=$CP23)*('Margin Guidence Table'!$I$1:$I$10000&lt;=ROUND($CH$3,0))*('Margin Guidence Table'!$J$1:$J$10000&gt;=ROUND($CH$3,0)),0),MATCH("DEFAULT_CIA_MEDIAN_MARGIN_GUIDENCE",'Margin Guidence Table'!$A$1:$AG$1,0))),0)))</f>
        <v>0</v>
      </c>
      <c r="DA23" s="126"/>
      <c r="DB23" s="18">
        <f t="array" ref="DB23">IF('Customer Inputs'!$W$8="End",0,IFERROR(IF($DO23="SEGMENT",INDEX('Margin Guidence Table'!$A$1:$AG$10000,MATCH(1,('Margin Guidence Table'!$A$1:$A$10000=$DM23)*('Margin Guidence Table'!$I$1:$I$10000&lt;=ROUND($DE$3,0))*('Margin Guidence Table'!$J$1:$J$10000&gt;=ROUND($DE$3,0)),0),MATCH("PCT_SALES",'Margin Guidence Table'!$A$1:$AG$1,0)),INDEX('Margin Guidence Table'!$A$1:$AG$10000,MATCH(1,('Margin Guidence Table'!$A$1:$A$10000=$DM23)*('Margin Guidence Table'!$I$1:$I$10000&lt;=ROUND($DE$3,0))*('Margin Guidence Table'!$J$1:$J$10000&gt;=ROUND($DE$3,0)),0),MATCH("DEFAULT_PCT_SALES",'Margin Guidence Table'!$A$1:$AG$1,0))),0))</f>
        <v>0</v>
      </c>
      <c r="DC23" s="297" t="e">
        <f t="shared" si="36"/>
        <v>#DIV/0!</v>
      </c>
      <c r="DD23" s="99" t="s">
        <v>101</v>
      </c>
      <c r="DE23" s="91">
        <f>IF('Customer Inputs'!$W$8="End",0,IFERROR(IF(AND($DE$2&lt;&gt;"Enter Spend&gt;&gt;&gt;",$DF$2="EXISTING"),SUMIFS('Existing Customers'!$Q:$Q,'Existing Customers'!$A:$A,$DE$1,'Existing Customers'!$H:$H,$DD23)*$DE$4,$DE$3*$DC23),0))</f>
        <v>0</v>
      </c>
      <c r="DF23" s="86">
        <f>IF('Customer Inputs'!$W$8="End",0,IFERROR(IF(AND($DE$2&lt;&gt;"Enter Spend&gt;&gt;&gt;",$DF$2="EXISTING"),SUMIFS('Existing Customers'!$N:$N,'Existing Customers'!$A:$A,$DE$1,'Existing Customers'!$H:$H,$DD23)*$DE$4,$DE23/$DP23),0))</f>
        <v>0</v>
      </c>
      <c r="DG23" s="92">
        <f>IF('Customer Inputs'!$W$8="End",0,IFERROR(IF(AND($DE$2&lt;&gt;"Enter Spend&gt;&gt;&gt;",$DF$2="EXISTING"),SUMIFS('Existing Customers'!$O:$O,'Existing Customers'!$H:$H,$DD23,'Existing Customers'!$A:$A,$DE$1)*$DE$4,$DF23*$DE$8),0))</f>
        <v>0</v>
      </c>
      <c r="DH23" s="92">
        <f>IF('Customer Inputs'!$W$8="End",0,IFERROR(IF(AND($DE$2&lt;&gt;"Enter Spend&gt;&gt;&gt;",$DF$2="EXISTING"),SUMIFS('Existing Customers'!$P:$P,'Existing Customers'!$A:$A,$DE$1,'Existing Customers'!$H:$H,$DD23)*$DE$4,$DE23/$DQ23),0))</f>
        <v>0</v>
      </c>
      <c r="DI23" s="93">
        <f>IF('Customer Inputs'!$W$8="End",0,IFERROR(IF(AND($DE$2&lt;&gt;"Enter Spend&gt;&gt;&gt;",$DF$2="EXISTING"),SUMIFS('Existing Customers'!$V:$V,'Existing Customers'!$H:$H,$DD23,'Existing Customers'!$A:$A,$DE$1)*$DE$4,0),0))</f>
        <v>0</v>
      </c>
      <c r="DJ23" s="93">
        <f>IF('Customer Inputs'!$W$8="End",0,IFERROR(IF(AND($DE$2&lt;&gt;"Enter Spend&gt;&gt;&gt;",$DF$2="EXISTING"),SUMIFS('Existing Customers'!$R:$R,'Existing Customers'!$H:$H,$DD23,'Existing Customers'!$A:$A,$DE$1)*$DE$4,0),0))</f>
        <v>0</v>
      </c>
      <c r="DK23" s="780">
        <f>IF('Customer Inputs'!$W$8="End",0,IFERROR(IF(AND($DE$2&lt;&gt;"Enter Spend&gt;&gt;&gt;",$DF$2="EXISTING"),SUMIFS('Existing Customers'!$S:$S,'Existing Customers'!$H:$H,$DD23,'Existing Customers'!$A:$A,$DE$1)/SUMIFS('Existing Customers'!$Q:$Q,'Existing Customers'!$A:$A,$DE$1,'Existing Customers'!$H:$H,$DD23),DU23),0))</f>
        <v>0</v>
      </c>
      <c r="DL23" s="780">
        <f>IF('Customer Inputs'!$W$8="End",0,IFERROR(IF(AND($DE$2&lt;&gt;"Enter Spend&gt;&gt;&gt;",$DF$2="EXISTING"),SUMIFS('Existing Customers'!$U:$U,'Existing Customers'!$H:$H,$DD23,'Existing Customers'!$A:$A,$DE$1)/SUMIFS('Existing Customers'!$Q:$Q,'Existing Customers'!$A:$A,$DE$1,'Existing Customers'!$H:$H,$DD23),DV23),0))</f>
        <v>0</v>
      </c>
      <c r="DM23" s="783" t="e">
        <f>_xlfn.CONCAT('Customer Inputs'!$AH$8,"_",DD23)</f>
        <v>#N/A</v>
      </c>
      <c r="DN23" s="783">
        <f t="array" ref="DN23">IF('Customer Inputs'!$W$8="End",0,IFERROR(INDEX('Margin Guidence Table'!$A$1:$AG$10000,MATCH(1,('Margin Guidence Table'!$A$1:$A$10000=DM23)*('Margin Guidence Table'!$I$1:$I$10000&lt;=ROUND($DE$3,0))*('Margin Guidence Table'!$J$1:$J$10000&gt;=ROUND($DE$3,0)),0),MATCH("DATA_POINTS",'Margin Guidence Table'!$A$1:$AG$1,0)),0))</f>
        <v>0</v>
      </c>
      <c r="DO23" s="780" t="str">
        <f t="shared" si="37"/>
        <v>DEFAULT</v>
      </c>
      <c r="DP23" s="780">
        <f t="array" ref="DP23">IF('Customer Inputs'!$W$8="End",0,IFERROR(IF($DO23="SEGMENT",INDEX('Margin Guidence Table'!$A$1:$AG$10000,MATCH(1,('Margin Guidence Table'!$A$1:$A$10000=DM23)*('Margin Guidence Table'!$I$1:$I$10000&lt;=ROUND($DE$3,0))*('Margin Guidence Table'!$J$1:$J$10000&gt;=ROUND($DE$3,0)),0),MATCH("SALES_CASE",'Margin Guidence Table'!$A$1:$AG$1,0)),INDEX('Margin Guidence Table'!$A$1:$AG$10000,MATCH(1,('Margin Guidence Table'!$A$1:$A$10000=DM23)*('Margin Guidence Table'!$I$1:$I$10000&lt;=ROUND($DE$3,0))*('Margin Guidence Table'!$J$1:$J$10000&gt;=ROUND($DE$3,0)),0),MATCH("DEFAULT_SALES_CASE",'Margin Guidence Table'!$A$1:$AG$1,0))),0))</f>
        <v>0</v>
      </c>
      <c r="DQ23" s="780">
        <f t="array" ref="DQ23">IF('Customer Inputs'!$W$8="End",0,IFERROR(IF($DO23="SEGMENT",INDEX('Margin Guidence Table'!$A$1:$AG$10000,MATCH(1,('Margin Guidence Table'!$A$1:$A$10000=DM23)*('Margin Guidence Table'!$I$1:$I$10000&lt;=ROUND($DE$3,0))*('Margin Guidence Table'!$J$1:$J$10000&gt;=ROUND($DE$3,0)),0),MATCH("SALES_LBS",'Margin Guidence Table'!$A$1:$AG$1,0)),INDEX('Margin Guidence Table'!$A$1:$AG$10000,MATCH(1,('Margin Guidence Table'!$A$1:$A$10000=DM23)*('Margin Guidence Table'!$I$1:$I$10000&lt;=ROUND($DE$3,0))*('Margin Guidence Table'!$J$1:$J$10000&gt;=ROUND($DE$3,0)),0),MATCH("DEFAULT_SALES_LBS",'Margin Guidence Table'!$A$1:$AG$1,0))),0))</f>
        <v>0</v>
      </c>
      <c r="DR23" s="784">
        <f t="array" ref="DR23">IF('Customer Inputs'!$W$8="End",0,IFERROR(IF($DO23="SEGMENT",INDEX('Margin Guidence Table'!$A$1:$AG$10000,MATCH(1,('Margin Guidence Table'!$A$1:$A$10000=DM23)*('Margin Guidence Table'!$I$1:$I$10000&lt;=ROUND($DE$3,0))*('Margin Guidence Table'!$J$1:$J$10000&gt;=ROUND($DE$3,0)),0),MATCH("MDA_MIN_MARGIN_GUIDENCE",'Margin Guidence Table'!$A$1:$AG$1,0)),INDEX('Margin Guidence Table'!$A$1:$AG$10000,MATCH(1,('Margin Guidence Table'!$A$1:$A$10000=DM23)*('Margin Guidence Table'!$I$1:$I$10000&lt;=ROUND($DE$3,0))*('Margin Guidence Table'!$J$1:$J$10000&gt;=ROUND($DE$3,0)),0),MATCH("DEFAULT_MDA_MIN_MARGIN_GUIDENCE",'Margin Guidence Table'!$A$1:$AG$1,0))),0))</f>
        <v>0</v>
      </c>
      <c r="DS23" s="784">
        <f t="array" ref="DS23">IF('Customer Inputs'!$W$8="End",0,IFERROR(IF($DO23="SEGMENT",INDEX('Margin Guidence Table'!$A$1:$AG$10000,MATCH(1,('Margin Guidence Table'!$A$1:$A$10000=DM23)*('Margin Guidence Table'!$I$1:$I$10000&lt;=ROUND($DE$3,0))*('Margin Guidence Table'!$J$1:$J$10000&gt;=ROUND($DE$3,0)),0),MATCH("MDA_MEDIAN_MARGIN_GUIDENCE",'Margin Guidence Table'!$A$1:$AG$1,0)),INDEX('Margin Guidence Table'!$A$1:$AG$10000,MATCH(1,('Margin Guidence Table'!$A$1:$A$10000=DM23)*('Margin Guidence Table'!$I$1:$I$10000&lt;=ROUND($DE$3,0))*('Margin Guidence Table'!$J$1:$J$10000&gt;=ROUND($DE$3,0)),0),MATCH("DEFAULT_MDA_MEDIAN_MARGIN_GUIDENCE",'Margin Guidence Table'!$A$1:$AG$1,0))),0))</f>
        <v>0</v>
      </c>
      <c r="DT23" s="784">
        <f t="array" ref="DT23">IF('Customer Inputs'!$W$8="End",0,IFERROR(IF($DO23="SEGMENT",INDEX('Margin Guidence Table'!$A$1:$AG$10000,MATCH(1,('Margin Guidence Table'!$A$1:$A$10000=DM23)*('Margin Guidence Table'!$I$1:$I$10000&lt;=ROUND($DE$3,0))*('Margin Guidence Table'!$J$1:$J$10000&gt;=ROUND($DE$3,0)),0),MATCH("MDA_MAX_MARGIN_GUIDENCE",'Margin Guidence Table'!$A$1:$AG$1,0)),INDEX('Margin Guidence Table'!$A$1:$AG$10000,MATCH(1,('Margin Guidence Table'!$A$1:$A$10000=DM23)*('Margin Guidence Table'!$I$1:$I$10000&lt;=ROUND($DE$3,0))*('Margin Guidence Table'!$J$1:$J$10000&gt;=ROUND($DE$3,0)),0),MATCH("DEFAULT_MDA_MAX_MARGIN_GUIDENCE",'Margin Guidence Table'!$A$1:$AG$1,0))),0))</f>
        <v>0</v>
      </c>
      <c r="DU23" s="784">
        <f t="array" ref="DU23">IF('Customer Inputs'!$W$8="End",0,IFERROR(IF($DO23="SEGMENT",INDEX('Margin Guidence Table'!$A$1:$AG$10000,MATCH(1,('Margin Guidence Table'!$A$1:$A$10000=DM23)*('Margin Guidence Table'!$I$1:$I$10000&lt;=ROUND($DE$3,0))*('Margin Guidence Table'!$J$1:$J$10000&gt;=ROUND($DE$3,0)),0),MATCH("PA_PCT_SALES",'Margin Guidence Table'!$A$1:$AG$1,0)),INDEX('Margin Guidence Table'!$A$1:$AG$10000,MATCH(1,('Margin Guidence Table'!$A$1:$A$10000=DM23)*('Margin Guidence Table'!$I$1:$I$10000&lt;=ROUND($DE$3,0))*('Margin Guidence Table'!$J$1:$J$10000&gt;=ROUND($DE$3,0)),0),MATCH("DEFAULT_PA_PCT_SALES",'Margin Guidence Table'!$A$1:$AG$1,0))),0))</f>
        <v>0</v>
      </c>
      <c r="DV23" s="784">
        <f t="array" ref="DV23">IF('Customer Inputs'!$W$8="End",0,IFERROR(IF($DO23="SEGMENT",INDEX('Margin Guidence Table'!$A$1:$AG$10000,MATCH(1,('Margin Guidence Table'!$A$1:$A$10000=DM23)*('Margin Guidence Table'!$I$1:$I$10000&lt;=ROUND($DE$3,0))*('Margin Guidence Table'!$J$1:$J$10000&gt;=ROUND($DE$3,0)),0),MATCH("SELF_FUND_PCT_SALES",'Margin Guidence Table'!$A$1:$AG$1,0)),INDEX('Margin Guidence Table'!$A$1:$AG$10000,MATCH(1,('Margin Guidence Table'!$A$1:$A$10000=DM23)*('Margin Guidence Table'!$I$1:$I$10000&lt;=ROUND($DE$3,0))*('Margin Guidence Table'!$J$1:$J$10000&gt;=ROUND($DE$3,0)),0),MATCH("DEFAULT_SELF_FUND_PCT_SALES",'Margin Guidence Table'!$A$1:$AG$1,0))),0))</f>
        <v>0</v>
      </c>
      <c r="DW23" s="784">
        <f t="array" ref="DW23">IF('Customer Inputs'!$W$8="End",0,IF($DF$2="Existing",IFERROR(SUMIFS('Existing Customers'!$V:$V,'Existing Customers'!$H:$H,$DD23,'Existing Customers'!$A:$A,$DE$1)/SUMIFS('Existing Customers'!$Q:$Q,'Existing Customers'!$H:$H,$DD23,'Existing Customers'!$A:$A,$DE$1),0),IFERROR(IF($DO23="SEGMENT",INDEX('Margin Guidence Table'!$A$1:$AG$10000,MATCH(1,('Margin Guidence Table'!$A$1:$A$10000=DM23)*('Margin Guidence Table'!$I$1:$I$10000&lt;=ROUND($DE$3,0))*('Margin Guidence Table'!$J$1:$J$10000&gt;=ROUND($DE$3,0)),0),MATCH("CIA_MEDIAN_MARGIN_GUIDENCE",'Margin Guidence Table'!$A$1:$AG$1,0)),INDEX('Margin Guidence Table'!$A$1:$AG$10000,MATCH(1,('Margin Guidence Table'!$A$1:$A$10000=DM23)*('Margin Guidence Table'!$I$1:$I$10000&lt;=ROUND($DE$3,0))*('Margin Guidence Table'!$J$1:$J$10000&gt;=ROUND($DE$3,0)),0),MATCH("DEFAULT_CIA_MEDIAN_MARGIN_GUIDENCE",'Margin Guidence Table'!$A$1:$AG$1,0))),0)))</f>
        <v>0</v>
      </c>
      <c r="DX23" s="126"/>
      <c r="DY23" s="18">
        <f t="array" ref="DY23">IF('Customer Inputs'!$W$9="End",0,IFERROR(IF($EL23="SEGMENT",INDEX('Margin Guidence Table'!$A$1:$AG$10000,MATCH(1,('Margin Guidence Table'!$A$1:$A$10000=$EJ23)*('Margin Guidence Table'!$I$1:$I$10000&lt;=ROUND($EB$3,0))*('Margin Guidence Table'!$J$1:$J$10000&gt;=ROUND($EB$3,0)),0),MATCH("PCT_SALES",'Margin Guidence Table'!$A$1:$AG$1,0)),INDEX('Margin Guidence Table'!$A$1:$AG$10000,MATCH(1,('Margin Guidence Table'!$A$1:$A$10000=$EJ23)*('Margin Guidence Table'!$I$1:$I$10000&lt;=ROUND($EB$3,0))*('Margin Guidence Table'!$J$1:$J$10000&gt;=ROUND($EB$3,0)),0),MATCH("DEFAULT_PCT_SALES",'Margin Guidence Table'!$A$1:$AG$1,0))),0))</f>
        <v>0</v>
      </c>
      <c r="DZ23" s="297" t="e">
        <f t="shared" si="38"/>
        <v>#DIV/0!</v>
      </c>
      <c r="EA23" s="99" t="s">
        <v>101</v>
      </c>
      <c r="EB23" s="91">
        <f>IF('Customer Inputs'!$W$9="End",0,IFERROR(IF(AND($EB$2&lt;&gt;"Enter Spend&gt;&gt;&gt;",$EC$2="EXISTING"),SUMIFS('Existing Customers'!$Q:$Q,'Existing Customers'!$A:$A,$EB$1,'Existing Customers'!$H:$H,$EA23)*$EB$4,$EB$3*$DZ23),0))</f>
        <v>0</v>
      </c>
      <c r="EC23" s="86">
        <f>IF('Customer Inputs'!$W$9="End",0,IFERROR(IF(AND($EB$2&lt;&gt;"Enter Spend&gt;&gt;&gt;",$EC$2="EXISTING"),SUMIFS('Existing Customers'!$N:$N,'Existing Customers'!$A:$A,$EB$1,'Existing Customers'!$H:$H,$EA23)*$EB$4,$EB23/$EM23),0))</f>
        <v>0</v>
      </c>
      <c r="ED23" s="92">
        <f>IF('Customer Inputs'!$W$9="End",0,IFERROR(IF(AND($EB$2&lt;&gt;"Enter Spend&gt;&gt;&gt;",$EC$2="EXISTING"),SUMIFS('Existing Customers'!$O:$O,'Existing Customers'!$H:$H,$EA23,'Existing Customers'!$A:$A,$EB$1)*$EB$4,$EC23*$EB$8),0))</f>
        <v>0</v>
      </c>
      <c r="EE23" s="92">
        <f>IF('Customer Inputs'!$W$9="End",0,IFERROR(IF(AND($EB$2&lt;&gt;"Enter Spend&gt;&gt;&gt;",$EC$2="EXISTING"),SUMIFS('Existing Customers'!$P:$P,'Existing Customers'!$A:$A,$EB$1,'Existing Customers'!$H:$H,$EA23)*$EB$4,$EB23/$EN23),0))</f>
        <v>0</v>
      </c>
      <c r="EF23" s="93">
        <f>IF('Customer Inputs'!$W$9="End",0,IFERROR(IF(AND($EB$2&lt;&gt;"Enter Spend&gt;&gt;&gt;",$EC$2="EXISTING"),SUMIFS('Existing Customers'!$V:$V,'Existing Customers'!$H:$H,$EA23,'Existing Customers'!$A:$A,$EB$1)*$EB$4,0),0))</f>
        <v>0</v>
      </c>
      <c r="EG23" s="93">
        <f>IF('Customer Inputs'!$W$9="End",0,IFERROR(IF(AND($EB$2&lt;&gt;"Enter Spend&gt;&gt;&gt;",$EC$2="EXISTING"),SUMIFS('Existing Customers'!$R:$R,'Existing Customers'!$H:$H,$EA23,'Existing Customers'!$A:$A,$EB$1)*$EB$4,0),0))</f>
        <v>0</v>
      </c>
      <c r="EH23" s="780">
        <f>IF('Customer Inputs'!$W$9="End",0,IFERROR(IF(AND($EB$2&lt;&gt;"Enter Spend&gt;&gt;&gt;",$EC$2="EXISTING"),SUMIFS('Existing Customers'!$S:$S,'Existing Customers'!$H:$H,$EA23,'Existing Customers'!$A:$A,$EB$1)/SUMIFS('Existing Customers'!$Q:$Q,'Existing Customers'!$A:$A,$EB$1,'Existing Customers'!$H:$H,$EA23),ER23),0))</f>
        <v>0</v>
      </c>
      <c r="EI23" s="780">
        <f>IF('Customer Inputs'!$W$9="End",0,IFERROR(IF(AND($EB$2&lt;&gt;"Enter Spend&gt;&gt;&gt;",$EC$2="EXISTING"),SUMIFS('Existing Customers'!$U:$U,'Existing Customers'!$H:$H,$EA23,'Existing Customers'!$A:$A,$EB$1)/SUMIFS('Existing Customers'!$Q:$Q,'Existing Customers'!$A:$A,$EB$1,'Existing Customers'!$H:$H,$EA23),ES23),0))</f>
        <v>0</v>
      </c>
      <c r="EJ23" s="783" t="e">
        <f>_xlfn.CONCAT('Customer Inputs'!$AH$9,"_",EA23)</f>
        <v>#N/A</v>
      </c>
      <c r="EK23" s="783">
        <f t="array" ref="EK23">IF('Customer Inputs'!$W$9="End",0,IFERROR(INDEX('Margin Guidence Table'!$A$1:$AG$10000,MATCH(1,('Margin Guidence Table'!$A$1:$A$10000=EJ23)*('Margin Guidence Table'!$I$1:$I$10000&lt;=ROUND($EB$3,0))*('Margin Guidence Table'!$J$1:$J$10000&gt;=ROUND($EB$3,0)),0),MATCH("DATA_POINTS",'Margin Guidence Table'!$A$1:$AG$1,0)),0))</f>
        <v>0</v>
      </c>
      <c r="EL23" s="780" t="str">
        <f t="shared" si="39"/>
        <v>DEFAULT</v>
      </c>
      <c r="EM23" s="780">
        <f t="array" ref="EM23">IF('Customer Inputs'!$W$9="End",0,IFERROR(IF($EL23="SEGMENT",INDEX('Margin Guidence Table'!$A$1:$AG$10000,MATCH(1,('Margin Guidence Table'!$A$1:$A$10000=EJ23)*('Margin Guidence Table'!$I$1:$I$10000&lt;=ROUND($EB$3,0))*('Margin Guidence Table'!$J$1:$J$10000&gt;=ROUND($EB$3,0)),0),MATCH("SALES_CASE",'Margin Guidence Table'!$A$1:$AG$1,0)),INDEX('Margin Guidence Table'!$A$1:$AG$10000,MATCH(1,('Margin Guidence Table'!$A$1:$A$10000=EJ23)*('Margin Guidence Table'!$I$1:$I$10000&lt;=ROUND($EB$3,0))*('Margin Guidence Table'!$J$1:$J$10000&gt;=ROUND($EB$3,0)),0),MATCH("DEFAULT_SALES_CASE",'Margin Guidence Table'!$A$1:$AG$1,0))),0))</f>
        <v>0</v>
      </c>
      <c r="EN23" s="780">
        <f t="array" ref="EN23">IF('Customer Inputs'!$W$9="End",0,IFERROR(IF($EL23="SEGMENT",INDEX('Margin Guidence Table'!$A$1:$AG$10000,MATCH(1,('Margin Guidence Table'!$A$1:$A$10000=EJ23)*('Margin Guidence Table'!$I$1:$I$10000&lt;=ROUND($EB$3,0))*('Margin Guidence Table'!$J$1:$J$10000&gt;=ROUND($EB$3,0)),0),MATCH("SALES_LBS",'Margin Guidence Table'!$A$1:$AG$1,0)),INDEX('Margin Guidence Table'!$A$1:$AG$10000,MATCH(1,('Margin Guidence Table'!$A$1:$A$10000=EJ23)*('Margin Guidence Table'!$I$1:$I$10000&lt;=ROUND($EB$3,0))*('Margin Guidence Table'!$J$1:$J$10000&gt;=ROUND($EB$3,0)),0),MATCH("DEFAULT_SALES_LBS",'Margin Guidence Table'!$A$1:$AG$1,0))),0))</f>
        <v>0</v>
      </c>
      <c r="EO23" s="784">
        <f t="array" ref="EO23">IF('Customer Inputs'!$W$9="End",0,IFERROR(IF($EL23="SEGMENT",INDEX('Margin Guidence Table'!$A$1:$AG$10000,MATCH(1,('Margin Guidence Table'!$A$1:$A$10000=EJ23)*('Margin Guidence Table'!$I$1:$I$10000&lt;=ROUND($EB$3,0))*('Margin Guidence Table'!$J$1:$J$10000&gt;=ROUND($EB$3,0)),0),MATCH("MDA_MIN_MARGIN_GUIDENCE",'Margin Guidence Table'!$A$1:$AG$1,0)),INDEX('Margin Guidence Table'!$A$1:$AG$10000,MATCH(1,('Margin Guidence Table'!$A$1:$A$10000=EJ23)*('Margin Guidence Table'!$I$1:$I$10000&lt;=ROUND($EB$3,0))*('Margin Guidence Table'!$J$1:$J$10000&gt;=ROUND($EB$3,0)),0),MATCH("DEFAULT_MDA_MIN_MARGIN_GUIDENCE",'Margin Guidence Table'!$A$1:$AG$1,0))),0))</f>
        <v>0</v>
      </c>
      <c r="EP23" s="784">
        <f t="array" ref="EP23">IF('Customer Inputs'!$W$9="End",0,IFERROR(IF($EL23="SEGMENT",INDEX('Margin Guidence Table'!$A$1:$AG$10000,MATCH(1,('Margin Guidence Table'!$A$1:$A$10000=EJ23)*('Margin Guidence Table'!$I$1:$I$10000&lt;=ROUND($EB$3,0))*('Margin Guidence Table'!$J$1:$J$10000&gt;=ROUND($EB$3,0)),0),MATCH("MDA_MEDIAN_MARGIN_GUIDENCE",'Margin Guidence Table'!$A$1:$AG$1,0)),INDEX('Margin Guidence Table'!$A$1:$AG$10000,MATCH(1,('Margin Guidence Table'!$A$1:$A$10000=EJ23)*('Margin Guidence Table'!$I$1:$I$10000&lt;=ROUND($EB$3,0))*('Margin Guidence Table'!$J$1:$J$10000&gt;=ROUND($EB$3,0)),0),MATCH("DEFAULT_MDA_MEDIAN_MARGIN_GUIDENCE",'Margin Guidence Table'!$A$1:$AG$1,0))),0))</f>
        <v>0</v>
      </c>
      <c r="EQ23" s="784">
        <f t="array" ref="EQ23">IF('Customer Inputs'!$W$9="End",0,IFERROR(IF($EL23="SEGMENT",INDEX('Margin Guidence Table'!$A$1:$AG$10000,MATCH(1,('Margin Guidence Table'!$A$1:$A$10000=EJ23)*('Margin Guidence Table'!$I$1:$I$10000&lt;=ROUND($EB$3,0))*('Margin Guidence Table'!$J$1:$J$10000&gt;=ROUND($EB$3,0)),0),MATCH("MDA_MAX_MARGIN_GUIDENCE",'Margin Guidence Table'!$A$1:$AG$1,0)),INDEX('Margin Guidence Table'!$A$1:$AG$10000,MATCH(1,('Margin Guidence Table'!$A$1:$A$10000=EJ23)*('Margin Guidence Table'!$I$1:$I$10000&lt;=ROUND($EB$3,0))*('Margin Guidence Table'!$J$1:$J$10000&gt;=ROUND($EB$3,0)),0),MATCH("DEFAULT_MDA_MAX_MARGIN_GUIDENCE",'Margin Guidence Table'!$A$1:$AG$1,0))),0))</f>
        <v>0</v>
      </c>
      <c r="ER23" s="784">
        <f t="array" ref="ER23">IF('Customer Inputs'!$W$9="End",0,IFERROR(IF($EL23="SEGMENT",INDEX('Margin Guidence Table'!$A$1:$AG$10000,MATCH(1,('Margin Guidence Table'!$A$1:$A$10000=EJ23)*('Margin Guidence Table'!$I$1:$I$10000&lt;=ROUND($EB$3,0))*('Margin Guidence Table'!$J$1:$J$10000&gt;=ROUND($EB$3,0)),0),MATCH("PA_PCT_SALES",'Margin Guidence Table'!$A$1:$AG$1,0)),INDEX('Margin Guidence Table'!$A$1:$AG$10000,MATCH(1,('Margin Guidence Table'!$A$1:$A$10000=EJ23)*('Margin Guidence Table'!$I$1:$I$10000&lt;=ROUND($EB$3,0))*('Margin Guidence Table'!$J$1:$J$10000&gt;=ROUND($EB$3,0)),0),MATCH("DEFAULT_PA_PCT_SALES",'Margin Guidence Table'!$A$1:$AG$1,0))),0))</f>
        <v>0</v>
      </c>
      <c r="ES23" s="784">
        <f t="array" ref="ES23">IF('Customer Inputs'!$W$9="End",0,IFERROR(IF($EL23="SEGMENT",INDEX('Margin Guidence Table'!$A$1:$AG$10000,MATCH(1,('Margin Guidence Table'!$A$1:$A$10000=EJ23)*('Margin Guidence Table'!$I$1:$I$10000&lt;=ROUND($EB$3,0))*('Margin Guidence Table'!$J$1:$J$10000&gt;=ROUND($EB$3,0)),0),MATCH("SELF_FUND_PCT_SALES",'Margin Guidence Table'!$A$1:$AG$1,0)),INDEX('Margin Guidence Table'!$A$1:$AG$10000,MATCH(1,('Margin Guidence Table'!$A$1:$A$10000=EJ23)*('Margin Guidence Table'!$I$1:$I$10000&lt;=ROUND($EB$3,0))*('Margin Guidence Table'!$J$1:$J$10000&gt;=ROUND($EB$3,0)),0),MATCH("DEFAULT_SELF_FUND_PCT_SALES",'Margin Guidence Table'!$A$1:$AG$1,0))),0))</f>
        <v>0</v>
      </c>
      <c r="ET23" s="784">
        <f t="array" ref="ET23">IF('Customer Inputs'!$W$9="End",0,IF($EC$2="Existing",IFERROR(SUMIFS('Existing Customers'!$V:$V,'Existing Customers'!$H:$H,$EA23,'Existing Customers'!$A:$A,$EB$1)/SUMIFS('Existing Customers'!$Q:$Q,'Existing Customers'!$H:$H,$EA23,'Existing Customers'!$A:$A,$EB$1),0),IFERROR(IF($EL23="SEGMENT",INDEX('Margin Guidence Table'!$A$1:$AG$10000,MATCH(1,('Margin Guidence Table'!$A$1:$A$10000=EJ23)*('Margin Guidence Table'!$I$1:$I$10000&lt;=ROUND($EB$3,0))*('Margin Guidence Table'!$J$1:$J$10000&gt;=ROUND($EB$3,0)),0),MATCH("CIA_MEDIAN_MARGIN_GUIDENCE",'Margin Guidence Table'!$A$1:$AG$1,0)),INDEX('Margin Guidence Table'!$A$1:$AG$10000,MATCH(1,('Margin Guidence Table'!$A$1:$A$10000=EJ23)*('Margin Guidence Table'!$I$1:$I$10000&lt;=ROUND($EB$3,0))*('Margin Guidence Table'!$J$1:$J$10000&gt;=ROUND($EB$3,0)),0),MATCH("DEFAULT_CIA_MEDIAN_MARGIN_GUIDENCE",'Margin Guidence Table'!$A$1:$AG$1,0))),0)))</f>
        <v>0</v>
      </c>
      <c r="EU23" s="126"/>
      <c r="EV23" s="18">
        <f t="array" ref="EV23">IF('Customer Inputs'!$W$10="End",0,IFERROR(IF($FI23="SEGMENT",INDEX('Margin Guidence Table'!$A$1:$AG$10000,MATCH(1,('Margin Guidence Table'!$A$1:$A$10000=$FG23)*('Margin Guidence Table'!$I$1:$I$10000&lt;=ROUND($EY$3,0))*('Margin Guidence Table'!$J$1:$J$10000&gt;=ROUND($EY$3,0)),0),MATCH("PCT_SALES",'Margin Guidence Table'!$A$1:$AG$1,0)),INDEX('Margin Guidence Table'!$A$1:$AG$10000,MATCH(1,('Margin Guidence Table'!$A$1:$A$10000=$FG23)*('Margin Guidence Table'!$I$1:$I$10000&lt;=ROUND($EY$3,0))*('Margin Guidence Table'!$J$1:$J$10000&gt;=ROUND($EY$3,0)),0),MATCH("DEFAULT_PCT_SALES",'Margin Guidence Table'!$A$1:$AG$1,0))),0))</f>
        <v>0</v>
      </c>
      <c r="EW23" s="297" t="e">
        <f t="shared" si="40"/>
        <v>#DIV/0!</v>
      </c>
      <c r="EX23" s="99" t="s">
        <v>101</v>
      </c>
      <c r="EY23" s="91">
        <f>IF('Customer Inputs'!$W$10="End",0,IFERROR(IF(AND($EY$2&lt;&gt;"Enter Spend&gt;&gt;&gt;",$EZ$2="EXISTING"),SUMIFS('Existing Customers'!$Q:$Q,'Existing Customers'!$A:$A,$EY$1,'Existing Customers'!$H:$H,$EX23)*$EY$4,$EY$3*$EW23),0))</f>
        <v>0</v>
      </c>
      <c r="EZ23" s="86">
        <f>IF('Customer Inputs'!$W$10="End",0,IFERROR(IF(AND($EY$2&lt;&gt;"Enter Spend&gt;&gt;&gt;",$EZ$2="EXISTING"),SUMIFS('Existing Customers'!$N:$N,'Existing Customers'!$A:$A,$EY$1,'Existing Customers'!$H:$H,$EX23)*$EY$4,$EY23/$FJ23),0))</f>
        <v>0</v>
      </c>
      <c r="FA23" s="92">
        <f>IF('Customer Inputs'!$W$10="End",0,IFERROR(IF(AND($EY$2&lt;&gt;"Enter Spend&gt;&gt;&gt;",$EZ$2="EXISTING"),SUMIFS('Existing Customers'!$O:$O,'Existing Customers'!$H:$H,$EX23,'Existing Customers'!$A:$A,$EY$1)*$EY$4,$EZ23*$EY$8),0))</f>
        <v>0</v>
      </c>
      <c r="FB23" s="92">
        <f>IF('Customer Inputs'!$W$10="End",0,IFERROR(IF(AND($EY$2&lt;&gt;"Enter Spend&gt;&gt;&gt;",$EZ$2="EXISTING"),SUMIFS('Existing Customers'!$P:$P,'Existing Customers'!$A:$A,$EY$1,'Existing Customers'!$H:$H,$EX23)*$EY$4,$EY23/$FK23),0))</f>
        <v>0</v>
      </c>
      <c r="FC23" s="93">
        <f>IF('Customer Inputs'!$W$10="End",0,IFERROR(IF(AND($EY$2&lt;&gt;"Enter Spend&gt;&gt;&gt;",$EZ$2="EXISTING"),SUMIFS('Existing Customers'!$V:$V,'Existing Customers'!$H:$H,$EX23,'Existing Customers'!$A:$A,$EY$1)*$EY$4,0),0))</f>
        <v>0</v>
      </c>
      <c r="FD23" s="93">
        <f>IF('Customer Inputs'!$W$10="End",0,IFERROR(IF(AND($EY$2&lt;&gt;"Enter Spend&gt;&gt;&gt;",$EZ$2="EXISTING"),SUMIFS('Existing Customers'!$R:$R,'Existing Customers'!$H:$H,$EX23,'Existing Customers'!$A:$A,$EY$1)*$EY$4,0),0))</f>
        <v>0</v>
      </c>
      <c r="FE23" s="780">
        <f>IF('Customer Inputs'!$W$10="End",0,IFERROR(IF(AND($EY$2&lt;&gt;"Enter Spend&gt;&gt;&gt;",$EZ$2="EXISTING"),SUMIFS('Existing Customers'!$S:$S,'Existing Customers'!$H:$H,$EX23,'Existing Customers'!$A:$A,$EY$1)/SUMIFS('Existing Customers'!$Q:$Q,'Existing Customers'!$A:$A,$EY$1,'Existing Customers'!$H:$H,$EX23),FO23),0))</f>
        <v>0</v>
      </c>
      <c r="FF23" s="780">
        <f>IF('Customer Inputs'!$W$10="End",0,IFERROR(IF(AND($EY$2&lt;&gt;"Enter Spend&gt;&gt;&gt;",$EZ$2="EXISTING"),SUMIFS('Existing Customers'!$U:$U,'Existing Customers'!$H:$H,$EX23,'Existing Customers'!$A:$A,$EY$1)/SUMIFS('Existing Customers'!$Q:$Q,'Existing Customers'!$A:$A,$EY$1,'Existing Customers'!$H:$H,$EX23),FP23),0))</f>
        <v>0</v>
      </c>
      <c r="FG23" s="783" t="e">
        <f>_xlfn.CONCAT('Customer Inputs'!$AH$10,"_",EX23)</f>
        <v>#N/A</v>
      </c>
      <c r="FH23" s="783">
        <f t="array" ref="FH23">IF('Customer Inputs'!$W$10="End",0,IFERROR(INDEX('Margin Guidence Table'!$A$1:$AG$10000,MATCH(1,('Margin Guidence Table'!$A$1:$A$10000=FG23)*('Margin Guidence Table'!$I$1:$I$10000&lt;=ROUND($EY$3,0))*('Margin Guidence Table'!$J$1:$J$10000&gt;=ROUND($EY$3,0)),0),MATCH("DATA_POINTS",'Margin Guidence Table'!$A$1:$AG$1,0)),0))</f>
        <v>0</v>
      </c>
      <c r="FI23" s="780" t="str">
        <f t="shared" si="41"/>
        <v>DEFAULT</v>
      </c>
      <c r="FJ23" s="780">
        <f t="array" ref="FJ23">IF('Customer Inputs'!$W$10="End",0,IFERROR(IF($FI23="SEGMENT",INDEX('Margin Guidence Table'!$A$1:$AG$10000,MATCH(1,('Margin Guidence Table'!$A$1:$A$10000=FG23)*('Margin Guidence Table'!$I$1:$I$10000&lt;=ROUND($EY$3,0))*('Margin Guidence Table'!$J$1:$J$10000&gt;=ROUND($EY$3,0)),0),MATCH("SALES_CASE",'Margin Guidence Table'!$A$1:$AG$1,0)),INDEX('Margin Guidence Table'!$A$1:$AG$10000,MATCH(1,('Margin Guidence Table'!$A$1:$A$10000=FG23)*('Margin Guidence Table'!$I$1:$I$10000&lt;=ROUND($EY$3,0))*('Margin Guidence Table'!$J$1:$J$10000&gt;=ROUND($EY$3,0)),0),MATCH("DEFAULT_SALES_CASE",'Margin Guidence Table'!$A$1:$AG$1,0))),0))</f>
        <v>0</v>
      </c>
      <c r="FK23" s="780">
        <f t="array" ref="FK23">IF('Customer Inputs'!$W$10="End",0,IFERROR(IF($FI23="SEGMENT",INDEX('Margin Guidence Table'!$A$1:$AG$10000,MATCH(1,('Margin Guidence Table'!$A$1:$A$10000=FG23)*('Margin Guidence Table'!$I$1:$I$10000&lt;=ROUND($EY$3,0))*('Margin Guidence Table'!$J$1:$J$10000&gt;=ROUND($EY$3,0)),0),MATCH("SALES_LBS",'Margin Guidence Table'!$A$1:$AG$1,0)),INDEX('Margin Guidence Table'!$A$1:$AG$10000,MATCH(1,('Margin Guidence Table'!$A$1:$A$10000=FG23)*('Margin Guidence Table'!$I$1:$I$10000&lt;=ROUND($EY$3,0))*('Margin Guidence Table'!$J$1:$J$10000&gt;=ROUND($EY$3,0)),0),MATCH("DEFAULT_SALES_LBS",'Margin Guidence Table'!$A$1:$AG$1,0))),0))</f>
        <v>0</v>
      </c>
      <c r="FL23" s="784">
        <f t="array" ref="FL23">IF('Customer Inputs'!$W$10="End",0,IFERROR(IF($FI23="SEGMENT",INDEX('Margin Guidence Table'!$A$1:$AG$10000,MATCH(1,('Margin Guidence Table'!$A$1:$A$10000=FG23)*('Margin Guidence Table'!$I$1:$I$10000&lt;=ROUND($EY$3,0))*('Margin Guidence Table'!$J$1:$J$10000&gt;=ROUND($EY$3,0)),0),MATCH("MDA_MIN_MARGIN_GUIDENCE",'Margin Guidence Table'!$A$1:$AG$1,0)),INDEX('Margin Guidence Table'!$A$1:$AG$10000,MATCH(1,('Margin Guidence Table'!$A$1:$A$10000=FG23)*('Margin Guidence Table'!$I$1:$I$10000&lt;=ROUND($EY$3,0))*('Margin Guidence Table'!$J$1:$J$10000&gt;=ROUND($EY$3,0)),0),MATCH("DEFAULT_MDA_MIN_MARGIN_GUIDENCE",'Margin Guidence Table'!$A$1:$AG$1,0))),0))</f>
        <v>0</v>
      </c>
      <c r="FM23" s="784">
        <f t="array" ref="FM23">IF('Customer Inputs'!$W$10="End",0,IFERROR(IF($FI23="SEGMENT",INDEX('Margin Guidence Table'!$A$1:$AG$10000,MATCH(1,('Margin Guidence Table'!$A$1:$A$10000=FG23)*('Margin Guidence Table'!$I$1:$I$10000&lt;=ROUND($EY$3,0))*('Margin Guidence Table'!$J$1:$J$10000&gt;=ROUND($EY$3,0)),0),MATCH("MDA_MEDIAN_MARGIN_GUIDENCE",'Margin Guidence Table'!$A$1:$AG$1,0)),INDEX('Margin Guidence Table'!$A$1:$AG$10000,MATCH(1,('Margin Guidence Table'!$A$1:$A$10000=FG23)*('Margin Guidence Table'!$I$1:$I$10000&lt;=ROUND($EY$3,0))*('Margin Guidence Table'!$J$1:$J$10000&gt;=ROUND($EY$3,0)),0),MATCH("DEFAULT_MDA_MEDIAN_MARGIN_GUIDENCE",'Margin Guidence Table'!$A$1:$AG$1,0))),0))</f>
        <v>0</v>
      </c>
      <c r="FN23" s="784">
        <f t="array" ref="FN23">IF('Customer Inputs'!$W$10="End",0,IFERROR(IF($FI23="SEGMENT",INDEX('Margin Guidence Table'!$A$1:$AG$10000,MATCH(1,('Margin Guidence Table'!$A$1:$A$10000=FG23)*('Margin Guidence Table'!$I$1:$I$10000&lt;=ROUND($EY$3,0))*('Margin Guidence Table'!$J$1:$J$10000&gt;=ROUND($EY$3,0)),0),MATCH("MDA_MAX_MARGIN_GUIDENCE",'Margin Guidence Table'!$A$1:$AG$1,0)),INDEX('Margin Guidence Table'!$A$1:$AG$10000,MATCH(1,('Margin Guidence Table'!$A$1:$A$10000=FG23)*('Margin Guidence Table'!$I$1:$I$10000&lt;=ROUND($EY$3,0))*('Margin Guidence Table'!$J$1:$J$10000&gt;=ROUND($EY$3,0)),0),MATCH("DEFAULT_MDA_MAX_MARGIN_GUIDENCE",'Margin Guidence Table'!$A$1:$AG$1,0))),0))</f>
        <v>0</v>
      </c>
      <c r="FO23" s="784">
        <f t="array" ref="FO23">IF('Customer Inputs'!$W$10="End",0,IFERROR(IF($FI23="SEGMENT",INDEX('Margin Guidence Table'!$A$1:$AG$10000,MATCH(1,('Margin Guidence Table'!$A$1:$A$10000=FG23)*('Margin Guidence Table'!$I$1:$I$10000&lt;=ROUND($EY$3,0))*('Margin Guidence Table'!$J$1:$J$10000&gt;=ROUND($EY$3,0)),0),MATCH("PA_PCT_SALES",'Margin Guidence Table'!$A$1:$AG$1,0)),INDEX('Margin Guidence Table'!$A$1:$AG$10000,MATCH(1,('Margin Guidence Table'!$A$1:$A$10000=FG23)*('Margin Guidence Table'!$I$1:$I$10000&lt;=ROUND($EY$3,0))*('Margin Guidence Table'!$J$1:$J$10000&gt;=ROUND($EY$3,0)),0),MATCH("DEFAULT_PA_PCT_SALES",'Margin Guidence Table'!$A$1:$AG$1,0))),0))</f>
        <v>0</v>
      </c>
      <c r="FP23" s="784">
        <f t="array" ref="FP23">IF('Customer Inputs'!$W$10="End",0,IFERROR(IF($FI23="SEGMENT",INDEX('Margin Guidence Table'!$A$1:$AG$10000,MATCH(1,('Margin Guidence Table'!$A$1:$A$10000=FG23)*('Margin Guidence Table'!$I$1:$I$10000&lt;=ROUND($EY$3,0))*('Margin Guidence Table'!$J$1:$J$10000&gt;=ROUND($EY$3,0)),0),MATCH("SELF_FUND_PCT_SALES",'Margin Guidence Table'!$A$1:$AG$1,0)),INDEX('Margin Guidence Table'!$A$1:$AG$10000,MATCH(1,('Margin Guidence Table'!$A$1:$A$10000=FG23)*('Margin Guidence Table'!$I$1:$I$10000&lt;=ROUND($EY$3,0))*('Margin Guidence Table'!$J$1:$J$10000&gt;=ROUND($EY$3,0)),0),MATCH("DEFAULT_SELF_FUND_PCT_SALES",'Margin Guidence Table'!$A$1:$AG$1,0))),0))</f>
        <v>0</v>
      </c>
      <c r="FQ23" s="784">
        <f t="array" ref="FQ23">IF('Customer Inputs'!$W$10="End",0,IF($EZ$2="Existing",IFERROR(SUMIFS('Existing Customers'!$V:$V,'Existing Customers'!$H:$H,$EX23,'Existing Customers'!$A:$A,$EY$1)/SUMIFS('Existing Customers'!$Q:$Q,'Existing Customers'!$H:$H,$EX23,'Existing Customers'!$A:$A,$EY$1),0),IFERROR(IF($FI23="SEGMENT",INDEX('Margin Guidence Table'!$A$1:$AG$10000,MATCH(1,('Margin Guidence Table'!$A$1:$A$10000=FG23)*('Margin Guidence Table'!$I$1:$I$10000&lt;=ROUND($EY$3,0))*('Margin Guidence Table'!$J$1:$J$10000&gt;=ROUND($EY$3,0)),0),MATCH("CIA_MEDIAN_MARGIN_GUIDENCE",'Margin Guidence Table'!$A$1:$AG$1,0)),INDEX('Margin Guidence Table'!$A$1:$AG$10000,MATCH(1,('Margin Guidence Table'!$A$1:$A$10000=FG23)*('Margin Guidence Table'!$I$1:$I$10000&lt;=ROUND($EY$3,0))*('Margin Guidence Table'!$J$1:$J$10000&gt;=ROUND($EY$3,0)),0),MATCH("DEFAULT_CIA_MEDIAN_MARGIN_GUIDENCE",'Margin Guidence Table'!$A$1:$AG$1,0))),0)))</f>
        <v>0</v>
      </c>
      <c r="FR23" s="126"/>
      <c r="FS23" s="18">
        <f t="array" ref="FS23">IF('Customer Inputs'!$W$11="End",0,IFERROR(IF($GF23="SEGMENT",INDEX('Margin Guidence Table'!$A$1:$AG$10000,MATCH(1,('Margin Guidence Table'!$A$1:$A$10000=$GD23)*('Margin Guidence Table'!$I$1:$I$10000&lt;=ROUND($FV$3,0))*('Margin Guidence Table'!$J$1:$J$10000&gt;=ROUND($FV$3,0)),0),MATCH("PCT_SALES",'Margin Guidence Table'!$A$1:$AG$1,0)),INDEX('Margin Guidence Table'!$A$1:$AG$10000,MATCH(1,('Margin Guidence Table'!$A$1:$A$10000=$GD23)*('Margin Guidence Table'!$I$1:$I$10000&lt;=ROUND($FV$3,0))*('Margin Guidence Table'!$J$1:$J$10000&gt;=ROUND($FV$3,0)),0),MATCH("DEFAULT_PCT_SALES",'Margin Guidence Table'!$A$1:$AG$1,0))),0))</f>
        <v>0</v>
      </c>
      <c r="FT23" s="297" t="e">
        <f t="shared" si="42"/>
        <v>#DIV/0!</v>
      </c>
      <c r="FU23" s="99" t="s">
        <v>101</v>
      </c>
      <c r="FV23" s="91">
        <f>IF('Customer Inputs'!$W$11="End",0,IFERROR(IF(AND($FV$2&lt;&gt;"Enter Spend&gt;&gt;&gt;",$FW$2="EXISTING"),SUMIFS('Existing Customers'!$Q:$Q,'Existing Customers'!$A:$A,$FV$1,'Existing Customers'!$H:$H,$FU23)*$FV$4,$FV$3*$FT23),0))</f>
        <v>0</v>
      </c>
      <c r="FW23" s="86">
        <f>IF('Customer Inputs'!$W$11="End",0,IFERROR(IF(AND($FV$2&lt;&gt;"Enter Spend&gt;&gt;&gt;",$FW$2="EXISTING"),SUMIFS('Existing Customers'!$N:$N,'Existing Customers'!$A:$A,$FV$1,'Existing Customers'!$H:$H,$FU23)*$FV$4,$FV23/$GG23),0))</f>
        <v>0</v>
      </c>
      <c r="FX23" s="92">
        <f>IF('Customer Inputs'!$W$11="End",0,IFERROR(IF(AND($FV$2&lt;&gt;"Enter Spend&gt;&gt;&gt;",$FW$2="EXISTING"),SUMIFS('Existing Customers'!$O:$O,'Existing Customers'!$H:$H,$FU23,'Existing Customers'!$A:$A,$FV$1)*$FV$4,$FW23*$FV$8),0))</f>
        <v>0</v>
      </c>
      <c r="FY23" s="92">
        <f>IF('Customer Inputs'!$W$11="End",0,IFERROR(IF(AND($FV$2&lt;&gt;"Enter Spend&gt;&gt;&gt;",$FW$2="EXISTING"),SUMIFS('Existing Customers'!$P:$P,'Existing Customers'!$A:$A,$FV$1,'Existing Customers'!$H:$H,$FU23)*$FV$4,$FV23/$GH23),0))</f>
        <v>0</v>
      </c>
      <c r="FZ23" s="93">
        <f>IF('Customer Inputs'!$W$11="End",0,IFERROR(IF(AND($FV$2&lt;&gt;"Enter Spend&gt;&gt;&gt;",$FW$2="EXISTING"),SUMIFS('Existing Customers'!$V:$V,'Existing Customers'!$H:$H,$FU23,'Existing Customers'!$A:$A,$FV$1)*$FV$4,0),0))</f>
        <v>0</v>
      </c>
      <c r="GA23" s="93">
        <f>IF('Customer Inputs'!$W$11="End",0,IFERROR(IF(AND($FV$2&lt;&gt;"Enter Spend&gt;&gt;&gt;",$FW$2="EXISTING"),SUMIFS('Existing Customers'!$R:$R,'Existing Customers'!$H:$H,$FU23,'Existing Customers'!$A:$A,$FV$1)*$FV$4,0),0))</f>
        <v>0</v>
      </c>
      <c r="GB23" s="780">
        <f>IF('Customer Inputs'!$W$11="End",0,IFERROR(IF(AND($FV$2&lt;&gt;"Enter Spend&gt;&gt;&gt;",$FW$2="EXISTING"),SUMIFS('Existing Customers'!$S:$S,'Existing Customers'!$H:$H,$FU23,'Existing Customers'!$A:$A,$FV$1)/SUMIFS('Existing Customers'!$Q:$Q,'Existing Customers'!$A:$A,$FV$1,'Existing Customers'!$H:$H,$FU23),GL23),0))</f>
        <v>0</v>
      </c>
      <c r="GC23" s="780">
        <f>IF('Customer Inputs'!$W$11="End",0,IFERROR(IF(AND($FV$2&lt;&gt;"Enter Spend&gt;&gt;&gt;",$FW$2="EXISTING"),SUMIFS('Existing Customers'!$U:$U,'Existing Customers'!$H:$H,$FU23,'Existing Customers'!$A:$A,$FV$1)/SUMIFS('Existing Customers'!$Q:$Q,'Existing Customers'!$A:$A,$FV$1,'Existing Customers'!$H:$H,$FU23),GM23),0))</f>
        <v>0</v>
      </c>
      <c r="GD23" s="783" t="e">
        <f>_xlfn.CONCAT('Customer Inputs'!$AH$11,"_",FU23)</f>
        <v>#N/A</v>
      </c>
      <c r="GE23" s="783">
        <f t="array" ref="GE23">IF('Customer Inputs'!$W$11="End",0,IFERROR(INDEX('Margin Guidence Table'!$A$1:$AG$10000,MATCH(1,('Margin Guidence Table'!$A$1:$A$10000=GD23)*('Margin Guidence Table'!$I$1:$I$10000&lt;=ROUND($FV$3,0))*('Margin Guidence Table'!$J$1:$J$10000&gt;=ROUND($FV$3,0)),0),MATCH("DATA_POINTS",'Margin Guidence Table'!$A$1:$AG$1,0)),0))</f>
        <v>0</v>
      </c>
      <c r="GF23" s="780" t="str">
        <f t="shared" si="43"/>
        <v>DEFAULT</v>
      </c>
      <c r="GG23" s="780">
        <f t="array" ref="GG23">IF('Customer Inputs'!$W$11="End",0,IFERROR(IF($GF23="SEGMENT",INDEX('Margin Guidence Table'!$A$1:$AG$10000,MATCH(1,('Margin Guidence Table'!$A$1:$A$10000=GD23)*('Margin Guidence Table'!$I$1:$I$10000&lt;=ROUND($FV$3,0))*('Margin Guidence Table'!$J$1:$J$10000&gt;=ROUND($FV$3,0)),0),MATCH("SALES_CASE",'Margin Guidence Table'!$A$1:$AG$1,0)),INDEX('Margin Guidence Table'!$A$1:$AG$10000,MATCH(1,('Margin Guidence Table'!$A$1:$A$10000=GD23)*('Margin Guidence Table'!$I$1:$I$10000&lt;=ROUND($FV$3,0))*('Margin Guidence Table'!$J$1:$J$10000&gt;=ROUND($FV$3,0)),0),MATCH("DEFAULT_SALES_CASE",'Margin Guidence Table'!$A$1:$AG$1,0))),0))</f>
        <v>0</v>
      </c>
      <c r="GH23" s="780">
        <f t="array" ref="GH23">IF('Customer Inputs'!$W$11="End",0,IFERROR(IF($GF23="SEGMENT",INDEX('Margin Guidence Table'!$A$1:$AG$10000,MATCH(1,('Margin Guidence Table'!$A$1:$A$10000=GD23)*('Margin Guidence Table'!$I$1:$I$10000&lt;=ROUND($FV$3,0))*('Margin Guidence Table'!$J$1:$J$10000&gt;=ROUND($FV$3,0)),0),MATCH("SALES_LBS",'Margin Guidence Table'!$A$1:$AG$1,0)),INDEX('Margin Guidence Table'!$A$1:$AG$10000,MATCH(1,('Margin Guidence Table'!$A$1:$A$10000=GD23)*('Margin Guidence Table'!$I$1:$I$10000&lt;=ROUND($FV$3,0))*('Margin Guidence Table'!$J$1:$J$10000&gt;=ROUND($FV$3,0)),0),MATCH("DEFAULT_SALES_LBS",'Margin Guidence Table'!$A$1:$AG$1,0))),0))</f>
        <v>0</v>
      </c>
      <c r="GI23" s="784">
        <f t="array" ref="GI23">IF('Customer Inputs'!$W$11="End",0,IFERROR(IF($GF23="SEGMENT",INDEX('Margin Guidence Table'!$A$1:$AG$10000,MATCH(1,('Margin Guidence Table'!$A$1:$A$10000=GD23)*('Margin Guidence Table'!$I$1:$I$10000&lt;=ROUND($FV$3,0))*('Margin Guidence Table'!$J$1:$J$10000&gt;=ROUND($FV$3,0)),0),MATCH("MDA_MIN_MARGIN_GUIDENCE",'Margin Guidence Table'!$A$1:$AG$1,0)),INDEX('Margin Guidence Table'!$A$1:$AG$10000,MATCH(1,('Margin Guidence Table'!$A$1:$A$10000=GD23)*('Margin Guidence Table'!$I$1:$I$10000&lt;=ROUND($FV$3,0))*('Margin Guidence Table'!$J$1:$J$10000&gt;=ROUND($FV$3,0)),0),MATCH("DEFAULT_MDA_MIN_MARGIN_GUIDENCE",'Margin Guidence Table'!$A$1:$AG$1,0))),0))</f>
        <v>0</v>
      </c>
      <c r="GJ23" s="784">
        <f t="array" ref="GJ23">IF('Customer Inputs'!$W$11="End",0,IFERROR(IF($GF23="SEGMENT",INDEX('Margin Guidence Table'!$A$1:$AG$10000,MATCH(1,('Margin Guidence Table'!$A$1:$A$10000=GD23)*('Margin Guidence Table'!$I$1:$I$10000&lt;=ROUND($FV$3,0))*('Margin Guidence Table'!$J$1:$J$10000&gt;=ROUND($FV$3,0)),0),MATCH("MDA_MEDIAN_MARGIN_GUIDENCE",'Margin Guidence Table'!$A$1:$AG$1,0)),INDEX('Margin Guidence Table'!$A$1:$AG$10000,MATCH(1,('Margin Guidence Table'!$A$1:$A$10000=GD23)*('Margin Guidence Table'!$I$1:$I$10000&lt;=ROUND($FV$3,0))*('Margin Guidence Table'!$J$1:$J$10000&gt;=ROUND($FV$3,0)),0),MATCH("DEFAULT_MDA_MEDIAN_MARGIN_GUIDENCE",'Margin Guidence Table'!$A$1:$AG$1,0))),0))</f>
        <v>0</v>
      </c>
      <c r="GK23" s="784">
        <f t="array" ref="GK23">IF('Customer Inputs'!$W$11="End",0,IFERROR(IF($GF23="SEGMENT",INDEX('Margin Guidence Table'!$A$1:$AG$10000,MATCH(1,('Margin Guidence Table'!$A$1:$A$10000=GD23)*('Margin Guidence Table'!$I$1:$I$10000&lt;=ROUND($FV$3,0))*('Margin Guidence Table'!$J$1:$J$10000&gt;=ROUND($FV$3,0)),0),MATCH("MDA_MAX_MARGIN_GUIDENCE",'Margin Guidence Table'!$A$1:$AG$1,0)),INDEX('Margin Guidence Table'!$A$1:$AG$10000,MATCH(1,('Margin Guidence Table'!$A$1:$A$10000=GD23)*('Margin Guidence Table'!$I$1:$I$10000&lt;=ROUND($FV$3,0))*('Margin Guidence Table'!$J$1:$J$10000&gt;=ROUND($FV$3,0)),0),MATCH("DEFAULT_MDA_MAX_MARGIN_GUIDENCE",'Margin Guidence Table'!$A$1:$AG$1,0))),0))</f>
        <v>0</v>
      </c>
      <c r="GL23" s="784">
        <f t="array" ref="GL23">IF('Customer Inputs'!$W$11="End",0,IFERROR(IF($GF23="SEGMENT",INDEX('Margin Guidence Table'!$A$1:$AG$10000,MATCH(1,('Margin Guidence Table'!$A$1:$A$10000=GD23)*('Margin Guidence Table'!$I$1:$I$10000&lt;=ROUND($FV$3,0))*('Margin Guidence Table'!$J$1:$J$10000&gt;=ROUND($FV$3,0)),0),MATCH("PA_PCT_SALES",'Margin Guidence Table'!$A$1:$AG$1,0)),INDEX('Margin Guidence Table'!$A$1:$AG$10000,MATCH(1,('Margin Guidence Table'!$A$1:$A$10000=GD23)*('Margin Guidence Table'!$I$1:$I$10000&lt;=ROUND($FV$3,0))*('Margin Guidence Table'!$J$1:$J$10000&gt;=ROUND($FV$3,0)),0),MATCH("DEFAULT_PA_PCT_SALES",'Margin Guidence Table'!$A$1:$AG$1,0))),0))</f>
        <v>0</v>
      </c>
      <c r="GM23" s="784">
        <f t="array" ref="GM23">IF('Customer Inputs'!$W$11="End",0,IFERROR(IF($GF23="SEGMENT",INDEX('Margin Guidence Table'!$A$1:$AG$10000,MATCH(1,('Margin Guidence Table'!$A$1:$A$10000=GD23)*('Margin Guidence Table'!$I$1:$I$10000&lt;=ROUND($FV$3,0))*('Margin Guidence Table'!$J$1:$J$10000&gt;=ROUND($FV$3,0)),0),MATCH("SELF_FUND_PCT_SALES",'Margin Guidence Table'!$A$1:$AG$1,0)),INDEX('Margin Guidence Table'!$A$1:$AG$10000,MATCH(1,('Margin Guidence Table'!$A$1:$A$10000=GD23)*('Margin Guidence Table'!$I$1:$I$10000&lt;=ROUND($FV$3,0))*('Margin Guidence Table'!$J$1:$J$10000&gt;=ROUND($FV$3,0)),0),MATCH("DEFAULT_SELF_FUND_PCT_SALES",'Margin Guidence Table'!$A$1:$AG$1,0))),0))</f>
        <v>0</v>
      </c>
      <c r="GN23" s="784">
        <f t="array" ref="GN23">IF('Customer Inputs'!$W$11="End",0,IF($FW$2="Existing",IFERROR(SUMIFS('Existing Customers'!$V:$V,'Existing Customers'!$H:$H,$FU23,'Existing Customers'!$A:$A,$FV$1)/SUMIFS('Existing Customers'!$Q:$Q,'Existing Customers'!$H:$H,$FU23,'Existing Customers'!$A:$A,$FV$1),0),IFERROR(IF($GF23="SEGMENT",INDEX('Margin Guidence Table'!$A$1:$AG$10000,MATCH(1,('Margin Guidence Table'!$A$1:$A$10000=GD23)*('Margin Guidence Table'!$I$1:$I$10000&lt;=ROUND($FV$3,0))*('Margin Guidence Table'!$J$1:$J$10000&gt;=ROUND($FV$3,0)),0),MATCH("CIA_MEDIAN_MARGIN_GUIDENCE",'Margin Guidence Table'!$A$1:$AG$1,0)),INDEX('Margin Guidence Table'!$A$1:$AG$10000,MATCH(1,('Margin Guidence Table'!$A$1:$A$10000=GD23)*('Margin Guidence Table'!$I$1:$I$10000&lt;=ROUND($FV$3,0))*('Margin Guidence Table'!$J$1:$J$10000&gt;=ROUND($FV$3,0)),0),MATCH("DEFAULT_CIA_MEDIAN_MARGIN_GUIDENCE",'Margin Guidence Table'!$A$1:$AG$1,0))),0)))</f>
        <v>0</v>
      </c>
      <c r="GO23" s="126"/>
      <c r="GP23" s="18">
        <f t="array" ref="GP23">IF('Customer Inputs'!$W$12="End",0,IFERROR(IF($HC23="SEGMENT",INDEX('Margin Guidence Table'!$A$1:$AG$10000,MATCH(1,('Margin Guidence Table'!$A$1:$A$10000=$HA23)*('Margin Guidence Table'!$I$1:$I$10000&lt;=ROUND($GS$3,0))*('Margin Guidence Table'!$J$1:$J$10000&gt;=ROUND($GS$3,0)),0),MATCH("PCT_SALES",'Margin Guidence Table'!$A$1:$AG$1,0)),INDEX('Margin Guidence Table'!$A$1:$AG$10000,MATCH(1,('Margin Guidence Table'!$A$1:$A$10000=$HA23)*('Margin Guidence Table'!$I$1:$I$10000&lt;=ROUND($GS$3,0))*('Margin Guidence Table'!$J$1:$J$10000&gt;=ROUND($GS$3,0)),0),MATCH("DEFAULT_PCT_SALES",'Margin Guidence Table'!$A$1:$AG$1,0))),0))</f>
        <v>0</v>
      </c>
      <c r="GQ23" s="297" t="e">
        <f t="shared" si="44"/>
        <v>#DIV/0!</v>
      </c>
      <c r="GR23" s="99" t="s">
        <v>101</v>
      </c>
      <c r="GS23" s="91">
        <f>IF('Customer Inputs'!$W$12="End",0,IFERROR(IF(AND($GS$2&lt;&gt;"Enter Spend&gt;&gt;&gt;",$GT$2="EXISTING"),SUMIFS('Existing Customers'!$Q:$Q,'Existing Customers'!$A:$A,$GS$1,'Existing Customers'!$H:$H,$GR23)*$GS$4,$GS$3*$GQ23),0))</f>
        <v>0</v>
      </c>
      <c r="GT23" s="86">
        <f>IF('Customer Inputs'!$W$12="End",0,IFERROR(IF(AND($GS$2&lt;&gt;"Enter Spend&gt;&gt;&gt;",$GT$2="EXISTING"),SUMIFS('Existing Customers'!$N:$N,'Existing Customers'!$A:$A,$GS$1,'Existing Customers'!$H:$H,$GR23)*$GS$4,$GS23/$HD23),0))</f>
        <v>0</v>
      </c>
      <c r="GU23" s="92">
        <f>IF('Customer Inputs'!$W$12="End",0,IFERROR(IF(AND($GS$2&lt;&gt;"Enter Spend&gt;&gt;&gt;",$GT$2="EXISTING"),SUMIFS('Existing Customers'!$O:$O,'Existing Customers'!$H:$H,$GR23,'Existing Customers'!$A:$A,$GS$1)*$GS$4,$GT23*$GS$8),0))</f>
        <v>0</v>
      </c>
      <c r="GV23" s="92">
        <f>IF('Customer Inputs'!$W$12="End",0,IFERROR(IF(AND($GS$2&lt;&gt;"Enter Spend&gt;&gt;&gt;",$GT$2="EXISTING"),SUMIFS('Existing Customers'!$P:$P,'Existing Customers'!$A:$A,$GS$1,'Existing Customers'!$H:$H,$GR23)*$GS$4,$GS23/$HE23),0))</f>
        <v>0</v>
      </c>
      <c r="GW23" s="93">
        <f>IF('Customer Inputs'!$W$12="End",0,IFERROR(IF(AND($GS$2&lt;&gt;"Enter Spend&gt;&gt;&gt;",$GT$2="EXISTING"),SUMIFS('Existing Customers'!$V:$V,'Existing Customers'!$H:$H,$GR23,'Existing Customers'!$A:$A,$GS$1)*$GS$4,0),0))</f>
        <v>0</v>
      </c>
      <c r="GX23" s="93">
        <f>IF('Customer Inputs'!$W$12="End",0,IFERROR(IF(AND($GS$2&lt;&gt;"Enter Spend&gt;&gt;&gt;",$GT$2="EXISTING"),SUMIFS('Existing Customers'!$R:$R,'Existing Customers'!$H:$H,$GR23,'Existing Customers'!$A:$A,$GS$1)*$GS$4,0),0))</f>
        <v>0</v>
      </c>
      <c r="GY23" s="780">
        <f>IF('Customer Inputs'!$W$12="End",0,IFERROR(IF(AND($GS$2&lt;&gt;"Enter Spend&gt;&gt;&gt;",$GT$2="EXISTING"),SUMIFS('Existing Customers'!$S:$S,'Existing Customers'!$H:$H,$GR23,'Existing Customers'!$A:$A,$GS$1)/SUMIFS('Existing Customers'!$Q:$Q,'Existing Customers'!$A:$A,$GS$1,'Existing Customers'!$H:$H,$GR23),HI23),0))</f>
        <v>0</v>
      </c>
      <c r="GZ23" s="780">
        <f>IF('Customer Inputs'!$W$12="End",0,IFERROR(IF(AND($GS$2&lt;&gt;"Enter Spend&gt;&gt;&gt;",$GT$2="EXISTING"),SUMIFS('Existing Customers'!$U:$U,'Existing Customers'!$H:$H,$GR23,'Existing Customers'!$A:$A,$GS$1)/SUMIFS('Existing Customers'!$Q:$Q,'Existing Customers'!$A:$A,$GS$1,'Existing Customers'!$H:$H,$GR23),HJ23),0))</f>
        <v>0</v>
      </c>
      <c r="HA23" s="783" t="e">
        <f>_xlfn.CONCAT('Customer Inputs'!$AH$12,"_",GR23)</f>
        <v>#N/A</v>
      </c>
      <c r="HB23" s="783">
        <f t="array" ref="HB23">IF('Customer Inputs'!$W$12="End",0,IFERROR(INDEX('Margin Guidence Table'!$A$1:$AG$10000,MATCH(1,('Margin Guidence Table'!$A$1:$A$10000=HA23)*('Margin Guidence Table'!$I$1:$I$10000&lt;=ROUND($GS$3,0))*('Margin Guidence Table'!$J$1:$J$10000&gt;=ROUND($GS$3,0)),0),MATCH("DATA_POINTS",'Margin Guidence Table'!$A$1:$AG$1,0)),0))</f>
        <v>0</v>
      </c>
      <c r="HC23" s="780" t="str">
        <f t="shared" si="45"/>
        <v>DEFAULT</v>
      </c>
      <c r="HD23" s="780">
        <f t="array" ref="HD23">IF('Customer Inputs'!$W$12="End",0,IFERROR(IF($HC23="SEGMENT",INDEX('Margin Guidence Table'!$A$1:$AG$10000,MATCH(1,('Margin Guidence Table'!$A$1:$A$10000=HA23)*('Margin Guidence Table'!$I$1:$I$10000&lt;=ROUND($GS$3,0))*('Margin Guidence Table'!$J$1:$J$10000&gt;=ROUND($GS$3,0)),0),MATCH("SALES_CASE",'Margin Guidence Table'!$A$1:$AG$1,0)),INDEX('Margin Guidence Table'!$A$1:$AG$10000,MATCH(1,('Margin Guidence Table'!$A$1:$A$10000=HA23)*('Margin Guidence Table'!$I$1:$I$10000&lt;=ROUND($GS$3,0))*('Margin Guidence Table'!$J$1:$J$10000&gt;=ROUND($GS$3,0)),0),MATCH("DEFAULT_SALES_CASE",'Margin Guidence Table'!$A$1:$AG$1,0))),0))</f>
        <v>0</v>
      </c>
      <c r="HE23" s="780">
        <f t="array" ref="HE23">IF('Customer Inputs'!$W$12="End",0,IFERROR(IF($HC23="SEGMENT",INDEX('Margin Guidence Table'!$A$1:$AG$10000,MATCH(1,('Margin Guidence Table'!$A$1:$A$10000=HA23)*('Margin Guidence Table'!$I$1:$I$10000&lt;=ROUND($GS$3,0))*('Margin Guidence Table'!$J$1:$J$10000&gt;=ROUND($GS$3,0)),0),MATCH("SALES_LBS",'Margin Guidence Table'!$A$1:$AG$1,0)),INDEX('Margin Guidence Table'!$A$1:$AG$10000,MATCH(1,('Margin Guidence Table'!$A$1:$A$10000=HA23)*('Margin Guidence Table'!$I$1:$I$10000&lt;=ROUND($GS$3,0))*('Margin Guidence Table'!$J$1:$J$10000&gt;=ROUND($GS$3,0)),0),MATCH("DEFAULT_SALES_LBS",'Margin Guidence Table'!$A$1:$AG$1,0))),0))</f>
        <v>0</v>
      </c>
      <c r="HF23" s="784">
        <f t="array" ref="HF23">IF('Customer Inputs'!$W$12="End",0,IFERROR(IF($HC23="SEGMENT",INDEX('Margin Guidence Table'!$A$1:$AG$10000,MATCH(1,('Margin Guidence Table'!$A$1:$A$10000=HA23)*('Margin Guidence Table'!$I$1:$I$10000&lt;=ROUND($GS$3,0))*('Margin Guidence Table'!$J$1:$J$10000&gt;=ROUND($GS$3,0)),0),MATCH("MDA_MIN_MARGIN_GUIDENCE",'Margin Guidence Table'!$A$1:$AG$1,0)),INDEX('Margin Guidence Table'!$A$1:$AG$10000,MATCH(1,('Margin Guidence Table'!$A$1:$A$10000=HA23)*('Margin Guidence Table'!$I$1:$I$10000&lt;=ROUND($GS$3,0))*('Margin Guidence Table'!$J$1:$J$10000&gt;=ROUND($GS$3,0)),0),MATCH("DEFAULT_MDA_MIN_MARGIN_GUIDENCE",'Margin Guidence Table'!$A$1:$AG$1,0))),0))</f>
        <v>0</v>
      </c>
      <c r="HG23" s="784">
        <f t="array" ref="HG23">IF('Customer Inputs'!$W$12="End",0,IFERROR(IF($HC23="SEGMENT",INDEX('Margin Guidence Table'!$A$1:$AG$10000,MATCH(1,('Margin Guidence Table'!$A$1:$A$10000=HA23)*('Margin Guidence Table'!$I$1:$I$10000&lt;=ROUND($GS$3,0))*('Margin Guidence Table'!$J$1:$J$10000&gt;=ROUND($GS$3,0)),0),MATCH("MDA_MEDIAN_MARGIN_GUIDENCE",'Margin Guidence Table'!$A$1:$AG$1,0)),INDEX('Margin Guidence Table'!$A$1:$AG$10000,MATCH(1,('Margin Guidence Table'!$A$1:$A$10000=HA23)*('Margin Guidence Table'!$I$1:$I$10000&lt;=ROUND($GS$3,0))*('Margin Guidence Table'!$J$1:$J$10000&gt;=ROUND($GS$3,0)),0),MATCH("DEFAULT_MDA_MEDIAN_MARGIN_GUIDENCE",'Margin Guidence Table'!$A$1:$AG$1,0))),0))</f>
        <v>0</v>
      </c>
      <c r="HH23" s="784">
        <f t="array" ref="HH23">IF('Customer Inputs'!$W$12="End",0,IFERROR(IF($HC23="SEGMENT",INDEX('Margin Guidence Table'!$A$1:$AG$10000,MATCH(1,('Margin Guidence Table'!$A$1:$A$10000=HA23)*('Margin Guidence Table'!$I$1:$I$10000&lt;=ROUND($GS$3,0))*('Margin Guidence Table'!$J$1:$J$10000&gt;=ROUND($GS$3,0)),0),MATCH("MDA_MAX_MARGIN_GUIDENCE",'Margin Guidence Table'!$A$1:$AG$1,0)),INDEX('Margin Guidence Table'!$A$1:$AG$10000,MATCH(1,('Margin Guidence Table'!$A$1:$A$10000=HA23)*('Margin Guidence Table'!$I$1:$I$10000&lt;=ROUND($GS$3,0))*('Margin Guidence Table'!$J$1:$J$10000&gt;=ROUND($GS$3,0)),0),MATCH("DEFAULT_MDA_MAX_MARGIN_GUIDENCE",'Margin Guidence Table'!$A$1:$AG$1,0))),0))</f>
        <v>0</v>
      </c>
      <c r="HI23" s="784">
        <f t="array" ref="HI23">IF('Customer Inputs'!$W$12="End",0,IFERROR(IF($HC23="SEGMENT",INDEX('Margin Guidence Table'!$A$1:$AG$10000,MATCH(1,('Margin Guidence Table'!$A$1:$A$10000=HA23)*('Margin Guidence Table'!$I$1:$I$10000&lt;=ROUND($GS$3,0))*('Margin Guidence Table'!$J$1:$J$10000&gt;=ROUND($GS$3,0)),0),MATCH("PA_PCT_SALES",'Margin Guidence Table'!$A$1:$AG$1,0)),INDEX('Margin Guidence Table'!$A$1:$AG$10000,MATCH(1,('Margin Guidence Table'!$A$1:$A$10000=HA23)*('Margin Guidence Table'!$I$1:$I$10000&lt;=ROUND($GS$3,0))*('Margin Guidence Table'!$J$1:$J$10000&gt;=ROUND($GS$3,0)),0),MATCH("DEFAULT_PA_PCT_SALES",'Margin Guidence Table'!$A$1:$AG$1,0))),0))</f>
        <v>0</v>
      </c>
      <c r="HJ23" s="784">
        <f t="array" ref="HJ23">IF('Customer Inputs'!$W$12="End",0,IFERROR(IF($HC23="SEGMENT",INDEX('Margin Guidence Table'!$A$1:$AG$10000,MATCH(1,('Margin Guidence Table'!$A$1:$A$10000=HA23)*('Margin Guidence Table'!$I$1:$I$10000&lt;=ROUND($GS$3,0))*('Margin Guidence Table'!$J$1:$J$10000&gt;=ROUND($GS$3,0)),0),MATCH("SELF_FUND_PCT_SALES",'Margin Guidence Table'!$A$1:$AG$1,0)),INDEX('Margin Guidence Table'!$A$1:$AG$10000,MATCH(1,('Margin Guidence Table'!$A$1:$A$10000=HA23)*('Margin Guidence Table'!$I$1:$I$10000&lt;=ROUND($GS$3,0))*('Margin Guidence Table'!$J$1:$J$10000&gt;=ROUND($GS$3,0)),0),MATCH("DEFAULT_SELF_FUND_PCT_SALES",'Margin Guidence Table'!$A$1:$AG$1,0))),0))</f>
        <v>0</v>
      </c>
      <c r="HK23" s="784">
        <f t="array" ref="HK23">IF('Customer Inputs'!$W$12="End",0,IF($GT$2="Existing",IFERROR(SUMIFS('Existing Customers'!$V:$V,'Existing Customers'!$H:$H,$GR23,'Existing Customers'!$A:$A,$GS$1)/SUMIFS('Existing Customers'!$Q:$Q,'Existing Customers'!$H:$H,$GR23,'Existing Customers'!$A:$A,$GS$1),0),IFERROR(IF($HC23="SEGMENT",INDEX('Margin Guidence Table'!$A$1:$AG$10000,MATCH(1,('Margin Guidence Table'!$A$1:$A$10000=HA23)*('Margin Guidence Table'!$I$1:$I$10000&lt;=ROUND($GS$3,0))*('Margin Guidence Table'!$J$1:$J$10000&gt;=ROUND($GS$3,0)),0),MATCH("CIA_MEDIAN_MARGIN_GUIDENCE",'Margin Guidence Table'!$A$1:$AG$1,0)),INDEX('Margin Guidence Table'!$A$1:$AG$10000,MATCH(1,('Margin Guidence Table'!$A$1:$A$10000=HA23)*('Margin Guidence Table'!$I$1:$I$10000&lt;=ROUND($GS$3,0))*('Margin Guidence Table'!$J$1:$J$10000&gt;=ROUND($GS$3,0)),0),MATCH("DEFAULT_CIA_MEDIAN_MARGIN_GUIDENCE",'Margin Guidence Table'!$A$1:$AG$1,0))),0)))</f>
        <v>0</v>
      </c>
      <c r="HL23" s="126"/>
      <c r="HM23" s="18">
        <f t="array" ref="HM23">IF('Customer Inputs'!$W$13="End",0,IFERROR(IF($HZ23="SEGMENT",INDEX('Margin Guidence Table'!$A$1:$AG$10000,MATCH(1,('Margin Guidence Table'!$A$1:$A$10000=$HX23)*('Margin Guidence Table'!$I$1:$I$10000&lt;=ROUND($HP$3,0))*('Margin Guidence Table'!$J$1:$J$10000&gt;=ROUND($HP$3,0)),0),MATCH("PCT_SALES",'Margin Guidence Table'!$A$1:$AG$1,0)),INDEX('Margin Guidence Table'!$A$1:$AG$10000,MATCH(1,('Margin Guidence Table'!$A$1:$A$10000=$HX23)*('Margin Guidence Table'!$I$1:$I$10000&lt;=ROUND($HP$3,0))*('Margin Guidence Table'!$J$1:$J$10000&gt;=ROUND($HP$3,0)),0),MATCH("DEFAULT_PCT_SALES",'Margin Guidence Table'!$A$1:$AG$1,0))),0))</f>
        <v>0</v>
      </c>
      <c r="HN23" s="297" t="e">
        <f t="shared" si="46"/>
        <v>#DIV/0!</v>
      </c>
      <c r="HO23" s="99" t="s">
        <v>101</v>
      </c>
      <c r="HP23" s="91">
        <f>IF('Customer Inputs'!$W$13="End",0,IFERROR(IF(AND($HP$2&lt;&gt;"Enter Spend&gt;&gt;&gt;",$HQ$2="EXISTING"),SUMIFS('Existing Customers'!$Q:$Q,'Existing Customers'!$A:$A,$HP$1,'Existing Customers'!$H:$H,$HO23)*$HP$4,$HP$3*$HN23),0))</f>
        <v>0</v>
      </c>
      <c r="HQ23" s="86">
        <f>IF('Customer Inputs'!$W$13="End",0,IFERROR(IF(AND($HP$2&lt;&gt;"Enter Spend&gt;&gt;&gt;",$HQ$2="EXISTING"),SUMIFS('Existing Customers'!$N:$N,'Existing Customers'!$A:$A,$HP$1,'Existing Customers'!$H:$H,$HO23)*$HP$4,$HP23/$IA23),0))</f>
        <v>0</v>
      </c>
      <c r="HR23" s="92">
        <f>IF('Customer Inputs'!$W$13="End",0,IFERROR(IF(AND($HP$2&lt;&gt;"Enter Spend&gt;&gt;&gt;",$HQ$2="EXISTING"),SUMIFS('Existing Customers'!$O:$O,'Existing Customers'!$H:$H,$HO23,'Existing Customers'!$A:$A,$HP$1)*$HP$4,$HQ23*$HP$8),0))</f>
        <v>0</v>
      </c>
      <c r="HS23" s="92">
        <f>IF('Customer Inputs'!$W$13="End",0,IFERROR(IF(AND($HP$2&lt;&gt;"Enter Spend&gt;&gt;&gt;",$HQ$2="EXISTING"),SUMIFS('Existing Customers'!$P:$P,'Existing Customers'!$A:$A,$HP$1,'Existing Customers'!$H:$H,$HO23)*$HP$4,$HP23/$IB23),0))</f>
        <v>0</v>
      </c>
      <c r="HT23" s="93">
        <f>IF('Customer Inputs'!$W$13="End",0,IFERROR(IF(AND($HP$2&lt;&gt;"Enter Spend&gt;&gt;&gt;",$HQ$2="EXISTING"),SUMIFS('Existing Customers'!$V:$V,'Existing Customers'!$H:$H,$HO23,'Existing Customers'!$A:$A,$HP$1)*$HP$4,0),0))</f>
        <v>0</v>
      </c>
      <c r="HU23" s="93">
        <f>IF('Customer Inputs'!$W$13="End",0,IFERROR(IF(AND($HP$2&lt;&gt;"Enter Spend&gt;&gt;&gt;",$HQ$2="EXISTING"),SUMIFS('Existing Customers'!$R:$R,'Existing Customers'!$H:$H,$HO23,'Existing Customers'!$A:$A,$HP$1)*$HP$4,0),0))</f>
        <v>0</v>
      </c>
      <c r="HV23" s="780">
        <f>IF('Customer Inputs'!$W$13="End",0,IFERROR(IF(AND($HP$2&lt;&gt;"Enter Spend&gt;&gt;&gt;",$HQ$2="EXISTING"),SUMIFS('Existing Customers'!$S:$S,'Existing Customers'!$H:$H,$HO23,'Existing Customers'!$A:$A,$HP$1)/SUMIFS('Existing Customers'!$Q:$Q,'Existing Customers'!$A:$A,$HP$1,'Existing Customers'!$H:$H,$HO23),IF23),0))</f>
        <v>0</v>
      </c>
      <c r="HW23" s="780">
        <f>IF('Customer Inputs'!$W$13="End",0,IFERROR(IF(AND($HP$2&lt;&gt;"Enter Spend&gt;&gt;&gt;",$HQ$2="EXISTING"),SUMIFS('Existing Customers'!$U:$U,'Existing Customers'!$H:$H,$HO23,'Existing Customers'!$A:$A,$HP$1)/SUMIFS('Existing Customers'!$Q:$Q,'Existing Customers'!$A:$A,$HP$1,'Existing Customers'!$H:$H,$HO23),IG23),0))</f>
        <v>0</v>
      </c>
      <c r="HX23" s="783" t="e">
        <f>_xlfn.CONCAT('Customer Inputs'!$AH$13,"_",HO23)</f>
        <v>#N/A</v>
      </c>
      <c r="HY23" s="783">
        <f t="array" ref="HY23">IF('Customer Inputs'!$W$13="End",0,IFERROR(INDEX('Margin Guidence Table'!$A$1:$AG$10000,MATCH(1,('Margin Guidence Table'!$A$1:$A$10000=HX23)*('Margin Guidence Table'!$I$1:$I$10000&lt;=ROUND($HP$3,0))*('Margin Guidence Table'!$J$1:$J$10000&gt;=ROUND($HP$3,0)),0),MATCH("DATA_POINTS",'Margin Guidence Table'!$A$1:$AG$1,0)),0))</f>
        <v>0</v>
      </c>
      <c r="HZ23" s="780" t="str">
        <f t="shared" si="47"/>
        <v>DEFAULT</v>
      </c>
      <c r="IA23" s="780">
        <f t="array" ref="IA23">IF('Customer Inputs'!$W$13="End",0,IFERROR(IF($HZ23="SEGMENT",INDEX('Margin Guidence Table'!$A$1:$AG$10000,MATCH(1,('Margin Guidence Table'!$A$1:$A$10000=HX23)*('Margin Guidence Table'!$I$1:$I$10000&lt;=ROUND($HP$3,0))*('Margin Guidence Table'!$J$1:$J$10000&gt;=ROUND($HP$3,0)),0),MATCH("SALES_CASE",'Margin Guidence Table'!$A$1:$AG$1,0)),INDEX('Margin Guidence Table'!$A$1:$AG$10000,MATCH(1,('Margin Guidence Table'!$A$1:$A$10000=HX23)*('Margin Guidence Table'!$I$1:$I$10000&lt;=ROUND($HP$3,0))*('Margin Guidence Table'!$J$1:$J$10000&gt;=ROUND($HP$3,0)),0),MATCH("DEFAULT_SALES_CASE",'Margin Guidence Table'!$A$1:$AG$1,0))),0))</f>
        <v>0</v>
      </c>
      <c r="IB23" s="780">
        <f t="array" ref="IB23">IF('Customer Inputs'!$W$13="End",0,IFERROR(IF($HZ23="SEGMENT",INDEX('Margin Guidence Table'!$A$1:$AG$10000,MATCH(1,('Margin Guidence Table'!$A$1:$A$10000=HX23)*('Margin Guidence Table'!$I$1:$I$10000&lt;=ROUND($HP$3,0))*('Margin Guidence Table'!$J$1:$J$10000&gt;=ROUND($HP$3,0)),0),MATCH("SALES_LBS",'Margin Guidence Table'!$A$1:$AG$1,0)),INDEX('Margin Guidence Table'!$A$1:$AG$10000,MATCH(1,('Margin Guidence Table'!$A$1:$A$10000=HX23)*('Margin Guidence Table'!$I$1:$I$10000&lt;=ROUND($HP$3,0))*('Margin Guidence Table'!$J$1:$J$10000&gt;=ROUND($HP$3,0)),0),MATCH("DEFAULT_SALES_LBS",'Margin Guidence Table'!$A$1:$AG$1,0))),0))</f>
        <v>0</v>
      </c>
      <c r="IC23" s="784">
        <f t="array" ref="IC23">IF('Customer Inputs'!$W$13="End",0,IFERROR(IF($HZ23="SEGMENT",INDEX('Margin Guidence Table'!$A$1:$AG$10000,MATCH(1,('Margin Guidence Table'!$A$1:$A$10000=HX23)*('Margin Guidence Table'!$I$1:$I$10000&lt;=ROUND($HP$3,0))*('Margin Guidence Table'!$J$1:$J$10000&gt;=ROUND($HP$3,0)),0),MATCH("MDA_MIN_MARGIN_GUIDENCE",'Margin Guidence Table'!$A$1:$AG$1,0)),INDEX('Margin Guidence Table'!$A$1:$AG$10000,MATCH(1,('Margin Guidence Table'!$A$1:$A$10000=HX23)*('Margin Guidence Table'!$I$1:$I$10000&lt;=ROUND($HP$3,0))*('Margin Guidence Table'!$J$1:$J$10000&gt;=ROUND($HP$3,0)),0),MATCH("DEFAULT_MDA_MIN_MARGIN_GUIDENCE",'Margin Guidence Table'!$A$1:$AG$1,0))),0))</f>
        <v>0</v>
      </c>
      <c r="ID23" s="784">
        <f t="array" ref="ID23">IF('Customer Inputs'!$W$13="End",0,IFERROR(IF($HZ23="SEGMENT",INDEX('Margin Guidence Table'!$A$1:$AG$10000,MATCH(1,('Margin Guidence Table'!$A$1:$A$10000=HX23)*('Margin Guidence Table'!$I$1:$I$10000&lt;=ROUND($HP$3,0))*('Margin Guidence Table'!$J$1:$J$10000&gt;=ROUND($HP$3,0)),0),MATCH("MDA_MEDIAN_MARGIN_GUIDENCE",'Margin Guidence Table'!$A$1:$AG$1,0)),INDEX('Margin Guidence Table'!$A$1:$AG$10000,MATCH(1,('Margin Guidence Table'!$A$1:$A$10000=HX23)*('Margin Guidence Table'!$I$1:$I$10000&lt;=ROUND($HP$3,0))*('Margin Guidence Table'!$J$1:$J$10000&gt;=ROUND($HP$3,0)),0),MATCH("DEFAULT_MDA_MEDIAN_MARGIN_GUIDENCE",'Margin Guidence Table'!$A$1:$AG$1,0))),0))</f>
        <v>0</v>
      </c>
      <c r="IE23" s="784">
        <f t="array" ref="IE23">IF('Customer Inputs'!$W$13="End",0,IFERROR(IF($HZ23="SEGMENT",INDEX('Margin Guidence Table'!$A$1:$AG$10000,MATCH(1,('Margin Guidence Table'!$A$1:$A$10000=HX23)*('Margin Guidence Table'!$I$1:$I$10000&lt;=ROUND($HP$3,0))*('Margin Guidence Table'!$J$1:$J$10000&gt;=ROUND($HP$3,0)),0),MATCH("MDA_MAX_MARGIN_GUIDENCE",'Margin Guidence Table'!$A$1:$AG$1,0)),INDEX('Margin Guidence Table'!$A$1:$AG$10000,MATCH(1,('Margin Guidence Table'!$A$1:$A$10000=HX23)*('Margin Guidence Table'!$I$1:$I$10000&lt;=ROUND($HP$3,0))*('Margin Guidence Table'!$J$1:$J$10000&gt;=ROUND($HP$3,0)),0),MATCH("DEFAULT_MDA_MAX_MARGIN_GUIDENCE",'Margin Guidence Table'!$A$1:$AG$1,0))),0))</f>
        <v>0</v>
      </c>
      <c r="IF23" s="784">
        <f t="array" ref="IF23">IF('Customer Inputs'!$W$13="End",0,IFERROR(IF($HZ23="SEGMENT",INDEX('Margin Guidence Table'!$A$1:$AG$10000,MATCH(1,('Margin Guidence Table'!$A$1:$A$10000=HX23)*('Margin Guidence Table'!$I$1:$I$10000&lt;=ROUND($HP$3,0))*('Margin Guidence Table'!$J$1:$J$10000&gt;=ROUND($HP$3,0)),0),MATCH("PA_PCT_SALES",'Margin Guidence Table'!$A$1:$AG$1,0)),INDEX('Margin Guidence Table'!$A$1:$AG$10000,MATCH(1,('Margin Guidence Table'!$A$1:$A$10000=HX23)*('Margin Guidence Table'!$I$1:$I$10000&lt;=ROUND($HP$3,0))*('Margin Guidence Table'!$J$1:$J$10000&gt;=ROUND($HP$3,0)),0),MATCH("DEFAULT_PA_PCT_SALES",'Margin Guidence Table'!$A$1:$AG$1,0))),0))</f>
        <v>0</v>
      </c>
      <c r="IG23" s="784">
        <f t="array" ref="IG23">IF('Customer Inputs'!$W$13="End",0,IFERROR(IF($HZ23="SEGMENT",INDEX('Margin Guidence Table'!$A$1:$AG$10000,MATCH(1,('Margin Guidence Table'!$A$1:$A$10000=HX23)*('Margin Guidence Table'!$I$1:$I$10000&lt;=ROUND($HP$3,0))*('Margin Guidence Table'!$J$1:$J$10000&gt;=ROUND($HP$3,0)),0),MATCH("SELF_FUND_PCT_SALES",'Margin Guidence Table'!$A$1:$AG$1,0)),INDEX('Margin Guidence Table'!$A$1:$AG$10000,MATCH(1,('Margin Guidence Table'!$A$1:$A$10000=HX23)*('Margin Guidence Table'!$I$1:$I$10000&lt;=ROUND($HP$3,0))*('Margin Guidence Table'!$J$1:$J$10000&gt;=ROUND($HP$3,0)),0),MATCH("DEFAULT_SELF_FUND_PCT_SALES",'Margin Guidence Table'!$A$1:$AG$1,0))),0))</f>
        <v>0</v>
      </c>
      <c r="IH23" s="784">
        <f t="array" ref="IH23">IF('Customer Inputs'!$W$13="End",0,IF($HQ$2="Existing",IFERROR(SUMIFS('Existing Customers'!$V:$V,'Existing Customers'!$H:$H,$HO23,'Existing Customers'!$A:$A,$HP$1)/SUMIFS('Existing Customers'!$Q:$Q,'Existing Customers'!$H:$H,$HO23,'Existing Customers'!$A:$A,$HP$1),0),IFERROR(IF($HZ23="SEGMENT",INDEX('Margin Guidence Table'!$A$1:$AG$10000,MATCH(1,('Margin Guidence Table'!$A$1:$A$10000=HX23)*('Margin Guidence Table'!$I$1:$I$10000&lt;=ROUND($HP$3,0))*('Margin Guidence Table'!$J$1:$J$10000&gt;=ROUND($HP$3,0)),0),MATCH("CIA_MEDIAN_MARGIN_GUIDENCE",'Margin Guidence Table'!$A$1:$AG$1,0)),INDEX('Margin Guidence Table'!$A$1:$AG$10000,MATCH(1,('Margin Guidence Table'!$A$1:$A$10000=HX23)*('Margin Guidence Table'!$I$1:$I$10000&lt;=ROUND($HP$3,0))*('Margin Guidence Table'!$J$1:$J$10000&gt;=ROUND($HP$3,0)),0),MATCH("DEFAULT_CIA_MEDIAN_MARGIN_GUIDENCE",'Margin Guidence Table'!$A$1:$AG$1,0))),0)))</f>
        <v>0</v>
      </c>
      <c r="II23" s="126"/>
      <c r="IJ23" s="18">
        <f t="array" ref="IJ23">IF('Customer Inputs'!$W$14="End",0,IFERROR(IF($IW23="SEGMENT",INDEX('Margin Guidence Table'!$A:$AC,MATCH(1,('Margin Guidence Table'!$A:$A=$IU23)*('Margin Guidence Table'!$H:$H&lt;=ROUND($IM$3,0))*('Margin Guidence Table'!$G:$G&gt;=ROUND($IM$3,0)),0),MATCH("PCT_SALES",'Margin Guidence Table'!$A$1:$AG$1,0)),INDEX('Margin Guidence Table'!$A:$AC,MATCH(1,('Margin Guidence Table'!$A:$A=$IU23)*('Margin Guidence Table'!$H:$H&lt;=ROUND($IM$3,0))*('Margin Guidence Table'!$G:$G&gt;=ROUND($IM$3,0)),0),MATCH("DEFAULT_PCT_SALES",'Margin Guidence Table'!$A$1:$AG$1,0))),0))</f>
        <v>0</v>
      </c>
      <c r="IK23" s="297" t="e">
        <f t="shared" si="48"/>
        <v>#DIV/0!</v>
      </c>
      <c r="IL23" s="99" t="s">
        <v>101</v>
      </c>
      <c r="IM23" s="91">
        <f>IF('Customer Inputs'!$W$14="End",0,IFERROR(IF(AND($IM$2&lt;&gt;"Enter Spend&gt;&gt;&gt;",$IN$2="EXISTING"),SUMIFS('Existing Customers'!$Q:$Q,'Existing Customers'!$A:$A,$IM$1,'Existing Customers'!$H:$H,$IL23)*$IM$4,$IM$3*$IK23),0))</f>
        <v>0</v>
      </c>
      <c r="IN23" s="86">
        <f>IF('Customer Inputs'!$W$14="End",0,IFERROR(IF(AND($IM$2&lt;&gt;"Enter Spend&gt;&gt;&gt;",$IN$2="EXISTING"),SUMIFS('Existing Customers'!$N:$N,'Existing Customers'!$A:$A,$IM$1,'Existing Customers'!$H:$H,$IL23)*$IM$4,$IM23/$IX23),0))</f>
        <v>0</v>
      </c>
      <c r="IO23" s="92">
        <f>IF('Customer Inputs'!$W$14="End",0,IFERROR(IF(AND($IM$2&lt;&gt;"Enter Spend&gt;&gt;&gt;",$IN$2="EXISTING"),SUMIFS('Existing Customers'!$O:$O,'Existing Customers'!$H:$H,$IL23,'Existing Customers'!$A:$A,$IM$1)*$IM$4,$IN23*$IM$8),0))</f>
        <v>0</v>
      </c>
      <c r="IP23" s="92">
        <f>IF('Customer Inputs'!$W$14="End",0,IFERROR(IF(AND($IM$2&lt;&gt;"Enter Spend&gt;&gt;&gt;",$IN$2="EXISTING"),SUMIFS('Existing Customers'!$P:$P,'Existing Customers'!$A:$A,$IM$1,'Existing Customers'!$H:$H,$IL23)*$IM$4,$IM23/$IY23),0))</f>
        <v>0</v>
      </c>
      <c r="IQ23" s="303">
        <f>IF('Customer Inputs'!$W$14="End",0,IFERROR(IF(AND($IM$2&lt;&gt;"Enter Spend&gt;&gt;&gt;",$IN$2="EXISTING"),SUMIFS('Existing Customers'!$V:$V,'Existing Customers'!$H:$H,$IL23,'Existing Customers'!$A:$A,$IM$1)*$IM$4,0),0))</f>
        <v>0</v>
      </c>
      <c r="IR23" s="93">
        <f>IF('Customer Inputs'!$W$14="End",0,IFERROR(IF(AND($IM$2&lt;&gt;"Enter Spend&gt;&gt;&gt;",$IN$2="EXISTING"),SUMIFS('Existing Customers'!$R:$R,'Existing Customers'!$H:$H,$IL23,'Existing Customers'!$A:$A,$IM$1)*$IM$4,0),0))</f>
        <v>0</v>
      </c>
      <c r="IS23" s="780">
        <f>IF('Customer Inputs'!$W$14="End",0,IFERROR(IF(AND($IM$2&lt;&gt;"Enter Spend&gt;&gt;&gt;",$IN$2="EXISTING"),SUMIFS('Existing Customers'!$S:$S,'Existing Customers'!$H:$H,$IL23,'Existing Customers'!$A:$A,$IM$1)/SUMIFS('Existing Customers'!$Q:$Q,'Existing Customers'!$A:$A,$IM$1,'Existing Customers'!$H:$H,$IL23),JC23),0))</f>
        <v>0</v>
      </c>
      <c r="IT23" s="780">
        <f>IF('Customer Inputs'!$W$14="End",0,IFERROR(IF(AND($IM$2&lt;&gt;"Enter Spend&gt;&gt;&gt;",$IN$2="EXISTING"),SUMIFS('Existing Customers'!$U:$U,'Existing Customers'!$H:$H,$IL23,'Existing Customers'!$A:$A,$IM$1)/SUMIFS('Existing Customers'!$Q:$Q,'Existing Customers'!$A:$A,$IM$1,'Existing Customers'!$H:$H,$IL23),JD23),0))</f>
        <v>0</v>
      </c>
      <c r="IU23" s="783" t="e">
        <f>_xlfn.CONCAT('Customer Inputs'!$AH$14,"_",IL23)</f>
        <v>#N/A</v>
      </c>
      <c r="IV23" s="783">
        <f t="array" ref="IV23">IF('Customer Inputs'!$W$14="End",0,IFERROR(INDEX('Margin Guidence Table'!$A$1:$AG$10000,MATCH(1,('Margin Guidence Table'!$A$1:$A$10000=IU23)*('Margin Guidence Table'!$I$1:$I$10000&lt;=ROUND($IM$3,0))*('Margin Guidence Table'!$J$1:$J$10000&gt;=ROUND($IM$3,0)),0),MATCH("DATA_POINTS",'Margin Guidence Table'!$A$1:$AG$1,0)),0))</f>
        <v>0</v>
      </c>
      <c r="IW23" s="780" t="str">
        <f t="shared" si="49"/>
        <v>DEFAULT</v>
      </c>
      <c r="IX23" s="780">
        <f t="array" ref="IX23">IF('Customer Inputs'!$W$14="End",0,IFERROR(IF($IW23="SEGMENT",INDEX('Margin Guidence Table'!$A$1:$AG$10000,MATCH(1,('Margin Guidence Table'!$A$1:$A$10000=IU23)*('Margin Guidence Table'!$I$1:$I$10000&lt;=ROUND($IM$3,0))*('Margin Guidence Table'!$J$1:$J$10000&gt;=ROUND($IM$3,0)),0),MATCH("SALES_CASE",'Margin Guidence Table'!$A$1:$AG$1,0)),INDEX('Margin Guidence Table'!$A$1:$AG$10000,MATCH(1,('Margin Guidence Table'!$A$1:$A$10000=IU23)*('Margin Guidence Table'!$I$1:$I$10000&lt;=ROUND($IM$3,0))*('Margin Guidence Table'!$J$1:$J$10000&gt;=ROUND($IM$3,0)),0),MATCH("DEFAULT_SALES_CASE",'Margin Guidence Table'!$A$1:$AG$1,0))),0))</f>
        <v>0</v>
      </c>
      <c r="IY23" s="780">
        <f t="array" ref="IY23">IF('Customer Inputs'!$W$14="End",0,IFERROR(IF($IW23="SEGMENT",INDEX('Margin Guidence Table'!$A$1:$AG$10000,MATCH(1,('Margin Guidence Table'!$A$1:$A$10000=IU23)*('Margin Guidence Table'!$I$1:$I$10000&lt;=ROUND($IM$3,0))*('Margin Guidence Table'!$J$1:$J$10000&gt;=ROUND($IM$3,0)),0),MATCH("SALES_LBS",'Margin Guidence Table'!$A$1:$AG$1,0)),INDEX('Margin Guidence Table'!$A$1:$AG$10000,MATCH(1,('Margin Guidence Table'!$A$1:$A$10000=IU23)*('Margin Guidence Table'!$I$1:$I$10000&lt;=ROUND($IM$3,0))*('Margin Guidence Table'!$J$1:$J$10000&gt;=ROUND($IM$3,0)),0),MATCH("DEFAULT_SALES_LBS",'Margin Guidence Table'!$A$1:$AG$1,0))),0))</f>
        <v>0</v>
      </c>
      <c r="IZ23" s="784">
        <f t="array" ref="IZ23">IF('Customer Inputs'!$W$14="End",0,IFERROR(IF($IW23="SEGMENT",INDEX('Margin Guidence Table'!$A$1:$AG$10000,MATCH(1,('Margin Guidence Table'!$A$1:$A$10000=IU23)*('Margin Guidence Table'!$I$1:$I$10000&lt;=ROUND($IM$3,0))*('Margin Guidence Table'!$J$1:$J$10000&gt;=ROUND($IM$3,0)),0),MATCH("MDA_MIN_MARGIN_GUIDENCE",'Margin Guidence Table'!$A$1:$AG$1,0)),INDEX('Margin Guidence Table'!$A$1:$AG$10000,MATCH(1,('Margin Guidence Table'!$A$1:$A$10000=IU23)*('Margin Guidence Table'!$I$1:$I$10000&lt;=ROUND($IM$3,0))*('Margin Guidence Table'!$J$1:$J$10000&gt;=ROUND($IM$3,0)),0),MATCH("DEFAULT_MDA_MIN_MARGIN_GUIDENCE",'Margin Guidence Table'!$A$1:$AG$1,0))),0))</f>
        <v>0</v>
      </c>
      <c r="JA23" s="784">
        <f t="array" ref="JA23">IF('Customer Inputs'!$W$14="End",0,IFERROR(IF($IW23="SEGMENT",INDEX('Margin Guidence Table'!$A$1:$AG$10000,MATCH(1,('Margin Guidence Table'!$A$1:$A$10000=IU23)*('Margin Guidence Table'!$I$1:$I$10000&lt;=ROUND($IM$3,0))*('Margin Guidence Table'!$J$1:$J$10000&gt;=ROUND($IM$3,0)),0),MATCH("MDA_MEDIAN_MARGIN_GUIDENCE",'Margin Guidence Table'!$A$1:$AG$1,0)),INDEX('Margin Guidence Table'!$A$1:$AG$10000,MATCH(1,('Margin Guidence Table'!$A$1:$A$10000=IU23)*('Margin Guidence Table'!$I$1:$I$10000&lt;=ROUND($IM$3,0))*('Margin Guidence Table'!$J$1:$J$10000&gt;=ROUND($IM$3,0)),0),MATCH("DEFAULT_MDA_MEDIAN_MARGIN_GUIDENCE",'Margin Guidence Table'!$A$1:$AG$1,0))),0))</f>
        <v>0</v>
      </c>
      <c r="JB23" s="784">
        <f t="array" ref="JB23">IF('Customer Inputs'!$W$14="End",0,IFERROR(IF($IW23="SEGMENT",INDEX('Margin Guidence Table'!$A$1:$AG$10000,MATCH(1,('Margin Guidence Table'!$A$1:$A$10000=IU23)*('Margin Guidence Table'!$I$1:$I$10000&lt;=ROUND($IM$3,0))*('Margin Guidence Table'!$J$1:$J$10000&gt;=ROUND($IM$3,0)),0),MATCH("MDA_MAX_MARGIN_GUIDENCE",'Margin Guidence Table'!$A$1:$AG$1,0)),INDEX('Margin Guidence Table'!$A$1:$AG$10000,MATCH(1,('Margin Guidence Table'!$A$1:$A$10000=IU23)*('Margin Guidence Table'!$I$1:$I$10000&lt;=ROUND($IM$3,0))*('Margin Guidence Table'!$J$1:$J$10000&gt;=ROUND($IM$3,0)),0),MATCH("DEFAULT_MDA_MAX_MARGIN_GUIDENCE",'Margin Guidence Table'!$A$1:$AG$1,0))),0))</f>
        <v>0</v>
      </c>
      <c r="JC23" s="784">
        <f t="array" ref="JC23">IF('Customer Inputs'!$W$14="End",0,IFERROR(IF($IW23="SEGMENT",INDEX('Margin Guidence Table'!$A$1:$AG$10000,MATCH(1,('Margin Guidence Table'!$A$1:$A$10000=IU23)*('Margin Guidence Table'!$I$1:$I$10000&lt;=ROUND($IM$3,0))*('Margin Guidence Table'!$J$1:$J$10000&gt;=ROUND($IM$3,0)),0),MATCH("PA_PCT_SALES",'Margin Guidence Table'!$A$1:$AG$1,0)),INDEX('Margin Guidence Table'!$A$1:$AG$10000,MATCH(1,('Margin Guidence Table'!$A$1:$A$10000=IU23)*('Margin Guidence Table'!$I$1:$I$10000&lt;=ROUND($IM$3,0))*('Margin Guidence Table'!$J$1:$J$10000&gt;=ROUND($IM$3,0)),0),MATCH("DEFAULT_PA_PCT_SALES",'Margin Guidence Table'!$A$1:$AG$1,0))),0))</f>
        <v>0</v>
      </c>
      <c r="JD23" s="784">
        <f t="array" ref="JD23">IF('Customer Inputs'!$W$14="End",0,IFERROR(IF($IW23="SEGMENT",INDEX('Margin Guidence Table'!$A$1:$AG$10000,MATCH(1,('Margin Guidence Table'!$A$1:$A$10000=IU23)*('Margin Guidence Table'!$I$1:$I$10000&lt;=ROUND($IM$3,0))*('Margin Guidence Table'!$J$1:$J$10000&gt;=ROUND($IM$3,0)),0),MATCH("SELF_FUND_PCT_SALES",'Margin Guidence Table'!$A$1:$AG$1,0)),INDEX('Margin Guidence Table'!$A$1:$AG$10000,MATCH(1,('Margin Guidence Table'!$A$1:$A$10000=IU23)*('Margin Guidence Table'!$I$1:$I$10000&lt;=ROUND($IM$3,0))*('Margin Guidence Table'!$J$1:$J$10000&gt;=ROUND($IM$3,0)),0),MATCH("DEFAULT_SELF_FUND_PCT_SALES",'Margin Guidence Table'!$A$1:$AG$1,0))),0))</f>
        <v>0</v>
      </c>
      <c r="JE23" s="784">
        <f t="array" ref="JE23">IF('Customer Inputs'!$W$14="End",0,IF($IN$2="Existing",IFERROR(SUMIFS('Existing Customers'!$V:$V,'Existing Customers'!$H:$H,$IL23,'Existing Customers'!$A:$A,$IM$1)/SUMIFS('Existing Customers'!$Q:$Q,'Existing Customers'!$H:$H,$IL23,'Existing Customers'!$A:$A,$IM$1),0),IFERROR(IF($IW23="SEGMENT",INDEX('Margin Guidence Table'!$A$1:$AG$10000,MATCH(1,('Margin Guidence Table'!$A$1:$A$10000=IU23)*('Margin Guidence Table'!$I$1:$I$10000&lt;=ROUND($IM$3,0))*('Margin Guidence Table'!$J$1:$J$10000&gt;=ROUND($IM$3,0)),0),MATCH("CIA_MEDIAN_MARGIN_GUIDENCE",'Margin Guidence Table'!$A$1:$AG$1,0)),INDEX('Margin Guidence Table'!$A$1:$AG$10000,MATCH(1,('Margin Guidence Table'!$A$1:$A$10000=IU23)*('Margin Guidence Table'!$I$1:$I$10000&lt;=ROUND($IM$3,0))*('Margin Guidence Table'!$J$1:$J$10000&gt;=ROUND($IM$3,0)),0),MATCH("DEFAULT_CIA_MEDIAN_MARGIN_GUIDENCE",'Margin Guidence Table'!$A$1:$AG$1,0))),0)))</f>
        <v>0</v>
      </c>
      <c r="JF23" s="126"/>
      <c r="JG23" s="18">
        <f t="array" ref="JG23">IF('Customer Inputs'!$W$15="End",0,IFERROR(IF($JT23="SEGMENT",INDEX('Margin Guidence Table'!$A$1:$AG$10000,MATCH(1,('Margin Guidence Table'!$A$1:$A$10000=$JR23)*('Margin Guidence Table'!$I$1:$I$10000&lt;=ROUND($JJ$3,0))*('Margin Guidence Table'!$J$1:$J$10000&gt;=ROUND($JJ$3,0)),0),MATCH("PCT_SALES",'Margin Guidence Table'!$A$1:$AG$1,0)),INDEX('Margin Guidence Table'!$A$1:$AG$10000,MATCH(1,('Margin Guidence Table'!$A$1:$A$10000=$JR23)*('Margin Guidence Table'!$I$1:$I$10000&lt;=ROUND($JJ$3,0))*('Margin Guidence Table'!$J$1:$J$10000&gt;=ROUND($JJ$3,0)),0),MATCH("DEFAULT_PCT_SALES",'Margin Guidence Table'!$A$1:$AG$1,0))),0))</f>
        <v>0</v>
      </c>
      <c r="JH23" s="297" t="e">
        <f t="shared" si="50"/>
        <v>#DIV/0!</v>
      </c>
      <c r="JI23" s="99" t="s">
        <v>101</v>
      </c>
      <c r="JJ23" s="91">
        <f>IF('Customer Inputs'!$W$15="End",0,IFERROR(IF(AND($JJ$2&lt;&gt;"Enter Spend&gt;&gt;&gt;",$JK$2="EXISTING"),SUMIFS('Existing Customers'!$Q:$Q,'Existing Customers'!$A:$A,$JJ$1,'Existing Customers'!$H:$H,$JI23)*$JJ$4,$JJ$3*$JH23),0))</f>
        <v>0</v>
      </c>
      <c r="JK23" s="86">
        <f>IF('Customer Inputs'!$W$15="End",0,IFERROR(IF(AND($JJ$2&lt;&gt;"Enter Spend&gt;&gt;&gt;",$JK$2="EXISTING"),SUMIFS('Existing Customers'!$N:$N,'Existing Customers'!$A:$A,$JJ$1,'Existing Customers'!$H:$H,$JI23)*$JJ$4,$JJ23/$JU23),0))</f>
        <v>0</v>
      </c>
      <c r="JL23" s="92">
        <f>IF('Customer Inputs'!$W$15="End",0,IFERROR(IF(AND($JJ$2&lt;&gt;"Enter Spend&gt;&gt;&gt;",$JK$2="EXISTING"),SUMIFS('Existing Customers'!$O:$O,'Existing Customers'!$H:$H,$JI23,'Existing Customers'!$A:$A,$JJ$1)*$JJ$4,$JK23*$JJ$8),0))</f>
        <v>0</v>
      </c>
      <c r="JM23" s="92">
        <f>IF('Customer Inputs'!$W$15="End",0,IFERROR(IF(AND($JJ$2&lt;&gt;"Enter Spend&gt;&gt;&gt;",$JK$2="EXISTING"),SUMIFS('Existing Customers'!$P:$P,'Existing Customers'!$A:$A,$JJ$1,'Existing Customers'!$H:$H,$JI23)*$JJ$4,$JJ23/$JV23),0))</f>
        <v>0</v>
      </c>
      <c r="JN23" s="303">
        <f>IF('Customer Inputs'!$W$15="End",0,IFERROR(IF(AND($JJ$2&lt;&gt;"Enter Spend&gt;&gt;&gt;",$JK$2="EXISTING"),SUMIFS('Existing Customers'!$V:$V,'Existing Customers'!$H:$H,$JI23,'Existing Customers'!$A:$A,$JJ$1)*$JJ$4,0),0))</f>
        <v>0</v>
      </c>
      <c r="JO23" s="93">
        <f>IF('Customer Inputs'!$W$15="End",0,IFERROR(IF(AND($JJ$2&lt;&gt;"Enter Spend&gt;&gt;&gt;",$JK$2="EXISTING"),SUMIFS('Existing Customers'!$R:$R,'Existing Customers'!$H:$H,$JI23,'Existing Customers'!$A:$A,$JJ$1)*$JJ$4,0),0))</f>
        <v>0</v>
      </c>
      <c r="JP23" s="780">
        <f>IF('Customer Inputs'!$W$15="End",0,IFERROR(IF(AND($JJ$2&lt;&gt;"Enter Spend&gt;&gt;&gt;",$JK$2="EXISTING"),SUMIFS('Existing Customers'!$S:$S,'Existing Customers'!$H:$H,$JI23,'Existing Customers'!$A:$A,$JJ$1)/SUMIFS('Existing Customers'!$Q:$Q,'Existing Customers'!$A:$A,$JJ$1,'Existing Customers'!$H:$H,$JI23),JZ23),0))</f>
        <v>0</v>
      </c>
      <c r="JQ23" s="780">
        <f>IF('Customer Inputs'!$W$15="End",0,IFERROR(IF(AND($JJ$2&lt;&gt;"Enter Spend&gt;&gt;&gt;",$JK$2="EXISTING"),SUMIFS('Existing Customers'!$U:$U,'Existing Customers'!$H:$H,$JI23,'Existing Customers'!$A:$A,$JJ$1)/SUMIFS('Existing Customers'!$Q:$Q,'Existing Customers'!$A:$A,$JJ$1,'Existing Customers'!$H:$H,$JI23),KA23),0))</f>
        <v>0</v>
      </c>
      <c r="JR23" s="783" t="e">
        <f>_xlfn.CONCAT('Customer Inputs'!$AH$15,"_",JI23)</f>
        <v>#N/A</v>
      </c>
      <c r="JS23" s="783">
        <f t="array" ref="JS23">IF('Customer Inputs'!$W$15="End",0,IFERROR(INDEX('Margin Guidence Table'!$A$1:$AG$10000,MATCH(1,('Margin Guidence Table'!$A$1:$A$10000=JR23)*('Margin Guidence Table'!$I$1:$I$10000&lt;=ROUND($JJ$3,0))*('Margin Guidence Table'!$J$1:$J$10000&gt;=ROUND($JJ$3,0)),0),MATCH("DATA_POINTS",'Margin Guidence Table'!$A$1:$AG$1,0)),0))</f>
        <v>0</v>
      </c>
      <c r="JT23" s="780" t="str">
        <f t="shared" si="51"/>
        <v>DEFAULT</v>
      </c>
      <c r="JU23" s="780">
        <f t="array" ref="JU23">IF('Customer Inputs'!$W$15="End",0,IFERROR(IF($JT23="SEGMENT",INDEX('Margin Guidence Table'!$A$1:$AG$10000,MATCH(1,('Margin Guidence Table'!$A$1:$A$10000=JR23)*('Margin Guidence Table'!$I$1:$I$10000&lt;=ROUND($JJ$3,0))*('Margin Guidence Table'!$J$1:$J$10000&gt;=ROUND($JJ$3,0)),0),MATCH("SALES_CASE",'Margin Guidence Table'!$A$1:$AG$1,0)),INDEX('Margin Guidence Table'!$A$1:$AG$10000,MATCH(1,('Margin Guidence Table'!$A$1:$A$10000=JR23)*('Margin Guidence Table'!$I$1:$I$10000&lt;=ROUND($JJ$3,0))*('Margin Guidence Table'!$J$1:$J$10000&gt;=ROUND($JJ$3,0)),0),MATCH("DEFAULT_SALES_CASE",'Margin Guidence Table'!$A$1:$AG$1,0))),0))</f>
        <v>0</v>
      </c>
      <c r="JV23" s="780">
        <f t="array" ref="JV23">IF('Customer Inputs'!$W$15="End",0,IFERROR(IF($JT23="SEGMENT",INDEX('Margin Guidence Table'!$A$1:$AG$10000,MATCH(1,('Margin Guidence Table'!$A$1:$A$10000=JR23)*('Margin Guidence Table'!$I$1:$I$10000&lt;=ROUND($JJ$3,0))*('Margin Guidence Table'!$J$1:$J$10000&gt;=ROUND($JJ$3,0)),0),MATCH("SALES_LBS",'Margin Guidence Table'!$A$1:$AG$1,0)),INDEX('Margin Guidence Table'!$A$1:$AG$10000,MATCH(1,('Margin Guidence Table'!$A$1:$A$10000=JR23)*('Margin Guidence Table'!$I$1:$I$10000&lt;=ROUND($JJ$3,0))*('Margin Guidence Table'!$J$1:$J$10000&gt;=ROUND($JJ$3,0)),0),MATCH("DEFAULT_SALES_LBS",'Margin Guidence Table'!$A$1:$AG$1,0))),0))</f>
        <v>0</v>
      </c>
      <c r="JW23" s="784">
        <f t="array" ref="JW23">IF('Customer Inputs'!$W$15="End",0,IFERROR(IF($JT23="SEGMENT",INDEX('Margin Guidence Table'!$A$1:$AG$10000,MATCH(1,('Margin Guidence Table'!$A$1:$A$10000=JR23)*('Margin Guidence Table'!$I$1:$I$10000&lt;=ROUND($JJ$3,0))*('Margin Guidence Table'!$J$1:$J$10000&gt;=ROUND($JJ$3,0)),0),MATCH("MDA_MIN_MARGIN_GUIDENCE",'Margin Guidence Table'!$A$1:$AG$1,0)),INDEX('Margin Guidence Table'!$A$1:$AG$10000,MATCH(1,('Margin Guidence Table'!$A$1:$A$10000=JR23)*('Margin Guidence Table'!$I$1:$I$10000&lt;=ROUND($JJ$3,0))*('Margin Guidence Table'!$J$1:$J$10000&gt;=ROUND($JJ$3,0)),0),MATCH("DEFAULT_MDA_MIN_MARGIN_GUIDENCE",'Margin Guidence Table'!$A$1:$AG$1,0))),0))</f>
        <v>0</v>
      </c>
      <c r="JX23" s="784">
        <f t="array" ref="JX23">IF('Customer Inputs'!$W$15="End",0,IFERROR(IF($JT23="SEGMENT",INDEX('Margin Guidence Table'!$A$1:$AG$10000,MATCH(1,('Margin Guidence Table'!$A$1:$A$10000=JR23)*('Margin Guidence Table'!$I$1:$I$10000&lt;=ROUND($JJ$3,0))*('Margin Guidence Table'!$J$1:$J$10000&gt;=ROUND($JJ$3,0)),0),MATCH("MDA_MEDIAN_MARGIN_GUIDENCE",'Margin Guidence Table'!$A$1:$AG$1,0)),INDEX('Margin Guidence Table'!$A$1:$AG$10000,MATCH(1,('Margin Guidence Table'!$A$1:$A$10000=JR23)*('Margin Guidence Table'!$I$1:$I$10000&lt;=ROUND($JJ$3,0))*('Margin Guidence Table'!$J$1:$J$10000&gt;=ROUND($JJ$3,0)),0),MATCH("DEFAULT_MDA_MEDIAN_MARGIN_GUIDENCE",'Margin Guidence Table'!$A$1:$AG$1,0))),0))</f>
        <v>0</v>
      </c>
      <c r="JY23" s="784">
        <f t="array" ref="JY23">IF('Customer Inputs'!$W$15="End",0,IFERROR(IF($JT23="SEGMENT",INDEX('Margin Guidence Table'!$A$1:$AG$10000,MATCH(1,('Margin Guidence Table'!$A$1:$A$10000=JR23)*('Margin Guidence Table'!$I$1:$I$10000&lt;=ROUND($JJ$3,0))*('Margin Guidence Table'!$J$1:$J$10000&gt;=ROUND($JJ$3,0)),0),MATCH("MDA_MAX_MARGIN_GUIDENCE",'Margin Guidence Table'!$A$1:$AG$1,0)),INDEX('Margin Guidence Table'!$A$1:$AG$10000,MATCH(1,('Margin Guidence Table'!$A$1:$A$10000=JR23)*('Margin Guidence Table'!$I$1:$I$10000&lt;=ROUND($JJ$3,0))*('Margin Guidence Table'!$J$1:$J$10000&gt;=ROUND($JJ$3,0)),0),MATCH("DEFAULT_MDA_MAX_MARGIN_GUIDENCE",'Margin Guidence Table'!$A$1:$AG$1,0))),0))</f>
        <v>0</v>
      </c>
      <c r="JZ23" s="784">
        <f t="array" ref="JZ23">IF('Customer Inputs'!$W$15="End",0,IFERROR(IF($JT23="SEGMENT",INDEX('Margin Guidence Table'!$A$1:$AG$10000,MATCH(1,('Margin Guidence Table'!$A$1:$A$10000=JR23)*('Margin Guidence Table'!$I$1:$I$10000&lt;=ROUND($JJ$3,0))*('Margin Guidence Table'!$J$1:$J$10000&gt;=ROUND($JJ$3,0)),0),MATCH("PA_PCT_SALES",'Margin Guidence Table'!$A$1:$AG$1,0)),INDEX('Margin Guidence Table'!$A$1:$AG$10000,MATCH(1,('Margin Guidence Table'!$A$1:$A$10000=JR23)*('Margin Guidence Table'!$I$1:$I$10000&lt;=ROUND($JJ$3,0))*('Margin Guidence Table'!$J$1:$J$10000&gt;=ROUND($JJ$3,0)),0),MATCH("DEFAULT_PA_PCT_SALES",'Margin Guidence Table'!$A$1:$AG$1,0))),0))</f>
        <v>0</v>
      </c>
      <c r="KA23" s="784" cm="1">
        <f t="array" ref="KA23">IF('Customer Inputs'!$W$15="End",0,IFERROR(IF($JT23="SEGMENT",INDEX('Margin Guidence Table'!$A$1:$AG$10000,MATCH(1,('Margin Guidence Table'!$A$1:$A$10000=JR23)*('Margin Guidence Table'!$I$1:$I$10000&lt;=ROUND($JJ$3,0))*('Margin Guidence Table'!$J$1:$J$10000&gt;=ROUND($JJ$3,0)),0),MATCH("SELF_FUND_PCT_SALES",'Margin Guidence Table'!$A$1:$AG$1,0)),INDEX('Margin Guidence Table'!$A$1:$AG$10000,MATCH(1,('Margin Guidence Table'!$A$1:$A$10000=JR23)*('Margin Guidence Table'!$I$1:$I$10000&lt;=ROUND($JJ$3,0))*('Margin Guidence Table'!$J$1:$J$10000&gt;=ROUND($JJ$3,0)),0),MATCH("DEFAULT_SELF_FUND_PCT_SALES",'Margin Guidence Table'!$A$1:$AG$1,0))),0))</f>
        <v>0</v>
      </c>
      <c r="KB23" s="784">
        <f t="array" ref="KB23">IF('Customer Inputs'!$W$15="End",0,IF($JK$2="Existing",IFERROR(SUMIFS('Existing Customers'!$V:$V,'Existing Customers'!$H:$H,$JI23,'Existing Customers'!$A:$A,$JJ$1)/SUMIFS('Existing Customers'!$Q:$Q,'Existing Customers'!$H:$H,$JI23,'Existing Customers'!$A:$A,$JJ$1),0),IFERROR(IF($JT23="SEGMENT",INDEX('Margin Guidence Table'!$A$1:$AG$10000,MATCH(1,('Margin Guidence Table'!$A$1:$A$10000=JR23)*('Margin Guidence Table'!$I$1:$I$10000&lt;=ROUND($JJ$3,0))*('Margin Guidence Table'!$J$1:$J$10000&gt;=ROUND($JJ$3,0)),0),MATCH("CIA_MEDIAN_MARGIN_GUIDENCE",'Margin Guidence Table'!$A$1:$AG$1,0)),INDEX('Margin Guidence Table'!$A$1:$AG$10000,MATCH(1,('Margin Guidence Table'!$A$1:$A$10000=JR23)*('Margin Guidence Table'!$I$1:$I$10000&lt;=ROUND($JJ$3,0))*('Margin Guidence Table'!$J$1:$J$10000&gt;=ROUND($JJ$3,0)),0),MATCH("DEFAULT_CIA_MEDIAN_MARGIN_GUIDENCE",'Margin Guidence Table'!$A$1:$AG$1,0))),0)))</f>
        <v>0</v>
      </c>
      <c r="KC23" s="784"/>
      <c r="KD23" s="18">
        <f t="array" ref="KD23">IF('Customer Inputs'!$W$16="End",0,IFERROR(IF($KQ23="SEGMENT",INDEX('Margin Guidence Table'!$A$1:$AG$10000,MATCH(1,('Margin Guidence Table'!$A$1:$A$10000=$KO23)*('Margin Guidence Table'!$I$1:$I$10000&lt;=ROUND($KG$3,0))*('Margin Guidence Table'!$J$1:$J$10000&gt;=ROUND($KG$3,0)),0),MATCH("PCT_SALES",'Margin Guidence Table'!$A$1:$AG$1,0)),INDEX('Margin Guidence Table'!$A$1:$AG$10000,MATCH(1,('Margin Guidence Table'!$A$1:$A$10000=$KO23)*('Margin Guidence Table'!$I$1:$I$10000&lt;=ROUND($KG$3,0))*('Margin Guidence Table'!$J$1:$J$10000&gt;=ROUND($KG$3,0)),0),MATCH("DEFAULT_PCT_SALES",'Margin Guidence Table'!$A$1:$AG$1,0))),0))</f>
        <v>0</v>
      </c>
      <c r="KE23" s="1713" t="e">
        <f t="shared" si="52"/>
        <v>#DIV/0!</v>
      </c>
      <c r="KF23" s="99" t="s">
        <v>101</v>
      </c>
      <c r="KG23" s="91">
        <f>IF('Customer Inputs'!$W$16="End",0,IFERROR(IF(AND($KG$2&lt;&gt;"Enter Spend&gt;&gt;&gt;",$KH$2="EXISTING"),SUMIFS('Existing Customers'!$Q:$Q,'Existing Customers'!$A:$A,$KG$1,'Existing Customers'!$H:$H,$KF23)*$KG$4,$KG$3*$KE23),0))</f>
        <v>0</v>
      </c>
      <c r="KH23" s="86">
        <f>IF('Customer Inputs'!$W$16="End",0,IFERROR(IF(AND($KG$2&lt;&gt;"Enter Spend&gt;&gt;&gt;",$KH$2="EXISTING"),SUMIFS('Existing Customers'!$N:$N,'Existing Customers'!$A:$A,$KG$1,'Existing Customers'!$H:$H,$KF23)*$KG$4,$KG23/$KR23),0))</f>
        <v>0</v>
      </c>
      <c r="KI23" s="92">
        <f>IF('Customer Inputs'!$W$16="End",0,IFERROR(IF(AND($KG$2&lt;&gt;"Enter Spend&gt;&gt;&gt;",$KH$2="EXISTING"),SUMIFS('Existing Customers'!$O:$O,'Existing Customers'!$H:$H,$KF23,'Existing Customers'!$A:$A,$KG$1)*$KG$4,$KH23*$KG$8),0))</f>
        <v>0</v>
      </c>
      <c r="KJ23" s="92">
        <f>IF('Customer Inputs'!$W$16="End",0,IFERROR(IF(AND($KG$2&lt;&gt;"Enter Spend&gt;&gt;&gt;",$KH$2="EXISTING"),SUMIFS('Existing Customers'!$P:$P,'Existing Customers'!$A:$A,$KG$1,'Existing Customers'!$H:$H,$KF23)*$KG$4,$KG23/$KS23),0))</f>
        <v>0</v>
      </c>
      <c r="KK23" s="303">
        <f>IF('Customer Inputs'!$W$16="End",0,IFERROR(IF(AND($KG$2&lt;&gt;"Enter Spend&gt;&gt;&gt;",$KH$2="EXISTING"),SUMIFS('Existing Customers'!$V:$V,'Existing Customers'!$H:$H,$KF23,'Existing Customers'!$A:$A,$KG$1)*$KG$4,0),0))</f>
        <v>0</v>
      </c>
      <c r="KL23" s="93">
        <f>IF('Customer Inputs'!$W$16="End",0,IFERROR(IF(AND($KG$2&lt;&gt;"Enter Spend&gt;&gt;&gt;",$KH$2="EXISTING"),SUMIFS('Existing Customers'!$R:$R,'Existing Customers'!$H:$H,$KF23,'Existing Customers'!$A:$A,$KG$1)*$KG$4,0),0))</f>
        <v>0</v>
      </c>
      <c r="KM23" s="780">
        <f>IF('Customer Inputs'!$W$16="End",0,IFERROR(IF(AND($KG$2&lt;&gt;"Enter Spend&gt;&gt;&gt;",$KH$2="EXISTING"),SUMIFS('Existing Customers'!$S:$S,'Existing Customers'!$H:$H,$KF23,'Existing Customers'!$A:$A,$KG$1)/SUMIFS('Existing Customers'!$Q:$Q,'Existing Customers'!$A:$A,$KG$1,'Existing Customers'!$H:$H,$KF23),KW23),0))</f>
        <v>0</v>
      </c>
      <c r="KN23" s="780">
        <f>IF('Customer Inputs'!$W$16="End",0,IFERROR(IF(AND($KG$2&lt;&gt;"Enter Spend&gt;&gt;&gt;",$KH$2="EXISTING"),SUMIFS('Existing Customers'!$U:$U,'Existing Customers'!$H:$H,$KF23,'Existing Customers'!$A:$A,$KG$1)/SUMIFS('Existing Customers'!$Q:$Q,'Existing Customers'!$A:$A,$KG$1,'Existing Customers'!$H:$H,$KF23),KX23),0))</f>
        <v>0</v>
      </c>
      <c r="KO23" s="783" t="e">
        <f>_xlfn.CONCAT('Customer Inputs'!$AH$16,"_",KF23)</f>
        <v>#N/A</v>
      </c>
      <c r="KP23" s="783">
        <f t="array" ref="KP23">IF('Customer Inputs'!$W$16="End",0,IFERROR(INDEX('Margin Guidence Table'!$A$1:$AG$10000,MATCH(1,('Margin Guidence Table'!$A$1:$A$10000=KO23)*('Margin Guidence Table'!$I$1:$I$10000&lt;=ROUND($KG$3,0))*('Margin Guidence Table'!$J$1:$J$10000&gt;=ROUND($KG$3,0)),0),MATCH("DATA_POINTS",'Margin Guidence Table'!$A$1:$AG$1,0)),0))</f>
        <v>0</v>
      </c>
      <c r="KQ23" s="780" t="str">
        <f t="shared" si="53"/>
        <v>DEFAULT</v>
      </c>
      <c r="KR23" s="780">
        <f t="array" ref="KR23">IF('Customer Inputs'!$W$16="End",0,IFERROR(IF($KQ23="SEGMENT",INDEX('Margin Guidence Table'!$A$1:$AG$10000,MATCH(1,('Margin Guidence Table'!$A$1:$A$10000=KO23)*('Margin Guidence Table'!$I$1:$I$10000&lt;=ROUND($KG$3,0))*('Margin Guidence Table'!$J$1:$J$10000&gt;=ROUND($KG$3,0)),0),MATCH("SALES_CASE",'Margin Guidence Table'!$A$1:$AG$1,0)),INDEX('Margin Guidence Table'!$A$1:$AG$10000,MATCH(1,('Margin Guidence Table'!$A$1:$A$10000=KO23)*('Margin Guidence Table'!$I$1:$I$10000&lt;=ROUND($KG$3,0))*('Margin Guidence Table'!$J$1:$J$10000&gt;=ROUND($KG$3,0)),0),MATCH("DEFAULT_SALES_CASE",'Margin Guidence Table'!$A$1:$AG$1,0))),0))</f>
        <v>0</v>
      </c>
      <c r="KS23" s="780">
        <f t="array" ref="KS23">IF('Customer Inputs'!$W$16="End",0,IFERROR(IF($KQ23="SEGMENT",INDEX('Margin Guidence Table'!$A$1:$AG$10000,MATCH(1,('Margin Guidence Table'!$A$1:$A$10000=KO23)*('Margin Guidence Table'!$I$1:$I$10000&lt;=ROUND($KG$3,0))*('Margin Guidence Table'!$J$1:$J$10000&gt;=ROUND($KG$3,0)),0),MATCH("SALES_LBS",'Margin Guidence Table'!$A$1:$AG$1,0)),INDEX('Margin Guidence Table'!$A$1:$AG$10000,MATCH(1,('Margin Guidence Table'!$A$1:$A$10000=KO23)*('Margin Guidence Table'!$I$1:$I$10000&lt;=ROUND($KG$3,0))*('Margin Guidence Table'!$J$1:$J$10000&gt;=ROUND($KG$3,0)),0),MATCH("DEFAULT_SALES_LBS",'Margin Guidence Table'!$A$1:$AG$1,0))),0))</f>
        <v>0</v>
      </c>
      <c r="KT23" s="784">
        <f t="array" ref="KT23">IF('Customer Inputs'!$W$16="End",0,IFERROR(IF($KQ23="SEGMENT",INDEX('Margin Guidence Table'!$A$1:$AG$10000,MATCH(1,('Margin Guidence Table'!$A$1:$A$10000=KO23)*('Margin Guidence Table'!$I$1:$I$10000&lt;=ROUND($KG$3,0))*('Margin Guidence Table'!$J$1:$J$10000&gt;=ROUND($KG$3,0)),0),MATCH("MDA_MIN_MARGIN_GUIDENCE",'Margin Guidence Table'!$A$1:$AG$1,0)),INDEX('Margin Guidence Table'!$A$1:$AG$10000,MATCH(1,('Margin Guidence Table'!$A$1:$A$10000=KO23)*('Margin Guidence Table'!$I$1:$I$10000&lt;=ROUND($KG$3,0))*('Margin Guidence Table'!$J$1:$J$10000&gt;=ROUND($KG$3,0)),0),MATCH("DEFAULT_MDA_MIN_MARGIN_GUIDENCE",'Margin Guidence Table'!$A$1:$AG$1,0))),0))</f>
        <v>0</v>
      </c>
      <c r="KU23" s="784">
        <f t="array" ref="KU23">IF('Customer Inputs'!$W$16="End",0,IFERROR(IF($KQ23="SEGMENT",INDEX('Margin Guidence Table'!$A$1:$AG$10000,MATCH(1,('Margin Guidence Table'!$A$1:$A$10000=KO23)*('Margin Guidence Table'!$I$1:$I$10000&lt;=ROUND($KG$3,0))*('Margin Guidence Table'!$J$1:$J$10000&gt;=ROUND($KG$3,0)),0),MATCH("MDA_MEDIAN_MARGIN_GUIDENCE",'Margin Guidence Table'!$A$1:$AG$1,0)),INDEX('Margin Guidence Table'!$A$1:$AG$10000,MATCH(1,('Margin Guidence Table'!$A$1:$A$10000=KO23)*('Margin Guidence Table'!$I$1:$I$10000&lt;=ROUND($KG$3,0))*('Margin Guidence Table'!$J$1:$J$10000&gt;=ROUND($KG$3,0)),0),MATCH("DEFAULT_MDA_MEDIAN_MARGIN_GUIDENCE",'Margin Guidence Table'!$A$1:$AG$1,0))),0))</f>
        <v>0</v>
      </c>
      <c r="KV23" s="784">
        <f t="array" ref="KV23">IF('Customer Inputs'!$W$16="End",0,IFERROR(IF($KQ23="SEGMENT",INDEX('Margin Guidence Table'!$A$1:$AG$10000,MATCH(1,('Margin Guidence Table'!$A$1:$A$10000=KO23)*('Margin Guidence Table'!$I$1:$I$10000&lt;=ROUND($KG$3,0))*('Margin Guidence Table'!$J$1:$J$10000&gt;=ROUND($KG$3,0)),0),MATCH("MDA_MAX_MARGIN_GUIDENCE",'Margin Guidence Table'!$A$1:$AG$1,0)),INDEX('Margin Guidence Table'!$A$1:$AG$10000,MATCH(1,('Margin Guidence Table'!$A$1:$A$10000=KO23)*('Margin Guidence Table'!$I$1:$I$10000&lt;=ROUND($KG$3,0))*('Margin Guidence Table'!$J$1:$J$10000&gt;=ROUND($KG$3,0)),0),MATCH("DEFAULT_MDA_MAX_MARGIN_GUIDENCE",'Margin Guidence Table'!$A$1:$AG$1,0))),0))</f>
        <v>0</v>
      </c>
      <c r="KW23" s="784">
        <f t="array" ref="KW23">IF('Customer Inputs'!$W$16="End",0,IFERROR(IF($KQ23="SEGMENT",INDEX('Margin Guidence Table'!$A$1:$AG$10000,MATCH(1,('Margin Guidence Table'!$A$1:$A$10000=KO23)*('Margin Guidence Table'!$I$1:$I$10000&lt;=ROUND($KG$3,0))*('Margin Guidence Table'!$J$1:$J$10000&gt;=ROUND($KG$3,0)),0),MATCH("PA_PCT_SALES",'Margin Guidence Table'!$A$1:$AG$1,0)),INDEX('Margin Guidence Table'!$A$1:$AG$10000,MATCH(1,('Margin Guidence Table'!$A$1:$A$10000=KO23)*('Margin Guidence Table'!$I$1:$I$10000&lt;=ROUND($KG$3,0))*('Margin Guidence Table'!$J$1:$J$10000&gt;=ROUND($KG$3,0)),0),MATCH("DEFAULT_PA_PCT_SALES",'Margin Guidence Table'!$A$1:$AG$1,0))),0))</f>
        <v>0</v>
      </c>
      <c r="KX23" s="784">
        <f t="array" ref="KX23">IF('Customer Inputs'!$W$16="End",0,IFERROR(IF($KQ23="SEGMENT",INDEX('Margin Guidence Table'!$A$1:$AG$10000,MATCH(1,('Margin Guidence Table'!$A$1:$A$10000=KO23)*('Margin Guidence Table'!$I$1:$I$10000&lt;=ROUND($KG$3,0))*('Margin Guidence Table'!$J$1:$J$10000&gt;=ROUND($KG$3,0)),0),MATCH("SELF_FUND_PCT_SALES",'Margin Guidence Table'!$A$1:$AG$1,0)),INDEX('Margin Guidence Table'!$A$1:$AG$10000,MATCH(1,('Margin Guidence Table'!$A$1:$A$10000=KO23)*('Margin Guidence Table'!$I$1:$I$10000&lt;=ROUND($KG$3,0))*('Margin Guidence Table'!$J$1:$J$10000&gt;=ROUND($KG$3,0)),0),MATCH("DEFAULT_SELF_FUND_PCT_SALES",'Margin Guidence Table'!$A$1:$AG$1,0))),0))</f>
        <v>0</v>
      </c>
      <c r="KY23" s="784">
        <f t="array" ref="KY23">IF('Customer Inputs'!$W$16="End",0,IF($KH$2="Existing",IFERROR(SUMIFS('Existing Customers'!$V:$V,'Existing Customers'!$H:$H,$KF23,'Existing Customers'!$A:$A,$KG$1)/SUMIFS('Existing Customers'!$Q:$Q,'Existing Customers'!$H:$H,$KF23,'Existing Customers'!$A:$A,$KG$1),0),IFERROR(IF($KQ23="SEGMENT",INDEX('Margin Guidence Table'!$A$1:$AG$10000,MATCH(1,('Margin Guidence Table'!$A$1:$A$10000=KO23)*('Margin Guidence Table'!$I$1:$I$10000&lt;=ROUND($KG$3,0))*('Margin Guidence Table'!$J$1:$J$10000&gt;=ROUND($KG$3,0)),0),MATCH("CIA_MEDIAN_MARGIN_GUIDENCE",'Margin Guidence Table'!$A$1:$AG$1,0)),INDEX('Margin Guidence Table'!$A$1:$AG$10000,MATCH(1,('Margin Guidence Table'!$A$1:$A$10000=KO23)*('Margin Guidence Table'!$I$1:$I$10000&lt;=ROUND($KG$3,0))*('Margin Guidence Table'!$J$1:$J$10000&gt;=ROUND($KG$3,0)),0),MATCH("DEFAULT_CIA_MEDIAN_MARGIN_GUIDENCE",'Margin Guidence Table'!$A$1:$AG$1,0))),0)))</f>
        <v>0</v>
      </c>
      <c r="KZ23" s="784"/>
      <c r="LA23" s="18">
        <f t="array" ref="LA23">IF('Customer Inputs'!$W$17="End",0,IFERROR(IF($LN23="SEGMENT",INDEX('Margin Guidence Table'!$A$1:$AG$10000,MATCH(1,('Margin Guidence Table'!$A$1:$A$10000=$LL23)*('Margin Guidence Table'!$I$1:$I$10000&lt;=ROUND($LD$3,0))*('Margin Guidence Table'!$J$1:$J$10000&gt;=ROUND($LD$3,0)),0),MATCH("PCT_SALES",'Margin Guidence Table'!$A$1:$AG$1,0)),INDEX('Margin Guidence Table'!$A$1:$AG$10000,MATCH(1,('Margin Guidence Table'!$A$1:$A$10000=$LL23)*('Margin Guidence Table'!$I$1:$I$10000&lt;=ROUND($LD$3,0))*('Margin Guidence Table'!$J$1:$J$10000&gt;=ROUND($LD$3,0)),0),MATCH("DEFAULT_PCT_SALES",'Margin Guidence Table'!$A$1:$AG$1,0))),0))</f>
        <v>0</v>
      </c>
      <c r="LB23" s="1713" t="e">
        <f t="shared" si="54"/>
        <v>#DIV/0!</v>
      </c>
      <c r="LC23" s="99" t="s">
        <v>101</v>
      </c>
      <c r="LD23" s="91">
        <f>IF('Customer Inputs'!$W$17="End",0,IFERROR(IF(AND($LD$2&lt;&gt;"Enter Spend&gt;&gt;&gt;",$LE$2="EXISTING"),SUMIFS('Existing Customers'!$Q:$Q,'Existing Customers'!$A:$A,$LD$1,'Existing Customers'!$H:$H,$LC23)*$LD$4,$LD$3*$LB23),0))</f>
        <v>0</v>
      </c>
      <c r="LE23" s="86">
        <f>IF('Customer Inputs'!$W$17="End",0,IFERROR(IF(AND($LD$2&lt;&gt;"Enter Spend&gt;&gt;&gt;",$LE$2="EXISTING"),SUMIFS('Existing Customers'!$N:$N,'Existing Customers'!$A:$A,$LD$1,'Existing Customers'!$H:$H,$LC23)*$LD$4,$LD23/$LO23),0))</f>
        <v>0</v>
      </c>
      <c r="LF23" s="92">
        <f>IF('Customer Inputs'!$W$17="End",0,IFERROR(IF(AND($LD$2&lt;&gt;"Enter Spend&gt;&gt;&gt;",$LE$2="EXISTING"),SUMIFS('Existing Customers'!$O:$O,'Existing Customers'!$H:$H,$LC23,'Existing Customers'!$A:$A,$LD$1)*$LD$4,$LE23*$LD$8),0))</f>
        <v>0</v>
      </c>
      <c r="LG23" s="92">
        <f>IF('Customer Inputs'!$W$17="End",0,IFERROR(IF(AND($LD$2&lt;&gt;"Enter Spend&gt;&gt;&gt;",$LE$2="EXISTING"),SUMIFS('Existing Customers'!$P:$P,'Existing Customers'!$A:$A,$LD$1,'Existing Customers'!$H:$H,$LC23)*$LD$4,$LD23/$LP23),0))</f>
        <v>0</v>
      </c>
      <c r="LH23" s="303">
        <f>IF('Customer Inputs'!$W$17="End",0,IFERROR(IF(AND($LD$2&lt;&gt;"Enter Spend&gt;&gt;&gt;",$LE$2="EXISTING"),SUMIFS('Existing Customers'!$V:$V,'Existing Customers'!$H:$H,$LC23,'Existing Customers'!$A:$A,$LD$1)*$LD$4,0),0))</f>
        <v>0</v>
      </c>
      <c r="LI23" s="93">
        <f>IF('Customer Inputs'!$W$17="End",0,IFERROR(IF(AND($LD$2&lt;&gt;"Enter Spend&gt;&gt;&gt;",$LE$2="EXISTING"),SUMIFS('Existing Customers'!$R:$R,'Existing Customers'!$H:$H,$LC23,'Existing Customers'!$A:$A,$LD$1)*$LD$4,0),0))</f>
        <v>0</v>
      </c>
      <c r="LJ23" s="780">
        <f>IF('Customer Inputs'!$W$17="End",0,IFERROR(IF(AND($LD$2&lt;&gt;"Enter Spend&gt;&gt;&gt;",$LE$2="EXISTING"),SUMIFS('Existing Customers'!$S:$S,'Existing Customers'!$H:$H,$LC23,'Existing Customers'!$A:$A,$LD$1)/SUMIFS('Existing Customers'!$Q:$Q,'Existing Customers'!$A:$A,$LD$1,'Existing Customers'!$H:$H,$LC23),LT23),0))</f>
        <v>0</v>
      </c>
      <c r="LK23" s="780">
        <f>IF('Customer Inputs'!$W$17="End",0,IFERROR(IF(AND($LD$2&lt;&gt;"Enter Spend&gt;&gt;&gt;",$LE$2="EXISTING"),SUMIFS('Existing Customers'!$U:$U,'Existing Customers'!$H:$H,$LC23,'Existing Customers'!$A:$A,$LD$1)/SUMIFS('Existing Customers'!$Q:$Q,'Existing Customers'!$A:$A,$LD$1,'Existing Customers'!$H:$H,$LC23),LU23),0))</f>
        <v>0</v>
      </c>
      <c r="LL23" s="783" t="e">
        <f>_xlfn.CONCAT('Customer Inputs'!$AH$17,"_",LC23)</f>
        <v>#N/A</v>
      </c>
      <c r="LM23" s="783">
        <f t="array" ref="LM23">IF('Customer Inputs'!$W$17="End",0,IFERROR(INDEX('Margin Guidence Table'!$A$1:$AG$10000,MATCH(1,('Margin Guidence Table'!$A$1:$A$10000=LL23)*('Margin Guidence Table'!$I$1:$I$10000&lt;=ROUND($LD$3,0))*('Margin Guidence Table'!$J$1:$J$10000&gt;=ROUND($LD$3,0)),0),MATCH("DATA_POINTS",'Margin Guidence Table'!$A$1:$AG$1,0)),0))</f>
        <v>0</v>
      </c>
      <c r="LN23" s="780" t="str">
        <f t="shared" si="55"/>
        <v>DEFAULT</v>
      </c>
      <c r="LO23" s="780">
        <f t="array" ref="LO23">IF('Customer Inputs'!$W$17="End",0,IFERROR(IF($LN23="SEGMENT",INDEX('Margin Guidence Table'!$A$1:$AG$10000,MATCH(1,('Margin Guidence Table'!$A$1:$A$10000=LL23)*('Margin Guidence Table'!$I$1:$I$10000&lt;=ROUND($LD$3,0))*('Margin Guidence Table'!$J$1:$J$10000&gt;=ROUND($LD$3,0)),0),MATCH("SALES_CASE",'Margin Guidence Table'!$A$1:$AG$1,0)),INDEX('Margin Guidence Table'!$A$1:$AG$10000,MATCH(1,('Margin Guidence Table'!$A$1:$A$10000=LL23)*('Margin Guidence Table'!$I$1:$I$10000&lt;=ROUND($LD$3,0))*('Margin Guidence Table'!$J$1:$J$10000&gt;=ROUND($LD$3,0)),0),MATCH("DEFAULT_SALES_CASE",'Margin Guidence Table'!$A$1:$AG$1,0))),0))</f>
        <v>0</v>
      </c>
      <c r="LP23" s="780">
        <f t="array" ref="LP23">IF('Customer Inputs'!$W$17="End",0,IFERROR(IF($LN23="SEGMENT",INDEX('Margin Guidence Table'!$A$1:$AG$10000,MATCH(1,('Margin Guidence Table'!$A$1:$A$10000=LL23)*('Margin Guidence Table'!$I$1:$I$10000&lt;=ROUND($LD$3,0))*('Margin Guidence Table'!$J$1:$J$10000&gt;=ROUND($LD$3,0)),0),MATCH("SALES_LBS",'Margin Guidence Table'!$A$1:$AG$1,0)),INDEX('Margin Guidence Table'!$A$1:$AG$10000,MATCH(1,('Margin Guidence Table'!$A$1:$A$10000=LL23)*('Margin Guidence Table'!$I$1:$I$10000&lt;=ROUND($LD$3,0))*('Margin Guidence Table'!$J$1:$J$10000&gt;=ROUND($LD$3,0)),0),MATCH("DEFAULT_SALES_LBS",'Margin Guidence Table'!$A$1:$AG$1,0))),0))</f>
        <v>0</v>
      </c>
      <c r="LQ23" s="784">
        <f t="array" ref="LQ23">IF('Customer Inputs'!$W$17="End",0,IFERROR(IF($LN23="SEGMENT",INDEX('Margin Guidence Table'!$A$1:$AG$10000,MATCH(1,('Margin Guidence Table'!$A$1:$A$10000=LL23)*('Margin Guidence Table'!$I$1:$I$10000&lt;=ROUND($LD$3,0))*('Margin Guidence Table'!$J$1:$J$10000&gt;=ROUND($LD$3,0)),0),MATCH("MDA_MIN_MARGIN_GUIDENCE",'Margin Guidence Table'!$A$1:$AG$1,0)),INDEX('Margin Guidence Table'!$A$1:$AG$10000,MATCH(1,('Margin Guidence Table'!$A$1:$A$10000=LL23)*('Margin Guidence Table'!$I$1:$I$10000&lt;=ROUND($LD$3,0))*('Margin Guidence Table'!$J$1:$J$10000&gt;=ROUND($LD$3,0)),0),MATCH("DEFAULT_MDA_MIN_MARGIN_GUIDENCE",'Margin Guidence Table'!$A$1:$AG$1,0))),0))</f>
        <v>0</v>
      </c>
      <c r="LR23" s="784">
        <f t="array" ref="LR23">IF('Customer Inputs'!$W$17="End",0,IFERROR(IF($LN23="SEGMENT",INDEX('Margin Guidence Table'!$A$1:$AG$10000,MATCH(1,('Margin Guidence Table'!$A$1:$A$10000=LL23)*('Margin Guidence Table'!$I$1:$I$10000&lt;=ROUND($LD$3,0))*('Margin Guidence Table'!$J$1:$J$10000&gt;=ROUND($LD$3,0)),0),MATCH("MDA_MEDIAN_MARGIN_GUIDENCE",'Margin Guidence Table'!$A$1:$AG$1,0)),INDEX('Margin Guidence Table'!$A$1:$AG$10000,MATCH(1,('Margin Guidence Table'!$A$1:$A$10000=LL23)*('Margin Guidence Table'!$I$1:$I$10000&lt;=ROUND($LD$3,0))*('Margin Guidence Table'!$J$1:$J$10000&gt;=ROUND($LD$3,0)),0),MATCH("DEFAULT_MDA_MEDIAN_MARGIN_GUIDENCE",'Margin Guidence Table'!$A$1:$AG$1,0))),0))</f>
        <v>0</v>
      </c>
      <c r="LS23" s="784">
        <f t="array" ref="LS23">IF('Customer Inputs'!$W$17="End",0,IFERROR(IF($LN23="SEGMENT",INDEX('Margin Guidence Table'!$A$1:$AG$10000,MATCH(1,('Margin Guidence Table'!$A$1:$A$10000=LL23)*('Margin Guidence Table'!$I$1:$I$10000&lt;=ROUND($LD$3,0))*('Margin Guidence Table'!$J$1:$J$10000&gt;=ROUND($LD$3,0)),0),MATCH("MDA_MAX_MARGIN_GUIDENCE",'Margin Guidence Table'!$A$1:$AG$1,0)),INDEX('Margin Guidence Table'!$A$1:$AG$10000,MATCH(1,('Margin Guidence Table'!$A$1:$A$10000=LL23)*('Margin Guidence Table'!$I$1:$I$10000&lt;=ROUND($LD$3,0))*('Margin Guidence Table'!$J$1:$J$10000&gt;=ROUND($LD$3,0)),0),MATCH("DEFAULT_MDA_MAX_MARGIN_GUIDENCE",'Margin Guidence Table'!$A$1:$AG$1,0))),0))</f>
        <v>0</v>
      </c>
      <c r="LT23" s="784">
        <f t="array" ref="LT23">IF('Customer Inputs'!$W$17="End",0,IFERROR(IF($LN23="SEGMENT",INDEX('Margin Guidence Table'!$A$1:$AG$10000,MATCH(1,('Margin Guidence Table'!$A$1:$A$10000=LL23)*('Margin Guidence Table'!$I$1:$I$10000&lt;=ROUND($LD$3,0))*('Margin Guidence Table'!$J$1:$J$10000&gt;=ROUND($LD$3,0)),0),MATCH("PA_PCT_SALES",'Margin Guidence Table'!$A$1:$AG$1,0)),INDEX('Margin Guidence Table'!$A$1:$AG$10000,MATCH(1,('Margin Guidence Table'!$A$1:$A$10000=LL23)*('Margin Guidence Table'!$I$1:$I$10000&lt;=ROUND($LD$3,0))*('Margin Guidence Table'!$J$1:$J$10000&gt;=ROUND($LD$3,0)),0),MATCH("DEFAULT_PA_PCT_SALES",'Margin Guidence Table'!$A$1:$AG$1,0))),0))</f>
        <v>0</v>
      </c>
      <c r="LU23" s="784">
        <f t="array" ref="LU23">IF('Customer Inputs'!$W$17="End",0,IFERROR(IF($LN23="SEGMENT",INDEX('Margin Guidence Table'!$A$1:$AG$10000,MATCH(1,('Margin Guidence Table'!$A$1:$A$10000=LL23)*('Margin Guidence Table'!$I$1:$I$10000&lt;=ROUND($LD$3,0))*('Margin Guidence Table'!$J$1:$J$10000&gt;=ROUND($LD$3,0)),0),MATCH("SELF_FUND_PCT_SALES",'Margin Guidence Table'!$A$1:$AG$1,0)),INDEX('Margin Guidence Table'!$A$1:$AG$10000,MATCH(1,('Margin Guidence Table'!$A$1:$A$10000=LL23)*('Margin Guidence Table'!$I$1:$I$10000&lt;=ROUND($LD$3,0))*('Margin Guidence Table'!$J$1:$J$10000&gt;=ROUND($LD$3,0)),0),MATCH("DEFAULT_SELF_FUND_PCT_SALES",'Margin Guidence Table'!$A$1:$AG$1,0))),0))</f>
        <v>0</v>
      </c>
      <c r="LV23" s="784">
        <f t="array" ref="LV23">IF('Customer Inputs'!$W$17="End",0,IF($LE$2="Existing",IFERROR(SUMIFS('Existing Customers'!$V:$V,'Existing Customers'!$H:$H,$LC23,'Existing Customers'!$A:$A,$LD$1)/SUMIFS('Existing Customers'!$Q:$Q,'Existing Customers'!$H:$H,$LC23,'Existing Customers'!$A:$A,$LD$1),0),IFERROR(IF($LN23="SEGMENT",INDEX('Margin Guidence Table'!$A$1:$AG$10000,MATCH(1,('Margin Guidence Table'!$A$1:$A$10000=LL23)*('Margin Guidence Table'!$I$1:$I$10000&lt;=ROUND($LD$3,0))*('Margin Guidence Table'!$J$1:$J$10000&gt;=ROUND($LD$3,0)),0),MATCH("CIA_MEDIAN_MARGIN_GUIDENCE",'Margin Guidence Table'!$A$1:$AG$1,0)),INDEX('Margin Guidence Table'!$A$1:$AG$10000,MATCH(1,('Margin Guidence Table'!$A$1:$A$10000=LL23)*('Margin Guidence Table'!$I$1:$I$10000&lt;=ROUND($LD$3,0))*('Margin Guidence Table'!$J$1:$J$10000&gt;=ROUND($LD$3,0)),0),MATCH("DEFAULT_CIA_MEDIAN_MARGIN_GUIDENCE",'Margin Guidence Table'!$A$1:$AG$1,0))),0)))</f>
        <v>0</v>
      </c>
      <c r="LW23" s="784"/>
      <c r="LX23" s="18">
        <f t="array" ref="LX23">IF('Customer Inputs'!$W$18="End",0,IFERROR(IF($MK23="SEGMENT",INDEX('Margin Guidence Table'!$A$1:$AG$10000,MATCH(1,('Margin Guidence Table'!$A$1:$A$10000=$MI23)*('Margin Guidence Table'!$I$1:$I$10000&lt;=ROUND($MA$3,0))*('Margin Guidence Table'!$J$1:$J$10000&gt;=ROUND($MA$3,0)),0),MATCH("PCT_SALES",'Margin Guidence Table'!$A$1:$AG$1,0)),INDEX('Margin Guidence Table'!$A$1:$AG$10000,MATCH(1,('Margin Guidence Table'!$A$1:$A$10000=$MI23)*('Margin Guidence Table'!$I$1:$I$10000&lt;=ROUND($MA$3,0))*('Margin Guidence Table'!$J$1:$J$10000&gt;=ROUND($MA$3,0)),0),MATCH("DEFAULT_PCT_SALES",'Margin Guidence Table'!$A$1:$AG$1,0))),0))</f>
        <v>0</v>
      </c>
      <c r="LY23" s="1713" t="e">
        <f t="shared" si="56"/>
        <v>#DIV/0!</v>
      </c>
      <c r="LZ23" s="99" t="s">
        <v>101</v>
      </c>
      <c r="MA23" s="91">
        <f>IF('Customer Inputs'!$W$18="End",0,IFERROR(IF(AND($MA$2&lt;&gt;"Enter Spend&gt;&gt;&gt;",$MB$2="EXISTING"),SUMIFS('Existing Customers'!$Q:$Q,'Existing Customers'!$A:$A,$MA$1,'Existing Customers'!$H:$H,$LZ23)*$MA$4,$MA$3*$LY23),0))</f>
        <v>0</v>
      </c>
      <c r="MB23" s="86">
        <f>IF('Customer Inputs'!$W$18="End",0,IFERROR(IF(AND($MA$2&lt;&gt;"Enter Spend&gt;&gt;&gt;",$MB$2="EXISTING"),SUMIFS('Existing Customers'!$N:$N,'Existing Customers'!$A:$A,$MA$1,'Existing Customers'!$H:$H,$LZ23)*$MA$4,$MA23/$ML23),0))</f>
        <v>0</v>
      </c>
      <c r="MC23" s="92">
        <f>IF('Customer Inputs'!$W$18="End",0,IFERROR(IF(AND($MA$2&lt;&gt;"Enter Spend&gt;&gt;&gt;",$MB$2="EXISTING"),SUMIFS('Existing Customers'!$O:$O,'Existing Customers'!$H:$H,$LZ23,'Existing Customers'!$A:$A,$MA$1)*$MA$4,$MB23*$MA$8),0))</f>
        <v>0</v>
      </c>
      <c r="MD23" s="92">
        <f>IF('Customer Inputs'!$W$18="End",0,IFERROR(IF(AND($MA$2&lt;&gt;"Enter Spend&gt;&gt;&gt;",$MB$2="EXISTING"),SUMIFS('Existing Customers'!$P:$P,'Existing Customers'!$A:$A,$MA$1,'Existing Customers'!$H:$H,$LZ23)*$MA$4,$MA23/$MM23),0))</f>
        <v>0</v>
      </c>
      <c r="ME23" s="303">
        <f>IF('Customer Inputs'!$W$18="End",0,IFERROR(IF(AND($MA$2&lt;&gt;"Enter Spend&gt;&gt;&gt;",$MB$2="EXISTING"),SUMIFS('Existing Customers'!$V:$V,'Existing Customers'!$H:$H,$LZ23,'Existing Customers'!$A:$A,$MA$1)*$MA$4,0),0))</f>
        <v>0</v>
      </c>
      <c r="MF23" s="93">
        <f>IF('Customer Inputs'!$W$18="End",0,IFERROR(IF(AND($MA$2&lt;&gt;"Enter Spend&gt;&gt;&gt;",$MB$2="EXISTING"),SUMIFS('Existing Customers'!$R:$R,'Existing Customers'!$H:$H,$LZ23,'Existing Customers'!$A:$A,$MA$1)*$MA$4,0),0))</f>
        <v>0</v>
      </c>
      <c r="MG23" s="780">
        <f>IF('Customer Inputs'!$W$18="End",0,IFERROR(IF(AND($MA$2&lt;&gt;"Enter Spend&gt;&gt;&gt;",$MB$2="EXISTING"),SUMIFS('Existing Customers'!$S:$S,'Existing Customers'!$H:$H,$LZ23,'Existing Customers'!$A:$A,$MA$1)/SUMIFS('Existing Customers'!$Q:$Q,'Existing Customers'!$A:$A,$MA$1,'Existing Customers'!$H:$H,$LZ23),MQ23),0))</f>
        <v>0</v>
      </c>
      <c r="MH23" s="780">
        <f>IF('Customer Inputs'!$W$18="End",0,IFERROR(IF(AND($MA$2&lt;&gt;"Enter Spend&gt;&gt;&gt;",$MB$2="EXISTING"),SUMIFS('Existing Customers'!$U:$U,'Existing Customers'!$H:$H,$LZ23,'Existing Customers'!$A:$A,$MA$1)/SUMIFS('Existing Customers'!$Q:$Q,'Existing Customers'!$A:$A,$MA$1,'Existing Customers'!$H:$H,$LZ23),MR23),0))</f>
        <v>0</v>
      </c>
      <c r="MI23" s="783" t="e">
        <f>_xlfn.CONCAT('Customer Inputs'!$AH$18,"_",LZ23)</f>
        <v>#N/A</v>
      </c>
      <c r="MJ23" s="783">
        <f t="array" ref="MJ23">IF('Customer Inputs'!$W$18="End",0,IFERROR(INDEX('Margin Guidence Table'!$A$1:$AG$10000,MATCH(1,('Margin Guidence Table'!$A$1:$A$10000=MI23)*('Margin Guidence Table'!$I$1:$I$10000&lt;=ROUND($MA$3,0))*('Margin Guidence Table'!$J$1:$J$10000&gt;=ROUND($MA$3,0)),0),MATCH("DATA_POINTS",'Margin Guidence Table'!$A$1:$AG$1,0)),0))</f>
        <v>0</v>
      </c>
      <c r="MK23" s="780" t="str">
        <f t="shared" si="57"/>
        <v>DEFAULT</v>
      </c>
      <c r="ML23" s="780">
        <f t="array" ref="ML23">IF('Customer Inputs'!$W$18="End",0,IFERROR(IF($MK23="SEGMENT",INDEX('Margin Guidence Table'!$A$1:$AG$10000,MATCH(1,('Margin Guidence Table'!$A$1:$A$10000=MI23)*('Margin Guidence Table'!$I$1:$I$10000&lt;=ROUND($MA$3,0))*('Margin Guidence Table'!$J$1:$J$10000&gt;=ROUND($MA$3,0)),0),MATCH("SALES_CASE",'Margin Guidence Table'!$A$1:$AG$1,0)),INDEX('Margin Guidence Table'!$A$1:$AG$10000,MATCH(1,('Margin Guidence Table'!$A$1:$A$10000=MI23)*('Margin Guidence Table'!$I$1:$I$10000&lt;=ROUND($MA$3,0))*('Margin Guidence Table'!$J$1:$J$10000&gt;=ROUND($MA$3,0)),0),MATCH("DEFAULT_SALES_CASE",'Margin Guidence Table'!$A$1:$AG$1,0))),0))</f>
        <v>0</v>
      </c>
      <c r="MM23" s="780">
        <f t="array" ref="MM23">IF('Customer Inputs'!$W$18="End",0,IFERROR(IF($MK23="SEGMENT",INDEX('Margin Guidence Table'!$A$1:$AG$10000,MATCH(1,('Margin Guidence Table'!$A$1:$A$10000=MI23)*('Margin Guidence Table'!$I$1:$I$10000&lt;=ROUND($MA$3,0))*('Margin Guidence Table'!$J$1:$J$10000&gt;=ROUND($MA$3,0)),0),MATCH("SALES_LBS",'Margin Guidence Table'!$A$1:$AG$1,0)),INDEX('Margin Guidence Table'!$A$1:$AG$10000,MATCH(1,('Margin Guidence Table'!$A$1:$A$10000=MI23)*('Margin Guidence Table'!$I$1:$I$10000&lt;=ROUND($MA$3,0))*('Margin Guidence Table'!$J$1:$J$10000&gt;=ROUND($MA$3,0)),0),MATCH("DEFAULT_SALES_LBS",'Margin Guidence Table'!$A$1:$AG$1,0))),0))</f>
        <v>0</v>
      </c>
      <c r="MN23" s="784">
        <f t="array" ref="MN23">IF('Customer Inputs'!$W$18="End",0,IFERROR(IF($MK23="SEGMENT",INDEX('Margin Guidence Table'!$A$1:$AG$10000,MATCH(1,('Margin Guidence Table'!$A$1:$A$10000=MI23)*('Margin Guidence Table'!$I$1:$I$10000&lt;=ROUND($MA$3,0))*('Margin Guidence Table'!$J$1:$J$10000&gt;=ROUND($MA$3,0)),0),MATCH("MDA_MIN_MARGIN_GUIDENCE",'Margin Guidence Table'!$A$1:$AG$1,0)),INDEX('Margin Guidence Table'!$A$1:$AG$10000,MATCH(1,('Margin Guidence Table'!$A$1:$A$10000=MI23)*('Margin Guidence Table'!$I$1:$I$10000&lt;=ROUND($MA$3,0))*('Margin Guidence Table'!$J$1:$J$10000&gt;=ROUND($MA$3,0)),0),MATCH("DEFAULT_MDA_MIN_MARGIN_GUIDENCE",'Margin Guidence Table'!$A$1:$AG$1,0))),0))</f>
        <v>0</v>
      </c>
      <c r="MO23" s="784">
        <f t="array" ref="MO23">IF('Customer Inputs'!$W$18="End",0,IFERROR(IF($MK23="SEGMENT",INDEX('Margin Guidence Table'!$A$1:$AG$10000,MATCH(1,('Margin Guidence Table'!$A$1:$A$10000=MI23)*('Margin Guidence Table'!$I$1:$I$10000&lt;=ROUND($MA$3,0))*('Margin Guidence Table'!$J$1:$J$10000&gt;=ROUND($MA$3,0)),0),MATCH("MDA_MEDIAN_MARGIN_GUIDENCE",'Margin Guidence Table'!$A$1:$AG$1,0)),INDEX('Margin Guidence Table'!$A$1:$AG$10000,MATCH(1,('Margin Guidence Table'!$A$1:$A$10000=MI23)*('Margin Guidence Table'!$I$1:$I$10000&lt;=ROUND($MA$3,0))*('Margin Guidence Table'!$J$1:$J$10000&gt;=ROUND($MA$3,0)),0),MATCH("DEFAULT_MDA_MEDIAN_MARGIN_GUIDENCE",'Margin Guidence Table'!$A$1:$AG$1,0))),0))</f>
        <v>0</v>
      </c>
      <c r="MP23" s="784">
        <f t="array" ref="MP23">IF('Customer Inputs'!$W$18="End",0,IFERROR(IF($MK23="SEGMENT",INDEX('Margin Guidence Table'!$A$1:$AG$10000,MATCH(1,('Margin Guidence Table'!$A$1:$A$10000=MI23)*('Margin Guidence Table'!$I$1:$I$10000&lt;=ROUND($MA$3,0))*('Margin Guidence Table'!$J$1:$J$10000&gt;=ROUND($MA$3,0)),0),MATCH("MDA_MAX_MARGIN_GUIDENCE",'Margin Guidence Table'!$A$1:$AG$1,0)),INDEX('Margin Guidence Table'!$A$1:$AG$10000,MATCH(1,('Margin Guidence Table'!$A$1:$A$10000=MI23)*('Margin Guidence Table'!$I$1:$I$10000&lt;=ROUND($MA$3,0))*('Margin Guidence Table'!$J$1:$J$10000&gt;=ROUND($MA$3,0)),0),MATCH("DEFAULT_MDA_MAX_MARGIN_GUIDENCE",'Margin Guidence Table'!$A$1:$AG$1,0))),0))</f>
        <v>0</v>
      </c>
      <c r="MQ23" s="784">
        <f t="array" ref="MQ23">IF('Customer Inputs'!$W$18="End",0,IFERROR(IF($MK23="SEGMENT",INDEX('Margin Guidence Table'!$A$1:$AG$10000,MATCH(1,('Margin Guidence Table'!$A$1:$A$10000=MI23)*('Margin Guidence Table'!$I$1:$I$10000&lt;=ROUND($MA$3,0))*('Margin Guidence Table'!$J$1:$J$10000&gt;=ROUND($MA$3,0)),0),MATCH("PA_PCT_SALES",'Margin Guidence Table'!$A$1:$AG$1,0)),INDEX('Margin Guidence Table'!$A$1:$AG$10000,MATCH(1,('Margin Guidence Table'!$A$1:$A$10000=MI23)*('Margin Guidence Table'!$I$1:$I$10000&lt;=ROUND($MA$3,0))*('Margin Guidence Table'!$J$1:$J$10000&gt;=ROUND($MA$3,0)),0),MATCH("DEFAULT_PA_PCT_SALES",'Margin Guidence Table'!$A$1:$AG$1,0))),0))</f>
        <v>0</v>
      </c>
      <c r="MR23" s="784">
        <f t="array" ref="MR23">IF('Customer Inputs'!$W$18="End",0,IFERROR(IF($MK23="SEGMENT",INDEX('Margin Guidence Table'!$A$1:$AG$10000,MATCH(1,('Margin Guidence Table'!$A$1:$A$10000=MI23)*('Margin Guidence Table'!$I$1:$I$10000&lt;=ROUND($MA$3,0))*('Margin Guidence Table'!$J$1:$J$10000&gt;=ROUND($MA$3,0)),0),MATCH("SELF_FUND_PCT_SALES",'Margin Guidence Table'!$A$1:$AG$1,0)),INDEX('Margin Guidence Table'!$A$1:$AG$10000,MATCH(1,('Margin Guidence Table'!$A$1:$A$10000=MI23)*('Margin Guidence Table'!$I$1:$I$10000&lt;=ROUND($MA$3,0))*('Margin Guidence Table'!$J$1:$J$10000&gt;=ROUND($MA$3,0)),0),MATCH("DEFAULT_SELF_FUND_PCT_SALES",'Margin Guidence Table'!$A$1:$AG$1,0))),0))</f>
        <v>0</v>
      </c>
      <c r="MS23" s="784">
        <f t="array" ref="MS23">IF('Customer Inputs'!$W$18="End",0,IF($MB$2="Existing",IFERROR(SUMIFS('Existing Customers'!$V:$V,'Existing Customers'!$H:$H,$LZ23,'Existing Customers'!$A:$A,$MA$1)/SUMIFS('Existing Customers'!$Q:$Q,'Existing Customers'!$H:$H,$LZ23,'Existing Customers'!$A:$A,$MA$1),0),IFERROR(IF($MK23="SEGMENT",INDEX('Margin Guidence Table'!$A$1:$AG$10000,MATCH(1,('Margin Guidence Table'!$A$1:$A$10000=MI23)*('Margin Guidence Table'!$I$1:$I$10000&lt;=ROUND($MA$3,0))*('Margin Guidence Table'!$J$1:$J$10000&gt;=ROUND($MA$3,0)),0),MATCH("CIA_MEDIAN_MARGIN_GUIDENCE",'Margin Guidence Table'!$A$1:$AG$1,0)),INDEX('Margin Guidence Table'!$A$1:$AG$10000,MATCH(1,('Margin Guidence Table'!$A$1:$A$10000=MI23)*('Margin Guidence Table'!$I$1:$I$10000&lt;=ROUND($MA$3,0))*('Margin Guidence Table'!$J$1:$J$10000&gt;=ROUND($MA$3,0)),0),MATCH("DEFAULT_CIA_MEDIAN_MARGIN_GUIDENCE",'Margin Guidence Table'!$A$1:$AG$1,0))),0)))</f>
        <v>0</v>
      </c>
      <c r="MT23" s="784"/>
      <c r="MU23" s="18">
        <f t="array" ref="MU23">IF('Customer Inputs'!$W$19="End",0,IFERROR(IF($NH23="SEGMENT",INDEX('Margin Guidence Table'!$A$1:$AG$10000,MATCH(1,('Margin Guidence Table'!$A$1:$A$10000=$NF23)*('Margin Guidence Table'!$I$1:$I$10000&lt;=ROUND($MX$3,0))*('Margin Guidence Table'!$J$1:$J$10000&gt;=ROUND($MX$3,0)),0),MATCH("PCT_SALES",'Margin Guidence Table'!$A$1:$AG$1,0)),INDEX('Margin Guidence Table'!$A$1:$AG$10000,MATCH(1,('Margin Guidence Table'!$A$1:$A$10000=$NF23)*('Margin Guidence Table'!$I$1:$I$10000&lt;=ROUND($MX$3,0))*('Margin Guidence Table'!$J$1:$J$10000&gt;=ROUND($MX$3,0)),0),MATCH("DEFAULT_PCT_SALES",'Margin Guidence Table'!$A$1:$AG$1,0))),0))</f>
        <v>0</v>
      </c>
      <c r="MV23" s="1713" t="e">
        <f t="shared" si="58"/>
        <v>#DIV/0!</v>
      </c>
      <c r="MW23" s="99" t="s">
        <v>101</v>
      </c>
      <c r="MX23" s="91">
        <f>IF('Customer Inputs'!$W$19="End",0,IFERROR(IF(AND($MX$2&lt;&gt;"Enter Spend&gt;&gt;&gt;",$MY$2="EXISTING"),SUMIFS('Existing Customers'!$Q:$Q,'Existing Customers'!$A:$A,$MX$1,'Existing Customers'!$H:$H,$MW23)*$MX$4,$MX$3*$MV23),0))</f>
        <v>0</v>
      </c>
      <c r="MY23" s="86">
        <f>IF('Customer Inputs'!$W$19="End",0,IFERROR(IF(AND($MX$2&lt;&gt;"Enter Spend&gt;&gt;&gt;",$MY$2="EXISTING"),SUMIFS('Existing Customers'!$N:$N,'Existing Customers'!$A:$A,$MX$1,'Existing Customers'!$H:$H,$MW23)*$MX$4,$MX23/$NI23),0))</f>
        <v>0</v>
      </c>
      <c r="MZ23" s="92">
        <f>IF('Customer Inputs'!$W$19="End",0,IFERROR(IF(AND($MX$2&lt;&gt;"Enter Spend&gt;&gt;&gt;",$MY$2="EXISTING"),SUMIFS('Existing Customers'!$O:$O,'Existing Customers'!$H:$H,$MW23,'Existing Customers'!$A:$A,$MX$1)*$MX$4,$MY23*$MX$8),0))</f>
        <v>0</v>
      </c>
      <c r="NA23" s="92">
        <f>IF('Customer Inputs'!$W$19="End",0,IFERROR(IF(AND($MX$2&lt;&gt;"Enter Spend&gt;&gt;&gt;",$MY$2="EXISTING"),SUMIFS('Existing Customers'!$P:$P,'Existing Customers'!$A:$A,$MX$1,'Existing Customers'!$H:$H,$MW23)*$MX$4,$MX23/$NJ23),0))</f>
        <v>0</v>
      </c>
      <c r="NB23" s="303">
        <f>IF('Customer Inputs'!$W$19="End",0,IFERROR(IF(AND($MX$2&lt;&gt;"Enter Spend&gt;&gt;&gt;",$MY$2="EXISTING"),SUMIFS('Existing Customers'!$V:$V,'Existing Customers'!$H:$H,$MW23,'Existing Customers'!$A:$A,$MX$1)*$MX$4,0),0))</f>
        <v>0</v>
      </c>
      <c r="NC23" s="93">
        <f>IF('Customer Inputs'!$W$19="End",0,IFERROR(IF(AND($MX$2&lt;&gt;"Enter Spend&gt;&gt;&gt;",$MY$2="EXISTING"),SUMIFS('Existing Customers'!$R:$R,'Existing Customers'!$H:$H,$MW23,'Existing Customers'!$A:$A,$MX$1)*$MX$4,0),0))</f>
        <v>0</v>
      </c>
      <c r="ND23" s="780">
        <f>IF('Customer Inputs'!$W$19="End",0,IFERROR(IF(AND($MX$2&lt;&gt;"Enter Spend&gt;&gt;&gt;",$MY$2="EXISTING"),SUMIFS('Existing Customers'!$S:$S,'Existing Customers'!$H:$H,$MW23,'Existing Customers'!$A:$A,$MX$1)/SUMIFS('Existing Customers'!$Q:$Q,'Existing Customers'!$A:$A,$MX$1,'Existing Customers'!$H:$H,$MW23),NN23),0))</f>
        <v>0</v>
      </c>
      <c r="NE23" s="780">
        <f>IF('Customer Inputs'!$W$19="End",0,IFERROR(IF(AND($MX$2&lt;&gt;"Enter Spend&gt;&gt;&gt;",$MY$2="EXISTING"),SUMIFS('Existing Customers'!$U:$U,'Existing Customers'!$H:$H,$MW23,'Existing Customers'!$A:$A,$MX$1)/SUMIFS('Existing Customers'!$Q:$Q,'Existing Customers'!$A:$A,$MX$1,'Existing Customers'!$H:$H,$MW23),NO23),0))</f>
        <v>0</v>
      </c>
      <c r="NF23" s="783" t="e">
        <f>_xlfn.CONCAT('Customer Inputs'!$AH$19,"_",MW23)</f>
        <v>#N/A</v>
      </c>
      <c r="NG23" s="783">
        <f t="array" ref="NG23">IF('Customer Inputs'!$W$19="End",0,IFERROR(INDEX('Margin Guidence Table'!$A$1:$AG$10000,MATCH(1,('Margin Guidence Table'!$A$1:$A$10000=NF23)*('Margin Guidence Table'!$I$1:$I$10000&lt;=ROUND($MX$3,0))*('Margin Guidence Table'!$J$1:$J$10000&gt;=ROUND($MX$3,0)),0),MATCH("DATA_POINTS",'Margin Guidence Table'!$A$1:$AG$1,0)),0))</f>
        <v>0</v>
      </c>
      <c r="NH23" s="780" t="str">
        <f t="shared" si="59"/>
        <v>DEFAULT</v>
      </c>
      <c r="NI23" s="780">
        <f t="array" ref="NI23">IF('Customer Inputs'!$W$19="End",0,IFERROR(IF($NH23="SEGMENT",INDEX('Margin Guidence Table'!$A$1:$AG$10000,MATCH(1,('Margin Guidence Table'!$A$1:$A$10000=NF23)*('Margin Guidence Table'!$I$1:$I$10000&lt;=ROUND($MX$3,0))*('Margin Guidence Table'!$J$1:$J$10000&gt;=ROUND($MX$3,0)),0),MATCH("SALES_CASE",'Margin Guidence Table'!$A$1:$AG$1,0)),INDEX('Margin Guidence Table'!$A$1:$AG$10000,MATCH(1,('Margin Guidence Table'!$A$1:$A$10000=NF23)*('Margin Guidence Table'!$I$1:$I$10000&lt;=ROUND($MX$3,0))*('Margin Guidence Table'!$J$1:$J$10000&gt;=ROUND($MX$3,0)),0),MATCH("DEFAULT_SALES_CASE",'Margin Guidence Table'!$A$1:$AG$1,0))),0))</f>
        <v>0</v>
      </c>
      <c r="NJ23" s="780">
        <f t="array" ref="NJ23">IF('Customer Inputs'!$W$19="End",0,IFERROR(IF($NH23="SEGMENT",INDEX('Margin Guidence Table'!$A$1:$AG$10000,MATCH(1,('Margin Guidence Table'!$A$1:$A$10000=NF23)*('Margin Guidence Table'!$I$1:$I$10000&lt;=ROUND($MX$3,0))*('Margin Guidence Table'!$J$1:$J$10000&gt;=ROUND($MX$3,0)),0),MATCH("SALES_LBS",'Margin Guidence Table'!$A$1:$AG$1,0)),INDEX('Margin Guidence Table'!$A$1:$AG$10000,MATCH(1,('Margin Guidence Table'!$A$1:$A$10000=NF23)*('Margin Guidence Table'!$I$1:$I$10000&lt;=ROUND($MX$3,0))*('Margin Guidence Table'!$J$1:$J$10000&gt;=ROUND($MX$3,0)),0),MATCH("DEFAULT_SALES_LBS",'Margin Guidence Table'!$A$1:$AG$1,0))),0))</f>
        <v>0</v>
      </c>
      <c r="NK23" s="784">
        <f t="array" ref="NK23">IF('Customer Inputs'!$W$19="End",0,IFERROR(IF($NH23="SEGMENT",INDEX('Margin Guidence Table'!$A$1:$AG$10000,MATCH(1,('Margin Guidence Table'!$A$1:$A$10000=NF23)*('Margin Guidence Table'!$I$1:$I$10000&lt;=ROUND($MX$3,0))*('Margin Guidence Table'!$J$1:$J$10000&gt;=ROUND($MX$3,0)),0),MATCH("MDA_MIN_MARGIN_GUIDENCE",'Margin Guidence Table'!$A$1:$AG$1,0)),INDEX('Margin Guidence Table'!$A$1:$AG$10000,MATCH(1,('Margin Guidence Table'!$A$1:$A$10000=NF23)*('Margin Guidence Table'!$I$1:$I$10000&lt;=ROUND($MX$3,0))*('Margin Guidence Table'!$J$1:$J$10000&gt;=ROUND($MX$3,0)),0),MATCH("DEFAULT_MDA_MIN_MARGIN_GUIDENCE",'Margin Guidence Table'!$A$1:$AG$1,0))),0))</f>
        <v>0</v>
      </c>
      <c r="NL23" s="784">
        <f t="array" ref="NL23">IF('Customer Inputs'!$W$19="End",0,IFERROR(IF($NH23="SEGMENT",INDEX('Margin Guidence Table'!$A$1:$AG$10000,MATCH(1,('Margin Guidence Table'!$A$1:$A$10000=NF23)*('Margin Guidence Table'!$I$1:$I$10000&lt;=ROUND($MX$3,0))*('Margin Guidence Table'!$J$1:$J$10000&gt;=ROUND($MX$3,0)),0),MATCH("MDA_MEDIAN_MARGIN_GUIDENCE",'Margin Guidence Table'!$A$1:$AG$1,0)),INDEX('Margin Guidence Table'!$A$1:$AG$10000,MATCH(1,('Margin Guidence Table'!$A$1:$A$10000=NF23)*('Margin Guidence Table'!$I$1:$I$10000&lt;=ROUND($MX$3,0))*('Margin Guidence Table'!$J$1:$J$10000&gt;=ROUND($MX$3,0)),0),MATCH("DEFAULT_MDA_MEDIAN_MARGIN_GUIDENCE",'Margin Guidence Table'!$A$1:$AG$1,0))),0))</f>
        <v>0</v>
      </c>
      <c r="NM23" s="784">
        <f t="array" ref="NM23">IF('Customer Inputs'!$W$19="End",0,IFERROR(IF($NH23="SEGMENT",INDEX('Margin Guidence Table'!$A$1:$AG$10000,MATCH(1,('Margin Guidence Table'!$A$1:$A$10000=NF23)*('Margin Guidence Table'!$I$1:$I$10000&lt;=ROUND($MX$3,0))*('Margin Guidence Table'!$J$1:$J$10000&gt;=ROUND($MX$3,0)),0),MATCH("MDA_MAX_MARGIN_GUIDENCE",'Margin Guidence Table'!$A$1:$AG$1,0)),INDEX('Margin Guidence Table'!$A$1:$AG$10000,MATCH(1,('Margin Guidence Table'!$A$1:$A$10000=NF23)*('Margin Guidence Table'!$I$1:$I$10000&lt;=ROUND($MX$3,0))*('Margin Guidence Table'!$J$1:$J$10000&gt;=ROUND($MX$3,0)),0),MATCH("DEFAULT_MDA_MAX_MARGIN_GUIDENCE",'Margin Guidence Table'!$A$1:$AG$1,0))),0))</f>
        <v>0</v>
      </c>
      <c r="NN23" s="784">
        <f t="array" ref="NN23">IF('Customer Inputs'!$W$19="End",0,IFERROR(IF($NH23="SEGMENT",INDEX('Margin Guidence Table'!$A$1:$AG$10000,MATCH(1,('Margin Guidence Table'!$A$1:$A$10000=NF23)*('Margin Guidence Table'!$I$1:$I$10000&lt;=ROUND($MX$3,0))*('Margin Guidence Table'!$J$1:$J$10000&gt;=ROUND($MX$3,0)),0),MATCH("PA_PCT_SALES",'Margin Guidence Table'!$A$1:$AG$1,0)),INDEX('Margin Guidence Table'!$A$1:$AG$10000,MATCH(1,('Margin Guidence Table'!$A$1:$A$10000=NF23)*('Margin Guidence Table'!$I$1:$I$10000&lt;=ROUND($MX$3,0))*('Margin Guidence Table'!$J$1:$J$10000&gt;=ROUND($MX$3,0)),0),MATCH("DEFAULT_PA_PCT_SALES",'Margin Guidence Table'!$A$1:$AG$1,0))),0))</f>
        <v>0</v>
      </c>
      <c r="NO23" s="784">
        <f t="array" ref="NO23">IF('Customer Inputs'!$W$19="End",0,IFERROR(IF($NH23="SEGMENT",INDEX('Margin Guidence Table'!$A$1:$AG$10000,MATCH(1,('Margin Guidence Table'!$A$1:$A$10000=NF23)*('Margin Guidence Table'!$I$1:$I$10000&lt;=ROUND($MX$3,0))*('Margin Guidence Table'!$J$1:$J$10000&gt;=ROUND($MX$3,0)),0),MATCH("SELF_FUND_PCT_SALES",'Margin Guidence Table'!$A$1:$AG$1,0)),INDEX('Margin Guidence Table'!$A$1:$AG$10000,MATCH(1,('Margin Guidence Table'!$A$1:$A$10000=NF23)*('Margin Guidence Table'!$I$1:$I$10000&lt;=ROUND($MX$3,0))*('Margin Guidence Table'!$J$1:$J$10000&gt;=ROUND($MX$3,0)),0),MATCH("DEFAULT_SELF_FUND_PCT_SALES",'Margin Guidence Table'!$A$1:$AG$1,0))),0))</f>
        <v>0</v>
      </c>
      <c r="NP23" s="784">
        <f t="array" ref="NP23">IF('Customer Inputs'!$W$19="End",0,IF($MY$2="Existing",IFERROR(SUMIFS('Existing Customers'!$V:$V,'Existing Customers'!$H:$H,$MW23,'Existing Customers'!$A:$A,$MX$1)/SUMIFS('Existing Customers'!$Q:$Q,'Existing Customers'!$H:$H,$MW23,'Existing Customers'!$A:$A,$MX$1),0),IFERROR(IF($NH23="SEGMENT",INDEX('Margin Guidence Table'!$A$1:$AG$10000,MATCH(1,('Margin Guidence Table'!$A$1:$A$10000=NF23)*('Margin Guidence Table'!$I$1:$I$10000&lt;=ROUND($MX$3,0))*('Margin Guidence Table'!$J$1:$J$10000&gt;=ROUND($MX$3,0)),0),MATCH("CIA_MEDIAN_MARGIN_GUIDENCE",'Margin Guidence Table'!$A$1:$AG$1,0)),INDEX('Margin Guidence Table'!$A$1:$AG$10000,MATCH(1,('Margin Guidence Table'!$A$1:$A$10000=NF23)*('Margin Guidence Table'!$I$1:$I$10000&lt;=ROUND($MX$3,0))*('Margin Guidence Table'!$J$1:$J$10000&gt;=ROUND($MX$3,0)),0),MATCH("DEFAULT_CIA_MEDIAN_MARGIN_GUIDENCE",'Margin Guidence Table'!$A$1:$AG$1,0))),0)))</f>
        <v>0</v>
      </c>
      <c r="NQ23" s="784"/>
      <c r="NR23" s="18">
        <f t="array" ref="NR23">IF('Customer Inputs'!$W$20="End",0,IFERROR(IF($OE23="SEGMENT",INDEX('Margin Guidence Table'!$A$1:$AG$10000,MATCH(1,('Margin Guidence Table'!$A$1:$A$10000=$OC23)*('Margin Guidence Table'!$I$1:$I$10000&lt;=ROUND($NU$3,0))*('Margin Guidence Table'!$J$1:$J$10000&gt;=ROUND($NU$3,0)),0),MATCH("PCT_SALES",'Margin Guidence Table'!$A$1:$AG$1,0)),INDEX('Margin Guidence Table'!$A$1:$AG$10000,MATCH(1,('Margin Guidence Table'!$A$1:$A$10000=$OC23)*('Margin Guidence Table'!$I$1:$I$10000&lt;=ROUND($NU$3,0))*('Margin Guidence Table'!$J$1:$J$10000&gt;=ROUND($NU$3,0)),0),MATCH("DEFAULT_PCT_SALES",'Margin Guidence Table'!$A$1:$AG$1,0))),0))</f>
        <v>0</v>
      </c>
      <c r="NS23" s="1713" t="e">
        <f t="shared" si="60"/>
        <v>#DIV/0!</v>
      </c>
      <c r="NT23" s="99" t="s">
        <v>101</v>
      </c>
      <c r="NU23" s="91">
        <f>IF('Customer Inputs'!$W$20="End",0,IFERROR(IF(AND($NU$2&lt;&gt;"Enter Spend&gt;&gt;&gt;",$NV$2="EXISTING"),SUMIFS('Existing Customers'!$Q:$Q,'Existing Customers'!$A:$A,$NU$1,'Existing Customers'!$H:$H,$NT23)*$NU$4,$NU$3*$NS23),0))</f>
        <v>0</v>
      </c>
      <c r="NV23" s="86">
        <f>IF('Customer Inputs'!$W$20="End",0,IFERROR(IF(AND($NU$2&lt;&gt;"Enter Spend&gt;&gt;&gt;",$NV$2="EXISTING"),SUMIFS('Existing Customers'!$N:$N,'Existing Customers'!$A:$A,$NU$1,'Existing Customers'!$H:$H,$NT23)*$NU$4,$NU23/$OF23),0))</f>
        <v>0</v>
      </c>
      <c r="NW23" s="92">
        <f>IF('Customer Inputs'!$W$20="End",0,IFERROR(IF(AND($NU$2&lt;&gt;"Enter Spend&gt;&gt;&gt;",$NV$2="EXISTING"),SUMIFS('Existing Customers'!$O:$O,'Existing Customers'!$H:$H,$NT23,'Existing Customers'!$A:$A,$NU$1)*$NU$4,$NV23*$NU$8),0))</f>
        <v>0</v>
      </c>
      <c r="NX23" s="92">
        <f>IF('Customer Inputs'!$W$20="End",0,IFERROR(IF(AND($NU$2&lt;&gt;"Enter Spend&gt;&gt;&gt;",$NV$2="EXISTING"),SUMIFS('Existing Customers'!$P:$P,'Existing Customers'!$A:$A,$NU$1,'Existing Customers'!$H:$H,$NT23)*$NU$4,$NU23/$OG23),0))</f>
        <v>0</v>
      </c>
      <c r="NY23" s="303">
        <f>IF('Customer Inputs'!$W$20="End",0,IFERROR(IF(AND($NU$2&lt;&gt;"Enter Spend&gt;&gt;&gt;",$NV$2="EXISTING"),SUMIFS('Existing Customers'!$V:$V,'Existing Customers'!$H:$H,$NT23,'Existing Customers'!$A:$A,$NU$1)*$NU$4,0),0))</f>
        <v>0</v>
      </c>
      <c r="NZ23" s="93">
        <f>IF('Customer Inputs'!$W$20="End",0,IFERROR(IF(AND($NU$2&lt;&gt;"Enter Spend&gt;&gt;&gt;",$NV$2="EXISTING"),SUMIFS('Existing Customers'!$R:$R,'Existing Customers'!$H:$H,$NT23,'Existing Customers'!$A:$A,$NU$1)*$NU$4,0),0))</f>
        <v>0</v>
      </c>
      <c r="OA23" s="780">
        <f>IF('Customer Inputs'!$W$20="End",0,IFERROR(IF(AND($NU$2&lt;&gt;"Enter Spend&gt;&gt;&gt;",$NV$2="EXISTING"),SUMIFS('Existing Customers'!$S:$S,'Existing Customers'!$H:$H,$NT23,'Existing Customers'!$A:$A,$NU$1)/SUMIFS('Existing Customers'!$Q:$Q,'Existing Customers'!$A:$A,$NU$1,'Existing Customers'!$H:$H,$NT23),OK23),0))</f>
        <v>0</v>
      </c>
      <c r="OB23" s="780">
        <f>IF('Customer Inputs'!$W$20="End",0,IFERROR(IF(AND($NU$2&lt;&gt;"Enter Spend&gt;&gt;&gt;",$NV$2="EXISTING"),SUMIFS('Existing Customers'!$U:$U,'Existing Customers'!$H:$H,$NT23,'Existing Customers'!$A:$A,$NU$1)/SUMIFS('Existing Customers'!$Q:$Q,'Existing Customers'!$A:$A,$NU$1,'Existing Customers'!$H:$H,$NT23),OL23),0))</f>
        <v>0</v>
      </c>
      <c r="OC23" s="783" t="e">
        <f>_xlfn.CONCAT('Customer Inputs'!$AH$20,"_",NT23)</f>
        <v>#N/A</v>
      </c>
      <c r="OD23" s="783">
        <f t="array" ref="OD23">IF('Customer Inputs'!$W$20="End",0,IFERROR(INDEX('Margin Guidence Table'!$A$1:$AG$10000,MATCH(1,('Margin Guidence Table'!$A$1:$A$10000=OC23)*('Margin Guidence Table'!$I$1:$I$10000&lt;=ROUND($NU$3,0))*('Margin Guidence Table'!$J$1:$J$10000&gt;=ROUND($NU$3,0)),0),MATCH("DATA_POINTS",'Margin Guidence Table'!$A$1:$AG$1,0)),0))</f>
        <v>0</v>
      </c>
      <c r="OE23" s="780" t="str">
        <f t="shared" si="61"/>
        <v>DEFAULT</v>
      </c>
      <c r="OF23" s="780">
        <f t="array" ref="OF23">IF('Customer Inputs'!$W$20="End",0,IFERROR(IF($OE23="SEGMENT",INDEX('Margin Guidence Table'!$A$1:$AG$10000,MATCH(1,('Margin Guidence Table'!$A$1:$A$10000=OC23)*('Margin Guidence Table'!$I$1:$I$10000&lt;=ROUND($NU$3,0))*('Margin Guidence Table'!$J$1:$J$10000&gt;=ROUND($NU$3,0)),0),MATCH("SALES_CASE",'Margin Guidence Table'!$A$1:$AG$1,0)),INDEX('Margin Guidence Table'!$A$1:$AG$10000,MATCH(1,('Margin Guidence Table'!$A$1:$A$10000=OC23)*('Margin Guidence Table'!$I$1:$I$10000&lt;=ROUND($NU$3,0))*('Margin Guidence Table'!$J$1:$J$10000&gt;=ROUND($NU$3,0)),0),MATCH("DEFAULT_SALES_CASE",'Margin Guidence Table'!$A$1:$AG$1,0))),0))</f>
        <v>0</v>
      </c>
      <c r="OG23" s="780">
        <f t="array" ref="OG23">IF('Customer Inputs'!$W$20="End",0,IFERROR(IF($OE23="SEGMENT",INDEX('Margin Guidence Table'!$A$1:$AG$10000,MATCH(1,('Margin Guidence Table'!$A$1:$A$10000=OC23)*('Margin Guidence Table'!$I$1:$I$10000&lt;=ROUND($NU$3,0))*('Margin Guidence Table'!$J$1:$J$10000&gt;=ROUND($NU$3,0)),0),MATCH("SALES_LBS",'Margin Guidence Table'!$A$1:$AG$1,0)),INDEX('Margin Guidence Table'!$A$1:$AG$10000,MATCH(1,('Margin Guidence Table'!$A$1:$A$10000=OC23)*('Margin Guidence Table'!$I$1:$I$10000&lt;=ROUND($NU$3,0))*('Margin Guidence Table'!$J$1:$J$10000&gt;=ROUND($NU$3,0)),0),MATCH("DEFAULT_SALES_LBS",'Margin Guidence Table'!$A$1:$AG$1,0))),0))</f>
        <v>0</v>
      </c>
      <c r="OH23" s="784">
        <f t="array" ref="OH23">IF('Customer Inputs'!$W$20="End",0,IFERROR(IF($OE23="SEGMENT",INDEX('Margin Guidence Table'!$A$1:$AG$10000,MATCH(1,('Margin Guidence Table'!$A$1:$A$10000=OC23)*('Margin Guidence Table'!$I$1:$I$10000&lt;=ROUND($NU$3,0))*('Margin Guidence Table'!$J$1:$J$10000&gt;=ROUND($NU$3,0)),0),MATCH("MDA_MIN_MARGIN_GUIDENCE",'Margin Guidence Table'!$A$1:$AG$1,0)),INDEX('Margin Guidence Table'!$A$1:$AG$10000,MATCH(1,('Margin Guidence Table'!$A$1:$A$10000=OC23)*('Margin Guidence Table'!$I$1:$I$10000&lt;=ROUND($NU$3,0))*('Margin Guidence Table'!$J$1:$J$10000&gt;=ROUND($NU$3,0)),0),MATCH("DEFAULT_MDA_MIN_MARGIN_GUIDENCE",'Margin Guidence Table'!$A$1:$AG$1,0))),0))</f>
        <v>0</v>
      </c>
      <c r="OI23" s="784">
        <f t="array" ref="OI23">IF('Customer Inputs'!$W$20="End",0,IFERROR(IF($OE23="SEGMENT",INDEX('Margin Guidence Table'!$A$1:$AG$10000,MATCH(1,('Margin Guidence Table'!$A$1:$A$10000=OC23)*('Margin Guidence Table'!$I$1:$I$10000&lt;=ROUND($NU$3,0))*('Margin Guidence Table'!$J$1:$J$10000&gt;=ROUND($NU$3,0)),0),MATCH("MDA_MEDIAN_MARGIN_GUIDENCE",'Margin Guidence Table'!$A$1:$AG$1,0)),INDEX('Margin Guidence Table'!$A$1:$AG$10000,MATCH(1,('Margin Guidence Table'!$A$1:$A$10000=OC23)*('Margin Guidence Table'!$I$1:$I$10000&lt;=ROUND($NU$3,0))*('Margin Guidence Table'!$J$1:$J$10000&gt;=ROUND($NU$3,0)),0),MATCH("DEFAULT_MDA_MEDIAN_MARGIN_GUIDENCE",'Margin Guidence Table'!$A$1:$AG$1,0))),0))</f>
        <v>0</v>
      </c>
      <c r="OJ23" s="784">
        <f t="array" ref="OJ23">IF('Customer Inputs'!$W$20="End",0,IFERROR(IF($OE23="SEGMENT",INDEX('Margin Guidence Table'!$A$1:$AG$10000,MATCH(1,('Margin Guidence Table'!$A$1:$A$10000=OC23)*('Margin Guidence Table'!$I$1:$I$10000&lt;=ROUND($NU$3,0))*('Margin Guidence Table'!$J$1:$J$10000&gt;=ROUND($NU$3,0)),0),MATCH("MDA_MAX_MARGIN_GUIDENCE",'Margin Guidence Table'!$A$1:$AG$1,0)),INDEX('Margin Guidence Table'!$A$1:$AG$10000,MATCH(1,('Margin Guidence Table'!$A$1:$A$10000=OC23)*('Margin Guidence Table'!$I$1:$I$10000&lt;=ROUND($NU$3,0))*('Margin Guidence Table'!$J$1:$J$10000&gt;=ROUND($NU$3,0)),0),MATCH("DEFAULT_MDA_MAX_MARGIN_GUIDENCE",'Margin Guidence Table'!$A$1:$AG$1,0))),0))</f>
        <v>0</v>
      </c>
      <c r="OK23" s="784">
        <f t="array" ref="OK23">IF('Customer Inputs'!$W$20="End",0,IFERROR(IF($OE23="SEGMENT",INDEX('Margin Guidence Table'!$A$1:$AG$10000,MATCH(1,('Margin Guidence Table'!$A$1:$A$10000=OC23)*('Margin Guidence Table'!$I$1:$I$10000&lt;=ROUND($NU$3,0))*('Margin Guidence Table'!$J$1:$J$10000&gt;=ROUND($NU$3,0)),0),MATCH("PA_PCT_SALES",'Margin Guidence Table'!$A$1:$AG$1,0)),INDEX('Margin Guidence Table'!$A$1:$AG$10000,MATCH(1,('Margin Guidence Table'!$A$1:$A$10000=OC23)*('Margin Guidence Table'!$I$1:$I$10000&lt;=ROUND($NU$3,0))*('Margin Guidence Table'!$J$1:$J$10000&gt;=ROUND($NU$3,0)),0),MATCH("DEFAULT_PA_PCT_SALES",'Margin Guidence Table'!$A$1:$AG$1,0))),0))</f>
        <v>0</v>
      </c>
      <c r="OL23" s="784">
        <f t="array" ref="OL23">IF('Customer Inputs'!$W$20="End",0,IFERROR(IF($OE23="SEGMENT",INDEX('Margin Guidence Table'!$A$1:$AG$10000,MATCH(1,('Margin Guidence Table'!$A$1:$A$10000=OC23)*('Margin Guidence Table'!$I$1:$I$10000&lt;=ROUND($NU$3,0))*('Margin Guidence Table'!$J$1:$J$10000&gt;=ROUND($NU$3,0)),0),MATCH("SELF_FUND_PCT_SALES",'Margin Guidence Table'!$A$1:$AG$1,0)),INDEX('Margin Guidence Table'!$A$1:$AG$10000,MATCH(1,('Margin Guidence Table'!$A$1:$A$10000=OC23)*('Margin Guidence Table'!$I$1:$I$10000&lt;=ROUND($NU$3,0))*('Margin Guidence Table'!$J$1:$J$10000&gt;=ROUND($NU$3,0)),0),MATCH("DEFAULT_SELF_FUND_PCT_SALES",'Margin Guidence Table'!$A$1:$AG$1,0))),0))</f>
        <v>0</v>
      </c>
      <c r="OM23" s="784">
        <f t="array" ref="OM23">IF('Customer Inputs'!$W$20="End",0,IF($NV$2="Existing",IFERROR(SUMIFS('Existing Customers'!$V:$V,'Existing Customers'!$H:$H,$NT23,'Existing Customers'!$A:$A,$NU$1)/SUMIFS('Existing Customers'!$Q:$Q,'Existing Customers'!$H:$H,$NT23,'Existing Customers'!$A:$A,$NU$1),0),IFERROR(IF($OE23="SEGMENT",INDEX('Margin Guidence Table'!$A$1:$AG$10000,MATCH(1,('Margin Guidence Table'!$A$1:$A$10000=OC23)*('Margin Guidence Table'!$I$1:$I$10000&lt;=ROUND($NU$3,0))*('Margin Guidence Table'!$J$1:$J$10000&gt;=ROUND($NU$3,0)),0),MATCH("CIA_MEDIAN_MARGIN_GUIDENCE",'Margin Guidence Table'!$A$1:$AG$1,0)),INDEX('Margin Guidence Table'!$A$1:$AG$10000,MATCH(1,('Margin Guidence Table'!$A$1:$A$10000=OC23)*('Margin Guidence Table'!$I$1:$I$10000&lt;=ROUND($NU$3,0))*('Margin Guidence Table'!$J$1:$J$10000&gt;=ROUND($NU$3,0)),0),MATCH("DEFAULT_CIA_MEDIAN_MARGIN_GUIDENCE",'Margin Guidence Table'!$A$1:$AG$1,0))),0)))</f>
        <v>0</v>
      </c>
      <c r="ON23" s="784"/>
      <c r="OO23" s="18">
        <f t="array" ref="OO23">IF('Customer Inputs'!$W$21="End",0,IFERROR(IF($PB23="SEGMENT",INDEX('Margin Guidence Table'!$A$1:$AG$10000,MATCH(1,('Margin Guidence Table'!$A$1:$A$10000=$OZ23)*('Margin Guidence Table'!$I$1:$I$10000&lt;=ROUND($OR$3,0))*('Margin Guidence Table'!$J$1:$J$10000&gt;=ROUND($OR$3,0)),0),MATCH("PCT_SALES",'Margin Guidence Table'!$A$1:$AG$1,0)),INDEX('Margin Guidence Table'!$A$1:$AG$10000,MATCH(1,('Margin Guidence Table'!$A$1:$A$10000=$OZ23)*('Margin Guidence Table'!$I$1:$I$10000&lt;=ROUND($OR$3,0))*('Margin Guidence Table'!$J$1:$J$10000&gt;=ROUND($OR$3,0)),0),MATCH("DEFAULT_PCT_SALES",'Margin Guidence Table'!$A$1:$AG$1,0))),0))</f>
        <v>0</v>
      </c>
      <c r="OP23" s="1713" t="e">
        <f t="shared" si="62"/>
        <v>#DIV/0!</v>
      </c>
      <c r="OQ23" s="99" t="s">
        <v>101</v>
      </c>
      <c r="OR23" s="91">
        <f>IF('Customer Inputs'!$W$21="End",0,IFERROR(IF(AND($OR$2&lt;&gt;"Enter Spend&gt;&gt;&gt;",$OS$2="EXISTING"),SUMIFS('Existing Customers'!$Q:$Q,'Existing Customers'!$A:$A,$OR$1,'Existing Customers'!$H:$H,$OQ23)*$OR$4,$OR$3*$OP23),0))</f>
        <v>0</v>
      </c>
      <c r="OS23" s="86">
        <f>IF('Customer Inputs'!$W$21="End",0,IFERROR(IF(AND($OR$2&lt;&gt;"Enter Spend&gt;&gt;&gt;",$OS$2="EXISTING"),SUMIFS('Existing Customers'!$N:$N,'Existing Customers'!$A:$A,$OR$1,'Existing Customers'!$H:$H,$OQ23)*$OR$4,$OR23/$PC23),0))</f>
        <v>0</v>
      </c>
      <c r="OT23" s="92">
        <f>IF('Customer Inputs'!$W$21="End",0,IFERROR(IF(AND($OR$2&lt;&gt;"Enter Spend&gt;&gt;&gt;",$OS$2="EXISTING"),SUMIFS('Existing Customers'!$O:$O,'Existing Customers'!$H:$H,$OQ23,'Existing Customers'!$A:$A,$OR$1)*$OR$4,$OS23*$OR$8),0))</f>
        <v>0</v>
      </c>
      <c r="OU23" s="92">
        <f>IF('Customer Inputs'!$W$21="End",0,IFERROR(IF(AND($OR$2&lt;&gt;"Enter Spend&gt;&gt;&gt;",$OS$2="EXISTING"),SUMIFS('Existing Customers'!$P:$P,'Existing Customers'!$A:$A,$OR$1,'Existing Customers'!$H:$H,$OQ23)*$OR$4,$OR23/$PD23),0))</f>
        <v>0</v>
      </c>
      <c r="OV23" s="303">
        <f>IF('Customer Inputs'!$W$21="End",0,IFERROR(IF(AND($OR$2&lt;&gt;"Enter Spend&gt;&gt;&gt;",$OS$2="EXISTING"),SUMIFS('Existing Customers'!$V:$V,'Existing Customers'!$H:$H,$OQ23,'Existing Customers'!$A:$A,$OR$1)*$OR$4,0),0))</f>
        <v>0</v>
      </c>
      <c r="OW23" s="93">
        <f>IF('Customer Inputs'!$W$21="End",0,IFERROR(IF(AND($OR$2&lt;&gt;"Enter Spend&gt;&gt;&gt;",$OS$2="EXISTING"),SUMIFS('Existing Customers'!$R:$R,'Existing Customers'!$H:$H,$OP23,'Existing Customers'!$A:$A,$OR$1)*$OR$4,0),0))</f>
        <v>0</v>
      </c>
      <c r="OX23" s="780">
        <f>IF('Customer Inputs'!$W$21="End",0,IFERROR(IF(AND($OR$2&lt;&gt;"Enter Spend&gt;&gt;&gt;",$OS$2="EXISTING"),SUMIFS('Existing Customers'!$S:$S,'Existing Customers'!$H:$H,$OQ23,'Existing Customers'!$A:$A,$OR$1)/SUMIFS('Existing Customers'!$Q:$Q,'Existing Customers'!$A:$A,$OR$1,'Existing Customers'!$H:$H,$OQ23),PH23),0))</f>
        <v>0</v>
      </c>
      <c r="OY23" s="780">
        <f>IF('Customer Inputs'!$W$21="End",0,IFERROR(IF(AND($OR$2&lt;&gt;"Enter Spend&gt;&gt;&gt;",$OS$2="EXISTING"),SUMIFS('Existing Customers'!$U:$U,'Existing Customers'!$H:$H,$OQ23,'Existing Customers'!$A:$A,$OR$1)/SUMIFS('Existing Customers'!$Q:$Q,'Existing Customers'!$A:$A,$OR$1,'Existing Customers'!$H:$H,$OQ23),PI23),0))</f>
        <v>0</v>
      </c>
      <c r="OZ23" s="783" t="e">
        <f>_xlfn.CONCAT('Customer Inputs'!$AH$21,"_",OQ23)</f>
        <v>#N/A</v>
      </c>
      <c r="PA23" s="783">
        <f t="array" ref="PA23">IF('Customer Inputs'!$W$22="End",0,IFERROR(INDEX('Margin Guidence Table'!$A$1:$AG$10000,MATCH(1,('Margin Guidence Table'!$A$1:$A$10000=OZ23)*('Margin Guidence Table'!$I$1:$I$10000&lt;=ROUND($OR$3,0))*('Margin Guidence Table'!$J$1:$J$10000&gt;=ROUND($OR$3,0)),0),MATCH("DATA_POINTS",'Margin Guidence Table'!$A$1:$AG$1,0)),0))</f>
        <v>0</v>
      </c>
      <c r="PB23" s="780" t="str">
        <f t="shared" si="63"/>
        <v>DEFAULT</v>
      </c>
      <c r="PC23" s="780">
        <f t="array" ref="PC23">IF('Customer Inputs'!$W$21="End",0,IFERROR(IF($PB23="SEGMENT",INDEX('Margin Guidence Table'!$A$1:$AG$10000,MATCH(1,('Margin Guidence Table'!$A$1:$A$10000=OZ23)*('Margin Guidence Table'!$I$1:$I$10000&lt;=ROUND($OR$3,0))*('Margin Guidence Table'!$J$1:$J$10000&gt;=ROUND($OR$3,0)),0),MATCH("SALES_CASE",'Margin Guidence Table'!$A$1:$AG$1,0)),INDEX('Margin Guidence Table'!$A$1:$AG$10000,MATCH(1,('Margin Guidence Table'!$A$1:$A$10000=OZ23)*('Margin Guidence Table'!$I$1:$I$10000&lt;=ROUND($OR$3,0))*('Margin Guidence Table'!$J$1:$J$10000&gt;=ROUND($OR$3,0)),0),MATCH("DEFAULT_SALES_CASE",'Margin Guidence Table'!$A$1:$AG$1,0))),0))</f>
        <v>0</v>
      </c>
      <c r="PD23" s="780">
        <f t="array" ref="PD23">IF('Customer Inputs'!$W$21="End",0,IFERROR(IF($PB23="SEGMENT",INDEX('Margin Guidence Table'!$A$1:$AG$10000,MATCH(1,('Margin Guidence Table'!$A$1:$A$10000=OZ23)*('Margin Guidence Table'!$I$1:$I$10000&lt;=ROUND($OR$3,0))*('Margin Guidence Table'!$J$1:$J$10000&gt;=ROUND($OR$3,0)),0),MATCH("SALES_LBS",'Margin Guidence Table'!$A$1:$AG$1,0)),INDEX('Margin Guidence Table'!$A$1:$AG$10000,MATCH(1,('Margin Guidence Table'!$A$1:$A$10000=OZ23)*('Margin Guidence Table'!$I$1:$I$10000&lt;=ROUND($OR$3,0))*('Margin Guidence Table'!$J$1:$J$10000&gt;=ROUND($OR$3,0)),0),MATCH("DEFAULT_SALES_LBS",'Margin Guidence Table'!$A$1:$AG$1,0))),0))</f>
        <v>0</v>
      </c>
      <c r="PE23" s="784">
        <f t="array" ref="PE23">IF('Customer Inputs'!$W$21="End",0,IFERROR(IF($PB23="SEGMENT",INDEX('Margin Guidence Table'!$A$1:$AG$10000,MATCH(1,('Margin Guidence Table'!$A$1:$A$10000=OZ23)*('Margin Guidence Table'!$I$1:$I$10000&lt;=ROUND($OR$3,0))*('Margin Guidence Table'!$J$1:$J$10000&gt;=ROUND($OR$3,0)),0),MATCH("MDA_MIN_MARGIN_GUIDENCE",'Margin Guidence Table'!$A$1:$AG$1,0)),INDEX('Margin Guidence Table'!$A$1:$AG$10000,MATCH(1,('Margin Guidence Table'!$A$1:$A$10000=OZ23)*('Margin Guidence Table'!$I$1:$I$10000&lt;=ROUND($OR$3,0))*('Margin Guidence Table'!$J$1:$J$10000&gt;=ROUND($OR$3,0)),0),MATCH("DEFAULT_MDA_MIN_MARGIN_GUIDENCE",'Margin Guidence Table'!$A$1:$AG$1,0))),0))</f>
        <v>0</v>
      </c>
      <c r="PF23" s="784">
        <f t="array" ref="PF23">IF('Customer Inputs'!$W$21="End",0,IFERROR(IF($PB23="SEGMENT",INDEX('Margin Guidence Table'!$A$1:$AG$10000,MATCH(1,('Margin Guidence Table'!$A$1:$A$10000=OZ23)*('Margin Guidence Table'!$I$1:$I$10000&lt;=ROUND($OR$3,0))*('Margin Guidence Table'!$J$1:$J$10000&gt;=ROUND($OR$3,0)),0),MATCH("MDA_MEDIAN_MARGIN_GUIDENCE",'Margin Guidence Table'!$A$1:$AG$1,0)),INDEX('Margin Guidence Table'!$A$1:$AG$10000,MATCH(1,('Margin Guidence Table'!$A$1:$A$10000=OZ23)*('Margin Guidence Table'!$I$1:$I$10000&lt;=ROUND($OR$3,0))*('Margin Guidence Table'!$J$1:$J$10000&gt;=ROUND($OR$3,0)),0),MATCH("DEFAULT_MDA_MEDIAN_MARGIN_GUIDENCE",'Margin Guidence Table'!$A$1:$AG$1,0))),0))</f>
        <v>0</v>
      </c>
      <c r="PG23" s="784">
        <f t="array" ref="PG23">IF('Customer Inputs'!$W$21="End",0,IFERROR(IF($PB23="SEGMENT",INDEX('Margin Guidence Table'!$A$1:$AG$10000,MATCH(1,('Margin Guidence Table'!$A$1:$A$10000=OZ23)*('Margin Guidence Table'!$I$1:$I$10000&lt;=ROUND($OR$3,0))*('Margin Guidence Table'!$J$1:$J$10000&gt;=ROUND($OR$3,0)),0),MATCH("MDA_MAX_MARGIN_GUIDENCE",'Margin Guidence Table'!$A$1:$AG$1,0)),INDEX('Margin Guidence Table'!$A$1:$AG$10000,MATCH(1,('Margin Guidence Table'!$A$1:$A$10000=OZ23)*('Margin Guidence Table'!$I$1:$I$10000&lt;=ROUND($OR$3,0))*('Margin Guidence Table'!$J$1:$J$10000&gt;=ROUND($OR$3,0)),0),MATCH("DEFAULT_MDA_MAX_MARGIN_GUIDENCE",'Margin Guidence Table'!$A$1:$AG$1,0))),0))</f>
        <v>0</v>
      </c>
      <c r="PH23" s="784">
        <f t="array" ref="PH23">IF('Customer Inputs'!$W$21="End",0,IFERROR(IF($PB23="SEGMENT",INDEX('Margin Guidence Table'!$A$1:$AG$10000,MATCH(1,('Margin Guidence Table'!$A$1:$A$10000=OZ23)*('Margin Guidence Table'!$I$1:$I$10000&lt;=ROUND($OR$3,0))*('Margin Guidence Table'!$J$1:$J$10000&gt;=ROUND($OR$3,0)),0),MATCH("PA_PCT_SALES",'Margin Guidence Table'!$A$1:$AG$1,0)),INDEX('Margin Guidence Table'!$A$1:$AG$10000,MATCH(1,('Margin Guidence Table'!$A$1:$A$10000=OZ23)*('Margin Guidence Table'!$I$1:$I$10000&lt;=ROUND($OR$3,0))*('Margin Guidence Table'!$J$1:$J$10000&gt;=ROUND($OR$3,0)),0),MATCH("DEFAULT_PA_PCT_SALES",'Margin Guidence Table'!$A$1:$AG$1,0))),0))</f>
        <v>0</v>
      </c>
      <c r="PI23" s="784">
        <f t="array" ref="PI23">IF('Customer Inputs'!$W$21="End",0,IFERROR(IF($PB23="SEGMENT",INDEX('Margin Guidence Table'!$A$1:$AG$10000,MATCH(1,('Margin Guidence Table'!$A$1:$A$10000=OZ23)*('Margin Guidence Table'!$I$1:$I$10000&lt;=ROUND($OR$3,0))*('Margin Guidence Table'!$J$1:$J$10000&gt;=ROUND($OR$3,0)),0),MATCH("SELF_FUND_PCT_SALES",'Margin Guidence Table'!$A$1:$AG$1,0)),INDEX('Margin Guidence Table'!$A$1:$AG$10000,MATCH(1,('Margin Guidence Table'!$A$1:$A$10000=OZ23)*('Margin Guidence Table'!$I$1:$I$10000&lt;=ROUND($OR$3,0))*('Margin Guidence Table'!$J$1:$J$10000&gt;=ROUND($OR$3,0)),0),MATCH("DEFAULT_SELF_FUND_PCT_SALES",'Margin Guidence Table'!$A$1:$AG$1,0))),0))</f>
        <v>0</v>
      </c>
      <c r="PJ23" s="784">
        <f t="array" ref="PJ23">IF('Customer Inputs'!$W$21="End",0,IF($OS$2="Existing",IFERROR(SUMIFS('Existing Customers'!$V:$V,'Existing Customers'!$H:$H,$OQ23,'Existing Customers'!$A:$A,$OR$1)/SUMIFS('Existing Customers'!$Q:$Q,'Existing Customers'!$H:$H,$OQ23,'Existing Customers'!$A:$A,$OR$1),0),IFERROR(IF($PB23="SEGMENT",INDEX('Margin Guidence Table'!$A$1:$AG$10000,MATCH(1,('Margin Guidence Table'!$A$1:$A$10000=OZ23)*('Margin Guidence Table'!$I$1:$I$10000&lt;=ROUND($OR$3,0))*('Margin Guidence Table'!$J$1:$J$10000&gt;=ROUND($OR$3,0)),0),MATCH("CIA_MEDIAN_MARGIN_GUIDENCE",'Margin Guidence Table'!$A$1:$AG$1,0)),INDEX('Margin Guidence Table'!$A$1:$AG$10000,MATCH(1,('Margin Guidence Table'!$A$1:$A$10000=OZ23)*('Margin Guidence Table'!$I$1:$I$10000&lt;=ROUND($OR$3,0))*('Margin Guidence Table'!$J$1:$J$10000&gt;=ROUND($OR$3,0)),0),MATCH("DEFAULT_CIA_MEDIAN_MARGIN_GUIDENCE",'Margin Guidence Table'!$A$1:$AG$1,0))),0)))</f>
        <v>0</v>
      </c>
      <c r="PK23" s="784"/>
      <c r="PL23" s="18">
        <f t="array" ref="PL23">IF('Customer Inputs'!$W$22="End",0,IFERROR(IF($PY23="SEGMENT",INDEX('Margin Guidence Table'!$A$1:$AG$10000,MATCH(1,('Margin Guidence Table'!$A$1:$A$10000=$PW23)*('Margin Guidence Table'!$I$1:$I$10000&lt;=ROUND($PO$3,0))*('Margin Guidence Table'!$J$1:$J$10000&gt;=ROUND($PO$3,0)),0),MATCH("PCT_SALES",'Margin Guidence Table'!$A$1:$AG$1,0)),INDEX('Margin Guidence Table'!$A$1:$AG$10000,MATCH(1,('Margin Guidence Table'!$A$1:$A$10000=$PW23)*('Margin Guidence Table'!$I$1:$I$10000&lt;=ROUND($PO$3,0))*('Margin Guidence Table'!$J$1:$J$10000&gt;=ROUND($PO$3,0)),0),MATCH("DEFAULT_PCT_SALES",'Margin Guidence Table'!$A$1:$AG$1,0))),0))</f>
        <v>0</v>
      </c>
      <c r="PM23" s="1713" t="e">
        <f t="shared" si="64"/>
        <v>#DIV/0!</v>
      </c>
      <c r="PN23" s="99" t="s">
        <v>101</v>
      </c>
      <c r="PO23" s="91">
        <f>IF('Customer Inputs'!$W$22="End",0,IFERROR(IF(AND($PO$2&lt;&gt;"Enter Spend&gt;&gt;&gt;",$PP$2="EXISTING"),SUMIFS('Existing Customers'!$Q:$Q,'Existing Customers'!$A:$A,$PO$1,'Existing Customers'!$H:$H,$PN23)*$PO$4,$PO$3*$PM23),0))</f>
        <v>0</v>
      </c>
      <c r="PP23" s="86">
        <f>IF('Customer Inputs'!$W$22="End",0,IFERROR(IF(AND($PO$2&lt;&gt;"Enter Spend&gt;&gt;&gt;",$PP$2="EXISTING"),SUMIFS('Existing Customers'!$N:$N,'Existing Customers'!$A:$A,$PO$1,'Existing Customers'!$H:$H,$PN23)*$PO$4,$PO23/$PZ23),0))</f>
        <v>0</v>
      </c>
      <c r="PQ23" s="92">
        <f>IF('Customer Inputs'!$W$22="End",0,IFERROR(IF(AND($PO$2&lt;&gt;"Enter Spend&gt;&gt;&gt;",$PP$2="EXISTING"),SUMIFS('Existing Customers'!$O:$O,'Existing Customers'!$H:$H,$PN23,'Existing Customers'!$A:$A,$PO$1)*$PO$4,$PP23*$PO$8),0))</f>
        <v>0</v>
      </c>
      <c r="PR23" s="92">
        <f>IF('Customer Inputs'!$W$22="End",0,IFERROR(IF(AND($PO$2&lt;&gt;"Enter Spend&gt;&gt;&gt;",$PP$2="EXISTING"),SUMIFS('Existing Customers'!$P:$P,'Existing Customers'!$A:$A,$PO$1,'Existing Customers'!$H:$H,$PN23)*$PO$4,$PO23/$QA23),0))</f>
        <v>0</v>
      </c>
      <c r="PS23" s="303">
        <f>IF('Customer Inputs'!$W$22="End",0,IFERROR(IF(AND($PO$2&lt;&gt;"Enter Spend&gt;&gt;&gt;",$PP$2="EXISTING"),SUMIFS('Existing Customers'!$V:$V,'Existing Customers'!$H:$H,$PN23,'Existing Customers'!$A:$A,$PO$1)*$PO$4,0),0))</f>
        <v>0</v>
      </c>
      <c r="PT23" s="93">
        <f>IF('Customer Inputs'!$W$22="End",0,IFERROR(IF(AND($PO$2&lt;&gt;"Enter Spend&gt;&gt;&gt;",$PP$2="EXISTING"),SUMIFS('Existing Customers'!$R:$R,'Existing Customers'!$H:$H,$PN23,'Existing Customers'!$A:$A,$PO$1)*$PO$4,0),0))</f>
        <v>0</v>
      </c>
      <c r="PU23" s="780">
        <f>IF('Customer Inputs'!$W$22="End",0,IFERROR(IF(AND($PO$2&lt;&gt;"Enter Spend&gt;&gt;&gt;",$PP$2="EXISTING"),SUMIFS('Existing Customers'!$S:$S,'Existing Customers'!$H:$H,$PN23,'Existing Customers'!$A:$A,$PO$1)/SUMIFS('Existing Customers'!$Q:$Q,'Existing Customers'!$A:$A,$PO$1,'Existing Customers'!$H:$H,$PN23),QE23),0))</f>
        <v>0</v>
      </c>
      <c r="PV23" s="780">
        <f>IF('Customer Inputs'!$W$22="End",0,IFERROR(IF(AND($PO$2&lt;&gt;"Enter Spend&gt;&gt;&gt;",$PP$2="EXISTING"),SUMIFS('Existing Customers'!$U:$U,'Existing Customers'!$H:$H,$PN23,'Existing Customers'!$A:$A,$PO$1)/SUMIFS('Existing Customers'!$Q:$Q,'Existing Customers'!$A:$A,$PO$1,'Existing Customers'!$H:$H,$PN23),QF23),0))</f>
        <v>0</v>
      </c>
      <c r="PW23" s="783" t="e">
        <f>_xlfn.CONCAT('Customer Inputs'!$AH$22,"_",PN23)</f>
        <v>#N/A</v>
      </c>
      <c r="PX23" s="783">
        <f t="array" ref="PX23">IF('Customer Inputs'!$W$22="End",0,IFERROR(INDEX('Margin Guidence Table'!$A$1:$AG$10000,MATCH(1,('Margin Guidence Table'!$A$1:$A$10000=PW23)*('Margin Guidence Table'!$I$1:$I$10000&lt;=ROUND($PO$3,0))*('Margin Guidence Table'!$J$1:$J$10000&gt;=ROUND($PO$3,0)),0),MATCH("DATA_POINTS",'Margin Guidence Table'!$A$1:$AG$1,0)),0))</f>
        <v>0</v>
      </c>
      <c r="PY23" s="780" t="str">
        <f t="shared" si="65"/>
        <v>DEFAULT</v>
      </c>
      <c r="PZ23" s="780">
        <f t="array" ref="PZ23">IF('Customer Inputs'!$W$22="End",0,IFERROR(IF($PY23="SEGMENT",INDEX('Margin Guidence Table'!$A$1:$AG$10000,MATCH(1,('Margin Guidence Table'!$A$1:$A$10000=PW23)*('Margin Guidence Table'!$I$1:$I$10000&lt;=ROUND($PO$3,0))*('Margin Guidence Table'!$J$1:$J$10000&gt;=ROUND($PO$3,0)),0),MATCH("SALES_CASE",'Margin Guidence Table'!$A$1:$AG$1,0)),INDEX('Margin Guidence Table'!$A$1:$AG$10000,MATCH(1,('Margin Guidence Table'!$A$1:$A$10000=PW23)*('Margin Guidence Table'!$I$1:$I$10000&lt;=ROUND($PO$3,0))*('Margin Guidence Table'!$J$1:$J$10000&gt;=ROUND($PO$3,0)),0),MATCH("DEFAULT_SALES_CASE",'Margin Guidence Table'!$A$1:$AG$1,0))),0))</f>
        <v>0</v>
      </c>
      <c r="QA23" s="780">
        <f t="array" ref="QA23">IF('Customer Inputs'!$W$22="End",0,IFERROR(IF($PY23="SEGMENT",INDEX('Margin Guidence Table'!$A$1:$AG$10000,MATCH(1,('Margin Guidence Table'!$A$1:$A$10000=PW23)*('Margin Guidence Table'!$I$1:$I$10000&lt;=ROUND($PO$3,0))*('Margin Guidence Table'!$J$1:$J$10000&gt;=ROUND($PO$3,0)),0),MATCH("SALES_LBS",'Margin Guidence Table'!$A$1:$AG$1,0)),INDEX('Margin Guidence Table'!$A$1:$AG$10000,MATCH(1,('Margin Guidence Table'!$A$1:$A$10000=PW23)*('Margin Guidence Table'!$I$1:$I$10000&lt;=ROUND($PO$3,0))*('Margin Guidence Table'!$J$1:$J$10000&gt;=ROUND($PO$3,0)),0),MATCH("DEFAULT_SALES_LBS",'Margin Guidence Table'!$A$1:$AG$1,0))),0))</f>
        <v>0</v>
      </c>
      <c r="QB23" s="784">
        <f t="array" ref="QB23">IF('Customer Inputs'!$W$22="End",0,IFERROR(IF($PY23="SEGMENT",INDEX('Margin Guidence Table'!$A$1:$AG$10000,MATCH(1,('Margin Guidence Table'!$A$1:$A$10000=PW23)*('Margin Guidence Table'!$I$1:$I$10000&lt;=ROUND($PO$3,0))*('Margin Guidence Table'!$J$1:$J$10000&gt;=ROUND($PO$3,0)),0),MATCH("MDA_MIN_MARGIN_GUIDENCE",'Margin Guidence Table'!$A$1:$AG$1,0)),INDEX('Margin Guidence Table'!$A$1:$AG$10000,MATCH(1,('Margin Guidence Table'!$A$1:$A$10000=PW23)*('Margin Guidence Table'!$I$1:$I$10000&lt;=ROUND($PO$3,0))*('Margin Guidence Table'!$J$1:$J$10000&gt;=ROUND($PO$3,0)),0),MATCH("DEFAULT_MDA_MIN_MARGIN_GUIDENCE",'Margin Guidence Table'!$A$1:$AG$1,0))),0))</f>
        <v>0</v>
      </c>
      <c r="QC23" s="784">
        <f t="array" ref="QC23">IF('Customer Inputs'!$W$22="End",0,IFERROR(IF($PY23="SEGMENT",INDEX('Margin Guidence Table'!$A$1:$AG$10000,MATCH(1,('Margin Guidence Table'!$A$1:$A$10000=PW23)*('Margin Guidence Table'!$I$1:$I$10000&lt;=ROUND($PO$3,0))*('Margin Guidence Table'!$J$1:$J$10000&gt;=ROUND($PO$3,0)),0),MATCH("MDA_MEDIAN_MARGIN_GUIDENCE",'Margin Guidence Table'!$A$1:$AG$1,0)),INDEX('Margin Guidence Table'!$A$1:$AG$10000,MATCH(1,('Margin Guidence Table'!$A$1:$A$10000=PW23)*('Margin Guidence Table'!$I$1:$I$10000&lt;=ROUND($PO$3,0))*('Margin Guidence Table'!$J$1:$J$10000&gt;=ROUND($PO$3,0)),0),MATCH("DEFAULT_MDA_MEDIAN_MARGIN_GUIDENCE",'Margin Guidence Table'!$A$1:$AG$1,0))),0))</f>
        <v>0</v>
      </c>
      <c r="QD23" s="784">
        <f t="array" ref="QD23">IF('Customer Inputs'!$W$22="End",0,IFERROR(IF($PY23="SEGMENT",INDEX('Margin Guidence Table'!$A$1:$AG$10000,MATCH(1,('Margin Guidence Table'!$A$1:$A$10000=PW23)*('Margin Guidence Table'!$I$1:$I$10000&lt;=ROUND($PO$3,0))*('Margin Guidence Table'!$J$1:$J$10000&gt;=ROUND($PO$3,0)),0),MATCH("MDA_MAX_MARGIN_GUIDENCE",'Margin Guidence Table'!$A$1:$AG$1,0)),INDEX('Margin Guidence Table'!$A$1:$AG$10000,MATCH(1,('Margin Guidence Table'!$A$1:$A$10000=PW23)*('Margin Guidence Table'!$I$1:$I$10000&lt;=ROUND($PO$3,0))*('Margin Guidence Table'!$J$1:$J$10000&gt;=ROUND($PO$3,0)),0),MATCH("DEFAULT_MDA_MAX_MARGIN_GUIDENCE",'Margin Guidence Table'!$A$1:$AG$1,0))),0))</f>
        <v>0</v>
      </c>
      <c r="QE23" s="784">
        <f t="array" ref="QE23">IF('Customer Inputs'!$W$22="End",0,IFERROR(IF($PY23="SEGMENT",INDEX('Margin Guidence Table'!$A$1:$AG$10000,MATCH(1,('Margin Guidence Table'!$A$1:$A$10000=PW23)*('Margin Guidence Table'!$I$1:$I$10000&lt;=ROUND($PO$3,0))*('Margin Guidence Table'!$J$1:$J$10000&gt;=ROUND($PO$3,0)),0),MATCH("PA_PCT_SALES",'Margin Guidence Table'!$A$1:$AG$1,0)),INDEX('Margin Guidence Table'!$A$1:$AG$10000,MATCH(1,('Margin Guidence Table'!$A$1:$A$10000=PW23)*('Margin Guidence Table'!$I$1:$I$10000&lt;=ROUND($PO$3,0))*('Margin Guidence Table'!$J$1:$J$10000&gt;=ROUND($PO$3,0)),0),MATCH("DEFAULT_PA_PCT_SALES",'Margin Guidence Table'!$A$1:$AG$1,0))),0))</f>
        <v>0</v>
      </c>
      <c r="QF23" s="784">
        <f t="array" ref="QF23">IF('Customer Inputs'!$W$22="End",0,IFERROR(IF($PY23="SEGMENT",INDEX('Margin Guidence Table'!$A$1:$AG$10000,MATCH(1,('Margin Guidence Table'!$A$1:$A$10000=PW23)*('Margin Guidence Table'!$I$1:$I$10000&lt;=ROUND($PO$3,0))*('Margin Guidence Table'!$J$1:$J$10000&gt;=ROUND($PO$3,0)),0),MATCH("SELF_FUND_PCT_SALES",'Margin Guidence Table'!$A$1:$AG$1,0)),INDEX('Margin Guidence Table'!$A$1:$AG$10000,MATCH(1,('Margin Guidence Table'!$A$1:$A$10000=PW23)*('Margin Guidence Table'!$I$1:$I$10000&lt;=ROUND($PO$3,0))*('Margin Guidence Table'!$J$1:$J$10000&gt;=ROUND($PO$3,0)),0),MATCH("DEFAULT_SELF_FUND_PCT_SALES",'Margin Guidence Table'!$A$1:$AG$1,0))),0))</f>
        <v>0</v>
      </c>
      <c r="QG23" s="784">
        <f t="array" ref="QG23">IF('Customer Inputs'!$W$22="End",0,IF($PP$2="Existing",IFERROR(SUMIFS('Existing Customers'!$V:$V,'Existing Customers'!$H:$H,$PN23,'Existing Customers'!$A:$A,$PO$1)/SUMIFS('Existing Customers'!$Q:$Q,'Existing Customers'!$H:$H,$PN23,'Existing Customers'!$A:$A,$PO$1),0),IFERROR(IF($PY23="SEGMENT",INDEX('Margin Guidence Table'!$A$1:$AG$10000,MATCH(1,('Margin Guidence Table'!$A$1:$A$10000=PW23)*('Margin Guidence Table'!$I$1:$I$10000&lt;=ROUND($PO$3,0))*('Margin Guidence Table'!$J$1:$J$10000&gt;=ROUND($PO$3,0)),0),MATCH("CIA_MEDIAN_MARGIN_GUIDENCE",'Margin Guidence Table'!$A$1:$AG$1,0)),INDEX('Margin Guidence Table'!$A$1:$AG$10000,MATCH(1,('Margin Guidence Table'!$A$1:$A$10000=PW23)*('Margin Guidence Table'!$I$1:$I$10000&lt;=ROUND($PO$3,0))*('Margin Guidence Table'!$J$1:$J$10000&gt;=ROUND($PO$3,0)),0),MATCH("DEFAULT_CIA_MEDIAN_MARGIN_GUIDENCE",'Margin Guidence Table'!$A$1:$AG$1,0))),0)))</f>
        <v>0</v>
      </c>
      <c r="QH23" s="784"/>
      <c r="QI23" s="18">
        <f t="array" ref="QI23">IF('Customer Inputs'!$W$23="End",0,IFERROR(IF($QV23="SEGMENT",INDEX('Margin Guidence Table'!$A$1:$AG$10000,MATCH(1,('Margin Guidence Table'!$A$1:$A$10000=$QT23)*('Margin Guidence Table'!$I$1:$I$10000&lt;=ROUND($QL$3,0))*('Margin Guidence Table'!$J$1:$J$10000&gt;=ROUND($QL$3,0)),0),MATCH("PCT_SALES",'Margin Guidence Table'!$A$1:$AG$1,0)),INDEX('Margin Guidence Table'!$A$1:$AG$10000,MATCH(1,('Margin Guidence Table'!$A$1:$A$10000=$QT23)*('Margin Guidence Table'!$I$1:$I$10000&lt;=ROUND($QL$3,0))*('Margin Guidence Table'!$J$1:$J$10000&gt;=ROUND($QL$3,0)),0),MATCH("DEFAULT_PCT_SALES",'Margin Guidence Table'!$A$1:$AG$1,0))),0))</f>
        <v>0</v>
      </c>
      <c r="QJ23" s="1713" t="e">
        <f t="shared" si="66"/>
        <v>#DIV/0!</v>
      </c>
      <c r="QK23" s="99" t="s">
        <v>101</v>
      </c>
      <c r="QL23" s="91">
        <f>IF('Customer Inputs'!$W$23="End",0,IFERROR(IF(AND($QL$2&lt;&gt;"Enter Spend&gt;&gt;&gt;",$QM$2="EXISTING"),SUMIFS('Existing Customers'!$Q:$Q,'Existing Customers'!$A:$A,$QL$1,'Existing Customers'!$H:$H,$QK23)*$QL$4,$QL$3*$QJ23),0))</f>
        <v>0</v>
      </c>
      <c r="QM23" s="86">
        <f>IF('Customer Inputs'!$W$23="End",0,IFERROR(IF(AND($QL$2&lt;&gt;"Enter Spend&gt;&gt;&gt;",$QM$2="EXISTING"),SUMIFS('Existing Customers'!$N:$N,'Existing Customers'!$A:$A,$QL$1,'Existing Customers'!$H:$H,$QK23)*$QL$4,$QL23/$QW23),0))</f>
        <v>0</v>
      </c>
      <c r="QN23" s="92">
        <f>IF('Customer Inputs'!$W$23="End",0,IFERROR(IF(AND($QL$2&lt;&gt;"Enter Spend&gt;&gt;&gt;",$QM$2="EXISTING"),SUMIFS('Existing Customers'!$O:$O,'Existing Customers'!$H:$H,$QK23,'Existing Customers'!$A:$A,$QL$1)*$QL$4,$QM23*$QL$8),0))</f>
        <v>0</v>
      </c>
      <c r="QO23" s="92">
        <f>IF('Customer Inputs'!$W$23="End",0,IFERROR(IF(AND($QL$2&lt;&gt;"Enter Spend&gt;&gt;&gt;",$QM$2="EXISTING"),SUMIFS('Existing Customers'!$P:$P,'Existing Customers'!$A:$A,$QL$1,'Existing Customers'!$H:$H,$QK23)*$QL$4,$QL23/$QX23),0))</f>
        <v>0</v>
      </c>
      <c r="QP23" s="303">
        <f>IF('Customer Inputs'!$W$23="End",0,IFERROR(IF(AND($QL$2&lt;&gt;"Enter Spend&gt;&gt;&gt;",$QM$2="EXISTING"),SUMIFS('Existing Customers'!$V:$V,'Existing Customers'!$H:$H,$QK23,'Existing Customers'!$A:$A,$QL$1)*$QL$4,0),0))</f>
        <v>0</v>
      </c>
      <c r="QQ23" s="93">
        <f>IF('Customer Inputs'!$W$23="End",0,IFERROR(IF(AND($QL$2&lt;&gt;"Enter Spend&gt;&gt;&gt;",$QM$2="EXISTING"),SUMIFS('Existing Customers'!$R:$R,'Existing Customers'!$H:$H,$QK23,'Existing Customers'!$A:$A,$QL$1)*$QL$4,0),0))</f>
        <v>0</v>
      </c>
      <c r="QR23" s="780">
        <f>IF('Customer Inputs'!$W$23="End",0,IFERROR(IF(AND($QL$2&lt;&gt;"Enter Spend&gt;&gt;&gt;",$QM$2="EXISTING"),SUMIFS('Existing Customers'!$S:$S,'Existing Customers'!$H:$H,$QK23,'Existing Customers'!$A:$A,$QL$1)/SUMIFS('Existing Customers'!$Q:$Q,'Existing Customers'!$A:$A,$QL$1,'Existing Customers'!$H:$H,$QK23),RB23),0))</f>
        <v>0</v>
      </c>
      <c r="QS23" s="780">
        <f>IF('Customer Inputs'!$W$23="End",0,IFERROR(IF(AND($QL$2&lt;&gt;"Enter Spend&gt;&gt;&gt;",$QM$2="EXISTING"),SUMIFS('Existing Customers'!$U:$U,'Existing Customers'!$H:$H,$QK23,'Existing Customers'!$A:$A,$QL$1)/SUMIFS('Existing Customers'!$Q:$Q,'Existing Customers'!$A:$A,$QL$1,'Existing Customers'!$H:$H,$QK23),RC23),0))</f>
        <v>0</v>
      </c>
      <c r="QT23" s="783" t="e">
        <f>_xlfn.CONCAT('Customer Inputs'!$AH$23,"_",QK23)</f>
        <v>#N/A</v>
      </c>
      <c r="QU23" s="783">
        <f t="array" ref="QU23">IF('Customer Inputs'!$W$23="End",0,IFERROR(INDEX('Margin Guidence Table'!$A$1:$AG$10000,MATCH(1,('Margin Guidence Table'!$A$1:$A$10000=QT23)*('Margin Guidence Table'!$I$1:$I$10000&lt;=ROUND($QL$3,0))*('Margin Guidence Table'!$J$1:$J$10000&gt;=ROUND($QL$3,0)),0),MATCH("DATA_POINTS",'Margin Guidence Table'!$A$1:$AG$1,0)),0))</f>
        <v>0</v>
      </c>
      <c r="QV23" s="780" t="str">
        <f t="shared" si="67"/>
        <v>DEFAULT</v>
      </c>
      <c r="QW23" s="780">
        <f t="array" ref="QW23">IF('Customer Inputs'!$W$23="End",0,IFERROR(IF($QV23="SEGMENT",INDEX('Margin Guidence Table'!$A$1:$AG$10000,MATCH(1,('Margin Guidence Table'!$A$1:$A$10000=QT23)*('Margin Guidence Table'!$I$1:$I$10000&lt;=ROUND($QL$3,0))*('Margin Guidence Table'!$J$1:$J$10000&gt;=ROUND($QL$3,0)),0),MATCH("SALES_CASE",'Margin Guidence Table'!$A$1:$AG$1,0)),INDEX('Margin Guidence Table'!$A$1:$AG$10000,MATCH(1,('Margin Guidence Table'!$A$1:$A$10000=QT23)*('Margin Guidence Table'!$I$1:$I$10000&lt;=ROUND($QL$3,0))*('Margin Guidence Table'!$J$1:$J$10000&gt;=ROUND($QL$3,0)),0),MATCH("DEFAULT_SALES_CASE",'Margin Guidence Table'!$A$1:$AG$1,0))),0))</f>
        <v>0</v>
      </c>
      <c r="QX23" s="780">
        <f t="array" ref="QX23">IF('Customer Inputs'!$W$23="End",0,IFERROR(IF($QV23="SEGMENT",INDEX('Margin Guidence Table'!$A$1:$AG$10000,MATCH(1,('Margin Guidence Table'!$A$1:$A$10000=QT23)*('Margin Guidence Table'!$I$1:$I$10000&lt;=ROUND($QL$3,0))*('Margin Guidence Table'!$J$1:$J$10000&gt;=ROUND($QL$3,0)),0),MATCH("SALES_LBS",'Margin Guidence Table'!$A$1:$AG$1,0)),INDEX('Margin Guidence Table'!$A$1:$AG$10000,MATCH(1,('Margin Guidence Table'!$A$1:$A$10000=QT23)*('Margin Guidence Table'!$I$1:$I$10000&lt;=ROUND($QL$3,0))*('Margin Guidence Table'!$J$1:$J$10000&gt;=ROUND($QL$3,0)),0),MATCH("DEFAULT_SALES_LBS",'Margin Guidence Table'!$A$1:$AG$1,0))),0))</f>
        <v>0</v>
      </c>
      <c r="QY23" s="784">
        <f t="array" ref="QY23">IF('Customer Inputs'!$W$23="End",0,IFERROR(IF($QV23="SEGMENT",INDEX('Margin Guidence Table'!$A$1:$AG$10000,MATCH(1,('Margin Guidence Table'!$A$1:$A$10000=QT23)*('Margin Guidence Table'!$I$1:$I$10000&lt;=ROUND($QL$3,0))*('Margin Guidence Table'!$J$1:$J$10000&gt;=ROUND($QL$3,0)),0),MATCH("MDA_MIN_MARGIN_GUIDENCE",'Margin Guidence Table'!$A$1:$AG$1,0)),INDEX('Margin Guidence Table'!$A$1:$AG$10000,MATCH(1,('Margin Guidence Table'!$A$1:$A$10000=QT23)*('Margin Guidence Table'!$I$1:$I$10000&lt;=ROUND($QL$3,0))*('Margin Guidence Table'!$J$1:$J$10000&gt;=ROUND($QL$3,0)),0),MATCH("DEFAULT_MDA_MIN_MARGIN_GUIDENCE",'Margin Guidence Table'!$A$1:$AG$1,0))),0))</f>
        <v>0</v>
      </c>
      <c r="QZ23" s="784">
        <f t="array" ref="QZ23">IF('Customer Inputs'!$W$23="End",0,IFERROR(IF($QV23="SEGMENT",INDEX('Margin Guidence Table'!$A$1:$AG$10000,MATCH(1,('Margin Guidence Table'!$A$1:$A$10000=QT23)*('Margin Guidence Table'!$I$1:$I$10000&lt;=ROUND($QL$3,0))*('Margin Guidence Table'!$J$1:$J$10000&gt;=ROUND($QL$3,0)),0),MATCH("MDA_MEDIAN_MARGIN_GUIDENCE",'Margin Guidence Table'!$A$1:$AG$1,0)),INDEX('Margin Guidence Table'!$A$1:$AG$10000,MATCH(1,('Margin Guidence Table'!$A$1:$A$10000=QT23)*('Margin Guidence Table'!$I$1:$I$10000&lt;=ROUND($QL$3,0))*('Margin Guidence Table'!$J$1:$J$10000&gt;=ROUND($QL$3,0)),0),MATCH("DEFAULT_MDA_MEDIAN_MARGIN_GUIDENCE",'Margin Guidence Table'!$A$1:$AG$1,0))),0))</f>
        <v>0</v>
      </c>
      <c r="RA23" s="784">
        <f t="array" ref="RA23">IF('Customer Inputs'!$W$23="End",0,IFERROR(IF($QV23="SEGMENT",INDEX('Margin Guidence Table'!$A$1:$AG$10000,MATCH(1,('Margin Guidence Table'!$A$1:$A$10000=QT23)*('Margin Guidence Table'!$I$1:$I$10000&lt;=ROUND($QL$3,0))*('Margin Guidence Table'!$J$1:$J$10000&gt;=ROUND($QL$3,0)),0),MATCH("MDA_MAX_MARGIN_GUIDENCE",'Margin Guidence Table'!$A$1:$AG$1,0)),INDEX('Margin Guidence Table'!$A$1:$AG$10000,MATCH(1,('Margin Guidence Table'!$A$1:$A$10000=QT23)*('Margin Guidence Table'!$I$1:$I$10000&lt;=ROUND($QL$3,0))*('Margin Guidence Table'!$J$1:$J$10000&gt;=ROUND($QL$3,0)),0),MATCH("DEFAULT_MDA_MAX_MARGIN_GUIDENCE",'Margin Guidence Table'!$A$1:$AG$1,0))),0))</f>
        <v>0</v>
      </c>
      <c r="RB23" s="784">
        <f t="array" ref="RB23">IF('Customer Inputs'!$W$23="End",0,IFERROR(IF($QV23="SEGMENT",INDEX('Margin Guidence Table'!$A$1:$AG$10000,MATCH(1,('Margin Guidence Table'!$A$1:$A$10000=QT23)*('Margin Guidence Table'!$I$1:$I$10000&lt;=ROUND($QL$3,0))*('Margin Guidence Table'!$J$1:$J$10000&gt;=ROUND($QL$3,0)),0),MATCH("PA_PCT_SALES",'Margin Guidence Table'!$A$1:$AG$1,0)),INDEX('Margin Guidence Table'!$A$1:$AG$10000,MATCH(1,('Margin Guidence Table'!$A$1:$A$10000=QT23)*('Margin Guidence Table'!$I$1:$I$10000&lt;=ROUND($QL$3,0))*('Margin Guidence Table'!$J$1:$J$10000&gt;=ROUND($QL$3,0)),0),MATCH("DEFAULT_PA_PCT_SALES",'Margin Guidence Table'!$A$1:$AG$1,0))),0))</f>
        <v>0</v>
      </c>
      <c r="RC23" s="784">
        <f t="array" ref="RC23">IF('Customer Inputs'!$W$23="End",0,IFERROR(IF($QV23="SEGMENT",INDEX('Margin Guidence Table'!$A$1:$AG$10000,MATCH(1,('Margin Guidence Table'!$A$1:$A$10000=QT23)*('Margin Guidence Table'!$I$1:$I$10000&lt;=ROUND($QL$3,0))*('Margin Guidence Table'!$J$1:$J$10000&gt;=ROUND($QL$3,0)),0),MATCH("SELF_FUND_PCT_SALES",'Margin Guidence Table'!$A$1:$AG$1,0)),INDEX('Margin Guidence Table'!$A$1:$AG$10000,MATCH(1,('Margin Guidence Table'!$A$1:$A$10000=QT23)*('Margin Guidence Table'!$I$1:$I$10000&lt;=ROUND($QL$3,0))*('Margin Guidence Table'!$J$1:$J$10000&gt;=ROUND($QL$3,0)),0),MATCH("DEFAULT_SELF_FUND_PCT_SALES",'Margin Guidence Table'!$A$1:$AG$1,0))),0))</f>
        <v>0</v>
      </c>
      <c r="RD23" s="784">
        <f t="array" ref="RD23">IF('Customer Inputs'!$W$23="End",0,IF($QM$2="Existing",IFERROR(SUMIFS('Existing Customers'!$V:$V,'Existing Customers'!$H:$H,$QK23,'Existing Customers'!$A:$A,$QL$1)/SUMIFS('Existing Customers'!$Q:$Q,'Existing Customers'!$H:$H,$QK23,'Existing Customers'!$A:$A,$QL$1),0),IFERROR(IF($QV23="SEGMENT",INDEX('Margin Guidence Table'!$A$1:$AG$10000,MATCH(1,('Margin Guidence Table'!$A$1:$A$10000=QT23)*('Margin Guidence Table'!$I$1:$I$10000&lt;=ROUND($QL$3,0))*('Margin Guidence Table'!$J$1:$J$10000&gt;=ROUND($QL$3,0)),0),MATCH("CIA_MEDIAN_MARGIN_GUIDENCE",'Margin Guidence Table'!$A$1:$AG$1,0)),INDEX('Margin Guidence Table'!$A$1:$AG$10000,MATCH(1,('Margin Guidence Table'!$A$1:$A$10000=QT23)*('Margin Guidence Table'!$I$1:$I$10000&lt;=ROUND($QL$3,0))*('Margin Guidence Table'!$J$1:$J$10000&gt;=ROUND($QL$3,0)),0),MATCH("DEFAULT_CIA_MEDIAN_MARGIN_GUIDENCE",'Margin Guidence Table'!$A$1:$AG$1,0))),0)))</f>
        <v>0</v>
      </c>
      <c r="RE23" s="784"/>
      <c r="RF23" s="18">
        <f t="array" ref="RF23">IF('Customer Inputs'!$W$24="End",0,IFERROR(IF($RS23="SEGMENT",INDEX('Margin Guidence Table'!$A$1:$AG$10000,MATCH(1,('Margin Guidence Table'!$A$1:$A$10000=$RQ23)*('Margin Guidence Table'!$I$1:$I$10000&lt;=ROUND($RI$3,0))*('Margin Guidence Table'!$J$1:$J$10000&gt;=ROUND($RI$3,0)),0),MATCH("PCT_SALES",'Margin Guidence Table'!$A$1:$AG$1,0)),INDEX('Margin Guidence Table'!$A$1:$AG$10000,MATCH(1,('Margin Guidence Table'!$A$1:$A$10000=$RQ23)*('Margin Guidence Table'!$I$1:$I$10000&lt;=ROUND($RI$3,0))*('Margin Guidence Table'!$J$1:$J$10000&gt;=ROUND($RI$3,0)),0),MATCH("DEFAULT_PCT_SALES",'Margin Guidence Table'!$A$1:$AG$1,0))),0))</f>
        <v>0</v>
      </c>
      <c r="RG23" s="1713" t="e">
        <f t="shared" si="68"/>
        <v>#DIV/0!</v>
      </c>
      <c r="RH23" s="99" t="s">
        <v>101</v>
      </c>
      <c r="RI23" s="91">
        <f>IF('Customer Inputs'!$W$24="End",0,IFERROR(IF(AND($RI$2&lt;&gt;"Enter Spend&gt;&gt;&gt;",$RJ$2="EXISTING"),SUMIFS('Existing Customers'!$Q:$Q,'Existing Customers'!$A:$A,$RI$1,'Existing Customers'!$H:$H,$RH23)*$RI$4,$RI$3*$RG23),0))</f>
        <v>0</v>
      </c>
      <c r="RJ23" s="86">
        <f>IF('Customer Inputs'!$W$24="End",0,IFERROR(IF(AND($RI$2&lt;&gt;"Enter Spend&gt;&gt;&gt;",$RJ$2="EXISTING"),SUMIFS('Existing Customers'!$N:$N,'Existing Customers'!$A:$A,$RI$1,'Existing Customers'!$H:$H,$RH23)*$RI$4,$RI23/$RT23),0))</f>
        <v>0</v>
      </c>
      <c r="RK23" s="92">
        <f>IF('Customer Inputs'!$W$24="End",0,IFERROR(IF(AND($RI$2&lt;&gt;"Enter Spend&gt;&gt;&gt;",$RJ$2="EXISTING"),SUMIFS('Existing Customers'!$O:$O,'Existing Customers'!$H:$H,$RH23,'Existing Customers'!$A:$A,$RI$1)*$RI$4,$RJ23*$RI$8),0))</f>
        <v>0</v>
      </c>
      <c r="RL23" s="92">
        <f>IF('Customer Inputs'!$W$24="End",0,IFERROR(IF(AND($RI$2&lt;&gt;"Enter Spend&gt;&gt;&gt;",$RJ$2="EXISTING"),SUMIFS('Existing Customers'!$P:$P,'Existing Customers'!$A:$A,$RI$1,'Existing Customers'!$H:$H,$RH23)*$RI$4,$RI23/$RU23),0))</f>
        <v>0</v>
      </c>
      <c r="RM23" s="303">
        <f>IF('Customer Inputs'!$W$24="End",0,IFERROR(IF(AND($RI$2&lt;&gt;"Enter Spend&gt;&gt;&gt;",$RJ$2="EXISTING"),SUMIFS('Existing Customers'!$V:$V,'Existing Customers'!$H:$H,$RH23,'Existing Customers'!$A:$A,$RI$1)*$RI$4,0),0))</f>
        <v>0</v>
      </c>
      <c r="RN23" s="93">
        <f>IF('Customer Inputs'!$W$24="End",0,IFERROR(IF(AND($RI$2&lt;&gt;"Enter Spend&gt;&gt;&gt;",$RJ$2="EXISTING"),SUMIFS('Existing Customers'!$R:$R,'Existing Customers'!$H:$H,$RH23,'Existing Customers'!$A:$A,$RI$1)*$RI$4,0),0))</f>
        <v>0</v>
      </c>
      <c r="RO23" s="780">
        <f>IF('Customer Inputs'!$W$24="End",0,IFERROR(IF(AND($RI$2&lt;&gt;"Enter Spend&gt;&gt;&gt;",$RJ$2="EXISTING"),SUMIFS('Existing Customers'!$S:$S,'Existing Customers'!$H:$H,$RH23,'Existing Customers'!$A:$A,$RI$1)/SUMIFS('Existing Customers'!$Q:$Q,'Existing Customers'!$A:$A,$RI$1,'Existing Customers'!$H:$H,$RH23),RY23),0))</f>
        <v>0</v>
      </c>
      <c r="RP23" s="780">
        <f>IF('Customer Inputs'!$W$24="End",0,IFERROR(IF(AND($RI$2&lt;&gt;"Enter Spend&gt;&gt;&gt;",$RJ$2="EXISTING"),SUMIFS('Existing Customers'!$U:$U,'Existing Customers'!$H:$H,$RH23,'Existing Customers'!$A:$A,$RI$1)/SUMIFS('Existing Customers'!$Q:$Q,'Existing Customers'!$A:$A,$RI$1,'Existing Customers'!$H:$H,$RH23),RZ23),0))</f>
        <v>0</v>
      </c>
      <c r="RQ23" s="783" t="e">
        <f>_xlfn.CONCAT('Customer Inputs'!$AH$24,"_",RH23)</f>
        <v>#N/A</v>
      </c>
      <c r="RR23" s="783">
        <f t="array" ref="RR23">IF('Customer Inputs'!$W$24="End",0,IFERROR(INDEX('Margin Guidence Table'!$A$1:$AG$10000,MATCH(1,('Margin Guidence Table'!$A$1:$A$10000=RQ23)*('Margin Guidence Table'!$I$1:$I$10000&lt;=ROUND($RI$3,0))*('Margin Guidence Table'!$J$1:$J$10000&gt;=ROUND($RI$3,0)),0),MATCH("DATA_POINTS",'Margin Guidence Table'!$A$1:$AG$1,0)),0))</f>
        <v>0</v>
      </c>
      <c r="RS23" s="780" t="str">
        <f t="shared" si="69"/>
        <v>DEFAULT</v>
      </c>
      <c r="RT23" s="780">
        <f t="array" ref="RT23">IF('Customer Inputs'!$W$24="End",0,IFERROR(IF($RS23="SEGMENT",INDEX('Margin Guidence Table'!$A$1:$AG$10000,MATCH(1,('Margin Guidence Table'!$A$1:$A$10000=RQ23)*('Margin Guidence Table'!$I$1:$I$10000&lt;=ROUND($RI$3,0))*('Margin Guidence Table'!$J$1:$J$10000&gt;=ROUND($RI$3,0)),0),MATCH("SALES_CASE",'Margin Guidence Table'!$A$1:$AG$1,0)),INDEX('Margin Guidence Table'!$A$1:$AG$10000,MATCH(1,('Margin Guidence Table'!$A$1:$A$10000=RQ23)*('Margin Guidence Table'!$I$1:$I$10000&lt;=ROUND($RI$3,0))*('Margin Guidence Table'!$J$1:$J$10000&gt;=ROUND($RI$3,0)),0),MATCH("DEFAULT_SALES_CASE",'Margin Guidence Table'!$A$1:$AG$1,0))),0))</f>
        <v>0</v>
      </c>
      <c r="RU23" s="780">
        <f t="array" ref="RU23">IF('Customer Inputs'!$W$24="End",0,IFERROR(IF($RS23="SEGMENT",INDEX('Margin Guidence Table'!$A$1:$AG$10000,MATCH(1,('Margin Guidence Table'!$A$1:$A$10000=RQ23)*('Margin Guidence Table'!$I$1:$I$10000&lt;=ROUND($RI$3,0))*('Margin Guidence Table'!$J$1:$J$10000&gt;=ROUND($RI$3,0)),0),MATCH("SALES_LBS",'Margin Guidence Table'!$A$1:$AG$1,0)),INDEX('Margin Guidence Table'!$A$1:$AG$10000,MATCH(1,('Margin Guidence Table'!$A$1:$A$10000=RQ23)*('Margin Guidence Table'!$I$1:$I$10000&lt;=ROUND($RI$3,0))*('Margin Guidence Table'!$J$1:$J$10000&gt;=ROUND($RI$3,0)),0),MATCH("DEFAULT_SALES_LBS",'Margin Guidence Table'!$A$1:$AG$1,0))),0))</f>
        <v>0</v>
      </c>
      <c r="RV23" s="784">
        <f t="array" ref="RV23">IF('Customer Inputs'!$W$24="End",0,IFERROR(IF($RS23="SEGMENT",INDEX('Margin Guidence Table'!$A$1:$AG$10000,MATCH(1,('Margin Guidence Table'!$A$1:$A$10000=RQ23)*('Margin Guidence Table'!$I$1:$I$10000&lt;=ROUND($RI$3,0))*('Margin Guidence Table'!$J$1:$J$10000&gt;=ROUND($RI$3,0)),0),MATCH("MDA_MIN_MARGIN_GUIDENCE",'Margin Guidence Table'!$A$1:$AG$1,0)),INDEX('Margin Guidence Table'!$A$1:$AG$10000,MATCH(1,('Margin Guidence Table'!$A$1:$A$10000=RQ23)*('Margin Guidence Table'!$I$1:$I$10000&lt;=ROUND($RI$3,0))*('Margin Guidence Table'!$J$1:$J$10000&gt;=ROUND($RI$3,0)),0),MATCH("DEFAULT_MDA_MIN_MARGIN_GUIDENCE",'Margin Guidence Table'!$A$1:$AG$1,0))),0))</f>
        <v>0</v>
      </c>
      <c r="RW23" s="784">
        <f t="array" ref="RW23">IF('Customer Inputs'!$W$24="End",0,IFERROR(IF($RS23="SEGMENT",INDEX('Margin Guidence Table'!$A$1:$AG$10000,MATCH(1,('Margin Guidence Table'!$A$1:$A$10000=RQ23)*('Margin Guidence Table'!$I$1:$I$10000&lt;=ROUND($RI$3,0))*('Margin Guidence Table'!$J$1:$J$10000&gt;=ROUND($RI$3,0)),0),MATCH("MDA_MEDIAN_MARGIN_GUIDENCE",'Margin Guidence Table'!$A$1:$AG$1,0)),INDEX('Margin Guidence Table'!$A$1:$AG$10000,MATCH(1,('Margin Guidence Table'!$A$1:$A$10000=RQ23)*('Margin Guidence Table'!$I$1:$I$10000&lt;=ROUND($RI$3,0))*('Margin Guidence Table'!$J$1:$J$10000&gt;=ROUND($RI$3,0)),0),MATCH("DEFAULT_MDA_MEDIAN_MARGIN_GUIDENCE",'Margin Guidence Table'!$A$1:$AG$1,0))),0))</f>
        <v>0</v>
      </c>
      <c r="RX23" s="784">
        <f t="array" ref="RX23">IF('Customer Inputs'!$W$24="End",0,IFERROR(IF($RS23="SEGMENT",INDEX('Margin Guidence Table'!$A$1:$AG$10000,MATCH(1,('Margin Guidence Table'!$A$1:$A$10000=RQ23)*('Margin Guidence Table'!$I$1:$I$10000&lt;=ROUND($RI$3,0))*('Margin Guidence Table'!$J$1:$J$10000&gt;=ROUND($RI$3,0)),0),MATCH("MDA_MAX_MARGIN_GUIDENCE",'Margin Guidence Table'!$A$1:$AG$1,0)),INDEX('Margin Guidence Table'!$A$1:$AG$10000,MATCH(1,('Margin Guidence Table'!$A$1:$A$10000=RQ23)*('Margin Guidence Table'!$I$1:$I$10000&lt;=ROUND($RI$3,0))*('Margin Guidence Table'!$J$1:$J$10000&gt;=ROUND($RI$3,0)),0),MATCH("DEFAULT_MDA_MAX_MARGIN_GUIDENCE",'Margin Guidence Table'!$A$1:$AG$1,0))),0))</f>
        <v>0</v>
      </c>
      <c r="RY23" s="784">
        <f t="array" ref="RY23">IF('Customer Inputs'!$W$24="End",0,IFERROR(IF($RS23="SEGMENT",INDEX('Margin Guidence Table'!$A$1:$AG$10000,MATCH(1,('Margin Guidence Table'!$A$1:$A$10000=RQ23)*('Margin Guidence Table'!$I$1:$I$10000&lt;=ROUND($RI$3,0))*('Margin Guidence Table'!$J$1:$J$10000&gt;=ROUND($RI$3,0)),0),MATCH("PA_PCT_SALES",'Margin Guidence Table'!$A$1:$AG$1,0)),INDEX('Margin Guidence Table'!$A$1:$AG$10000,MATCH(1,('Margin Guidence Table'!$A$1:$A$10000=RQ23)*('Margin Guidence Table'!$I$1:$I$10000&lt;=ROUND($RI$3,0))*('Margin Guidence Table'!$J$1:$J$10000&gt;=ROUND($RI$3,0)),0),MATCH("DEFAULT_PA_PCT_SALES",'Margin Guidence Table'!$A$1:$AG$1,0))),0))</f>
        <v>0</v>
      </c>
      <c r="RZ23" s="784">
        <f t="array" ref="RZ23">IF('Customer Inputs'!$W$24="End",0,IFERROR(IF($RS23="SEGMENT",INDEX('Margin Guidence Table'!$A$1:$AG$10000,MATCH(1,('Margin Guidence Table'!$A$1:$A$10000=RQ23)*('Margin Guidence Table'!$I$1:$I$10000&lt;=ROUND($RI$3,0))*('Margin Guidence Table'!$J$1:$J$10000&gt;=ROUND($RI$3,0)),0),MATCH("SELF_FUND_PCT_SALES",'Margin Guidence Table'!$A$1:$AG$1,0)),INDEX('Margin Guidence Table'!$A$1:$AG$10000,MATCH(1,('Margin Guidence Table'!$A$1:$A$10000=RQ23)*('Margin Guidence Table'!$I$1:$I$10000&lt;=ROUND($RI$3,0))*('Margin Guidence Table'!$J$1:$J$10000&gt;=ROUND($RI$3,0)),0),MATCH("DEFAULT_SELF_FUND_PCT_SALES",'Margin Guidence Table'!$A$1:$AG$1,0))),0))</f>
        <v>0</v>
      </c>
      <c r="SA23" s="784">
        <f t="array" ref="SA23">IF('Customer Inputs'!$W$24="End",0,IF($RJ$2="Existing",IFERROR(SUMIFS('Existing Customers'!$V:$V,'Existing Customers'!$H:$H,$RH23,'Existing Customers'!$A:$A,$RI$1)/SUMIFS('Existing Customers'!$Q:$Q,'Existing Customers'!$H:$H,$RH23,'Existing Customers'!$A:$A,$RI$1),0),IFERROR(IF($RS23="SEGMENT",INDEX('Margin Guidence Table'!$A$1:$AG$10000,MATCH(1,('Margin Guidence Table'!$A$1:$A$10000=RQ23)*('Margin Guidence Table'!$I$1:$I$10000&lt;=ROUND($RI$3,0))*('Margin Guidence Table'!$J$1:$J$10000&gt;=ROUND($RI$3,0)),0),MATCH("CIA_MEDIAN_MARGIN_GUIDENCE",'Margin Guidence Table'!$A$1:$AG$1,0)),INDEX('Margin Guidence Table'!$A$1:$AG$10000,MATCH(1,('Margin Guidence Table'!$A$1:$A$10000=RQ23)*('Margin Guidence Table'!$I$1:$I$10000&lt;=ROUND($RI$3,0))*('Margin Guidence Table'!$J$1:$J$10000&gt;=ROUND($RI$3,0)),0),MATCH("DEFAULT_CIA_MEDIAN_MARGIN_GUIDENCE",'Margin Guidence Table'!$A$1:$AG$1,0))),0)))</f>
        <v>0</v>
      </c>
      <c r="SB23" s="784"/>
      <c r="SC23" s="18">
        <f t="array" ref="SC23">IF('Customer Inputs'!$W$25="End",0,IFERROR(IF($SP23="SEGMENT",INDEX('Margin Guidence Table'!$A$1:$AG$10000,MATCH(1,('Margin Guidence Table'!$A$1:$A$10000=$SN23)*('Margin Guidence Table'!$I$1:$I$10000&lt;=ROUND($SF$3,0))*('Margin Guidence Table'!$J$1:$J$10000&gt;=ROUND($SF$3,0)),0),MATCH("PCT_SALES",'Margin Guidence Table'!$A$1:$AG$1,0)),INDEX('Margin Guidence Table'!$A$1:$AG$10000,MATCH(1,('Margin Guidence Table'!$A$1:$A$10000=$SN23)*('Margin Guidence Table'!$I$1:$I$10000&lt;=ROUND($SF$3,0))*('Margin Guidence Table'!$J$1:$J$10000&gt;=ROUND($SF$3,0)),0),MATCH("DEFAULT_PCT_SALES",'Margin Guidence Table'!$A$1:$AG$1,0))),0))</f>
        <v>0</v>
      </c>
      <c r="SD23" s="1713" t="e">
        <f t="shared" si="70"/>
        <v>#DIV/0!</v>
      </c>
      <c r="SE23" s="99" t="s">
        <v>101</v>
      </c>
      <c r="SF23" s="91">
        <f>IF('Customer Inputs'!$W$25="End",0,IFERROR(IF(AND($SF$2&lt;&gt;"Enter Spend&gt;&gt;&gt;",$SG$2="EXISTING"),SUMIFS('Existing Customers'!$Q:$Q,'Existing Customers'!$A:$A,$SF$1,'Existing Customers'!$H:$H,$SE23)*$SF$4,$SF$3*$SD23),0))</f>
        <v>0</v>
      </c>
      <c r="SG23" s="86">
        <f>IF('Customer Inputs'!$W$25="End",0,IFERROR(IF(AND($SF$2&lt;&gt;"Enter Spend&gt;&gt;&gt;",$SG$2="EXISTING"),SUMIFS('Existing Customers'!$N:$N,'Existing Customers'!$A:$A,$SF$1,'Existing Customers'!$H:$H,$SE23)*$SF$4,$SF23/$SQ23),0))</f>
        <v>0</v>
      </c>
      <c r="SH23" s="92">
        <f>IF('Customer Inputs'!$W$25="End",0,IFERROR(IF(AND($SF$2&lt;&gt;"Enter Spend&gt;&gt;&gt;",$SG$2="EXISTING"),SUMIFS('Existing Customers'!$O:$O,'Existing Customers'!$H:$H,$SE23,'Existing Customers'!$A:$A,$SF$1)*$SF$4,$SG23*$SF$8),0))</f>
        <v>0</v>
      </c>
      <c r="SI23" s="92">
        <f>IF('Customer Inputs'!$W$25="End",0,IFERROR(IF(AND($SF$2&lt;&gt;"Enter Spend&gt;&gt;&gt;",$SG$2="EXISTING"),SUMIFS('Existing Customers'!$P:$P,'Existing Customers'!$A:$A,$SF$1,'Existing Customers'!$H:$H,$SE23)*$SF$4,$SF23/$SR23),0))</f>
        <v>0</v>
      </c>
      <c r="SJ23" s="303">
        <f>IF('Customer Inputs'!$W$25="End",0,IFERROR(IF(AND($SF$2&lt;&gt;"Enter Spend&gt;&gt;&gt;",$SG$2="EXISTING"),SUMIFS('Existing Customers'!$V:$V,'Existing Customers'!$H:$H,$SE23,'Existing Customers'!$A:$A,$SF$1)*$SF$4,0),0))</f>
        <v>0</v>
      </c>
      <c r="SK23" s="93">
        <f>IF('Customer Inputs'!$W$25="End",0,IFERROR(IF(AND($SF$2&lt;&gt;"Enter Spend&gt;&gt;&gt;",$SG$2="EXISTING"),SUMIFS('Existing Customers'!$R:$R,'Existing Customers'!$H:$H,$SE23,'Existing Customers'!$A:$A,$SF$1)*$SF$4,0),0))</f>
        <v>0</v>
      </c>
      <c r="SL23" s="780">
        <f>IF('Customer Inputs'!$W$25="End",0,IFERROR(IF(AND($SF$2&lt;&gt;"Enter Spend&gt;&gt;&gt;",$SG$2="EXISTING"),SUMIFS('Existing Customers'!$S:$S,'Existing Customers'!$H:$H,$SE23,'Existing Customers'!$A:$A,$SF$1)/SUMIFS('Existing Customers'!$Q:$Q,'Existing Customers'!$A:$A,$SF$1,'Existing Customers'!$H:$H,$SE23),SV23),0))</f>
        <v>0</v>
      </c>
      <c r="SM23" s="780">
        <f>IF('Customer Inputs'!$W$25="End",0,IFERROR(IF(AND($SF$2&lt;&gt;"Enter Spend&gt;&gt;&gt;",$SG$2="EXISTING"),SUMIFS('Existing Customers'!$U:$U,'Existing Customers'!$H:$H,$SE23,'Existing Customers'!$A:$A,$SF$1)/SUMIFS('Existing Customers'!$Q:$Q,'Existing Customers'!$A:$A,$SF$1,'Existing Customers'!$H:$H,$SE23),SW23),0))</f>
        <v>0</v>
      </c>
      <c r="SN23" s="783" t="e">
        <f>_xlfn.CONCAT('Customer Inputs'!$AH$25,"_",SE23)</f>
        <v>#N/A</v>
      </c>
      <c r="SO23" s="783">
        <f t="array" ref="SO23">IF('Customer Inputs'!$W$25="End",0,IFERROR(INDEX('Margin Guidence Table'!$A$1:$AG$10000,MATCH(1,('Margin Guidence Table'!$A$1:$A$10000=SN23)*('Margin Guidence Table'!$I$1:$I$10000&lt;=ROUND($SF$3,0))*('Margin Guidence Table'!$J$1:$J$10000&gt;=ROUND($SF$3,0)),0),MATCH("DATA_POINTS",'Margin Guidence Table'!$A$1:$AG$1,0)),0))</f>
        <v>0</v>
      </c>
      <c r="SP23" s="780" t="str">
        <f t="shared" si="71"/>
        <v>DEFAULT</v>
      </c>
      <c r="SQ23" s="780">
        <f t="array" ref="SQ23">IF('Customer Inputs'!$W$25="End",0,IFERROR(IF($SP23="SEGMENT",INDEX('Margin Guidence Table'!$A$1:$AG$10000,MATCH(1,('Margin Guidence Table'!$A$1:$A$10000=SN23)*('Margin Guidence Table'!$I$1:$I$10000&lt;=ROUND($SF$3,0))*('Margin Guidence Table'!$J$1:$J$10000&gt;=ROUND($SF$3,0)),0),MATCH("SALES_CASE",'Margin Guidence Table'!$A$1:$AG$1,0)),INDEX('Margin Guidence Table'!$A$1:$AG$10000,MATCH(1,('Margin Guidence Table'!$A$1:$A$10000=SN23)*('Margin Guidence Table'!$I$1:$I$10000&lt;=ROUND($SF$3,0))*('Margin Guidence Table'!$J$1:$J$10000&gt;=ROUND($SF$3,0)),0),MATCH("DEFAULT_SALES_CASE",'Margin Guidence Table'!$A$1:$AG$1,0))),0))</f>
        <v>0</v>
      </c>
      <c r="SR23" s="780">
        <f t="array" ref="SR23">IF('Customer Inputs'!$W$25="End",0,IFERROR(IF($SP23="SEGMENT",INDEX('Margin Guidence Table'!$A$1:$AG$10000,MATCH(1,('Margin Guidence Table'!$A$1:$A$10000=SN23)*('Margin Guidence Table'!$I$1:$I$10000&lt;=ROUND($SF$3,0))*('Margin Guidence Table'!$J$1:$J$10000&gt;=ROUND($SF$3,0)),0),MATCH("SALES_LBS",'Margin Guidence Table'!$A$1:$AG$1,0)),INDEX('Margin Guidence Table'!$A$1:$AG$10000,MATCH(1,('Margin Guidence Table'!$A$1:$A$10000=SN23)*('Margin Guidence Table'!$I$1:$I$10000&lt;=ROUND($SF$3,0))*('Margin Guidence Table'!$J$1:$J$10000&gt;=ROUND($SF$3,0)),0),MATCH("DEFAULT_SALES_LBS",'Margin Guidence Table'!$A$1:$AG$1,0))),0))</f>
        <v>0</v>
      </c>
      <c r="SS23" s="784">
        <f t="array" ref="SS23">IF('Customer Inputs'!$W$25="End",0,IFERROR(IF($SP23="SEGMENT",INDEX('Margin Guidence Table'!$A$1:$AG$10000,MATCH(1,('Margin Guidence Table'!$A$1:$A$10000=SN23)*('Margin Guidence Table'!$I$1:$I$10000&lt;=ROUND($SF$3,0))*('Margin Guidence Table'!$J$1:$J$10000&gt;=ROUND($SF$3,0)),0),MATCH("MDA_MIN_MARGIN_GUIDENCE",'Margin Guidence Table'!$A$1:$AG$1,0)),INDEX('Margin Guidence Table'!$A$1:$AG$10000,MATCH(1,('Margin Guidence Table'!$A$1:$A$10000=SN23)*('Margin Guidence Table'!$I$1:$I$10000&lt;=ROUND($SF$3,0))*('Margin Guidence Table'!$J$1:$J$10000&gt;=ROUND($SF$3,0)),0),MATCH("DEFAULT_MDA_MIN_MARGIN_GUIDENCE",'Margin Guidence Table'!$A$1:$AG$1,0))),0))</f>
        <v>0</v>
      </c>
      <c r="ST23" s="784">
        <f t="array" ref="ST23">IF('Customer Inputs'!$W$25="End",0,IFERROR(IF($SP23="SEGMENT",INDEX('Margin Guidence Table'!$A$1:$AG$10000,MATCH(1,('Margin Guidence Table'!$A$1:$A$10000=SN23)*('Margin Guidence Table'!$I$1:$I$10000&lt;=ROUND($SF$3,0))*('Margin Guidence Table'!$J$1:$J$10000&gt;=ROUND($SF$3,0)),0),MATCH("MDA_MEDIAN_MARGIN_GUIDENCE",'Margin Guidence Table'!$A$1:$AG$1,0)),INDEX('Margin Guidence Table'!$A$1:$AG$10000,MATCH(1,('Margin Guidence Table'!$A$1:$A$10000=SN23)*('Margin Guidence Table'!$I$1:$I$10000&lt;=ROUND($SF$3,0))*('Margin Guidence Table'!$J$1:$J$10000&gt;=ROUND($SF$3,0)),0),MATCH("DEFAULT_MDA_MEDIAN_MARGIN_GUIDENCE",'Margin Guidence Table'!$A$1:$AG$1,0))),0))</f>
        <v>0</v>
      </c>
      <c r="SU23" s="784">
        <f t="array" ref="SU23">IF('Customer Inputs'!$W$25="End",0,IFERROR(IF($SP23="SEGMENT",INDEX('Margin Guidence Table'!$A$1:$AG$10000,MATCH(1,('Margin Guidence Table'!$A$1:$A$10000=SN23)*('Margin Guidence Table'!$I$1:$I$10000&lt;=ROUND($SF$3,0))*('Margin Guidence Table'!$J$1:$J$10000&gt;=ROUND($SF$3,0)),0),MATCH("MDA_MAX_MARGIN_GUIDENCE",'Margin Guidence Table'!$A$1:$AG$1,0)),INDEX('Margin Guidence Table'!$A$1:$AG$10000,MATCH(1,('Margin Guidence Table'!$A$1:$A$10000=SN23)*('Margin Guidence Table'!$I$1:$I$10000&lt;=ROUND($SF$3,0))*('Margin Guidence Table'!$J$1:$J$10000&gt;=ROUND($SF$3,0)),0),MATCH("DEFAULT_MDA_MAX_MARGIN_GUIDENCE",'Margin Guidence Table'!$A$1:$AG$1,0))),0))</f>
        <v>0</v>
      </c>
      <c r="SV23" s="784">
        <f t="array" ref="SV23">IF('Customer Inputs'!$W$25="End",0,IFERROR(IF($SP23="SEGMENT",INDEX('Margin Guidence Table'!$A$1:$AG$10000,MATCH(1,('Margin Guidence Table'!$A$1:$A$10000=SN23)*('Margin Guidence Table'!$I$1:$I$10000&lt;=ROUND($SF$3,0))*('Margin Guidence Table'!$J$1:$J$10000&gt;=ROUND($SF$3,0)),0),MATCH("PA_PCT_SALES",'Margin Guidence Table'!$A$1:$AG$1,0)),INDEX('Margin Guidence Table'!$A$1:$AG$10000,MATCH(1,('Margin Guidence Table'!$A$1:$A$10000=SN23)*('Margin Guidence Table'!$I$1:$I$10000&lt;=ROUND($SF$3,0))*('Margin Guidence Table'!$J$1:$J$10000&gt;=ROUND($SF$3,0)),0),MATCH("DEFAULT_PA_PCT_SALES",'Margin Guidence Table'!$A$1:$AG$1,0))),0))</f>
        <v>0</v>
      </c>
      <c r="SW23" s="784">
        <f t="array" ref="SW23">IF('Customer Inputs'!$W$25="End",0,IFERROR(IF($SP23="SEGMENT",INDEX('Margin Guidence Table'!$A$1:$AG$10000,MATCH(1,('Margin Guidence Table'!$A$1:$A$10000=SN23)*('Margin Guidence Table'!$I$1:$I$10000&lt;=ROUND($SF$3,0))*('Margin Guidence Table'!$J$1:$J$10000&gt;=ROUND($SF$3,0)),0),MATCH("SELF_FUND_PCT_SALES",'Margin Guidence Table'!$A$1:$AG$1,0)),INDEX('Margin Guidence Table'!$A$1:$AG$10000,MATCH(1,('Margin Guidence Table'!$A$1:$A$10000=SN23)*('Margin Guidence Table'!$I$1:$I$10000&lt;=ROUND($SF$3,0))*('Margin Guidence Table'!$J$1:$J$10000&gt;=ROUND($SF$3,0)),0),MATCH("DEFAULT_SELF_FUND_PCT_SALES",'Margin Guidence Table'!$A$1:$AG$1,0))),0))</f>
        <v>0</v>
      </c>
      <c r="SX23" s="784">
        <f t="array" ref="SX23">IF('Customer Inputs'!$W$25="End",0,IF($SG$2="Existing",IFERROR(SUMIFS('Existing Customers'!$V:$V,'Existing Customers'!$H:$H,$SE23,'Existing Customers'!$A:$A,$SF$1)/SUMIFS('Existing Customers'!$Q:$Q,'Existing Customers'!$H:$H,$SE23,'Existing Customers'!$A:$A,$SF$1),0),IFERROR(IF($SP23="SEGMENT",INDEX('Margin Guidence Table'!$A$1:$AG$10000,MATCH(1,('Margin Guidence Table'!$A$1:$A$10000=SN23)*('Margin Guidence Table'!$I$1:$I$10000&lt;=ROUND($SF$3,0))*('Margin Guidence Table'!$J$1:$J$10000&gt;=ROUND($SF$3,0)),0),MATCH("CIA_MEDIAN_MARGIN_GUIDENCE",'Margin Guidence Table'!$A$1:$AG$1,0)),INDEX('Margin Guidence Table'!$A$1:$AG$10000,MATCH(1,('Margin Guidence Table'!$A$1:$A$10000=SN23)*('Margin Guidence Table'!$I$1:$I$10000&lt;=ROUND($SF$3,0))*('Margin Guidence Table'!$J$1:$J$10000&gt;=ROUND($SF$3,0)),0),MATCH("DEFAULT_CIA_MEDIAN_MARGIN_GUIDENCE",'Margin Guidence Table'!$A$1:$AG$1,0))),0)))</f>
        <v>0</v>
      </c>
      <c r="SY23" s="784"/>
      <c r="SZ23" s="1705"/>
      <c r="TA23" s="99" t="s">
        <v>101</v>
      </c>
      <c r="TB23" s="94"/>
      <c r="TC23" s="86"/>
      <c r="TD23" s="86"/>
      <c r="TE23" s="86"/>
      <c r="TF23" s="111"/>
      <c r="TG23" s="95"/>
      <c r="TH23" s="126"/>
      <c r="TI23" s="1705"/>
      <c r="TJ23" s="99" t="s">
        <v>101</v>
      </c>
      <c r="TK23" s="94"/>
      <c r="TL23" s="86"/>
      <c r="TM23" s="86"/>
      <c r="TN23" s="86"/>
      <c r="TO23" s="111"/>
      <c r="TP23" s="95"/>
      <c r="TQ23" s="1705"/>
      <c r="TR23" s="1705"/>
    </row>
    <row r="24" spans="1:538" ht="15.75" thickBot="1" x14ac:dyDescent="0.3">
      <c r="A24" s="1705"/>
      <c r="B24" s="99" t="s">
        <v>97</v>
      </c>
      <c r="C24" s="346">
        <f t="shared" si="0"/>
        <v>0</v>
      </c>
      <c r="D24" s="358">
        <f t="shared" si="1"/>
        <v>0</v>
      </c>
      <c r="E24" s="358">
        <f t="shared" si="2"/>
        <v>0</v>
      </c>
      <c r="F24" s="358">
        <f t="shared" si="3"/>
        <v>0</v>
      </c>
      <c r="G24" s="1428">
        <f t="shared" si="4"/>
        <v>0</v>
      </c>
      <c r="H24" s="1428">
        <f t="shared" si="5"/>
        <v>0</v>
      </c>
      <c r="I24" s="359">
        <f t="shared" si="6"/>
        <v>0</v>
      </c>
      <c r="J24" s="358">
        <f t="shared" si="7"/>
        <v>0</v>
      </c>
      <c r="K24" s="778">
        <f t="shared" si="8"/>
        <v>0</v>
      </c>
      <c r="L24" s="778">
        <f t="shared" si="9"/>
        <v>0</v>
      </c>
      <c r="M24" s="778">
        <f t="shared" si="10"/>
        <v>0</v>
      </c>
      <c r="N24" s="1428">
        <f>IF('PIM Model'!D20="$/CS",IFERROR(ROUND(SUM(BX24*$BV$35+CU24*$CS$35+DR24*$DP$35+EO24*$EM$35+FL24*$FJ$35+GI24*$GG$35+HF24*$HD$35+IC24*$IA$35+IZ24*$IX$35+JW24*$JU$35+KT24*$KR$35+LQ24*$LO$35+MN24*$ML$35+NK24*$NI$35+OH24*$OF$35+PE24*$PC$35+QB24*$PZ$35+QY24*$QW$35+RV24*$RT$35+SS24*$SQ$35)/$G$35,2),0),IF('PIM Model'!D20="$/LB",IFERROR(ROUND(SUM(BX24*$BW$35+CU24*$CT$35+DR24*$DQ$35+EO24*$EN$35+FL24*$FK$35+GI24*$GH$35+HF24*$HE$35+IC24*$IB$35+IZ24*$IY$35+JW24*$JV$35+KT24*$KS$35+LQ24*$LP$35+MN24*$MM$35+NK24*$NJ$35+OH24*$OG$35+PE24*$PD$35+QB24*$QA$35+QY24*$QX$35+RV24*$RU$35+SS24*$SR$35)/$H$35,2),0),0))</f>
        <v>0</v>
      </c>
      <c r="O24" s="1428">
        <f>IF('PIM Model'!D20="$/CS",IFERROR(ROUND(SUM(BY24*$BV$35+CV24*$CS$35+DS24*$DP$35+EP24*$EM$35+FM24*$FJ$35+GJ24*$GG$35+HG24*$HD$35+ID24*$IA$35+JA24*$IX$35+JX24*$JU$35+KU24*$KR$35+LR24*$LO$35+MO24*$ML$35+NL24*$NI$35+OI24*$OF$35+PF24*$PC$35+QC24*$PZ$35+QZ24*$QW$35+RW24*$RT$35+ST24*$SQ$35)/$G$35,2),0),IF('PIM Model'!D20="$/LB",IFERROR(ROUND(SUM(BY24*$BW$35+CV24*$CT$35+DS24*$DQ$35+EP24*$EN$35+FM24*$FK$35+GJ24*$GH$35+HG24*$HE$35+ID24*$IB$35+JA24*$IY$35+JX24*$JV$35+KU24*$KS$35+LR24*$LP$35+MO24*$MM$35+NL24*$NJ$35+OI24*$OG$35+PF24*$PD$35+QC24*$QA$35+QZ24*$QX$35+RW24*$RU$35+ST24*$SR$35)/$H$35,2),0),0))</f>
        <v>0</v>
      </c>
      <c r="P24" s="1428">
        <f>IF('PIM Model'!D20="$/CS",IFERROR(ROUND(SUM(BZ24*$BV$35+CW24*$CS$35+DT24*$DP$35+EQ24*$EM$35+FN24*$FJ$35+GK24*$GG$35+HH24*$HD$35+IE24*$IA$35+JB24*$IX$35+JY24*$JU$35+KV24*$KR$35+LS24*$LO$35+MP24*$ML$35+NM24*$NI$35+OJ24*$OF$35+PG24*$PC$35+QD24*$PZ$35+RA24*$QW$35+RX24*$RT$35+SU24*$SQ$35)/$G$35,2),0),IF('PIM Model'!D20="$/LB",IFERROR(ROUND(SUM(BZ24*$BW$35+CW24*$CT$35+DT24*$DQ$35+EQ24*$EN$35+FN24*$FK$35+GK24*$GH$35+HH24*$HE$35+IE24*$IB$35+JB24*$IY$35+JY24*$JV$35+KV24*$KS$35+LS24*$LP$35+MP24*$MM$35+NM24*$NJ$35+OJ24*$OG$35+PG24*$PD$35+QD24*$QA$35+RA24*$QX$35+RX24*$RU$35+SU24*$SR$35)/$H$35,2),0),0))</f>
        <v>0</v>
      </c>
      <c r="Q24" s="358">
        <f t="shared" si="11"/>
        <v>0</v>
      </c>
      <c r="R24" s="358">
        <f t="shared" si="12"/>
        <v>0</v>
      </c>
      <c r="S24" s="779">
        <f t="shared" si="13"/>
        <v>0</v>
      </c>
      <c r="T24" s="779">
        <f t="shared" si="14"/>
        <v>0</v>
      </c>
      <c r="U24" s="779">
        <f t="shared" si="15"/>
        <v>0</v>
      </c>
      <c r="V24" s="779">
        <f t="shared" si="16"/>
        <v>0</v>
      </c>
      <c r="W24" s="779">
        <f t="shared" si="17"/>
        <v>0</v>
      </c>
      <c r="X24" s="1705"/>
      <c r="Y24" s="1705" t="str">
        <f>'PIM Model'!E20</f>
        <v>INCLUDE</v>
      </c>
      <c r="Z24" s="1705">
        <f t="shared" si="18"/>
        <v>0</v>
      </c>
      <c r="AA24" s="1705">
        <f t="shared" si="19"/>
        <v>0</v>
      </c>
      <c r="AB24" s="99" t="s">
        <v>97</v>
      </c>
      <c r="AC24" s="107">
        <f t="shared" si="20"/>
        <v>0</v>
      </c>
      <c r="AD24" s="108">
        <f t="shared" si="21"/>
        <v>0</v>
      </c>
      <c r="AE24" s="108">
        <f t="shared" si="22"/>
        <v>0</v>
      </c>
      <c r="AF24" s="108">
        <f t="shared" si="23"/>
        <v>0</v>
      </c>
      <c r="AG24" s="110">
        <f t="shared" si="24"/>
        <v>0</v>
      </c>
      <c r="AH24" s="114">
        <f t="shared" si="25"/>
        <v>0</v>
      </c>
      <c r="AI24" s="301"/>
      <c r="AJ24" s="99" t="s">
        <v>97</v>
      </c>
      <c r="AK24" s="346">
        <f t="shared" si="26"/>
        <v>0</v>
      </c>
      <c r="AL24" s="347">
        <f t="shared" si="26"/>
        <v>0</v>
      </c>
      <c r="AM24" s="347">
        <f t="shared" si="26"/>
        <v>0</v>
      </c>
      <c r="AN24" s="350">
        <f t="shared" si="27"/>
        <v>0</v>
      </c>
      <c r="AO24" s="351">
        <f t="shared" si="28"/>
        <v>0</v>
      </c>
      <c r="AP24" s="301"/>
      <c r="AQ24" s="99" t="s">
        <v>97</v>
      </c>
      <c r="AR24" s="346">
        <f t="shared" si="29"/>
        <v>0</v>
      </c>
      <c r="AS24" s="347">
        <f t="shared" si="30"/>
        <v>0</v>
      </c>
      <c r="AT24" s="351"/>
      <c r="AU24" s="301"/>
      <c r="AV24" s="1708" t="str">
        <f>IF('PIM Ranges'!$AK22='PIM Ranges'!$AY$11,IF($AR24&lt;'PIM Ranges'!$AZ$11,"Q1",IF($AR24&lt;'PIM Ranges'!$BA$11,"Q2",IF($AR24&lt;'PIM Ranges'!$BB$11,"Q3",IF($AR24&lt;'PIM Ranges'!$BC$11,"Q4","Q5")))),IF('PIM Ranges'!$AK22='PIM Ranges'!$AY$12,IF($AR24&lt;'PIM Ranges'!$AZ$12,"Q1",IF($AR24&lt;'PIM Ranges'!$BA$12,"Q2",IF($AR24&lt;'PIM Ranges'!$BB$12,"Q3",IF($AR24&lt;'PIM Ranges'!$BC$12,"Q4","Q5")))),IF('PIM Ranges'!$AK22='PIM Ranges'!$AY$13,IF($AR24&lt;'PIM Ranges'!$AZ$13,"Q1",IF($AR24&lt;'PIM Ranges'!$BA$13,"Q2",IF($AR24&lt;'PIM Ranges'!$BB$13,"Q3",IF($AR24&lt;'PIM Ranges'!$BC$13,"Q4","Q5")))),IF('PIM Ranges'!$AK22='PIM Ranges'!$AY$14,IF($AR24&lt;'PIM Ranges'!$AZ$14,"Q1",IF($AR24&lt;'PIM Ranges'!$BA$14,"Q2",IF($AR24&lt;'PIM Ranges'!$BB$14,"Q3",IF($AR24&lt;'PIM Ranges'!$BC$14,"Q4","Q5")))),IF('PIM Ranges'!$AK22='PIM Ranges'!$AY$15,IF($AR24&lt;'PIM Ranges'!$AZ$15,"Q1",IF($AR24&lt;'PIM Ranges'!$BA$15,"Q2",IF($AR24&lt;'PIM Ranges'!$BB$15,"Q3",IF($AR24&lt;'PIM Ranges'!$BC$15,"Q4","Q5")))),IF('PIM Ranges'!$AK22='PIM Ranges'!$AY$16,IF($AR24&lt;'PIM Ranges'!$AZ$16,"Q1",IF($AR24&lt;'PIM Ranges'!$BA$16,"Q2",IF($AR24&lt;'PIM Ranges'!$BB$16,"Q3",IF($AR24&lt;'PIM Ranges'!$BC$16,"Q4","Q5")))),IF('PIM Ranges'!$AK22='PIM Ranges'!$AY$17,IF($AR24&lt;'PIM Ranges'!$AZ$17,"Q1",IF($AR24&lt;'PIM Ranges'!$BA$17,"Q2",IF($AR24&lt;'PIM Ranges'!$BB$17,"Q3",IF($AR24&lt;'PIM Ranges'!$BC$17,"Q4","Q5")))),IF('PIM Ranges'!$AK22='PIM Ranges'!$AY$18,IF($AR24&lt;'PIM Ranges'!$AZ$18,"Q1",IF($AR24&lt;'PIM Ranges'!$BA$18,"Q2",IF($AR24&lt;'PIM Ranges'!$BB$18,"Q3",IF($AR24&lt;'PIM Ranges'!$BC$18,"Q4","Q5")))),IF('PIM Ranges'!$AK22='PIM Ranges'!$AY$19,IF($AR24&lt;'PIM Ranges'!$AZ$19,"Q1",IF($AR24&lt;'PIM Ranges'!$BA$19,"Q2",IF($AR24&lt;'PIM Ranges'!$BB$19,"Q3",IF($AR24&lt;'PIM Ranges'!$BC$19,"Q4","Q5")))),IF('PIM Ranges'!$AK22='PIM Ranges'!$AY$20,IF($AR24&lt;'PIM Ranges'!$AZ$20,"Q1",IF($AR24&lt;'PIM Ranges'!$BA$20,"Q2",IF($AR24&lt;'PIM Ranges'!$BB$20,"Q3",IF($AR24&lt;'PIM Ranges'!$BC$20,"Q4","Q5")))),IF('PIM Ranges'!$AK22='PIM Ranges'!$AY$21,IF($AR24&lt;'PIM Ranges'!$AZ$21,"Q1",IF($AR24&lt;'PIM Ranges'!$BA$21,"Q2",IF($AR24&lt;'PIM Ranges'!$BB$21,"Q3",IF($AR24&lt;'PIM Ranges'!$BC$21,"Q4","Q5")))),IF('PIM Ranges'!$AK22='PIM Ranges'!$AY$22,IF($AR24&lt;'PIM Ranges'!$AZ$22,"Q1",IF($AR24&lt;'PIM Ranges'!$BA$22,"Q2",IF($AR24&lt;'PIM Ranges'!$BB$22,"Q3",IF($AR24&lt;'PIM Ranges'!$BC$22,"Q4","Q5")))),IF('PIM Ranges'!$AK22='PIM Ranges'!$AY$23,IF($AR24&lt;'PIM Ranges'!$AZ$23,"Q1",IF($AR24&lt;'PIM Ranges'!$BA$23,"Q2",IF($AR24&lt;'PIM Ranges'!$BB$23,"Q3",IF($AR24&lt;'PIM Ranges'!$BC$23,"Q4","Q5")))),IF('PIM Ranges'!$AK22='PIM Ranges'!$AY$24,IF($AR24&lt;'PIM Ranges'!$AZ$24,"Q1",IF($AR24&lt;'PIM Ranges'!$BA$24,"Q2",IF($AR24&lt;'PIM Ranges'!$BB$24,"Q3",IF($AR24&lt;'PIM Ranges'!$BC$24,"Q4","Q5")))),IF('PIM Ranges'!$AK22='PIM Ranges'!$AY$25,IF($AR24&lt;'PIM Ranges'!$AZ$25,"Q1",IF($AR24&lt;'PIM Ranges'!$BA$25,"Q2",IF($AR24&lt;'PIM Ranges'!$BB$25,"Q3",IF($AR24&lt;'PIM Ranges'!$BC$25,"Q4","Q5")))),IF('PIM Ranges'!$AK22='PIM Ranges'!$AY$26,IF($AR24&lt;'PIM Ranges'!$AZ$26,"Q1",IF($AR24&lt;'PIM Ranges'!$BA$26,"Q2",IF($AR24&lt;'PIM Ranges'!$BB$26,"Q3",IF($AR24&lt;'PIM Ranges'!$BC$26,"Q4","Q5")))),IF('PIM Ranges'!$AK22='PIM Ranges'!$AY$27,IF($AR24&lt;'PIM Ranges'!$AZ$27,"Q1",IF($AR24&lt;'PIM Ranges'!$BA$27,"Q2",IF($AR24&lt;'PIM Ranges'!$BB$27,"Q3",IF($AR24&lt;'PIM Ranges'!$BC$27,"Q4","Q5")))),IF('PIM Ranges'!$AK22='PIM Ranges'!$AY$28,IF($AR24&lt;'PIM Ranges'!$AZ$28,"Q1",IF($AR24&lt;'PIM Ranges'!$BA$28,"Q2",IF($AR24&lt;'PIM Ranges'!$BB$28,"Q3",IF($AR24&lt;'PIM Ranges'!$BC$28,"Q4","Q5")))),IF('PIM Ranges'!$AK22='PIM Ranges'!$AY$29,IF($AR24&lt;'PIM Ranges'!$AZ$29,"Q1",IF($AR24&lt;'PIM Ranges'!$BA$29,"Q2",IF($AR24&lt;'PIM Ranges'!$BB$29,"Q3",IF($AR24&lt;'PIM Ranges'!$BC$29,"Q4","Q5")))),IF('PIM Ranges'!$AK22='PIM Ranges'!$AY$30,IF($AR24&lt;'PIM Ranges'!$AZ$30,"Q1",IF($AR24&lt;'PIM Ranges'!$BA$30,"Q2",IF($AR24&lt;'PIM Ranges'!$BB$30,"Q3",IF($AR24&lt;'PIM Ranges'!$BC$30,"Q4","Q5")))),IF('PIM Ranges'!$AK22='PIM Ranges'!$AY$31,IF($AR24&lt;'PIM Ranges'!$AZ$31,"Q1",IF($AR24&lt;'PIM Ranges'!$BA$31,"Q2",IF($AR24&lt;'PIM Ranges'!$BB$31,"Q3",IF($AR24&lt;'PIM Ranges'!$BC$31,"Q4","Q5")))),IF('PIM Ranges'!$AK22='PIM Ranges'!$AY$32,IF($AR24&lt;'PIM Ranges'!$AZ$32,"Q1",IF($AR24&lt;'PIM Ranges'!$BA$32,"Q2",IF($AR24&lt;'PIM Ranges'!$BB$32,"Q3",IF($AR24&lt;'PIM Ranges'!$BC$32,"Q4","Q5"))))))))))))))))))))))))))</f>
        <v>Q1</v>
      </c>
      <c r="AW24" s="301">
        <f>VLOOKUP($AQ24&amp;$AV24,'IMargin Quartiles'!$A:$F,6,FALSE)</f>
        <v>0.17</v>
      </c>
      <c r="AX24" s="301"/>
      <c r="AY24" s="1708" t="str">
        <f>IF('PIM Ranges'!$AK22='PIM Ranges'!$AY$11,IF('PIM Ranges'!$AL22&lt;'PIM Ranges'!$AZ$11,"Q1",IF('PIM Ranges'!$AL22&lt;'PIM Ranges'!$BA$11,"Q2",IF('PIM Ranges'!$AL22&lt;'PIM Ranges'!$BB$11,"Q3",IF('PIM Ranges'!$AL22&lt;'PIM Ranges'!$BC$11,"Q4","Q5")))),IF('PIM Ranges'!$AK22='PIM Ranges'!$AY$12,IF('PIM Ranges'!$AL22&lt;'PIM Ranges'!$AZ$12,"Q1",IF('PIM Ranges'!$AL22&lt;'PIM Ranges'!$BA$12,"Q2",IF('PIM Ranges'!$AL22&lt;'PIM Ranges'!$BB$12,"Q3",IF('PIM Ranges'!$AL22&lt;'PIM Ranges'!$BC$12,"Q4","Q5")))),IF('PIM Ranges'!$AK22='PIM Ranges'!$AY$13,IF('PIM Ranges'!$AL22&lt;'PIM Ranges'!$AZ$13,"Q1",IF('PIM Ranges'!$AL22&lt;'PIM Ranges'!$BA$13,"Q2",IF('PIM Ranges'!$AL22&lt;'PIM Ranges'!$BB$13,"Q3",IF('PIM Ranges'!$AL22&lt;'PIM Ranges'!$BC$13,"Q4","Q5")))),IF('PIM Ranges'!$AK22='PIM Ranges'!$AY$14,IF('PIM Ranges'!$AL22&lt;'PIM Ranges'!$AZ$14,"Q1",IF('PIM Ranges'!$AL22&lt;'PIM Ranges'!$BA$14,"Q2",IF('PIM Ranges'!$AL22&lt;'PIM Ranges'!$BB$14,"Q3",IF('PIM Ranges'!$AL22&lt;'PIM Ranges'!$BC$14,"Q4","Q5")))),IF('PIM Ranges'!$AK22='PIM Ranges'!$AY$15,IF('PIM Ranges'!$AL22&lt;'PIM Ranges'!$AZ$15,"Q1",IF('PIM Ranges'!$AL22&lt;'PIM Ranges'!$BA$15,"Q2",IF('PIM Ranges'!$AL22&lt;'PIM Ranges'!$BB$15,"Q3",IF('PIM Ranges'!$AL22&lt;'PIM Ranges'!$BC$15,"Q4","Q5")))),IF('PIM Ranges'!$AK22='PIM Ranges'!$AY$16,IF('PIM Ranges'!$AL22&lt;'PIM Ranges'!$AZ$16,"Q1",IF('PIM Ranges'!$AL22&lt;'PIM Ranges'!$BA$16,"Q2",IF('PIM Ranges'!$AL22&lt;'PIM Ranges'!$BB$16,"Q3",IF('PIM Ranges'!$AL22&lt;'PIM Ranges'!$BC$16,"Q4","Q5")))),IF('PIM Ranges'!$AK22='PIM Ranges'!$AY$17,IF('PIM Ranges'!$AL22&lt;'PIM Ranges'!$AZ$17,"Q1",IF('PIM Ranges'!$AL22&lt;'PIM Ranges'!$BA$17,"Q2",IF('PIM Ranges'!$AL22&lt;'PIM Ranges'!$BB$17,"Q3",IF('PIM Ranges'!$AL22&lt;'PIM Ranges'!$BC$17,"Q4","Q5")))),IF('PIM Ranges'!$AK22='PIM Ranges'!$AY$18,IF('PIM Ranges'!$AL22&lt;'PIM Ranges'!$AZ$18,"Q1",IF('PIM Ranges'!$AL22&lt;'PIM Ranges'!$BA$18,"Q2",IF('PIM Ranges'!$AL22&lt;'PIM Ranges'!$BB$18,"Q3",IF('PIM Ranges'!$AL22&lt;'PIM Ranges'!$BC$18,"Q4","Q5")))),IF('PIM Ranges'!$AK22='PIM Ranges'!$AY$19,IF('PIM Ranges'!$AL22&lt;'PIM Ranges'!$AZ$19,"Q1",IF('PIM Ranges'!$AL22&lt;'PIM Ranges'!$BA$19,"Q2",IF('PIM Ranges'!$AL22&lt;'PIM Ranges'!$BB$19,"Q3",IF('PIM Ranges'!$AL22&lt;'PIM Ranges'!$BC$19,"Q4","Q5")))),IF('PIM Ranges'!$AK22='PIM Ranges'!$AY$20,IF('PIM Ranges'!$AL22&lt;'PIM Ranges'!$AZ$20,"Q1",IF('PIM Ranges'!$AL22&lt;'PIM Ranges'!$BA$20,"Q2",IF('PIM Ranges'!$AL22&lt;'PIM Ranges'!$BB$20,"Q3",IF('PIM Ranges'!$AL22&lt;'PIM Ranges'!$BC$20,"Q4","Q5")))),IF('PIM Ranges'!$AK22='PIM Ranges'!$AY$21,IF('PIM Ranges'!$AL22&lt;'PIM Ranges'!$AZ$21,"Q1",IF('PIM Ranges'!$AL22&lt;'PIM Ranges'!$BA$21,"Q2",IF('PIM Ranges'!$AL22&lt;'PIM Ranges'!$BB$21,"Q3",IF('PIM Ranges'!$AL22&lt;'PIM Ranges'!$BC$21,"Q4","Q5")))),IF('PIM Ranges'!$AK22='PIM Ranges'!$AY$22,IF('PIM Ranges'!$AL22&lt;'PIM Ranges'!$AZ$22,"Q1",IF('PIM Ranges'!$AL22&lt;'PIM Ranges'!$BA$22,"Q2",IF('PIM Ranges'!$AL22&lt;'PIM Ranges'!$BB$22,"Q3",IF('PIM Ranges'!$AL22&lt;'PIM Ranges'!$BC$22,"Q4","Q5")))),IF('PIM Ranges'!$AK22='PIM Ranges'!$AY$23,IF('PIM Ranges'!$AL22&lt;'PIM Ranges'!$AZ$23,"Q1",IF('PIM Ranges'!$AL22&lt;'PIM Ranges'!$BA$23,"Q2",IF('PIM Ranges'!$AL22&lt;'PIM Ranges'!$BB$23,"Q3",IF('PIM Ranges'!$AL22&lt;'PIM Ranges'!$BC$23,"Q4","Q5")))),IF('PIM Ranges'!$AK22='PIM Ranges'!$AY$24,IF('PIM Ranges'!$AL22&lt;'PIM Ranges'!$AZ$24,"Q1",IF('PIM Ranges'!$AL22&lt;'PIM Ranges'!$BA$24,"Q2",IF('PIM Ranges'!$AL22&lt;'PIM Ranges'!$BB$24,"Q3",IF('PIM Ranges'!$AL22&lt;'PIM Ranges'!$BC$24,"Q4","Q5")))),IF('PIM Ranges'!$AK22='PIM Ranges'!$AY$25,IF('PIM Ranges'!$AL22&lt;'PIM Ranges'!$AZ$25,"Q1",IF('PIM Ranges'!$AL22&lt;'PIM Ranges'!$BA$25,"Q2",IF('PIM Ranges'!$AL22&lt;'PIM Ranges'!$BB$25,"Q3",IF('PIM Ranges'!$AL22&lt;'PIM Ranges'!$BC$25,"Q4","Q5")))),IF('PIM Ranges'!$AK22='PIM Ranges'!$AY$26,IF('PIM Ranges'!$AL22&lt;'PIM Ranges'!$AZ$26,"Q1",IF('PIM Ranges'!$AL22&lt;'PIM Ranges'!$BA$26,"Q2",IF('PIM Ranges'!$AL22&lt;'PIM Ranges'!$BB$26,"Q3",IF('PIM Ranges'!$AL22&lt;'PIM Ranges'!$BC$26,"Q4","Q5")))),IF('PIM Ranges'!$AK22='PIM Ranges'!$AY$27,IF('PIM Ranges'!$AL22&lt;'PIM Ranges'!$AZ$27,"Q1",IF('PIM Ranges'!$AL22&lt;'PIM Ranges'!$BA$27,"Q2",IF('PIM Ranges'!$AL22&lt;'PIM Ranges'!$BB$27,"Q3",IF('PIM Ranges'!$AL22&lt;'PIM Ranges'!$BC$27,"Q4","Q5")))),IF('PIM Ranges'!$AK22='PIM Ranges'!$AY$28,IF('PIM Ranges'!$AL22&lt;'PIM Ranges'!$AZ$28,"Q1",IF('PIM Ranges'!$AL22&lt;'PIM Ranges'!$BA$28,"Q2",IF('PIM Ranges'!$AL22&lt;'PIM Ranges'!$BB$28,"Q3",IF('PIM Ranges'!$AL22&lt;'PIM Ranges'!$BC$28,"Q4","Q5")))),IF('PIM Ranges'!$AK22='PIM Ranges'!$AY$29,IF('PIM Ranges'!$AL22&lt;'PIM Ranges'!$AZ$29,"Q1",IF('PIM Ranges'!$AL22&lt;'PIM Ranges'!$BA$29,"Q2",IF('PIM Ranges'!$AL22&lt;'PIM Ranges'!$BB$29,"Q3",IF('PIM Ranges'!$AL22&lt;'PIM Ranges'!$BC$29,"Q4","Q5")))),IF('PIM Ranges'!$AK22='PIM Ranges'!$AY$30,IF('PIM Ranges'!$AL22&lt;'PIM Ranges'!$AZ$30,"Q1",IF('PIM Ranges'!$AL22&lt;'PIM Ranges'!$BA$30,"Q2",IF('PIM Ranges'!$AL22&lt;'PIM Ranges'!$BB$30,"Q3",IF('PIM Ranges'!$AL22&lt;'PIM Ranges'!$BC$30,"Q4","Q5")))),IF('PIM Ranges'!$AK22='PIM Ranges'!$AY$31,IF('PIM Ranges'!$AL22&lt;'PIM Ranges'!$AZ$31,"Q1",IF('PIM Ranges'!$AL22&lt;'PIM Ranges'!$BA$31,"Q2",IF('PIM Ranges'!$AL22&lt;'PIM Ranges'!$BB$31,"Q3",IF('PIM Ranges'!$AL22&lt;'PIM Ranges'!$BC$31,"Q4","Q5")))),IF('PIM Ranges'!$AK22='PIM Ranges'!$AY$32,IF('PIM Ranges'!$AL22&lt;'PIM Ranges'!$AZ$32,"Q1",IF('PIM Ranges'!$AL22&lt;'PIM Ranges'!$BA$32,"Q2",IF('PIM Ranges'!$AL22&lt;'PIM Ranges'!$BB$32,"Q3",IF('PIM Ranges'!$AL22&lt;'PIM Ranges'!$BC$32,"Q4","Q5"))))))))))))))))))))))))))</f>
        <v>Q1</v>
      </c>
      <c r="AZ24" s="301">
        <f t="shared" si="31"/>
        <v>0</v>
      </c>
      <c r="BA24" s="39">
        <f>'PIM Model'!C20</f>
        <v>0</v>
      </c>
      <c r="BB24" s="301"/>
      <c r="BC24" s="301"/>
      <c r="BD24" s="301" t="e">
        <f t="shared" si="72"/>
        <v>#DIV/0!</v>
      </c>
      <c r="BE24" s="301"/>
      <c r="BF24" s="301"/>
      <c r="BG24" s="105">
        <v>13</v>
      </c>
      <c r="BH24" s="18">
        <f t="array" ref="BH24">IF('Customer Inputs'!$W$6="End",0,IFERROR(IF($BU24="SEGMENT",INDEX('Margin Guidence Table'!$A$1:$AG$10000,MATCH(1,('Margin Guidence Table'!$A$1:$A$10000=$BS24)*('Margin Guidence Table'!$I$1:$I$10000&lt;=ROUND($BK$3,0))*('Margin Guidence Table'!$J$1:$J$10000&gt;=ROUND($BK$3,0)),0),MATCH("PCT_SALES",'Margin Guidence Table'!$A$1:$AG$1,0)),INDEX('Margin Guidence Table'!$A$1:$AG$10000,MATCH(1,('Margin Guidence Table'!$A$1:$A$10000=$BS24)*('Margin Guidence Table'!$I$1:$I$10000&lt;=ROUND($BK$3,0))*('Margin Guidence Table'!$J$1:$J$10000&gt;=ROUND($BK$3,0)),0),MATCH("DEFAULT_PCT_SALES",'Margin Guidence Table'!$A$1:$AG$1,0))),0))</f>
        <v>0</v>
      </c>
      <c r="BI24" s="297" t="e">
        <f t="shared" si="32"/>
        <v>#DIV/0!</v>
      </c>
      <c r="BJ24" s="99" t="s">
        <v>97</v>
      </c>
      <c r="BK24" s="91">
        <f>IF('Customer Inputs'!$W$6="End",0,IFERROR(IF(AND($BK$2&lt;&gt;"Enter Spend&gt;&gt;&gt;",$BL$2="EXISTING"),SUMIFS('Existing Customers'!$Q:$Q,'Existing Customers'!$A:$A,$BK$1,'Existing Customers'!$H:$H,$BJ24)*$BK$4,$BK$3*$BI24),0))</f>
        <v>0</v>
      </c>
      <c r="BL24" s="92">
        <f>IF('Customer Inputs'!$W$6="End",0,IFERROR(IF(AND($BK$2&lt;&gt;"Enter Spend&gt;&gt;&gt;",$BL$2="EXISTING"),SUMIFS('Existing Customers'!$N:$N,'Existing Customers'!$A:$A,$BK$1,'Existing Customers'!$H:$H,$BJ24)*$BK$4,$BK24/$BV24),0))</f>
        <v>0</v>
      </c>
      <c r="BM24" s="92">
        <f>IF('Customer Inputs'!$W$6="End",0,IFERROR(IF(AND($BK$2&lt;&gt;"Enter Spend&gt;&gt;&gt;",$BL$2="EXISTING"),SUMIFS('Existing Customers'!$O:$O,'Existing Customers'!$H:$H,$BJ24,'Existing Customers'!$A:$A,$BK$1)*$BK$4,$BL24*$BK$8),0))</f>
        <v>0</v>
      </c>
      <c r="BN24" s="92">
        <f>IF('Customer Inputs'!$W$6="End",0,IFERROR(IF(AND($BK$2&lt;&gt;"Enter Spend&gt;&gt;&gt;",$BL$2="EXISTING"),SUMIFS('Existing Customers'!$P:$P,'Existing Customers'!$A:$A,$BK$1,'Existing Customers'!$H:$H,$BJ24)*$BK$4,$BK24/$BW24),0))</f>
        <v>0</v>
      </c>
      <c r="BO24" s="303">
        <f>IF('Customer Inputs'!$W$6="End",0,IFERROR(IF(AND($BK$2&lt;&gt;"Enter Spend&gt;&gt;&gt;",$BL$2="EXISTING"),SUMIFS('Existing Customers'!$V:$V,'Existing Customers'!$H:$H,$BJ24,'Existing Customers'!$A:$A,$BK$1)*$BK$4,0),0))</f>
        <v>0</v>
      </c>
      <c r="BP24" s="93">
        <f>IF('Customer Inputs'!$W$6="End",0,IFERROR(IF(AND($BK$2&lt;&gt;"Enter Spend&gt;&gt;&gt;",$BL$2="EXISTING"),SUMIFS('Existing Customers'!$R:$R,'Existing Customers'!$H:$H,$BJ24,'Existing Customers'!$A:$A,$BK$1)*$BK$4,0),0))</f>
        <v>0</v>
      </c>
      <c r="BQ24" s="93">
        <f>IF('Customer Inputs'!$W$6="End",0,IFERROR(IF(AND($BK$2&lt;&gt;"Enter Spend&gt;&gt;&gt;",$BL$2="EXISTING"),SUMIFS('Existing Customers'!$S:$S,'Existing Customers'!$H:$H,$BJ24,'Existing Customers'!$A:$A,$BK$1)/SUMIFS('Existing Customers'!$Q:$Q,'Existing Customers'!$A:$A,$BK$1,'Existing Customers'!$H:$H,$BJ24),CA24),0))</f>
        <v>0</v>
      </c>
      <c r="BR24" s="93">
        <f>IF('Customer Inputs'!$W$6="End",0,IFERROR(IF(AND($BK$2&lt;&gt;"Enter Spend&gt;&gt;&gt;",$BL$2="EXISTING"),SUMIFS('Existing Customers'!$U:$U,'Existing Customers'!$H:$H,$BJ24,'Existing Customers'!$A:$A,$BK$1)/SUMIFS('Existing Customers'!$Q:$Q,'Existing Customers'!$A:$A,$BK$1,'Existing Customers'!$H:$H,$BJ24),CB24),0))</f>
        <v>0</v>
      </c>
      <c r="BS24" s="782" t="e">
        <f>_xlfn.CONCAT('Customer Inputs'!$AH$6,"_",BJ24)</f>
        <v>#N/A</v>
      </c>
      <c r="BT24" s="783">
        <f t="array" ref="BT24">IF('Customer Inputs'!$W$6="End",0,IFERROR(INDEX('Margin Guidence Table'!$A$1:$AG$10000,MATCH(1,('Margin Guidence Table'!$A$1:$A$10000=$BS24)*('Margin Guidence Table'!$I$1:$I$10000&lt;=ROUND($BK$3,0))*('Margin Guidence Table'!$J$1:$J$10000&gt;=ROUND($BK$3,0)),0),MATCH("DATA_POINTS",'Margin Guidence Table'!$A$1:$AG$1,0)),0))</f>
        <v>0</v>
      </c>
      <c r="BU24" s="780" t="str">
        <f t="shared" si="33"/>
        <v>DEFAULT</v>
      </c>
      <c r="BV24" s="780">
        <f t="array" ref="BV24">IF('Customer Inputs'!$W$6="End",0,IFERROR(IF($BU24="SEGMENT",INDEX('Margin Guidence Table'!$A$1:$AG$10000,MATCH(1,('Margin Guidence Table'!$A$1:$A$10000=$BS24)*('Margin Guidence Table'!$I$1:$I$10000&lt;=ROUND($BK$3,0))*('Margin Guidence Table'!$J$1:$J$10000&gt;=ROUND($BK$3,0)),0),MATCH("SALES_CASE",'Margin Guidence Table'!$A$1:$AG$1,0)),INDEX('Margin Guidence Table'!$A$1:$AG$10000,MATCH(1,('Margin Guidence Table'!$A$1:$A$10000=$BS24)*('Margin Guidence Table'!$I$1:$I$10000&lt;=ROUND($BK$3,0))*('Margin Guidence Table'!$J$1:$J$10000&gt;=ROUND($BK$3,0)),0),MATCH("DEFAULT_SALES_CASE",'Margin Guidence Table'!$A$1:$AG$1,0))),0))</f>
        <v>0</v>
      </c>
      <c r="BW24" s="780">
        <f t="array" ref="BW24">IF('Customer Inputs'!$W$6="End",0,IFERROR(IF($BU24="SEGMENT",INDEX('Margin Guidence Table'!$A$1:$AG$10000,MATCH(1,('Margin Guidence Table'!$A$1:$A$10000=$BS24)*('Margin Guidence Table'!$I$1:$I$10000&lt;=ROUND($BK$3,0))*('Margin Guidence Table'!$J$1:$J$10000&gt;=ROUND($BK$3,0)),0),MATCH("SALES_LBS",'Margin Guidence Table'!$A$1:$AG$1,0)),INDEX('Margin Guidence Table'!$A$1:$AG$10000,MATCH(1,('Margin Guidence Table'!$A$1:$A$10000=$BS24)*('Margin Guidence Table'!$I$1:$I$10000&lt;=ROUND($BK$3,0))*('Margin Guidence Table'!$J$1:$J$10000&gt;=ROUND($BK$3,0)),0),MATCH("DEFAULT_SALES_LBS",'Margin Guidence Table'!$A$1:$AG$1,0))),0))</f>
        <v>0</v>
      </c>
      <c r="BX24" s="784">
        <f t="array" ref="BX24">IF('Customer Inputs'!$W$6="End",0,IFERROR(IF($BU24="SEGMENT",INDEX('Margin Guidence Table'!$A$1:$AG$10000,MATCH(1,('Margin Guidence Table'!$A$1:$A$10000=$BS24)*('Margin Guidence Table'!$I$1:$I$10000&lt;=ROUND($BK$3,0))*('Margin Guidence Table'!$J$1:$J$10000&gt;=ROUND($BK$3,0)),0),MATCH("MDA_MIN_MARGIN_GUIDENCE",'Margin Guidence Table'!$A$1:$AG$1,0)),INDEX('Margin Guidence Table'!$A$1:$AG$10000,MATCH(1,('Margin Guidence Table'!$A$1:$A$10000=$BS24)*('Margin Guidence Table'!$I$1:$I$10000&lt;=ROUND($BK$3,0))*('Margin Guidence Table'!$J$1:$J$10000&gt;=ROUND($BK$3,0)),0),MATCH("DEFAULT_MDA_MIN_MARGIN_GUIDENCE",'Margin Guidence Table'!$A$1:$AG$1,0))),0))</f>
        <v>0</v>
      </c>
      <c r="BY24" s="784">
        <f t="array" ref="BY24">IF('Customer Inputs'!$W$6="End",0,IFERROR(IF($BU24="SEGMENT",INDEX('Margin Guidence Table'!$A$1:$AG$10000,MATCH(1,('Margin Guidence Table'!$A$1:$A$10000=$BS24)*('Margin Guidence Table'!$I$1:$I$10000&lt;=ROUND($BK$3,0))*('Margin Guidence Table'!$J$1:$J$10000&gt;=ROUND($BK$3,0)),0),MATCH("MDA_MEDIAN_MARGIN_GUIDENCE",'Margin Guidence Table'!$A$1:$AG$1,0)),INDEX('Margin Guidence Table'!$A$1:$AG$10000,MATCH(1,('Margin Guidence Table'!$A$1:$A$10000=$BS24)*('Margin Guidence Table'!$I$1:$I$10000&lt;=ROUND($BK$3,0))*('Margin Guidence Table'!$J$1:$J$10000&gt;=ROUND($BK$3,0)),0),MATCH("DEFAULT_MDA_MEDIAN_MARGIN_GUIDENCE",'Margin Guidence Table'!$A$1:$AG$1,0))),0))</f>
        <v>0</v>
      </c>
      <c r="BZ24" s="784">
        <f t="array" ref="BZ24">IF('Customer Inputs'!$W$6="End",0,IFERROR(IF($BU24="SEGMENT",INDEX('Margin Guidence Table'!$A$1:$AG$10000,MATCH(1,('Margin Guidence Table'!$A$1:$A$10000=$BS24)*('Margin Guidence Table'!$I$1:$I$10000&lt;=ROUND($BK$3,0))*('Margin Guidence Table'!$J$1:$J$10000&gt;=ROUND($BK$3,0)),0),MATCH("MDA_MAX_MARGIN_GUIDENCE",'Margin Guidence Table'!$A$1:$AG$1,0)),INDEX('Margin Guidence Table'!$A$1:$AG$10000,MATCH(1,('Margin Guidence Table'!$A$1:$A$10000=$BS24)*('Margin Guidence Table'!$I$1:$I$10000&lt;=ROUND($BK$3,0))*('Margin Guidence Table'!$J$1:$J$10000&gt;=ROUND($BK$3,0)),0),MATCH("DEFAULT_MDA_MAX_MARGIN_GUIDENCE",'Margin Guidence Table'!$A$1:$AG$1,0))),0))</f>
        <v>0</v>
      </c>
      <c r="CA24" s="784">
        <f t="array" ref="CA24">IF('Customer Inputs'!$W$6="End",0,IFERROR(IF($BU24="SEGMENT",INDEX('Margin Guidence Table'!$A$1:$AG$10000,MATCH(1,('Margin Guidence Table'!$A$1:$A$10000=$BS24)*('Margin Guidence Table'!$I$1:$I$10000&lt;=ROUND($BK$3,0))*('Margin Guidence Table'!$J$1:$J$10000&gt;=ROUND($BK$3,0)),0),MATCH("PA_PCT_SALES",'Margin Guidence Table'!$A$1:$AG$1,0)),INDEX('Margin Guidence Table'!$A$1:$AG$10000,MATCH(1,('Margin Guidence Table'!$A$1:$A$10000=$BS24)*('Margin Guidence Table'!$I$1:$I$10000&lt;=ROUND($BK$3,0))*('Margin Guidence Table'!$J$1:$J$10000&gt;=ROUND($BK$3,0)),0),MATCH("DEFAULT_PA_PCT_SALES",'Margin Guidence Table'!$A$1:$AG$1,0))),0))</f>
        <v>0</v>
      </c>
      <c r="CB24" s="784">
        <f t="array" ref="CB24">IF('Customer Inputs'!$W$6="End",0,IFERROR(IF($BU24="SEGMENT",INDEX('Margin Guidence Table'!$A$1:$AG$10000,MATCH(1,('Margin Guidence Table'!$A$1:$A$10000=$BS24)*('Margin Guidence Table'!$I$1:$I$10000&lt;=ROUND($BK$3,0))*('Margin Guidence Table'!$J$1:$J$10000&gt;=ROUND($BK$3,0)),0),MATCH("SELF_FUND_PCT_SALES",'Margin Guidence Table'!$A$1:$AG$1,0)),INDEX('Margin Guidence Table'!$A$1:$AG$10000,MATCH(1,('Margin Guidence Table'!$A$1:$A$10000=$BS24)*('Margin Guidence Table'!$I$1:$I$10000&lt;=ROUND($BK$3,0))*('Margin Guidence Table'!$J$1:$J$10000&gt;=ROUND($BK$3,0)),0),MATCH("DEFAULT_SELF_FUND_PCT_SALES",'Margin Guidence Table'!$A$1:$AG$1,0))),0))</f>
        <v>0</v>
      </c>
      <c r="CC24" s="784">
        <f t="array" ref="CC24">IF('Customer Inputs'!$W$6="End",0,IF($BL$2="Existing",IFERROR(SUMIFS('Existing Customers'!$V:$V,'Existing Customers'!$H:$H,$BJ24,'Existing Customers'!$A:$A,$BK$1)/SUMIFS('Existing Customers'!$Q:$Q,'Existing Customers'!$H:$H,$BJ24,'Existing Customers'!$A:$A,$BK$1),0),IFERROR(IF($BU24="SEGMENT",INDEX('Margin Guidence Table'!$A$1:$AG$10000,MATCH(1,('Margin Guidence Table'!$A$1:$A$10000=$BS24)*('Margin Guidence Table'!$I$1:$I$10000&lt;=ROUND($BK$3,0))*('Margin Guidence Table'!$J$1:$J$10000&gt;=ROUND($BK$3,0)),0),MATCH("CIA_MEDIAN_MARGIN_GUIDENCE",'Margin Guidence Table'!$A$1:$AG$1,0)),INDEX('Margin Guidence Table'!$A$1:$AG$10000,MATCH(1,('Margin Guidence Table'!$A$1:$A$10000=$BS24)*('Margin Guidence Table'!$I$1:$I$10000&lt;=ROUND($BK$3,0))*('Margin Guidence Table'!$J$1:$J$10000&gt;=ROUND($BK$3,0)),0),MATCH("DEFAULT_CIA_MEDIAN_MARGIN_GUIDENCE",'Margin Guidence Table'!$A$1:$AG$1,0))),0)))</f>
        <v>0</v>
      </c>
      <c r="CD24" s="126"/>
      <c r="CE24" s="18">
        <f t="array" ref="CE24">IF('Customer Inputs'!$W$7="End",0,IFERROR(IF($CR24="SEGMENT",INDEX('Margin Guidence Table'!$A$1:$AG$10000,MATCH(1,('Margin Guidence Table'!$A$1:$A$10000=$CP24)*('Margin Guidence Table'!$I$1:$I$10000&lt;=ROUND($CH$3,0))*('Margin Guidence Table'!$J$1:$J$10000&gt;=ROUND($CH$3,0)),0),MATCH("PCT_SALES",'Margin Guidence Table'!$A$1:$AG$1,0)),INDEX('Margin Guidence Table'!$A$1:$AG$10000,MATCH(1,('Margin Guidence Table'!$A$1:$A$10000=$CP24)*('Margin Guidence Table'!$I$1:$I$10000&lt;=ROUND($CH$3,0))*('Margin Guidence Table'!$J$1:$J$10000&gt;=ROUND($CH$3,0)),0),MATCH("DEFAULT_PCT_SALES",'Margin Guidence Table'!$A$1:$AG$1,0))),0))</f>
        <v>0</v>
      </c>
      <c r="CF24" s="297" t="e">
        <f t="shared" si="34"/>
        <v>#DIV/0!</v>
      </c>
      <c r="CG24" s="99" t="s">
        <v>97</v>
      </c>
      <c r="CH24" s="91">
        <f>IF('Customer Inputs'!$W$7="End",0,IFERROR(IF(AND($CH$2&lt;&gt;"Enter Spend&gt;&gt;&gt;",$CI$2="EXISTING"),SUMIFS('Existing Customers'!$Q:$Q,'Existing Customers'!$A:$A,$CH$1,'Existing Customers'!$H:$H,$CG24)*$CH$4,$CH$3*$CF24),0))</f>
        <v>0</v>
      </c>
      <c r="CI24" s="86">
        <f>IF('Customer Inputs'!$W$7="End",0,IFERROR(IF(AND($CH$2&lt;&gt;"Enter Spend&gt;&gt;&gt;",$CI$2="EXISTING"),SUMIFS('Existing Customers'!$N:$N,'Existing Customers'!$A:$A,$CH$1,'Existing Customers'!$H:$H,$CG24)*$CH$4,$CH24/$CS24),0))</f>
        <v>0</v>
      </c>
      <c r="CJ24" s="92">
        <f>IF('Customer Inputs'!$W$7="End",0,IFERROR(IF(AND($CH$2&lt;&gt;"Enter Spend&gt;&gt;&gt;",$CI$2="EXISTING"),SUMIFS('Existing Customers'!$O:$O,'Existing Customers'!$H:$H,$CG24,'Existing Customers'!$A:$A,$CH$1)*$CH$4,$CI24*$CH$8),0))</f>
        <v>0</v>
      </c>
      <c r="CK24" s="92">
        <f>IF('Customer Inputs'!$W$7="End",0,IFERROR(IF(AND($CH$2&lt;&gt;"Enter Spend&gt;&gt;&gt;",$CI$2="EXISTING"),SUMIFS('Existing Customers'!$P:$P,'Existing Customers'!$A:$A,$CH$1,'Existing Customers'!$H:$H,$CG24)*$CH$4,$CH24/$CT24),0))</f>
        <v>0</v>
      </c>
      <c r="CL24" s="93">
        <f>IF('Customer Inputs'!$W$7="End",0,IFERROR(IF(AND($CH$2&lt;&gt;"Enter Spend&gt;&gt;&gt;",$CI$2="EXISTING"),SUMIFS('Existing Customers'!$V:$V,'Existing Customers'!$H:$H,$CG24,'Existing Customers'!$A:$A,$CH$1)*$CH$4,0),0))</f>
        <v>0</v>
      </c>
      <c r="CM24" s="93">
        <f>IF('Customer Inputs'!$W$7="End",0,IFERROR(IF(AND($CH$2&lt;&gt;"Enter Spend&gt;&gt;&gt;",$CI$2="EXISTING"),SUMIFS('Existing Customers'!$R:$R,'Existing Customers'!$H:$H,$CG24,'Existing Customers'!$A:$A,$CH$1)*$CH$4,0),0))</f>
        <v>0</v>
      </c>
      <c r="CN24" s="780">
        <f>IF('Customer Inputs'!$W$7="End",0,IFERROR(IF(AND($CH$2&lt;&gt;"Enter Spend&gt;&gt;&gt;",$CI$2="EXISTING"),SUMIFS('Existing Customers'!$S:$S,'Existing Customers'!$H:$H,$CG24,'Existing Customers'!$A:$A,$CH$1)/SUMIFS('Existing Customers'!$Q:$Q,'Existing Customers'!$A:$A,$CH$1,'Existing Customers'!$H:$H,$CG24),CX24),0))</f>
        <v>0</v>
      </c>
      <c r="CO24" s="780">
        <f>IF('Customer Inputs'!$W$7="End",0,IFERROR(IF(AND($CH$2&lt;&gt;"Enter Spend&gt;&gt;&gt;",$CI$2="EXISTING"),SUMIFS('Existing Customers'!$U:$U,'Existing Customers'!$H:$H,$CG24,'Existing Customers'!$A:$A,$CH$1)/SUMIFS('Existing Customers'!$Q:$Q,'Existing Customers'!$A:$A,$CH$1,'Existing Customers'!$H:$H,$CG24),CY24),0))</f>
        <v>0</v>
      </c>
      <c r="CP24" s="783" t="e">
        <f>_xlfn.CONCAT('Customer Inputs'!$AH$7,"_",CG24)</f>
        <v>#N/A</v>
      </c>
      <c r="CQ24" s="783">
        <f t="array" ref="CQ24">IFERROR(INDEX('Margin Guidence Table'!$A$1:$AG$10000,MATCH(1,('Margin Guidence Table'!$A$1:$A$10000=$CP24)*('Margin Guidence Table'!$I$1:$I$10000&lt;=ROUND($CH$3,0))*('Margin Guidence Table'!$J$1:$J$10000&gt;=ROUND($CH$3,0)),0),MATCH("DATA_POINTS",'Margin Guidence Table'!$A$1:$AG$1,0)),0)</f>
        <v>0</v>
      </c>
      <c r="CR24" s="780" t="str">
        <f t="shared" si="35"/>
        <v>DEFAULT</v>
      </c>
      <c r="CS24" s="780">
        <f t="array" ref="CS24">IF('Customer Inputs'!$W$7="End",0,IFERROR(IF($CR24="SEGMENT",INDEX('Margin Guidence Table'!$A$1:$AG$10000,MATCH(1,('Margin Guidence Table'!$A$1:$A$10000=$CP24)*('Margin Guidence Table'!$I$1:$I$10000&lt;=ROUND($CH$3,0))*('Margin Guidence Table'!$J$1:$J$10000&gt;=ROUND($CH$3,0)),0),MATCH("SALES_CASE",'Margin Guidence Table'!$A$1:$AG$1,0)),INDEX('Margin Guidence Table'!$A$1:$AG$10000,MATCH(1,('Margin Guidence Table'!$A$1:$A$10000=$CP24)*('Margin Guidence Table'!$I$1:$I$10000&lt;=ROUND($CH$3,0))*('Margin Guidence Table'!$J$1:$J$10000&gt;=ROUND($CH$3,0)),0),MATCH("DEFAULT_SALES_CASE",'Margin Guidence Table'!$A$1:$AG$1,0))),0))</f>
        <v>0</v>
      </c>
      <c r="CT24" s="780">
        <f t="array" ref="CT24">IF('Customer Inputs'!$W$7="End",0,IFERROR(IF($CR24="SEGMENT",INDEX('Margin Guidence Table'!$A$1:$AG$10000,MATCH(1,('Margin Guidence Table'!$A$1:$A$10000=$CP24)*('Margin Guidence Table'!$I$1:$I$10000&lt;=ROUND($CH$3,0))*('Margin Guidence Table'!$J$1:$J$10000&gt;=ROUND($CH$3,0)),0),MATCH("SALES_LBS",'Margin Guidence Table'!$A$1:$AG$1,0)),INDEX('Margin Guidence Table'!$A$1:$AG$10000,MATCH(1,('Margin Guidence Table'!$A$1:$A$10000=$CP24)*('Margin Guidence Table'!$I$1:$I$10000&lt;=ROUND($CH$3,0))*('Margin Guidence Table'!$J$1:$J$10000&gt;=ROUND($CH$3,0)),0),MATCH("DEFAULT_SALES_LBS",'Margin Guidence Table'!$A$1:$AG$1,0))),0))</f>
        <v>0</v>
      </c>
      <c r="CU24" s="784">
        <f t="array" ref="CU24">IF('Customer Inputs'!$W$7="End",0,IFERROR(IF($CR24="SEGMENT",INDEX('Margin Guidence Table'!$A$1:$AG$10000,MATCH(1,('Margin Guidence Table'!$A$1:$A$10000=$CP24)*('Margin Guidence Table'!$I$1:$I$10000&lt;=ROUND($CH$3,0))*('Margin Guidence Table'!$J$1:$J$10000&gt;=ROUND($CH$3,0)),0),MATCH("MDA_MIN_MARGIN_GUIDENCE",'Margin Guidence Table'!$A$1:$AG$1,0)),INDEX('Margin Guidence Table'!$A$1:$AG$10000,MATCH(1,('Margin Guidence Table'!$A$1:$A$10000=$CP24)*('Margin Guidence Table'!$I$1:$I$10000&lt;=ROUND($CH$3,0))*('Margin Guidence Table'!$J$1:$J$10000&gt;=ROUND($CH$3,0)),0),MATCH("DEFAULT_MDA_MIN_MARGIN_GUIDENCE",'Margin Guidence Table'!$A$1:$AG$1,0))),0))</f>
        <v>0</v>
      </c>
      <c r="CV24" s="784">
        <f t="array" ref="CV24">IF('Customer Inputs'!$W$7="End",0,IFERROR(IF($CR24="SEGMENT",INDEX('Margin Guidence Table'!$A$1:$AG$10000,MATCH(1,('Margin Guidence Table'!$A$1:$A$10000=$CP24)*('Margin Guidence Table'!$I$1:$I$10000&lt;=ROUND($CH$3,0))*('Margin Guidence Table'!$J$1:$J$10000&gt;=ROUND($CH$3,0)),0),MATCH("MDA_MEDIAN_MARGIN_GUIDENCE",'Margin Guidence Table'!$A$1:$AG$1,0)),INDEX('Margin Guidence Table'!$A$1:$AG$10000,MATCH(1,('Margin Guidence Table'!$A$1:$A$10000=$CP24)*('Margin Guidence Table'!$I$1:$I$10000&lt;=ROUND($CH$3,0))*('Margin Guidence Table'!$J$1:$J$10000&gt;=ROUND($CH$3,0)),0),MATCH("DEFAULT_MDA_MEDIAN_MARGIN_GUIDENCE",'Margin Guidence Table'!$A$1:$AG$1,0))),0))</f>
        <v>0</v>
      </c>
      <c r="CW24" s="784">
        <f t="array" ref="CW24">IF('Customer Inputs'!$W$7="End",0,IFERROR(IF($CR24="SEGMENT",INDEX('Margin Guidence Table'!$A$1:$AG$10000,MATCH(1,('Margin Guidence Table'!$A$1:$A$10000=$CP24)*('Margin Guidence Table'!$I$1:$I$10000&lt;=ROUND($CH$3,0))*('Margin Guidence Table'!$J$1:$J$10000&gt;=ROUND($CH$3,0)),0),MATCH("MDA_MAX_MARGIN_GUIDENCE",'Margin Guidence Table'!$A$1:$AG$1,0)),INDEX('Margin Guidence Table'!$A$1:$AG$10000,MATCH(1,('Margin Guidence Table'!$A$1:$A$10000=$CP24)*('Margin Guidence Table'!$I$1:$I$10000&lt;=ROUND($CH$3,0))*('Margin Guidence Table'!$J$1:$J$10000&gt;=ROUND($CH$3,0)),0),MATCH("DEFAULT_MDA_MAX_MARGIN_GUIDENCE",'Margin Guidence Table'!$A$1:$AG$1,0))),0))</f>
        <v>0</v>
      </c>
      <c r="CX24" s="784">
        <f t="array" ref="CX24">IF('Customer Inputs'!$W$7="End",0,IFERROR(IF($CR24="SEGMENT",INDEX('Margin Guidence Table'!$A$1:$AG$10000,MATCH(1,('Margin Guidence Table'!$A$1:$A$10000=$CP24)*('Margin Guidence Table'!$I$1:$I$10000&lt;=ROUND($CH$3,0))*('Margin Guidence Table'!$J$1:$J$10000&gt;=ROUND($CH$3,0)),0),MATCH("PA_PCT_SALES",'Margin Guidence Table'!$A$1:$AG$1,0)),INDEX('Margin Guidence Table'!$A$1:$AG$10000,MATCH(1,('Margin Guidence Table'!$A$1:$A$10000=$CP24)*('Margin Guidence Table'!$I$1:$I$10000&lt;=ROUND($CH$3,0))*('Margin Guidence Table'!$J$1:$J$10000&gt;=ROUND($CH$3,0)),0),MATCH("DEFAULT_PA_PCT_SALES",'Margin Guidence Table'!$A$1:$AG$1,0))),0))</f>
        <v>0</v>
      </c>
      <c r="CY24" s="784">
        <f t="array" ref="CY24">IF('Customer Inputs'!$W$7="End",0,IFERROR(IF($CR24="SEGMENT",INDEX('Margin Guidence Table'!$A$1:$AG$10000,MATCH(1,('Margin Guidence Table'!$A$1:$A$10000=$CP24)*('Margin Guidence Table'!$I$1:$I$10000&lt;=ROUND($CH$3,0))*('Margin Guidence Table'!$J$1:$J$10000&gt;=ROUND($CH$3,0)),0),MATCH("SELF_FUND_PCT_SALES",'Margin Guidence Table'!$A$1:$AG$1,0)),INDEX('Margin Guidence Table'!$A$1:$AG$10000,MATCH(1,('Margin Guidence Table'!$A$1:$A$10000=$CP24)*('Margin Guidence Table'!$I$1:$I$10000&lt;=ROUND($CH$3,0))*('Margin Guidence Table'!$J$1:$J$10000&gt;=ROUND($CH$3,0)),0),MATCH("DEFAULT_SELF_FUND_PCT_SALES",'Margin Guidence Table'!$A$1:$AG$1,0))),0))</f>
        <v>0</v>
      </c>
      <c r="CZ24" s="784">
        <f t="array" ref="CZ24">IF('Customer Inputs'!$W$7="End",0,IF($CI$2="Existing",IFERROR(SUMIFS('Existing Customers'!$V:$V,'Existing Customers'!$H:$H,$CG24,'Existing Customers'!$A:$A,$CH$1)/SUMIFS('Existing Customers'!$Q:$Q,'Existing Customers'!$H:$H,$CG24,'Existing Customers'!$A:$A,$CH$1),0),IFERROR(IF($CR24="SEGMENT",INDEX('Margin Guidence Table'!$A$1:$AG$10000,MATCH(1,('Margin Guidence Table'!$A$1:$A$10000=$CP24)*('Margin Guidence Table'!$I$1:$I$10000&lt;=ROUND($CH$3,0))*('Margin Guidence Table'!$J$1:$J$10000&gt;=ROUND($CH$3,0)),0),MATCH("CIA_MEDIAN_MARGIN_GUIDENCE",'Margin Guidence Table'!$A$1:$AG$1,0)),INDEX('Margin Guidence Table'!$A$1:$AG$10000,MATCH(1,('Margin Guidence Table'!$A$1:$A$10000=$CP24)*('Margin Guidence Table'!$I$1:$I$10000&lt;=ROUND($CH$3,0))*('Margin Guidence Table'!$J$1:$J$10000&gt;=ROUND($CH$3,0)),0),MATCH("DEFAULT_CIA_MEDIAN_MARGIN_GUIDENCE",'Margin Guidence Table'!$A$1:$AG$1,0))),0)))</f>
        <v>0</v>
      </c>
      <c r="DA24" s="126"/>
      <c r="DB24" s="18">
        <f t="array" ref="DB24">IF('Customer Inputs'!$W$8="End",0,IFERROR(IF($DO24="SEGMENT",INDEX('Margin Guidence Table'!$A$1:$AG$10000,MATCH(1,('Margin Guidence Table'!$A$1:$A$10000=$DM24)*('Margin Guidence Table'!$I$1:$I$10000&lt;=ROUND($DE$3,0))*('Margin Guidence Table'!$J$1:$J$10000&gt;=ROUND($DE$3,0)),0),MATCH("PCT_SALES",'Margin Guidence Table'!$A$1:$AG$1,0)),INDEX('Margin Guidence Table'!$A$1:$AG$10000,MATCH(1,('Margin Guidence Table'!$A$1:$A$10000=$DM24)*('Margin Guidence Table'!$I$1:$I$10000&lt;=ROUND($DE$3,0))*('Margin Guidence Table'!$J$1:$J$10000&gt;=ROUND($DE$3,0)),0),MATCH("DEFAULT_PCT_SALES",'Margin Guidence Table'!$A$1:$AG$1,0))),0))</f>
        <v>0</v>
      </c>
      <c r="DC24" s="297" t="e">
        <f t="shared" si="36"/>
        <v>#DIV/0!</v>
      </c>
      <c r="DD24" s="99" t="s">
        <v>97</v>
      </c>
      <c r="DE24" s="91">
        <f>IF('Customer Inputs'!$W$8="End",0,IFERROR(IF(AND($DE$2&lt;&gt;"Enter Spend&gt;&gt;&gt;",$DF$2="EXISTING"),SUMIFS('Existing Customers'!$Q:$Q,'Existing Customers'!$A:$A,$DE$1,'Existing Customers'!$H:$H,$DD24)*$DE$4,$DE$3*$DC24),0))</f>
        <v>0</v>
      </c>
      <c r="DF24" s="86">
        <f>IF('Customer Inputs'!$W$8="End",0,IFERROR(IF(AND($DE$2&lt;&gt;"Enter Spend&gt;&gt;&gt;",$DF$2="EXISTING"),SUMIFS('Existing Customers'!$N:$N,'Existing Customers'!$A:$A,$DE$1,'Existing Customers'!$H:$H,$DD24)*$DE$4,$DE24/$DP24),0))</f>
        <v>0</v>
      </c>
      <c r="DG24" s="92">
        <f>IF('Customer Inputs'!$W$8="End",0,IFERROR(IF(AND($DE$2&lt;&gt;"Enter Spend&gt;&gt;&gt;",$DF$2="EXISTING"),SUMIFS('Existing Customers'!$O:$O,'Existing Customers'!$H:$H,$DD24,'Existing Customers'!$A:$A,$DE$1)*$DE$4,$DF24*$DE$8),0))</f>
        <v>0</v>
      </c>
      <c r="DH24" s="92">
        <f>IF('Customer Inputs'!$W$8="End",0,IFERROR(IF(AND($DE$2&lt;&gt;"Enter Spend&gt;&gt;&gt;",$DF$2="EXISTING"),SUMIFS('Existing Customers'!$P:$P,'Existing Customers'!$A:$A,$DE$1,'Existing Customers'!$H:$H,$DD24)*$DE$4,$DE24/$DQ24),0))</f>
        <v>0</v>
      </c>
      <c r="DI24" s="93">
        <f>IF('Customer Inputs'!$W$8="End",0,IFERROR(IF(AND($DE$2&lt;&gt;"Enter Spend&gt;&gt;&gt;",$DF$2="EXISTING"),SUMIFS('Existing Customers'!$V:$V,'Existing Customers'!$H:$H,$DD24,'Existing Customers'!$A:$A,$DE$1)*$DE$4,0),0))</f>
        <v>0</v>
      </c>
      <c r="DJ24" s="93">
        <f>IF('Customer Inputs'!$W$8="End",0,IFERROR(IF(AND($DE$2&lt;&gt;"Enter Spend&gt;&gt;&gt;",$DF$2="EXISTING"),SUMIFS('Existing Customers'!$R:$R,'Existing Customers'!$H:$H,$DD24,'Existing Customers'!$A:$A,$DE$1)*$DE$4,0),0))</f>
        <v>0</v>
      </c>
      <c r="DK24" s="780">
        <f>IF('Customer Inputs'!$W$8="End",0,IFERROR(IF(AND($DE$2&lt;&gt;"Enter Spend&gt;&gt;&gt;",$DF$2="EXISTING"),SUMIFS('Existing Customers'!$S:$S,'Existing Customers'!$H:$H,$DD24,'Existing Customers'!$A:$A,$DE$1)/SUMIFS('Existing Customers'!$Q:$Q,'Existing Customers'!$A:$A,$DE$1,'Existing Customers'!$H:$H,$DD24),DU24),0))</f>
        <v>0</v>
      </c>
      <c r="DL24" s="780">
        <f>IF('Customer Inputs'!$W$8="End",0,IFERROR(IF(AND($DE$2&lt;&gt;"Enter Spend&gt;&gt;&gt;",$DF$2="EXISTING"),SUMIFS('Existing Customers'!$U:$U,'Existing Customers'!$H:$H,$DD24,'Existing Customers'!$A:$A,$DE$1)/SUMIFS('Existing Customers'!$Q:$Q,'Existing Customers'!$A:$A,$DE$1,'Existing Customers'!$H:$H,$DD24),DV24),0))</f>
        <v>0</v>
      </c>
      <c r="DM24" s="783" t="e">
        <f>_xlfn.CONCAT('Customer Inputs'!$AH$8,"_",DD24)</f>
        <v>#N/A</v>
      </c>
      <c r="DN24" s="783">
        <f t="array" ref="DN24">IF('Customer Inputs'!$W$8="End",0,IFERROR(INDEX('Margin Guidence Table'!$A$1:$AG$10000,MATCH(1,('Margin Guidence Table'!$A$1:$A$10000=DM24)*('Margin Guidence Table'!$I$1:$I$10000&lt;=ROUND($DE$3,0))*('Margin Guidence Table'!$J$1:$J$10000&gt;=ROUND($DE$3,0)),0),MATCH("DATA_POINTS",'Margin Guidence Table'!$A$1:$AG$1,0)),0))</f>
        <v>0</v>
      </c>
      <c r="DO24" s="780" t="str">
        <f t="shared" si="37"/>
        <v>DEFAULT</v>
      </c>
      <c r="DP24" s="780">
        <f t="array" ref="DP24">IF('Customer Inputs'!$W$8="End",0,IFERROR(IF($DO24="SEGMENT",INDEX('Margin Guidence Table'!$A$1:$AG$10000,MATCH(1,('Margin Guidence Table'!$A$1:$A$10000=DM24)*('Margin Guidence Table'!$I$1:$I$10000&lt;=ROUND($DE$3,0))*('Margin Guidence Table'!$J$1:$J$10000&gt;=ROUND($DE$3,0)),0),MATCH("SALES_CASE",'Margin Guidence Table'!$A$1:$AG$1,0)),INDEX('Margin Guidence Table'!$A$1:$AG$10000,MATCH(1,('Margin Guidence Table'!$A$1:$A$10000=DM24)*('Margin Guidence Table'!$I$1:$I$10000&lt;=ROUND($DE$3,0))*('Margin Guidence Table'!$J$1:$J$10000&gt;=ROUND($DE$3,0)),0),MATCH("DEFAULT_SALES_CASE",'Margin Guidence Table'!$A$1:$AG$1,0))),0))</f>
        <v>0</v>
      </c>
      <c r="DQ24" s="780">
        <f t="array" ref="DQ24">IF('Customer Inputs'!$W$8="End",0,IFERROR(IF($DO24="SEGMENT",INDEX('Margin Guidence Table'!$A$1:$AG$10000,MATCH(1,('Margin Guidence Table'!$A$1:$A$10000=DM24)*('Margin Guidence Table'!$I$1:$I$10000&lt;=ROUND($DE$3,0))*('Margin Guidence Table'!$J$1:$J$10000&gt;=ROUND($DE$3,0)),0),MATCH("SALES_LBS",'Margin Guidence Table'!$A$1:$AG$1,0)),INDEX('Margin Guidence Table'!$A$1:$AG$10000,MATCH(1,('Margin Guidence Table'!$A$1:$A$10000=DM24)*('Margin Guidence Table'!$I$1:$I$10000&lt;=ROUND($DE$3,0))*('Margin Guidence Table'!$J$1:$J$10000&gt;=ROUND($DE$3,0)),0),MATCH("DEFAULT_SALES_LBS",'Margin Guidence Table'!$A$1:$AG$1,0))),0))</f>
        <v>0</v>
      </c>
      <c r="DR24" s="784">
        <f t="array" ref="DR24">IF('Customer Inputs'!$W$8="End",0,IFERROR(IF($DO24="SEGMENT",INDEX('Margin Guidence Table'!$A$1:$AG$10000,MATCH(1,('Margin Guidence Table'!$A$1:$A$10000=DM24)*('Margin Guidence Table'!$I$1:$I$10000&lt;=ROUND($DE$3,0))*('Margin Guidence Table'!$J$1:$J$10000&gt;=ROUND($DE$3,0)),0),MATCH("MDA_MIN_MARGIN_GUIDENCE",'Margin Guidence Table'!$A$1:$AG$1,0)),INDEX('Margin Guidence Table'!$A$1:$AG$10000,MATCH(1,('Margin Guidence Table'!$A$1:$A$10000=DM24)*('Margin Guidence Table'!$I$1:$I$10000&lt;=ROUND($DE$3,0))*('Margin Guidence Table'!$J$1:$J$10000&gt;=ROUND($DE$3,0)),0),MATCH("DEFAULT_MDA_MIN_MARGIN_GUIDENCE",'Margin Guidence Table'!$A$1:$AG$1,0))),0))</f>
        <v>0</v>
      </c>
      <c r="DS24" s="784">
        <f t="array" ref="DS24">IF('Customer Inputs'!$W$8="End",0,IFERROR(IF($DO24="SEGMENT",INDEX('Margin Guidence Table'!$A$1:$AG$10000,MATCH(1,('Margin Guidence Table'!$A$1:$A$10000=DM24)*('Margin Guidence Table'!$I$1:$I$10000&lt;=ROUND($DE$3,0))*('Margin Guidence Table'!$J$1:$J$10000&gt;=ROUND($DE$3,0)),0),MATCH("MDA_MEDIAN_MARGIN_GUIDENCE",'Margin Guidence Table'!$A$1:$AG$1,0)),INDEX('Margin Guidence Table'!$A$1:$AG$10000,MATCH(1,('Margin Guidence Table'!$A$1:$A$10000=DM24)*('Margin Guidence Table'!$I$1:$I$10000&lt;=ROUND($DE$3,0))*('Margin Guidence Table'!$J$1:$J$10000&gt;=ROUND($DE$3,0)),0),MATCH("DEFAULT_MDA_MEDIAN_MARGIN_GUIDENCE",'Margin Guidence Table'!$A$1:$AG$1,0))),0))</f>
        <v>0</v>
      </c>
      <c r="DT24" s="784">
        <f t="array" ref="DT24">IF('Customer Inputs'!$W$8="End",0,IFERROR(IF($DO24="SEGMENT",INDEX('Margin Guidence Table'!$A$1:$AG$10000,MATCH(1,('Margin Guidence Table'!$A$1:$A$10000=DM24)*('Margin Guidence Table'!$I$1:$I$10000&lt;=ROUND($DE$3,0))*('Margin Guidence Table'!$J$1:$J$10000&gt;=ROUND($DE$3,0)),0),MATCH("MDA_MAX_MARGIN_GUIDENCE",'Margin Guidence Table'!$A$1:$AG$1,0)),INDEX('Margin Guidence Table'!$A$1:$AG$10000,MATCH(1,('Margin Guidence Table'!$A$1:$A$10000=DM24)*('Margin Guidence Table'!$I$1:$I$10000&lt;=ROUND($DE$3,0))*('Margin Guidence Table'!$J$1:$J$10000&gt;=ROUND($DE$3,0)),0),MATCH("DEFAULT_MDA_MAX_MARGIN_GUIDENCE",'Margin Guidence Table'!$A$1:$AG$1,0))),0))</f>
        <v>0</v>
      </c>
      <c r="DU24" s="784">
        <f t="array" ref="DU24">IF('Customer Inputs'!$W$8="End",0,IFERROR(IF($DO24="SEGMENT",INDEX('Margin Guidence Table'!$A$1:$AG$10000,MATCH(1,('Margin Guidence Table'!$A$1:$A$10000=DM24)*('Margin Guidence Table'!$I$1:$I$10000&lt;=ROUND($DE$3,0))*('Margin Guidence Table'!$J$1:$J$10000&gt;=ROUND($DE$3,0)),0),MATCH("PA_PCT_SALES",'Margin Guidence Table'!$A$1:$AG$1,0)),INDEX('Margin Guidence Table'!$A$1:$AG$10000,MATCH(1,('Margin Guidence Table'!$A$1:$A$10000=DM24)*('Margin Guidence Table'!$I$1:$I$10000&lt;=ROUND($DE$3,0))*('Margin Guidence Table'!$J$1:$J$10000&gt;=ROUND($DE$3,0)),0),MATCH("DEFAULT_PA_PCT_SALES",'Margin Guidence Table'!$A$1:$AG$1,0))),0))</f>
        <v>0</v>
      </c>
      <c r="DV24" s="784">
        <f t="array" ref="DV24">IF('Customer Inputs'!$W$8="End",0,IFERROR(IF($DO24="SEGMENT",INDEX('Margin Guidence Table'!$A$1:$AG$10000,MATCH(1,('Margin Guidence Table'!$A$1:$A$10000=DM24)*('Margin Guidence Table'!$I$1:$I$10000&lt;=ROUND($DE$3,0))*('Margin Guidence Table'!$J$1:$J$10000&gt;=ROUND($DE$3,0)),0),MATCH("SELF_FUND_PCT_SALES",'Margin Guidence Table'!$A$1:$AG$1,0)),INDEX('Margin Guidence Table'!$A$1:$AG$10000,MATCH(1,('Margin Guidence Table'!$A$1:$A$10000=DM24)*('Margin Guidence Table'!$I$1:$I$10000&lt;=ROUND($DE$3,0))*('Margin Guidence Table'!$J$1:$J$10000&gt;=ROUND($DE$3,0)),0),MATCH("DEFAULT_SELF_FUND_PCT_SALES",'Margin Guidence Table'!$A$1:$AG$1,0))),0))</f>
        <v>0</v>
      </c>
      <c r="DW24" s="784">
        <f t="array" ref="DW24">IF('Customer Inputs'!$W$8="End",0,IF($DF$2="Existing",IFERROR(SUMIFS('Existing Customers'!$V:$V,'Existing Customers'!$H:$H,$DD24,'Existing Customers'!$A:$A,$DE$1)/SUMIFS('Existing Customers'!$Q:$Q,'Existing Customers'!$H:$H,$DD24,'Existing Customers'!$A:$A,$DE$1),0),IFERROR(IF($DO24="SEGMENT",INDEX('Margin Guidence Table'!$A$1:$AG$10000,MATCH(1,('Margin Guidence Table'!$A$1:$A$10000=DM24)*('Margin Guidence Table'!$I$1:$I$10000&lt;=ROUND($DE$3,0))*('Margin Guidence Table'!$J$1:$J$10000&gt;=ROUND($DE$3,0)),0),MATCH("CIA_MEDIAN_MARGIN_GUIDENCE",'Margin Guidence Table'!$A$1:$AG$1,0)),INDEX('Margin Guidence Table'!$A$1:$AG$10000,MATCH(1,('Margin Guidence Table'!$A$1:$A$10000=DM24)*('Margin Guidence Table'!$I$1:$I$10000&lt;=ROUND($DE$3,0))*('Margin Guidence Table'!$J$1:$J$10000&gt;=ROUND($DE$3,0)),0),MATCH("DEFAULT_CIA_MEDIAN_MARGIN_GUIDENCE",'Margin Guidence Table'!$A$1:$AG$1,0))),0)))</f>
        <v>0</v>
      </c>
      <c r="DX24" s="126"/>
      <c r="DY24" s="18">
        <f t="array" ref="DY24">IF('Customer Inputs'!$W$9="End",0,IFERROR(IF($EL24="SEGMENT",INDEX('Margin Guidence Table'!$A$1:$AG$10000,MATCH(1,('Margin Guidence Table'!$A$1:$A$10000=$EJ24)*('Margin Guidence Table'!$I$1:$I$10000&lt;=ROUND($EB$3,0))*('Margin Guidence Table'!$J$1:$J$10000&gt;=ROUND($EB$3,0)),0),MATCH("PCT_SALES",'Margin Guidence Table'!$A$1:$AG$1,0)),INDEX('Margin Guidence Table'!$A$1:$AG$10000,MATCH(1,('Margin Guidence Table'!$A$1:$A$10000=$EJ24)*('Margin Guidence Table'!$I$1:$I$10000&lt;=ROUND($EB$3,0))*('Margin Guidence Table'!$J$1:$J$10000&gt;=ROUND($EB$3,0)),0),MATCH("DEFAULT_PCT_SALES",'Margin Guidence Table'!$A$1:$AG$1,0))),0))</f>
        <v>0</v>
      </c>
      <c r="DZ24" s="297" t="e">
        <f t="shared" si="38"/>
        <v>#DIV/0!</v>
      </c>
      <c r="EA24" s="99" t="s">
        <v>97</v>
      </c>
      <c r="EB24" s="91">
        <f>IF('Customer Inputs'!$W$9="End",0,IFERROR(IF(AND($EB$2&lt;&gt;"Enter Spend&gt;&gt;&gt;",$EC$2="EXISTING"),SUMIFS('Existing Customers'!$Q:$Q,'Existing Customers'!$A:$A,$EB$1,'Existing Customers'!$H:$H,$EA24)*$EB$4,$EB$3*$DZ24),0))</f>
        <v>0</v>
      </c>
      <c r="EC24" s="86">
        <f>IF('Customer Inputs'!$W$9="End",0,IFERROR(IF(AND($EB$2&lt;&gt;"Enter Spend&gt;&gt;&gt;",$EC$2="EXISTING"),SUMIFS('Existing Customers'!$N:$N,'Existing Customers'!$A:$A,$EB$1,'Existing Customers'!$H:$H,$EA24)*$EB$4,$EB24/$EM24),0))</f>
        <v>0</v>
      </c>
      <c r="ED24" s="92">
        <f>IF('Customer Inputs'!$W$9="End",0,IFERROR(IF(AND($EB$2&lt;&gt;"Enter Spend&gt;&gt;&gt;",$EC$2="EXISTING"),SUMIFS('Existing Customers'!$O:$O,'Existing Customers'!$H:$H,$EA24,'Existing Customers'!$A:$A,$EB$1)*$EB$4,$EC24*$EB$8),0))</f>
        <v>0</v>
      </c>
      <c r="EE24" s="92">
        <f>IF('Customer Inputs'!$W$9="End",0,IFERROR(IF(AND($EB$2&lt;&gt;"Enter Spend&gt;&gt;&gt;",$EC$2="EXISTING"),SUMIFS('Existing Customers'!$P:$P,'Existing Customers'!$A:$A,$EB$1,'Existing Customers'!$H:$H,$EA24)*$EB$4,$EB24/$EN24),0))</f>
        <v>0</v>
      </c>
      <c r="EF24" s="93">
        <f>IF('Customer Inputs'!$W$9="End",0,IFERROR(IF(AND($EB$2&lt;&gt;"Enter Spend&gt;&gt;&gt;",$EC$2="EXISTING"),SUMIFS('Existing Customers'!$V:$V,'Existing Customers'!$H:$H,$EA24,'Existing Customers'!$A:$A,$EB$1)*$EB$4,0),0))</f>
        <v>0</v>
      </c>
      <c r="EG24" s="93">
        <f>IF('Customer Inputs'!$W$9="End",0,IFERROR(IF(AND($EB$2&lt;&gt;"Enter Spend&gt;&gt;&gt;",$EC$2="EXISTING"),SUMIFS('Existing Customers'!$R:$R,'Existing Customers'!$H:$H,$EA24,'Existing Customers'!$A:$A,$EB$1)*$EB$4,0),0))</f>
        <v>0</v>
      </c>
      <c r="EH24" s="780">
        <f>IF('Customer Inputs'!$W$9="End",0,IFERROR(IF(AND($EB$2&lt;&gt;"Enter Spend&gt;&gt;&gt;",$EC$2="EXISTING"),SUMIFS('Existing Customers'!$S:$S,'Existing Customers'!$H:$H,$EA24,'Existing Customers'!$A:$A,$EB$1)/SUMIFS('Existing Customers'!$Q:$Q,'Existing Customers'!$A:$A,$EB$1,'Existing Customers'!$H:$H,$EA24),ER24),0))</f>
        <v>0</v>
      </c>
      <c r="EI24" s="780">
        <f>IF('Customer Inputs'!$W$9="End",0,IFERROR(IF(AND($EB$2&lt;&gt;"Enter Spend&gt;&gt;&gt;",$EC$2="EXISTING"),SUMIFS('Existing Customers'!$U:$U,'Existing Customers'!$H:$H,$EA24,'Existing Customers'!$A:$A,$EB$1)/SUMIFS('Existing Customers'!$Q:$Q,'Existing Customers'!$A:$A,$EB$1,'Existing Customers'!$H:$H,$EA24),ES24),0))</f>
        <v>0</v>
      </c>
      <c r="EJ24" s="783" t="e">
        <f>_xlfn.CONCAT('Customer Inputs'!$AH$9,"_",EA24)</f>
        <v>#N/A</v>
      </c>
      <c r="EK24" s="783">
        <f t="array" ref="EK24">IF('Customer Inputs'!$W$9="End",0,IFERROR(INDEX('Margin Guidence Table'!$A$1:$AG$10000,MATCH(1,('Margin Guidence Table'!$A$1:$A$10000=EJ24)*('Margin Guidence Table'!$I$1:$I$10000&lt;=ROUND($EB$3,0))*('Margin Guidence Table'!$J$1:$J$10000&gt;=ROUND($EB$3,0)),0),MATCH("DATA_POINTS",'Margin Guidence Table'!$A$1:$AG$1,0)),0))</f>
        <v>0</v>
      </c>
      <c r="EL24" s="780" t="str">
        <f t="shared" si="39"/>
        <v>DEFAULT</v>
      </c>
      <c r="EM24" s="780">
        <f t="array" ref="EM24">IF('Customer Inputs'!$W$9="End",0,IFERROR(IF($EL24="SEGMENT",INDEX('Margin Guidence Table'!$A$1:$AG$10000,MATCH(1,('Margin Guidence Table'!$A$1:$A$10000=EJ24)*('Margin Guidence Table'!$I$1:$I$10000&lt;=ROUND($EB$3,0))*('Margin Guidence Table'!$J$1:$J$10000&gt;=ROUND($EB$3,0)),0),MATCH("SALES_CASE",'Margin Guidence Table'!$A$1:$AG$1,0)),INDEX('Margin Guidence Table'!$A$1:$AG$10000,MATCH(1,('Margin Guidence Table'!$A$1:$A$10000=EJ24)*('Margin Guidence Table'!$I$1:$I$10000&lt;=ROUND($EB$3,0))*('Margin Guidence Table'!$J$1:$J$10000&gt;=ROUND($EB$3,0)),0),MATCH("DEFAULT_SALES_CASE",'Margin Guidence Table'!$A$1:$AG$1,0))),0))</f>
        <v>0</v>
      </c>
      <c r="EN24" s="780">
        <f t="array" ref="EN24">IF('Customer Inputs'!$W$9="End",0,IFERROR(IF($EL24="SEGMENT",INDEX('Margin Guidence Table'!$A$1:$AG$10000,MATCH(1,('Margin Guidence Table'!$A$1:$A$10000=EJ24)*('Margin Guidence Table'!$I$1:$I$10000&lt;=ROUND($EB$3,0))*('Margin Guidence Table'!$J$1:$J$10000&gt;=ROUND($EB$3,0)),0),MATCH("SALES_LBS",'Margin Guidence Table'!$A$1:$AG$1,0)),INDEX('Margin Guidence Table'!$A$1:$AG$10000,MATCH(1,('Margin Guidence Table'!$A$1:$A$10000=EJ24)*('Margin Guidence Table'!$I$1:$I$10000&lt;=ROUND($EB$3,0))*('Margin Guidence Table'!$J$1:$J$10000&gt;=ROUND($EB$3,0)),0),MATCH("DEFAULT_SALES_LBS",'Margin Guidence Table'!$A$1:$AG$1,0))),0))</f>
        <v>0</v>
      </c>
      <c r="EO24" s="784">
        <f t="array" ref="EO24">IF('Customer Inputs'!$W$9="End",0,IFERROR(IF($EL24="SEGMENT",INDEX('Margin Guidence Table'!$A$1:$AG$10000,MATCH(1,('Margin Guidence Table'!$A$1:$A$10000=EJ24)*('Margin Guidence Table'!$I$1:$I$10000&lt;=ROUND($EB$3,0))*('Margin Guidence Table'!$J$1:$J$10000&gt;=ROUND($EB$3,0)),0),MATCH("MDA_MIN_MARGIN_GUIDENCE",'Margin Guidence Table'!$A$1:$AG$1,0)),INDEX('Margin Guidence Table'!$A$1:$AG$10000,MATCH(1,('Margin Guidence Table'!$A$1:$A$10000=EJ24)*('Margin Guidence Table'!$I$1:$I$10000&lt;=ROUND($EB$3,0))*('Margin Guidence Table'!$J$1:$J$10000&gt;=ROUND($EB$3,0)),0),MATCH("DEFAULT_MDA_MIN_MARGIN_GUIDENCE",'Margin Guidence Table'!$A$1:$AG$1,0))),0))</f>
        <v>0</v>
      </c>
      <c r="EP24" s="784">
        <f t="array" ref="EP24">IF('Customer Inputs'!$W$9="End",0,IFERROR(IF($EL24="SEGMENT",INDEX('Margin Guidence Table'!$A$1:$AG$10000,MATCH(1,('Margin Guidence Table'!$A$1:$A$10000=EJ24)*('Margin Guidence Table'!$I$1:$I$10000&lt;=ROUND($EB$3,0))*('Margin Guidence Table'!$J$1:$J$10000&gt;=ROUND($EB$3,0)),0),MATCH("MDA_MEDIAN_MARGIN_GUIDENCE",'Margin Guidence Table'!$A$1:$AG$1,0)),INDEX('Margin Guidence Table'!$A$1:$AG$10000,MATCH(1,('Margin Guidence Table'!$A$1:$A$10000=EJ24)*('Margin Guidence Table'!$I$1:$I$10000&lt;=ROUND($EB$3,0))*('Margin Guidence Table'!$J$1:$J$10000&gt;=ROUND($EB$3,0)),0),MATCH("DEFAULT_MDA_MEDIAN_MARGIN_GUIDENCE",'Margin Guidence Table'!$A$1:$AG$1,0))),0))</f>
        <v>0</v>
      </c>
      <c r="EQ24" s="784">
        <f t="array" ref="EQ24">IF('Customer Inputs'!$W$9="End",0,IFERROR(IF($EL24="SEGMENT",INDEX('Margin Guidence Table'!$A$1:$AG$10000,MATCH(1,('Margin Guidence Table'!$A$1:$A$10000=EJ24)*('Margin Guidence Table'!$I$1:$I$10000&lt;=ROUND($EB$3,0))*('Margin Guidence Table'!$J$1:$J$10000&gt;=ROUND($EB$3,0)),0),MATCH("MDA_MAX_MARGIN_GUIDENCE",'Margin Guidence Table'!$A$1:$AG$1,0)),INDEX('Margin Guidence Table'!$A$1:$AG$10000,MATCH(1,('Margin Guidence Table'!$A$1:$A$10000=EJ24)*('Margin Guidence Table'!$I$1:$I$10000&lt;=ROUND($EB$3,0))*('Margin Guidence Table'!$J$1:$J$10000&gt;=ROUND($EB$3,0)),0),MATCH("DEFAULT_MDA_MAX_MARGIN_GUIDENCE",'Margin Guidence Table'!$A$1:$AG$1,0))),0))</f>
        <v>0</v>
      </c>
      <c r="ER24" s="784">
        <f t="array" ref="ER24">IF('Customer Inputs'!$W$9="End",0,IFERROR(IF($EL24="SEGMENT",INDEX('Margin Guidence Table'!$A$1:$AG$10000,MATCH(1,('Margin Guidence Table'!$A$1:$A$10000=EJ24)*('Margin Guidence Table'!$I$1:$I$10000&lt;=ROUND($EB$3,0))*('Margin Guidence Table'!$J$1:$J$10000&gt;=ROUND($EB$3,0)),0),MATCH("PA_PCT_SALES",'Margin Guidence Table'!$A$1:$AG$1,0)),INDEX('Margin Guidence Table'!$A$1:$AG$10000,MATCH(1,('Margin Guidence Table'!$A$1:$A$10000=EJ24)*('Margin Guidence Table'!$I$1:$I$10000&lt;=ROUND($EB$3,0))*('Margin Guidence Table'!$J$1:$J$10000&gt;=ROUND($EB$3,0)),0),MATCH("DEFAULT_PA_PCT_SALES",'Margin Guidence Table'!$A$1:$AG$1,0))),0))</f>
        <v>0</v>
      </c>
      <c r="ES24" s="784">
        <f t="array" ref="ES24">IF('Customer Inputs'!$W$9="End",0,IFERROR(IF($EL24="SEGMENT",INDEX('Margin Guidence Table'!$A$1:$AG$10000,MATCH(1,('Margin Guidence Table'!$A$1:$A$10000=EJ24)*('Margin Guidence Table'!$I$1:$I$10000&lt;=ROUND($EB$3,0))*('Margin Guidence Table'!$J$1:$J$10000&gt;=ROUND($EB$3,0)),0),MATCH("SELF_FUND_PCT_SALES",'Margin Guidence Table'!$A$1:$AG$1,0)),INDEX('Margin Guidence Table'!$A$1:$AG$10000,MATCH(1,('Margin Guidence Table'!$A$1:$A$10000=EJ24)*('Margin Guidence Table'!$I$1:$I$10000&lt;=ROUND($EB$3,0))*('Margin Guidence Table'!$J$1:$J$10000&gt;=ROUND($EB$3,0)),0),MATCH("DEFAULT_SELF_FUND_PCT_SALES",'Margin Guidence Table'!$A$1:$AG$1,0))),0))</f>
        <v>0</v>
      </c>
      <c r="ET24" s="784">
        <f t="array" ref="ET24">IF('Customer Inputs'!$W$9="End",0,IF($EC$2="Existing",IFERROR(SUMIFS('Existing Customers'!$V:$V,'Existing Customers'!$H:$H,$EA24,'Existing Customers'!$A:$A,$EB$1)/SUMIFS('Existing Customers'!$Q:$Q,'Existing Customers'!$H:$H,$EA24,'Existing Customers'!$A:$A,$EB$1),0),IFERROR(IF($EL24="SEGMENT",INDEX('Margin Guidence Table'!$A$1:$AG$10000,MATCH(1,('Margin Guidence Table'!$A$1:$A$10000=EJ24)*('Margin Guidence Table'!$I$1:$I$10000&lt;=ROUND($EB$3,0))*('Margin Guidence Table'!$J$1:$J$10000&gt;=ROUND($EB$3,0)),0),MATCH("CIA_MEDIAN_MARGIN_GUIDENCE",'Margin Guidence Table'!$A$1:$AG$1,0)),INDEX('Margin Guidence Table'!$A$1:$AG$10000,MATCH(1,('Margin Guidence Table'!$A$1:$A$10000=EJ24)*('Margin Guidence Table'!$I$1:$I$10000&lt;=ROUND($EB$3,0))*('Margin Guidence Table'!$J$1:$J$10000&gt;=ROUND($EB$3,0)),0),MATCH("DEFAULT_CIA_MEDIAN_MARGIN_GUIDENCE",'Margin Guidence Table'!$A$1:$AG$1,0))),0)))</f>
        <v>0</v>
      </c>
      <c r="EU24" s="126"/>
      <c r="EV24" s="18">
        <f t="array" ref="EV24">IF('Customer Inputs'!$W$10="End",0,IFERROR(IF($FI24="SEGMENT",INDEX('Margin Guidence Table'!$A$1:$AG$10000,MATCH(1,('Margin Guidence Table'!$A$1:$A$10000=$FG24)*('Margin Guidence Table'!$I$1:$I$10000&lt;=ROUND($EY$3,0))*('Margin Guidence Table'!$J$1:$J$10000&gt;=ROUND($EY$3,0)),0),MATCH("PCT_SALES",'Margin Guidence Table'!$A$1:$AG$1,0)),INDEX('Margin Guidence Table'!$A$1:$AG$10000,MATCH(1,('Margin Guidence Table'!$A$1:$A$10000=$FG24)*('Margin Guidence Table'!$I$1:$I$10000&lt;=ROUND($EY$3,0))*('Margin Guidence Table'!$J$1:$J$10000&gt;=ROUND($EY$3,0)),0),MATCH("DEFAULT_PCT_SALES",'Margin Guidence Table'!$A$1:$AG$1,0))),0))</f>
        <v>0</v>
      </c>
      <c r="EW24" s="297" t="e">
        <f t="shared" si="40"/>
        <v>#DIV/0!</v>
      </c>
      <c r="EX24" s="99" t="s">
        <v>97</v>
      </c>
      <c r="EY24" s="91">
        <f>IF('Customer Inputs'!$W$10="End",0,IFERROR(IF(AND($EY$2&lt;&gt;"Enter Spend&gt;&gt;&gt;",$EZ$2="EXISTING"),SUMIFS('Existing Customers'!$Q:$Q,'Existing Customers'!$A:$A,$EY$1,'Existing Customers'!$H:$H,$EX24)*$EY$4,$EY$3*$EW24),0))</f>
        <v>0</v>
      </c>
      <c r="EZ24" s="86">
        <f>IF('Customer Inputs'!$W$10="End",0,IFERROR(IF(AND($EY$2&lt;&gt;"Enter Spend&gt;&gt;&gt;",$EZ$2="EXISTING"),SUMIFS('Existing Customers'!$N:$N,'Existing Customers'!$A:$A,$EY$1,'Existing Customers'!$H:$H,$EX24)*$EY$4,$EY24/$FJ24),0))</f>
        <v>0</v>
      </c>
      <c r="FA24" s="92">
        <f>IF('Customer Inputs'!$W$10="End",0,IFERROR(IF(AND($EY$2&lt;&gt;"Enter Spend&gt;&gt;&gt;",$EZ$2="EXISTING"),SUMIFS('Existing Customers'!$O:$O,'Existing Customers'!$H:$H,$EX24,'Existing Customers'!$A:$A,$EY$1)*$EY$4,$EZ24*$EY$8),0))</f>
        <v>0</v>
      </c>
      <c r="FB24" s="92">
        <f>IF('Customer Inputs'!$W$10="End",0,IFERROR(IF(AND($EY$2&lt;&gt;"Enter Spend&gt;&gt;&gt;",$EZ$2="EXISTING"),SUMIFS('Existing Customers'!$P:$P,'Existing Customers'!$A:$A,$EY$1,'Existing Customers'!$H:$H,$EX24)*$EY$4,$EY24/$FK24),0))</f>
        <v>0</v>
      </c>
      <c r="FC24" s="93">
        <f>IF('Customer Inputs'!$W$10="End",0,IFERROR(IF(AND($EY$2&lt;&gt;"Enter Spend&gt;&gt;&gt;",$EZ$2="EXISTING"),SUMIFS('Existing Customers'!$V:$V,'Existing Customers'!$H:$H,$EX24,'Existing Customers'!$A:$A,$EY$1)*$EY$4,0),0))</f>
        <v>0</v>
      </c>
      <c r="FD24" s="93">
        <f>IF('Customer Inputs'!$W$10="End",0,IFERROR(IF(AND($EY$2&lt;&gt;"Enter Spend&gt;&gt;&gt;",$EZ$2="EXISTING"),SUMIFS('Existing Customers'!$R:$R,'Existing Customers'!$H:$H,$EX24,'Existing Customers'!$A:$A,$EY$1)*$EY$4,0),0))</f>
        <v>0</v>
      </c>
      <c r="FE24" s="780">
        <f>IF('Customer Inputs'!$W$10="End",0,IFERROR(IF(AND($EY$2&lt;&gt;"Enter Spend&gt;&gt;&gt;",$EZ$2="EXISTING"),SUMIFS('Existing Customers'!$S:$S,'Existing Customers'!$H:$H,$EX24,'Existing Customers'!$A:$A,$EY$1)/SUMIFS('Existing Customers'!$Q:$Q,'Existing Customers'!$A:$A,$EY$1,'Existing Customers'!$H:$H,$EX24),FO24),0))</f>
        <v>0</v>
      </c>
      <c r="FF24" s="780">
        <f>IF('Customer Inputs'!$W$10="End",0,IFERROR(IF(AND($EY$2&lt;&gt;"Enter Spend&gt;&gt;&gt;",$EZ$2="EXISTING"),SUMIFS('Existing Customers'!$U:$U,'Existing Customers'!$H:$H,$EX24,'Existing Customers'!$A:$A,$EY$1)/SUMIFS('Existing Customers'!$Q:$Q,'Existing Customers'!$A:$A,$EY$1,'Existing Customers'!$H:$H,$EX24),FP24),0))</f>
        <v>0</v>
      </c>
      <c r="FG24" s="783" t="e">
        <f>_xlfn.CONCAT('Customer Inputs'!$AH$10,"_",EX24)</f>
        <v>#N/A</v>
      </c>
      <c r="FH24" s="783">
        <f t="array" ref="FH24">IF('Customer Inputs'!$W$10="End",0,IFERROR(INDEX('Margin Guidence Table'!$A$1:$AG$10000,MATCH(1,('Margin Guidence Table'!$A$1:$A$10000=FG24)*('Margin Guidence Table'!$I$1:$I$10000&lt;=ROUND($EY$3,0))*('Margin Guidence Table'!$J$1:$J$10000&gt;=ROUND($EY$3,0)),0),MATCH("DATA_POINTS",'Margin Guidence Table'!$A$1:$AG$1,0)),0))</f>
        <v>0</v>
      </c>
      <c r="FI24" s="780" t="str">
        <f t="shared" si="41"/>
        <v>DEFAULT</v>
      </c>
      <c r="FJ24" s="780">
        <f t="array" ref="FJ24">IF('Customer Inputs'!$W$10="End",0,IFERROR(IF($FI24="SEGMENT",INDEX('Margin Guidence Table'!$A$1:$AG$10000,MATCH(1,('Margin Guidence Table'!$A$1:$A$10000=FG24)*('Margin Guidence Table'!$I$1:$I$10000&lt;=ROUND($EY$3,0))*('Margin Guidence Table'!$J$1:$J$10000&gt;=ROUND($EY$3,0)),0),MATCH("SALES_CASE",'Margin Guidence Table'!$A$1:$AG$1,0)),INDEX('Margin Guidence Table'!$A$1:$AG$10000,MATCH(1,('Margin Guidence Table'!$A$1:$A$10000=FG24)*('Margin Guidence Table'!$I$1:$I$10000&lt;=ROUND($EY$3,0))*('Margin Guidence Table'!$J$1:$J$10000&gt;=ROUND($EY$3,0)),0),MATCH("DEFAULT_SALES_CASE",'Margin Guidence Table'!$A$1:$AG$1,0))),0))</f>
        <v>0</v>
      </c>
      <c r="FK24" s="780">
        <f t="array" ref="FK24">IF('Customer Inputs'!$W$10="End",0,IFERROR(IF($FI24="SEGMENT",INDEX('Margin Guidence Table'!$A$1:$AG$10000,MATCH(1,('Margin Guidence Table'!$A$1:$A$10000=FG24)*('Margin Guidence Table'!$I$1:$I$10000&lt;=ROUND($EY$3,0))*('Margin Guidence Table'!$J$1:$J$10000&gt;=ROUND($EY$3,0)),0),MATCH("SALES_LBS",'Margin Guidence Table'!$A$1:$AG$1,0)),INDEX('Margin Guidence Table'!$A$1:$AG$10000,MATCH(1,('Margin Guidence Table'!$A$1:$A$10000=FG24)*('Margin Guidence Table'!$I$1:$I$10000&lt;=ROUND($EY$3,0))*('Margin Guidence Table'!$J$1:$J$10000&gt;=ROUND($EY$3,0)),0),MATCH("DEFAULT_SALES_LBS",'Margin Guidence Table'!$A$1:$AG$1,0))),0))</f>
        <v>0</v>
      </c>
      <c r="FL24" s="784">
        <f t="array" ref="FL24">IF('Customer Inputs'!$W$10="End",0,IFERROR(IF($FI24="SEGMENT",INDEX('Margin Guidence Table'!$A$1:$AG$10000,MATCH(1,('Margin Guidence Table'!$A$1:$A$10000=FG24)*('Margin Guidence Table'!$I$1:$I$10000&lt;=ROUND($EY$3,0))*('Margin Guidence Table'!$J$1:$J$10000&gt;=ROUND($EY$3,0)),0),MATCH("MDA_MIN_MARGIN_GUIDENCE",'Margin Guidence Table'!$A$1:$AG$1,0)),INDEX('Margin Guidence Table'!$A$1:$AG$10000,MATCH(1,('Margin Guidence Table'!$A$1:$A$10000=FG24)*('Margin Guidence Table'!$I$1:$I$10000&lt;=ROUND($EY$3,0))*('Margin Guidence Table'!$J$1:$J$10000&gt;=ROUND($EY$3,0)),0),MATCH("DEFAULT_MDA_MIN_MARGIN_GUIDENCE",'Margin Guidence Table'!$A$1:$AG$1,0))),0))</f>
        <v>0</v>
      </c>
      <c r="FM24" s="784">
        <f t="array" ref="FM24">IF('Customer Inputs'!$W$10="End",0,IFERROR(IF($FI24="SEGMENT",INDEX('Margin Guidence Table'!$A$1:$AG$10000,MATCH(1,('Margin Guidence Table'!$A$1:$A$10000=FG24)*('Margin Guidence Table'!$I$1:$I$10000&lt;=ROUND($EY$3,0))*('Margin Guidence Table'!$J$1:$J$10000&gt;=ROUND($EY$3,0)),0),MATCH("MDA_MEDIAN_MARGIN_GUIDENCE",'Margin Guidence Table'!$A$1:$AG$1,0)),INDEX('Margin Guidence Table'!$A$1:$AG$10000,MATCH(1,('Margin Guidence Table'!$A$1:$A$10000=FG24)*('Margin Guidence Table'!$I$1:$I$10000&lt;=ROUND($EY$3,0))*('Margin Guidence Table'!$J$1:$J$10000&gt;=ROUND($EY$3,0)),0),MATCH("DEFAULT_MDA_MEDIAN_MARGIN_GUIDENCE",'Margin Guidence Table'!$A$1:$AG$1,0))),0))</f>
        <v>0</v>
      </c>
      <c r="FN24" s="784">
        <f t="array" ref="FN24">IF('Customer Inputs'!$W$10="End",0,IFERROR(IF($FI24="SEGMENT",INDEX('Margin Guidence Table'!$A$1:$AG$10000,MATCH(1,('Margin Guidence Table'!$A$1:$A$10000=FG24)*('Margin Guidence Table'!$I$1:$I$10000&lt;=ROUND($EY$3,0))*('Margin Guidence Table'!$J$1:$J$10000&gt;=ROUND($EY$3,0)),0),MATCH("MDA_MAX_MARGIN_GUIDENCE",'Margin Guidence Table'!$A$1:$AG$1,0)),INDEX('Margin Guidence Table'!$A$1:$AG$10000,MATCH(1,('Margin Guidence Table'!$A$1:$A$10000=FG24)*('Margin Guidence Table'!$I$1:$I$10000&lt;=ROUND($EY$3,0))*('Margin Guidence Table'!$J$1:$J$10000&gt;=ROUND($EY$3,0)),0),MATCH("DEFAULT_MDA_MAX_MARGIN_GUIDENCE",'Margin Guidence Table'!$A$1:$AG$1,0))),0))</f>
        <v>0</v>
      </c>
      <c r="FO24" s="784">
        <f t="array" ref="FO24">IF('Customer Inputs'!$W$10="End",0,IFERROR(IF($FI24="SEGMENT",INDEX('Margin Guidence Table'!$A$1:$AG$10000,MATCH(1,('Margin Guidence Table'!$A$1:$A$10000=FG24)*('Margin Guidence Table'!$I$1:$I$10000&lt;=ROUND($EY$3,0))*('Margin Guidence Table'!$J$1:$J$10000&gt;=ROUND($EY$3,0)),0),MATCH("PA_PCT_SALES",'Margin Guidence Table'!$A$1:$AG$1,0)),INDEX('Margin Guidence Table'!$A$1:$AG$10000,MATCH(1,('Margin Guidence Table'!$A$1:$A$10000=FG24)*('Margin Guidence Table'!$I$1:$I$10000&lt;=ROUND($EY$3,0))*('Margin Guidence Table'!$J$1:$J$10000&gt;=ROUND($EY$3,0)),0),MATCH("DEFAULT_PA_PCT_SALES",'Margin Guidence Table'!$A$1:$AG$1,0))),0))</f>
        <v>0</v>
      </c>
      <c r="FP24" s="784">
        <f t="array" ref="FP24">IF('Customer Inputs'!$W$10="End",0,IFERROR(IF($FI24="SEGMENT",INDEX('Margin Guidence Table'!$A$1:$AG$10000,MATCH(1,('Margin Guidence Table'!$A$1:$A$10000=FG24)*('Margin Guidence Table'!$I$1:$I$10000&lt;=ROUND($EY$3,0))*('Margin Guidence Table'!$J$1:$J$10000&gt;=ROUND($EY$3,0)),0),MATCH("SELF_FUND_PCT_SALES",'Margin Guidence Table'!$A$1:$AG$1,0)),INDEX('Margin Guidence Table'!$A$1:$AG$10000,MATCH(1,('Margin Guidence Table'!$A$1:$A$10000=FG24)*('Margin Guidence Table'!$I$1:$I$10000&lt;=ROUND($EY$3,0))*('Margin Guidence Table'!$J$1:$J$10000&gt;=ROUND($EY$3,0)),0),MATCH("DEFAULT_SELF_FUND_PCT_SALES",'Margin Guidence Table'!$A$1:$AG$1,0))),0))</f>
        <v>0</v>
      </c>
      <c r="FQ24" s="784">
        <f t="array" ref="FQ24">IF('Customer Inputs'!$W$10="End",0,IF($EZ$2="Existing",IFERROR(SUMIFS('Existing Customers'!$V:$V,'Existing Customers'!$H:$H,$EX24,'Existing Customers'!$A:$A,$EY$1)/SUMIFS('Existing Customers'!$Q:$Q,'Existing Customers'!$H:$H,$EX24,'Existing Customers'!$A:$A,$EY$1),0),IFERROR(IF($FI24="SEGMENT",INDEX('Margin Guidence Table'!$A$1:$AG$10000,MATCH(1,('Margin Guidence Table'!$A$1:$A$10000=FG24)*('Margin Guidence Table'!$I$1:$I$10000&lt;=ROUND($EY$3,0))*('Margin Guidence Table'!$J$1:$J$10000&gt;=ROUND($EY$3,0)),0),MATCH("CIA_MEDIAN_MARGIN_GUIDENCE",'Margin Guidence Table'!$A$1:$AG$1,0)),INDEX('Margin Guidence Table'!$A$1:$AG$10000,MATCH(1,('Margin Guidence Table'!$A$1:$A$10000=FG24)*('Margin Guidence Table'!$I$1:$I$10000&lt;=ROUND($EY$3,0))*('Margin Guidence Table'!$J$1:$J$10000&gt;=ROUND($EY$3,0)),0),MATCH("DEFAULT_CIA_MEDIAN_MARGIN_GUIDENCE",'Margin Guidence Table'!$A$1:$AG$1,0))),0)))</f>
        <v>0</v>
      </c>
      <c r="FR24" s="126"/>
      <c r="FS24" s="18">
        <f t="array" ref="FS24">IF('Customer Inputs'!$W$11="End",0,IFERROR(IF($GF24="SEGMENT",INDEX('Margin Guidence Table'!$A$1:$AG$10000,MATCH(1,('Margin Guidence Table'!$A$1:$A$10000=$GD24)*('Margin Guidence Table'!$I$1:$I$10000&lt;=ROUND($FV$3,0))*('Margin Guidence Table'!$J$1:$J$10000&gt;=ROUND($FV$3,0)),0),MATCH("PCT_SALES",'Margin Guidence Table'!$A$1:$AG$1,0)),INDEX('Margin Guidence Table'!$A$1:$AG$10000,MATCH(1,('Margin Guidence Table'!$A$1:$A$10000=$GD24)*('Margin Guidence Table'!$I$1:$I$10000&lt;=ROUND($FV$3,0))*('Margin Guidence Table'!$J$1:$J$10000&gt;=ROUND($FV$3,0)),0),MATCH("DEFAULT_PCT_SALES",'Margin Guidence Table'!$A$1:$AG$1,0))),0))</f>
        <v>0</v>
      </c>
      <c r="FT24" s="297" t="e">
        <f t="shared" si="42"/>
        <v>#DIV/0!</v>
      </c>
      <c r="FU24" s="99" t="s">
        <v>97</v>
      </c>
      <c r="FV24" s="91">
        <f>IF('Customer Inputs'!$W$11="End",0,IFERROR(IF(AND($FV$2&lt;&gt;"Enter Spend&gt;&gt;&gt;",$FW$2="EXISTING"),SUMIFS('Existing Customers'!$Q:$Q,'Existing Customers'!$A:$A,$FV$1,'Existing Customers'!$H:$H,$FU24)*$FV$4,$FV$3*$FT24),0))</f>
        <v>0</v>
      </c>
      <c r="FW24" s="86">
        <f>IF('Customer Inputs'!$W$11="End",0,IFERROR(IF(AND($FV$2&lt;&gt;"Enter Spend&gt;&gt;&gt;",$FW$2="EXISTING"),SUMIFS('Existing Customers'!$N:$N,'Existing Customers'!$A:$A,$FV$1,'Existing Customers'!$H:$H,$FU24)*$FV$4,$FV24/$GG24),0))</f>
        <v>0</v>
      </c>
      <c r="FX24" s="92">
        <f>IF('Customer Inputs'!$W$11="End",0,IFERROR(IF(AND($FV$2&lt;&gt;"Enter Spend&gt;&gt;&gt;",$FW$2="EXISTING"),SUMIFS('Existing Customers'!$O:$O,'Existing Customers'!$H:$H,$FU24,'Existing Customers'!$A:$A,$FV$1)*$FV$4,$FW24*$FV$8),0))</f>
        <v>0</v>
      </c>
      <c r="FY24" s="92">
        <f>IF('Customer Inputs'!$W$11="End",0,IFERROR(IF(AND($FV$2&lt;&gt;"Enter Spend&gt;&gt;&gt;",$FW$2="EXISTING"),SUMIFS('Existing Customers'!$P:$P,'Existing Customers'!$A:$A,$FV$1,'Existing Customers'!$H:$H,$FU24)*$FV$4,$FV24/$GH24),0))</f>
        <v>0</v>
      </c>
      <c r="FZ24" s="93">
        <f>IF('Customer Inputs'!$W$11="End",0,IFERROR(IF(AND($FV$2&lt;&gt;"Enter Spend&gt;&gt;&gt;",$FW$2="EXISTING"),SUMIFS('Existing Customers'!$V:$V,'Existing Customers'!$H:$H,$FU24,'Existing Customers'!$A:$A,$FV$1)*$FV$4,0),0))</f>
        <v>0</v>
      </c>
      <c r="GA24" s="93">
        <f>IF('Customer Inputs'!$W$11="End",0,IFERROR(IF(AND($FV$2&lt;&gt;"Enter Spend&gt;&gt;&gt;",$FW$2="EXISTING"),SUMIFS('Existing Customers'!$R:$R,'Existing Customers'!$H:$H,$FU24,'Existing Customers'!$A:$A,$FV$1)*$FV$4,0),0))</f>
        <v>0</v>
      </c>
      <c r="GB24" s="780">
        <f>IF('Customer Inputs'!$W$11="End",0,IFERROR(IF(AND($FV$2&lt;&gt;"Enter Spend&gt;&gt;&gt;",$FW$2="EXISTING"),SUMIFS('Existing Customers'!$S:$S,'Existing Customers'!$H:$H,$FU24,'Existing Customers'!$A:$A,$FV$1)/SUMIFS('Existing Customers'!$Q:$Q,'Existing Customers'!$A:$A,$FV$1,'Existing Customers'!$H:$H,$FU24),GL24),0))</f>
        <v>0</v>
      </c>
      <c r="GC24" s="780">
        <f>IF('Customer Inputs'!$W$11="End",0,IFERROR(IF(AND($FV$2&lt;&gt;"Enter Spend&gt;&gt;&gt;",$FW$2="EXISTING"),SUMIFS('Existing Customers'!$U:$U,'Existing Customers'!$H:$H,$FU24,'Existing Customers'!$A:$A,$FV$1)/SUMIFS('Existing Customers'!$Q:$Q,'Existing Customers'!$A:$A,$FV$1,'Existing Customers'!$H:$H,$FU24),GM24),0))</f>
        <v>0</v>
      </c>
      <c r="GD24" s="783" t="e">
        <f>_xlfn.CONCAT('Customer Inputs'!$AH$11,"_",FU24)</f>
        <v>#N/A</v>
      </c>
      <c r="GE24" s="783">
        <f t="array" ref="GE24">IF('Customer Inputs'!$W$11="End",0,IFERROR(INDEX('Margin Guidence Table'!$A$1:$AG$10000,MATCH(1,('Margin Guidence Table'!$A$1:$A$10000=GD24)*('Margin Guidence Table'!$I$1:$I$10000&lt;=ROUND($FV$3,0))*('Margin Guidence Table'!$J$1:$J$10000&gt;=ROUND($FV$3,0)),0),MATCH("DATA_POINTS",'Margin Guidence Table'!$A$1:$AG$1,0)),0))</f>
        <v>0</v>
      </c>
      <c r="GF24" s="780" t="str">
        <f t="shared" si="43"/>
        <v>DEFAULT</v>
      </c>
      <c r="GG24" s="780">
        <f t="array" ref="GG24">IF('Customer Inputs'!$W$11="End",0,IFERROR(IF($GF24="SEGMENT",INDEX('Margin Guidence Table'!$A$1:$AG$10000,MATCH(1,('Margin Guidence Table'!$A$1:$A$10000=GD24)*('Margin Guidence Table'!$I$1:$I$10000&lt;=ROUND($FV$3,0))*('Margin Guidence Table'!$J$1:$J$10000&gt;=ROUND($FV$3,0)),0),MATCH("SALES_CASE",'Margin Guidence Table'!$A$1:$AG$1,0)),INDEX('Margin Guidence Table'!$A$1:$AG$10000,MATCH(1,('Margin Guidence Table'!$A$1:$A$10000=GD24)*('Margin Guidence Table'!$I$1:$I$10000&lt;=ROUND($FV$3,0))*('Margin Guidence Table'!$J$1:$J$10000&gt;=ROUND($FV$3,0)),0),MATCH("DEFAULT_SALES_CASE",'Margin Guidence Table'!$A$1:$AG$1,0))),0))</f>
        <v>0</v>
      </c>
      <c r="GH24" s="780">
        <f t="array" ref="GH24">IF('Customer Inputs'!$W$11="End",0,IFERROR(IF($GF24="SEGMENT",INDEX('Margin Guidence Table'!$A$1:$AG$10000,MATCH(1,('Margin Guidence Table'!$A$1:$A$10000=GD24)*('Margin Guidence Table'!$I$1:$I$10000&lt;=ROUND($FV$3,0))*('Margin Guidence Table'!$J$1:$J$10000&gt;=ROUND($FV$3,0)),0),MATCH("SALES_LBS",'Margin Guidence Table'!$A$1:$AG$1,0)),INDEX('Margin Guidence Table'!$A$1:$AG$10000,MATCH(1,('Margin Guidence Table'!$A$1:$A$10000=GD24)*('Margin Guidence Table'!$I$1:$I$10000&lt;=ROUND($FV$3,0))*('Margin Guidence Table'!$J$1:$J$10000&gt;=ROUND($FV$3,0)),0),MATCH("DEFAULT_SALES_LBS",'Margin Guidence Table'!$A$1:$AG$1,0))),0))</f>
        <v>0</v>
      </c>
      <c r="GI24" s="784">
        <f t="array" ref="GI24">IF('Customer Inputs'!$W$11="End",0,IFERROR(IF($GF24="SEGMENT",INDEX('Margin Guidence Table'!$A$1:$AG$10000,MATCH(1,('Margin Guidence Table'!$A$1:$A$10000=GD24)*('Margin Guidence Table'!$I$1:$I$10000&lt;=ROUND($FV$3,0))*('Margin Guidence Table'!$J$1:$J$10000&gt;=ROUND($FV$3,0)),0),MATCH("MDA_MIN_MARGIN_GUIDENCE",'Margin Guidence Table'!$A$1:$AG$1,0)),INDEX('Margin Guidence Table'!$A$1:$AG$10000,MATCH(1,('Margin Guidence Table'!$A$1:$A$10000=GD24)*('Margin Guidence Table'!$I$1:$I$10000&lt;=ROUND($FV$3,0))*('Margin Guidence Table'!$J$1:$J$10000&gt;=ROUND($FV$3,0)),0),MATCH("DEFAULT_MDA_MIN_MARGIN_GUIDENCE",'Margin Guidence Table'!$A$1:$AG$1,0))),0))</f>
        <v>0</v>
      </c>
      <c r="GJ24" s="784">
        <f t="array" ref="GJ24">IF('Customer Inputs'!$W$11="End",0,IFERROR(IF($GF24="SEGMENT",INDEX('Margin Guidence Table'!$A$1:$AG$10000,MATCH(1,('Margin Guidence Table'!$A$1:$A$10000=GD24)*('Margin Guidence Table'!$I$1:$I$10000&lt;=ROUND($FV$3,0))*('Margin Guidence Table'!$J$1:$J$10000&gt;=ROUND($FV$3,0)),0),MATCH("MDA_MEDIAN_MARGIN_GUIDENCE",'Margin Guidence Table'!$A$1:$AG$1,0)),INDEX('Margin Guidence Table'!$A$1:$AG$10000,MATCH(1,('Margin Guidence Table'!$A$1:$A$10000=GD24)*('Margin Guidence Table'!$I$1:$I$10000&lt;=ROUND($FV$3,0))*('Margin Guidence Table'!$J$1:$J$10000&gt;=ROUND($FV$3,0)),0),MATCH("DEFAULT_MDA_MEDIAN_MARGIN_GUIDENCE",'Margin Guidence Table'!$A$1:$AG$1,0))),0))</f>
        <v>0</v>
      </c>
      <c r="GK24" s="784">
        <f t="array" ref="GK24">IF('Customer Inputs'!$W$11="End",0,IFERROR(IF($GF24="SEGMENT",INDEX('Margin Guidence Table'!$A$1:$AG$10000,MATCH(1,('Margin Guidence Table'!$A$1:$A$10000=GD24)*('Margin Guidence Table'!$I$1:$I$10000&lt;=ROUND($FV$3,0))*('Margin Guidence Table'!$J$1:$J$10000&gt;=ROUND($FV$3,0)),0),MATCH("MDA_MAX_MARGIN_GUIDENCE",'Margin Guidence Table'!$A$1:$AG$1,0)),INDEX('Margin Guidence Table'!$A$1:$AG$10000,MATCH(1,('Margin Guidence Table'!$A$1:$A$10000=GD24)*('Margin Guidence Table'!$I$1:$I$10000&lt;=ROUND($FV$3,0))*('Margin Guidence Table'!$J$1:$J$10000&gt;=ROUND($FV$3,0)),0),MATCH("DEFAULT_MDA_MAX_MARGIN_GUIDENCE",'Margin Guidence Table'!$A$1:$AG$1,0))),0))</f>
        <v>0</v>
      </c>
      <c r="GL24" s="784">
        <f t="array" ref="GL24">IF('Customer Inputs'!$W$11="End",0,IFERROR(IF($GF24="SEGMENT",INDEX('Margin Guidence Table'!$A$1:$AG$10000,MATCH(1,('Margin Guidence Table'!$A$1:$A$10000=GD24)*('Margin Guidence Table'!$I$1:$I$10000&lt;=ROUND($FV$3,0))*('Margin Guidence Table'!$J$1:$J$10000&gt;=ROUND($FV$3,0)),0),MATCH("PA_PCT_SALES",'Margin Guidence Table'!$A$1:$AG$1,0)),INDEX('Margin Guidence Table'!$A$1:$AG$10000,MATCH(1,('Margin Guidence Table'!$A$1:$A$10000=GD24)*('Margin Guidence Table'!$I$1:$I$10000&lt;=ROUND($FV$3,0))*('Margin Guidence Table'!$J$1:$J$10000&gt;=ROUND($FV$3,0)),0),MATCH("DEFAULT_PA_PCT_SALES",'Margin Guidence Table'!$A$1:$AG$1,0))),0))</f>
        <v>0</v>
      </c>
      <c r="GM24" s="784">
        <f t="array" ref="GM24">IF('Customer Inputs'!$W$11="End",0,IFERROR(IF($GF24="SEGMENT",INDEX('Margin Guidence Table'!$A$1:$AG$10000,MATCH(1,('Margin Guidence Table'!$A$1:$A$10000=GD24)*('Margin Guidence Table'!$I$1:$I$10000&lt;=ROUND($FV$3,0))*('Margin Guidence Table'!$J$1:$J$10000&gt;=ROUND($FV$3,0)),0),MATCH("SELF_FUND_PCT_SALES",'Margin Guidence Table'!$A$1:$AG$1,0)),INDEX('Margin Guidence Table'!$A$1:$AG$10000,MATCH(1,('Margin Guidence Table'!$A$1:$A$10000=GD24)*('Margin Guidence Table'!$I$1:$I$10000&lt;=ROUND($FV$3,0))*('Margin Guidence Table'!$J$1:$J$10000&gt;=ROUND($FV$3,0)),0),MATCH("DEFAULT_SELF_FUND_PCT_SALES",'Margin Guidence Table'!$A$1:$AG$1,0))),0))</f>
        <v>0</v>
      </c>
      <c r="GN24" s="784">
        <f t="array" ref="GN24">IF('Customer Inputs'!$W$11="End",0,IF($FW$2="Existing",IFERROR(SUMIFS('Existing Customers'!$V:$V,'Existing Customers'!$H:$H,$FU24,'Existing Customers'!$A:$A,$FV$1)/SUMIFS('Existing Customers'!$Q:$Q,'Existing Customers'!$H:$H,$FU24,'Existing Customers'!$A:$A,$FV$1),0),IFERROR(IF($GF24="SEGMENT",INDEX('Margin Guidence Table'!$A$1:$AG$10000,MATCH(1,('Margin Guidence Table'!$A$1:$A$10000=GD24)*('Margin Guidence Table'!$I$1:$I$10000&lt;=ROUND($FV$3,0))*('Margin Guidence Table'!$J$1:$J$10000&gt;=ROUND($FV$3,0)),0),MATCH("CIA_MEDIAN_MARGIN_GUIDENCE",'Margin Guidence Table'!$A$1:$AG$1,0)),INDEX('Margin Guidence Table'!$A$1:$AG$10000,MATCH(1,('Margin Guidence Table'!$A$1:$A$10000=GD24)*('Margin Guidence Table'!$I$1:$I$10000&lt;=ROUND($FV$3,0))*('Margin Guidence Table'!$J$1:$J$10000&gt;=ROUND($FV$3,0)),0),MATCH("DEFAULT_CIA_MEDIAN_MARGIN_GUIDENCE",'Margin Guidence Table'!$A$1:$AG$1,0))),0)))</f>
        <v>0</v>
      </c>
      <c r="GO24" s="126"/>
      <c r="GP24" s="18">
        <f t="array" ref="GP24">IF('Customer Inputs'!$W$12="End",0,IFERROR(IF($HC24="SEGMENT",INDEX('Margin Guidence Table'!$A$1:$AG$10000,MATCH(1,('Margin Guidence Table'!$A$1:$A$10000=$HA24)*('Margin Guidence Table'!$I$1:$I$10000&lt;=ROUND($GS$3,0))*('Margin Guidence Table'!$J$1:$J$10000&gt;=ROUND($GS$3,0)),0),MATCH("PCT_SALES",'Margin Guidence Table'!$A$1:$AG$1,0)),INDEX('Margin Guidence Table'!$A$1:$AG$10000,MATCH(1,('Margin Guidence Table'!$A$1:$A$10000=$HA24)*('Margin Guidence Table'!$I$1:$I$10000&lt;=ROUND($GS$3,0))*('Margin Guidence Table'!$J$1:$J$10000&gt;=ROUND($GS$3,0)),0),MATCH("DEFAULT_PCT_SALES",'Margin Guidence Table'!$A$1:$AG$1,0))),0))</f>
        <v>0</v>
      </c>
      <c r="GQ24" s="297" t="e">
        <f t="shared" si="44"/>
        <v>#DIV/0!</v>
      </c>
      <c r="GR24" s="99" t="s">
        <v>97</v>
      </c>
      <c r="GS24" s="91">
        <f>IF('Customer Inputs'!$W$12="End",0,IFERROR(IF(AND($GS$2&lt;&gt;"Enter Spend&gt;&gt;&gt;",$GT$2="EXISTING"),SUMIFS('Existing Customers'!$Q:$Q,'Existing Customers'!$A:$A,$GS$1,'Existing Customers'!$H:$H,$GR24)*$GS$4,$GS$3*$GQ24),0))</f>
        <v>0</v>
      </c>
      <c r="GT24" s="86">
        <f>IF('Customer Inputs'!$W$12="End",0,IFERROR(IF(AND($GS$2&lt;&gt;"Enter Spend&gt;&gt;&gt;",$GT$2="EXISTING"),SUMIFS('Existing Customers'!$N:$N,'Existing Customers'!$A:$A,$GS$1,'Existing Customers'!$H:$H,$GR24)*$GS$4,$GS24/$HD24),0))</f>
        <v>0</v>
      </c>
      <c r="GU24" s="92">
        <f>IF('Customer Inputs'!$W$12="End",0,IFERROR(IF(AND($GS$2&lt;&gt;"Enter Spend&gt;&gt;&gt;",$GT$2="EXISTING"),SUMIFS('Existing Customers'!$O:$O,'Existing Customers'!$H:$H,$GR24,'Existing Customers'!$A:$A,$GS$1)*$GS$4,$GT24*$GS$8),0))</f>
        <v>0</v>
      </c>
      <c r="GV24" s="92">
        <f>IF('Customer Inputs'!$W$12="End",0,IFERROR(IF(AND($GS$2&lt;&gt;"Enter Spend&gt;&gt;&gt;",$GT$2="EXISTING"),SUMIFS('Existing Customers'!$P:$P,'Existing Customers'!$A:$A,$GS$1,'Existing Customers'!$H:$H,$GR24)*$GS$4,$GS24/$HE24),0))</f>
        <v>0</v>
      </c>
      <c r="GW24" s="93">
        <f>IF('Customer Inputs'!$W$12="End",0,IFERROR(IF(AND($GS$2&lt;&gt;"Enter Spend&gt;&gt;&gt;",$GT$2="EXISTING"),SUMIFS('Existing Customers'!$V:$V,'Existing Customers'!$H:$H,$GR24,'Existing Customers'!$A:$A,$GS$1)*$GS$4,0),0))</f>
        <v>0</v>
      </c>
      <c r="GX24" s="93">
        <f>IF('Customer Inputs'!$W$12="End",0,IFERROR(IF(AND($GS$2&lt;&gt;"Enter Spend&gt;&gt;&gt;",$GT$2="EXISTING"),SUMIFS('Existing Customers'!$R:$R,'Existing Customers'!$H:$H,$GR24,'Existing Customers'!$A:$A,$GS$1)*$GS$4,0),0))</f>
        <v>0</v>
      </c>
      <c r="GY24" s="780">
        <f>IF('Customer Inputs'!$W$12="End",0,IFERROR(IF(AND($GS$2&lt;&gt;"Enter Spend&gt;&gt;&gt;",$GT$2="EXISTING"),SUMIFS('Existing Customers'!$S:$S,'Existing Customers'!$H:$H,$GR24,'Existing Customers'!$A:$A,$GS$1)/SUMIFS('Existing Customers'!$Q:$Q,'Existing Customers'!$A:$A,$GS$1,'Existing Customers'!$H:$H,$GR24),HI24),0))</f>
        <v>0</v>
      </c>
      <c r="GZ24" s="780">
        <f>IF('Customer Inputs'!$W$12="End",0,IFERROR(IF(AND($GS$2&lt;&gt;"Enter Spend&gt;&gt;&gt;",$GT$2="EXISTING"),SUMIFS('Existing Customers'!$U:$U,'Existing Customers'!$H:$H,$GR24,'Existing Customers'!$A:$A,$GS$1)/SUMIFS('Existing Customers'!$Q:$Q,'Existing Customers'!$A:$A,$GS$1,'Existing Customers'!$H:$H,$GR24),HJ24),0))</f>
        <v>0</v>
      </c>
      <c r="HA24" s="783" t="e">
        <f>_xlfn.CONCAT('Customer Inputs'!$AH$12,"_",GR24)</f>
        <v>#N/A</v>
      </c>
      <c r="HB24" s="783">
        <f t="array" ref="HB24">IF('Customer Inputs'!$W$12="End",0,IFERROR(INDEX('Margin Guidence Table'!$A$1:$AG$10000,MATCH(1,('Margin Guidence Table'!$A$1:$A$10000=HA24)*('Margin Guidence Table'!$I$1:$I$10000&lt;=ROUND($GS$3,0))*('Margin Guidence Table'!$J$1:$J$10000&gt;=ROUND($GS$3,0)),0),MATCH("DATA_POINTS",'Margin Guidence Table'!$A$1:$AG$1,0)),0))</f>
        <v>0</v>
      </c>
      <c r="HC24" s="780" t="str">
        <f t="shared" si="45"/>
        <v>DEFAULT</v>
      </c>
      <c r="HD24" s="780">
        <f t="array" ref="HD24">IF('Customer Inputs'!$W$12="End",0,IFERROR(IF($HC24="SEGMENT",INDEX('Margin Guidence Table'!$A$1:$AG$10000,MATCH(1,('Margin Guidence Table'!$A$1:$A$10000=HA24)*('Margin Guidence Table'!$I$1:$I$10000&lt;=ROUND($GS$3,0))*('Margin Guidence Table'!$J$1:$J$10000&gt;=ROUND($GS$3,0)),0),MATCH("SALES_CASE",'Margin Guidence Table'!$A$1:$AG$1,0)),INDEX('Margin Guidence Table'!$A$1:$AG$10000,MATCH(1,('Margin Guidence Table'!$A$1:$A$10000=HA24)*('Margin Guidence Table'!$I$1:$I$10000&lt;=ROUND($GS$3,0))*('Margin Guidence Table'!$J$1:$J$10000&gt;=ROUND($GS$3,0)),0),MATCH("DEFAULT_SALES_CASE",'Margin Guidence Table'!$A$1:$AG$1,0))),0))</f>
        <v>0</v>
      </c>
      <c r="HE24" s="780">
        <f t="array" ref="HE24">IF('Customer Inputs'!$W$12="End",0,IFERROR(IF($HC24="SEGMENT",INDEX('Margin Guidence Table'!$A$1:$AG$10000,MATCH(1,('Margin Guidence Table'!$A$1:$A$10000=HA24)*('Margin Guidence Table'!$I$1:$I$10000&lt;=ROUND($GS$3,0))*('Margin Guidence Table'!$J$1:$J$10000&gt;=ROUND($GS$3,0)),0),MATCH("SALES_LBS",'Margin Guidence Table'!$A$1:$AG$1,0)),INDEX('Margin Guidence Table'!$A$1:$AG$10000,MATCH(1,('Margin Guidence Table'!$A$1:$A$10000=HA24)*('Margin Guidence Table'!$I$1:$I$10000&lt;=ROUND($GS$3,0))*('Margin Guidence Table'!$J$1:$J$10000&gt;=ROUND($GS$3,0)),0),MATCH("DEFAULT_SALES_LBS",'Margin Guidence Table'!$A$1:$AG$1,0))),0))</f>
        <v>0</v>
      </c>
      <c r="HF24" s="784">
        <f t="array" ref="HF24">IF('Customer Inputs'!$W$12="End",0,IFERROR(IF($HC24="SEGMENT",INDEX('Margin Guidence Table'!$A$1:$AG$10000,MATCH(1,('Margin Guidence Table'!$A$1:$A$10000=HA24)*('Margin Guidence Table'!$I$1:$I$10000&lt;=ROUND($GS$3,0))*('Margin Guidence Table'!$J$1:$J$10000&gt;=ROUND($GS$3,0)),0),MATCH("MDA_MIN_MARGIN_GUIDENCE",'Margin Guidence Table'!$A$1:$AG$1,0)),INDEX('Margin Guidence Table'!$A$1:$AG$10000,MATCH(1,('Margin Guidence Table'!$A$1:$A$10000=HA24)*('Margin Guidence Table'!$I$1:$I$10000&lt;=ROUND($GS$3,0))*('Margin Guidence Table'!$J$1:$J$10000&gt;=ROUND($GS$3,0)),0),MATCH("DEFAULT_MDA_MIN_MARGIN_GUIDENCE",'Margin Guidence Table'!$A$1:$AG$1,0))),0))</f>
        <v>0</v>
      </c>
      <c r="HG24" s="784">
        <f t="array" ref="HG24">IF('Customer Inputs'!$W$12="End",0,IFERROR(IF($HC24="SEGMENT",INDEX('Margin Guidence Table'!$A$1:$AG$10000,MATCH(1,('Margin Guidence Table'!$A$1:$A$10000=HA24)*('Margin Guidence Table'!$I$1:$I$10000&lt;=ROUND($GS$3,0))*('Margin Guidence Table'!$J$1:$J$10000&gt;=ROUND($GS$3,0)),0),MATCH("MDA_MEDIAN_MARGIN_GUIDENCE",'Margin Guidence Table'!$A$1:$AG$1,0)),INDEX('Margin Guidence Table'!$A$1:$AG$10000,MATCH(1,('Margin Guidence Table'!$A$1:$A$10000=HA24)*('Margin Guidence Table'!$I$1:$I$10000&lt;=ROUND($GS$3,0))*('Margin Guidence Table'!$J$1:$J$10000&gt;=ROUND($GS$3,0)),0),MATCH("DEFAULT_MDA_MEDIAN_MARGIN_GUIDENCE",'Margin Guidence Table'!$A$1:$AG$1,0))),0))</f>
        <v>0</v>
      </c>
      <c r="HH24" s="784">
        <f t="array" ref="HH24">IF('Customer Inputs'!$W$12="End",0,IFERROR(IF($HC24="SEGMENT",INDEX('Margin Guidence Table'!$A$1:$AG$10000,MATCH(1,('Margin Guidence Table'!$A$1:$A$10000=HA24)*('Margin Guidence Table'!$I$1:$I$10000&lt;=ROUND($GS$3,0))*('Margin Guidence Table'!$J$1:$J$10000&gt;=ROUND($GS$3,0)),0),MATCH("MDA_MAX_MARGIN_GUIDENCE",'Margin Guidence Table'!$A$1:$AG$1,0)),INDEX('Margin Guidence Table'!$A$1:$AG$10000,MATCH(1,('Margin Guidence Table'!$A$1:$A$10000=HA24)*('Margin Guidence Table'!$I$1:$I$10000&lt;=ROUND($GS$3,0))*('Margin Guidence Table'!$J$1:$J$10000&gt;=ROUND($GS$3,0)),0),MATCH("DEFAULT_MDA_MAX_MARGIN_GUIDENCE",'Margin Guidence Table'!$A$1:$AG$1,0))),0))</f>
        <v>0</v>
      </c>
      <c r="HI24" s="784">
        <f t="array" ref="HI24">IF('Customer Inputs'!$W$12="End",0,IFERROR(IF($HC24="SEGMENT",INDEX('Margin Guidence Table'!$A$1:$AG$10000,MATCH(1,('Margin Guidence Table'!$A$1:$A$10000=HA24)*('Margin Guidence Table'!$I$1:$I$10000&lt;=ROUND($GS$3,0))*('Margin Guidence Table'!$J$1:$J$10000&gt;=ROUND($GS$3,0)),0),MATCH("PA_PCT_SALES",'Margin Guidence Table'!$A$1:$AG$1,0)),INDEX('Margin Guidence Table'!$A$1:$AG$10000,MATCH(1,('Margin Guidence Table'!$A$1:$A$10000=HA24)*('Margin Guidence Table'!$I$1:$I$10000&lt;=ROUND($GS$3,0))*('Margin Guidence Table'!$J$1:$J$10000&gt;=ROUND($GS$3,0)),0),MATCH("DEFAULT_PA_PCT_SALES",'Margin Guidence Table'!$A$1:$AG$1,0))),0))</f>
        <v>0</v>
      </c>
      <c r="HJ24" s="784">
        <f t="array" ref="HJ24">IF('Customer Inputs'!$W$12="End",0,IFERROR(IF($HC24="SEGMENT",INDEX('Margin Guidence Table'!$A$1:$AG$10000,MATCH(1,('Margin Guidence Table'!$A$1:$A$10000=HA24)*('Margin Guidence Table'!$I$1:$I$10000&lt;=ROUND($GS$3,0))*('Margin Guidence Table'!$J$1:$J$10000&gt;=ROUND($GS$3,0)),0),MATCH("SELF_FUND_PCT_SALES",'Margin Guidence Table'!$A$1:$AG$1,0)),INDEX('Margin Guidence Table'!$A$1:$AG$10000,MATCH(1,('Margin Guidence Table'!$A$1:$A$10000=HA24)*('Margin Guidence Table'!$I$1:$I$10000&lt;=ROUND($GS$3,0))*('Margin Guidence Table'!$J$1:$J$10000&gt;=ROUND($GS$3,0)),0),MATCH("DEFAULT_SELF_FUND_PCT_SALES",'Margin Guidence Table'!$A$1:$AG$1,0))),0))</f>
        <v>0</v>
      </c>
      <c r="HK24" s="784">
        <f t="array" ref="HK24">IF('Customer Inputs'!$W$12="End",0,IF($GT$2="Existing",IFERROR(SUMIFS('Existing Customers'!$V:$V,'Existing Customers'!$H:$H,$GR24,'Existing Customers'!$A:$A,$GS$1)/SUMIFS('Existing Customers'!$Q:$Q,'Existing Customers'!$H:$H,$GR24,'Existing Customers'!$A:$A,$GS$1),0),IFERROR(IF($HC24="SEGMENT",INDEX('Margin Guidence Table'!$A$1:$AG$10000,MATCH(1,('Margin Guidence Table'!$A$1:$A$10000=HA24)*('Margin Guidence Table'!$I$1:$I$10000&lt;=ROUND($GS$3,0))*('Margin Guidence Table'!$J$1:$J$10000&gt;=ROUND($GS$3,0)),0),MATCH("CIA_MEDIAN_MARGIN_GUIDENCE",'Margin Guidence Table'!$A$1:$AG$1,0)),INDEX('Margin Guidence Table'!$A$1:$AG$10000,MATCH(1,('Margin Guidence Table'!$A$1:$A$10000=HA24)*('Margin Guidence Table'!$I$1:$I$10000&lt;=ROUND($GS$3,0))*('Margin Guidence Table'!$J$1:$J$10000&gt;=ROUND($GS$3,0)),0),MATCH("DEFAULT_CIA_MEDIAN_MARGIN_GUIDENCE",'Margin Guidence Table'!$A$1:$AG$1,0))),0)))</f>
        <v>0</v>
      </c>
      <c r="HL24" s="126"/>
      <c r="HM24" s="18">
        <f t="array" ref="HM24">IF('Customer Inputs'!$W$13="End",0,IFERROR(IF($HZ24="SEGMENT",INDEX('Margin Guidence Table'!$A$1:$AG$10000,MATCH(1,('Margin Guidence Table'!$A$1:$A$10000=$HX24)*('Margin Guidence Table'!$I$1:$I$10000&lt;=ROUND($HP$3,0))*('Margin Guidence Table'!$J$1:$J$10000&gt;=ROUND($HP$3,0)),0),MATCH("PCT_SALES",'Margin Guidence Table'!$A$1:$AG$1,0)),INDEX('Margin Guidence Table'!$A$1:$AG$10000,MATCH(1,('Margin Guidence Table'!$A$1:$A$10000=$HX24)*('Margin Guidence Table'!$I$1:$I$10000&lt;=ROUND($HP$3,0))*('Margin Guidence Table'!$J$1:$J$10000&gt;=ROUND($HP$3,0)),0),MATCH("DEFAULT_PCT_SALES",'Margin Guidence Table'!$A$1:$AG$1,0))),0))</f>
        <v>0</v>
      </c>
      <c r="HN24" s="297" t="e">
        <f t="shared" si="46"/>
        <v>#DIV/0!</v>
      </c>
      <c r="HO24" s="99" t="s">
        <v>97</v>
      </c>
      <c r="HP24" s="91">
        <f>IF('Customer Inputs'!$W$13="End",0,IFERROR(IF(AND($HP$2&lt;&gt;"Enter Spend&gt;&gt;&gt;",$HQ$2="EXISTING"),SUMIFS('Existing Customers'!$Q:$Q,'Existing Customers'!$A:$A,$HP$1,'Existing Customers'!$H:$H,$HO24)*$HP$4,$HP$3*$HN24),0))</f>
        <v>0</v>
      </c>
      <c r="HQ24" s="86">
        <f>IF('Customer Inputs'!$W$13="End",0,IFERROR(IF(AND($HP$2&lt;&gt;"Enter Spend&gt;&gt;&gt;",$HQ$2="EXISTING"),SUMIFS('Existing Customers'!$N:$N,'Existing Customers'!$A:$A,$HP$1,'Existing Customers'!$H:$H,$HO24)*$HP$4,$HP24/$IA24),0))</f>
        <v>0</v>
      </c>
      <c r="HR24" s="92">
        <f>IF('Customer Inputs'!$W$13="End",0,IFERROR(IF(AND($HP$2&lt;&gt;"Enter Spend&gt;&gt;&gt;",$HQ$2="EXISTING"),SUMIFS('Existing Customers'!$O:$O,'Existing Customers'!$H:$H,$HO24,'Existing Customers'!$A:$A,$HP$1)*$HP$4,$HQ24*$HP$8),0))</f>
        <v>0</v>
      </c>
      <c r="HS24" s="92">
        <f>IF('Customer Inputs'!$W$13="End",0,IFERROR(IF(AND($HP$2&lt;&gt;"Enter Spend&gt;&gt;&gt;",$HQ$2="EXISTING"),SUMIFS('Existing Customers'!$P:$P,'Existing Customers'!$A:$A,$HP$1,'Existing Customers'!$H:$H,$HO24)*$HP$4,$HP24/$IB24),0))</f>
        <v>0</v>
      </c>
      <c r="HT24" s="93">
        <f>IF('Customer Inputs'!$W$13="End",0,IFERROR(IF(AND($HP$2&lt;&gt;"Enter Spend&gt;&gt;&gt;",$HQ$2="EXISTING"),SUMIFS('Existing Customers'!$V:$V,'Existing Customers'!$H:$H,$HO24,'Existing Customers'!$A:$A,$HP$1)*$HP$4,0),0))</f>
        <v>0</v>
      </c>
      <c r="HU24" s="93">
        <f>IF('Customer Inputs'!$W$13="End",0,IFERROR(IF(AND($HP$2&lt;&gt;"Enter Spend&gt;&gt;&gt;",$HQ$2="EXISTING"),SUMIFS('Existing Customers'!$R:$R,'Existing Customers'!$H:$H,$HO24,'Existing Customers'!$A:$A,$HP$1)*$HP$4,0),0))</f>
        <v>0</v>
      </c>
      <c r="HV24" s="780">
        <f>IF('Customer Inputs'!$W$13="End",0,IFERROR(IF(AND($HP$2&lt;&gt;"Enter Spend&gt;&gt;&gt;",$HQ$2="EXISTING"),SUMIFS('Existing Customers'!$S:$S,'Existing Customers'!$H:$H,$HO24,'Existing Customers'!$A:$A,$HP$1)/SUMIFS('Existing Customers'!$Q:$Q,'Existing Customers'!$A:$A,$HP$1,'Existing Customers'!$H:$H,$HO24),IF24),0))</f>
        <v>0</v>
      </c>
      <c r="HW24" s="780">
        <f>IF('Customer Inputs'!$W$13="End",0,IFERROR(IF(AND($HP$2&lt;&gt;"Enter Spend&gt;&gt;&gt;",$HQ$2="EXISTING"),SUMIFS('Existing Customers'!$U:$U,'Existing Customers'!$H:$H,$HO24,'Existing Customers'!$A:$A,$HP$1)/SUMIFS('Existing Customers'!$Q:$Q,'Existing Customers'!$A:$A,$HP$1,'Existing Customers'!$H:$H,$HO24),IG24),0))</f>
        <v>0</v>
      </c>
      <c r="HX24" s="783" t="e">
        <f>_xlfn.CONCAT('Customer Inputs'!$AH$13,"_",HO24)</f>
        <v>#N/A</v>
      </c>
      <c r="HY24" s="783">
        <f t="array" ref="HY24">IF('Customer Inputs'!$W$13="End",0,IFERROR(INDEX('Margin Guidence Table'!$A$1:$AG$10000,MATCH(1,('Margin Guidence Table'!$A$1:$A$10000=HX24)*('Margin Guidence Table'!$I$1:$I$10000&lt;=ROUND($HP$3,0))*('Margin Guidence Table'!$J$1:$J$10000&gt;=ROUND($HP$3,0)),0),MATCH("DATA_POINTS",'Margin Guidence Table'!$A$1:$AG$1,0)),0))</f>
        <v>0</v>
      </c>
      <c r="HZ24" s="780" t="str">
        <f t="shared" si="47"/>
        <v>DEFAULT</v>
      </c>
      <c r="IA24" s="780">
        <f t="array" ref="IA24">IF('Customer Inputs'!$W$13="End",0,IFERROR(IF($HZ24="SEGMENT",INDEX('Margin Guidence Table'!$A$1:$AG$10000,MATCH(1,('Margin Guidence Table'!$A$1:$A$10000=HX24)*('Margin Guidence Table'!$I$1:$I$10000&lt;=ROUND($HP$3,0))*('Margin Guidence Table'!$J$1:$J$10000&gt;=ROUND($HP$3,0)),0),MATCH("SALES_CASE",'Margin Guidence Table'!$A$1:$AG$1,0)),INDEX('Margin Guidence Table'!$A$1:$AG$10000,MATCH(1,('Margin Guidence Table'!$A$1:$A$10000=HX24)*('Margin Guidence Table'!$I$1:$I$10000&lt;=ROUND($HP$3,0))*('Margin Guidence Table'!$J$1:$J$10000&gt;=ROUND($HP$3,0)),0),MATCH("DEFAULT_SALES_CASE",'Margin Guidence Table'!$A$1:$AG$1,0))),0))</f>
        <v>0</v>
      </c>
      <c r="IB24" s="780">
        <f t="array" ref="IB24">IF('Customer Inputs'!$W$13="End",0,IFERROR(IF($HZ24="SEGMENT",INDEX('Margin Guidence Table'!$A$1:$AG$10000,MATCH(1,('Margin Guidence Table'!$A$1:$A$10000=HX24)*('Margin Guidence Table'!$I$1:$I$10000&lt;=ROUND($HP$3,0))*('Margin Guidence Table'!$J$1:$J$10000&gt;=ROUND($HP$3,0)),0),MATCH("SALES_LBS",'Margin Guidence Table'!$A$1:$AG$1,0)),INDEX('Margin Guidence Table'!$A$1:$AG$10000,MATCH(1,('Margin Guidence Table'!$A$1:$A$10000=HX24)*('Margin Guidence Table'!$I$1:$I$10000&lt;=ROUND($HP$3,0))*('Margin Guidence Table'!$J$1:$J$10000&gt;=ROUND($HP$3,0)),0),MATCH("DEFAULT_SALES_LBS",'Margin Guidence Table'!$A$1:$AG$1,0))),0))</f>
        <v>0</v>
      </c>
      <c r="IC24" s="784">
        <f t="array" ref="IC24">IF('Customer Inputs'!$W$13="End",0,IFERROR(IF($HZ24="SEGMENT",INDEX('Margin Guidence Table'!$A$1:$AG$10000,MATCH(1,('Margin Guidence Table'!$A$1:$A$10000=HX24)*('Margin Guidence Table'!$I$1:$I$10000&lt;=ROUND($HP$3,0))*('Margin Guidence Table'!$J$1:$J$10000&gt;=ROUND($HP$3,0)),0),MATCH("MDA_MIN_MARGIN_GUIDENCE",'Margin Guidence Table'!$A$1:$AG$1,0)),INDEX('Margin Guidence Table'!$A$1:$AG$10000,MATCH(1,('Margin Guidence Table'!$A$1:$A$10000=HX24)*('Margin Guidence Table'!$I$1:$I$10000&lt;=ROUND($HP$3,0))*('Margin Guidence Table'!$J$1:$J$10000&gt;=ROUND($HP$3,0)),0),MATCH("DEFAULT_MDA_MIN_MARGIN_GUIDENCE",'Margin Guidence Table'!$A$1:$AG$1,0))),0))</f>
        <v>0</v>
      </c>
      <c r="ID24" s="784">
        <f t="array" ref="ID24">IF('Customer Inputs'!$W$13="End",0,IFERROR(IF($HZ24="SEGMENT",INDEX('Margin Guidence Table'!$A$1:$AG$10000,MATCH(1,('Margin Guidence Table'!$A$1:$A$10000=HX24)*('Margin Guidence Table'!$I$1:$I$10000&lt;=ROUND($HP$3,0))*('Margin Guidence Table'!$J$1:$J$10000&gt;=ROUND($HP$3,0)),0),MATCH("MDA_MEDIAN_MARGIN_GUIDENCE",'Margin Guidence Table'!$A$1:$AG$1,0)),INDEX('Margin Guidence Table'!$A$1:$AG$10000,MATCH(1,('Margin Guidence Table'!$A$1:$A$10000=HX24)*('Margin Guidence Table'!$I$1:$I$10000&lt;=ROUND($HP$3,0))*('Margin Guidence Table'!$J$1:$J$10000&gt;=ROUND($HP$3,0)),0),MATCH("DEFAULT_MDA_MEDIAN_MARGIN_GUIDENCE",'Margin Guidence Table'!$A$1:$AG$1,0))),0))</f>
        <v>0</v>
      </c>
      <c r="IE24" s="784">
        <f t="array" ref="IE24">IF('Customer Inputs'!$W$13="End",0,IFERROR(IF($HZ24="SEGMENT",INDEX('Margin Guidence Table'!$A$1:$AG$10000,MATCH(1,('Margin Guidence Table'!$A$1:$A$10000=HX24)*('Margin Guidence Table'!$I$1:$I$10000&lt;=ROUND($HP$3,0))*('Margin Guidence Table'!$J$1:$J$10000&gt;=ROUND($HP$3,0)),0),MATCH("MDA_MAX_MARGIN_GUIDENCE",'Margin Guidence Table'!$A$1:$AG$1,0)),INDEX('Margin Guidence Table'!$A$1:$AG$10000,MATCH(1,('Margin Guidence Table'!$A$1:$A$10000=HX24)*('Margin Guidence Table'!$I$1:$I$10000&lt;=ROUND($HP$3,0))*('Margin Guidence Table'!$J$1:$J$10000&gt;=ROUND($HP$3,0)),0),MATCH("DEFAULT_MDA_MAX_MARGIN_GUIDENCE",'Margin Guidence Table'!$A$1:$AG$1,0))),0))</f>
        <v>0</v>
      </c>
      <c r="IF24" s="784">
        <f t="array" ref="IF24">IF('Customer Inputs'!$W$13="End",0,IFERROR(IF($HZ24="SEGMENT",INDEX('Margin Guidence Table'!$A$1:$AG$10000,MATCH(1,('Margin Guidence Table'!$A$1:$A$10000=HX24)*('Margin Guidence Table'!$I$1:$I$10000&lt;=ROUND($HP$3,0))*('Margin Guidence Table'!$J$1:$J$10000&gt;=ROUND($HP$3,0)),0),MATCH("PA_PCT_SALES",'Margin Guidence Table'!$A$1:$AG$1,0)),INDEX('Margin Guidence Table'!$A$1:$AG$10000,MATCH(1,('Margin Guidence Table'!$A$1:$A$10000=HX24)*('Margin Guidence Table'!$I$1:$I$10000&lt;=ROUND($HP$3,0))*('Margin Guidence Table'!$J$1:$J$10000&gt;=ROUND($HP$3,0)),0),MATCH("DEFAULT_PA_PCT_SALES",'Margin Guidence Table'!$A$1:$AG$1,0))),0))</f>
        <v>0</v>
      </c>
      <c r="IG24" s="784">
        <f t="array" ref="IG24">IF('Customer Inputs'!$W$13="End",0,IFERROR(IF($HZ24="SEGMENT",INDEX('Margin Guidence Table'!$A$1:$AG$10000,MATCH(1,('Margin Guidence Table'!$A$1:$A$10000=HX24)*('Margin Guidence Table'!$I$1:$I$10000&lt;=ROUND($HP$3,0))*('Margin Guidence Table'!$J$1:$J$10000&gt;=ROUND($HP$3,0)),0),MATCH("SELF_FUND_PCT_SALES",'Margin Guidence Table'!$A$1:$AG$1,0)),INDEX('Margin Guidence Table'!$A$1:$AG$10000,MATCH(1,('Margin Guidence Table'!$A$1:$A$10000=HX24)*('Margin Guidence Table'!$I$1:$I$10000&lt;=ROUND($HP$3,0))*('Margin Guidence Table'!$J$1:$J$10000&gt;=ROUND($HP$3,0)),0),MATCH("DEFAULT_SELF_FUND_PCT_SALES",'Margin Guidence Table'!$A$1:$AG$1,0))),0))</f>
        <v>0</v>
      </c>
      <c r="IH24" s="784">
        <f t="array" ref="IH24">IF('Customer Inputs'!$W$13="End",0,IF($HQ$2="Existing",IFERROR(SUMIFS('Existing Customers'!$V:$V,'Existing Customers'!$H:$H,$HO24,'Existing Customers'!$A:$A,$HP$1)/SUMIFS('Existing Customers'!$Q:$Q,'Existing Customers'!$H:$H,$HO24,'Existing Customers'!$A:$A,$HP$1),0),IFERROR(IF($HZ24="SEGMENT",INDEX('Margin Guidence Table'!$A$1:$AG$10000,MATCH(1,('Margin Guidence Table'!$A$1:$A$10000=HX24)*('Margin Guidence Table'!$I$1:$I$10000&lt;=ROUND($HP$3,0))*('Margin Guidence Table'!$J$1:$J$10000&gt;=ROUND($HP$3,0)),0),MATCH("CIA_MEDIAN_MARGIN_GUIDENCE",'Margin Guidence Table'!$A$1:$AG$1,0)),INDEX('Margin Guidence Table'!$A$1:$AG$10000,MATCH(1,('Margin Guidence Table'!$A$1:$A$10000=HX24)*('Margin Guidence Table'!$I$1:$I$10000&lt;=ROUND($HP$3,0))*('Margin Guidence Table'!$J$1:$J$10000&gt;=ROUND($HP$3,0)),0),MATCH("DEFAULT_CIA_MEDIAN_MARGIN_GUIDENCE",'Margin Guidence Table'!$A$1:$AG$1,0))),0)))</f>
        <v>0</v>
      </c>
      <c r="II24" s="126"/>
      <c r="IJ24" s="18">
        <f t="array" ref="IJ24">IF('Customer Inputs'!$W$14="End",0,IFERROR(IF($IW24="SEGMENT",INDEX('Margin Guidence Table'!$A:$AC,MATCH(1,('Margin Guidence Table'!$A:$A=$IU24)*('Margin Guidence Table'!$H:$H&lt;=ROUND($IM$3,0))*('Margin Guidence Table'!$G:$G&gt;=ROUND($IM$3,0)),0),MATCH("PCT_SALES",'Margin Guidence Table'!$A$1:$AG$1,0)),INDEX('Margin Guidence Table'!$A:$AC,MATCH(1,('Margin Guidence Table'!$A:$A=$IU24)*('Margin Guidence Table'!$H:$H&lt;=ROUND($IM$3,0))*('Margin Guidence Table'!$G:$G&gt;=ROUND($IM$3,0)),0),MATCH("DEFAULT_PCT_SALES",'Margin Guidence Table'!$A$1:$AG$1,0))),0))</f>
        <v>0</v>
      </c>
      <c r="IK24" s="297" t="e">
        <f t="shared" si="48"/>
        <v>#DIV/0!</v>
      </c>
      <c r="IL24" s="99" t="s">
        <v>97</v>
      </c>
      <c r="IM24" s="91">
        <f>IF('Customer Inputs'!$W$14="End",0,IFERROR(IF(AND($IM$2&lt;&gt;"Enter Spend&gt;&gt;&gt;",$IN$2="EXISTING"),SUMIFS('Existing Customers'!$Q:$Q,'Existing Customers'!$A:$A,$IM$1,'Existing Customers'!$H:$H,$IL24)*$IM$4,$IM$3*$IK24),0))</f>
        <v>0</v>
      </c>
      <c r="IN24" s="86">
        <f>IF('Customer Inputs'!$W$14="End",0,IFERROR(IF(AND($IM$2&lt;&gt;"Enter Spend&gt;&gt;&gt;",$IN$2="EXISTING"),SUMIFS('Existing Customers'!$N:$N,'Existing Customers'!$A:$A,$IM$1,'Existing Customers'!$H:$H,$IL24)*$IM$4,$IM24/$IX24),0))</f>
        <v>0</v>
      </c>
      <c r="IO24" s="92">
        <f>IF('Customer Inputs'!$W$14="End",0,IFERROR(IF(AND($IM$2&lt;&gt;"Enter Spend&gt;&gt;&gt;",$IN$2="EXISTING"),SUMIFS('Existing Customers'!$O:$O,'Existing Customers'!$H:$H,$IL24,'Existing Customers'!$A:$A,$IM$1)*$IM$4,$IN24*$IM$8),0))</f>
        <v>0</v>
      </c>
      <c r="IP24" s="92">
        <f>IF('Customer Inputs'!$W$14="End",0,IFERROR(IF(AND($IM$2&lt;&gt;"Enter Spend&gt;&gt;&gt;",$IN$2="EXISTING"),SUMIFS('Existing Customers'!$P:$P,'Existing Customers'!$A:$A,$IM$1,'Existing Customers'!$H:$H,$IL24)*$IM$4,$IM24/$IY24),0))</f>
        <v>0</v>
      </c>
      <c r="IQ24" s="303">
        <f>IF('Customer Inputs'!$W$14="End",0,IFERROR(IF(AND($IM$2&lt;&gt;"Enter Spend&gt;&gt;&gt;",$IN$2="EXISTING"),SUMIFS('Existing Customers'!$V:$V,'Existing Customers'!$H:$H,$IL24,'Existing Customers'!$A:$A,$IM$1)*$IM$4,0),0))</f>
        <v>0</v>
      </c>
      <c r="IR24" s="93">
        <f>IF('Customer Inputs'!$W$14="End",0,IFERROR(IF(AND($IM$2&lt;&gt;"Enter Spend&gt;&gt;&gt;",$IN$2="EXISTING"),SUMIFS('Existing Customers'!$R:$R,'Existing Customers'!$H:$H,$IL24,'Existing Customers'!$A:$A,$IM$1)*$IM$4,0),0))</f>
        <v>0</v>
      </c>
      <c r="IS24" s="780">
        <f>IF('Customer Inputs'!$W$14="End",0,IFERROR(IF(AND($IM$2&lt;&gt;"Enter Spend&gt;&gt;&gt;",$IN$2="EXISTING"),SUMIFS('Existing Customers'!$S:$S,'Existing Customers'!$H:$H,$IL24,'Existing Customers'!$A:$A,$IM$1)/SUMIFS('Existing Customers'!$Q:$Q,'Existing Customers'!$A:$A,$IM$1,'Existing Customers'!$H:$H,$IL24),JC24),0))</f>
        <v>0</v>
      </c>
      <c r="IT24" s="780">
        <f>IF('Customer Inputs'!$W$14="End",0,IFERROR(IF(AND($IM$2&lt;&gt;"Enter Spend&gt;&gt;&gt;",$IN$2="EXISTING"),SUMIFS('Existing Customers'!$U:$U,'Existing Customers'!$H:$H,$IL24,'Existing Customers'!$A:$A,$IM$1)/SUMIFS('Existing Customers'!$Q:$Q,'Existing Customers'!$A:$A,$IM$1,'Existing Customers'!$H:$H,$IL24),JD24),0))</f>
        <v>0</v>
      </c>
      <c r="IU24" s="783" t="e">
        <f>_xlfn.CONCAT('Customer Inputs'!$AH$14,"_",IL24)</f>
        <v>#N/A</v>
      </c>
      <c r="IV24" s="783">
        <f t="array" ref="IV24">IF('Customer Inputs'!$W$14="End",0,IFERROR(INDEX('Margin Guidence Table'!$A$1:$AG$10000,MATCH(1,('Margin Guidence Table'!$A$1:$A$10000=IU24)*('Margin Guidence Table'!$I$1:$I$10000&lt;=ROUND($IM$3,0))*('Margin Guidence Table'!$J$1:$J$10000&gt;=ROUND($IM$3,0)),0),MATCH("DATA_POINTS",'Margin Guidence Table'!$A$1:$AG$1,0)),0))</f>
        <v>0</v>
      </c>
      <c r="IW24" s="780" t="str">
        <f t="shared" si="49"/>
        <v>DEFAULT</v>
      </c>
      <c r="IX24" s="780">
        <f t="array" ref="IX24">IF('Customer Inputs'!$W$14="End",0,IFERROR(IF($IW24="SEGMENT",INDEX('Margin Guidence Table'!$A$1:$AG$10000,MATCH(1,('Margin Guidence Table'!$A$1:$A$10000=IU24)*('Margin Guidence Table'!$I$1:$I$10000&lt;=ROUND($IM$3,0))*('Margin Guidence Table'!$J$1:$J$10000&gt;=ROUND($IM$3,0)),0),MATCH("SALES_CASE",'Margin Guidence Table'!$A$1:$AG$1,0)),INDEX('Margin Guidence Table'!$A$1:$AG$10000,MATCH(1,('Margin Guidence Table'!$A$1:$A$10000=IU24)*('Margin Guidence Table'!$I$1:$I$10000&lt;=ROUND($IM$3,0))*('Margin Guidence Table'!$J$1:$J$10000&gt;=ROUND($IM$3,0)),0),MATCH("DEFAULT_SALES_CASE",'Margin Guidence Table'!$A$1:$AG$1,0))),0))</f>
        <v>0</v>
      </c>
      <c r="IY24" s="780">
        <f t="array" ref="IY24">IF('Customer Inputs'!$W$14="End",0,IFERROR(IF($IW24="SEGMENT",INDEX('Margin Guidence Table'!$A$1:$AG$10000,MATCH(1,('Margin Guidence Table'!$A$1:$A$10000=IU24)*('Margin Guidence Table'!$I$1:$I$10000&lt;=ROUND($IM$3,0))*('Margin Guidence Table'!$J$1:$J$10000&gt;=ROUND($IM$3,0)),0),MATCH("SALES_LBS",'Margin Guidence Table'!$A$1:$AG$1,0)),INDEX('Margin Guidence Table'!$A$1:$AG$10000,MATCH(1,('Margin Guidence Table'!$A$1:$A$10000=IU24)*('Margin Guidence Table'!$I$1:$I$10000&lt;=ROUND($IM$3,0))*('Margin Guidence Table'!$J$1:$J$10000&gt;=ROUND($IM$3,0)),0),MATCH("DEFAULT_SALES_LBS",'Margin Guidence Table'!$A$1:$AG$1,0))),0))</f>
        <v>0</v>
      </c>
      <c r="IZ24" s="784">
        <f t="array" ref="IZ24">IF('Customer Inputs'!$W$14="End",0,IFERROR(IF($IW24="SEGMENT",INDEX('Margin Guidence Table'!$A$1:$AG$10000,MATCH(1,('Margin Guidence Table'!$A$1:$A$10000=IU24)*('Margin Guidence Table'!$I$1:$I$10000&lt;=ROUND($IM$3,0))*('Margin Guidence Table'!$J$1:$J$10000&gt;=ROUND($IM$3,0)),0),MATCH("MDA_MIN_MARGIN_GUIDENCE",'Margin Guidence Table'!$A$1:$AG$1,0)),INDEX('Margin Guidence Table'!$A$1:$AG$10000,MATCH(1,('Margin Guidence Table'!$A$1:$A$10000=IU24)*('Margin Guidence Table'!$I$1:$I$10000&lt;=ROUND($IM$3,0))*('Margin Guidence Table'!$J$1:$J$10000&gt;=ROUND($IM$3,0)),0),MATCH("DEFAULT_MDA_MIN_MARGIN_GUIDENCE",'Margin Guidence Table'!$A$1:$AG$1,0))),0))</f>
        <v>0</v>
      </c>
      <c r="JA24" s="784">
        <f t="array" ref="JA24">IF('Customer Inputs'!$W$14="End",0,IFERROR(IF($IW24="SEGMENT",INDEX('Margin Guidence Table'!$A$1:$AG$10000,MATCH(1,('Margin Guidence Table'!$A$1:$A$10000=IU24)*('Margin Guidence Table'!$I$1:$I$10000&lt;=ROUND($IM$3,0))*('Margin Guidence Table'!$J$1:$J$10000&gt;=ROUND($IM$3,0)),0),MATCH("MDA_MEDIAN_MARGIN_GUIDENCE",'Margin Guidence Table'!$A$1:$AG$1,0)),INDEX('Margin Guidence Table'!$A$1:$AG$10000,MATCH(1,('Margin Guidence Table'!$A$1:$A$10000=IU24)*('Margin Guidence Table'!$I$1:$I$10000&lt;=ROUND($IM$3,0))*('Margin Guidence Table'!$J$1:$J$10000&gt;=ROUND($IM$3,0)),0),MATCH("DEFAULT_MDA_MEDIAN_MARGIN_GUIDENCE",'Margin Guidence Table'!$A$1:$AG$1,0))),0))</f>
        <v>0</v>
      </c>
      <c r="JB24" s="784">
        <f t="array" ref="JB24">IF('Customer Inputs'!$W$14="End",0,IFERROR(IF($IW24="SEGMENT",INDEX('Margin Guidence Table'!$A$1:$AG$10000,MATCH(1,('Margin Guidence Table'!$A$1:$A$10000=IU24)*('Margin Guidence Table'!$I$1:$I$10000&lt;=ROUND($IM$3,0))*('Margin Guidence Table'!$J$1:$J$10000&gt;=ROUND($IM$3,0)),0),MATCH("MDA_MAX_MARGIN_GUIDENCE",'Margin Guidence Table'!$A$1:$AG$1,0)),INDEX('Margin Guidence Table'!$A$1:$AG$10000,MATCH(1,('Margin Guidence Table'!$A$1:$A$10000=IU24)*('Margin Guidence Table'!$I$1:$I$10000&lt;=ROUND($IM$3,0))*('Margin Guidence Table'!$J$1:$J$10000&gt;=ROUND($IM$3,0)),0),MATCH("DEFAULT_MDA_MAX_MARGIN_GUIDENCE",'Margin Guidence Table'!$A$1:$AG$1,0))),0))</f>
        <v>0</v>
      </c>
      <c r="JC24" s="784">
        <f t="array" ref="JC24">IF('Customer Inputs'!$W$14="End",0,IFERROR(IF($IW24="SEGMENT",INDEX('Margin Guidence Table'!$A$1:$AG$10000,MATCH(1,('Margin Guidence Table'!$A$1:$A$10000=IU24)*('Margin Guidence Table'!$I$1:$I$10000&lt;=ROUND($IM$3,0))*('Margin Guidence Table'!$J$1:$J$10000&gt;=ROUND($IM$3,0)),0),MATCH("PA_PCT_SALES",'Margin Guidence Table'!$A$1:$AG$1,0)),INDEX('Margin Guidence Table'!$A$1:$AG$10000,MATCH(1,('Margin Guidence Table'!$A$1:$A$10000=IU24)*('Margin Guidence Table'!$I$1:$I$10000&lt;=ROUND($IM$3,0))*('Margin Guidence Table'!$J$1:$J$10000&gt;=ROUND($IM$3,0)),0),MATCH("DEFAULT_PA_PCT_SALES",'Margin Guidence Table'!$A$1:$AG$1,0))),0))</f>
        <v>0</v>
      </c>
      <c r="JD24" s="784">
        <f t="array" ref="JD24">IF('Customer Inputs'!$W$14="End",0,IFERROR(IF($IW24="SEGMENT",INDEX('Margin Guidence Table'!$A$1:$AG$10000,MATCH(1,('Margin Guidence Table'!$A$1:$A$10000=IU24)*('Margin Guidence Table'!$I$1:$I$10000&lt;=ROUND($IM$3,0))*('Margin Guidence Table'!$J$1:$J$10000&gt;=ROUND($IM$3,0)),0),MATCH("SELF_FUND_PCT_SALES",'Margin Guidence Table'!$A$1:$AG$1,0)),INDEX('Margin Guidence Table'!$A$1:$AG$10000,MATCH(1,('Margin Guidence Table'!$A$1:$A$10000=IU24)*('Margin Guidence Table'!$I$1:$I$10000&lt;=ROUND($IM$3,0))*('Margin Guidence Table'!$J$1:$J$10000&gt;=ROUND($IM$3,0)),0),MATCH("DEFAULT_SELF_FUND_PCT_SALES",'Margin Guidence Table'!$A$1:$AG$1,0))),0))</f>
        <v>0</v>
      </c>
      <c r="JE24" s="784">
        <f t="array" ref="JE24">IF('Customer Inputs'!$W$14="End",0,IF($IN$2="Existing",IFERROR(SUMIFS('Existing Customers'!$V:$V,'Existing Customers'!$H:$H,$IL24,'Existing Customers'!$A:$A,$IM$1)/SUMIFS('Existing Customers'!$Q:$Q,'Existing Customers'!$H:$H,$IL24,'Existing Customers'!$A:$A,$IM$1),0),IFERROR(IF($IW24="SEGMENT",INDEX('Margin Guidence Table'!$A$1:$AG$10000,MATCH(1,('Margin Guidence Table'!$A$1:$A$10000=IU24)*('Margin Guidence Table'!$I$1:$I$10000&lt;=ROUND($IM$3,0))*('Margin Guidence Table'!$J$1:$J$10000&gt;=ROUND($IM$3,0)),0),MATCH("CIA_MEDIAN_MARGIN_GUIDENCE",'Margin Guidence Table'!$A$1:$AG$1,0)),INDEX('Margin Guidence Table'!$A$1:$AG$10000,MATCH(1,('Margin Guidence Table'!$A$1:$A$10000=IU24)*('Margin Guidence Table'!$I$1:$I$10000&lt;=ROUND($IM$3,0))*('Margin Guidence Table'!$J$1:$J$10000&gt;=ROUND($IM$3,0)),0),MATCH("DEFAULT_CIA_MEDIAN_MARGIN_GUIDENCE",'Margin Guidence Table'!$A$1:$AG$1,0))),0)))</f>
        <v>0</v>
      </c>
      <c r="JF24" s="126"/>
      <c r="JG24" s="18">
        <f t="array" ref="JG24">IF('Customer Inputs'!$W$15="End",0,IFERROR(IF($JT24="SEGMENT",INDEX('Margin Guidence Table'!$A$1:$AG$10000,MATCH(1,('Margin Guidence Table'!$A$1:$A$10000=$JR24)*('Margin Guidence Table'!$I$1:$I$10000&lt;=ROUND($JJ$3,0))*('Margin Guidence Table'!$J$1:$J$10000&gt;=ROUND($JJ$3,0)),0),MATCH("PCT_SALES",'Margin Guidence Table'!$A$1:$AG$1,0)),INDEX('Margin Guidence Table'!$A$1:$AG$10000,MATCH(1,('Margin Guidence Table'!$A$1:$A$10000=$JR24)*('Margin Guidence Table'!$I$1:$I$10000&lt;=ROUND($JJ$3,0))*('Margin Guidence Table'!$J$1:$J$10000&gt;=ROUND($JJ$3,0)),0),MATCH("DEFAULT_PCT_SALES",'Margin Guidence Table'!$A$1:$AG$1,0))),0))</f>
        <v>0</v>
      </c>
      <c r="JH24" s="297" t="e">
        <f t="shared" si="50"/>
        <v>#DIV/0!</v>
      </c>
      <c r="JI24" s="99" t="s">
        <v>97</v>
      </c>
      <c r="JJ24" s="91">
        <f>IF('Customer Inputs'!$W$15="End",0,IFERROR(IF(AND($JJ$2&lt;&gt;"Enter Spend&gt;&gt;&gt;",$JK$2="EXISTING"),SUMIFS('Existing Customers'!$Q:$Q,'Existing Customers'!$A:$A,$JJ$1,'Existing Customers'!$H:$H,$JI24)*$JJ$4,$JJ$3*$JH24),0))</f>
        <v>0</v>
      </c>
      <c r="JK24" s="86">
        <f>IF('Customer Inputs'!$W$15="End",0,IFERROR(IF(AND($JJ$2&lt;&gt;"Enter Spend&gt;&gt;&gt;",$JK$2="EXISTING"),SUMIFS('Existing Customers'!$N:$N,'Existing Customers'!$A:$A,$JJ$1,'Existing Customers'!$H:$H,$JI24)*$JJ$4,$JJ24/$JU24),0))</f>
        <v>0</v>
      </c>
      <c r="JL24" s="92">
        <f>IF('Customer Inputs'!$W$15="End",0,IFERROR(IF(AND($JJ$2&lt;&gt;"Enter Spend&gt;&gt;&gt;",$JK$2="EXISTING"),SUMIFS('Existing Customers'!$O:$O,'Existing Customers'!$H:$H,$JI24,'Existing Customers'!$A:$A,$JJ$1)*$JJ$4,$JK24*$JJ$8),0))</f>
        <v>0</v>
      </c>
      <c r="JM24" s="92">
        <f>IF('Customer Inputs'!$W$15="End",0,IFERROR(IF(AND($JJ$2&lt;&gt;"Enter Spend&gt;&gt;&gt;",$JK$2="EXISTING"),SUMIFS('Existing Customers'!$P:$P,'Existing Customers'!$A:$A,$JJ$1,'Existing Customers'!$H:$H,$JI24)*$JJ$4,$JJ24/$JV24),0))</f>
        <v>0</v>
      </c>
      <c r="JN24" s="303">
        <f>IF('Customer Inputs'!$W$15="End",0,IFERROR(IF(AND($JJ$2&lt;&gt;"Enter Spend&gt;&gt;&gt;",$JK$2="EXISTING"),SUMIFS('Existing Customers'!$V:$V,'Existing Customers'!$H:$H,$JI24,'Existing Customers'!$A:$A,$JJ$1)*$JJ$4,0),0))</f>
        <v>0</v>
      </c>
      <c r="JO24" s="93">
        <f>IF('Customer Inputs'!$W$15="End",0,IFERROR(IF(AND($JJ$2&lt;&gt;"Enter Spend&gt;&gt;&gt;",$JK$2="EXISTING"),SUMIFS('Existing Customers'!$R:$R,'Existing Customers'!$H:$H,$JI24,'Existing Customers'!$A:$A,$JJ$1)*$JJ$4,0),0))</f>
        <v>0</v>
      </c>
      <c r="JP24" s="780">
        <f>IF('Customer Inputs'!$W$15="End",0,IFERROR(IF(AND($JJ$2&lt;&gt;"Enter Spend&gt;&gt;&gt;",$JK$2="EXISTING"),SUMIFS('Existing Customers'!$S:$S,'Existing Customers'!$H:$H,$JI24,'Existing Customers'!$A:$A,$JJ$1)/SUMIFS('Existing Customers'!$Q:$Q,'Existing Customers'!$A:$A,$JJ$1,'Existing Customers'!$H:$H,$JI24),JZ24),0))</f>
        <v>0</v>
      </c>
      <c r="JQ24" s="780">
        <f>IF('Customer Inputs'!$W$15="End",0,IFERROR(IF(AND($JJ$2&lt;&gt;"Enter Spend&gt;&gt;&gt;",$JK$2="EXISTING"),SUMIFS('Existing Customers'!$U:$U,'Existing Customers'!$H:$H,$JI24,'Existing Customers'!$A:$A,$JJ$1)/SUMIFS('Existing Customers'!$Q:$Q,'Existing Customers'!$A:$A,$JJ$1,'Existing Customers'!$H:$H,$JI24),KA24),0))</f>
        <v>0</v>
      </c>
      <c r="JR24" s="783" t="e">
        <f>_xlfn.CONCAT('Customer Inputs'!$AH$15,"_",JI24)</f>
        <v>#N/A</v>
      </c>
      <c r="JS24" s="783">
        <f t="array" ref="JS24">IF('Customer Inputs'!$W$15="End",0,IFERROR(INDEX('Margin Guidence Table'!$A$1:$AG$10000,MATCH(1,('Margin Guidence Table'!$A$1:$A$10000=JR24)*('Margin Guidence Table'!$I$1:$I$10000&lt;=ROUND($JJ$3,0))*('Margin Guidence Table'!$J$1:$J$10000&gt;=ROUND($JJ$3,0)),0),MATCH("DATA_POINTS",'Margin Guidence Table'!$A$1:$AG$1,0)),0))</f>
        <v>0</v>
      </c>
      <c r="JT24" s="780" t="str">
        <f t="shared" si="51"/>
        <v>DEFAULT</v>
      </c>
      <c r="JU24" s="780">
        <f t="array" ref="JU24">IF('Customer Inputs'!$W$15="End",0,IFERROR(IF($JT24="SEGMENT",INDEX('Margin Guidence Table'!$A$1:$AG$10000,MATCH(1,('Margin Guidence Table'!$A$1:$A$10000=JR24)*('Margin Guidence Table'!$I$1:$I$10000&lt;=ROUND($JJ$3,0))*('Margin Guidence Table'!$J$1:$J$10000&gt;=ROUND($JJ$3,0)),0),MATCH("SALES_CASE",'Margin Guidence Table'!$A$1:$AG$1,0)),INDEX('Margin Guidence Table'!$A$1:$AG$10000,MATCH(1,('Margin Guidence Table'!$A$1:$A$10000=JR24)*('Margin Guidence Table'!$I$1:$I$10000&lt;=ROUND($JJ$3,0))*('Margin Guidence Table'!$J$1:$J$10000&gt;=ROUND($JJ$3,0)),0),MATCH("DEFAULT_SALES_CASE",'Margin Guidence Table'!$A$1:$AG$1,0))),0))</f>
        <v>0</v>
      </c>
      <c r="JV24" s="780">
        <f t="array" ref="JV24">IF('Customer Inputs'!$W$15="End",0,IFERROR(IF($JT24="SEGMENT",INDEX('Margin Guidence Table'!$A$1:$AG$10000,MATCH(1,('Margin Guidence Table'!$A$1:$A$10000=JR24)*('Margin Guidence Table'!$I$1:$I$10000&lt;=ROUND($JJ$3,0))*('Margin Guidence Table'!$J$1:$J$10000&gt;=ROUND($JJ$3,0)),0),MATCH("SALES_LBS",'Margin Guidence Table'!$A$1:$AG$1,0)),INDEX('Margin Guidence Table'!$A$1:$AG$10000,MATCH(1,('Margin Guidence Table'!$A$1:$A$10000=JR24)*('Margin Guidence Table'!$I$1:$I$10000&lt;=ROUND($JJ$3,0))*('Margin Guidence Table'!$J$1:$J$10000&gt;=ROUND($JJ$3,0)),0),MATCH("DEFAULT_SALES_LBS",'Margin Guidence Table'!$A$1:$AG$1,0))),0))</f>
        <v>0</v>
      </c>
      <c r="JW24" s="784">
        <f t="array" ref="JW24">IF('Customer Inputs'!$W$15="End",0,IFERROR(IF($JT24="SEGMENT",INDEX('Margin Guidence Table'!$A$1:$AG$10000,MATCH(1,('Margin Guidence Table'!$A$1:$A$10000=JR24)*('Margin Guidence Table'!$I$1:$I$10000&lt;=ROUND($JJ$3,0))*('Margin Guidence Table'!$J$1:$J$10000&gt;=ROUND($JJ$3,0)),0),MATCH("MDA_MIN_MARGIN_GUIDENCE",'Margin Guidence Table'!$A$1:$AG$1,0)),INDEX('Margin Guidence Table'!$A$1:$AG$10000,MATCH(1,('Margin Guidence Table'!$A$1:$A$10000=JR24)*('Margin Guidence Table'!$I$1:$I$10000&lt;=ROUND($JJ$3,0))*('Margin Guidence Table'!$J$1:$J$10000&gt;=ROUND($JJ$3,0)),0),MATCH("DEFAULT_MDA_MIN_MARGIN_GUIDENCE",'Margin Guidence Table'!$A$1:$AG$1,0))),0))</f>
        <v>0</v>
      </c>
      <c r="JX24" s="784">
        <f t="array" ref="JX24">IF('Customer Inputs'!$W$15="End",0,IFERROR(IF($JT24="SEGMENT",INDEX('Margin Guidence Table'!$A$1:$AG$10000,MATCH(1,('Margin Guidence Table'!$A$1:$A$10000=JR24)*('Margin Guidence Table'!$I$1:$I$10000&lt;=ROUND($JJ$3,0))*('Margin Guidence Table'!$J$1:$J$10000&gt;=ROUND($JJ$3,0)),0),MATCH("MDA_MEDIAN_MARGIN_GUIDENCE",'Margin Guidence Table'!$A$1:$AG$1,0)),INDEX('Margin Guidence Table'!$A$1:$AG$10000,MATCH(1,('Margin Guidence Table'!$A$1:$A$10000=JR24)*('Margin Guidence Table'!$I$1:$I$10000&lt;=ROUND($JJ$3,0))*('Margin Guidence Table'!$J$1:$J$10000&gt;=ROUND($JJ$3,0)),0),MATCH("DEFAULT_MDA_MEDIAN_MARGIN_GUIDENCE",'Margin Guidence Table'!$A$1:$AG$1,0))),0))</f>
        <v>0</v>
      </c>
      <c r="JY24" s="784">
        <f t="array" ref="JY24">IF('Customer Inputs'!$W$15="End",0,IFERROR(IF($JT24="SEGMENT",INDEX('Margin Guidence Table'!$A$1:$AG$10000,MATCH(1,('Margin Guidence Table'!$A$1:$A$10000=JR24)*('Margin Guidence Table'!$I$1:$I$10000&lt;=ROUND($JJ$3,0))*('Margin Guidence Table'!$J$1:$J$10000&gt;=ROUND($JJ$3,0)),0),MATCH("MDA_MAX_MARGIN_GUIDENCE",'Margin Guidence Table'!$A$1:$AG$1,0)),INDEX('Margin Guidence Table'!$A$1:$AG$10000,MATCH(1,('Margin Guidence Table'!$A$1:$A$10000=JR24)*('Margin Guidence Table'!$I$1:$I$10000&lt;=ROUND($JJ$3,0))*('Margin Guidence Table'!$J$1:$J$10000&gt;=ROUND($JJ$3,0)),0),MATCH("DEFAULT_MDA_MAX_MARGIN_GUIDENCE",'Margin Guidence Table'!$A$1:$AG$1,0))),0))</f>
        <v>0</v>
      </c>
      <c r="JZ24" s="784">
        <f t="array" ref="JZ24">IF('Customer Inputs'!$W$15="End",0,IFERROR(IF($JT24="SEGMENT",INDEX('Margin Guidence Table'!$A$1:$AG$10000,MATCH(1,('Margin Guidence Table'!$A$1:$A$10000=JR24)*('Margin Guidence Table'!$I$1:$I$10000&lt;=ROUND($JJ$3,0))*('Margin Guidence Table'!$J$1:$J$10000&gt;=ROUND($JJ$3,0)),0),MATCH("PA_PCT_SALES",'Margin Guidence Table'!$A$1:$AG$1,0)),INDEX('Margin Guidence Table'!$A$1:$AG$10000,MATCH(1,('Margin Guidence Table'!$A$1:$A$10000=JR24)*('Margin Guidence Table'!$I$1:$I$10000&lt;=ROUND($JJ$3,0))*('Margin Guidence Table'!$J$1:$J$10000&gt;=ROUND($JJ$3,0)),0),MATCH("DEFAULT_PA_PCT_SALES",'Margin Guidence Table'!$A$1:$AG$1,0))),0))</f>
        <v>0</v>
      </c>
      <c r="KA24" s="784" cm="1">
        <f t="array" ref="KA24">IF('Customer Inputs'!$W$15="End",0,IFERROR(IF($JT24="SEGMENT",INDEX('Margin Guidence Table'!$A$1:$AG$10000,MATCH(1,('Margin Guidence Table'!$A$1:$A$10000=JR24)*('Margin Guidence Table'!$I$1:$I$10000&lt;=ROUND($JJ$3,0))*('Margin Guidence Table'!$J$1:$J$10000&gt;=ROUND($JJ$3,0)),0),MATCH("SELF_FUND_PCT_SALES",'Margin Guidence Table'!$A$1:$AG$1,0)),INDEX('Margin Guidence Table'!$A$1:$AG$10000,MATCH(1,('Margin Guidence Table'!$A$1:$A$10000=JR24)*('Margin Guidence Table'!$I$1:$I$10000&lt;=ROUND($JJ$3,0))*('Margin Guidence Table'!$J$1:$J$10000&gt;=ROUND($JJ$3,0)),0),MATCH("DEFAULT_SELF_FUND_PCT_SALES",'Margin Guidence Table'!$A$1:$AG$1,0))),0))</f>
        <v>0</v>
      </c>
      <c r="KB24" s="784">
        <f t="array" ref="KB24">IF('Customer Inputs'!$W$15="End",0,IF($JK$2="Existing",IFERROR(SUMIFS('Existing Customers'!$V:$V,'Existing Customers'!$H:$H,$JI24,'Existing Customers'!$A:$A,$JJ$1)/SUMIFS('Existing Customers'!$Q:$Q,'Existing Customers'!$H:$H,$JI24,'Existing Customers'!$A:$A,$JJ$1),0),IFERROR(IF($JT24="SEGMENT",INDEX('Margin Guidence Table'!$A$1:$AG$10000,MATCH(1,('Margin Guidence Table'!$A$1:$A$10000=JR24)*('Margin Guidence Table'!$I$1:$I$10000&lt;=ROUND($JJ$3,0))*('Margin Guidence Table'!$J$1:$J$10000&gt;=ROUND($JJ$3,0)),0),MATCH("CIA_MEDIAN_MARGIN_GUIDENCE",'Margin Guidence Table'!$A$1:$AG$1,0)),INDEX('Margin Guidence Table'!$A$1:$AG$10000,MATCH(1,('Margin Guidence Table'!$A$1:$A$10000=JR24)*('Margin Guidence Table'!$I$1:$I$10000&lt;=ROUND($JJ$3,0))*('Margin Guidence Table'!$J$1:$J$10000&gt;=ROUND($JJ$3,0)),0),MATCH("DEFAULT_CIA_MEDIAN_MARGIN_GUIDENCE",'Margin Guidence Table'!$A$1:$AG$1,0))),0)))</f>
        <v>0</v>
      </c>
      <c r="KC24" s="784"/>
      <c r="KD24" s="18">
        <f t="array" ref="KD24">IF('Customer Inputs'!$W$16="End",0,IFERROR(IF($KQ24="SEGMENT",INDEX('Margin Guidence Table'!$A$1:$AG$10000,MATCH(1,('Margin Guidence Table'!$A$1:$A$10000=$KO24)*('Margin Guidence Table'!$I$1:$I$10000&lt;=ROUND($KG$3,0))*('Margin Guidence Table'!$J$1:$J$10000&gt;=ROUND($KG$3,0)),0),MATCH("PCT_SALES",'Margin Guidence Table'!$A$1:$AG$1,0)),INDEX('Margin Guidence Table'!$A$1:$AG$10000,MATCH(1,('Margin Guidence Table'!$A$1:$A$10000=$KO24)*('Margin Guidence Table'!$I$1:$I$10000&lt;=ROUND($KG$3,0))*('Margin Guidence Table'!$J$1:$J$10000&gt;=ROUND($KG$3,0)),0),MATCH("DEFAULT_PCT_SALES",'Margin Guidence Table'!$A$1:$AG$1,0))),0))</f>
        <v>0</v>
      </c>
      <c r="KE24" s="1713" t="e">
        <f t="shared" si="52"/>
        <v>#DIV/0!</v>
      </c>
      <c r="KF24" s="99" t="s">
        <v>97</v>
      </c>
      <c r="KG24" s="91">
        <f>IF('Customer Inputs'!$W$16="End",0,IFERROR(IF(AND($KG$2&lt;&gt;"Enter Spend&gt;&gt;&gt;",$KH$2="EXISTING"),SUMIFS('Existing Customers'!$Q:$Q,'Existing Customers'!$A:$A,$KG$1,'Existing Customers'!$H:$H,$KF24)*$KG$4,$KG$3*$KE24),0))</f>
        <v>0</v>
      </c>
      <c r="KH24" s="86">
        <f>IF('Customer Inputs'!$W$16="End",0,IFERROR(IF(AND($KG$2&lt;&gt;"Enter Spend&gt;&gt;&gt;",$KH$2="EXISTING"),SUMIFS('Existing Customers'!$N:$N,'Existing Customers'!$A:$A,$KG$1,'Existing Customers'!$H:$H,$KF24)*$KG$4,$KG24/$KR24),0))</f>
        <v>0</v>
      </c>
      <c r="KI24" s="92">
        <f>IF('Customer Inputs'!$W$16="End",0,IFERROR(IF(AND($KG$2&lt;&gt;"Enter Spend&gt;&gt;&gt;",$KH$2="EXISTING"),SUMIFS('Existing Customers'!$O:$O,'Existing Customers'!$H:$H,$KF24,'Existing Customers'!$A:$A,$KG$1)*$KG$4,$KH24*$KG$8),0))</f>
        <v>0</v>
      </c>
      <c r="KJ24" s="92">
        <f>IF('Customer Inputs'!$W$16="End",0,IFERROR(IF(AND($KG$2&lt;&gt;"Enter Spend&gt;&gt;&gt;",$KH$2="EXISTING"),SUMIFS('Existing Customers'!$P:$P,'Existing Customers'!$A:$A,$KG$1,'Existing Customers'!$H:$H,$KF24)*$KG$4,$KG24/$KS24),0))</f>
        <v>0</v>
      </c>
      <c r="KK24" s="303">
        <f>IF('Customer Inputs'!$W$16="End",0,IFERROR(IF(AND($KG$2&lt;&gt;"Enter Spend&gt;&gt;&gt;",$KH$2="EXISTING"),SUMIFS('Existing Customers'!$V:$V,'Existing Customers'!$H:$H,$KF24,'Existing Customers'!$A:$A,$KG$1)*$KG$4,0),0))</f>
        <v>0</v>
      </c>
      <c r="KL24" s="93">
        <f>IF('Customer Inputs'!$W$16="End",0,IFERROR(IF(AND($KG$2&lt;&gt;"Enter Spend&gt;&gt;&gt;",$KH$2="EXISTING"),SUMIFS('Existing Customers'!$R:$R,'Existing Customers'!$H:$H,$KF24,'Existing Customers'!$A:$A,$KG$1)*$KG$4,0),0))</f>
        <v>0</v>
      </c>
      <c r="KM24" s="780">
        <f>IF('Customer Inputs'!$W$16="End",0,IFERROR(IF(AND($KG$2&lt;&gt;"Enter Spend&gt;&gt;&gt;",$KH$2="EXISTING"),SUMIFS('Existing Customers'!$S:$S,'Existing Customers'!$H:$H,$KF24,'Existing Customers'!$A:$A,$KG$1)/SUMIFS('Existing Customers'!$Q:$Q,'Existing Customers'!$A:$A,$KG$1,'Existing Customers'!$H:$H,$KF24),KW24),0))</f>
        <v>0</v>
      </c>
      <c r="KN24" s="780">
        <f>IF('Customer Inputs'!$W$16="End",0,IFERROR(IF(AND($KG$2&lt;&gt;"Enter Spend&gt;&gt;&gt;",$KH$2="EXISTING"),SUMIFS('Existing Customers'!$U:$U,'Existing Customers'!$H:$H,$KF24,'Existing Customers'!$A:$A,$KG$1)/SUMIFS('Existing Customers'!$Q:$Q,'Existing Customers'!$A:$A,$KG$1,'Existing Customers'!$H:$H,$KF24),KX24),0))</f>
        <v>0</v>
      </c>
      <c r="KO24" s="783" t="e">
        <f>_xlfn.CONCAT('Customer Inputs'!$AH$16,"_",KF24)</f>
        <v>#N/A</v>
      </c>
      <c r="KP24" s="783">
        <f t="array" ref="KP24">IF('Customer Inputs'!$W$16="End",0,IFERROR(INDEX('Margin Guidence Table'!$A$1:$AG$10000,MATCH(1,('Margin Guidence Table'!$A$1:$A$10000=KO24)*('Margin Guidence Table'!$I$1:$I$10000&lt;=ROUND($KG$3,0))*('Margin Guidence Table'!$J$1:$J$10000&gt;=ROUND($KG$3,0)),0),MATCH("DATA_POINTS",'Margin Guidence Table'!$A$1:$AG$1,0)),0))</f>
        <v>0</v>
      </c>
      <c r="KQ24" s="780" t="str">
        <f t="shared" si="53"/>
        <v>DEFAULT</v>
      </c>
      <c r="KR24" s="780">
        <f t="array" ref="KR24">IF('Customer Inputs'!$W$16="End",0,IFERROR(IF($KQ24="SEGMENT",INDEX('Margin Guidence Table'!$A$1:$AG$10000,MATCH(1,('Margin Guidence Table'!$A$1:$A$10000=KO24)*('Margin Guidence Table'!$I$1:$I$10000&lt;=ROUND($KG$3,0))*('Margin Guidence Table'!$J$1:$J$10000&gt;=ROUND($KG$3,0)),0),MATCH("SALES_CASE",'Margin Guidence Table'!$A$1:$AG$1,0)),INDEX('Margin Guidence Table'!$A$1:$AG$10000,MATCH(1,('Margin Guidence Table'!$A$1:$A$10000=KO24)*('Margin Guidence Table'!$I$1:$I$10000&lt;=ROUND($KG$3,0))*('Margin Guidence Table'!$J$1:$J$10000&gt;=ROUND($KG$3,0)),0),MATCH("DEFAULT_SALES_CASE",'Margin Guidence Table'!$A$1:$AG$1,0))),0))</f>
        <v>0</v>
      </c>
      <c r="KS24" s="780">
        <f t="array" ref="KS24">IF('Customer Inputs'!$W$16="End",0,IFERROR(IF($KQ24="SEGMENT",INDEX('Margin Guidence Table'!$A$1:$AG$10000,MATCH(1,('Margin Guidence Table'!$A$1:$A$10000=KO24)*('Margin Guidence Table'!$I$1:$I$10000&lt;=ROUND($KG$3,0))*('Margin Guidence Table'!$J$1:$J$10000&gt;=ROUND($KG$3,0)),0),MATCH("SALES_LBS",'Margin Guidence Table'!$A$1:$AG$1,0)),INDEX('Margin Guidence Table'!$A$1:$AG$10000,MATCH(1,('Margin Guidence Table'!$A$1:$A$10000=KO24)*('Margin Guidence Table'!$I$1:$I$10000&lt;=ROUND($KG$3,0))*('Margin Guidence Table'!$J$1:$J$10000&gt;=ROUND($KG$3,0)),0),MATCH("DEFAULT_SALES_LBS",'Margin Guidence Table'!$A$1:$AG$1,0))),0))</f>
        <v>0</v>
      </c>
      <c r="KT24" s="784">
        <f t="array" ref="KT24">IF('Customer Inputs'!$W$16="End",0,IFERROR(IF($KQ24="SEGMENT",INDEX('Margin Guidence Table'!$A$1:$AG$10000,MATCH(1,('Margin Guidence Table'!$A$1:$A$10000=KO24)*('Margin Guidence Table'!$I$1:$I$10000&lt;=ROUND($KG$3,0))*('Margin Guidence Table'!$J$1:$J$10000&gt;=ROUND($KG$3,0)),0),MATCH("MDA_MIN_MARGIN_GUIDENCE",'Margin Guidence Table'!$A$1:$AG$1,0)),INDEX('Margin Guidence Table'!$A$1:$AG$10000,MATCH(1,('Margin Guidence Table'!$A$1:$A$10000=KO24)*('Margin Guidence Table'!$I$1:$I$10000&lt;=ROUND($KG$3,0))*('Margin Guidence Table'!$J$1:$J$10000&gt;=ROUND($KG$3,0)),0),MATCH("DEFAULT_MDA_MIN_MARGIN_GUIDENCE",'Margin Guidence Table'!$A$1:$AG$1,0))),0))</f>
        <v>0</v>
      </c>
      <c r="KU24" s="784">
        <f t="array" ref="KU24">IF('Customer Inputs'!$W$16="End",0,IFERROR(IF($KQ24="SEGMENT",INDEX('Margin Guidence Table'!$A$1:$AG$10000,MATCH(1,('Margin Guidence Table'!$A$1:$A$10000=KO24)*('Margin Guidence Table'!$I$1:$I$10000&lt;=ROUND($KG$3,0))*('Margin Guidence Table'!$J$1:$J$10000&gt;=ROUND($KG$3,0)),0),MATCH("MDA_MEDIAN_MARGIN_GUIDENCE",'Margin Guidence Table'!$A$1:$AG$1,0)),INDEX('Margin Guidence Table'!$A$1:$AG$10000,MATCH(1,('Margin Guidence Table'!$A$1:$A$10000=KO24)*('Margin Guidence Table'!$I$1:$I$10000&lt;=ROUND($KG$3,0))*('Margin Guidence Table'!$J$1:$J$10000&gt;=ROUND($KG$3,0)),0),MATCH("DEFAULT_MDA_MEDIAN_MARGIN_GUIDENCE",'Margin Guidence Table'!$A$1:$AG$1,0))),0))</f>
        <v>0</v>
      </c>
      <c r="KV24" s="784">
        <f t="array" ref="KV24">IF('Customer Inputs'!$W$16="End",0,IFERROR(IF($KQ24="SEGMENT",INDEX('Margin Guidence Table'!$A$1:$AG$10000,MATCH(1,('Margin Guidence Table'!$A$1:$A$10000=KO24)*('Margin Guidence Table'!$I$1:$I$10000&lt;=ROUND($KG$3,0))*('Margin Guidence Table'!$J$1:$J$10000&gt;=ROUND($KG$3,0)),0),MATCH("MDA_MAX_MARGIN_GUIDENCE",'Margin Guidence Table'!$A$1:$AG$1,0)),INDEX('Margin Guidence Table'!$A$1:$AG$10000,MATCH(1,('Margin Guidence Table'!$A$1:$A$10000=KO24)*('Margin Guidence Table'!$I$1:$I$10000&lt;=ROUND($KG$3,0))*('Margin Guidence Table'!$J$1:$J$10000&gt;=ROUND($KG$3,0)),0),MATCH("DEFAULT_MDA_MAX_MARGIN_GUIDENCE",'Margin Guidence Table'!$A$1:$AG$1,0))),0))</f>
        <v>0</v>
      </c>
      <c r="KW24" s="784">
        <f t="array" ref="KW24">IF('Customer Inputs'!$W$16="End",0,IFERROR(IF($KQ24="SEGMENT",INDEX('Margin Guidence Table'!$A$1:$AG$10000,MATCH(1,('Margin Guidence Table'!$A$1:$A$10000=KO24)*('Margin Guidence Table'!$I$1:$I$10000&lt;=ROUND($KG$3,0))*('Margin Guidence Table'!$J$1:$J$10000&gt;=ROUND($KG$3,0)),0),MATCH("PA_PCT_SALES",'Margin Guidence Table'!$A$1:$AG$1,0)),INDEX('Margin Guidence Table'!$A$1:$AG$10000,MATCH(1,('Margin Guidence Table'!$A$1:$A$10000=KO24)*('Margin Guidence Table'!$I$1:$I$10000&lt;=ROUND($KG$3,0))*('Margin Guidence Table'!$J$1:$J$10000&gt;=ROUND($KG$3,0)),0),MATCH("DEFAULT_PA_PCT_SALES",'Margin Guidence Table'!$A$1:$AG$1,0))),0))</f>
        <v>0</v>
      </c>
      <c r="KX24" s="784">
        <f t="array" ref="KX24">IF('Customer Inputs'!$W$16="End",0,IFERROR(IF($KQ24="SEGMENT",INDEX('Margin Guidence Table'!$A$1:$AG$10000,MATCH(1,('Margin Guidence Table'!$A$1:$A$10000=KO24)*('Margin Guidence Table'!$I$1:$I$10000&lt;=ROUND($KG$3,0))*('Margin Guidence Table'!$J$1:$J$10000&gt;=ROUND($KG$3,0)),0),MATCH("SELF_FUND_PCT_SALES",'Margin Guidence Table'!$A$1:$AG$1,0)),INDEX('Margin Guidence Table'!$A$1:$AG$10000,MATCH(1,('Margin Guidence Table'!$A$1:$A$10000=KO24)*('Margin Guidence Table'!$I$1:$I$10000&lt;=ROUND($KG$3,0))*('Margin Guidence Table'!$J$1:$J$10000&gt;=ROUND($KG$3,0)),0),MATCH("DEFAULT_SELF_FUND_PCT_SALES",'Margin Guidence Table'!$A$1:$AG$1,0))),0))</f>
        <v>0</v>
      </c>
      <c r="KY24" s="784">
        <f t="array" ref="KY24">IF('Customer Inputs'!$W$16="End",0,IF($KH$2="Existing",IFERROR(SUMIFS('Existing Customers'!$V:$V,'Existing Customers'!$H:$H,$KF24,'Existing Customers'!$A:$A,$KG$1)/SUMIFS('Existing Customers'!$Q:$Q,'Existing Customers'!$H:$H,$KF24,'Existing Customers'!$A:$A,$KG$1),0),IFERROR(IF($KQ24="SEGMENT",INDEX('Margin Guidence Table'!$A$1:$AG$10000,MATCH(1,('Margin Guidence Table'!$A$1:$A$10000=KO24)*('Margin Guidence Table'!$I$1:$I$10000&lt;=ROUND($KG$3,0))*('Margin Guidence Table'!$J$1:$J$10000&gt;=ROUND($KG$3,0)),0),MATCH("CIA_MEDIAN_MARGIN_GUIDENCE",'Margin Guidence Table'!$A$1:$AG$1,0)),INDEX('Margin Guidence Table'!$A$1:$AG$10000,MATCH(1,('Margin Guidence Table'!$A$1:$A$10000=KO24)*('Margin Guidence Table'!$I$1:$I$10000&lt;=ROUND($KG$3,0))*('Margin Guidence Table'!$J$1:$J$10000&gt;=ROUND($KG$3,0)),0),MATCH("DEFAULT_CIA_MEDIAN_MARGIN_GUIDENCE",'Margin Guidence Table'!$A$1:$AG$1,0))),0)))</f>
        <v>0</v>
      </c>
      <c r="KZ24" s="784"/>
      <c r="LA24" s="18">
        <f t="array" ref="LA24">IF('Customer Inputs'!$W$17="End",0,IFERROR(IF($LN24="SEGMENT",INDEX('Margin Guidence Table'!$A$1:$AG$10000,MATCH(1,('Margin Guidence Table'!$A$1:$A$10000=$LL24)*('Margin Guidence Table'!$I$1:$I$10000&lt;=ROUND($LD$3,0))*('Margin Guidence Table'!$J$1:$J$10000&gt;=ROUND($LD$3,0)),0),MATCH("PCT_SALES",'Margin Guidence Table'!$A$1:$AG$1,0)),INDEX('Margin Guidence Table'!$A$1:$AG$10000,MATCH(1,('Margin Guidence Table'!$A$1:$A$10000=$LL24)*('Margin Guidence Table'!$I$1:$I$10000&lt;=ROUND($LD$3,0))*('Margin Guidence Table'!$J$1:$J$10000&gt;=ROUND($LD$3,0)),0),MATCH("DEFAULT_PCT_SALES",'Margin Guidence Table'!$A$1:$AG$1,0))),0))</f>
        <v>0</v>
      </c>
      <c r="LB24" s="1713" t="e">
        <f t="shared" si="54"/>
        <v>#DIV/0!</v>
      </c>
      <c r="LC24" s="99" t="s">
        <v>97</v>
      </c>
      <c r="LD24" s="91">
        <f>IF('Customer Inputs'!$W$17="End",0,IFERROR(IF(AND($LD$2&lt;&gt;"Enter Spend&gt;&gt;&gt;",$LE$2="EXISTING"),SUMIFS('Existing Customers'!$Q:$Q,'Existing Customers'!$A:$A,$LD$1,'Existing Customers'!$H:$H,$LC24)*$LD$4,$LD$3*$LB24),0))</f>
        <v>0</v>
      </c>
      <c r="LE24" s="86">
        <f>IF('Customer Inputs'!$W$17="End",0,IFERROR(IF(AND($LD$2&lt;&gt;"Enter Spend&gt;&gt;&gt;",$LE$2="EXISTING"),SUMIFS('Existing Customers'!$N:$N,'Existing Customers'!$A:$A,$LD$1,'Existing Customers'!$H:$H,$LC24)*$LD$4,$LD24/$LO24),0))</f>
        <v>0</v>
      </c>
      <c r="LF24" s="92">
        <f>IF('Customer Inputs'!$W$17="End",0,IFERROR(IF(AND($LD$2&lt;&gt;"Enter Spend&gt;&gt;&gt;",$LE$2="EXISTING"),SUMIFS('Existing Customers'!$O:$O,'Existing Customers'!$H:$H,$LC24,'Existing Customers'!$A:$A,$LD$1)*$LD$4,$LE24*$LD$8),0))</f>
        <v>0</v>
      </c>
      <c r="LG24" s="92">
        <f>IF('Customer Inputs'!$W$17="End",0,IFERROR(IF(AND($LD$2&lt;&gt;"Enter Spend&gt;&gt;&gt;",$LE$2="EXISTING"),SUMIFS('Existing Customers'!$P:$P,'Existing Customers'!$A:$A,$LD$1,'Existing Customers'!$H:$H,$LC24)*$LD$4,$LD24/$LP24),0))</f>
        <v>0</v>
      </c>
      <c r="LH24" s="303">
        <f>IF('Customer Inputs'!$W$17="End",0,IFERROR(IF(AND($LD$2&lt;&gt;"Enter Spend&gt;&gt;&gt;",$LE$2="EXISTING"),SUMIFS('Existing Customers'!$V:$V,'Existing Customers'!$H:$H,$LC24,'Existing Customers'!$A:$A,$LD$1)*$LD$4,0),0))</f>
        <v>0</v>
      </c>
      <c r="LI24" s="93">
        <f>IF('Customer Inputs'!$W$17="End",0,IFERROR(IF(AND($LD$2&lt;&gt;"Enter Spend&gt;&gt;&gt;",$LE$2="EXISTING"),SUMIFS('Existing Customers'!$R:$R,'Existing Customers'!$H:$H,$LC24,'Existing Customers'!$A:$A,$LD$1)*$LD$4,0),0))</f>
        <v>0</v>
      </c>
      <c r="LJ24" s="780">
        <f>IF('Customer Inputs'!$W$17="End",0,IFERROR(IF(AND($LD$2&lt;&gt;"Enter Spend&gt;&gt;&gt;",$LE$2="EXISTING"),SUMIFS('Existing Customers'!$S:$S,'Existing Customers'!$H:$H,$LC24,'Existing Customers'!$A:$A,$LD$1)/SUMIFS('Existing Customers'!$Q:$Q,'Existing Customers'!$A:$A,$LD$1,'Existing Customers'!$H:$H,$LC24),LT24),0))</f>
        <v>0</v>
      </c>
      <c r="LK24" s="780">
        <f>IF('Customer Inputs'!$W$17="End",0,IFERROR(IF(AND($LD$2&lt;&gt;"Enter Spend&gt;&gt;&gt;",$LE$2="EXISTING"),SUMIFS('Existing Customers'!$U:$U,'Existing Customers'!$H:$H,$LC24,'Existing Customers'!$A:$A,$LD$1)/SUMIFS('Existing Customers'!$Q:$Q,'Existing Customers'!$A:$A,$LD$1,'Existing Customers'!$H:$H,$LC24),LU24),0))</f>
        <v>0</v>
      </c>
      <c r="LL24" s="783" t="e">
        <f>_xlfn.CONCAT('Customer Inputs'!$AH$17,"_",LC24)</f>
        <v>#N/A</v>
      </c>
      <c r="LM24" s="783">
        <f t="array" ref="LM24">IF('Customer Inputs'!$W$17="End",0,IFERROR(INDEX('Margin Guidence Table'!$A$1:$AG$10000,MATCH(1,('Margin Guidence Table'!$A$1:$A$10000=LL24)*('Margin Guidence Table'!$I$1:$I$10000&lt;=ROUND($LD$3,0))*('Margin Guidence Table'!$J$1:$J$10000&gt;=ROUND($LD$3,0)),0),MATCH("DATA_POINTS",'Margin Guidence Table'!$A$1:$AG$1,0)),0))</f>
        <v>0</v>
      </c>
      <c r="LN24" s="780" t="str">
        <f t="shared" si="55"/>
        <v>DEFAULT</v>
      </c>
      <c r="LO24" s="780">
        <f t="array" ref="LO24">IF('Customer Inputs'!$W$17="End",0,IFERROR(IF($LN24="SEGMENT",INDEX('Margin Guidence Table'!$A$1:$AG$10000,MATCH(1,('Margin Guidence Table'!$A$1:$A$10000=LL24)*('Margin Guidence Table'!$I$1:$I$10000&lt;=ROUND($LD$3,0))*('Margin Guidence Table'!$J$1:$J$10000&gt;=ROUND($LD$3,0)),0),MATCH("SALES_CASE",'Margin Guidence Table'!$A$1:$AG$1,0)),INDEX('Margin Guidence Table'!$A$1:$AG$10000,MATCH(1,('Margin Guidence Table'!$A$1:$A$10000=LL24)*('Margin Guidence Table'!$I$1:$I$10000&lt;=ROUND($LD$3,0))*('Margin Guidence Table'!$J$1:$J$10000&gt;=ROUND($LD$3,0)),0),MATCH("DEFAULT_SALES_CASE",'Margin Guidence Table'!$A$1:$AG$1,0))),0))</f>
        <v>0</v>
      </c>
      <c r="LP24" s="780">
        <f t="array" ref="LP24">IF('Customer Inputs'!$W$17="End",0,IFERROR(IF($LN24="SEGMENT",INDEX('Margin Guidence Table'!$A$1:$AG$10000,MATCH(1,('Margin Guidence Table'!$A$1:$A$10000=LL24)*('Margin Guidence Table'!$I$1:$I$10000&lt;=ROUND($LD$3,0))*('Margin Guidence Table'!$J$1:$J$10000&gt;=ROUND($LD$3,0)),0),MATCH("SALES_LBS",'Margin Guidence Table'!$A$1:$AG$1,0)),INDEX('Margin Guidence Table'!$A$1:$AG$10000,MATCH(1,('Margin Guidence Table'!$A$1:$A$10000=LL24)*('Margin Guidence Table'!$I$1:$I$10000&lt;=ROUND($LD$3,0))*('Margin Guidence Table'!$J$1:$J$10000&gt;=ROUND($LD$3,0)),0),MATCH("DEFAULT_SALES_LBS",'Margin Guidence Table'!$A$1:$AG$1,0))),0))</f>
        <v>0</v>
      </c>
      <c r="LQ24" s="784">
        <f t="array" ref="LQ24">IF('Customer Inputs'!$W$17="End",0,IFERROR(IF($LN24="SEGMENT",INDEX('Margin Guidence Table'!$A$1:$AG$10000,MATCH(1,('Margin Guidence Table'!$A$1:$A$10000=LL24)*('Margin Guidence Table'!$I$1:$I$10000&lt;=ROUND($LD$3,0))*('Margin Guidence Table'!$J$1:$J$10000&gt;=ROUND($LD$3,0)),0),MATCH("MDA_MIN_MARGIN_GUIDENCE",'Margin Guidence Table'!$A$1:$AG$1,0)),INDEX('Margin Guidence Table'!$A$1:$AG$10000,MATCH(1,('Margin Guidence Table'!$A$1:$A$10000=LL24)*('Margin Guidence Table'!$I$1:$I$10000&lt;=ROUND($LD$3,0))*('Margin Guidence Table'!$J$1:$J$10000&gt;=ROUND($LD$3,0)),0),MATCH("DEFAULT_MDA_MIN_MARGIN_GUIDENCE",'Margin Guidence Table'!$A$1:$AG$1,0))),0))</f>
        <v>0</v>
      </c>
      <c r="LR24" s="784">
        <f t="array" ref="LR24">IF('Customer Inputs'!$W$17="End",0,IFERROR(IF($LN24="SEGMENT",INDEX('Margin Guidence Table'!$A$1:$AG$10000,MATCH(1,('Margin Guidence Table'!$A$1:$A$10000=LL24)*('Margin Guidence Table'!$I$1:$I$10000&lt;=ROUND($LD$3,0))*('Margin Guidence Table'!$J$1:$J$10000&gt;=ROUND($LD$3,0)),0),MATCH("MDA_MEDIAN_MARGIN_GUIDENCE",'Margin Guidence Table'!$A$1:$AG$1,0)),INDEX('Margin Guidence Table'!$A$1:$AG$10000,MATCH(1,('Margin Guidence Table'!$A$1:$A$10000=LL24)*('Margin Guidence Table'!$I$1:$I$10000&lt;=ROUND($LD$3,0))*('Margin Guidence Table'!$J$1:$J$10000&gt;=ROUND($LD$3,0)),0),MATCH("DEFAULT_MDA_MEDIAN_MARGIN_GUIDENCE",'Margin Guidence Table'!$A$1:$AG$1,0))),0))</f>
        <v>0</v>
      </c>
      <c r="LS24" s="784">
        <f t="array" ref="LS24">IF('Customer Inputs'!$W$17="End",0,IFERROR(IF($LN24="SEGMENT",INDEX('Margin Guidence Table'!$A$1:$AG$10000,MATCH(1,('Margin Guidence Table'!$A$1:$A$10000=LL24)*('Margin Guidence Table'!$I$1:$I$10000&lt;=ROUND($LD$3,0))*('Margin Guidence Table'!$J$1:$J$10000&gt;=ROUND($LD$3,0)),0),MATCH("MDA_MAX_MARGIN_GUIDENCE",'Margin Guidence Table'!$A$1:$AG$1,0)),INDEX('Margin Guidence Table'!$A$1:$AG$10000,MATCH(1,('Margin Guidence Table'!$A$1:$A$10000=LL24)*('Margin Guidence Table'!$I$1:$I$10000&lt;=ROUND($LD$3,0))*('Margin Guidence Table'!$J$1:$J$10000&gt;=ROUND($LD$3,0)),0),MATCH("DEFAULT_MDA_MAX_MARGIN_GUIDENCE",'Margin Guidence Table'!$A$1:$AG$1,0))),0))</f>
        <v>0</v>
      </c>
      <c r="LT24" s="784">
        <f t="array" ref="LT24">IF('Customer Inputs'!$W$17="End",0,IFERROR(IF($LN24="SEGMENT",INDEX('Margin Guidence Table'!$A$1:$AG$10000,MATCH(1,('Margin Guidence Table'!$A$1:$A$10000=LL24)*('Margin Guidence Table'!$I$1:$I$10000&lt;=ROUND($LD$3,0))*('Margin Guidence Table'!$J$1:$J$10000&gt;=ROUND($LD$3,0)),0),MATCH("PA_PCT_SALES",'Margin Guidence Table'!$A$1:$AG$1,0)),INDEX('Margin Guidence Table'!$A$1:$AG$10000,MATCH(1,('Margin Guidence Table'!$A$1:$A$10000=LL24)*('Margin Guidence Table'!$I$1:$I$10000&lt;=ROUND($LD$3,0))*('Margin Guidence Table'!$J$1:$J$10000&gt;=ROUND($LD$3,0)),0),MATCH("DEFAULT_PA_PCT_SALES",'Margin Guidence Table'!$A$1:$AG$1,0))),0))</f>
        <v>0</v>
      </c>
      <c r="LU24" s="784">
        <f t="array" ref="LU24">IF('Customer Inputs'!$W$17="End",0,IFERROR(IF($LN24="SEGMENT",INDEX('Margin Guidence Table'!$A$1:$AG$10000,MATCH(1,('Margin Guidence Table'!$A$1:$A$10000=LL24)*('Margin Guidence Table'!$I$1:$I$10000&lt;=ROUND($LD$3,0))*('Margin Guidence Table'!$J$1:$J$10000&gt;=ROUND($LD$3,0)),0),MATCH("SELF_FUND_PCT_SALES",'Margin Guidence Table'!$A$1:$AG$1,0)),INDEX('Margin Guidence Table'!$A$1:$AG$10000,MATCH(1,('Margin Guidence Table'!$A$1:$A$10000=LL24)*('Margin Guidence Table'!$I$1:$I$10000&lt;=ROUND($LD$3,0))*('Margin Guidence Table'!$J$1:$J$10000&gt;=ROUND($LD$3,0)),0),MATCH("DEFAULT_SELF_FUND_PCT_SALES",'Margin Guidence Table'!$A$1:$AG$1,0))),0))</f>
        <v>0</v>
      </c>
      <c r="LV24" s="784">
        <f t="array" ref="LV24">IF('Customer Inputs'!$W$17="End",0,IF($LE$2="Existing",IFERROR(SUMIFS('Existing Customers'!$V:$V,'Existing Customers'!$H:$H,$LC24,'Existing Customers'!$A:$A,$LD$1)/SUMIFS('Existing Customers'!$Q:$Q,'Existing Customers'!$H:$H,$LC24,'Existing Customers'!$A:$A,$LD$1),0),IFERROR(IF($LN24="SEGMENT",INDEX('Margin Guidence Table'!$A$1:$AG$10000,MATCH(1,('Margin Guidence Table'!$A$1:$A$10000=LL24)*('Margin Guidence Table'!$I$1:$I$10000&lt;=ROUND($LD$3,0))*('Margin Guidence Table'!$J$1:$J$10000&gt;=ROUND($LD$3,0)),0),MATCH("CIA_MEDIAN_MARGIN_GUIDENCE",'Margin Guidence Table'!$A$1:$AG$1,0)),INDEX('Margin Guidence Table'!$A$1:$AG$10000,MATCH(1,('Margin Guidence Table'!$A$1:$A$10000=LL24)*('Margin Guidence Table'!$I$1:$I$10000&lt;=ROUND($LD$3,0))*('Margin Guidence Table'!$J$1:$J$10000&gt;=ROUND($LD$3,0)),0),MATCH("DEFAULT_CIA_MEDIAN_MARGIN_GUIDENCE",'Margin Guidence Table'!$A$1:$AG$1,0))),0)))</f>
        <v>0</v>
      </c>
      <c r="LW24" s="784"/>
      <c r="LX24" s="18">
        <f t="array" ref="LX24">IF('Customer Inputs'!$W$18="End",0,IFERROR(IF($MK24="SEGMENT",INDEX('Margin Guidence Table'!$A$1:$AG$10000,MATCH(1,('Margin Guidence Table'!$A$1:$A$10000=$MI24)*('Margin Guidence Table'!$I$1:$I$10000&lt;=ROUND($MA$3,0))*('Margin Guidence Table'!$J$1:$J$10000&gt;=ROUND($MA$3,0)),0),MATCH("PCT_SALES",'Margin Guidence Table'!$A$1:$AG$1,0)),INDEX('Margin Guidence Table'!$A$1:$AG$10000,MATCH(1,('Margin Guidence Table'!$A$1:$A$10000=$MI24)*('Margin Guidence Table'!$I$1:$I$10000&lt;=ROUND($MA$3,0))*('Margin Guidence Table'!$J$1:$J$10000&gt;=ROUND($MA$3,0)),0),MATCH("DEFAULT_PCT_SALES",'Margin Guidence Table'!$A$1:$AG$1,0))),0))</f>
        <v>0</v>
      </c>
      <c r="LY24" s="1713" t="e">
        <f t="shared" si="56"/>
        <v>#DIV/0!</v>
      </c>
      <c r="LZ24" s="99" t="s">
        <v>97</v>
      </c>
      <c r="MA24" s="91">
        <f>IF('Customer Inputs'!$W$18="End",0,IFERROR(IF(AND($MA$2&lt;&gt;"Enter Spend&gt;&gt;&gt;",$MB$2="EXISTING"),SUMIFS('Existing Customers'!$Q:$Q,'Existing Customers'!$A:$A,$MA$1,'Existing Customers'!$H:$H,$LZ24)*$MA$4,$MA$3*$LY24),0))</f>
        <v>0</v>
      </c>
      <c r="MB24" s="86">
        <f>IF('Customer Inputs'!$W$18="End",0,IFERROR(IF(AND($MA$2&lt;&gt;"Enter Spend&gt;&gt;&gt;",$MB$2="EXISTING"),SUMIFS('Existing Customers'!$N:$N,'Existing Customers'!$A:$A,$MA$1,'Existing Customers'!$H:$H,$LZ24)*$MA$4,$MA24/$ML24),0))</f>
        <v>0</v>
      </c>
      <c r="MC24" s="92">
        <f>IF('Customer Inputs'!$W$18="End",0,IFERROR(IF(AND($MA$2&lt;&gt;"Enter Spend&gt;&gt;&gt;",$MB$2="EXISTING"),SUMIFS('Existing Customers'!$O:$O,'Existing Customers'!$H:$H,$LZ24,'Existing Customers'!$A:$A,$MA$1)*$MA$4,$MB24*$MA$8),0))</f>
        <v>0</v>
      </c>
      <c r="MD24" s="92">
        <f>IF('Customer Inputs'!$W$18="End",0,IFERROR(IF(AND($MA$2&lt;&gt;"Enter Spend&gt;&gt;&gt;",$MB$2="EXISTING"),SUMIFS('Existing Customers'!$P:$P,'Existing Customers'!$A:$A,$MA$1,'Existing Customers'!$H:$H,$LZ24)*$MA$4,$MA24/$MM24),0))</f>
        <v>0</v>
      </c>
      <c r="ME24" s="303">
        <f>IF('Customer Inputs'!$W$18="End",0,IFERROR(IF(AND($MA$2&lt;&gt;"Enter Spend&gt;&gt;&gt;",$MB$2="EXISTING"),SUMIFS('Existing Customers'!$V:$V,'Existing Customers'!$H:$H,$LZ24,'Existing Customers'!$A:$A,$MA$1)*$MA$4,0),0))</f>
        <v>0</v>
      </c>
      <c r="MF24" s="93">
        <f>IF('Customer Inputs'!$W$18="End",0,IFERROR(IF(AND($MA$2&lt;&gt;"Enter Spend&gt;&gt;&gt;",$MB$2="EXISTING"),SUMIFS('Existing Customers'!$R:$R,'Existing Customers'!$H:$H,$LZ24,'Existing Customers'!$A:$A,$MA$1)*$MA$4,0),0))</f>
        <v>0</v>
      </c>
      <c r="MG24" s="780">
        <f>IF('Customer Inputs'!$W$18="End",0,IFERROR(IF(AND($MA$2&lt;&gt;"Enter Spend&gt;&gt;&gt;",$MB$2="EXISTING"),SUMIFS('Existing Customers'!$S:$S,'Existing Customers'!$H:$H,$LZ24,'Existing Customers'!$A:$A,$MA$1)/SUMIFS('Existing Customers'!$Q:$Q,'Existing Customers'!$A:$A,$MA$1,'Existing Customers'!$H:$H,$LZ24),MQ24),0))</f>
        <v>0</v>
      </c>
      <c r="MH24" s="780">
        <f>IF('Customer Inputs'!$W$18="End",0,IFERROR(IF(AND($MA$2&lt;&gt;"Enter Spend&gt;&gt;&gt;",$MB$2="EXISTING"),SUMIFS('Existing Customers'!$U:$U,'Existing Customers'!$H:$H,$LZ24,'Existing Customers'!$A:$A,$MA$1)/SUMIFS('Existing Customers'!$Q:$Q,'Existing Customers'!$A:$A,$MA$1,'Existing Customers'!$H:$H,$LZ24),MR24),0))</f>
        <v>0</v>
      </c>
      <c r="MI24" s="783" t="e">
        <f>_xlfn.CONCAT('Customer Inputs'!$AH$18,"_",LZ24)</f>
        <v>#N/A</v>
      </c>
      <c r="MJ24" s="783">
        <f t="array" ref="MJ24">IF('Customer Inputs'!$W$18="End",0,IFERROR(INDEX('Margin Guidence Table'!$A$1:$AG$10000,MATCH(1,('Margin Guidence Table'!$A$1:$A$10000=MI24)*('Margin Guidence Table'!$I$1:$I$10000&lt;=ROUND($MA$3,0))*('Margin Guidence Table'!$J$1:$J$10000&gt;=ROUND($MA$3,0)),0),MATCH("DATA_POINTS",'Margin Guidence Table'!$A$1:$AG$1,0)),0))</f>
        <v>0</v>
      </c>
      <c r="MK24" s="780" t="str">
        <f t="shared" si="57"/>
        <v>DEFAULT</v>
      </c>
      <c r="ML24" s="780">
        <f t="array" ref="ML24">IF('Customer Inputs'!$W$18="End",0,IFERROR(IF($MK24="SEGMENT",INDEX('Margin Guidence Table'!$A$1:$AG$10000,MATCH(1,('Margin Guidence Table'!$A$1:$A$10000=MI24)*('Margin Guidence Table'!$I$1:$I$10000&lt;=ROUND($MA$3,0))*('Margin Guidence Table'!$J$1:$J$10000&gt;=ROUND($MA$3,0)),0),MATCH("SALES_CASE",'Margin Guidence Table'!$A$1:$AG$1,0)),INDEX('Margin Guidence Table'!$A$1:$AG$10000,MATCH(1,('Margin Guidence Table'!$A$1:$A$10000=MI24)*('Margin Guidence Table'!$I$1:$I$10000&lt;=ROUND($MA$3,0))*('Margin Guidence Table'!$J$1:$J$10000&gt;=ROUND($MA$3,0)),0),MATCH("DEFAULT_SALES_CASE",'Margin Guidence Table'!$A$1:$AG$1,0))),0))</f>
        <v>0</v>
      </c>
      <c r="MM24" s="780">
        <f t="array" ref="MM24">IF('Customer Inputs'!$W$18="End",0,IFERROR(IF($MK24="SEGMENT",INDEX('Margin Guidence Table'!$A$1:$AG$10000,MATCH(1,('Margin Guidence Table'!$A$1:$A$10000=MI24)*('Margin Guidence Table'!$I$1:$I$10000&lt;=ROUND($MA$3,0))*('Margin Guidence Table'!$J$1:$J$10000&gt;=ROUND($MA$3,0)),0),MATCH("SALES_LBS",'Margin Guidence Table'!$A$1:$AG$1,0)),INDEX('Margin Guidence Table'!$A$1:$AG$10000,MATCH(1,('Margin Guidence Table'!$A$1:$A$10000=MI24)*('Margin Guidence Table'!$I$1:$I$10000&lt;=ROUND($MA$3,0))*('Margin Guidence Table'!$J$1:$J$10000&gt;=ROUND($MA$3,0)),0),MATCH("DEFAULT_SALES_LBS",'Margin Guidence Table'!$A$1:$AG$1,0))),0))</f>
        <v>0</v>
      </c>
      <c r="MN24" s="784">
        <f t="array" ref="MN24">IF('Customer Inputs'!$W$18="End",0,IFERROR(IF($MK24="SEGMENT",INDEX('Margin Guidence Table'!$A$1:$AG$10000,MATCH(1,('Margin Guidence Table'!$A$1:$A$10000=MI24)*('Margin Guidence Table'!$I$1:$I$10000&lt;=ROUND($MA$3,0))*('Margin Guidence Table'!$J$1:$J$10000&gt;=ROUND($MA$3,0)),0),MATCH("MDA_MIN_MARGIN_GUIDENCE",'Margin Guidence Table'!$A$1:$AG$1,0)),INDEX('Margin Guidence Table'!$A$1:$AG$10000,MATCH(1,('Margin Guidence Table'!$A$1:$A$10000=MI24)*('Margin Guidence Table'!$I$1:$I$10000&lt;=ROUND($MA$3,0))*('Margin Guidence Table'!$J$1:$J$10000&gt;=ROUND($MA$3,0)),0),MATCH("DEFAULT_MDA_MIN_MARGIN_GUIDENCE",'Margin Guidence Table'!$A$1:$AG$1,0))),0))</f>
        <v>0</v>
      </c>
      <c r="MO24" s="784">
        <f t="array" ref="MO24">IF('Customer Inputs'!$W$18="End",0,IFERROR(IF($MK24="SEGMENT",INDEX('Margin Guidence Table'!$A$1:$AG$10000,MATCH(1,('Margin Guidence Table'!$A$1:$A$10000=MI24)*('Margin Guidence Table'!$I$1:$I$10000&lt;=ROUND($MA$3,0))*('Margin Guidence Table'!$J$1:$J$10000&gt;=ROUND($MA$3,0)),0),MATCH("MDA_MEDIAN_MARGIN_GUIDENCE",'Margin Guidence Table'!$A$1:$AG$1,0)),INDEX('Margin Guidence Table'!$A$1:$AG$10000,MATCH(1,('Margin Guidence Table'!$A$1:$A$10000=MI24)*('Margin Guidence Table'!$I$1:$I$10000&lt;=ROUND($MA$3,0))*('Margin Guidence Table'!$J$1:$J$10000&gt;=ROUND($MA$3,0)),0),MATCH("DEFAULT_MDA_MEDIAN_MARGIN_GUIDENCE",'Margin Guidence Table'!$A$1:$AG$1,0))),0))</f>
        <v>0</v>
      </c>
      <c r="MP24" s="784">
        <f t="array" ref="MP24">IF('Customer Inputs'!$W$18="End",0,IFERROR(IF($MK24="SEGMENT",INDEX('Margin Guidence Table'!$A$1:$AG$10000,MATCH(1,('Margin Guidence Table'!$A$1:$A$10000=MI24)*('Margin Guidence Table'!$I$1:$I$10000&lt;=ROUND($MA$3,0))*('Margin Guidence Table'!$J$1:$J$10000&gt;=ROUND($MA$3,0)),0),MATCH("MDA_MAX_MARGIN_GUIDENCE",'Margin Guidence Table'!$A$1:$AG$1,0)),INDEX('Margin Guidence Table'!$A$1:$AG$10000,MATCH(1,('Margin Guidence Table'!$A$1:$A$10000=MI24)*('Margin Guidence Table'!$I$1:$I$10000&lt;=ROUND($MA$3,0))*('Margin Guidence Table'!$J$1:$J$10000&gt;=ROUND($MA$3,0)),0),MATCH("DEFAULT_MDA_MAX_MARGIN_GUIDENCE",'Margin Guidence Table'!$A$1:$AG$1,0))),0))</f>
        <v>0</v>
      </c>
      <c r="MQ24" s="784">
        <f t="array" ref="MQ24">IF('Customer Inputs'!$W$18="End",0,IFERROR(IF($MK24="SEGMENT",INDEX('Margin Guidence Table'!$A$1:$AG$10000,MATCH(1,('Margin Guidence Table'!$A$1:$A$10000=MI24)*('Margin Guidence Table'!$I$1:$I$10000&lt;=ROUND($MA$3,0))*('Margin Guidence Table'!$J$1:$J$10000&gt;=ROUND($MA$3,0)),0),MATCH("PA_PCT_SALES",'Margin Guidence Table'!$A$1:$AG$1,0)),INDEX('Margin Guidence Table'!$A$1:$AG$10000,MATCH(1,('Margin Guidence Table'!$A$1:$A$10000=MI24)*('Margin Guidence Table'!$I$1:$I$10000&lt;=ROUND($MA$3,0))*('Margin Guidence Table'!$J$1:$J$10000&gt;=ROUND($MA$3,0)),0),MATCH("DEFAULT_PA_PCT_SALES",'Margin Guidence Table'!$A$1:$AG$1,0))),0))</f>
        <v>0</v>
      </c>
      <c r="MR24" s="784">
        <f t="array" ref="MR24">IF('Customer Inputs'!$W$18="End",0,IFERROR(IF($MK24="SEGMENT",INDEX('Margin Guidence Table'!$A$1:$AG$10000,MATCH(1,('Margin Guidence Table'!$A$1:$A$10000=MI24)*('Margin Guidence Table'!$I$1:$I$10000&lt;=ROUND($MA$3,0))*('Margin Guidence Table'!$J$1:$J$10000&gt;=ROUND($MA$3,0)),0),MATCH("SELF_FUND_PCT_SALES",'Margin Guidence Table'!$A$1:$AG$1,0)),INDEX('Margin Guidence Table'!$A$1:$AG$10000,MATCH(1,('Margin Guidence Table'!$A$1:$A$10000=MI24)*('Margin Guidence Table'!$I$1:$I$10000&lt;=ROUND($MA$3,0))*('Margin Guidence Table'!$J$1:$J$10000&gt;=ROUND($MA$3,0)),0),MATCH("DEFAULT_SELF_FUND_PCT_SALES",'Margin Guidence Table'!$A$1:$AG$1,0))),0))</f>
        <v>0</v>
      </c>
      <c r="MS24" s="784">
        <f t="array" ref="MS24">IF('Customer Inputs'!$W$18="End",0,IF($MB$2="Existing",IFERROR(SUMIFS('Existing Customers'!$V:$V,'Existing Customers'!$H:$H,$LZ24,'Existing Customers'!$A:$A,$MA$1)/SUMIFS('Existing Customers'!$Q:$Q,'Existing Customers'!$H:$H,$LZ24,'Existing Customers'!$A:$A,$MA$1),0),IFERROR(IF($MK24="SEGMENT",INDEX('Margin Guidence Table'!$A$1:$AG$10000,MATCH(1,('Margin Guidence Table'!$A$1:$A$10000=MI24)*('Margin Guidence Table'!$I$1:$I$10000&lt;=ROUND($MA$3,0))*('Margin Guidence Table'!$J$1:$J$10000&gt;=ROUND($MA$3,0)),0),MATCH("CIA_MEDIAN_MARGIN_GUIDENCE",'Margin Guidence Table'!$A$1:$AG$1,0)),INDEX('Margin Guidence Table'!$A$1:$AG$10000,MATCH(1,('Margin Guidence Table'!$A$1:$A$10000=MI24)*('Margin Guidence Table'!$I$1:$I$10000&lt;=ROUND($MA$3,0))*('Margin Guidence Table'!$J$1:$J$10000&gt;=ROUND($MA$3,0)),0),MATCH("DEFAULT_CIA_MEDIAN_MARGIN_GUIDENCE",'Margin Guidence Table'!$A$1:$AG$1,0))),0)))</f>
        <v>0</v>
      </c>
      <c r="MT24" s="784"/>
      <c r="MU24" s="18">
        <f t="array" ref="MU24">IF('Customer Inputs'!$W$19="End",0,IFERROR(IF($NH24="SEGMENT",INDEX('Margin Guidence Table'!$A$1:$AG$10000,MATCH(1,('Margin Guidence Table'!$A$1:$A$10000=$NF24)*('Margin Guidence Table'!$I$1:$I$10000&lt;=ROUND($MX$3,0))*('Margin Guidence Table'!$J$1:$J$10000&gt;=ROUND($MX$3,0)),0),MATCH("PCT_SALES",'Margin Guidence Table'!$A$1:$AG$1,0)),INDEX('Margin Guidence Table'!$A$1:$AG$10000,MATCH(1,('Margin Guidence Table'!$A$1:$A$10000=$NF24)*('Margin Guidence Table'!$I$1:$I$10000&lt;=ROUND($MX$3,0))*('Margin Guidence Table'!$J$1:$J$10000&gt;=ROUND($MX$3,0)),0),MATCH("DEFAULT_PCT_SALES",'Margin Guidence Table'!$A$1:$AG$1,0))),0))</f>
        <v>0</v>
      </c>
      <c r="MV24" s="1713" t="e">
        <f t="shared" si="58"/>
        <v>#DIV/0!</v>
      </c>
      <c r="MW24" s="99" t="s">
        <v>97</v>
      </c>
      <c r="MX24" s="91">
        <f>IF('Customer Inputs'!$W$19="End",0,IFERROR(IF(AND($MX$2&lt;&gt;"Enter Spend&gt;&gt;&gt;",$MY$2="EXISTING"),SUMIFS('Existing Customers'!$Q:$Q,'Existing Customers'!$A:$A,$MX$1,'Existing Customers'!$H:$H,$MW24)*$MX$4,$MX$3*$MV24),0))</f>
        <v>0</v>
      </c>
      <c r="MY24" s="86">
        <f>IF('Customer Inputs'!$W$19="End",0,IFERROR(IF(AND($MX$2&lt;&gt;"Enter Spend&gt;&gt;&gt;",$MY$2="EXISTING"),SUMIFS('Existing Customers'!$N:$N,'Existing Customers'!$A:$A,$MX$1,'Existing Customers'!$H:$H,$MW24)*$MX$4,$MX24/$NI24),0))</f>
        <v>0</v>
      </c>
      <c r="MZ24" s="92">
        <f>IF('Customer Inputs'!$W$19="End",0,IFERROR(IF(AND($MX$2&lt;&gt;"Enter Spend&gt;&gt;&gt;",$MY$2="EXISTING"),SUMIFS('Existing Customers'!$O:$O,'Existing Customers'!$H:$H,$MW24,'Existing Customers'!$A:$A,$MX$1)*$MX$4,$MY24*$MX$8),0))</f>
        <v>0</v>
      </c>
      <c r="NA24" s="92">
        <f>IF('Customer Inputs'!$W$19="End",0,IFERROR(IF(AND($MX$2&lt;&gt;"Enter Spend&gt;&gt;&gt;",$MY$2="EXISTING"),SUMIFS('Existing Customers'!$P:$P,'Existing Customers'!$A:$A,$MX$1,'Existing Customers'!$H:$H,$MW24)*$MX$4,$MX24/$NJ24),0))</f>
        <v>0</v>
      </c>
      <c r="NB24" s="303">
        <f>IF('Customer Inputs'!$W$19="End",0,IFERROR(IF(AND($MX$2&lt;&gt;"Enter Spend&gt;&gt;&gt;",$MY$2="EXISTING"),SUMIFS('Existing Customers'!$V:$V,'Existing Customers'!$H:$H,$MW24,'Existing Customers'!$A:$A,$MX$1)*$MX$4,0),0))</f>
        <v>0</v>
      </c>
      <c r="NC24" s="93">
        <f>IF('Customer Inputs'!$W$19="End",0,IFERROR(IF(AND($MX$2&lt;&gt;"Enter Spend&gt;&gt;&gt;",$MY$2="EXISTING"),SUMIFS('Existing Customers'!$R:$R,'Existing Customers'!$H:$H,$MW24,'Existing Customers'!$A:$A,$MX$1)*$MX$4,0),0))</f>
        <v>0</v>
      </c>
      <c r="ND24" s="780">
        <f>IF('Customer Inputs'!$W$19="End",0,IFERROR(IF(AND($MX$2&lt;&gt;"Enter Spend&gt;&gt;&gt;",$MY$2="EXISTING"),SUMIFS('Existing Customers'!$S:$S,'Existing Customers'!$H:$H,$MW24,'Existing Customers'!$A:$A,$MX$1)/SUMIFS('Existing Customers'!$Q:$Q,'Existing Customers'!$A:$A,$MX$1,'Existing Customers'!$H:$H,$MW24),NN24),0))</f>
        <v>0</v>
      </c>
      <c r="NE24" s="780">
        <f>IF('Customer Inputs'!$W$19="End",0,IFERROR(IF(AND($MX$2&lt;&gt;"Enter Spend&gt;&gt;&gt;",$MY$2="EXISTING"),SUMIFS('Existing Customers'!$U:$U,'Existing Customers'!$H:$H,$MW24,'Existing Customers'!$A:$A,$MX$1)/SUMIFS('Existing Customers'!$Q:$Q,'Existing Customers'!$A:$A,$MX$1,'Existing Customers'!$H:$H,$MW24),NO24),0))</f>
        <v>0</v>
      </c>
      <c r="NF24" s="783" t="e">
        <f>_xlfn.CONCAT('Customer Inputs'!$AH$19,"_",MW24)</f>
        <v>#N/A</v>
      </c>
      <c r="NG24" s="783">
        <f t="array" ref="NG24">IF('Customer Inputs'!$W$19="End",0,IFERROR(INDEX('Margin Guidence Table'!$A$1:$AG$10000,MATCH(1,('Margin Guidence Table'!$A$1:$A$10000=NF24)*('Margin Guidence Table'!$I$1:$I$10000&lt;=ROUND($MX$3,0))*('Margin Guidence Table'!$J$1:$J$10000&gt;=ROUND($MX$3,0)),0),MATCH("DATA_POINTS",'Margin Guidence Table'!$A$1:$AG$1,0)),0))</f>
        <v>0</v>
      </c>
      <c r="NH24" s="780" t="str">
        <f t="shared" si="59"/>
        <v>DEFAULT</v>
      </c>
      <c r="NI24" s="780">
        <f t="array" ref="NI24">IF('Customer Inputs'!$W$19="End",0,IFERROR(IF($NH24="SEGMENT",INDEX('Margin Guidence Table'!$A$1:$AG$10000,MATCH(1,('Margin Guidence Table'!$A$1:$A$10000=NF24)*('Margin Guidence Table'!$I$1:$I$10000&lt;=ROUND($MX$3,0))*('Margin Guidence Table'!$J$1:$J$10000&gt;=ROUND($MX$3,0)),0),MATCH("SALES_CASE",'Margin Guidence Table'!$A$1:$AG$1,0)),INDEX('Margin Guidence Table'!$A$1:$AG$10000,MATCH(1,('Margin Guidence Table'!$A$1:$A$10000=NF24)*('Margin Guidence Table'!$I$1:$I$10000&lt;=ROUND($MX$3,0))*('Margin Guidence Table'!$J$1:$J$10000&gt;=ROUND($MX$3,0)),0),MATCH("DEFAULT_SALES_CASE",'Margin Guidence Table'!$A$1:$AG$1,0))),0))</f>
        <v>0</v>
      </c>
      <c r="NJ24" s="780">
        <f t="array" ref="NJ24">IF('Customer Inputs'!$W$19="End",0,IFERROR(IF($NH24="SEGMENT",INDEX('Margin Guidence Table'!$A$1:$AG$10000,MATCH(1,('Margin Guidence Table'!$A$1:$A$10000=NF24)*('Margin Guidence Table'!$I$1:$I$10000&lt;=ROUND($MX$3,0))*('Margin Guidence Table'!$J$1:$J$10000&gt;=ROUND($MX$3,0)),0),MATCH("SALES_LBS",'Margin Guidence Table'!$A$1:$AG$1,0)),INDEX('Margin Guidence Table'!$A$1:$AG$10000,MATCH(1,('Margin Guidence Table'!$A$1:$A$10000=NF24)*('Margin Guidence Table'!$I$1:$I$10000&lt;=ROUND($MX$3,0))*('Margin Guidence Table'!$J$1:$J$10000&gt;=ROUND($MX$3,0)),0),MATCH("DEFAULT_SALES_LBS",'Margin Guidence Table'!$A$1:$AG$1,0))),0))</f>
        <v>0</v>
      </c>
      <c r="NK24" s="784">
        <f t="array" ref="NK24">IF('Customer Inputs'!$W$19="End",0,IFERROR(IF($NH24="SEGMENT",INDEX('Margin Guidence Table'!$A$1:$AG$10000,MATCH(1,('Margin Guidence Table'!$A$1:$A$10000=NF24)*('Margin Guidence Table'!$I$1:$I$10000&lt;=ROUND($MX$3,0))*('Margin Guidence Table'!$J$1:$J$10000&gt;=ROUND($MX$3,0)),0),MATCH("MDA_MIN_MARGIN_GUIDENCE",'Margin Guidence Table'!$A$1:$AG$1,0)),INDEX('Margin Guidence Table'!$A$1:$AG$10000,MATCH(1,('Margin Guidence Table'!$A$1:$A$10000=NF24)*('Margin Guidence Table'!$I$1:$I$10000&lt;=ROUND($MX$3,0))*('Margin Guidence Table'!$J$1:$J$10000&gt;=ROUND($MX$3,0)),0),MATCH("DEFAULT_MDA_MIN_MARGIN_GUIDENCE",'Margin Guidence Table'!$A$1:$AG$1,0))),0))</f>
        <v>0</v>
      </c>
      <c r="NL24" s="784">
        <f t="array" ref="NL24">IF('Customer Inputs'!$W$19="End",0,IFERROR(IF($NH24="SEGMENT",INDEX('Margin Guidence Table'!$A$1:$AG$10000,MATCH(1,('Margin Guidence Table'!$A$1:$A$10000=NF24)*('Margin Guidence Table'!$I$1:$I$10000&lt;=ROUND($MX$3,0))*('Margin Guidence Table'!$J$1:$J$10000&gt;=ROUND($MX$3,0)),0),MATCH("MDA_MEDIAN_MARGIN_GUIDENCE",'Margin Guidence Table'!$A$1:$AG$1,0)),INDEX('Margin Guidence Table'!$A$1:$AG$10000,MATCH(1,('Margin Guidence Table'!$A$1:$A$10000=NF24)*('Margin Guidence Table'!$I$1:$I$10000&lt;=ROUND($MX$3,0))*('Margin Guidence Table'!$J$1:$J$10000&gt;=ROUND($MX$3,0)),0),MATCH("DEFAULT_MDA_MEDIAN_MARGIN_GUIDENCE",'Margin Guidence Table'!$A$1:$AG$1,0))),0))</f>
        <v>0</v>
      </c>
      <c r="NM24" s="784">
        <f t="array" ref="NM24">IF('Customer Inputs'!$W$19="End",0,IFERROR(IF($NH24="SEGMENT",INDEX('Margin Guidence Table'!$A$1:$AG$10000,MATCH(1,('Margin Guidence Table'!$A$1:$A$10000=NF24)*('Margin Guidence Table'!$I$1:$I$10000&lt;=ROUND($MX$3,0))*('Margin Guidence Table'!$J$1:$J$10000&gt;=ROUND($MX$3,0)),0),MATCH("MDA_MAX_MARGIN_GUIDENCE",'Margin Guidence Table'!$A$1:$AG$1,0)),INDEX('Margin Guidence Table'!$A$1:$AG$10000,MATCH(1,('Margin Guidence Table'!$A$1:$A$10000=NF24)*('Margin Guidence Table'!$I$1:$I$10000&lt;=ROUND($MX$3,0))*('Margin Guidence Table'!$J$1:$J$10000&gt;=ROUND($MX$3,0)),0),MATCH("DEFAULT_MDA_MAX_MARGIN_GUIDENCE",'Margin Guidence Table'!$A$1:$AG$1,0))),0))</f>
        <v>0</v>
      </c>
      <c r="NN24" s="784">
        <f t="array" ref="NN24">IF('Customer Inputs'!$W$19="End",0,IFERROR(IF($NH24="SEGMENT",INDEX('Margin Guidence Table'!$A$1:$AG$10000,MATCH(1,('Margin Guidence Table'!$A$1:$A$10000=NF24)*('Margin Guidence Table'!$I$1:$I$10000&lt;=ROUND($MX$3,0))*('Margin Guidence Table'!$J$1:$J$10000&gt;=ROUND($MX$3,0)),0),MATCH("PA_PCT_SALES",'Margin Guidence Table'!$A$1:$AG$1,0)),INDEX('Margin Guidence Table'!$A$1:$AG$10000,MATCH(1,('Margin Guidence Table'!$A$1:$A$10000=NF24)*('Margin Guidence Table'!$I$1:$I$10000&lt;=ROUND($MX$3,0))*('Margin Guidence Table'!$J$1:$J$10000&gt;=ROUND($MX$3,0)),0),MATCH("DEFAULT_PA_PCT_SALES",'Margin Guidence Table'!$A$1:$AG$1,0))),0))</f>
        <v>0</v>
      </c>
      <c r="NO24" s="784">
        <f t="array" ref="NO24">IF('Customer Inputs'!$W$19="End",0,IFERROR(IF($NH24="SEGMENT",INDEX('Margin Guidence Table'!$A$1:$AG$10000,MATCH(1,('Margin Guidence Table'!$A$1:$A$10000=NF24)*('Margin Guidence Table'!$I$1:$I$10000&lt;=ROUND($MX$3,0))*('Margin Guidence Table'!$J$1:$J$10000&gt;=ROUND($MX$3,0)),0),MATCH("SELF_FUND_PCT_SALES",'Margin Guidence Table'!$A$1:$AG$1,0)),INDEX('Margin Guidence Table'!$A$1:$AG$10000,MATCH(1,('Margin Guidence Table'!$A$1:$A$10000=NF24)*('Margin Guidence Table'!$I$1:$I$10000&lt;=ROUND($MX$3,0))*('Margin Guidence Table'!$J$1:$J$10000&gt;=ROUND($MX$3,0)),0),MATCH("DEFAULT_SELF_FUND_PCT_SALES",'Margin Guidence Table'!$A$1:$AG$1,0))),0))</f>
        <v>0</v>
      </c>
      <c r="NP24" s="784">
        <f t="array" ref="NP24">IF('Customer Inputs'!$W$19="End",0,IF($MY$2="Existing",IFERROR(SUMIFS('Existing Customers'!$V:$V,'Existing Customers'!$H:$H,$MW24,'Existing Customers'!$A:$A,$MX$1)/SUMIFS('Existing Customers'!$Q:$Q,'Existing Customers'!$H:$H,$MW24,'Existing Customers'!$A:$A,$MX$1),0),IFERROR(IF($NH24="SEGMENT",INDEX('Margin Guidence Table'!$A$1:$AG$10000,MATCH(1,('Margin Guidence Table'!$A$1:$A$10000=NF24)*('Margin Guidence Table'!$I$1:$I$10000&lt;=ROUND($MX$3,0))*('Margin Guidence Table'!$J$1:$J$10000&gt;=ROUND($MX$3,0)),0),MATCH("CIA_MEDIAN_MARGIN_GUIDENCE",'Margin Guidence Table'!$A$1:$AG$1,0)),INDEX('Margin Guidence Table'!$A$1:$AG$10000,MATCH(1,('Margin Guidence Table'!$A$1:$A$10000=NF24)*('Margin Guidence Table'!$I$1:$I$10000&lt;=ROUND($MX$3,0))*('Margin Guidence Table'!$J$1:$J$10000&gt;=ROUND($MX$3,0)),0),MATCH("DEFAULT_CIA_MEDIAN_MARGIN_GUIDENCE",'Margin Guidence Table'!$A$1:$AG$1,0))),0)))</f>
        <v>0</v>
      </c>
      <c r="NQ24" s="784"/>
      <c r="NR24" s="18">
        <f t="array" ref="NR24">IF('Customer Inputs'!$W$20="End",0,IFERROR(IF($OE24="SEGMENT",INDEX('Margin Guidence Table'!$A$1:$AG$10000,MATCH(1,('Margin Guidence Table'!$A$1:$A$10000=$OC24)*('Margin Guidence Table'!$I$1:$I$10000&lt;=ROUND($NU$3,0))*('Margin Guidence Table'!$J$1:$J$10000&gt;=ROUND($NU$3,0)),0),MATCH("PCT_SALES",'Margin Guidence Table'!$A$1:$AG$1,0)),INDEX('Margin Guidence Table'!$A$1:$AG$10000,MATCH(1,('Margin Guidence Table'!$A$1:$A$10000=$OC24)*('Margin Guidence Table'!$I$1:$I$10000&lt;=ROUND($NU$3,0))*('Margin Guidence Table'!$J$1:$J$10000&gt;=ROUND($NU$3,0)),0),MATCH("DEFAULT_PCT_SALES",'Margin Guidence Table'!$A$1:$AG$1,0))),0))</f>
        <v>0</v>
      </c>
      <c r="NS24" s="1713" t="e">
        <f t="shared" si="60"/>
        <v>#DIV/0!</v>
      </c>
      <c r="NT24" s="99" t="s">
        <v>97</v>
      </c>
      <c r="NU24" s="91">
        <f>IF('Customer Inputs'!$W$20="End",0,IFERROR(IF(AND($NU$2&lt;&gt;"Enter Spend&gt;&gt;&gt;",$NV$2="EXISTING"),SUMIFS('Existing Customers'!$Q:$Q,'Existing Customers'!$A:$A,$NU$1,'Existing Customers'!$H:$H,$NT24)*$NU$4,$NU$3*$NS24),0))</f>
        <v>0</v>
      </c>
      <c r="NV24" s="86">
        <f>IF('Customer Inputs'!$W$20="End",0,IFERROR(IF(AND($NU$2&lt;&gt;"Enter Spend&gt;&gt;&gt;",$NV$2="EXISTING"),SUMIFS('Existing Customers'!$N:$N,'Existing Customers'!$A:$A,$NU$1,'Existing Customers'!$H:$H,$NT24)*$NU$4,$NU24/$OF24),0))</f>
        <v>0</v>
      </c>
      <c r="NW24" s="92">
        <f>IF('Customer Inputs'!$W$20="End",0,IFERROR(IF(AND($NU$2&lt;&gt;"Enter Spend&gt;&gt;&gt;",$NV$2="EXISTING"),SUMIFS('Existing Customers'!$O:$O,'Existing Customers'!$H:$H,$NT24,'Existing Customers'!$A:$A,$NU$1)*$NU$4,$NV24*$NU$8),0))</f>
        <v>0</v>
      </c>
      <c r="NX24" s="92">
        <f>IF('Customer Inputs'!$W$20="End",0,IFERROR(IF(AND($NU$2&lt;&gt;"Enter Spend&gt;&gt;&gt;",$NV$2="EXISTING"),SUMIFS('Existing Customers'!$P:$P,'Existing Customers'!$A:$A,$NU$1,'Existing Customers'!$H:$H,$NT24)*$NU$4,$NU24/$OG24),0))</f>
        <v>0</v>
      </c>
      <c r="NY24" s="303">
        <f>IF('Customer Inputs'!$W$20="End",0,IFERROR(IF(AND($NU$2&lt;&gt;"Enter Spend&gt;&gt;&gt;",$NV$2="EXISTING"),SUMIFS('Existing Customers'!$V:$V,'Existing Customers'!$H:$H,$NT24,'Existing Customers'!$A:$A,$NU$1)*$NU$4,0),0))</f>
        <v>0</v>
      </c>
      <c r="NZ24" s="93">
        <f>IF('Customer Inputs'!$W$20="End",0,IFERROR(IF(AND($NU$2&lt;&gt;"Enter Spend&gt;&gt;&gt;",$NV$2="EXISTING"),SUMIFS('Existing Customers'!$R:$R,'Existing Customers'!$H:$H,$NT24,'Existing Customers'!$A:$A,$NU$1)*$NU$4,0),0))</f>
        <v>0</v>
      </c>
      <c r="OA24" s="780">
        <f>IF('Customer Inputs'!$W$20="End",0,IFERROR(IF(AND($NU$2&lt;&gt;"Enter Spend&gt;&gt;&gt;",$NV$2="EXISTING"),SUMIFS('Existing Customers'!$S:$S,'Existing Customers'!$H:$H,$NT24,'Existing Customers'!$A:$A,$NU$1)/SUMIFS('Existing Customers'!$Q:$Q,'Existing Customers'!$A:$A,$NU$1,'Existing Customers'!$H:$H,$NT24),OK24),0))</f>
        <v>0</v>
      </c>
      <c r="OB24" s="780">
        <f>IF('Customer Inputs'!$W$20="End",0,IFERROR(IF(AND($NU$2&lt;&gt;"Enter Spend&gt;&gt;&gt;",$NV$2="EXISTING"),SUMIFS('Existing Customers'!$U:$U,'Existing Customers'!$H:$H,$NT24,'Existing Customers'!$A:$A,$NU$1)/SUMIFS('Existing Customers'!$Q:$Q,'Existing Customers'!$A:$A,$NU$1,'Existing Customers'!$H:$H,$NT24),OL24),0))</f>
        <v>0</v>
      </c>
      <c r="OC24" s="783" t="e">
        <f>_xlfn.CONCAT('Customer Inputs'!$AH$20,"_",NT24)</f>
        <v>#N/A</v>
      </c>
      <c r="OD24" s="783">
        <f t="array" ref="OD24">IF('Customer Inputs'!$W$20="End",0,IFERROR(INDEX('Margin Guidence Table'!$A$1:$AG$10000,MATCH(1,('Margin Guidence Table'!$A$1:$A$10000=OC24)*('Margin Guidence Table'!$I$1:$I$10000&lt;=ROUND($NU$3,0))*('Margin Guidence Table'!$J$1:$J$10000&gt;=ROUND($NU$3,0)),0),MATCH("DATA_POINTS",'Margin Guidence Table'!$A$1:$AG$1,0)),0))</f>
        <v>0</v>
      </c>
      <c r="OE24" s="780" t="str">
        <f t="shared" si="61"/>
        <v>DEFAULT</v>
      </c>
      <c r="OF24" s="780">
        <f t="array" ref="OF24">IF('Customer Inputs'!$W$20="End",0,IFERROR(IF($OE24="SEGMENT",INDEX('Margin Guidence Table'!$A$1:$AG$10000,MATCH(1,('Margin Guidence Table'!$A$1:$A$10000=OC24)*('Margin Guidence Table'!$I$1:$I$10000&lt;=ROUND($NU$3,0))*('Margin Guidence Table'!$J$1:$J$10000&gt;=ROUND($NU$3,0)),0),MATCH("SALES_CASE",'Margin Guidence Table'!$A$1:$AG$1,0)),INDEX('Margin Guidence Table'!$A$1:$AG$10000,MATCH(1,('Margin Guidence Table'!$A$1:$A$10000=OC24)*('Margin Guidence Table'!$I$1:$I$10000&lt;=ROUND($NU$3,0))*('Margin Guidence Table'!$J$1:$J$10000&gt;=ROUND($NU$3,0)),0),MATCH("DEFAULT_SALES_CASE",'Margin Guidence Table'!$A$1:$AG$1,0))),0))</f>
        <v>0</v>
      </c>
      <c r="OG24" s="780">
        <f t="array" ref="OG24">IF('Customer Inputs'!$W$20="End",0,IFERROR(IF($OE24="SEGMENT",INDEX('Margin Guidence Table'!$A$1:$AG$10000,MATCH(1,('Margin Guidence Table'!$A$1:$A$10000=OC24)*('Margin Guidence Table'!$I$1:$I$10000&lt;=ROUND($NU$3,0))*('Margin Guidence Table'!$J$1:$J$10000&gt;=ROUND($NU$3,0)),0),MATCH("SALES_LBS",'Margin Guidence Table'!$A$1:$AG$1,0)),INDEX('Margin Guidence Table'!$A$1:$AG$10000,MATCH(1,('Margin Guidence Table'!$A$1:$A$10000=OC24)*('Margin Guidence Table'!$I$1:$I$10000&lt;=ROUND($NU$3,0))*('Margin Guidence Table'!$J$1:$J$10000&gt;=ROUND($NU$3,0)),0),MATCH("DEFAULT_SALES_LBS",'Margin Guidence Table'!$A$1:$AG$1,0))),0))</f>
        <v>0</v>
      </c>
      <c r="OH24" s="784">
        <f t="array" ref="OH24">IF('Customer Inputs'!$W$20="End",0,IFERROR(IF($OE24="SEGMENT",INDEX('Margin Guidence Table'!$A$1:$AG$10000,MATCH(1,('Margin Guidence Table'!$A$1:$A$10000=OC24)*('Margin Guidence Table'!$I$1:$I$10000&lt;=ROUND($NU$3,0))*('Margin Guidence Table'!$J$1:$J$10000&gt;=ROUND($NU$3,0)),0),MATCH("MDA_MIN_MARGIN_GUIDENCE",'Margin Guidence Table'!$A$1:$AG$1,0)),INDEX('Margin Guidence Table'!$A$1:$AG$10000,MATCH(1,('Margin Guidence Table'!$A$1:$A$10000=OC24)*('Margin Guidence Table'!$I$1:$I$10000&lt;=ROUND($NU$3,0))*('Margin Guidence Table'!$J$1:$J$10000&gt;=ROUND($NU$3,0)),0),MATCH("DEFAULT_MDA_MIN_MARGIN_GUIDENCE",'Margin Guidence Table'!$A$1:$AG$1,0))),0))</f>
        <v>0</v>
      </c>
      <c r="OI24" s="784">
        <f t="array" ref="OI24">IF('Customer Inputs'!$W$20="End",0,IFERROR(IF($OE24="SEGMENT",INDEX('Margin Guidence Table'!$A$1:$AG$10000,MATCH(1,('Margin Guidence Table'!$A$1:$A$10000=OC24)*('Margin Guidence Table'!$I$1:$I$10000&lt;=ROUND($NU$3,0))*('Margin Guidence Table'!$J$1:$J$10000&gt;=ROUND($NU$3,0)),0),MATCH("MDA_MEDIAN_MARGIN_GUIDENCE",'Margin Guidence Table'!$A$1:$AG$1,0)),INDEX('Margin Guidence Table'!$A$1:$AG$10000,MATCH(1,('Margin Guidence Table'!$A$1:$A$10000=OC24)*('Margin Guidence Table'!$I$1:$I$10000&lt;=ROUND($NU$3,0))*('Margin Guidence Table'!$J$1:$J$10000&gt;=ROUND($NU$3,0)),0),MATCH("DEFAULT_MDA_MEDIAN_MARGIN_GUIDENCE",'Margin Guidence Table'!$A$1:$AG$1,0))),0))</f>
        <v>0</v>
      </c>
      <c r="OJ24" s="784">
        <f t="array" ref="OJ24">IF('Customer Inputs'!$W$20="End",0,IFERROR(IF($OE24="SEGMENT",INDEX('Margin Guidence Table'!$A$1:$AG$10000,MATCH(1,('Margin Guidence Table'!$A$1:$A$10000=OC24)*('Margin Guidence Table'!$I$1:$I$10000&lt;=ROUND($NU$3,0))*('Margin Guidence Table'!$J$1:$J$10000&gt;=ROUND($NU$3,0)),0),MATCH("MDA_MAX_MARGIN_GUIDENCE",'Margin Guidence Table'!$A$1:$AG$1,0)),INDEX('Margin Guidence Table'!$A$1:$AG$10000,MATCH(1,('Margin Guidence Table'!$A$1:$A$10000=OC24)*('Margin Guidence Table'!$I$1:$I$10000&lt;=ROUND($NU$3,0))*('Margin Guidence Table'!$J$1:$J$10000&gt;=ROUND($NU$3,0)),0),MATCH("DEFAULT_MDA_MAX_MARGIN_GUIDENCE",'Margin Guidence Table'!$A$1:$AG$1,0))),0))</f>
        <v>0</v>
      </c>
      <c r="OK24" s="784">
        <f t="array" ref="OK24">IF('Customer Inputs'!$W$20="End",0,IFERROR(IF($OE24="SEGMENT",INDEX('Margin Guidence Table'!$A$1:$AG$10000,MATCH(1,('Margin Guidence Table'!$A$1:$A$10000=OC24)*('Margin Guidence Table'!$I$1:$I$10000&lt;=ROUND($NU$3,0))*('Margin Guidence Table'!$J$1:$J$10000&gt;=ROUND($NU$3,0)),0),MATCH("PA_PCT_SALES",'Margin Guidence Table'!$A$1:$AG$1,0)),INDEX('Margin Guidence Table'!$A$1:$AG$10000,MATCH(1,('Margin Guidence Table'!$A$1:$A$10000=OC24)*('Margin Guidence Table'!$I$1:$I$10000&lt;=ROUND($NU$3,0))*('Margin Guidence Table'!$J$1:$J$10000&gt;=ROUND($NU$3,0)),0),MATCH("DEFAULT_PA_PCT_SALES",'Margin Guidence Table'!$A$1:$AG$1,0))),0))</f>
        <v>0</v>
      </c>
      <c r="OL24" s="784">
        <f t="array" ref="OL24">IF('Customer Inputs'!$W$20="End",0,IFERROR(IF($OE24="SEGMENT",INDEX('Margin Guidence Table'!$A$1:$AG$10000,MATCH(1,('Margin Guidence Table'!$A$1:$A$10000=OC24)*('Margin Guidence Table'!$I$1:$I$10000&lt;=ROUND($NU$3,0))*('Margin Guidence Table'!$J$1:$J$10000&gt;=ROUND($NU$3,0)),0),MATCH("SELF_FUND_PCT_SALES",'Margin Guidence Table'!$A$1:$AG$1,0)),INDEX('Margin Guidence Table'!$A$1:$AG$10000,MATCH(1,('Margin Guidence Table'!$A$1:$A$10000=OC24)*('Margin Guidence Table'!$I$1:$I$10000&lt;=ROUND($NU$3,0))*('Margin Guidence Table'!$J$1:$J$10000&gt;=ROUND($NU$3,0)),0),MATCH("DEFAULT_SELF_FUND_PCT_SALES",'Margin Guidence Table'!$A$1:$AG$1,0))),0))</f>
        <v>0</v>
      </c>
      <c r="OM24" s="784">
        <f t="array" ref="OM24">IF('Customer Inputs'!$W$20="End",0,IF($NV$2="Existing",IFERROR(SUMIFS('Existing Customers'!$V:$V,'Existing Customers'!$H:$H,$NT24,'Existing Customers'!$A:$A,$NU$1)/SUMIFS('Existing Customers'!$Q:$Q,'Existing Customers'!$H:$H,$NT24,'Existing Customers'!$A:$A,$NU$1),0),IFERROR(IF($OE24="SEGMENT",INDEX('Margin Guidence Table'!$A$1:$AG$10000,MATCH(1,('Margin Guidence Table'!$A$1:$A$10000=OC24)*('Margin Guidence Table'!$I$1:$I$10000&lt;=ROUND($NU$3,0))*('Margin Guidence Table'!$J$1:$J$10000&gt;=ROUND($NU$3,0)),0),MATCH("CIA_MEDIAN_MARGIN_GUIDENCE",'Margin Guidence Table'!$A$1:$AG$1,0)),INDEX('Margin Guidence Table'!$A$1:$AG$10000,MATCH(1,('Margin Guidence Table'!$A$1:$A$10000=OC24)*('Margin Guidence Table'!$I$1:$I$10000&lt;=ROUND($NU$3,0))*('Margin Guidence Table'!$J$1:$J$10000&gt;=ROUND($NU$3,0)),0),MATCH("DEFAULT_CIA_MEDIAN_MARGIN_GUIDENCE",'Margin Guidence Table'!$A$1:$AG$1,0))),0)))</f>
        <v>0</v>
      </c>
      <c r="ON24" s="784"/>
      <c r="OO24" s="18">
        <f t="array" ref="OO24">IF('Customer Inputs'!$W$21="End",0,IFERROR(IF($PB24="SEGMENT",INDEX('Margin Guidence Table'!$A$1:$AG$10000,MATCH(1,('Margin Guidence Table'!$A$1:$A$10000=$OZ24)*('Margin Guidence Table'!$I$1:$I$10000&lt;=ROUND($OR$3,0))*('Margin Guidence Table'!$J$1:$J$10000&gt;=ROUND($OR$3,0)),0),MATCH("PCT_SALES",'Margin Guidence Table'!$A$1:$AG$1,0)),INDEX('Margin Guidence Table'!$A$1:$AG$10000,MATCH(1,('Margin Guidence Table'!$A$1:$A$10000=$OZ24)*('Margin Guidence Table'!$I$1:$I$10000&lt;=ROUND($OR$3,0))*('Margin Guidence Table'!$J$1:$J$10000&gt;=ROUND($OR$3,0)),0),MATCH("DEFAULT_PCT_SALES",'Margin Guidence Table'!$A$1:$AG$1,0))),0))</f>
        <v>0</v>
      </c>
      <c r="OP24" s="1713" t="e">
        <f t="shared" si="62"/>
        <v>#DIV/0!</v>
      </c>
      <c r="OQ24" s="99" t="s">
        <v>97</v>
      </c>
      <c r="OR24" s="91">
        <f>IF('Customer Inputs'!$W$21="End",0,IFERROR(IF(AND($OR$2&lt;&gt;"Enter Spend&gt;&gt;&gt;",$OS$2="EXISTING"),SUMIFS('Existing Customers'!$Q:$Q,'Existing Customers'!$A:$A,$OR$1,'Existing Customers'!$H:$H,$OQ24)*$OR$4,$OR$3*$OP24),0))</f>
        <v>0</v>
      </c>
      <c r="OS24" s="86">
        <f>IF('Customer Inputs'!$W$21="End",0,IFERROR(IF(AND($OR$2&lt;&gt;"Enter Spend&gt;&gt;&gt;",$OS$2="EXISTING"),SUMIFS('Existing Customers'!$N:$N,'Existing Customers'!$A:$A,$OR$1,'Existing Customers'!$H:$H,$OQ24)*$OR$4,$OR24/$PC24),0))</f>
        <v>0</v>
      </c>
      <c r="OT24" s="92">
        <f>IF('Customer Inputs'!$W$21="End",0,IFERROR(IF(AND($OR$2&lt;&gt;"Enter Spend&gt;&gt;&gt;",$OS$2="EXISTING"),SUMIFS('Existing Customers'!$O:$O,'Existing Customers'!$H:$H,$OQ24,'Existing Customers'!$A:$A,$OR$1)*$OR$4,$OS24*$OR$8),0))</f>
        <v>0</v>
      </c>
      <c r="OU24" s="92">
        <f>IF('Customer Inputs'!$W$21="End",0,IFERROR(IF(AND($OR$2&lt;&gt;"Enter Spend&gt;&gt;&gt;",$OS$2="EXISTING"),SUMIFS('Existing Customers'!$P:$P,'Existing Customers'!$A:$A,$OR$1,'Existing Customers'!$H:$H,$OQ24)*$OR$4,$OR24/$PD24),0))</f>
        <v>0</v>
      </c>
      <c r="OV24" s="303">
        <f>IF('Customer Inputs'!$W$21="End",0,IFERROR(IF(AND($OR$2&lt;&gt;"Enter Spend&gt;&gt;&gt;",$OS$2="EXISTING"),SUMIFS('Existing Customers'!$V:$V,'Existing Customers'!$H:$H,$OQ24,'Existing Customers'!$A:$A,$OR$1)*$OR$4,0),0))</f>
        <v>0</v>
      </c>
      <c r="OW24" s="93">
        <f>IF('Customer Inputs'!$W$21="End",0,IFERROR(IF(AND($OR$2&lt;&gt;"Enter Spend&gt;&gt;&gt;",$OS$2="EXISTING"),SUMIFS('Existing Customers'!$R:$R,'Existing Customers'!$H:$H,$OP24,'Existing Customers'!$A:$A,$OR$1)*$OR$4,0),0))</f>
        <v>0</v>
      </c>
      <c r="OX24" s="780">
        <f>IF('Customer Inputs'!$W$21="End",0,IFERROR(IF(AND($OR$2&lt;&gt;"Enter Spend&gt;&gt;&gt;",$OS$2="EXISTING"),SUMIFS('Existing Customers'!$S:$S,'Existing Customers'!$H:$H,$OQ24,'Existing Customers'!$A:$A,$OR$1)/SUMIFS('Existing Customers'!$Q:$Q,'Existing Customers'!$A:$A,$OR$1,'Existing Customers'!$H:$H,$OQ24),PH24),0))</f>
        <v>0</v>
      </c>
      <c r="OY24" s="780">
        <f>IF('Customer Inputs'!$W$21="End",0,IFERROR(IF(AND($OR$2&lt;&gt;"Enter Spend&gt;&gt;&gt;",$OS$2="EXISTING"),SUMIFS('Existing Customers'!$U:$U,'Existing Customers'!$H:$H,$OQ24,'Existing Customers'!$A:$A,$OR$1)/SUMIFS('Existing Customers'!$Q:$Q,'Existing Customers'!$A:$A,$OR$1,'Existing Customers'!$H:$H,$OQ24),PI24),0))</f>
        <v>0</v>
      </c>
      <c r="OZ24" s="783" t="e">
        <f>_xlfn.CONCAT('Customer Inputs'!$AH$21,"_",OQ24)</f>
        <v>#N/A</v>
      </c>
      <c r="PA24" s="783">
        <f t="array" ref="PA24">IF('Customer Inputs'!$W$22="End",0,IFERROR(INDEX('Margin Guidence Table'!$A$1:$AG$10000,MATCH(1,('Margin Guidence Table'!$A$1:$A$10000=OZ24)*('Margin Guidence Table'!$I$1:$I$10000&lt;=ROUND($OR$3,0))*('Margin Guidence Table'!$J$1:$J$10000&gt;=ROUND($OR$3,0)),0),MATCH("DATA_POINTS",'Margin Guidence Table'!$A$1:$AG$1,0)),0))</f>
        <v>0</v>
      </c>
      <c r="PB24" s="780" t="str">
        <f t="shared" si="63"/>
        <v>DEFAULT</v>
      </c>
      <c r="PC24" s="780">
        <f t="array" ref="PC24">IF('Customer Inputs'!$W$21="End",0,IFERROR(IF($PB24="SEGMENT",INDEX('Margin Guidence Table'!$A$1:$AG$10000,MATCH(1,('Margin Guidence Table'!$A$1:$A$10000=OZ24)*('Margin Guidence Table'!$I$1:$I$10000&lt;=ROUND($OR$3,0))*('Margin Guidence Table'!$J$1:$J$10000&gt;=ROUND($OR$3,0)),0),MATCH("SALES_CASE",'Margin Guidence Table'!$A$1:$AG$1,0)),INDEX('Margin Guidence Table'!$A$1:$AG$10000,MATCH(1,('Margin Guidence Table'!$A$1:$A$10000=OZ24)*('Margin Guidence Table'!$I$1:$I$10000&lt;=ROUND($OR$3,0))*('Margin Guidence Table'!$J$1:$J$10000&gt;=ROUND($OR$3,0)),0),MATCH("DEFAULT_SALES_CASE",'Margin Guidence Table'!$A$1:$AG$1,0))),0))</f>
        <v>0</v>
      </c>
      <c r="PD24" s="780">
        <f t="array" ref="PD24">IF('Customer Inputs'!$W$21="End",0,IFERROR(IF($PB24="SEGMENT",INDEX('Margin Guidence Table'!$A$1:$AG$10000,MATCH(1,('Margin Guidence Table'!$A$1:$A$10000=OZ24)*('Margin Guidence Table'!$I$1:$I$10000&lt;=ROUND($OR$3,0))*('Margin Guidence Table'!$J$1:$J$10000&gt;=ROUND($OR$3,0)),0),MATCH("SALES_LBS",'Margin Guidence Table'!$A$1:$AG$1,0)),INDEX('Margin Guidence Table'!$A$1:$AG$10000,MATCH(1,('Margin Guidence Table'!$A$1:$A$10000=OZ24)*('Margin Guidence Table'!$I$1:$I$10000&lt;=ROUND($OR$3,0))*('Margin Guidence Table'!$J$1:$J$10000&gt;=ROUND($OR$3,0)),0),MATCH("DEFAULT_SALES_LBS",'Margin Guidence Table'!$A$1:$AG$1,0))),0))</f>
        <v>0</v>
      </c>
      <c r="PE24" s="784">
        <f t="array" ref="PE24">IF('Customer Inputs'!$W$21="End",0,IFERROR(IF($PB24="SEGMENT",INDEX('Margin Guidence Table'!$A$1:$AG$10000,MATCH(1,('Margin Guidence Table'!$A$1:$A$10000=OZ24)*('Margin Guidence Table'!$I$1:$I$10000&lt;=ROUND($OR$3,0))*('Margin Guidence Table'!$J$1:$J$10000&gt;=ROUND($OR$3,0)),0),MATCH("MDA_MIN_MARGIN_GUIDENCE",'Margin Guidence Table'!$A$1:$AG$1,0)),INDEX('Margin Guidence Table'!$A$1:$AG$10000,MATCH(1,('Margin Guidence Table'!$A$1:$A$10000=OZ24)*('Margin Guidence Table'!$I$1:$I$10000&lt;=ROUND($OR$3,0))*('Margin Guidence Table'!$J$1:$J$10000&gt;=ROUND($OR$3,0)),0),MATCH("DEFAULT_MDA_MIN_MARGIN_GUIDENCE",'Margin Guidence Table'!$A$1:$AG$1,0))),0))</f>
        <v>0</v>
      </c>
      <c r="PF24" s="784">
        <f t="array" ref="PF24">IF('Customer Inputs'!$W$21="End",0,IFERROR(IF($PB24="SEGMENT",INDEX('Margin Guidence Table'!$A$1:$AG$10000,MATCH(1,('Margin Guidence Table'!$A$1:$A$10000=OZ24)*('Margin Guidence Table'!$I$1:$I$10000&lt;=ROUND($OR$3,0))*('Margin Guidence Table'!$J$1:$J$10000&gt;=ROUND($OR$3,0)),0),MATCH("MDA_MEDIAN_MARGIN_GUIDENCE",'Margin Guidence Table'!$A$1:$AG$1,0)),INDEX('Margin Guidence Table'!$A$1:$AG$10000,MATCH(1,('Margin Guidence Table'!$A$1:$A$10000=OZ24)*('Margin Guidence Table'!$I$1:$I$10000&lt;=ROUND($OR$3,0))*('Margin Guidence Table'!$J$1:$J$10000&gt;=ROUND($OR$3,0)),0),MATCH("DEFAULT_MDA_MEDIAN_MARGIN_GUIDENCE",'Margin Guidence Table'!$A$1:$AG$1,0))),0))</f>
        <v>0</v>
      </c>
      <c r="PG24" s="784">
        <f t="array" ref="PG24">IF('Customer Inputs'!$W$21="End",0,IFERROR(IF($PB24="SEGMENT",INDEX('Margin Guidence Table'!$A$1:$AG$10000,MATCH(1,('Margin Guidence Table'!$A$1:$A$10000=OZ24)*('Margin Guidence Table'!$I$1:$I$10000&lt;=ROUND($OR$3,0))*('Margin Guidence Table'!$J$1:$J$10000&gt;=ROUND($OR$3,0)),0),MATCH("MDA_MAX_MARGIN_GUIDENCE",'Margin Guidence Table'!$A$1:$AG$1,0)),INDEX('Margin Guidence Table'!$A$1:$AG$10000,MATCH(1,('Margin Guidence Table'!$A$1:$A$10000=OZ24)*('Margin Guidence Table'!$I$1:$I$10000&lt;=ROUND($OR$3,0))*('Margin Guidence Table'!$J$1:$J$10000&gt;=ROUND($OR$3,0)),0),MATCH("DEFAULT_MDA_MAX_MARGIN_GUIDENCE",'Margin Guidence Table'!$A$1:$AG$1,0))),0))</f>
        <v>0</v>
      </c>
      <c r="PH24" s="784">
        <f t="array" ref="PH24">IF('Customer Inputs'!$W$21="End",0,IFERROR(IF($PB24="SEGMENT",INDEX('Margin Guidence Table'!$A$1:$AG$10000,MATCH(1,('Margin Guidence Table'!$A$1:$A$10000=OZ24)*('Margin Guidence Table'!$I$1:$I$10000&lt;=ROUND($OR$3,0))*('Margin Guidence Table'!$J$1:$J$10000&gt;=ROUND($OR$3,0)),0),MATCH("PA_PCT_SALES",'Margin Guidence Table'!$A$1:$AG$1,0)),INDEX('Margin Guidence Table'!$A$1:$AG$10000,MATCH(1,('Margin Guidence Table'!$A$1:$A$10000=OZ24)*('Margin Guidence Table'!$I$1:$I$10000&lt;=ROUND($OR$3,0))*('Margin Guidence Table'!$J$1:$J$10000&gt;=ROUND($OR$3,0)),0),MATCH("DEFAULT_PA_PCT_SALES",'Margin Guidence Table'!$A$1:$AG$1,0))),0))</f>
        <v>0</v>
      </c>
      <c r="PI24" s="784">
        <f t="array" ref="PI24">IF('Customer Inputs'!$W$21="End",0,IFERROR(IF($PB24="SEGMENT",INDEX('Margin Guidence Table'!$A$1:$AG$10000,MATCH(1,('Margin Guidence Table'!$A$1:$A$10000=OZ24)*('Margin Guidence Table'!$I$1:$I$10000&lt;=ROUND($OR$3,0))*('Margin Guidence Table'!$J$1:$J$10000&gt;=ROUND($OR$3,0)),0),MATCH("SELF_FUND_PCT_SALES",'Margin Guidence Table'!$A$1:$AG$1,0)),INDEX('Margin Guidence Table'!$A$1:$AG$10000,MATCH(1,('Margin Guidence Table'!$A$1:$A$10000=OZ24)*('Margin Guidence Table'!$I$1:$I$10000&lt;=ROUND($OR$3,0))*('Margin Guidence Table'!$J$1:$J$10000&gt;=ROUND($OR$3,0)),0),MATCH("DEFAULT_SELF_FUND_PCT_SALES",'Margin Guidence Table'!$A$1:$AG$1,0))),0))</f>
        <v>0</v>
      </c>
      <c r="PJ24" s="784">
        <f t="array" ref="PJ24">IF('Customer Inputs'!$W$21="End",0,IF($OS$2="Existing",IFERROR(SUMIFS('Existing Customers'!$V:$V,'Existing Customers'!$H:$H,$OQ24,'Existing Customers'!$A:$A,$OR$1)/SUMIFS('Existing Customers'!$Q:$Q,'Existing Customers'!$H:$H,$OQ24,'Existing Customers'!$A:$A,$OR$1),0),IFERROR(IF($PB24="SEGMENT",INDEX('Margin Guidence Table'!$A$1:$AG$10000,MATCH(1,('Margin Guidence Table'!$A$1:$A$10000=OZ24)*('Margin Guidence Table'!$I$1:$I$10000&lt;=ROUND($OR$3,0))*('Margin Guidence Table'!$J$1:$J$10000&gt;=ROUND($OR$3,0)),0),MATCH("CIA_MEDIAN_MARGIN_GUIDENCE",'Margin Guidence Table'!$A$1:$AG$1,0)),INDEX('Margin Guidence Table'!$A$1:$AG$10000,MATCH(1,('Margin Guidence Table'!$A$1:$A$10000=OZ24)*('Margin Guidence Table'!$I$1:$I$10000&lt;=ROUND($OR$3,0))*('Margin Guidence Table'!$J$1:$J$10000&gt;=ROUND($OR$3,0)),0),MATCH("DEFAULT_CIA_MEDIAN_MARGIN_GUIDENCE",'Margin Guidence Table'!$A$1:$AG$1,0))),0)))</f>
        <v>0</v>
      </c>
      <c r="PK24" s="784"/>
      <c r="PL24" s="18">
        <f t="array" ref="PL24">IF('Customer Inputs'!$W$22="End",0,IFERROR(IF($PY24="SEGMENT",INDEX('Margin Guidence Table'!$A$1:$AG$10000,MATCH(1,('Margin Guidence Table'!$A$1:$A$10000=$PW24)*('Margin Guidence Table'!$I$1:$I$10000&lt;=ROUND($PO$3,0))*('Margin Guidence Table'!$J$1:$J$10000&gt;=ROUND($PO$3,0)),0),MATCH("PCT_SALES",'Margin Guidence Table'!$A$1:$AG$1,0)),INDEX('Margin Guidence Table'!$A$1:$AG$10000,MATCH(1,('Margin Guidence Table'!$A$1:$A$10000=$PW24)*('Margin Guidence Table'!$I$1:$I$10000&lt;=ROUND($PO$3,0))*('Margin Guidence Table'!$J$1:$J$10000&gt;=ROUND($PO$3,0)),0),MATCH("DEFAULT_PCT_SALES",'Margin Guidence Table'!$A$1:$AG$1,0))),0))</f>
        <v>0</v>
      </c>
      <c r="PM24" s="1713" t="e">
        <f t="shared" si="64"/>
        <v>#DIV/0!</v>
      </c>
      <c r="PN24" s="99" t="s">
        <v>97</v>
      </c>
      <c r="PO24" s="91">
        <f>IF('Customer Inputs'!$W$22="End",0,IFERROR(IF(AND($PO$2&lt;&gt;"Enter Spend&gt;&gt;&gt;",$PP$2="EXISTING"),SUMIFS('Existing Customers'!$Q:$Q,'Existing Customers'!$A:$A,$PO$1,'Existing Customers'!$H:$H,$PN24)*$PO$4,$PO$3*$PM24),0))</f>
        <v>0</v>
      </c>
      <c r="PP24" s="86">
        <f>IF('Customer Inputs'!$W$22="End",0,IFERROR(IF(AND($PO$2&lt;&gt;"Enter Spend&gt;&gt;&gt;",$PP$2="EXISTING"),SUMIFS('Existing Customers'!$N:$N,'Existing Customers'!$A:$A,$PO$1,'Existing Customers'!$H:$H,$PN24)*$PO$4,$PO24/$PZ24),0))</f>
        <v>0</v>
      </c>
      <c r="PQ24" s="92">
        <f>IF('Customer Inputs'!$W$22="End",0,IFERROR(IF(AND($PO$2&lt;&gt;"Enter Spend&gt;&gt;&gt;",$PP$2="EXISTING"),SUMIFS('Existing Customers'!$O:$O,'Existing Customers'!$H:$H,$PN24,'Existing Customers'!$A:$A,$PO$1)*$PO$4,$PP24*$PO$8),0))</f>
        <v>0</v>
      </c>
      <c r="PR24" s="92">
        <f>IF('Customer Inputs'!$W$22="End",0,IFERROR(IF(AND($PO$2&lt;&gt;"Enter Spend&gt;&gt;&gt;",$PP$2="EXISTING"),SUMIFS('Existing Customers'!$P:$P,'Existing Customers'!$A:$A,$PO$1,'Existing Customers'!$H:$H,$PN24)*$PO$4,$PO24/$QA24),0))</f>
        <v>0</v>
      </c>
      <c r="PS24" s="303">
        <f>IF('Customer Inputs'!$W$22="End",0,IFERROR(IF(AND($PO$2&lt;&gt;"Enter Spend&gt;&gt;&gt;",$PP$2="EXISTING"),SUMIFS('Existing Customers'!$V:$V,'Existing Customers'!$H:$H,$PN24,'Existing Customers'!$A:$A,$PO$1)*$PO$4,0),0))</f>
        <v>0</v>
      </c>
      <c r="PT24" s="93">
        <f>IF('Customer Inputs'!$W$22="End",0,IFERROR(IF(AND($PO$2&lt;&gt;"Enter Spend&gt;&gt;&gt;",$PP$2="EXISTING"),SUMIFS('Existing Customers'!$R:$R,'Existing Customers'!$H:$H,$PN24,'Existing Customers'!$A:$A,$PO$1)*$PO$4,0),0))</f>
        <v>0</v>
      </c>
      <c r="PU24" s="780">
        <f>IF('Customer Inputs'!$W$22="End",0,IFERROR(IF(AND($PO$2&lt;&gt;"Enter Spend&gt;&gt;&gt;",$PP$2="EXISTING"),SUMIFS('Existing Customers'!$S:$S,'Existing Customers'!$H:$H,$PN24,'Existing Customers'!$A:$A,$PO$1)/SUMIFS('Existing Customers'!$Q:$Q,'Existing Customers'!$A:$A,$PO$1,'Existing Customers'!$H:$H,$PN24),QE24),0))</f>
        <v>0</v>
      </c>
      <c r="PV24" s="780">
        <f>IF('Customer Inputs'!$W$22="End",0,IFERROR(IF(AND($PO$2&lt;&gt;"Enter Spend&gt;&gt;&gt;",$PP$2="EXISTING"),SUMIFS('Existing Customers'!$U:$U,'Existing Customers'!$H:$H,$PN24,'Existing Customers'!$A:$A,$PO$1)/SUMIFS('Existing Customers'!$Q:$Q,'Existing Customers'!$A:$A,$PO$1,'Existing Customers'!$H:$H,$PN24),QF24),0))</f>
        <v>0</v>
      </c>
      <c r="PW24" s="783" t="e">
        <f>_xlfn.CONCAT('Customer Inputs'!$AH$22,"_",PN24)</f>
        <v>#N/A</v>
      </c>
      <c r="PX24" s="783">
        <f t="array" ref="PX24">IF('Customer Inputs'!$W$22="End",0,IFERROR(INDEX('Margin Guidence Table'!$A$1:$AG$10000,MATCH(1,('Margin Guidence Table'!$A$1:$A$10000=PW24)*('Margin Guidence Table'!$I$1:$I$10000&lt;=ROUND($PO$3,0))*('Margin Guidence Table'!$J$1:$J$10000&gt;=ROUND($PO$3,0)),0),MATCH("DATA_POINTS",'Margin Guidence Table'!$A$1:$AG$1,0)),0))</f>
        <v>0</v>
      </c>
      <c r="PY24" s="780" t="str">
        <f t="shared" si="65"/>
        <v>DEFAULT</v>
      </c>
      <c r="PZ24" s="780">
        <f t="array" ref="PZ24">IF('Customer Inputs'!$W$22="End",0,IFERROR(IF($PY24="SEGMENT",INDEX('Margin Guidence Table'!$A$1:$AG$10000,MATCH(1,('Margin Guidence Table'!$A$1:$A$10000=PW24)*('Margin Guidence Table'!$I$1:$I$10000&lt;=ROUND($PO$3,0))*('Margin Guidence Table'!$J$1:$J$10000&gt;=ROUND($PO$3,0)),0),MATCH("SALES_CASE",'Margin Guidence Table'!$A$1:$AG$1,0)),INDEX('Margin Guidence Table'!$A$1:$AG$10000,MATCH(1,('Margin Guidence Table'!$A$1:$A$10000=PW24)*('Margin Guidence Table'!$I$1:$I$10000&lt;=ROUND($PO$3,0))*('Margin Guidence Table'!$J$1:$J$10000&gt;=ROUND($PO$3,0)),0),MATCH("DEFAULT_SALES_CASE",'Margin Guidence Table'!$A$1:$AG$1,0))),0))</f>
        <v>0</v>
      </c>
      <c r="QA24" s="780">
        <f t="array" ref="QA24">IF('Customer Inputs'!$W$22="End",0,IFERROR(IF($PY24="SEGMENT",INDEX('Margin Guidence Table'!$A$1:$AG$10000,MATCH(1,('Margin Guidence Table'!$A$1:$A$10000=PW24)*('Margin Guidence Table'!$I$1:$I$10000&lt;=ROUND($PO$3,0))*('Margin Guidence Table'!$J$1:$J$10000&gt;=ROUND($PO$3,0)),0),MATCH("SALES_LBS",'Margin Guidence Table'!$A$1:$AG$1,0)),INDEX('Margin Guidence Table'!$A$1:$AG$10000,MATCH(1,('Margin Guidence Table'!$A$1:$A$10000=PW24)*('Margin Guidence Table'!$I$1:$I$10000&lt;=ROUND($PO$3,0))*('Margin Guidence Table'!$J$1:$J$10000&gt;=ROUND($PO$3,0)),0),MATCH("DEFAULT_SALES_LBS",'Margin Guidence Table'!$A$1:$AG$1,0))),0))</f>
        <v>0</v>
      </c>
      <c r="QB24" s="784">
        <f t="array" ref="QB24">IF('Customer Inputs'!$W$22="End",0,IFERROR(IF($PY24="SEGMENT",INDEX('Margin Guidence Table'!$A$1:$AG$10000,MATCH(1,('Margin Guidence Table'!$A$1:$A$10000=PW24)*('Margin Guidence Table'!$I$1:$I$10000&lt;=ROUND($PO$3,0))*('Margin Guidence Table'!$J$1:$J$10000&gt;=ROUND($PO$3,0)),0),MATCH("MDA_MIN_MARGIN_GUIDENCE",'Margin Guidence Table'!$A$1:$AG$1,0)),INDEX('Margin Guidence Table'!$A$1:$AG$10000,MATCH(1,('Margin Guidence Table'!$A$1:$A$10000=PW24)*('Margin Guidence Table'!$I$1:$I$10000&lt;=ROUND($PO$3,0))*('Margin Guidence Table'!$J$1:$J$10000&gt;=ROUND($PO$3,0)),0),MATCH("DEFAULT_MDA_MIN_MARGIN_GUIDENCE",'Margin Guidence Table'!$A$1:$AG$1,0))),0))</f>
        <v>0</v>
      </c>
      <c r="QC24" s="784">
        <f t="array" ref="QC24">IF('Customer Inputs'!$W$22="End",0,IFERROR(IF($PY24="SEGMENT",INDEX('Margin Guidence Table'!$A$1:$AG$10000,MATCH(1,('Margin Guidence Table'!$A$1:$A$10000=PW24)*('Margin Guidence Table'!$I$1:$I$10000&lt;=ROUND($PO$3,0))*('Margin Guidence Table'!$J$1:$J$10000&gt;=ROUND($PO$3,0)),0),MATCH("MDA_MEDIAN_MARGIN_GUIDENCE",'Margin Guidence Table'!$A$1:$AG$1,0)),INDEX('Margin Guidence Table'!$A$1:$AG$10000,MATCH(1,('Margin Guidence Table'!$A$1:$A$10000=PW24)*('Margin Guidence Table'!$I$1:$I$10000&lt;=ROUND($PO$3,0))*('Margin Guidence Table'!$J$1:$J$10000&gt;=ROUND($PO$3,0)),0),MATCH("DEFAULT_MDA_MEDIAN_MARGIN_GUIDENCE",'Margin Guidence Table'!$A$1:$AG$1,0))),0))</f>
        <v>0</v>
      </c>
      <c r="QD24" s="784">
        <f t="array" ref="QD24">IF('Customer Inputs'!$W$22="End",0,IFERROR(IF($PY24="SEGMENT",INDEX('Margin Guidence Table'!$A$1:$AG$10000,MATCH(1,('Margin Guidence Table'!$A$1:$A$10000=PW24)*('Margin Guidence Table'!$I$1:$I$10000&lt;=ROUND($PO$3,0))*('Margin Guidence Table'!$J$1:$J$10000&gt;=ROUND($PO$3,0)),0),MATCH("MDA_MAX_MARGIN_GUIDENCE",'Margin Guidence Table'!$A$1:$AG$1,0)),INDEX('Margin Guidence Table'!$A$1:$AG$10000,MATCH(1,('Margin Guidence Table'!$A$1:$A$10000=PW24)*('Margin Guidence Table'!$I$1:$I$10000&lt;=ROUND($PO$3,0))*('Margin Guidence Table'!$J$1:$J$10000&gt;=ROUND($PO$3,0)),0),MATCH("DEFAULT_MDA_MAX_MARGIN_GUIDENCE",'Margin Guidence Table'!$A$1:$AG$1,0))),0))</f>
        <v>0</v>
      </c>
      <c r="QE24" s="784">
        <f t="array" ref="QE24">IF('Customer Inputs'!$W$22="End",0,IFERROR(IF($PY24="SEGMENT",INDEX('Margin Guidence Table'!$A$1:$AG$10000,MATCH(1,('Margin Guidence Table'!$A$1:$A$10000=PW24)*('Margin Guidence Table'!$I$1:$I$10000&lt;=ROUND($PO$3,0))*('Margin Guidence Table'!$J$1:$J$10000&gt;=ROUND($PO$3,0)),0),MATCH("PA_PCT_SALES",'Margin Guidence Table'!$A$1:$AG$1,0)),INDEX('Margin Guidence Table'!$A$1:$AG$10000,MATCH(1,('Margin Guidence Table'!$A$1:$A$10000=PW24)*('Margin Guidence Table'!$I$1:$I$10000&lt;=ROUND($PO$3,0))*('Margin Guidence Table'!$J$1:$J$10000&gt;=ROUND($PO$3,0)),0),MATCH("DEFAULT_PA_PCT_SALES",'Margin Guidence Table'!$A$1:$AG$1,0))),0))</f>
        <v>0</v>
      </c>
      <c r="QF24" s="784">
        <f t="array" ref="QF24">IF('Customer Inputs'!$W$22="End",0,IFERROR(IF($PY24="SEGMENT",INDEX('Margin Guidence Table'!$A$1:$AG$10000,MATCH(1,('Margin Guidence Table'!$A$1:$A$10000=PW24)*('Margin Guidence Table'!$I$1:$I$10000&lt;=ROUND($PO$3,0))*('Margin Guidence Table'!$J$1:$J$10000&gt;=ROUND($PO$3,0)),0),MATCH("SELF_FUND_PCT_SALES",'Margin Guidence Table'!$A$1:$AG$1,0)),INDEX('Margin Guidence Table'!$A$1:$AG$10000,MATCH(1,('Margin Guidence Table'!$A$1:$A$10000=PW24)*('Margin Guidence Table'!$I$1:$I$10000&lt;=ROUND($PO$3,0))*('Margin Guidence Table'!$J$1:$J$10000&gt;=ROUND($PO$3,0)),0),MATCH("DEFAULT_SELF_FUND_PCT_SALES",'Margin Guidence Table'!$A$1:$AG$1,0))),0))</f>
        <v>0</v>
      </c>
      <c r="QG24" s="784">
        <f t="array" ref="QG24">IF('Customer Inputs'!$W$22="End",0,IF($PP$2="Existing",IFERROR(SUMIFS('Existing Customers'!$V:$V,'Existing Customers'!$H:$H,$PN24,'Existing Customers'!$A:$A,$PO$1)/SUMIFS('Existing Customers'!$Q:$Q,'Existing Customers'!$H:$H,$PN24,'Existing Customers'!$A:$A,$PO$1),0),IFERROR(IF($PY24="SEGMENT",INDEX('Margin Guidence Table'!$A$1:$AG$10000,MATCH(1,('Margin Guidence Table'!$A$1:$A$10000=PW24)*('Margin Guidence Table'!$I$1:$I$10000&lt;=ROUND($PO$3,0))*('Margin Guidence Table'!$J$1:$J$10000&gt;=ROUND($PO$3,0)),0),MATCH("CIA_MEDIAN_MARGIN_GUIDENCE",'Margin Guidence Table'!$A$1:$AG$1,0)),INDEX('Margin Guidence Table'!$A$1:$AG$10000,MATCH(1,('Margin Guidence Table'!$A$1:$A$10000=PW24)*('Margin Guidence Table'!$I$1:$I$10000&lt;=ROUND($PO$3,0))*('Margin Guidence Table'!$J$1:$J$10000&gt;=ROUND($PO$3,0)),0),MATCH("DEFAULT_CIA_MEDIAN_MARGIN_GUIDENCE",'Margin Guidence Table'!$A$1:$AG$1,0))),0)))</f>
        <v>0</v>
      </c>
      <c r="QH24" s="784"/>
      <c r="QI24" s="18">
        <f t="array" ref="QI24">IF('Customer Inputs'!$W$23="End",0,IFERROR(IF($QV24="SEGMENT",INDEX('Margin Guidence Table'!$A$1:$AG$10000,MATCH(1,('Margin Guidence Table'!$A$1:$A$10000=$QT24)*('Margin Guidence Table'!$I$1:$I$10000&lt;=ROUND($QL$3,0))*('Margin Guidence Table'!$J$1:$J$10000&gt;=ROUND($QL$3,0)),0),MATCH("PCT_SALES",'Margin Guidence Table'!$A$1:$AG$1,0)),INDEX('Margin Guidence Table'!$A$1:$AG$10000,MATCH(1,('Margin Guidence Table'!$A$1:$A$10000=$QT24)*('Margin Guidence Table'!$I$1:$I$10000&lt;=ROUND($QL$3,0))*('Margin Guidence Table'!$J$1:$J$10000&gt;=ROUND($QL$3,0)),0),MATCH("DEFAULT_PCT_SALES",'Margin Guidence Table'!$A$1:$AG$1,0))),0))</f>
        <v>0</v>
      </c>
      <c r="QJ24" s="1713" t="e">
        <f t="shared" si="66"/>
        <v>#DIV/0!</v>
      </c>
      <c r="QK24" s="99" t="s">
        <v>97</v>
      </c>
      <c r="QL24" s="91">
        <f>IF('Customer Inputs'!$W$23="End",0,IFERROR(IF(AND($QL$2&lt;&gt;"Enter Spend&gt;&gt;&gt;",$QM$2="EXISTING"),SUMIFS('Existing Customers'!$Q:$Q,'Existing Customers'!$A:$A,$QL$1,'Existing Customers'!$H:$H,$QK24)*$QL$4,$QL$3*$QJ24),0))</f>
        <v>0</v>
      </c>
      <c r="QM24" s="86">
        <f>IF('Customer Inputs'!$W$23="End",0,IFERROR(IF(AND($QL$2&lt;&gt;"Enter Spend&gt;&gt;&gt;",$QM$2="EXISTING"),SUMIFS('Existing Customers'!$N:$N,'Existing Customers'!$A:$A,$QL$1,'Existing Customers'!$H:$H,$QK24)*$QL$4,$QL24/$QW24),0))</f>
        <v>0</v>
      </c>
      <c r="QN24" s="92">
        <f>IF('Customer Inputs'!$W$23="End",0,IFERROR(IF(AND($QL$2&lt;&gt;"Enter Spend&gt;&gt;&gt;",$QM$2="EXISTING"),SUMIFS('Existing Customers'!$O:$O,'Existing Customers'!$H:$H,$QK24,'Existing Customers'!$A:$A,$QL$1)*$QL$4,$QM24*$QL$8),0))</f>
        <v>0</v>
      </c>
      <c r="QO24" s="92">
        <f>IF('Customer Inputs'!$W$23="End",0,IFERROR(IF(AND($QL$2&lt;&gt;"Enter Spend&gt;&gt;&gt;",$QM$2="EXISTING"),SUMIFS('Existing Customers'!$P:$P,'Existing Customers'!$A:$A,$QL$1,'Existing Customers'!$H:$H,$QK24)*$QL$4,$QL24/$QX24),0))</f>
        <v>0</v>
      </c>
      <c r="QP24" s="303">
        <f>IF('Customer Inputs'!$W$23="End",0,IFERROR(IF(AND($QL$2&lt;&gt;"Enter Spend&gt;&gt;&gt;",$QM$2="EXISTING"),SUMIFS('Existing Customers'!$V:$V,'Existing Customers'!$H:$H,$QK24,'Existing Customers'!$A:$A,$QL$1)*$QL$4,0),0))</f>
        <v>0</v>
      </c>
      <c r="QQ24" s="93">
        <f>IF('Customer Inputs'!$W$23="End",0,IFERROR(IF(AND($QL$2&lt;&gt;"Enter Spend&gt;&gt;&gt;",$QM$2="EXISTING"),SUMIFS('Existing Customers'!$R:$R,'Existing Customers'!$H:$H,$QK24,'Existing Customers'!$A:$A,$QL$1)*$QL$4,0),0))</f>
        <v>0</v>
      </c>
      <c r="QR24" s="780">
        <f>IF('Customer Inputs'!$W$23="End",0,IFERROR(IF(AND($QL$2&lt;&gt;"Enter Spend&gt;&gt;&gt;",$QM$2="EXISTING"),SUMIFS('Existing Customers'!$S:$S,'Existing Customers'!$H:$H,$QK24,'Existing Customers'!$A:$A,$QL$1)/SUMIFS('Existing Customers'!$Q:$Q,'Existing Customers'!$A:$A,$QL$1,'Existing Customers'!$H:$H,$QK24),RB24),0))</f>
        <v>0</v>
      </c>
      <c r="QS24" s="780">
        <f>IF('Customer Inputs'!$W$23="End",0,IFERROR(IF(AND($QL$2&lt;&gt;"Enter Spend&gt;&gt;&gt;",$QM$2="EXISTING"),SUMIFS('Existing Customers'!$U:$U,'Existing Customers'!$H:$H,$QK24,'Existing Customers'!$A:$A,$QL$1)/SUMIFS('Existing Customers'!$Q:$Q,'Existing Customers'!$A:$A,$QL$1,'Existing Customers'!$H:$H,$QK24),RC24),0))</f>
        <v>0</v>
      </c>
      <c r="QT24" s="783" t="e">
        <f>_xlfn.CONCAT('Customer Inputs'!$AH$23,"_",QK24)</f>
        <v>#N/A</v>
      </c>
      <c r="QU24" s="783">
        <f t="array" ref="QU24">IF('Customer Inputs'!$W$23="End",0,IFERROR(INDEX('Margin Guidence Table'!$A$1:$AG$10000,MATCH(1,('Margin Guidence Table'!$A$1:$A$10000=QT24)*('Margin Guidence Table'!$I$1:$I$10000&lt;=ROUND($QL$3,0))*('Margin Guidence Table'!$J$1:$J$10000&gt;=ROUND($QL$3,0)),0),MATCH("DATA_POINTS",'Margin Guidence Table'!$A$1:$AG$1,0)),0))</f>
        <v>0</v>
      </c>
      <c r="QV24" s="780" t="str">
        <f t="shared" si="67"/>
        <v>DEFAULT</v>
      </c>
      <c r="QW24" s="780">
        <f t="array" ref="QW24">IF('Customer Inputs'!$W$23="End",0,IFERROR(IF($QV24="SEGMENT",INDEX('Margin Guidence Table'!$A$1:$AG$10000,MATCH(1,('Margin Guidence Table'!$A$1:$A$10000=QT24)*('Margin Guidence Table'!$I$1:$I$10000&lt;=ROUND($QL$3,0))*('Margin Guidence Table'!$J$1:$J$10000&gt;=ROUND($QL$3,0)),0),MATCH("SALES_CASE",'Margin Guidence Table'!$A$1:$AG$1,0)),INDEX('Margin Guidence Table'!$A$1:$AG$10000,MATCH(1,('Margin Guidence Table'!$A$1:$A$10000=QT24)*('Margin Guidence Table'!$I$1:$I$10000&lt;=ROUND($QL$3,0))*('Margin Guidence Table'!$J$1:$J$10000&gt;=ROUND($QL$3,0)),0),MATCH("DEFAULT_SALES_CASE",'Margin Guidence Table'!$A$1:$AG$1,0))),0))</f>
        <v>0</v>
      </c>
      <c r="QX24" s="780">
        <f t="array" ref="QX24">IF('Customer Inputs'!$W$23="End",0,IFERROR(IF($QV24="SEGMENT",INDEX('Margin Guidence Table'!$A$1:$AG$10000,MATCH(1,('Margin Guidence Table'!$A$1:$A$10000=QT24)*('Margin Guidence Table'!$I$1:$I$10000&lt;=ROUND($QL$3,0))*('Margin Guidence Table'!$J$1:$J$10000&gt;=ROUND($QL$3,0)),0),MATCH("SALES_LBS",'Margin Guidence Table'!$A$1:$AG$1,0)),INDEX('Margin Guidence Table'!$A$1:$AG$10000,MATCH(1,('Margin Guidence Table'!$A$1:$A$10000=QT24)*('Margin Guidence Table'!$I$1:$I$10000&lt;=ROUND($QL$3,0))*('Margin Guidence Table'!$J$1:$J$10000&gt;=ROUND($QL$3,0)),0),MATCH("DEFAULT_SALES_LBS",'Margin Guidence Table'!$A$1:$AG$1,0))),0))</f>
        <v>0</v>
      </c>
      <c r="QY24" s="784">
        <f t="array" ref="QY24">IF('Customer Inputs'!$W$23="End",0,IFERROR(IF($QV24="SEGMENT",INDEX('Margin Guidence Table'!$A$1:$AG$10000,MATCH(1,('Margin Guidence Table'!$A$1:$A$10000=QT24)*('Margin Guidence Table'!$I$1:$I$10000&lt;=ROUND($QL$3,0))*('Margin Guidence Table'!$J$1:$J$10000&gt;=ROUND($QL$3,0)),0),MATCH("MDA_MIN_MARGIN_GUIDENCE",'Margin Guidence Table'!$A$1:$AG$1,0)),INDEX('Margin Guidence Table'!$A$1:$AG$10000,MATCH(1,('Margin Guidence Table'!$A$1:$A$10000=QT24)*('Margin Guidence Table'!$I$1:$I$10000&lt;=ROUND($QL$3,0))*('Margin Guidence Table'!$J$1:$J$10000&gt;=ROUND($QL$3,0)),0),MATCH("DEFAULT_MDA_MIN_MARGIN_GUIDENCE",'Margin Guidence Table'!$A$1:$AG$1,0))),0))</f>
        <v>0</v>
      </c>
      <c r="QZ24" s="784">
        <f t="array" ref="QZ24">IF('Customer Inputs'!$W$23="End",0,IFERROR(IF($QV24="SEGMENT",INDEX('Margin Guidence Table'!$A$1:$AG$10000,MATCH(1,('Margin Guidence Table'!$A$1:$A$10000=QT24)*('Margin Guidence Table'!$I$1:$I$10000&lt;=ROUND($QL$3,0))*('Margin Guidence Table'!$J$1:$J$10000&gt;=ROUND($QL$3,0)),0),MATCH("MDA_MEDIAN_MARGIN_GUIDENCE",'Margin Guidence Table'!$A$1:$AG$1,0)),INDEX('Margin Guidence Table'!$A$1:$AG$10000,MATCH(1,('Margin Guidence Table'!$A$1:$A$10000=QT24)*('Margin Guidence Table'!$I$1:$I$10000&lt;=ROUND($QL$3,0))*('Margin Guidence Table'!$J$1:$J$10000&gt;=ROUND($QL$3,0)),0),MATCH("DEFAULT_MDA_MEDIAN_MARGIN_GUIDENCE",'Margin Guidence Table'!$A$1:$AG$1,0))),0))</f>
        <v>0</v>
      </c>
      <c r="RA24" s="784">
        <f t="array" ref="RA24">IF('Customer Inputs'!$W$23="End",0,IFERROR(IF($QV24="SEGMENT",INDEX('Margin Guidence Table'!$A$1:$AG$10000,MATCH(1,('Margin Guidence Table'!$A$1:$A$10000=QT24)*('Margin Guidence Table'!$I$1:$I$10000&lt;=ROUND($QL$3,0))*('Margin Guidence Table'!$J$1:$J$10000&gt;=ROUND($QL$3,0)),0),MATCH("MDA_MAX_MARGIN_GUIDENCE",'Margin Guidence Table'!$A$1:$AG$1,0)),INDEX('Margin Guidence Table'!$A$1:$AG$10000,MATCH(1,('Margin Guidence Table'!$A$1:$A$10000=QT24)*('Margin Guidence Table'!$I$1:$I$10000&lt;=ROUND($QL$3,0))*('Margin Guidence Table'!$J$1:$J$10000&gt;=ROUND($QL$3,0)),0),MATCH("DEFAULT_MDA_MAX_MARGIN_GUIDENCE",'Margin Guidence Table'!$A$1:$AG$1,0))),0))</f>
        <v>0</v>
      </c>
      <c r="RB24" s="784">
        <f t="array" ref="RB24">IF('Customer Inputs'!$W$23="End",0,IFERROR(IF($QV24="SEGMENT",INDEX('Margin Guidence Table'!$A$1:$AG$10000,MATCH(1,('Margin Guidence Table'!$A$1:$A$10000=QT24)*('Margin Guidence Table'!$I$1:$I$10000&lt;=ROUND($QL$3,0))*('Margin Guidence Table'!$J$1:$J$10000&gt;=ROUND($QL$3,0)),0),MATCH("PA_PCT_SALES",'Margin Guidence Table'!$A$1:$AG$1,0)),INDEX('Margin Guidence Table'!$A$1:$AG$10000,MATCH(1,('Margin Guidence Table'!$A$1:$A$10000=QT24)*('Margin Guidence Table'!$I$1:$I$10000&lt;=ROUND($QL$3,0))*('Margin Guidence Table'!$J$1:$J$10000&gt;=ROUND($QL$3,0)),0),MATCH("DEFAULT_PA_PCT_SALES",'Margin Guidence Table'!$A$1:$AG$1,0))),0))</f>
        <v>0</v>
      </c>
      <c r="RC24" s="784">
        <f t="array" ref="RC24">IF('Customer Inputs'!$W$23="End",0,IFERROR(IF($QV24="SEGMENT",INDEX('Margin Guidence Table'!$A$1:$AG$10000,MATCH(1,('Margin Guidence Table'!$A$1:$A$10000=QT24)*('Margin Guidence Table'!$I$1:$I$10000&lt;=ROUND($QL$3,0))*('Margin Guidence Table'!$J$1:$J$10000&gt;=ROUND($QL$3,0)),0),MATCH("SELF_FUND_PCT_SALES",'Margin Guidence Table'!$A$1:$AG$1,0)),INDEX('Margin Guidence Table'!$A$1:$AG$10000,MATCH(1,('Margin Guidence Table'!$A$1:$A$10000=QT24)*('Margin Guidence Table'!$I$1:$I$10000&lt;=ROUND($QL$3,0))*('Margin Guidence Table'!$J$1:$J$10000&gt;=ROUND($QL$3,0)),0),MATCH("DEFAULT_SELF_FUND_PCT_SALES",'Margin Guidence Table'!$A$1:$AG$1,0))),0))</f>
        <v>0</v>
      </c>
      <c r="RD24" s="784">
        <f t="array" ref="RD24">IF('Customer Inputs'!$W$23="End",0,IF($QM$2="Existing",IFERROR(SUMIFS('Existing Customers'!$V:$V,'Existing Customers'!$H:$H,$QK24,'Existing Customers'!$A:$A,$QL$1)/SUMIFS('Existing Customers'!$Q:$Q,'Existing Customers'!$H:$H,$QK24,'Existing Customers'!$A:$A,$QL$1),0),IFERROR(IF($QV24="SEGMENT",INDEX('Margin Guidence Table'!$A$1:$AG$10000,MATCH(1,('Margin Guidence Table'!$A$1:$A$10000=QT24)*('Margin Guidence Table'!$I$1:$I$10000&lt;=ROUND($QL$3,0))*('Margin Guidence Table'!$J$1:$J$10000&gt;=ROUND($QL$3,0)),0),MATCH("CIA_MEDIAN_MARGIN_GUIDENCE",'Margin Guidence Table'!$A$1:$AG$1,0)),INDEX('Margin Guidence Table'!$A$1:$AG$10000,MATCH(1,('Margin Guidence Table'!$A$1:$A$10000=QT24)*('Margin Guidence Table'!$I$1:$I$10000&lt;=ROUND($QL$3,0))*('Margin Guidence Table'!$J$1:$J$10000&gt;=ROUND($QL$3,0)),0),MATCH("DEFAULT_CIA_MEDIAN_MARGIN_GUIDENCE",'Margin Guidence Table'!$A$1:$AG$1,0))),0)))</f>
        <v>0</v>
      </c>
      <c r="RE24" s="784"/>
      <c r="RF24" s="18">
        <f t="array" ref="RF24">IF('Customer Inputs'!$W$24="End",0,IFERROR(IF($RS24="SEGMENT",INDEX('Margin Guidence Table'!$A$1:$AG$10000,MATCH(1,('Margin Guidence Table'!$A$1:$A$10000=$RQ24)*('Margin Guidence Table'!$I$1:$I$10000&lt;=ROUND($RI$3,0))*('Margin Guidence Table'!$J$1:$J$10000&gt;=ROUND($RI$3,0)),0),MATCH("PCT_SALES",'Margin Guidence Table'!$A$1:$AG$1,0)),INDEX('Margin Guidence Table'!$A$1:$AG$10000,MATCH(1,('Margin Guidence Table'!$A$1:$A$10000=$RQ24)*('Margin Guidence Table'!$I$1:$I$10000&lt;=ROUND($RI$3,0))*('Margin Guidence Table'!$J$1:$J$10000&gt;=ROUND($RI$3,0)),0),MATCH("DEFAULT_PCT_SALES",'Margin Guidence Table'!$A$1:$AG$1,0))),0))</f>
        <v>0</v>
      </c>
      <c r="RG24" s="1713" t="e">
        <f t="shared" si="68"/>
        <v>#DIV/0!</v>
      </c>
      <c r="RH24" s="99" t="s">
        <v>97</v>
      </c>
      <c r="RI24" s="91">
        <f>IF('Customer Inputs'!$W$24="End",0,IFERROR(IF(AND($RI$2&lt;&gt;"Enter Spend&gt;&gt;&gt;",$RJ$2="EXISTING"),SUMIFS('Existing Customers'!$Q:$Q,'Existing Customers'!$A:$A,$RI$1,'Existing Customers'!$H:$H,$RH24)*$RI$4,$RI$3*$RG24),0))</f>
        <v>0</v>
      </c>
      <c r="RJ24" s="86">
        <f>IF('Customer Inputs'!$W$24="End",0,IFERROR(IF(AND($RI$2&lt;&gt;"Enter Spend&gt;&gt;&gt;",$RJ$2="EXISTING"),SUMIFS('Existing Customers'!$N:$N,'Existing Customers'!$A:$A,$RI$1,'Existing Customers'!$H:$H,$RH24)*$RI$4,$RI24/$RT24),0))</f>
        <v>0</v>
      </c>
      <c r="RK24" s="92">
        <f>IF('Customer Inputs'!$W$24="End",0,IFERROR(IF(AND($RI$2&lt;&gt;"Enter Spend&gt;&gt;&gt;",$RJ$2="EXISTING"),SUMIFS('Existing Customers'!$O:$O,'Existing Customers'!$H:$H,$RH24,'Existing Customers'!$A:$A,$RI$1)*$RI$4,$RJ24*$RI$8),0))</f>
        <v>0</v>
      </c>
      <c r="RL24" s="92">
        <f>IF('Customer Inputs'!$W$24="End",0,IFERROR(IF(AND($RI$2&lt;&gt;"Enter Spend&gt;&gt;&gt;",$RJ$2="EXISTING"),SUMIFS('Existing Customers'!$P:$P,'Existing Customers'!$A:$A,$RI$1,'Existing Customers'!$H:$H,$RH24)*$RI$4,$RI24/$RU24),0))</f>
        <v>0</v>
      </c>
      <c r="RM24" s="303">
        <f>IF('Customer Inputs'!$W$24="End",0,IFERROR(IF(AND($RI$2&lt;&gt;"Enter Spend&gt;&gt;&gt;",$RJ$2="EXISTING"),SUMIFS('Existing Customers'!$V:$V,'Existing Customers'!$H:$H,$RH24,'Existing Customers'!$A:$A,$RI$1)*$RI$4,0),0))</f>
        <v>0</v>
      </c>
      <c r="RN24" s="93">
        <f>IF('Customer Inputs'!$W$24="End",0,IFERROR(IF(AND($RI$2&lt;&gt;"Enter Spend&gt;&gt;&gt;",$RJ$2="EXISTING"),SUMIFS('Existing Customers'!$R:$R,'Existing Customers'!$H:$H,$RH24,'Existing Customers'!$A:$A,$RI$1)*$RI$4,0),0))</f>
        <v>0</v>
      </c>
      <c r="RO24" s="780">
        <f>IF('Customer Inputs'!$W$24="End",0,IFERROR(IF(AND($RI$2&lt;&gt;"Enter Spend&gt;&gt;&gt;",$RJ$2="EXISTING"),SUMIFS('Existing Customers'!$S:$S,'Existing Customers'!$H:$H,$RH24,'Existing Customers'!$A:$A,$RI$1)/SUMIFS('Existing Customers'!$Q:$Q,'Existing Customers'!$A:$A,$RI$1,'Existing Customers'!$H:$H,$RH24),RY24),0))</f>
        <v>0</v>
      </c>
      <c r="RP24" s="780">
        <f>IF('Customer Inputs'!$W$24="End",0,IFERROR(IF(AND($RI$2&lt;&gt;"Enter Spend&gt;&gt;&gt;",$RJ$2="EXISTING"),SUMIFS('Existing Customers'!$U:$U,'Existing Customers'!$H:$H,$RH24,'Existing Customers'!$A:$A,$RI$1)/SUMIFS('Existing Customers'!$Q:$Q,'Existing Customers'!$A:$A,$RI$1,'Existing Customers'!$H:$H,$RH24),RZ24),0))</f>
        <v>0</v>
      </c>
      <c r="RQ24" s="783" t="e">
        <f>_xlfn.CONCAT('Customer Inputs'!$AH$24,"_",RH24)</f>
        <v>#N/A</v>
      </c>
      <c r="RR24" s="783">
        <f t="array" ref="RR24">IF('Customer Inputs'!$W$24="End",0,IFERROR(INDEX('Margin Guidence Table'!$A$1:$AG$10000,MATCH(1,('Margin Guidence Table'!$A$1:$A$10000=RQ24)*('Margin Guidence Table'!$I$1:$I$10000&lt;=ROUND($RI$3,0))*('Margin Guidence Table'!$J$1:$J$10000&gt;=ROUND($RI$3,0)),0),MATCH("DATA_POINTS",'Margin Guidence Table'!$A$1:$AG$1,0)),0))</f>
        <v>0</v>
      </c>
      <c r="RS24" s="780" t="str">
        <f t="shared" si="69"/>
        <v>DEFAULT</v>
      </c>
      <c r="RT24" s="780">
        <f t="array" ref="RT24">IF('Customer Inputs'!$W$24="End",0,IFERROR(IF($RS24="SEGMENT",INDEX('Margin Guidence Table'!$A$1:$AG$10000,MATCH(1,('Margin Guidence Table'!$A$1:$A$10000=RQ24)*('Margin Guidence Table'!$I$1:$I$10000&lt;=ROUND($RI$3,0))*('Margin Guidence Table'!$J$1:$J$10000&gt;=ROUND($RI$3,0)),0),MATCH("SALES_CASE",'Margin Guidence Table'!$A$1:$AG$1,0)),INDEX('Margin Guidence Table'!$A$1:$AG$10000,MATCH(1,('Margin Guidence Table'!$A$1:$A$10000=RQ24)*('Margin Guidence Table'!$I$1:$I$10000&lt;=ROUND($RI$3,0))*('Margin Guidence Table'!$J$1:$J$10000&gt;=ROUND($RI$3,0)),0),MATCH("DEFAULT_SALES_CASE",'Margin Guidence Table'!$A$1:$AG$1,0))),0))</f>
        <v>0</v>
      </c>
      <c r="RU24" s="780">
        <f t="array" ref="RU24">IF('Customer Inputs'!$W$24="End",0,IFERROR(IF($RS24="SEGMENT",INDEX('Margin Guidence Table'!$A$1:$AG$10000,MATCH(1,('Margin Guidence Table'!$A$1:$A$10000=RQ24)*('Margin Guidence Table'!$I$1:$I$10000&lt;=ROUND($RI$3,0))*('Margin Guidence Table'!$J$1:$J$10000&gt;=ROUND($RI$3,0)),0),MATCH("SALES_LBS",'Margin Guidence Table'!$A$1:$AG$1,0)),INDEX('Margin Guidence Table'!$A$1:$AG$10000,MATCH(1,('Margin Guidence Table'!$A$1:$A$10000=RQ24)*('Margin Guidence Table'!$I$1:$I$10000&lt;=ROUND($RI$3,0))*('Margin Guidence Table'!$J$1:$J$10000&gt;=ROUND($RI$3,0)),0),MATCH("DEFAULT_SALES_LBS",'Margin Guidence Table'!$A$1:$AG$1,0))),0))</f>
        <v>0</v>
      </c>
      <c r="RV24" s="784">
        <f t="array" ref="RV24">IF('Customer Inputs'!$W$24="End",0,IFERROR(IF($RS24="SEGMENT",INDEX('Margin Guidence Table'!$A$1:$AG$10000,MATCH(1,('Margin Guidence Table'!$A$1:$A$10000=RQ24)*('Margin Guidence Table'!$I$1:$I$10000&lt;=ROUND($RI$3,0))*('Margin Guidence Table'!$J$1:$J$10000&gt;=ROUND($RI$3,0)),0),MATCH("MDA_MIN_MARGIN_GUIDENCE",'Margin Guidence Table'!$A$1:$AG$1,0)),INDEX('Margin Guidence Table'!$A$1:$AG$10000,MATCH(1,('Margin Guidence Table'!$A$1:$A$10000=RQ24)*('Margin Guidence Table'!$I$1:$I$10000&lt;=ROUND($RI$3,0))*('Margin Guidence Table'!$J$1:$J$10000&gt;=ROUND($RI$3,0)),0),MATCH("DEFAULT_MDA_MIN_MARGIN_GUIDENCE",'Margin Guidence Table'!$A$1:$AG$1,0))),0))</f>
        <v>0</v>
      </c>
      <c r="RW24" s="784">
        <f t="array" ref="RW24">IF('Customer Inputs'!$W$24="End",0,IFERROR(IF($RS24="SEGMENT",INDEX('Margin Guidence Table'!$A$1:$AG$10000,MATCH(1,('Margin Guidence Table'!$A$1:$A$10000=RQ24)*('Margin Guidence Table'!$I$1:$I$10000&lt;=ROUND($RI$3,0))*('Margin Guidence Table'!$J$1:$J$10000&gt;=ROUND($RI$3,0)),0),MATCH("MDA_MEDIAN_MARGIN_GUIDENCE",'Margin Guidence Table'!$A$1:$AG$1,0)),INDEX('Margin Guidence Table'!$A$1:$AG$10000,MATCH(1,('Margin Guidence Table'!$A$1:$A$10000=RQ24)*('Margin Guidence Table'!$I$1:$I$10000&lt;=ROUND($RI$3,0))*('Margin Guidence Table'!$J$1:$J$10000&gt;=ROUND($RI$3,0)),0),MATCH("DEFAULT_MDA_MEDIAN_MARGIN_GUIDENCE",'Margin Guidence Table'!$A$1:$AG$1,0))),0))</f>
        <v>0</v>
      </c>
      <c r="RX24" s="784">
        <f t="array" ref="RX24">IF('Customer Inputs'!$W$24="End",0,IFERROR(IF($RS24="SEGMENT",INDEX('Margin Guidence Table'!$A$1:$AG$10000,MATCH(1,('Margin Guidence Table'!$A$1:$A$10000=RQ24)*('Margin Guidence Table'!$I$1:$I$10000&lt;=ROUND($RI$3,0))*('Margin Guidence Table'!$J$1:$J$10000&gt;=ROUND($RI$3,0)),0),MATCH("MDA_MAX_MARGIN_GUIDENCE",'Margin Guidence Table'!$A$1:$AG$1,0)),INDEX('Margin Guidence Table'!$A$1:$AG$10000,MATCH(1,('Margin Guidence Table'!$A$1:$A$10000=RQ24)*('Margin Guidence Table'!$I$1:$I$10000&lt;=ROUND($RI$3,0))*('Margin Guidence Table'!$J$1:$J$10000&gt;=ROUND($RI$3,0)),0),MATCH("DEFAULT_MDA_MAX_MARGIN_GUIDENCE",'Margin Guidence Table'!$A$1:$AG$1,0))),0))</f>
        <v>0</v>
      </c>
      <c r="RY24" s="784">
        <f t="array" ref="RY24">IF('Customer Inputs'!$W$24="End",0,IFERROR(IF($RS24="SEGMENT",INDEX('Margin Guidence Table'!$A$1:$AG$10000,MATCH(1,('Margin Guidence Table'!$A$1:$A$10000=RQ24)*('Margin Guidence Table'!$I$1:$I$10000&lt;=ROUND($RI$3,0))*('Margin Guidence Table'!$J$1:$J$10000&gt;=ROUND($RI$3,0)),0),MATCH("PA_PCT_SALES",'Margin Guidence Table'!$A$1:$AG$1,0)),INDEX('Margin Guidence Table'!$A$1:$AG$10000,MATCH(1,('Margin Guidence Table'!$A$1:$A$10000=RQ24)*('Margin Guidence Table'!$I$1:$I$10000&lt;=ROUND($RI$3,0))*('Margin Guidence Table'!$J$1:$J$10000&gt;=ROUND($RI$3,0)),0),MATCH("DEFAULT_PA_PCT_SALES",'Margin Guidence Table'!$A$1:$AG$1,0))),0))</f>
        <v>0</v>
      </c>
      <c r="RZ24" s="784">
        <f t="array" ref="RZ24">IF('Customer Inputs'!$W$24="End",0,IFERROR(IF($RS24="SEGMENT",INDEX('Margin Guidence Table'!$A$1:$AG$10000,MATCH(1,('Margin Guidence Table'!$A$1:$A$10000=RQ24)*('Margin Guidence Table'!$I$1:$I$10000&lt;=ROUND($RI$3,0))*('Margin Guidence Table'!$J$1:$J$10000&gt;=ROUND($RI$3,0)),0),MATCH("SELF_FUND_PCT_SALES",'Margin Guidence Table'!$A$1:$AG$1,0)),INDEX('Margin Guidence Table'!$A$1:$AG$10000,MATCH(1,('Margin Guidence Table'!$A$1:$A$10000=RQ24)*('Margin Guidence Table'!$I$1:$I$10000&lt;=ROUND($RI$3,0))*('Margin Guidence Table'!$J$1:$J$10000&gt;=ROUND($RI$3,0)),0),MATCH("DEFAULT_SELF_FUND_PCT_SALES",'Margin Guidence Table'!$A$1:$AG$1,0))),0))</f>
        <v>0</v>
      </c>
      <c r="SA24" s="784">
        <f t="array" ref="SA24">IF('Customer Inputs'!$W$24="End",0,IF($RJ$2="Existing",IFERROR(SUMIFS('Existing Customers'!$V:$V,'Existing Customers'!$H:$H,$RH24,'Existing Customers'!$A:$A,$RI$1)/SUMIFS('Existing Customers'!$Q:$Q,'Existing Customers'!$H:$H,$RH24,'Existing Customers'!$A:$A,$RI$1),0),IFERROR(IF($RS24="SEGMENT",INDEX('Margin Guidence Table'!$A$1:$AG$10000,MATCH(1,('Margin Guidence Table'!$A$1:$A$10000=RQ24)*('Margin Guidence Table'!$I$1:$I$10000&lt;=ROUND($RI$3,0))*('Margin Guidence Table'!$J$1:$J$10000&gt;=ROUND($RI$3,0)),0),MATCH("CIA_MEDIAN_MARGIN_GUIDENCE",'Margin Guidence Table'!$A$1:$AG$1,0)),INDEX('Margin Guidence Table'!$A$1:$AG$10000,MATCH(1,('Margin Guidence Table'!$A$1:$A$10000=RQ24)*('Margin Guidence Table'!$I$1:$I$10000&lt;=ROUND($RI$3,0))*('Margin Guidence Table'!$J$1:$J$10000&gt;=ROUND($RI$3,0)),0),MATCH("DEFAULT_CIA_MEDIAN_MARGIN_GUIDENCE",'Margin Guidence Table'!$A$1:$AG$1,0))),0)))</f>
        <v>0</v>
      </c>
      <c r="SB24" s="784"/>
      <c r="SC24" s="18">
        <f t="array" ref="SC24">IF('Customer Inputs'!$W$25="End",0,IFERROR(IF($SP24="SEGMENT",INDEX('Margin Guidence Table'!$A$1:$AG$10000,MATCH(1,('Margin Guidence Table'!$A$1:$A$10000=$SN24)*('Margin Guidence Table'!$I$1:$I$10000&lt;=ROUND($SF$3,0))*('Margin Guidence Table'!$J$1:$J$10000&gt;=ROUND($SF$3,0)),0),MATCH("PCT_SALES",'Margin Guidence Table'!$A$1:$AG$1,0)),INDEX('Margin Guidence Table'!$A$1:$AG$10000,MATCH(1,('Margin Guidence Table'!$A$1:$A$10000=$SN24)*('Margin Guidence Table'!$I$1:$I$10000&lt;=ROUND($SF$3,0))*('Margin Guidence Table'!$J$1:$J$10000&gt;=ROUND($SF$3,0)),0),MATCH("DEFAULT_PCT_SALES",'Margin Guidence Table'!$A$1:$AG$1,0))),0))</f>
        <v>0</v>
      </c>
      <c r="SD24" s="1713" t="e">
        <f t="shared" si="70"/>
        <v>#DIV/0!</v>
      </c>
      <c r="SE24" s="99" t="s">
        <v>97</v>
      </c>
      <c r="SF24" s="91">
        <f>IF('Customer Inputs'!$W$25="End",0,IFERROR(IF(AND($SF$2&lt;&gt;"Enter Spend&gt;&gt;&gt;",$SG$2="EXISTING"),SUMIFS('Existing Customers'!$Q:$Q,'Existing Customers'!$A:$A,$SF$1,'Existing Customers'!$H:$H,$SE24)*$SF$4,$SF$3*$SD24),0))</f>
        <v>0</v>
      </c>
      <c r="SG24" s="86">
        <f>IF('Customer Inputs'!$W$25="End",0,IFERROR(IF(AND($SF$2&lt;&gt;"Enter Spend&gt;&gt;&gt;",$SG$2="EXISTING"),SUMIFS('Existing Customers'!$N:$N,'Existing Customers'!$A:$A,$SF$1,'Existing Customers'!$H:$H,$SE24)*$SF$4,$SF24/$SQ24),0))</f>
        <v>0</v>
      </c>
      <c r="SH24" s="92">
        <f>IF('Customer Inputs'!$W$25="End",0,IFERROR(IF(AND($SF$2&lt;&gt;"Enter Spend&gt;&gt;&gt;",$SG$2="EXISTING"),SUMIFS('Existing Customers'!$O:$O,'Existing Customers'!$H:$H,$SE24,'Existing Customers'!$A:$A,$SF$1)*$SF$4,$SG24*$SF$8),0))</f>
        <v>0</v>
      </c>
      <c r="SI24" s="92">
        <f>IF('Customer Inputs'!$W$25="End",0,IFERROR(IF(AND($SF$2&lt;&gt;"Enter Spend&gt;&gt;&gt;",$SG$2="EXISTING"),SUMIFS('Existing Customers'!$P:$P,'Existing Customers'!$A:$A,$SF$1,'Existing Customers'!$H:$H,$SE24)*$SF$4,$SF24/$SR24),0))</f>
        <v>0</v>
      </c>
      <c r="SJ24" s="303">
        <f>IF('Customer Inputs'!$W$25="End",0,IFERROR(IF(AND($SF$2&lt;&gt;"Enter Spend&gt;&gt;&gt;",$SG$2="EXISTING"),SUMIFS('Existing Customers'!$V:$V,'Existing Customers'!$H:$H,$SE24,'Existing Customers'!$A:$A,$SF$1)*$SF$4,0),0))</f>
        <v>0</v>
      </c>
      <c r="SK24" s="93">
        <f>IF('Customer Inputs'!$W$25="End",0,IFERROR(IF(AND($SF$2&lt;&gt;"Enter Spend&gt;&gt;&gt;",$SG$2="EXISTING"),SUMIFS('Existing Customers'!$R:$R,'Existing Customers'!$H:$H,$SE24,'Existing Customers'!$A:$A,$SF$1)*$SF$4,0),0))</f>
        <v>0</v>
      </c>
      <c r="SL24" s="780">
        <f>IF('Customer Inputs'!$W$25="End",0,IFERROR(IF(AND($SF$2&lt;&gt;"Enter Spend&gt;&gt;&gt;",$SG$2="EXISTING"),SUMIFS('Existing Customers'!$S:$S,'Existing Customers'!$H:$H,$SE24,'Existing Customers'!$A:$A,$SF$1)/SUMIFS('Existing Customers'!$Q:$Q,'Existing Customers'!$A:$A,$SF$1,'Existing Customers'!$H:$H,$SE24),SV24),0))</f>
        <v>0</v>
      </c>
      <c r="SM24" s="780">
        <f>IF('Customer Inputs'!$W$25="End",0,IFERROR(IF(AND($SF$2&lt;&gt;"Enter Spend&gt;&gt;&gt;",$SG$2="EXISTING"),SUMIFS('Existing Customers'!$U:$U,'Existing Customers'!$H:$H,$SE24,'Existing Customers'!$A:$A,$SF$1)/SUMIFS('Existing Customers'!$Q:$Q,'Existing Customers'!$A:$A,$SF$1,'Existing Customers'!$H:$H,$SE24),SW24),0))</f>
        <v>0</v>
      </c>
      <c r="SN24" s="783" t="e">
        <f>_xlfn.CONCAT('Customer Inputs'!$AH$25,"_",SE24)</f>
        <v>#N/A</v>
      </c>
      <c r="SO24" s="783">
        <f t="array" ref="SO24">IF('Customer Inputs'!$W$25="End",0,IFERROR(INDEX('Margin Guidence Table'!$A$1:$AG$10000,MATCH(1,('Margin Guidence Table'!$A$1:$A$10000=SN24)*('Margin Guidence Table'!$I$1:$I$10000&lt;=ROUND($SF$3,0))*('Margin Guidence Table'!$J$1:$J$10000&gt;=ROUND($SF$3,0)),0),MATCH("DATA_POINTS",'Margin Guidence Table'!$A$1:$AG$1,0)),0))</f>
        <v>0</v>
      </c>
      <c r="SP24" s="780" t="str">
        <f t="shared" si="71"/>
        <v>DEFAULT</v>
      </c>
      <c r="SQ24" s="780">
        <f t="array" ref="SQ24">IF('Customer Inputs'!$W$25="End",0,IFERROR(IF($SP24="SEGMENT",INDEX('Margin Guidence Table'!$A$1:$AG$10000,MATCH(1,('Margin Guidence Table'!$A$1:$A$10000=SN24)*('Margin Guidence Table'!$I$1:$I$10000&lt;=ROUND($SF$3,0))*('Margin Guidence Table'!$J$1:$J$10000&gt;=ROUND($SF$3,0)),0),MATCH("SALES_CASE",'Margin Guidence Table'!$A$1:$AG$1,0)),INDEX('Margin Guidence Table'!$A$1:$AG$10000,MATCH(1,('Margin Guidence Table'!$A$1:$A$10000=SN24)*('Margin Guidence Table'!$I$1:$I$10000&lt;=ROUND($SF$3,0))*('Margin Guidence Table'!$J$1:$J$10000&gt;=ROUND($SF$3,0)),0),MATCH("DEFAULT_SALES_CASE",'Margin Guidence Table'!$A$1:$AG$1,0))),0))</f>
        <v>0</v>
      </c>
      <c r="SR24" s="780">
        <f t="array" ref="SR24">IF('Customer Inputs'!$W$25="End",0,IFERROR(IF($SP24="SEGMENT",INDEX('Margin Guidence Table'!$A$1:$AG$10000,MATCH(1,('Margin Guidence Table'!$A$1:$A$10000=SN24)*('Margin Guidence Table'!$I$1:$I$10000&lt;=ROUND($SF$3,0))*('Margin Guidence Table'!$J$1:$J$10000&gt;=ROUND($SF$3,0)),0),MATCH("SALES_LBS",'Margin Guidence Table'!$A$1:$AG$1,0)),INDEX('Margin Guidence Table'!$A$1:$AG$10000,MATCH(1,('Margin Guidence Table'!$A$1:$A$10000=SN24)*('Margin Guidence Table'!$I$1:$I$10000&lt;=ROUND($SF$3,0))*('Margin Guidence Table'!$J$1:$J$10000&gt;=ROUND($SF$3,0)),0),MATCH("DEFAULT_SALES_LBS",'Margin Guidence Table'!$A$1:$AG$1,0))),0))</f>
        <v>0</v>
      </c>
      <c r="SS24" s="784">
        <f t="array" ref="SS24">IF('Customer Inputs'!$W$25="End",0,IFERROR(IF($SP24="SEGMENT",INDEX('Margin Guidence Table'!$A$1:$AG$10000,MATCH(1,('Margin Guidence Table'!$A$1:$A$10000=SN24)*('Margin Guidence Table'!$I$1:$I$10000&lt;=ROUND($SF$3,0))*('Margin Guidence Table'!$J$1:$J$10000&gt;=ROUND($SF$3,0)),0),MATCH("MDA_MIN_MARGIN_GUIDENCE",'Margin Guidence Table'!$A$1:$AG$1,0)),INDEX('Margin Guidence Table'!$A$1:$AG$10000,MATCH(1,('Margin Guidence Table'!$A$1:$A$10000=SN24)*('Margin Guidence Table'!$I$1:$I$10000&lt;=ROUND($SF$3,0))*('Margin Guidence Table'!$J$1:$J$10000&gt;=ROUND($SF$3,0)),0),MATCH("DEFAULT_MDA_MIN_MARGIN_GUIDENCE",'Margin Guidence Table'!$A$1:$AG$1,0))),0))</f>
        <v>0</v>
      </c>
      <c r="ST24" s="784">
        <f t="array" ref="ST24">IF('Customer Inputs'!$W$25="End",0,IFERROR(IF($SP24="SEGMENT",INDEX('Margin Guidence Table'!$A$1:$AG$10000,MATCH(1,('Margin Guidence Table'!$A$1:$A$10000=SN24)*('Margin Guidence Table'!$I$1:$I$10000&lt;=ROUND($SF$3,0))*('Margin Guidence Table'!$J$1:$J$10000&gt;=ROUND($SF$3,0)),0),MATCH("MDA_MEDIAN_MARGIN_GUIDENCE",'Margin Guidence Table'!$A$1:$AG$1,0)),INDEX('Margin Guidence Table'!$A$1:$AG$10000,MATCH(1,('Margin Guidence Table'!$A$1:$A$10000=SN24)*('Margin Guidence Table'!$I$1:$I$10000&lt;=ROUND($SF$3,0))*('Margin Guidence Table'!$J$1:$J$10000&gt;=ROUND($SF$3,0)),0),MATCH("DEFAULT_MDA_MEDIAN_MARGIN_GUIDENCE",'Margin Guidence Table'!$A$1:$AG$1,0))),0))</f>
        <v>0</v>
      </c>
      <c r="SU24" s="784">
        <f t="array" ref="SU24">IF('Customer Inputs'!$W$25="End",0,IFERROR(IF($SP24="SEGMENT",INDEX('Margin Guidence Table'!$A$1:$AG$10000,MATCH(1,('Margin Guidence Table'!$A$1:$A$10000=SN24)*('Margin Guidence Table'!$I$1:$I$10000&lt;=ROUND($SF$3,0))*('Margin Guidence Table'!$J$1:$J$10000&gt;=ROUND($SF$3,0)),0),MATCH("MDA_MAX_MARGIN_GUIDENCE",'Margin Guidence Table'!$A$1:$AG$1,0)),INDEX('Margin Guidence Table'!$A$1:$AG$10000,MATCH(1,('Margin Guidence Table'!$A$1:$A$10000=SN24)*('Margin Guidence Table'!$I$1:$I$10000&lt;=ROUND($SF$3,0))*('Margin Guidence Table'!$J$1:$J$10000&gt;=ROUND($SF$3,0)),0),MATCH("DEFAULT_MDA_MAX_MARGIN_GUIDENCE",'Margin Guidence Table'!$A$1:$AG$1,0))),0))</f>
        <v>0</v>
      </c>
      <c r="SV24" s="784">
        <f t="array" ref="SV24">IF('Customer Inputs'!$W$25="End",0,IFERROR(IF($SP24="SEGMENT",INDEX('Margin Guidence Table'!$A$1:$AG$10000,MATCH(1,('Margin Guidence Table'!$A$1:$A$10000=SN24)*('Margin Guidence Table'!$I$1:$I$10000&lt;=ROUND($SF$3,0))*('Margin Guidence Table'!$J$1:$J$10000&gt;=ROUND($SF$3,0)),0),MATCH("PA_PCT_SALES",'Margin Guidence Table'!$A$1:$AG$1,0)),INDEX('Margin Guidence Table'!$A$1:$AG$10000,MATCH(1,('Margin Guidence Table'!$A$1:$A$10000=SN24)*('Margin Guidence Table'!$I$1:$I$10000&lt;=ROUND($SF$3,0))*('Margin Guidence Table'!$J$1:$J$10000&gt;=ROUND($SF$3,0)),0),MATCH("DEFAULT_PA_PCT_SALES",'Margin Guidence Table'!$A$1:$AG$1,0))),0))</f>
        <v>0</v>
      </c>
      <c r="SW24" s="784">
        <f t="array" ref="SW24">IF('Customer Inputs'!$W$25="End",0,IFERROR(IF($SP24="SEGMENT",INDEX('Margin Guidence Table'!$A$1:$AG$10000,MATCH(1,('Margin Guidence Table'!$A$1:$A$10000=SN24)*('Margin Guidence Table'!$I$1:$I$10000&lt;=ROUND($SF$3,0))*('Margin Guidence Table'!$J$1:$J$10000&gt;=ROUND($SF$3,0)),0),MATCH("SELF_FUND_PCT_SALES",'Margin Guidence Table'!$A$1:$AG$1,0)),INDEX('Margin Guidence Table'!$A$1:$AG$10000,MATCH(1,('Margin Guidence Table'!$A$1:$A$10000=SN24)*('Margin Guidence Table'!$I$1:$I$10000&lt;=ROUND($SF$3,0))*('Margin Guidence Table'!$J$1:$J$10000&gt;=ROUND($SF$3,0)),0),MATCH("DEFAULT_SELF_FUND_PCT_SALES",'Margin Guidence Table'!$A$1:$AG$1,0))),0))</f>
        <v>0</v>
      </c>
      <c r="SX24" s="784">
        <f t="array" ref="SX24">IF('Customer Inputs'!$W$25="End",0,IF($SG$2="Existing",IFERROR(SUMIFS('Existing Customers'!$V:$V,'Existing Customers'!$H:$H,$SE24,'Existing Customers'!$A:$A,$SF$1)/SUMIFS('Existing Customers'!$Q:$Q,'Existing Customers'!$H:$H,$SE24,'Existing Customers'!$A:$A,$SF$1),0),IFERROR(IF($SP24="SEGMENT",INDEX('Margin Guidence Table'!$A$1:$AG$10000,MATCH(1,('Margin Guidence Table'!$A$1:$A$10000=SN24)*('Margin Guidence Table'!$I$1:$I$10000&lt;=ROUND($SF$3,0))*('Margin Guidence Table'!$J$1:$J$10000&gt;=ROUND($SF$3,0)),0),MATCH("CIA_MEDIAN_MARGIN_GUIDENCE",'Margin Guidence Table'!$A$1:$AG$1,0)),INDEX('Margin Guidence Table'!$A$1:$AG$10000,MATCH(1,('Margin Guidence Table'!$A$1:$A$10000=SN24)*('Margin Guidence Table'!$I$1:$I$10000&lt;=ROUND($SF$3,0))*('Margin Guidence Table'!$J$1:$J$10000&gt;=ROUND($SF$3,0)),0),MATCH("DEFAULT_CIA_MEDIAN_MARGIN_GUIDENCE",'Margin Guidence Table'!$A$1:$AG$1,0))),0)))</f>
        <v>0</v>
      </c>
      <c r="SY24" s="784"/>
      <c r="SZ24" s="1705"/>
      <c r="TA24" s="99" t="s">
        <v>97</v>
      </c>
      <c r="TB24" s="94"/>
      <c r="TC24" s="86"/>
      <c r="TD24" s="86"/>
      <c r="TE24" s="86"/>
      <c r="TF24" s="111"/>
      <c r="TG24" s="95"/>
      <c r="TH24" s="126"/>
      <c r="TI24" s="1705"/>
      <c r="TJ24" s="99" t="s">
        <v>97</v>
      </c>
      <c r="TK24" s="94"/>
      <c r="TL24" s="86"/>
      <c r="TM24" s="86"/>
      <c r="TN24" s="86"/>
      <c r="TO24" s="111"/>
      <c r="TP24" s="95"/>
      <c r="TQ24" s="1705"/>
      <c r="TR24" s="1705"/>
    </row>
    <row r="25" spans="1:538" ht="15.75" thickBot="1" x14ac:dyDescent="0.3">
      <c r="A25" s="1705"/>
      <c r="B25" s="99" t="s">
        <v>93</v>
      </c>
      <c r="C25" s="346">
        <f t="shared" si="0"/>
        <v>0</v>
      </c>
      <c r="D25" s="358">
        <f t="shared" si="1"/>
        <v>0</v>
      </c>
      <c r="E25" s="358">
        <f t="shared" si="2"/>
        <v>0</v>
      </c>
      <c r="F25" s="358">
        <f t="shared" si="3"/>
        <v>0</v>
      </c>
      <c r="G25" s="1428">
        <f t="shared" si="4"/>
        <v>0</v>
      </c>
      <c r="H25" s="1428">
        <f t="shared" si="5"/>
        <v>0</v>
      </c>
      <c r="I25" s="359">
        <f t="shared" si="6"/>
        <v>0</v>
      </c>
      <c r="J25" s="358">
        <f t="shared" si="7"/>
        <v>0</v>
      </c>
      <c r="K25" s="778">
        <f t="shared" si="8"/>
        <v>0</v>
      </c>
      <c r="L25" s="778">
        <f t="shared" si="9"/>
        <v>0</v>
      </c>
      <c r="M25" s="778">
        <f t="shared" si="10"/>
        <v>0</v>
      </c>
      <c r="N25" s="1428">
        <f>IF('PIM Model'!D21="$/CS",IFERROR(ROUND(SUM(BX25*$BV$35+CU25*$CS$35+DR25*$DP$35+EO25*$EM$35+FL25*$FJ$35+GI25*$GG$35+HF25*$HD$35+IC25*$IA$35+IZ25*$IX$35+JW25*$JU$35+KT25*$KR$35+LQ25*$LO$35+MN25*$ML$35+NK25*$NI$35+OH25*$OF$35+PE25*$PC$35+QB25*$PZ$35+QY25*$QW$35+RV25*$RT$35+SS25*$SQ$35)/$G$35,2),0),IF('PIM Model'!D21="$/LB",IFERROR(ROUND(SUM(BX25*$BW$35+CU25*$CT$35+DR25*$DQ$35+EO25*$EN$35+FL25*$FK$35+GI25*$GH$35+HF25*$HE$35+IC25*$IB$35+IZ25*$IY$35+JW25*$JV$35+KT25*$KS$35+LQ25*$LP$35+MN25*$MM$35+NK25*$NJ$35+OH25*$OG$35+PE25*$PD$35+QB25*$QA$35+QY25*$QX$35+RV25*$RU$35+SS25*$SR$35)/$H$35,2),0),0))</f>
        <v>0</v>
      </c>
      <c r="O25" s="1428">
        <f>IF('PIM Model'!D21="$/CS",IFERROR(ROUND(SUM(BY25*$BV$35+CV25*$CS$35+DS25*$DP$35+EP25*$EM$35+FM25*$FJ$35+GJ25*$GG$35+HG25*$HD$35+ID25*$IA$35+JA25*$IX$35+JX25*$JU$35+KU25*$KR$35+LR25*$LO$35+MO25*$ML$35+NL25*$NI$35+OI25*$OF$35+PF25*$PC$35+QC25*$PZ$35+QZ25*$QW$35+RW25*$RT$35+ST25*$SQ$35)/$G$35,2),0),IF('PIM Model'!D21="$/LB",IFERROR(ROUND(SUM(BY25*$BW$35+CV25*$CT$35+DS25*$DQ$35+EP25*$EN$35+FM25*$FK$35+GJ25*$GH$35+HG25*$HE$35+ID25*$IB$35+JA25*$IY$35+JX25*$JV$35+KU25*$KS$35+LR25*$LP$35+MO25*$MM$35+NL25*$NJ$35+OI25*$OG$35+PF25*$PD$35+QC25*$QA$35+QZ25*$QX$35+RW25*$RU$35+ST25*$SR$35)/$H$35,2),0),0))</f>
        <v>0</v>
      </c>
      <c r="P25" s="1428">
        <f>IF('PIM Model'!D21="$/CS",IFERROR(ROUND(SUM(BZ25*$BV$35+CW25*$CS$35+DT25*$DP$35+EQ25*$EM$35+FN25*$FJ$35+GK25*$GG$35+HH25*$HD$35+IE25*$IA$35+JB25*$IX$35+JY25*$JU$35+KV25*$KR$35+LS25*$LO$35+MP25*$ML$35+NM25*$NI$35+OJ25*$OF$35+PG25*$PC$35+QD25*$PZ$35+RA25*$QW$35+RX25*$RT$35+SU25*$SQ$35)/$G$35,2),0),IF('PIM Model'!D21="$/LB",IFERROR(ROUND(SUM(BZ25*$BW$35+CW25*$CT$35+DT25*$DQ$35+EQ25*$EN$35+FN25*$FK$35+GK25*$GH$35+HH25*$HE$35+IE25*$IB$35+JB25*$IY$35+JY25*$JV$35+KV25*$KS$35+LS25*$LP$35+MP25*$MM$35+NM25*$NJ$35+OJ25*$OG$35+PG25*$PD$35+QD25*$QA$35+RA25*$QX$35+RX25*$RU$35+SU25*$SR$35)/$H$35,2),0),0))</f>
        <v>0</v>
      </c>
      <c r="Q25" s="358">
        <f t="shared" si="11"/>
        <v>0</v>
      </c>
      <c r="R25" s="358">
        <f t="shared" si="12"/>
        <v>0</v>
      </c>
      <c r="S25" s="779">
        <f t="shared" si="13"/>
        <v>0</v>
      </c>
      <c r="T25" s="779">
        <f t="shared" si="14"/>
        <v>0</v>
      </c>
      <c r="U25" s="779">
        <f t="shared" si="15"/>
        <v>0</v>
      </c>
      <c r="V25" s="779">
        <f t="shared" si="16"/>
        <v>0</v>
      </c>
      <c r="W25" s="779">
        <f t="shared" si="17"/>
        <v>0</v>
      </c>
      <c r="X25" s="1705"/>
      <c r="Y25" s="1705" t="str">
        <f>'PIM Model'!E21</f>
        <v>INCLUDE</v>
      </c>
      <c r="Z25" s="1705">
        <f>IFERROR(AC25/$AC$35,0)</f>
        <v>0</v>
      </c>
      <c r="AA25" s="1705">
        <f t="shared" si="19"/>
        <v>0</v>
      </c>
      <c r="AB25" s="99" t="s">
        <v>93</v>
      </c>
      <c r="AC25" s="107">
        <f t="shared" si="20"/>
        <v>0</v>
      </c>
      <c r="AD25" s="108">
        <f t="shared" si="21"/>
        <v>0</v>
      </c>
      <c r="AE25" s="108">
        <f t="shared" si="22"/>
        <v>0</v>
      </c>
      <c r="AF25" s="108">
        <f t="shared" si="23"/>
        <v>0</v>
      </c>
      <c r="AG25" s="110">
        <f t="shared" si="24"/>
        <v>0</v>
      </c>
      <c r="AH25" s="114">
        <f t="shared" si="25"/>
        <v>0</v>
      </c>
      <c r="AI25" s="301"/>
      <c r="AJ25" s="99" t="s">
        <v>93</v>
      </c>
      <c r="AK25" s="346">
        <f t="shared" si="26"/>
        <v>0</v>
      </c>
      <c r="AL25" s="347">
        <f t="shared" si="26"/>
        <v>0</v>
      </c>
      <c r="AM25" s="347">
        <f t="shared" si="26"/>
        <v>0</v>
      </c>
      <c r="AN25" s="350">
        <f t="shared" si="27"/>
        <v>0</v>
      </c>
      <c r="AO25" s="351">
        <f t="shared" si="28"/>
        <v>0</v>
      </c>
      <c r="AP25" s="301"/>
      <c r="AQ25" s="99" t="s">
        <v>93</v>
      </c>
      <c r="AR25" s="346">
        <f t="shared" si="29"/>
        <v>0</v>
      </c>
      <c r="AS25" s="347">
        <f t="shared" si="30"/>
        <v>0</v>
      </c>
      <c r="AT25" s="351"/>
      <c r="AU25" s="301"/>
      <c r="AV25" s="1708" t="str">
        <f>IF('PIM Ranges'!$AK23='PIM Ranges'!$AY$11,IF($AR25&lt;'PIM Ranges'!$AZ$11,"Q1",IF($AR25&lt;'PIM Ranges'!$BA$11,"Q2",IF($AR25&lt;'PIM Ranges'!$BB$11,"Q3",IF($AR25&lt;'PIM Ranges'!$BC$11,"Q4","Q5")))),IF('PIM Ranges'!$AK23='PIM Ranges'!$AY$12,IF($AR25&lt;'PIM Ranges'!$AZ$12,"Q1",IF($AR25&lt;'PIM Ranges'!$BA$12,"Q2",IF($AR25&lt;'PIM Ranges'!$BB$12,"Q3",IF($AR25&lt;'PIM Ranges'!$BC$12,"Q4","Q5")))),IF('PIM Ranges'!$AK23='PIM Ranges'!$AY$13,IF($AR25&lt;'PIM Ranges'!$AZ$13,"Q1",IF($AR25&lt;'PIM Ranges'!$BA$13,"Q2",IF($AR25&lt;'PIM Ranges'!$BB$13,"Q3",IF($AR25&lt;'PIM Ranges'!$BC$13,"Q4","Q5")))),IF('PIM Ranges'!$AK23='PIM Ranges'!$AY$14,IF($AR25&lt;'PIM Ranges'!$AZ$14,"Q1",IF($AR25&lt;'PIM Ranges'!$BA$14,"Q2",IF($AR25&lt;'PIM Ranges'!$BB$14,"Q3",IF($AR25&lt;'PIM Ranges'!$BC$14,"Q4","Q5")))),IF('PIM Ranges'!$AK23='PIM Ranges'!$AY$15,IF($AR25&lt;'PIM Ranges'!$AZ$15,"Q1",IF($AR25&lt;'PIM Ranges'!$BA$15,"Q2",IF($AR25&lt;'PIM Ranges'!$BB$15,"Q3",IF($AR25&lt;'PIM Ranges'!$BC$15,"Q4","Q5")))),IF('PIM Ranges'!$AK23='PIM Ranges'!$AY$16,IF($AR25&lt;'PIM Ranges'!$AZ$16,"Q1",IF($AR25&lt;'PIM Ranges'!$BA$16,"Q2",IF($AR25&lt;'PIM Ranges'!$BB$16,"Q3",IF($AR25&lt;'PIM Ranges'!$BC$16,"Q4","Q5")))),IF('PIM Ranges'!$AK23='PIM Ranges'!$AY$17,IF($AR25&lt;'PIM Ranges'!$AZ$17,"Q1",IF($AR25&lt;'PIM Ranges'!$BA$17,"Q2",IF($AR25&lt;'PIM Ranges'!$BB$17,"Q3",IF($AR25&lt;'PIM Ranges'!$BC$17,"Q4","Q5")))),IF('PIM Ranges'!$AK23='PIM Ranges'!$AY$18,IF($AR25&lt;'PIM Ranges'!$AZ$18,"Q1",IF($AR25&lt;'PIM Ranges'!$BA$18,"Q2",IF($AR25&lt;'PIM Ranges'!$BB$18,"Q3",IF($AR25&lt;'PIM Ranges'!$BC$18,"Q4","Q5")))),IF('PIM Ranges'!$AK23='PIM Ranges'!$AY$19,IF($AR25&lt;'PIM Ranges'!$AZ$19,"Q1",IF($AR25&lt;'PIM Ranges'!$BA$19,"Q2",IF($AR25&lt;'PIM Ranges'!$BB$19,"Q3",IF($AR25&lt;'PIM Ranges'!$BC$19,"Q4","Q5")))),IF('PIM Ranges'!$AK23='PIM Ranges'!$AY$20,IF($AR25&lt;'PIM Ranges'!$AZ$20,"Q1",IF($AR25&lt;'PIM Ranges'!$BA$20,"Q2",IF($AR25&lt;'PIM Ranges'!$BB$20,"Q3",IF($AR25&lt;'PIM Ranges'!$BC$20,"Q4","Q5")))),IF('PIM Ranges'!$AK23='PIM Ranges'!$AY$21,IF($AR25&lt;'PIM Ranges'!$AZ$21,"Q1",IF($AR25&lt;'PIM Ranges'!$BA$21,"Q2",IF($AR25&lt;'PIM Ranges'!$BB$21,"Q3",IF($AR25&lt;'PIM Ranges'!$BC$21,"Q4","Q5")))),IF('PIM Ranges'!$AK23='PIM Ranges'!$AY$22,IF($AR25&lt;'PIM Ranges'!$AZ$22,"Q1",IF($AR25&lt;'PIM Ranges'!$BA$22,"Q2",IF($AR25&lt;'PIM Ranges'!$BB$22,"Q3",IF($AR25&lt;'PIM Ranges'!$BC$22,"Q4","Q5")))),IF('PIM Ranges'!$AK23='PIM Ranges'!$AY$23,IF($AR25&lt;'PIM Ranges'!$AZ$23,"Q1",IF($AR25&lt;'PIM Ranges'!$BA$23,"Q2",IF($AR25&lt;'PIM Ranges'!$BB$23,"Q3",IF($AR25&lt;'PIM Ranges'!$BC$23,"Q4","Q5")))),IF('PIM Ranges'!$AK23='PIM Ranges'!$AY$24,IF($AR25&lt;'PIM Ranges'!$AZ$24,"Q1",IF($AR25&lt;'PIM Ranges'!$BA$24,"Q2",IF($AR25&lt;'PIM Ranges'!$BB$24,"Q3",IF($AR25&lt;'PIM Ranges'!$BC$24,"Q4","Q5")))),IF('PIM Ranges'!$AK23='PIM Ranges'!$AY$25,IF($AR25&lt;'PIM Ranges'!$AZ$25,"Q1",IF($AR25&lt;'PIM Ranges'!$BA$25,"Q2",IF($AR25&lt;'PIM Ranges'!$BB$25,"Q3",IF($AR25&lt;'PIM Ranges'!$BC$25,"Q4","Q5")))),IF('PIM Ranges'!$AK23='PIM Ranges'!$AY$26,IF($AR25&lt;'PIM Ranges'!$AZ$26,"Q1",IF($AR25&lt;'PIM Ranges'!$BA$26,"Q2",IF($AR25&lt;'PIM Ranges'!$BB$26,"Q3",IF($AR25&lt;'PIM Ranges'!$BC$26,"Q4","Q5")))),IF('PIM Ranges'!$AK23='PIM Ranges'!$AY$27,IF($AR25&lt;'PIM Ranges'!$AZ$27,"Q1",IF($AR25&lt;'PIM Ranges'!$BA$27,"Q2",IF($AR25&lt;'PIM Ranges'!$BB$27,"Q3",IF($AR25&lt;'PIM Ranges'!$BC$27,"Q4","Q5")))),IF('PIM Ranges'!$AK23='PIM Ranges'!$AY$28,IF($AR25&lt;'PIM Ranges'!$AZ$28,"Q1",IF($AR25&lt;'PIM Ranges'!$BA$28,"Q2",IF($AR25&lt;'PIM Ranges'!$BB$28,"Q3",IF($AR25&lt;'PIM Ranges'!$BC$28,"Q4","Q5")))),IF('PIM Ranges'!$AK23='PIM Ranges'!$AY$29,IF($AR25&lt;'PIM Ranges'!$AZ$29,"Q1",IF($AR25&lt;'PIM Ranges'!$BA$29,"Q2",IF($AR25&lt;'PIM Ranges'!$BB$29,"Q3",IF($AR25&lt;'PIM Ranges'!$BC$29,"Q4","Q5")))),IF('PIM Ranges'!$AK23='PIM Ranges'!$AY$30,IF($AR25&lt;'PIM Ranges'!$AZ$30,"Q1",IF($AR25&lt;'PIM Ranges'!$BA$30,"Q2",IF($AR25&lt;'PIM Ranges'!$BB$30,"Q3",IF($AR25&lt;'PIM Ranges'!$BC$30,"Q4","Q5")))),IF('PIM Ranges'!$AK23='PIM Ranges'!$AY$31,IF($AR25&lt;'PIM Ranges'!$AZ$31,"Q1",IF($AR25&lt;'PIM Ranges'!$BA$31,"Q2",IF($AR25&lt;'PIM Ranges'!$BB$31,"Q3",IF($AR25&lt;'PIM Ranges'!$BC$31,"Q4","Q5")))),IF('PIM Ranges'!$AK23='PIM Ranges'!$AY$32,IF($AR25&lt;'PIM Ranges'!$AZ$32,"Q1",IF($AR25&lt;'PIM Ranges'!$BA$32,"Q2",IF($AR25&lt;'PIM Ranges'!$BB$32,"Q3",IF($AR25&lt;'PIM Ranges'!$BC$32,"Q4","Q5"))))))))))))))))))))))))))</f>
        <v>Q1</v>
      </c>
      <c r="AW25" s="301">
        <f>VLOOKUP($AQ25&amp;$AV25,'IMargin Quartiles'!$A:$F,6,FALSE)</f>
        <v>0.18</v>
      </c>
      <c r="AX25" s="301"/>
      <c r="AY25" s="1708" t="str">
        <f>IF('PIM Ranges'!$AK23='PIM Ranges'!$AY$11,IF('PIM Ranges'!$AL23&lt;'PIM Ranges'!$AZ$11,"Q1",IF('PIM Ranges'!$AL23&lt;'PIM Ranges'!$BA$11,"Q2",IF('PIM Ranges'!$AL23&lt;'PIM Ranges'!$BB$11,"Q3",IF('PIM Ranges'!$AL23&lt;'PIM Ranges'!$BC$11,"Q4","Q5")))),IF('PIM Ranges'!$AK23='PIM Ranges'!$AY$12,IF('PIM Ranges'!$AL23&lt;'PIM Ranges'!$AZ$12,"Q1",IF('PIM Ranges'!$AL23&lt;'PIM Ranges'!$BA$12,"Q2",IF('PIM Ranges'!$AL23&lt;'PIM Ranges'!$BB$12,"Q3",IF('PIM Ranges'!$AL23&lt;'PIM Ranges'!$BC$12,"Q4","Q5")))),IF('PIM Ranges'!$AK23='PIM Ranges'!$AY$13,IF('PIM Ranges'!$AL23&lt;'PIM Ranges'!$AZ$13,"Q1",IF('PIM Ranges'!$AL23&lt;'PIM Ranges'!$BA$13,"Q2",IF('PIM Ranges'!$AL23&lt;'PIM Ranges'!$BB$13,"Q3",IF('PIM Ranges'!$AL23&lt;'PIM Ranges'!$BC$13,"Q4","Q5")))),IF('PIM Ranges'!$AK23='PIM Ranges'!$AY$14,IF('PIM Ranges'!$AL23&lt;'PIM Ranges'!$AZ$14,"Q1",IF('PIM Ranges'!$AL23&lt;'PIM Ranges'!$BA$14,"Q2",IF('PIM Ranges'!$AL23&lt;'PIM Ranges'!$BB$14,"Q3",IF('PIM Ranges'!$AL23&lt;'PIM Ranges'!$BC$14,"Q4","Q5")))),IF('PIM Ranges'!$AK23='PIM Ranges'!$AY$15,IF('PIM Ranges'!$AL23&lt;'PIM Ranges'!$AZ$15,"Q1",IF('PIM Ranges'!$AL23&lt;'PIM Ranges'!$BA$15,"Q2",IF('PIM Ranges'!$AL23&lt;'PIM Ranges'!$BB$15,"Q3",IF('PIM Ranges'!$AL23&lt;'PIM Ranges'!$BC$15,"Q4","Q5")))),IF('PIM Ranges'!$AK23='PIM Ranges'!$AY$16,IF('PIM Ranges'!$AL23&lt;'PIM Ranges'!$AZ$16,"Q1",IF('PIM Ranges'!$AL23&lt;'PIM Ranges'!$BA$16,"Q2",IF('PIM Ranges'!$AL23&lt;'PIM Ranges'!$BB$16,"Q3",IF('PIM Ranges'!$AL23&lt;'PIM Ranges'!$BC$16,"Q4","Q5")))),IF('PIM Ranges'!$AK23='PIM Ranges'!$AY$17,IF('PIM Ranges'!$AL23&lt;'PIM Ranges'!$AZ$17,"Q1",IF('PIM Ranges'!$AL23&lt;'PIM Ranges'!$BA$17,"Q2",IF('PIM Ranges'!$AL23&lt;'PIM Ranges'!$BB$17,"Q3",IF('PIM Ranges'!$AL23&lt;'PIM Ranges'!$BC$17,"Q4","Q5")))),IF('PIM Ranges'!$AK23='PIM Ranges'!$AY$18,IF('PIM Ranges'!$AL23&lt;'PIM Ranges'!$AZ$18,"Q1",IF('PIM Ranges'!$AL23&lt;'PIM Ranges'!$BA$18,"Q2",IF('PIM Ranges'!$AL23&lt;'PIM Ranges'!$BB$18,"Q3",IF('PIM Ranges'!$AL23&lt;'PIM Ranges'!$BC$18,"Q4","Q5")))),IF('PIM Ranges'!$AK23='PIM Ranges'!$AY$19,IF('PIM Ranges'!$AL23&lt;'PIM Ranges'!$AZ$19,"Q1",IF('PIM Ranges'!$AL23&lt;'PIM Ranges'!$BA$19,"Q2",IF('PIM Ranges'!$AL23&lt;'PIM Ranges'!$BB$19,"Q3",IF('PIM Ranges'!$AL23&lt;'PIM Ranges'!$BC$19,"Q4","Q5")))),IF('PIM Ranges'!$AK23='PIM Ranges'!$AY$20,IF('PIM Ranges'!$AL23&lt;'PIM Ranges'!$AZ$20,"Q1",IF('PIM Ranges'!$AL23&lt;'PIM Ranges'!$BA$20,"Q2",IF('PIM Ranges'!$AL23&lt;'PIM Ranges'!$BB$20,"Q3",IF('PIM Ranges'!$AL23&lt;'PIM Ranges'!$BC$20,"Q4","Q5")))),IF('PIM Ranges'!$AK23='PIM Ranges'!$AY$21,IF('PIM Ranges'!$AL23&lt;'PIM Ranges'!$AZ$21,"Q1",IF('PIM Ranges'!$AL23&lt;'PIM Ranges'!$BA$21,"Q2",IF('PIM Ranges'!$AL23&lt;'PIM Ranges'!$BB$21,"Q3",IF('PIM Ranges'!$AL23&lt;'PIM Ranges'!$BC$21,"Q4","Q5")))),IF('PIM Ranges'!$AK23='PIM Ranges'!$AY$22,IF('PIM Ranges'!$AL23&lt;'PIM Ranges'!$AZ$22,"Q1",IF('PIM Ranges'!$AL23&lt;'PIM Ranges'!$BA$22,"Q2",IF('PIM Ranges'!$AL23&lt;'PIM Ranges'!$BB$22,"Q3",IF('PIM Ranges'!$AL23&lt;'PIM Ranges'!$BC$22,"Q4","Q5")))),IF('PIM Ranges'!$AK23='PIM Ranges'!$AY$23,IF('PIM Ranges'!$AL23&lt;'PIM Ranges'!$AZ$23,"Q1",IF('PIM Ranges'!$AL23&lt;'PIM Ranges'!$BA$23,"Q2",IF('PIM Ranges'!$AL23&lt;'PIM Ranges'!$BB$23,"Q3",IF('PIM Ranges'!$AL23&lt;'PIM Ranges'!$BC$23,"Q4","Q5")))),IF('PIM Ranges'!$AK23='PIM Ranges'!$AY$24,IF('PIM Ranges'!$AL23&lt;'PIM Ranges'!$AZ$24,"Q1",IF('PIM Ranges'!$AL23&lt;'PIM Ranges'!$BA$24,"Q2",IF('PIM Ranges'!$AL23&lt;'PIM Ranges'!$BB$24,"Q3",IF('PIM Ranges'!$AL23&lt;'PIM Ranges'!$BC$24,"Q4","Q5")))),IF('PIM Ranges'!$AK23='PIM Ranges'!$AY$25,IF('PIM Ranges'!$AL23&lt;'PIM Ranges'!$AZ$25,"Q1",IF('PIM Ranges'!$AL23&lt;'PIM Ranges'!$BA$25,"Q2",IF('PIM Ranges'!$AL23&lt;'PIM Ranges'!$BB$25,"Q3",IF('PIM Ranges'!$AL23&lt;'PIM Ranges'!$BC$25,"Q4","Q5")))),IF('PIM Ranges'!$AK23='PIM Ranges'!$AY$26,IF('PIM Ranges'!$AL23&lt;'PIM Ranges'!$AZ$26,"Q1",IF('PIM Ranges'!$AL23&lt;'PIM Ranges'!$BA$26,"Q2",IF('PIM Ranges'!$AL23&lt;'PIM Ranges'!$BB$26,"Q3",IF('PIM Ranges'!$AL23&lt;'PIM Ranges'!$BC$26,"Q4","Q5")))),IF('PIM Ranges'!$AK23='PIM Ranges'!$AY$27,IF('PIM Ranges'!$AL23&lt;'PIM Ranges'!$AZ$27,"Q1",IF('PIM Ranges'!$AL23&lt;'PIM Ranges'!$BA$27,"Q2",IF('PIM Ranges'!$AL23&lt;'PIM Ranges'!$BB$27,"Q3",IF('PIM Ranges'!$AL23&lt;'PIM Ranges'!$BC$27,"Q4","Q5")))),IF('PIM Ranges'!$AK23='PIM Ranges'!$AY$28,IF('PIM Ranges'!$AL23&lt;'PIM Ranges'!$AZ$28,"Q1",IF('PIM Ranges'!$AL23&lt;'PIM Ranges'!$BA$28,"Q2",IF('PIM Ranges'!$AL23&lt;'PIM Ranges'!$BB$28,"Q3",IF('PIM Ranges'!$AL23&lt;'PIM Ranges'!$BC$28,"Q4","Q5")))),IF('PIM Ranges'!$AK23='PIM Ranges'!$AY$29,IF('PIM Ranges'!$AL23&lt;'PIM Ranges'!$AZ$29,"Q1",IF('PIM Ranges'!$AL23&lt;'PIM Ranges'!$BA$29,"Q2",IF('PIM Ranges'!$AL23&lt;'PIM Ranges'!$BB$29,"Q3",IF('PIM Ranges'!$AL23&lt;'PIM Ranges'!$BC$29,"Q4","Q5")))),IF('PIM Ranges'!$AK23='PIM Ranges'!$AY$30,IF('PIM Ranges'!$AL23&lt;'PIM Ranges'!$AZ$30,"Q1",IF('PIM Ranges'!$AL23&lt;'PIM Ranges'!$BA$30,"Q2",IF('PIM Ranges'!$AL23&lt;'PIM Ranges'!$BB$30,"Q3",IF('PIM Ranges'!$AL23&lt;'PIM Ranges'!$BC$30,"Q4","Q5")))),IF('PIM Ranges'!$AK23='PIM Ranges'!$AY$31,IF('PIM Ranges'!$AL23&lt;'PIM Ranges'!$AZ$31,"Q1",IF('PIM Ranges'!$AL23&lt;'PIM Ranges'!$BA$31,"Q2",IF('PIM Ranges'!$AL23&lt;'PIM Ranges'!$BB$31,"Q3",IF('PIM Ranges'!$AL23&lt;'PIM Ranges'!$BC$31,"Q4","Q5")))),IF('PIM Ranges'!$AK23='PIM Ranges'!$AY$32,IF('PIM Ranges'!$AL23&lt;'PIM Ranges'!$AZ$32,"Q1",IF('PIM Ranges'!$AL23&lt;'PIM Ranges'!$BA$32,"Q2",IF('PIM Ranges'!$AL23&lt;'PIM Ranges'!$BB$32,"Q3",IF('PIM Ranges'!$AL23&lt;'PIM Ranges'!$BC$32,"Q4","Q5"))))))))))))))))))))))))))</f>
        <v>Q1</v>
      </c>
      <c r="AZ25" s="301">
        <f t="shared" si="31"/>
        <v>0</v>
      </c>
      <c r="BA25" s="39">
        <f>'PIM Model'!C21</f>
        <v>0</v>
      </c>
      <c r="BB25" s="301"/>
      <c r="BC25" s="301"/>
      <c r="BD25" s="301" t="e">
        <f t="shared" si="72"/>
        <v>#DIV/0!</v>
      </c>
      <c r="BE25" s="301"/>
      <c r="BF25" s="301"/>
      <c r="BG25" s="105">
        <v>14</v>
      </c>
      <c r="BH25" s="18">
        <f t="array" ref="BH25">IF('Customer Inputs'!$W$6="End",0,IFERROR(IF($BU25="SEGMENT",INDEX('Margin Guidence Table'!$A$1:$AG$10000,MATCH(1,('Margin Guidence Table'!$A$1:$A$10000=$BS25)*('Margin Guidence Table'!$I$1:$I$10000&lt;=ROUND($BK$3,0))*('Margin Guidence Table'!$J$1:$J$10000&gt;=ROUND($BK$3,0)),0),MATCH("PCT_SALES",'Margin Guidence Table'!$A$1:$AG$1,0)),INDEX('Margin Guidence Table'!$A$1:$AG$10000,MATCH(1,('Margin Guidence Table'!$A$1:$A$10000=$BS25)*('Margin Guidence Table'!$I$1:$I$10000&lt;=ROUND($BK$3,0))*('Margin Guidence Table'!$J$1:$J$10000&gt;=ROUND($BK$3,0)),0),MATCH("DEFAULT_PCT_SALES",'Margin Guidence Table'!$A$1:$AG$1,0))),0))</f>
        <v>0</v>
      </c>
      <c r="BI25" s="297" t="e">
        <f t="shared" si="32"/>
        <v>#DIV/0!</v>
      </c>
      <c r="BJ25" s="99" t="s">
        <v>93</v>
      </c>
      <c r="BK25" s="91">
        <f>IF('Customer Inputs'!$W$6="End",0,IFERROR(IF(AND($BK$2&lt;&gt;"Enter Spend&gt;&gt;&gt;",$BL$2="EXISTING"),SUMIFS('Existing Customers'!$Q:$Q,'Existing Customers'!$A:$A,$BK$1,'Existing Customers'!$H:$H,$BJ25)*$BK$4,$BK$3*$BI25),0))</f>
        <v>0</v>
      </c>
      <c r="BL25" s="92">
        <f>IF('Customer Inputs'!$W$6="End",0,IFERROR(IF(AND($BK$2&lt;&gt;"Enter Spend&gt;&gt;&gt;",$BL$2="EXISTING"),SUMIFS('Existing Customers'!$N:$N,'Existing Customers'!$A:$A,$BK$1,'Existing Customers'!$H:$H,$BJ25)*$BK$4,$BK25/$BV25),0))</f>
        <v>0</v>
      </c>
      <c r="BM25" s="92">
        <f>IF('Customer Inputs'!$W$6="End",0,IFERROR(IF(AND($BK$2&lt;&gt;"Enter Spend&gt;&gt;&gt;",$BL$2="EXISTING"),SUMIFS('Existing Customers'!$O:$O,'Existing Customers'!$H:$H,$BJ25,'Existing Customers'!$A:$A,$BK$1)*$BK$4,$BL25*$BK$8),0))</f>
        <v>0</v>
      </c>
      <c r="BN25" s="92">
        <f>IF('Customer Inputs'!$W$6="End",0,IFERROR(IF(AND($BK$2&lt;&gt;"Enter Spend&gt;&gt;&gt;",$BL$2="EXISTING"),SUMIFS('Existing Customers'!$P:$P,'Existing Customers'!$A:$A,$BK$1,'Existing Customers'!$H:$H,$BJ25)*$BK$4,$BK25/$BW25),0))</f>
        <v>0</v>
      </c>
      <c r="BO25" s="303">
        <f>IF('Customer Inputs'!$W$6="End",0,IFERROR(IF(AND($BK$2&lt;&gt;"Enter Spend&gt;&gt;&gt;",$BL$2="EXISTING"),SUMIFS('Existing Customers'!$V:$V,'Existing Customers'!$H:$H,$BJ25,'Existing Customers'!$A:$A,$BK$1)*$BK$4,0),0))</f>
        <v>0</v>
      </c>
      <c r="BP25" s="93">
        <f>IF('Customer Inputs'!$W$6="End",0,IFERROR(IF(AND($BK$2&lt;&gt;"Enter Spend&gt;&gt;&gt;",$BL$2="EXISTING"),SUMIFS('Existing Customers'!$R:$R,'Existing Customers'!$H:$H,$BJ25,'Existing Customers'!$A:$A,$BK$1)*$BK$4,0),0))</f>
        <v>0</v>
      </c>
      <c r="BQ25" s="93">
        <f>IF('Customer Inputs'!$W$6="End",0,IFERROR(IF(AND($BK$2&lt;&gt;"Enter Spend&gt;&gt;&gt;",$BL$2="EXISTING"),SUMIFS('Existing Customers'!$S:$S,'Existing Customers'!$H:$H,$BJ25,'Existing Customers'!$A:$A,$BK$1)/SUMIFS('Existing Customers'!$Q:$Q,'Existing Customers'!$A:$A,$BK$1,'Existing Customers'!$H:$H,$BJ25),CA25),0))</f>
        <v>0</v>
      </c>
      <c r="BR25" s="93">
        <f>IF('Customer Inputs'!$W$6="End",0,IFERROR(IF(AND($BK$2&lt;&gt;"Enter Spend&gt;&gt;&gt;",$BL$2="EXISTING"),SUMIFS('Existing Customers'!$U:$U,'Existing Customers'!$H:$H,$BJ25,'Existing Customers'!$A:$A,$BK$1)/SUMIFS('Existing Customers'!$Q:$Q,'Existing Customers'!$A:$A,$BK$1,'Existing Customers'!$H:$H,$BJ25),CB25),0))</f>
        <v>0</v>
      </c>
      <c r="BS25" s="782" t="e">
        <f>_xlfn.CONCAT('Customer Inputs'!$AH$6,"_",BJ25)</f>
        <v>#N/A</v>
      </c>
      <c r="BT25" s="783">
        <f t="array" ref="BT25">IF('Customer Inputs'!$W$6="End",0,IFERROR(INDEX('Margin Guidence Table'!$A$1:$AG$10000,MATCH(1,('Margin Guidence Table'!$A$1:$A$10000=$BS25)*('Margin Guidence Table'!$I$1:$I$10000&lt;=ROUND($BK$3,0))*('Margin Guidence Table'!$J$1:$J$10000&gt;=ROUND($BK$3,0)),0),MATCH("DATA_POINTS",'Margin Guidence Table'!$A$1:$AG$1,0)),0))</f>
        <v>0</v>
      </c>
      <c r="BU25" s="780" t="str">
        <f t="shared" si="33"/>
        <v>DEFAULT</v>
      </c>
      <c r="BV25" s="780">
        <f t="array" ref="BV25">IF('Customer Inputs'!$W$6="End",0,IFERROR(IF($BU25="SEGMENT",INDEX('Margin Guidence Table'!$A$1:$AG$10000,MATCH(1,('Margin Guidence Table'!$A$1:$A$10000=$BS25)*('Margin Guidence Table'!$I$1:$I$10000&lt;=ROUND($BK$3,0))*('Margin Guidence Table'!$J$1:$J$10000&gt;=ROUND($BK$3,0)),0),MATCH("SALES_CASE",'Margin Guidence Table'!$A$1:$AG$1,0)),INDEX('Margin Guidence Table'!$A$1:$AG$10000,MATCH(1,('Margin Guidence Table'!$A$1:$A$10000=$BS25)*('Margin Guidence Table'!$I$1:$I$10000&lt;=ROUND($BK$3,0))*('Margin Guidence Table'!$J$1:$J$10000&gt;=ROUND($BK$3,0)),0),MATCH("DEFAULT_SALES_CASE",'Margin Guidence Table'!$A$1:$AG$1,0))),0))</f>
        <v>0</v>
      </c>
      <c r="BW25" s="780">
        <f t="array" ref="BW25">IF('Customer Inputs'!$W$6="End",0,IFERROR(IF($BU25="SEGMENT",INDEX('Margin Guidence Table'!$A$1:$AG$10000,MATCH(1,('Margin Guidence Table'!$A$1:$A$10000=$BS25)*('Margin Guidence Table'!$I$1:$I$10000&lt;=ROUND($BK$3,0))*('Margin Guidence Table'!$J$1:$J$10000&gt;=ROUND($BK$3,0)),0),MATCH("SALES_LBS",'Margin Guidence Table'!$A$1:$AG$1,0)),INDEX('Margin Guidence Table'!$A$1:$AG$10000,MATCH(1,('Margin Guidence Table'!$A$1:$A$10000=$BS25)*('Margin Guidence Table'!$I$1:$I$10000&lt;=ROUND($BK$3,0))*('Margin Guidence Table'!$J$1:$J$10000&gt;=ROUND($BK$3,0)),0),MATCH("DEFAULT_SALES_LBS",'Margin Guidence Table'!$A$1:$AG$1,0))),0))</f>
        <v>0</v>
      </c>
      <c r="BX25" s="784">
        <f t="array" ref="BX25">IF('Customer Inputs'!$W$6="End",0,IFERROR(IF($BU25="SEGMENT",INDEX('Margin Guidence Table'!$A$1:$AG$10000,MATCH(1,('Margin Guidence Table'!$A$1:$A$10000=$BS25)*('Margin Guidence Table'!$I$1:$I$10000&lt;=ROUND($BK$3,0))*('Margin Guidence Table'!$J$1:$J$10000&gt;=ROUND($BK$3,0)),0),MATCH("MDA_MIN_MARGIN_GUIDENCE",'Margin Guidence Table'!$A$1:$AG$1,0)),INDEX('Margin Guidence Table'!$A$1:$AG$10000,MATCH(1,('Margin Guidence Table'!$A$1:$A$10000=$BS25)*('Margin Guidence Table'!$I$1:$I$10000&lt;=ROUND($BK$3,0))*('Margin Guidence Table'!$J$1:$J$10000&gt;=ROUND($BK$3,0)),0),MATCH("DEFAULT_MDA_MIN_MARGIN_GUIDENCE",'Margin Guidence Table'!$A$1:$AG$1,0))),0))</f>
        <v>0</v>
      </c>
      <c r="BY25" s="784">
        <f t="array" ref="BY25">IF('Customer Inputs'!$W$6="End",0,IFERROR(IF($BU25="SEGMENT",INDEX('Margin Guidence Table'!$A$1:$AG$10000,MATCH(1,('Margin Guidence Table'!$A$1:$A$10000=$BS25)*('Margin Guidence Table'!$I$1:$I$10000&lt;=ROUND($BK$3,0))*('Margin Guidence Table'!$J$1:$J$10000&gt;=ROUND($BK$3,0)),0),MATCH("MDA_MEDIAN_MARGIN_GUIDENCE",'Margin Guidence Table'!$A$1:$AG$1,0)),INDEX('Margin Guidence Table'!$A$1:$AG$10000,MATCH(1,('Margin Guidence Table'!$A$1:$A$10000=$BS25)*('Margin Guidence Table'!$I$1:$I$10000&lt;=ROUND($BK$3,0))*('Margin Guidence Table'!$J$1:$J$10000&gt;=ROUND($BK$3,0)),0),MATCH("DEFAULT_MDA_MEDIAN_MARGIN_GUIDENCE",'Margin Guidence Table'!$A$1:$AG$1,0))),0))</f>
        <v>0</v>
      </c>
      <c r="BZ25" s="784">
        <f t="array" ref="BZ25">IF('Customer Inputs'!$W$6="End",0,IFERROR(IF($BU25="SEGMENT",INDEX('Margin Guidence Table'!$A$1:$AG$10000,MATCH(1,('Margin Guidence Table'!$A$1:$A$10000=$BS25)*('Margin Guidence Table'!$I$1:$I$10000&lt;=ROUND($BK$3,0))*('Margin Guidence Table'!$J$1:$J$10000&gt;=ROUND($BK$3,0)),0),MATCH("MDA_MAX_MARGIN_GUIDENCE",'Margin Guidence Table'!$A$1:$AG$1,0)),INDEX('Margin Guidence Table'!$A$1:$AG$10000,MATCH(1,('Margin Guidence Table'!$A$1:$A$10000=$BS25)*('Margin Guidence Table'!$I$1:$I$10000&lt;=ROUND($BK$3,0))*('Margin Guidence Table'!$J$1:$J$10000&gt;=ROUND($BK$3,0)),0),MATCH("DEFAULT_MDA_MAX_MARGIN_GUIDENCE",'Margin Guidence Table'!$A$1:$AG$1,0))),0))</f>
        <v>0</v>
      </c>
      <c r="CA25" s="784">
        <f t="array" ref="CA25">IF('Customer Inputs'!$W$6="End",0,IFERROR(IF($BU25="SEGMENT",INDEX('Margin Guidence Table'!$A$1:$AG$10000,MATCH(1,('Margin Guidence Table'!$A$1:$A$10000=$BS25)*('Margin Guidence Table'!$I$1:$I$10000&lt;=ROUND($BK$3,0))*('Margin Guidence Table'!$J$1:$J$10000&gt;=ROUND($BK$3,0)),0),MATCH("PA_PCT_SALES",'Margin Guidence Table'!$A$1:$AG$1,0)),INDEX('Margin Guidence Table'!$A$1:$AG$10000,MATCH(1,('Margin Guidence Table'!$A$1:$A$10000=$BS25)*('Margin Guidence Table'!$I$1:$I$10000&lt;=ROUND($BK$3,0))*('Margin Guidence Table'!$J$1:$J$10000&gt;=ROUND($BK$3,0)),0),MATCH("DEFAULT_PA_PCT_SALES",'Margin Guidence Table'!$A$1:$AG$1,0))),0))</f>
        <v>0</v>
      </c>
      <c r="CB25" s="784">
        <f t="array" ref="CB25">IF('Customer Inputs'!$W$6="End",0,IFERROR(IF($BU25="SEGMENT",INDEX('Margin Guidence Table'!$A$1:$AG$10000,MATCH(1,('Margin Guidence Table'!$A$1:$A$10000=$BS25)*('Margin Guidence Table'!$I$1:$I$10000&lt;=ROUND($BK$3,0))*('Margin Guidence Table'!$J$1:$J$10000&gt;=ROUND($BK$3,0)),0),MATCH("SELF_FUND_PCT_SALES",'Margin Guidence Table'!$A$1:$AG$1,0)),INDEX('Margin Guidence Table'!$A$1:$AG$10000,MATCH(1,('Margin Guidence Table'!$A$1:$A$10000=$BS25)*('Margin Guidence Table'!$I$1:$I$10000&lt;=ROUND($BK$3,0))*('Margin Guidence Table'!$J$1:$J$10000&gt;=ROUND($BK$3,0)),0),MATCH("DEFAULT_SELF_FUND_PCT_SALES",'Margin Guidence Table'!$A$1:$AG$1,0))),0))</f>
        <v>0</v>
      </c>
      <c r="CC25" s="784">
        <f t="array" ref="CC25">IF('Customer Inputs'!$W$6="End",0,IF($BL$2="Existing",IFERROR(SUMIFS('Existing Customers'!$V:$V,'Existing Customers'!$H:$H,$BJ25,'Existing Customers'!$A:$A,$BK$1)/SUMIFS('Existing Customers'!$Q:$Q,'Existing Customers'!$H:$H,$BJ25,'Existing Customers'!$A:$A,$BK$1),0),IFERROR(IF($BU25="SEGMENT",INDEX('Margin Guidence Table'!$A$1:$AG$10000,MATCH(1,('Margin Guidence Table'!$A$1:$A$10000=$BS25)*('Margin Guidence Table'!$I$1:$I$10000&lt;=ROUND($BK$3,0))*('Margin Guidence Table'!$J$1:$J$10000&gt;=ROUND($BK$3,0)),0),MATCH("CIA_MEDIAN_MARGIN_GUIDENCE",'Margin Guidence Table'!$A$1:$AG$1,0)),INDEX('Margin Guidence Table'!$A$1:$AG$10000,MATCH(1,('Margin Guidence Table'!$A$1:$A$10000=$BS25)*('Margin Guidence Table'!$I$1:$I$10000&lt;=ROUND($BK$3,0))*('Margin Guidence Table'!$J$1:$J$10000&gt;=ROUND($BK$3,0)),0),MATCH("DEFAULT_CIA_MEDIAN_MARGIN_GUIDENCE",'Margin Guidence Table'!$A$1:$AG$1,0))),0)))</f>
        <v>0</v>
      </c>
      <c r="CD25" s="126"/>
      <c r="CE25" s="18">
        <f t="array" ref="CE25">IF('Customer Inputs'!$W$7="End",0,IFERROR(IF($CR25="SEGMENT",INDEX('Margin Guidence Table'!$A$1:$AG$10000,MATCH(1,('Margin Guidence Table'!$A$1:$A$10000=$CP25)*('Margin Guidence Table'!$I$1:$I$10000&lt;=ROUND($CH$3,0))*('Margin Guidence Table'!$J$1:$J$10000&gt;=ROUND($CH$3,0)),0),MATCH("PCT_SALES",'Margin Guidence Table'!$A$1:$AG$1,0)),INDEX('Margin Guidence Table'!$A$1:$AG$10000,MATCH(1,('Margin Guidence Table'!$A$1:$A$10000=$CP25)*('Margin Guidence Table'!$I$1:$I$10000&lt;=ROUND($CH$3,0))*('Margin Guidence Table'!$J$1:$J$10000&gt;=ROUND($CH$3,0)),0),MATCH("DEFAULT_PCT_SALES",'Margin Guidence Table'!$A$1:$AG$1,0))),0))</f>
        <v>0</v>
      </c>
      <c r="CF25" s="297" t="e">
        <f t="shared" si="34"/>
        <v>#DIV/0!</v>
      </c>
      <c r="CG25" s="99" t="s">
        <v>93</v>
      </c>
      <c r="CH25" s="91">
        <f>IF('Customer Inputs'!$W$7="End",0,IFERROR(IF(AND($CH$2&lt;&gt;"Enter Spend&gt;&gt;&gt;",$CI$2="EXISTING"),SUMIFS('Existing Customers'!$Q:$Q,'Existing Customers'!$A:$A,$CH$1,'Existing Customers'!$H:$H,$CG25)*$CH$4,$CH$3*$CF25),0))</f>
        <v>0</v>
      </c>
      <c r="CI25" s="86">
        <f>IF('Customer Inputs'!$W$7="End",0,IFERROR(IF(AND($CH$2&lt;&gt;"Enter Spend&gt;&gt;&gt;",$CI$2="EXISTING"),SUMIFS('Existing Customers'!$N:$N,'Existing Customers'!$A:$A,$CH$1,'Existing Customers'!$H:$H,$CG25)*$CH$4,$CH25/$CS25),0))</f>
        <v>0</v>
      </c>
      <c r="CJ25" s="92">
        <f>IF('Customer Inputs'!$W$7="End",0,IFERROR(IF(AND($CH$2&lt;&gt;"Enter Spend&gt;&gt;&gt;",$CI$2="EXISTING"),SUMIFS('Existing Customers'!$O:$O,'Existing Customers'!$H:$H,$CG25,'Existing Customers'!$A:$A,$CH$1)*$CH$4,$CI25*$CH$8),0))</f>
        <v>0</v>
      </c>
      <c r="CK25" s="92">
        <f>IF('Customer Inputs'!$W$7="End",0,IFERROR(IF(AND($CH$2&lt;&gt;"Enter Spend&gt;&gt;&gt;",$CI$2="EXISTING"),SUMIFS('Existing Customers'!$P:$P,'Existing Customers'!$A:$A,$CH$1,'Existing Customers'!$H:$H,$CG25)*$CH$4,$CH25/$CT25),0))</f>
        <v>0</v>
      </c>
      <c r="CL25" s="93">
        <f>IF('Customer Inputs'!$W$7="End",0,IFERROR(IF(AND($CH$2&lt;&gt;"Enter Spend&gt;&gt;&gt;",$CI$2="EXISTING"),SUMIFS('Existing Customers'!$V:$V,'Existing Customers'!$H:$H,$CG25,'Existing Customers'!$A:$A,$CH$1)*$CH$4,0),0))</f>
        <v>0</v>
      </c>
      <c r="CM25" s="93">
        <f>IF('Customer Inputs'!$W$7="End",0,IFERROR(IF(AND($CH$2&lt;&gt;"Enter Spend&gt;&gt;&gt;",$CI$2="EXISTING"),SUMIFS('Existing Customers'!$R:$R,'Existing Customers'!$H:$H,$CG25,'Existing Customers'!$A:$A,$CH$1)*$CH$4,0),0))</f>
        <v>0</v>
      </c>
      <c r="CN25" s="780">
        <f>IF('Customer Inputs'!$W$7="End",0,IFERROR(IF(AND($CH$2&lt;&gt;"Enter Spend&gt;&gt;&gt;",$CI$2="EXISTING"),SUMIFS('Existing Customers'!$S:$S,'Existing Customers'!$H:$H,$CG25,'Existing Customers'!$A:$A,$CH$1)/SUMIFS('Existing Customers'!$Q:$Q,'Existing Customers'!$A:$A,$CH$1,'Existing Customers'!$H:$H,$CG25),CX25),0))</f>
        <v>0</v>
      </c>
      <c r="CO25" s="780">
        <f>IF('Customer Inputs'!$W$7="End",0,IFERROR(IF(AND($CH$2&lt;&gt;"Enter Spend&gt;&gt;&gt;",$CI$2="EXISTING"),SUMIFS('Existing Customers'!$U:$U,'Existing Customers'!$H:$H,$CG25,'Existing Customers'!$A:$A,$CH$1)/SUMIFS('Existing Customers'!$Q:$Q,'Existing Customers'!$A:$A,$CH$1,'Existing Customers'!$H:$H,$CG25),CY25),0))</f>
        <v>0</v>
      </c>
      <c r="CP25" s="783" t="e">
        <f>_xlfn.CONCAT('Customer Inputs'!$AH$7,"_",CG25)</f>
        <v>#N/A</v>
      </c>
      <c r="CQ25" s="783">
        <f t="array" ref="CQ25">IFERROR(INDEX('Margin Guidence Table'!$A$1:$AG$10000,MATCH(1,('Margin Guidence Table'!$A$1:$A$10000=$CP25)*('Margin Guidence Table'!$I$1:$I$10000&lt;=ROUND($CH$3,0))*('Margin Guidence Table'!$J$1:$J$10000&gt;=ROUND($CH$3,0)),0),MATCH("DATA_POINTS",'Margin Guidence Table'!$A$1:$AG$1,0)),0)</f>
        <v>0</v>
      </c>
      <c r="CR25" s="780" t="str">
        <f t="shared" si="35"/>
        <v>DEFAULT</v>
      </c>
      <c r="CS25" s="780">
        <f t="array" ref="CS25">IF('Customer Inputs'!$W$7="End",0,IFERROR(IF($CR25="SEGMENT",INDEX('Margin Guidence Table'!$A$1:$AG$10000,MATCH(1,('Margin Guidence Table'!$A$1:$A$10000=$CP25)*('Margin Guidence Table'!$I$1:$I$10000&lt;=ROUND($CH$3,0))*('Margin Guidence Table'!$J$1:$J$10000&gt;=ROUND($CH$3,0)),0),MATCH("SALES_CASE",'Margin Guidence Table'!$A$1:$AG$1,0)),INDEX('Margin Guidence Table'!$A$1:$AG$10000,MATCH(1,('Margin Guidence Table'!$A$1:$A$10000=$CP25)*('Margin Guidence Table'!$I$1:$I$10000&lt;=ROUND($CH$3,0))*('Margin Guidence Table'!$J$1:$J$10000&gt;=ROUND($CH$3,0)),0),MATCH("DEFAULT_SALES_CASE",'Margin Guidence Table'!$A$1:$AG$1,0))),0))</f>
        <v>0</v>
      </c>
      <c r="CT25" s="780">
        <f t="array" ref="CT25">IF('Customer Inputs'!$W$7="End",0,IFERROR(IF($CR25="SEGMENT",INDEX('Margin Guidence Table'!$A$1:$AG$10000,MATCH(1,('Margin Guidence Table'!$A$1:$A$10000=$CP25)*('Margin Guidence Table'!$I$1:$I$10000&lt;=ROUND($CH$3,0))*('Margin Guidence Table'!$J$1:$J$10000&gt;=ROUND($CH$3,0)),0),MATCH("SALES_LBS",'Margin Guidence Table'!$A$1:$AG$1,0)),INDEX('Margin Guidence Table'!$A$1:$AG$10000,MATCH(1,('Margin Guidence Table'!$A$1:$A$10000=$CP25)*('Margin Guidence Table'!$I$1:$I$10000&lt;=ROUND($CH$3,0))*('Margin Guidence Table'!$J$1:$J$10000&gt;=ROUND($CH$3,0)),0),MATCH("DEFAULT_SALES_LBS",'Margin Guidence Table'!$A$1:$AG$1,0))),0))</f>
        <v>0</v>
      </c>
      <c r="CU25" s="784">
        <f t="array" ref="CU25">IF('Customer Inputs'!$W$7="End",0,IFERROR(IF($CR25="SEGMENT",INDEX('Margin Guidence Table'!$A$1:$AG$10000,MATCH(1,('Margin Guidence Table'!$A$1:$A$10000=$CP25)*('Margin Guidence Table'!$I$1:$I$10000&lt;=ROUND($CH$3,0))*('Margin Guidence Table'!$J$1:$J$10000&gt;=ROUND($CH$3,0)),0),MATCH("MDA_MIN_MARGIN_GUIDENCE",'Margin Guidence Table'!$A$1:$AG$1,0)),INDEX('Margin Guidence Table'!$A$1:$AG$10000,MATCH(1,('Margin Guidence Table'!$A$1:$A$10000=$CP25)*('Margin Guidence Table'!$I$1:$I$10000&lt;=ROUND($CH$3,0))*('Margin Guidence Table'!$J$1:$J$10000&gt;=ROUND($CH$3,0)),0),MATCH("DEFAULT_MDA_MIN_MARGIN_GUIDENCE",'Margin Guidence Table'!$A$1:$AG$1,0))),0))</f>
        <v>0</v>
      </c>
      <c r="CV25" s="784">
        <f t="array" ref="CV25">IF('Customer Inputs'!$W$7="End",0,IFERROR(IF($CR25="SEGMENT",INDEX('Margin Guidence Table'!$A$1:$AG$10000,MATCH(1,('Margin Guidence Table'!$A$1:$A$10000=$CP25)*('Margin Guidence Table'!$I$1:$I$10000&lt;=ROUND($CH$3,0))*('Margin Guidence Table'!$J$1:$J$10000&gt;=ROUND($CH$3,0)),0),MATCH("MDA_MEDIAN_MARGIN_GUIDENCE",'Margin Guidence Table'!$A$1:$AG$1,0)),INDEX('Margin Guidence Table'!$A$1:$AG$10000,MATCH(1,('Margin Guidence Table'!$A$1:$A$10000=$CP25)*('Margin Guidence Table'!$I$1:$I$10000&lt;=ROUND($CH$3,0))*('Margin Guidence Table'!$J$1:$J$10000&gt;=ROUND($CH$3,0)),0),MATCH("DEFAULT_MDA_MEDIAN_MARGIN_GUIDENCE",'Margin Guidence Table'!$A$1:$AG$1,0))),0))</f>
        <v>0</v>
      </c>
      <c r="CW25" s="784">
        <f t="array" ref="CW25">IF('Customer Inputs'!$W$7="End",0,IFERROR(IF($CR25="SEGMENT",INDEX('Margin Guidence Table'!$A$1:$AG$10000,MATCH(1,('Margin Guidence Table'!$A$1:$A$10000=$CP25)*('Margin Guidence Table'!$I$1:$I$10000&lt;=ROUND($CH$3,0))*('Margin Guidence Table'!$J$1:$J$10000&gt;=ROUND($CH$3,0)),0),MATCH("MDA_MAX_MARGIN_GUIDENCE",'Margin Guidence Table'!$A$1:$AG$1,0)),INDEX('Margin Guidence Table'!$A$1:$AG$10000,MATCH(1,('Margin Guidence Table'!$A$1:$A$10000=$CP25)*('Margin Guidence Table'!$I$1:$I$10000&lt;=ROUND($CH$3,0))*('Margin Guidence Table'!$J$1:$J$10000&gt;=ROUND($CH$3,0)),0),MATCH("DEFAULT_MDA_MAX_MARGIN_GUIDENCE",'Margin Guidence Table'!$A$1:$AG$1,0))),0))</f>
        <v>0</v>
      </c>
      <c r="CX25" s="784">
        <f t="array" ref="CX25">IF('Customer Inputs'!$W$7="End",0,IFERROR(IF($CR25="SEGMENT",INDEX('Margin Guidence Table'!$A$1:$AG$10000,MATCH(1,('Margin Guidence Table'!$A$1:$A$10000=$CP25)*('Margin Guidence Table'!$I$1:$I$10000&lt;=ROUND($CH$3,0))*('Margin Guidence Table'!$J$1:$J$10000&gt;=ROUND($CH$3,0)),0),MATCH("PA_PCT_SALES",'Margin Guidence Table'!$A$1:$AG$1,0)),INDEX('Margin Guidence Table'!$A$1:$AG$10000,MATCH(1,('Margin Guidence Table'!$A$1:$A$10000=$CP25)*('Margin Guidence Table'!$I$1:$I$10000&lt;=ROUND($CH$3,0))*('Margin Guidence Table'!$J$1:$J$10000&gt;=ROUND($CH$3,0)),0),MATCH("DEFAULT_PA_PCT_SALES",'Margin Guidence Table'!$A$1:$AG$1,0))),0))</f>
        <v>0</v>
      </c>
      <c r="CY25" s="784">
        <f t="array" ref="CY25">IF('Customer Inputs'!$W$7="End",0,IFERROR(IF($CR25="SEGMENT",INDEX('Margin Guidence Table'!$A$1:$AG$10000,MATCH(1,('Margin Guidence Table'!$A$1:$A$10000=$CP25)*('Margin Guidence Table'!$I$1:$I$10000&lt;=ROUND($CH$3,0))*('Margin Guidence Table'!$J$1:$J$10000&gt;=ROUND($CH$3,0)),0),MATCH("SELF_FUND_PCT_SALES",'Margin Guidence Table'!$A$1:$AG$1,0)),INDEX('Margin Guidence Table'!$A$1:$AG$10000,MATCH(1,('Margin Guidence Table'!$A$1:$A$10000=$CP25)*('Margin Guidence Table'!$I$1:$I$10000&lt;=ROUND($CH$3,0))*('Margin Guidence Table'!$J$1:$J$10000&gt;=ROUND($CH$3,0)),0),MATCH("DEFAULT_SELF_FUND_PCT_SALES",'Margin Guidence Table'!$A$1:$AG$1,0))),0))</f>
        <v>0</v>
      </c>
      <c r="CZ25" s="784">
        <f t="array" ref="CZ25">IF('Customer Inputs'!$W$7="End",0,IF($CI$2="Existing",IFERROR(SUMIFS('Existing Customers'!$V:$V,'Existing Customers'!$H:$H,$CG25,'Existing Customers'!$A:$A,$CH$1)/SUMIFS('Existing Customers'!$Q:$Q,'Existing Customers'!$H:$H,$CG25,'Existing Customers'!$A:$A,$CH$1),0),IFERROR(IF($CR25="SEGMENT",INDEX('Margin Guidence Table'!$A$1:$AG$10000,MATCH(1,('Margin Guidence Table'!$A$1:$A$10000=$CP25)*('Margin Guidence Table'!$I$1:$I$10000&lt;=ROUND($CH$3,0))*('Margin Guidence Table'!$J$1:$J$10000&gt;=ROUND($CH$3,0)),0),MATCH("CIA_MEDIAN_MARGIN_GUIDENCE",'Margin Guidence Table'!$A$1:$AG$1,0)),INDEX('Margin Guidence Table'!$A$1:$AG$10000,MATCH(1,('Margin Guidence Table'!$A$1:$A$10000=$CP25)*('Margin Guidence Table'!$I$1:$I$10000&lt;=ROUND($CH$3,0))*('Margin Guidence Table'!$J$1:$J$10000&gt;=ROUND($CH$3,0)),0),MATCH("DEFAULT_CIA_MEDIAN_MARGIN_GUIDENCE",'Margin Guidence Table'!$A$1:$AG$1,0))),0)))</f>
        <v>0</v>
      </c>
      <c r="DA25" s="126"/>
      <c r="DB25" s="18">
        <f t="array" ref="DB25">IF('Customer Inputs'!$W$8="End",0,IFERROR(IF($DO25="SEGMENT",INDEX('Margin Guidence Table'!$A$1:$AG$10000,MATCH(1,('Margin Guidence Table'!$A$1:$A$10000=$DM25)*('Margin Guidence Table'!$I$1:$I$10000&lt;=ROUND($DE$3,0))*('Margin Guidence Table'!$J$1:$J$10000&gt;=ROUND($DE$3,0)),0),MATCH("PCT_SALES",'Margin Guidence Table'!$A$1:$AG$1,0)),INDEX('Margin Guidence Table'!$A$1:$AG$10000,MATCH(1,('Margin Guidence Table'!$A$1:$A$10000=$DM25)*('Margin Guidence Table'!$I$1:$I$10000&lt;=ROUND($DE$3,0))*('Margin Guidence Table'!$J$1:$J$10000&gt;=ROUND($DE$3,0)),0),MATCH("DEFAULT_PCT_SALES",'Margin Guidence Table'!$A$1:$AG$1,0))),0))</f>
        <v>0</v>
      </c>
      <c r="DC25" s="297" t="e">
        <f t="shared" si="36"/>
        <v>#DIV/0!</v>
      </c>
      <c r="DD25" s="99" t="s">
        <v>93</v>
      </c>
      <c r="DE25" s="91">
        <f>IF('Customer Inputs'!$W$8="End",0,IFERROR(IF(AND($DE$2&lt;&gt;"Enter Spend&gt;&gt;&gt;",$DF$2="EXISTING"),SUMIFS('Existing Customers'!$Q:$Q,'Existing Customers'!$A:$A,$DE$1,'Existing Customers'!$H:$H,$DD25)*$DE$4,$DE$3*$DC25),0))</f>
        <v>0</v>
      </c>
      <c r="DF25" s="86">
        <f>IF('Customer Inputs'!$W$8="End",0,IFERROR(IF(AND($DE$2&lt;&gt;"Enter Spend&gt;&gt;&gt;",$DF$2="EXISTING"),SUMIFS('Existing Customers'!$N:$N,'Existing Customers'!$A:$A,$DE$1,'Existing Customers'!$H:$H,$DD25)*$DE$4,$DE25/$DP25),0))</f>
        <v>0</v>
      </c>
      <c r="DG25" s="92">
        <f>IF('Customer Inputs'!$W$8="End",0,IFERROR(IF(AND($DE$2&lt;&gt;"Enter Spend&gt;&gt;&gt;",$DF$2="EXISTING"),SUMIFS('Existing Customers'!$O:$O,'Existing Customers'!$H:$H,$DD25,'Existing Customers'!$A:$A,$DE$1)*$DE$4,$DF25*$DE$8),0))</f>
        <v>0</v>
      </c>
      <c r="DH25" s="92">
        <f>IF('Customer Inputs'!$W$8="End",0,IFERROR(IF(AND($DE$2&lt;&gt;"Enter Spend&gt;&gt;&gt;",$DF$2="EXISTING"),SUMIFS('Existing Customers'!$P:$P,'Existing Customers'!$A:$A,$DE$1,'Existing Customers'!$H:$H,$DD25)*$DE$4,$DE25/$DQ25),0))</f>
        <v>0</v>
      </c>
      <c r="DI25" s="93">
        <f>IF('Customer Inputs'!$W$8="End",0,IFERROR(IF(AND($DE$2&lt;&gt;"Enter Spend&gt;&gt;&gt;",$DF$2="EXISTING"),SUMIFS('Existing Customers'!$V:$V,'Existing Customers'!$H:$H,$DD25,'Existing Customers'!$A:$A,$DE$1)*$DE$4,0),0))</f>
        <v>0</v>
      </c>
      <c r="DJ25" s="93">
        <f>IF('Customer Inputs'!$W$8="End",0,IFERROR(IF(AND($DE$2&lt;&gt;"Enter Spend&gt;&gt;&gt;",$DF$2="EXISTING"),SUMIFS('Existing Customers'!$R:$R,'Existing Customers'!$H:$H,$DD25,'Existing Customers'!$A:$A,$DE$1)*$DE$4,0),0))</f>
        <v>0</v>
      </c>
      <c r="DK25" s="780">
        <f>IF('Customer Inputs'!$W$8="End",0,IFERROR(IF(AND($DE$2&lt;&gt;"Enter Spend&gt;&gt;&gt;",$DF$2="EXISTING"),SUMIFS('Existing Customers'!$S:$S,'Existing Customers'!$H:$H,$DD25,'Existing Customers'!$A:$A,$DE$1)/SUMIFS('Existing Customers'!$Q:$Q,'Existing Customers'!$A:$A,$DE$1,'Existing Customers'!$H:$H,$DD25),DU25),0))</f>
        <v>0</v>
      </c>
      <c r="DL25" s="780">
        <f>IF('Customer Inputs'!$W$8="End",0,IFERROR(IF(AND($DE$2&lt;&gt;"Enter Spend&gt;&gt;&gt;",$DF$2="EXISTING"),SUMIFS('Existing Customers'!$U:$U,'Existing Customers'!$H:$H,$DD25,'Existing Customers'!$A:$A,$DE$1)/SUMIFS('Existing Customers'!$Q:$Q,'Existing Customers'!$A:$A,$DE$1,'Existing Customers'!$H:$H,$DD25),DV25),0))</f>
        <v>0</v>
      </c>
      <c r="DM25" s="783" t="e">
        <f>_xlfn.CONCAT('Customer Inputs'!$AH$8,"_",DD25)</f>
        <v>#N/A</v>
      </c>
      <c r="DN25" s="783">
        <f t="array" ref="DN25">IF('Customer Inputs'!$W$8="End",0,IFERROR(INDEX('Margin Guidence Table'!$A$1:$AG$10000,MATCH(1,('Margin Guidence Table'!$A$1:$A$10000=DM25)*('Margin Guidence Table'!$I$1:$I$10000&lt;=ROUND($DE$3,0))*('Margin Guidence Table'!$J$1:$J$10000&gt;=ROUND($DE$3,0)),0),MATCH("DATA_POINTS",'Margin Guidence Table'!$A$1:$AG$1,0)),0))</f>
        <v>0</v>
      </c>
      <c r="DO25" s="780" t="str">
        <f t="shared" si="37"/>
        <v>DEFAULT</v>
      </c>
      <c r="DP25" s="780">
        <f t="array" ref="DP25">IF('Customer Inputs'!$W$8="End",0,IFERROR(IF($DO25="SEGMENT",INDEX('Margin Guidence Table'!$A$1:$AG$10000,MATCH(1,('Margin Guidence Table'!$A$1:$A$10000=DM25)*('Margin Guidence Table'!$I$1:$I$10000&lt;=ROUND($DE$3,0))*('Margin Guidence Table'!$J$1:$J$10000&gt;=ROUND($DE$3,0)),0),MATCH("SALES_CASE",'Margin Guidence Table'!$A$1:$AG$1,0)),INDEX('Margin Guidence Table'!$A$1:$AG$10000,MATCH(1,('Margin Guidence Table'!$A$1:$A$10000=DM25)*('Margin Guidence Table'!$I$1:$I$10000&lt;=ROUND($DE$3,0))*('Margin Guidence Table'!$J$1:$J$10000&gt;=ROUND($DE$3,0)),0),MATCH("DEFAULT_SALES_CASE",'Margin Guidence Table'!$A$1:$AG$1,0))),0))</f>
        <v>0</v>
      </c>
      <c r="DQ25" s="780">
        <f t="array" ref="DQ25">IF('Customer Inputs'!$W$8="End",0,IFERROR(IF($DO25="SEGMENT",INDEX('Margin Guidence Table'!$A$1:$AG$10000,MATCH(1,('Margin Guidence Table'!$A$1:$A$10000=DM25)*('Margin Guidence Table'!$I$1:$I$10000&lt;=ROUND($DE$3,0))*('Margin Guidence Table'!$J$1:$J$10000&gt;=ROUND($DE$3,0)),0),MATCH("SALES_LBS",'Margin Guidence Table'!$A$1:$AG$1,0)),INDEX('Margin Guidence Table'!$A$1:$AG$10000,MATCH(1,('Margin Guidence Table'!$A$1:$A$10000=DM25)*('Margin Guidence Table'!$I$1:$I$10000&lt;=ROUND($DE$3,0))*('Margin Guidence Table'!$J$1:$J$10000&gt;=ROUND($DE$3,0)),0),MATCH("DEFAULT_SALES_LBS",'Margin Guidence Table'!$A$1:$AG$1,0))),0))</f>
        <v>0</v>
      </c>
      <c r="DR25" s="784">
        <f t="array" ref="DR25">IF('Customer Inputs'!$W$8="End",0,IFERROR(IF($DO25="SEGMENT",INDEX('Margin Guidence Table'!$A$1:$AG$10000,MATCH(1,('Margin Guidence Table'!$A$1:$A$10000=DM25)*('Margin Guidence Table'!$I$1:$I$10000&lt;=ROUND($DE$3,0))*('Margin Guidence Table'!$J$1:$J$10000&gt;=ROUND($DE$3,0)),0),MATCH("MDA_MIN_MARGIN_GUIDENCE",'Margin Guidence Table'!$A$1:$AG$1,0)),INDEX('Margin Guidence Table'!$A$1:$AG$10000,MATCH(1,('Margin Guidence Table'!$A$1:$A$10000=DM25)*('Margin Guidence Table'!$I$1:$I$10000&lt;=ROUND($DE$3,0))*('Margin Guidence Table'!$J$1:$J$10000&gt;=ROUND($DE$3,0)),0),MATCH("DEFAULT_MDA_MIN_MARGIN_GUIDENCE",'Margin Guidence Table'!$A$1:$AG$1,0))),0))</f>
        <v>0</v>
      </c>
      <c r="DS25" s="784">
        <f t="array" ref="DS25">IF('Customer Inputs'!$W$8="End",0,IFERROR(IF($DO25="SEGMENT",INDEX('Margin Guidence Table'!$A$1:$AG$10000,MATCH(1,('Margin Guidence Table'!$A$1:$A$10000=DM25)*('Margin Guidence Table'!$I$1:$I$10000&lt;=ROUND($DE$3,0))*('Margin Guidence Table'!$J$1:$J$10000&gt;=ROUND($DE$3,0)),0),MATCH("MDA_MEDIAN_MARGIN_GUIDENCE",'Margin Guidence Table'!$A$1:$AG$1,0)),INDEX('Margin Guidence Table'!$A$1:$AG$10000,MATCH(1,('Margin Guidence Table'!$A$1:$A$10000=DM25)*('Margin Guidence Table'!$I$1:$I$10000&lt;=ROUND($DE$3,0))*('Margin Guidence Table'!$J$1:$J$10000&gt;=ROUND($DE$3,0)),0),MATCH("DEFAULT_MDA_MEDIAN_MARGIN_GUIDENCE",'Margin Guidence Table'!$A$1:$AG$1,0))),0))</f>
        <v>0</v>
      </c>
      <c r="DT25" s="784">
        <f t="array" ref="DT25">IF('Customer Inputs'!$W$8="End",0,IFERROR(IF($DO25="SEGMENT",INDEX('Margin Guidence Table'!$A$1:$AG$10000,MATCH(1,('Margin Guidence Table'!$A$1:$A$10000=DM25)*('Margin Guidence Table'!$I$1:$I$10000&lt;=ROUND($DE$3,0))*('Margin Guidence Table'!$J$1:$J$10000&gt;=ROUND($DE$3,0)),0),MATCH("MDA_MAX_MARGIN_GUIDENCE",'Margin Guidence Table'!$A$1:$AG$1,0)),INDEX('Margin Guidence Table'!$A$1:$AG$10000,MATCH(1,('Margin Guidence Table'!$A$1:$A$10000=DM25)*('Margin Guidence Table'!$I$1:$I$10000&lt;=ROUND($DE$3,0))*('Margin Guidence Table'!$J$1:$J$10000&gt;=ROUND($DE$3,0)),0),MATCH("DEFAULT_MDA_MAX_MARGIN_GUIDENCE",'Margin Guidence Table'!$A$1:$AG$1,0))),0))</f>
        <v>0</v>
      </c>
      <c r="DU25" s="784">
        <f t="array" ref="DU25">IF('Customer Inputs'!$W$8="End",0,IFERROR(IF($DO25="SEGMENT",INDEX('Margin Guidence Table'!$A$1:$AG$10000,MATCH(1,('Margin Guidence Table'!$A$1:$A$10000=DM25)*('Margin Guidence Table'!$I$1:$I$10000&lt;=ROUND($DE$3,0))*('Margin Guidence Table'!$J$1:$J$10000&gt;=ROUND($DE$3,0)),0),MATCH("PA_PCT_SALES",'Margin Guidence Table'!$A$1:$AG$1,0)),INDEX('Margin Guidence Table'!$A$1:$AG$10000,MATCH(1,('Margin Guidence Table'!$A$1:$A$10000=DM25)*('Margin Guidence Table'!$I$1:$I$10000&lt;=ROUND($DE$3,0))*('Margin Guidence Table'!$J$1:$J$10000&gt;=ROUND($DE$3,0)),0),MATCH("DEFAULT_PA_PCT_SALES",'Margin Guidence Table'!$A$1:$AG$1,0))),0))</f>
        <v>0</v>
      </c>
      <c r="DV25" s="784">
        <f t="array" ref="DV25">IF('Customer Inputs'!$W$8="End",0,IFERROR(IF($DO25="SEGMENT",INDEX('Margin Guidence Table'!$A$1:$AG$10000,MATCH(1,('Margin Guidence Table'!$A$1:$A$10000=DM25)*('Margin Guidence Table'!$I$1:$I$10000&lt;=ROUND($DE$3,0))*('Margin Guidence Table'!$J$1:$J$10000&gt;=ROUND($DE$3,0)),0),MATCH("SELF_FUND_PCT_SALES",'Margin Guidence Table'!$A$1:$AG$1,0)),INDEX('Margin Guidence Table'!$A$1:$AG$10000,MATCH(1,('Margin Guidence Table'!$A$1:$A$10000=DM25)*('Margin Guidence Table'!$I$1:$I$10000&lt;=ROUND($DE$3,0))*('Margin Guidence Table'!$J$1:$J$10000&gt;=ROUND($DE$3,0)),0),MATCH("DEFAULT_SELF_FUND_PCT_SALES",'Margin Guidence Table'!$A$1:$AG$1,0))),0))</f>
        <v>0</v>
      </c>
      <c r="DW25" s="784">
        <f t="array" ref="DW25">IF('Customer Inputs'!$W$8="End",0,IF($DF$2="Existing",IFERROR(SUMIFS('Existing Customers'!$V:$V,'Existing Customers'!$H:$H,$DD25,'Existing Customers'!$A:$A,$DE$1)/SUMIFS('Existing Customers'!$Q:$Q,'Existing Customers'!$H:$H,$DD25,'Existing Customers'!$A:$A,$DE$1),0),IFERROR(IF($DO25="SEGMENT",INDEX('Margin Guidence Table'!$A$1:$AG$10000,MATCH(1,('Margin Guidence Table'!$A$1:$A$10000=DM25)*('Margin Guidence Table'!$I$1:$I$10000&lt;=ROUND($DE$3,0))*('Margin Guidence Table'!$J$1:$J$10000&gt;=ROUND($DE$3,0)),0),MATCH("CIA_MEDIAN_MARGIN_GUIDENCE",'Margin Guidence Table'!$A$1:$AG$1,0)),INDEX('Margin Guidence Table'!$A$1:$AG$10000,MATCH(1,('Margin Guidence Table'!$A$1:$A$10000=DM25)*('Margin Guidence Table'!$I$1:$I$10000&lt;=ROUND($DE$3,0))*('Margin Guidence Table'!$J$1:$J$10000&gt;=ROUND($DE$3,0)),0),MATCH("DEFAULT_CIA_MEDIAN_MARGIN_GUIDENCE",'Margin Guidence Table'!$A$1:$AG$1,0))),0)))</f>
        <v>0</v>
      </c>
      <c r="DX25" s="126"/>
      <c r="DY25" s="18">
        <f t="array" ref="DY25">IF('Customer Inputs'!$W$9="End",0,IFERROR(IF($EL25="SEGMENT",INDEX('Margin Guidence Table'!$A$1:$AG$10000,MATCH(1,('Margin Guidence Table'!$A$1:$A$10000=$EJ25)*('Margin Guidence Table'!$I$1:$I$10000&lt;=ROUND($EB$3,0))*('Margin Guidence Table'!$J$1:$J$10000&gt;=ROUND($EB$3,0)),0),MATCH("PCT_SALES",'Margin Guidence Table'!$A$1:$AG$1,0)),INDEX('Margin Guidence Table'!$A$1:$AG$10000,MATCH(1,('Margin Guidence Table'!$A$1:$A$10000=$EJ25)*('Margin Guidence Table'!$I$1:$I$10000&lt;=ROUND($EB$3,0))*('Margin Guidence Table'!$J$1:$J$10000&gt;=ROUND($EB$3,0)),0),MATCH("DEFAULT_PCT_SALES",'Margin Guidence Table'!$A$1:$AG$1,0))),0))</f>
        <v>0</v>
      </c>
      <c r="DZ25" s="297" t="e">
        <f t="shared" si="38"/>
        <v>#DIV/0!</v>
      </c>
      <c r="EA25" s="99" t="s">
        <v>93</v>
      </c>
      <c r="EB25" s="91">
        <f>IF('Customer Inputs'!$W$9="End",0,IFERROR(IF(AND($EB$2&lt;&gt;"Enter Spend&gt;&gt;&gt;",$EC$2="EXISTING"),SUMIFS('Existing Customers'!$Q:$Q,'Existing Customers'!$A:$A,$EB$1,'Existing Customers'!$H:$H,$EA25)*$EB$4,$EB$3*$DZ25),0))</f>
        <v>0</v>
      </c>
      <c r="EC25" s="86">
        <f>IF('Customer Inputs'!$W$9="End",0,IFERROR(IF(AND($EB$2&lt;&gt;"Enter Spend&gt;&gt;&gt;",$EC$2="EXISTING"),SUMIFS('Existing Customers'!$N:$N,'Existing Customers'!$A:$A,$EB$1,'Existing Customers'!$H:$H,$EA25)*$EB$4,$EB25/$EM25),0))</f>
        <v>0</v>
      </c>
      <c r="ED25" s="92">
        <f>IF('Customer Inputs'!$W$9="End",0,IFERROR(IF(AND($EB$2&lt;&gt;"Enter Spend&gt;&gt;&gt;",$EC$2="EXISTING"),SUMIFS('Existing Customers'!$O:$O,'Existing Customers'!$H:$H,$EA25,'Existing Customers'!$A:$A,$EB$1)*$EB$4,$EC25*$EB$8),0))</f>
        <v>0</v>
      </c>
      <c r="EE25" s="92">
        <f>IF('Customer Inputs'!$W$9="End",0,IFERROR(IF(AND($EB$2&lt;&gt;"Enter Spend&gt;&gt;&gt;",$EC$2="EXISTING"),SUMIFS('Existing Customers'!$P:$P,'Existing Customers'!$A:$A,$EB$1,'Existing Customers'!$H:$H,$EA25)*$EB$4,$EB25/$EN25),0))</f>
        <v>0</v>
      </c>
      <c r="EF25" s="93">
        <f>IF('Customer Inputs'!$W$9="End",0,IFERROR(IF(AND($EB$2&lt;&gt;"Enter Spend&gt;&gt;&gt;",$EC$2="EXISTING"),SUMIFS('Existing Customers'!$V:$V,'Existing Customers'!$H:$H,$EA25,'Existing Customers'!$A:$A,$EB$1)*$EB$4,0),0))</f>
        <v>0</v>
      </c>
      <c r="EG25" s="93">
        <f>IF('Customer Inputs'!$W$9="End",0,IFERROR(IF(AND($EB$2&lt;&gt;"Enter Spend&gt;&gt;&gt;",$EC$2="EXISTING"),SUMIFS('Existing Customers'!$R:$R,'Existing Customers'!$H:$H,$EA25,'Existing Customers'!$A:$A,$EB$1)*$EB$4,0),0))</f>
        <v>0</v>
      </c>
      <c r="EH25" s="780">
        <f>IF('Customer Inputs'!$W$9="End",0,IFERROR(IF(AND($EB$2&lt;&gt;"Enter Spend&gt;&gt;&gt;",$EC$2="EXISTING"),SUMIFS('Existing Customers'!$S:$S,'Existing Customers'!$H:$H,$EA25,'Existing Customers'!$A:$A,$EB$1)/SUMIFS('Existing Customers'!$Q:$Q,'Existing Customers'!$A:$A,$EB$1,'Existing Customers'!$H:$H,$EA25),ER25),0))</f>
        <v>0</v>
      </c>
      <c r="EI25" s="780">
        <f>IF('Customer Inputs'!$W$9="End",0,IFERROR(IF(AND($EB$2&lt;&gt;"Enter Spend&gt;&gt;&gt;",$EC$2="EXISTING"),SUMIFS('Existing Customers'!$U:$U,'Existing Customers'!$H:$H,$EA25,'Existing Customers'!$A:$A,$EB$1)/SUMIFS('Existing Customers'!$Q:$Q,'Existing Customers'!$A:$A,$EB$1,'Existing Customers'!$H:$H,$EA25),ES25),0))</f>
        <v>0</v>
      </c>
      <c r="EJ25" s="783" t="e">
        <f>_xlfn.CONCAT('Customer Inputs'!$AH$9,"_",EA25)</f>
        <v>#N/A</v>
      </c>
      <c r="EK25" s="783">
        <f t="array" ref="EK25">IF('Customer Inputs'!$W$9="End",0,IFERROR(INDEX('Margin Guidence Table'!$A$1:$AG$10000,MATCH(1,('Margin Guidence Table'!$A$1:$A$10000=EJ25)*('Margin Guidence Table'!$I$1:$I$10000&lt;=ROUND($EB$3,0))*('Margin Guidence Table'!$J$1:$J$10000&gt;=ROUND($EB$3,0)),0),MATCH("DATA_POINTS",'Margin Guidence Table'!$A$1:$AG$1,0)),0))</f>
        <v>0</v>
      </c>
      <c r="EL25" s="780" t="str">
        <f t="shared" si="39"/>
        <v>DEFAULT</v>
      </c>
      <c r="EM25" s="780">
        <f t="array" ref="EM25">IF('Customer Inputs'!$W$9="End",0,IFERROR(IF($EL25="SEGMENT",INDEX('Margin Guidence Table'!$A$1:$AG$10000,MATCH(1,('Margin Guidence Table'!$A$1:$A$10000=EJ25)*('Margin Guidence Table'!$I$1:$I$10000&lt;=ROUND($EB$3,0))*('Margin Guidence Table'!$J$1:$J$10000&gt;=ROUND($EB$3,0)),0),MATCH("SALES_CASE",'Margin Guidence Table'!$A$1:$AG$1,0)),INDEX('Margin Guidence Table'!$A$1:$AG$10000,MATCH(1,('Margin Guidence Table'!$A$1:$A$10000=EJ25)*('Margin Guidence Table'!$I$1:$I$10000&lt;=ROUND($EB$3,0))*('Margin Guidence Table'!$J$1:$J$10000&gt;=ROUND($EB$3,0)),0),MATCH("DEFAULT_SALES_CASE",'Margin Guidence Table'!$A$1:$AG$1,0))),0))</f>
        <v>0</v>
      </c>
      <c r="EN25" s="780">
        <f t="array" ref="EN25">IF('Customer Inputs'!$W$9="End",0,IFERROR(IF($EL25="SEGMENT",INDEX('Margin Guidence Table'!$A$1:$AG$10000,MATCH(1,('Margin Guidence Table'!$A$1:$A$10000=EJ25)*('Margin Guidence Table'!$I$1:$I$10000&lt;=ROUND($EB$3,0))*('Margin Guidence Table'!$J$1:$J$10000&gt;=ROUND($EB$3,0)),0),MATCH("SALES_LBS",'Margin Guidence Table'!$A$1:$AG$1,0)),INDEX('Margin Guidence Table'!$A$1:$AG$10000,MATCH(1,('Margin Guidence Table'!$A$1:$A$10000=EJ25)*('Margin Guidence Table'!$I$1:$I$10000&lt;=ROUND($EB$3,0))*('Margin Guidence Table'!$J$1:$J$10000&gt;=ROUND($EB$3,0)),0),MATCH("DEFAULT_SALES_LBS",'Margin Guidence Table'!$A$1:$AG$1,0))),0))</f>
        <v>0</v>
      </c>
      <c r="EO25" s="784">
        <f t="array" ref="EO25">IF('Customer Inputs'!$W$9="End",0,IFERROR(IF($EL25="SEGMENT",INDEX('Margin Guidence Table'!$A$1:$AG$10000,MATCH(1,('Margin Guidence Table'!$A$1:$A$10000=EJ25)*('Margin Guidence Table'!$I$1:$I$10000&lt;=ROUND($EB$3,0))*('Margin Guidence Table'!$J$1:$J$10000&gt;=ROUND($EB$3,0)),0),MATCH("MDA_MIN_MARGIN_GUIDENCE",'Margin Guidence Table'!$A$1:$AG$1,0)),INDEX('Margin Guidence Table'!$A$1:$AG$10000,MATCH(1,('Margin Guidence Table'!$A$1:$A$10000=EJ25)*('Margin Guidence Table'!$I$1:$I$10000&lt;=ROUND($EB$3,0))*('Margin Guidence Table'!$J$1:$J$10000&gt;=ROUND($EB$3,0)),0),MATCH("DEFAULT_MDA_MIN_MARGIN_GUIDENCE",'Margin Guidence Table'!$A$1:$AG$1,0))),0))</f>
        <v>0</v>
      </c>
      <c r="EP25" s="784">
        <f t="array" ref="EP25">IF('Customer Inputs'!$W$9="End",0,IFERROR(IF($EL25="SEGMENT",INDEX('Margin Guidence Table'!$A$1:$AG$10000,MATCH(1,('Margin Guidence Table'!$A$1:$A$10000=EJ25)*('Margin Guidence Table'!$I$1:$I$10000&lt;=ROUND($EB$3,0))*('Margin Guidence Table'!$J$1:$J$10000&gt;=ROUND($EB$3,0)),0),MATCH("MDA_MEDIAN_MARGIN_GUIDENCE",'Margin Guidence Table'!$A$1:$AG$1,0)),INDEX('Margin Guidence Table'!$A$1:$AG$10000,MATCH(1,('Margin Guidence Table'!$A$1:$A$10000=EJ25)*('Margin Guidence Table'!$I$1:$I$10000&lt;=ROUND($EB$3,0))*('Margin Guidence Table'!$J$1:$J$10000&gt;=ROUND($EB$3,0)),0),MATCH("DEFAULT_MDA_MEDIAN_MARGIN_GUIDENCE",'Margin Guidence Table'!$A$1:$AG$1,0))),0))</f>
        <v>0</v>
      </c>
      <c r="EQ25" s="784">
        <f t="array" ref="EQ25">IF('Customer Inputs'!$W$9="End",0,IFERROR(IF($EL25="SEGMENT",INDEX('Margin Guidence Table'!$A$1:$AG$10000,MATCH(1,('Margin Guidence Table'!$A$1:$A$10000=EJ25)*('Margin Guidence Table'!$I$1:$I$10000&lt;=ROUND($EB$3,0))*('Margin Guidence Table'!$J$1:$J$10000&gt;=ROUND($EB$3,0)),0),MATCH("MDA_MAX_MARGIN_GUIDENCE",'Margin Guidence Table'!$A$1:$AG$1,0)),INDEX('Margin Guidence Table'!$A$1:$AG$10000,MATCH(1,('Margin Guidence Table'!$A$1:$A$10000=EJ25)*('Margin Guidence Table'!$I$1:$I$10000&lt;=ROUND($EB$3,0))*('Margin Guidence Table'!$J$1:$J$10000&gt;=ROUND($EB$3,0)),0),MATCH("DEFAULT_MDA_MAX_MARGIN_GUIDENCE",'Margin Guidence Table'!$A$1:$AG$1,0))),0))</f>
        <v>0</v>
      </c>
      <c r="ER25" s="784">
        <f t="array" ref="ER25">IF('Customer Inputs'!$W$9="End",0,IFERROR(IF($EL25="SEGMENT",INDEX('Margin Guidence Table'!$A$1:$AG$10000,MATCH(1,('Margin Guidence Table'!$A$1:$A$10000=EJ25)*('Margin Guidence Table'!$I$1:$I$10000&lt;=ROUND($EB$3,0))*('Margin Guidence Table'!$J$1:$J$10000&gt;=ROUND($EB$3,0)),0),MATCH("PA_PCT_SALES",'Margin Guidence Table'!$A$1:$AG$1,0)),INDEX('Margin Guidence Table'!$A$1:$AG$10000,MATCH(1,('Margin Guidence Table'!$A$1:$A$10000=EJ25)*('Margin Guidence Table'!$I$1:$I$10000&lt;=ROUND($EB$3,0))*('Margin Guidence Table'!$J$1:$J$10000&gt;=ROUND($EB$3,0)),0),MATCH("DEFAULT_PA_PCT_SALES",'Margin Guidence Table'!$A$1:$AG$1,0))),0))</f>
        <v>0</v>
      </c>
      <c r="ES25" s="784">
        <f t="array" ref="ES25">IF('Customer Inputs'!$W$9="End",0,IFERROR(IF($EL25="SEGMENT",INDEX('Margin Guidence Table'!$A$1:$AG$10000,MATCH(1,('Margin Guidence Table'!$A$1:$A$10000=EJ25)*('Margin Guidence Table'!$I$1:$I$10000&lt;=ROUND($EB$3,0))*('Margin Guidence Table'!$J$1:$J$10000&gt;=ROUND($EB$3,0)),0),MATCH("SELF_FUND_PCT_SALES",'Margin Guidence Table'!$A$1:$AG$1,0)),INDEX('Margin Guidence Table'!$A$1:$AG$10000,MATCH(1,('Margin Guidence Table'!$A$1:$A$10000=EJ25)*('Margin Guidence Table'!$I$1:$I$10000&lt;=ROUND($EB$3,0))*('Margin Guidence Table'!$J$1:$J$10000&gt;=ROUND($EB$3,0)),0),MATCH("DEFAULT_SELF_FUND_PCT_SALES",'Margin Guidence Table'!$A$1:$AG$1,0))),0))</f>
        <v>0</v>
      </c>
      <c r="ET25" s="784">
        <f t="array" ref="ET25">IF('Customer Inputs'!$W$9="End",0,IF($EC$2="Existing",IFERROR(SUMIFS('Existing Customers'!$V:$V,'Existing Customers'!$H:$H,$EA25,'Existing Customers'!$A:$A,$EB$1)/SUMIFS('Existing Customers'!$Q:$Q,'Existing Customers'!$H:$H,$EA25,'Existing Customers'!$A:$A,$EB$1),0),IFERROR(IF($EL25="SEGMENT",INDEX('Margin Guidence Table'!$A$1:$AG$10000,MATCH(1,('Margin Guidence Table'!$A$1:$A$10000=EJ25)*('Margin Guidence Table'!$I$1:$I$10000&lt;=ROUND($EB$3,0))*('Margin Guidence Table'!$J$1:$J$10000&gt;=ROUND($EB$3,0)),0),MATCH("CIA_MEDIAN_MARGIN_GUIDENCE",'Margin Guidence Table'!$A$1:$AG$1,0)),INDEX('Margin Guidence Table'!$A$1:$AG$10000,MATCH(1,('Margin Guidence Table'!$A$1:$A$10000=EJ25)*('Margin Guidence Table'!$I$1:$I$10000&lt;=ROUND($EB$3,0))*('Margin Guidence Table'!$J$1:$J$10000&gt;=ROUND($EB$3,0)),0),MATCH("DEFAULT_CIA_MEDIAN_MARGIN_GUIDENCE",'Margin Guidence Table'!$A$1:$AG$1,0))),0)))</f>
        <v>0</v>
      </c>
      <c r="EU25" s="126"/>
      <c r="EV25" s="18">
        <f t="array" ref="EV25">IF('Customer Inputs'!$W$10="End",0,IFERROR(IF($FI25="SEGMENT",INDEX('Margin Guidence Table'!$A$1:$AG$10000,MATCH(1,('Margin Guidence Table'!$A$1:$A$10000=$FG25)*('Margin Guidence Table'!$I$1:$I$10000&lt;=ROUND($EY$3,0))*('Margin Guidence Table'!$J$1:$J$10000&gt;=ROUND($EY$3,0)),0),MATCH("PCT_SALES",'Margin Guidence Table'!$A$1:$AG$1,0)),INDEX('Margin Guidence Table'!$A$1:$AG$10000,MATCH(1,('Margin Guidence Table'!$A$1:$A$10000=$FG25)*('Margin Guidence Table'!$I$1:$I$10000&lt;=ROUND($EY$3,0))*('Margin Guidence Table'!$J$1:$J$10000&gt;=ROUND($EY$3,0)),0),MATCH("DEFAULT_PCT_SALES",'Margin Guidence Table'!$A$1:$AG$1,0))),0))</f>
        <v>0</v>
      </c>
      <c r="EW25" s="297" t="e">
        <f t="shared" si="40"/>
        <v>#DIV/0!</v>
      </c>
      <c r="EX25" s="99" t="s">
        <v>93</v>
      </c>
      <c r="EY25" s="91">
        <f>IF('Customer Inputs'!$W$10="End",0,IFERROR(IF(AND($EY$2&lt;&gt;"Enter Spend&gt;&gt;&gt;",$EZ$2="EXISTING"),SUMIFS('Existing Customers'!$Q:$Q,'Existing Customers'!$A:$A,$EY$1,'Existing Customers'!$H:$H,$EX25)*$EY$4,$EY$3*$EW25),0))</f>
        <v>0</v>
      </c>
      <c r="EZ25" s="86">
        <f>IF('Customer Inputs'!$W$10="End",0,IFERROR(IF(AND($EY$2&lt;&gt;"Enter Spend&gt;&gt;&gt;",$EZ$2="EXISTING"),SUMIFS('Existing Customers'!$N:$N,'Existing Customers'!$A:$A,$EY$1,'Existing Customers'!$H:$H,$EX25)*$EY$4,$EY25/$FJ25),0))</f>
        <v>0</v>
      </c>
      <c r="FA25" s="92">
        <f>IF('Customer Inputs'!$W$10="End",0,IFERROR(IF(AND($EY$2&lt;&gt;"Enter Spend&gt;&gt;&gt;",$EZ$2="EXISTING"),SUMIFS('Existing Customers'!$O:$O,'Existing Customers'!$H:$H,$EX25,'Existing Customers'!$A:$A,$EY$1)*$EY$4,$EZ25*$EY$8),0))</f>
        <v>0</v>
      </c>
      <c r="FB25" s="92">
        <f>IF('Customer Inputs'!$W$10="End",0,IFERROR(IF(AND($EY$2&lt;&gt;"Enter Spend&gt;&gt;&gt;",$EZ$2="EXISTING"),SUMIFS('Existing Customers'!$P:$P,'Existing Customers'!$A:$A,$EY$1,'Existing Customers'!$H:$H,$EX25)*$EY$4,$EY25/$FK25),0))</f>
        <v>0</v>
      </c>
      <c r="FC25" s="93">
        <f>IF('Customer Inputs'!$W$10="End",0,IFERROR(IF(AND($EY$2&lt;&gt;"Enter Spend&gt;&gt;&gt;",$EZ$2="EXISTING"),SUMIFS('Existing Customers'!$V:$V,'Existing Customers'!$H:$H,$EX25,'Existing Customers'!$A:$A,$EY$1)*$EY$4,0),0))</f>
        <v>0</v>
      </c>
      <c r="FD25" s="93">
        <f>IF('Customer Inputs'!$W$10="End",0,IFERROR(IF(AND($EY$2&lt;&gt;"Enter Spend&gt;&gt;&gt;",$EZ$2="EXISTING"),SUMIFS('Existing Customers'!$R:$R,'Existing Customers'!$H:$H,$EX25,'Existing Customers'!$A:$A,$EY$1)*$EY$4,0),0))</f>
        <v>0</v>
      </c>
      <c r="FE25" s="780">
        <f>IF('Customer Inputs'!$W$10="End",0,IFERROR(IF(AND($EY$2&lt;&gt;"Enter Spend&gt;&gt;&gt;",$EZ$2="EXISTING"),SUMIFS('Existing Customers'!$S:$S,'Existing Customers'!$H:$H,$EX25,'Existing Customers'!$A:$A,$EY$1)/SUMIFS('Existing Customers'!$Q:$Q,'Existing Customers'!$A:$A,$EY$1,'Existing Customers'!$H:$H,$EX25),FO25),0))</f>
        <v>0</v>
      </c>
      <c r="FF25" s="780">
        <f>IF('Customer Inputs'!$W$10="End",0,IFERROR(IF(AND($EY$2&lt;&gt;"Enter Spend&gt;&gt;&gt;",$EZ$2="EXISTING"),SUMIFS('Existing Customers'!$U:$U,'Existing Customers'!$H:$H,$EX25,'Existing Customers'!$A:$A,$EY$1)/SUMIFS('Existing Customers'!$Q:$Q,'Existing Customers'!$A:$A,$EY$1,'Existing Customers'!$H:$H,$EX25),FP25),0))</f>
        <v>0</v>
      </c>
      <c r="FG25" s="783" t="e">
        <f>_xlfn.CONCAT('Customer Inputs'!$AH$10,"_",EX25)</f>
        <v>#N/A</v>
      </c>
      <c r="FH25" s="783">
        <f t="array" ref="FH25">IF('Customer Inputs'!$W$10="End",0,IFERROR(INDEX('Margin Guidence Table'!$A$1:$AG$10000,MATCH(1,('Margin Guidence Table'!$A$1:$A$10000=FG25)*('Margin Guidence Table'!$I$1:$I$10000&lt;=ROUND($EY$3,0))*('Margin Guidence Table'!$J$1:$J$10000&gt;=ROUND($EY$3,0)),0),MATCH("DATA_POINTS",'Margin Guidence Table'!$A$1:$AG$1,0)),0))</f>
        <v>0</v>
      </c>
      <c r="FI25" s="780" t="str">
        <f t="shared" si="41"/>
        <v>DEFAULT</v>
      </c>
      <c r="FJ25" s="780">
        <f t="array" ref="FJ25">IF('Customer Inputs'!$W$10="End",0,IFERROR(IF($FI25="SEGMENT",INDEX('Margin Guidence Table'!$A$1:$AG$10000,MATCH(1,('Margin Guidence Table'!$A$1:$A$10000=FG25)*('Margin Guidence Table'!$I$1:$I$10000&lt;=ROUND($EY$3,0))*('Margin Guidence Table'!$J$1:$J$10000&gt;=ROUND($EY$3,0)),0),MATCH("SALES_CASE",'Margin Guidence Table'!$A$1:$AG$1,0)),INDEX('Margin Guidence Table'!$A$1:$AG$10000,MATCH(1,('Margin Guidence Table'!$A$1:$A$10000=FG25)*('Margin Guidence Table'!$I$1:$I$10000&lt;=ROUND($EY$3,0))*('Margin Guidence Table'!$J$1:$J$10000&gt;=ROUND($EY$3,0)),0),MATCH("DEFAULT_SALES_CASE",'Margin Guidence Table'!$A$1:$AG$1,0))),0))</f>
        <v>0</v>
      </c>
      <c r="FK25" s="780">
        <f t="array" ref="FK25">IF('Customer Inputs'!$W$10="End",0,IFERROR(IF($FI25="SEGMENT",INDEX('Margin Guidence Table'!$A$1:$AG$10000,MATCH(1,('Margin Guidence Table'!$A$1:$A$10000=FG25)*('Margin Guidence Table'!$I$1:$I$10000&lt;=ROUND($EY$3,0))*('Margin Guidence Table'!$J$1:$J$10000&gt;=ROUND($EY$3,0)),0),MATCH("SALES_LBS",'Margin Guidence Table'!$A$1:$AG$1,0)),INDEX('Margin Guidence Table'!$A$1:$AG$10000,MATCH(1,('Margin Guidence Table'!$A$1:$A$10000=FG25)*('Margin Guidence Table'!$I$1:$I$10000&lt;=ROUND($EY$3,0))*('Margin Guidence Table'!$J$1:$J$10000&gt;=ROUND($EY$3,0)),0),MATCH("DEFAULT_SALES_LBS",'Margin Guidence Table'!$A$1:$AG$1,0))),0))</f>
        <v>0</v>
      </c>
      <c r="FL25" s="784">
        <f t="array" ref="FL25">IF('Customer Inputs'!$W$10="End",0,IFERROR(IF($FI25="SEGMENT",INDEX('Margin Guidence Table'!$A$1:$AG$10000,MATCH(1,('Margin Guidence Table'!$A$1:$A$10000=FG25)*('Margin Guidence Table'!$I$1:$I$10000&lt;=ROUND($EY$3,0))*('Margin Guidence Table'!$J$1:$J$10000&gt;=ROUND($EY$3,0)),0),MATCH("MDA_MIN_MARGIN_GUIDENCE",'Margin Guidence Table'!$A$1:$AG$1,0)),INDEX('Margin Guidence Table'!$A$1:$AG$10000,MATCH(1,('Margin Guidence Table'!$A$1:$A$10000=FG25)*('Margin Guidence Table'!$I$1:$I$10000&lt;=ROUND($EY$3,0))*('Margin Guidence Table'!$J$1:$J$10000&gt;=ROUND($EY$3,0)),0),MATCH("DEFAULT_MDA_MIN_MARGIN_GUIDENCE",'Margin Guidence Table'!$A$1:$AG$1,0))),0))</f>
        <v>0</v>
      </c>
      <c r="FM25" s="784">
        <f t="array" ref="FM25">IF('Customer Inputs'!$W$10="End",0,IFERROR(IF($FI25="SEGMENT",INDEX('Margin Guidence Table'!$A$1:$AG$10000,MATCH(1,('Margin Guidence Table'!$A$1:$A$10000=FG25)*('Margin Guidence Table'!$I$1:$I$10000&lt;=ROUND($EY$3,0))*('Margin Guidence Table'!$J$1:$J$10000&gt;=ROUND($EY$3,0)),0),MATCH("MDA_MEDIAN_MARGIN_GUIDENCE",'Margin Guidence Table'!$A$1:$AG$1,0)),INDEX('Margin Guidence Table'!$A$1:$AG$10000,MATCH(1,('Margin Guidence Table'!$A$1:$A$10000=FG25)*('Margin Guidence Table'!$I$1:$I$10000&lt;=ROUND($EY$3,0))*('Margin Guidence Table'!$J$1:$J$10000&gt;=ROUND($EY$3,0)),0),MATCH("DEFAULT_MDA_MEDIAN_MARGIN_GUIDENCE",'Margin Guidence Table'!$A$1:$AG$1,0))),0))</f>
        <v>0</v>
      </c>
      <c r="FN25" s="784">
        <f t="array" ref="FN25">IF('Customer Inputs'!$W$10="End",0,IFERROR(IF($FI25="SEGMENT",INDEX('Margin Guidence Table'!$A$1:$AG$10000,MATCH(1,('Margin Guidence Table'!$A$1:$A$10000=FG25)*('Margin Guidence Table'!$I$1:$I$10000&lt;=ROUND($EY$3,0))*('Margin Guidence Table'!$J$1:$J$10000&gt;=ROUND($EY$3,0)),0),MATCH("MDA_MAX_MARGIN_GUIDENCE",'Margin Guidence Table'!$A$1:$AG$1,0)),INDEX('Margin Guidence Table'!$A$1:$AG$10000,MATCH(1,('Margin Guidence Table'!$A$1:$A$10000=FG25)*('Margin Guidence Table'!$I$1:$I$10000&lt;=ROUND($EY$3,0))*('Margin Guidence Table'!$J$1:$J$10000&gt;=ROUND($EY$3,0)),0),MATCH("DEFAULT_MDA_MAX_MARGIN_GUIDENCE",'Margin Guidence Table'!$A$1:$AG$1,0))),0))</f>
        <v>0</v>
      </c>
      <c r="FO25" s="784">
        <f t="array" ref="FO25">IF('Customer Inputs'!$W$10="End",0,IFERROR(IF($FI25="SEGMENT",INDEX('Margin Guidence Table'!$A$1:$AG$10000,MATCH(1,('Margin Guidence Table'!$A$1:$A$10000=FG25)*('Margin Guidence Table'!$I$1:$I$10000&lt;=ROUND($EY$3,0))*('Margin Guidence Table'!$J$1:$J$10000&gt;=ROUND($EY$3,0)),0),MATCH("PA_PCT_SALES",'Margin Guidence Table'!$A$1:$AG$1,0)),INDEX('Margin Guidence Table'!$A$1:$AG$10000,MATCH(1,('Margin Guidence Table'!$A$1:$A$10000=FG25)*('Margin Guidence Table'!$I$1:$I$10000&lt;=ROUND($EY$3,0))*('Margin Guidence Table'!$J$1:$J$10000&gt;=ROUND($EY$3,0)),0),MATCH("DEFAULT_PA_PCT_SALES",'Margin Guidence Table'!$A$1:$AG$1,0))),0))</f>
        <v>0</v>
      </c>
      <c r="FP25" s="784">
        <f t="array" ref="FP25">IF('Customer Inputs'!$W$10="End",0,IFERROR(IF($FI25="SEGMENT",INDEX('Margin Guidence Table'!$A$1:$AG$10000,MATCH(1,('Margin Guidence Table'!$A$1:$A$10000=FG25)*('Margin Guidence Table'!$I$1:$I$10000&lt;=ROUND($EY$3,0))*('Margin Guidence Table'!$J$1:$J$10000&gt;=ROUND($EY$3,0)),0),MATCH("SELF_FUND_PCT_SALES",'Margin Guidence Table'!$A$1:$AG$1,0)),INDEX('Margin Guidence Table'!$A$1:$AG$10000,MATCH(1,('Margin Guidence Table'!$A$1:$A$10000=FG25)*('Margin Guidence Table'!$I$1:$I$10000&lt;=ROUND($EY$3,0))*('Margin Guidence Table'!$J$1:$J$10000&gt;=ROUND($EY$3,0)),0),MATCH("DEFAULT_SELF_FUND_PCT_SALES",'Margin Guidence Table'!$A$1:$AG$1,0))),0))</f>
        <v>0</v>
      </c>
      <c r="FQ25" s="784">
        <f t="array" ref="FQ25">IF('Customer Inputs'!$W$10="End",0,IF($EZ$2="Existing",IFERROR(SUMIFS('Existing Customers'!$V:$V,'Existing Customers'!$H:$H,$EX25,'Existing Customers'!$A:$A,$EY$1)/SUMIFS('Existing Customers'!$Q:$Q,'Existing Customers'!$H:$H,$EX25,'Existing Customers'!$A:$A,$EY$1),0),IFERROR(IF($FI25="SEGMENT",INDEX('Margin Guidence Table'!$A$1:$AG$10000,MATCH(1,('Margin Guidence Table'!$A$1:$A$10000=FG25)*('Margin Guidence Table'!$I$1:$I$10000&lt;=ROUND($EY$3,0))*('Margin Guidence Table'!$J$1:$J$10000&gt;=ROUND($EY$3,0)),0),MATCH("CIA_MEDIAN_MARGIN_GUIDENCE",'Margin Guidence Table'!$A$1:$AG$1,0)),INDEX('Margin Guidence Table'!$A$1:$AG$10000,MATCH(1,('Margin Guidence Table'!$A$1:$A$10000=FG25)*('Margin Guidence Table'!$I$1:$I$10000&lt;=ROUND($EY$3,0))*('Margin Guidence Table'!$J$1:$J$10000&gt;=ROUND($EY$3,0)),0),MATCH("DEFAULT_CIA_MEDIAN_MARGIN_GUIDENCE",'Margin Guidence Table'!$A$1:$AG$1,0))),0)))</f>
        <v>0</v>
      </c>
      <c r="FR25" s="126"/>
      <c r="FS25" s="18">
        <f t="array" ref="FS25">IF('Customer Inputs'!$W$11="End",0,IFERROR(IF($GF25="SEGMENT",INDEX('Margin Guidence Table'!$A$1:$AG$10000,MATCH(1,('Margin Guidence Table'!$A$1:$A$10000=$GD25)*('Margin Guidence Table'!$I$1:$I$10000&lt;=ROUND($FV$3,0))*('Margin Guidence Table'!$J$1:$J$10000&gt;=ROUND($FV$3,0)),0),MATCH("PCT_SALES",'Margin Guidence Table'!$A$1:$AG$1,0)),INDEX('Margin Guidence Table'!$A$1:$AG$10000,MATCH(1,('Margin Guidence Table'!$A$1:$A$10000=$GD25)*('Margin Guidence Table'!$I$1:$I$10000&lt;=ROUND($FV$3,0))*('Margin Guidence Table'!$J$1:$J$10000&gt;=ROUND($FV$3,0)),0),MATCH("DEFAULT_PCT_SALES",'Margin Guidence Table'!$A$1:$AG$1,0))),0))</f>
        <v>0</v>
      </c>
      <c r="FT25" s="297" t="e">
        <f t="shared" si="42"/>
        <v>#DIV/0!</v>
      </c>
      <c r="FU25" s="99" t="s">
        <v>93</v>
      </c>
      <c r="FV25" s="91">
        <f>IF('Customer Inputs'!$W$11="End",0,IFERROR(IF(AND($FV$2&lt;&gt;"Enter Spend&gt;&gt;&gt;",$FW$2="EXISTING"),SUMIFS('Existing Customers'!$Q:$Q,'Existing Customers'!$A:$A,$FV$1,'Existing Customers'!$H:$H,$FU25)*$FV$4,$FV$3*$FT25),0))</f>
        <v>0</v>
      </c>
      <c r="FW25" s="86">
        <f>IF('Customer Inputs'!$W$11="End",0,IFERROR(IF(AND($FV$2&lt;&gt;"Enter Spend&gt;&gt;&gt;",$FW$2="EXISTING"),SUMIFS('Existing Customers'!$N:$N,'Existing Customers'!$A:$A,$FV$1,'Existing Customers'!$H:$H,$FU25)*$FV$4,$FV25/$GG25),0))</f>
        <v>0</v>
      </c>
      <c r="FX25" s="92">
        <f>IF('Customer Inputs'!$W$11="End",0,IFERROR(IF(AND($FV$2&lt;&gt;"Enter Spend&gt;&gt;&gt;",$FW$2="EXISTING"),SUMIFS('Existing Customers'!$O:$O,'Existing Customers'!$H:$H,$FU25,'Existing Customers'!$A:$A,$FV$1)*$FV$4,$FW25*$FV$8),0))</f>
        <v>0</v>
      </c>
      <c r="FY25" s="92">
        <f>IF('Customer Inputs'!$W$11="End",0,IFERROR(IF(AND($FV$2&lt;&gt;"Enter Spend&gt;&gt;&gt;",$FW$2="EXISTING"),SUMIFS('Existing Customers'!$P:$P,'Existing Customers'!$A:$A,$FV$1,'Existing Customers'!$H:$H,$FU25)*$FV$4,$FV25/$GH25),0))</f>
        <v>0</v>
      </c>
      <c r="FZ25" s="93">
        <f>IF('Customer Inputs'!$W$11="End",0,IFERROR(IF(AND($FV$2&lt;&gt;"Enter Spend&gt;&gt;&gt;",$FW$2="EXISTING"),SUMIFS('Existing Customers'!$V:$V,'Existing Customers'!$H:$H,$FU25,'Existing Customers'!$A:$A,$FV$1)*$FV$4,0),0))</f>
        <v>0</v>
      </c>
      <c r="GA25" s="93">
        <f>IF('Customer Inputs'!$W$11="End",0,IFERROR(IF(AND($FV$2&lt;&gt;"Enter Spend&gt;&gt;&gt;",$FW$2="EXISTING"),SUMIFS('Existing Customers'!$R:$R,'Existing Customers'!$H:$H,$FU25,'Existing Customers'!$A:$A,$FV$1)*$FV$4,0),0))</f>
        <v>0</v>
      </c>
      <c r="GB25" s="780">
        <f>IF('Customer Inputs'!$W$11="End",0,IFERROR(IF(AND($FV$2&lt;&gt;"Enter Spend&gt;&gt;&gt;",$FW$2="EXISTING"),SUMIFS('Existing Customers'!$S:$S,'Existing Customers'!$H:$H,$FU25,'Existing Customers'!$A:$A,$FV$1)/SUMIFS('Existing Customers'!$Q:$Q,'Existing Customers'!$A:$A,$FV$1,'Existing Customers'!$H:$H,$FU25),GL25),0))</f>
        <v>0</v>
      </c>
      <c r="GC25" s="780">
        <f>IF('Customer Inputs'!$W$11="End",0,IFERROR(IF(AND($FV$2&lt;&gt;"Enter Spend&gt;&gt;&gt;",$FW$2="EXISTING"),SUMIFS('Existing Customers'!$U:$U,'Existing Customers'!$H:$H,$FU25,'Existing Customers'!$A:$A,$FV$1)/SUMIFS('Existing Customers'!$Q:$Q,'Existing Customers'!$A:$A,$FV$1,'Existing Customers'!$H:$H,$FU25),GM25),0))</f>
        <v>0</v>
      </c>
      <c r="GD25" s="783" t="e">
        <f>_xlfn.CONCAT('Customer Inputs'!$AH$11,"_",FU25)</f>
        <v>#N/A</v>
      </c>
      <c r="GE25" s="783">
        <f t="array" ref="GE25">IF('Customer Inputs'!$W$11="End",0,IFERROR(INDEX('Margin Guidence Table'!$A$1:$AG$10000,MATCH(1,('Margin Guidence Table'!$A$1:$A$10000=GD25)*('Margin Guidence Table'!$I$1:$I$10000&lt;=ROUND($FV$3,0))*('Margin Guidence Table'!$J$1:$J$10000&gt;=ROUND($FV$3,0)),0),MATCH("DATA_POINTS",'Margin Guidence Table'!$A$1:$AG$1,0)),0))</f>
        <v>0</v>
      </c>
      <c r="GF25" s="780" t="str">
        <f t="shared" si="43"/>
        <v>DEFAULT</v>
      </c>
      <c r="GG25" s="780">
        <f t="array" ref="GG25">IF('Customer Inputs'!$W$11="End",0,IFERROR(IF($GF25="SEGMENT",INDEX('Margin Guidence Table'!$A$1:$AG$10000,MATCH(1,('Margin Guidence Table'!$A$1:$A$10000=GD25)*('Margin Guidence Table'!$I$1:$I$10000&lt;=ROUND($FV$3,0))*('Margin Guidence Table'!$J$1:$J$10000&gt;=ROUND($FV$3,0)),0),MATCH("SALES_CASE",'Margin Guidence Table'!$A$1:$AG$1,0)),INDEX('Margin Guidence Table'!$A$1:$AG$10000,MATCH(1,('Margin Guidence Table'!$A$1:$A$10000=GD25)*('Margin Guidence Table'!$I$1:$I$10000&lt;=ROUND($FV$3,0))*('Margin Guidence Table'!$J$1:$J$10000&gt;=ROUND($FV$3,0)),0),MATCH("DEFAULT_SALES_CASE",'Margin Guidence Table'!$A$1:$AG$1,0))),0))</f>
        <v>0</v>
      </c>
      <c r="GH25" s="780">
        <f t="array" ref="GH25">IF('Customer Inputs'!$W$11="End",0,IFERROR(IF($GF25="SEGMENT",INDEX('Margin Guidence Table'!$A$1:$AG$10000,MATCH(1,('Margin Guidence Table'!$A$1:$A$10000=GD25)*('Margin Guidence Table'!$I$1:$I$10000&lt;=ROUND($FV$3,0))*('Margin Guidence Table'!$J$1:$J$10000&gt;=ROUND($FV$3,0)),0),MATCH("SALES_LBS",'Margin Guidence Table'!$A$1:$AG$1,0)),INDEX('Margin Guidence Table'!$A$1:$AG$10000,MATCH(1,('Margin Guidence Table'!$A$1:$A$10000=GD25)*('Margin Guidence Table'!$I$1:$I$10000&lt;=ROUND($FV$3,0))*('Margin Guidence Table'!$J$1:$J$10000&gt;=ROUND($FV$3,0)),0),MATCH("DEFAULT_SALES_LBS",'Margin Guidence Table'!$A$1:$AG$1,0))),0))</f>
        <v>0</v>
      </c>
      <c r="GI25" s="784">
        <f t="array" ref="GI25">IF('Customer Inputs'!$W$11="End",0,IFERROR(IF($GF25="SEGMENT",INDEX('Margin Guidence Table'!$A$1:$AG$10000,MATCH(1,('Margin Guidence Table'!$A$1:$A$10000=GD25)*('Margin Guidence Table'!$I$1:$I$10000&lt;=ROUND($FV$3,0))*('Margin Guidence Table'!$J$1:$J$10000&gt;=ROUND($FV$3,0)),0),MATCH("MDA_MIN_MARGIN_GUIDENCE",'Margin Guidence Table'!$A$1:$AG$1,0)),INDEX('Margin Guidence Table'!$A$1:$AG$10000,MATCH(1,('Margin Guidence Table'!$A$1:$A$10000=GD25)*('Margin Guidence Table'!$I$1:$I$10000&lt;=ROUND($FV$3,0))*('Margin Guidence Table'!$J$1:$J$10000&gt;=ROUND($FV$3,0)),0),MATCH("DEFAULT_MDA_MIN_MARGIN_GUIDENCE",'Margin Guidence Table'!$A$1:$AG$1,0))),0))</f>
        <v>0</v>
      </c>
      <c r="GJ25" s="784">
        <f t="array" ref="GJ25">IF('Customer Inputs'!$W$11="End",0,IFERROR(IF($GF25="SEGMENT",INDEX('Margin Guidence Table'!$A$1:$AG$10000,MATCH(1,('Margin Guidence Table'!$A$1:$A$10000=GD25)*('Margin Guidence Table'!$I$1:$I$10000&lt;=ROUND($FV$3,0))*('Margin Guidence Table'!$J$1:$J$10000&gt;=ROUND($FV$3,0)),0),MATCH("MDA_MEDIAN_MARGIN_GUIDENCE",'Margin Guidence Table'!$A$1:$AG$1,0)),INDEX('Margin Guidence Table'!$A$1:$AG$10000,MATCH(1,('Margin Guidence Table'!$A$1:$A$10000=GD25)*('Margin Guidence Table'!$I$1:$I$10000&lt;=ROUND($FV$3,0))*('Margin Guidence Table'!$J$1:$J$10000&gt;=ROUND($FV$3,0)),0),MATCH("DEFAULT_MDA_MEDIAN_MARGIN_GUIDENCE",'Margin Guidence Table'!$A$1:$AG$1,0))),0))</f>
        <v>0</v>
      </c>
      <c r="GK25" s="784">
        <f t="array" ref="GK25">IF('Customer Inputs'!$W$11="End",0,IFERROR(IF($GF25="SEGMENT",INDEX('Margin Guidence Table'!$A$1:$AG$10000,MATCH(1,('Margin Guidence Table'!$A$1:$A$10000=GD25)*('Margin Guidence Table'!$I$1:$I$10000&lt;=ROUND($FV$3,0))*('Margin Guidence Table'!$J$1:$J$10000&gt;=ROUND($FV$3,0)),0),MATCH("MDA_MAX_MARGIN_GUIDENCE",'Margin Guidence Table'!$A$1:$AG$1,0)),INDEX('Margin Guidence Table'!$A$1:$AG$10000,MATCH(1,('Margin Guidence Table'!$A$1:$A$10000=GD25)*('Margin Guidence Table'!$I$1:$I$10000&lt;=ROUND($FV$3,0))*('Margin Guidence Table'!$J$1:$J$10000&gt;=ROUND($FV$3,0)),0),MATCH("DEFAULT_MDA_MAX_MARGIN_GUIDENCE",'Margin Guidence Table'!$A$1:$AG$1,0))),0))</f>
        <v>0</v>
      </c>
      <c r="GL25" s="784">
        <f t="array" ref="GL25">IF('Customer Inputs'!$W$11="End",0,IFERROR(IF($GF25="SEGMENT",INDEX('Margin Guidence Table'!$A$1:$AG$10000,MATCH(1,('Margin Guidence Table'!$A$1:$A$10000=GD25)*('Margin Guidence Table'!$I$1:$I$10000&lt;=ROUND($FV$3,0))*('Margin Guidence Table'!$J$1:$J$10000&gt;=ROUND($FV$3,0)),0),MATCH("PA_PCT_SALES",'Margin Guidence Table'!$A$1:$AG$1,0)),INDEX('Margin Guidence Table'!$A$1:$AG$10000,MATCH(1,('Margin Guidence Table'!$A$1:$A$10000=GD25)*('Margin Guidence Table'!$I$1:$I$10000&lt;=ROUND($FV$3,0))*('Margin Guidence Table'!$J$1:$J$10000&gt;=ROUND($FV$3,0)),0),MATCH("DEFAULT_PA_PCT_SALES",'Margin Guidence Table'!$A$1:$AG$1,0))),0))</f>
        <v>0</v>
      </c>
      <c r="GM25" s="784">
        <f t="array" ref="GM25">IF('Customer Inputs'!$W$11="End",0,IFERROR(IF($GF25="SEGMENT",INDEX('Margin Guidence Table'!$A$1:$AG$10000,MATCH(1,('Margin Guidence Table'!$A$1:$A$10000=GD25)*('Margin Guidence Table'!$I$1:$I$10000&lt;=ROUND($FV$3,0))*('Margin Guidence Table'!$J$1:$J$10000&gt;=ROUND($FV$3,0)),0),MATCH("SELF_FUND_PCT_SALES",'Margin Guidence Table'!$A$1:$AG$1,0)),INDEX('Margin Guidence Table'!$A$1:$AG$10000,MATCH(1,('Margin Guidence Table'!$A$1:$A$10000=GD25)*('Margin Guidence Table'!$I$1:$I$10000&lt;=ROUND($FV$3,0))*('Margin Guidence Table'!$J$1:$J$10000&gt;=ROUND($FV$3,0)),0),MATCH("DEFAULT_SELF_FUND_PCT_SALES",'Margin Guidence Table'!$A$1:$AG$1,0))),0))</f>
        <v>0</v>
      </c>
      <c r="GN25" s="784">
        <f t="array" ref="GN25">IF('Customer Inputs'!$W$11="End",0,IF($FW$2="Existing",IFERROR(SUMIFS('Existing Customers'!$V:$V,'Existing Customers'!$H:$H,$FU25,'Existing Customers'!$A:$A,$FV$1)/SUMIFS('Existing Customers'!$Q:$Q,'Existing Customers'!$H:$H,$FU25,'Existing Customers'!$A:$A,$FV$1),0),IFERROR(IF($GF25="SEGMENT",INDEX('Margin Guidence Table'!$A$1:$AG$10000,MATCH(1,('Margin Guidence Table'!$A$1:$A$10000=GD25)*('Margin Guidence Table'!$I$1:$I$10000&lt;=ROUND($FV$3,0))*('Margin Guidence Table'!$J$1:$J$10000&gt;=ROUND($FV$3,0)),0),MATCH("CIA_MEDIAN_MARGIN_GUIDENCE",'Margin Guidence Table'!$A$1:$AG$1,0)),INDEX('Margin Guidence Table'!$A$1:$AG$10000,MATCH(1,('Margin Guidence Table'!$A$1:$A$10000=GD25)*('Margin Guidence Table'!$I$1:$I$10000&lt;=ROUND($FV$3,0))*('Margin Guidence Table'!$J$1:$J$10000&gt;=ROUND($FV$3,0)),0),MATCH("DEFAULT_CIA_MEDIAN_MARGIN_GUIDENCE",'Margin Guidence Table'!$A$1:$AG$1,0))),0)))</f>
        <v>0</v>
      </c>
      <c r="GO25" s="126"/>
      <c r="GP25" s="18">
        <f t="array" ref="GP25">IF('Customer Inputs'!$W$12="End",0,IFERROR(IF($HC25="SEGMENT",INDEX('Margin Guidence Table'!$A$1:$AG$10000,MATCH(1,('Margin Guidence Table'!$A$1:$A$10000=$HA25)*('Margin Guidence Table'!$I$1:$I$10000&lt;=ROUND($GS$3,0))*('Margin Guidence Table'!$J$1:$J$10000&gt;=ROUND($GS$3,0)),0),MATCH("PCT_SALES",'Margin Guidence Table'!$A$1:$AG$1,0)),INDEX('Margin Guidence Table'!$A$1:$AG$10000,MATCH(1,('Margin Guidence Table'!$A$1:$A$10000=$HA25)*('Margin Guidence Table'!$I$1:$I$10000&lt;=ROUND($GS$3,0))*('Margin Guidence Table'!$J$1:$J$10000&gt;=ROUND($GS$3,0)),0),MATCH("DEFAULT_PCT_SALES",'Margin Guidence Table'!$A$1:$AG$1,0))),0))</f>
        <v>0</v>
      </c>
      <c r="GQ25" s="297" t="e">
        <f t="shared" si="44"/>
        <v>#DIV/0!</v>
      </c>
      <c r="GR25" s="99" t="s">
        <v>93</v>
      </c>
      <c r="GS25" s="91">
        <f>IF('Customer Inputs'!$W$12="End",0,IFERROR(IF(AND($GS$2&lt;&gt;"Enter Spend&gt;&gt;&gt;",$GT$2="EXISTING"),SUMIFS('Existing Customers'!$Q:$Q,'Existing Customers'!$A:$A,$GS$1,'Existing Customers'!$H:$H,$GR25)*$GS$4,$GS$3*$GQ25),0))</f>
        <v>0</v>
      </c>
      <c r="GT25" s="86">
        <f>IF('Customer Inputs'!$W$12="End",0,IFERROR(IF(AND($GS$2&lt;&gt;"Enter Spend&gt;&gt;&gt;",$GT$2="EXISTING"),SUMIFS('Existing Customers'!$N:$N,'Existing Customers'!$A:$A,$GS$1,'Existing Customers'!$H:$H,$GR25)*$GS$4,$GS25/$HD25),0))</f>
        <v>0</v>
      </c>
      <c r="GU25" s="92">
        <f>IF('Customer Inputs'!$W$12="End",0,IFERROR(IF(AND($GS$2&lt;&gt;"Enter Spend&gt;&gt;&gt;",$GT$2="EXISTING"),SUMIFS('Existing Customers'!$O:$O,'Existing Customers'!$H:$H,$GR25,'Existing Customers'!$A:$A,$GS$1)*$GS$4,$GT25*$GS$8),0))</f>
        <v>0</v>
      </c>
      <c r="GV25" s="92">
        <f>IF('Customer Inputs'!$W$12="End",0,IFERROR(IF(AND($GS$2&lt;&gt;"Enter Spend&gt;&gt;&gt;",$GT$2="EXISTING"),SUMIFS('Existing Customers'!$P:$P,'Existing Customers'!$A:$A,$GS$1,'Existing Customers'!$H:$H,$GR25)*$GS$4,$GS25/$HE25),0))</f>
        <v>0</v>
      </c>
      <c r="GW25" s="93">
        <f>IF('Customer Inputs'!$W$12="End",0,IFERROR(IF(AND($GS$2&lt;&gt;"Enter Spend&gt;&gt;&gt;",$GT$2="EXISTING"),SUMIFS('Existing Customers'!$V:$V,'Existing Customers'!$H:$H,$GR25,'Existing Customers'!$A:$A,$GS$1)*$GS$4,0),0))</f>
        <v>0</v>
      </c>
      <c r="GX25" s="93">
        <f>IF('Customer Inputs'!$W$12="End",0,IFERROR(IF(AND($GS$2&lt;&gt;"Enter Spend&gt;&gt;&gt;",$GT$2="EXISTING"),SUMIFS('Existing Customers'!$R:$R,'Existing Customers'!$H:$H,$GR25,'Existing Customers'!$A:$A,$GS$1)*$GS$4,0),0))</f>
        <v>0</v>
      </c>
      <c r="GY25" s="780">
        <f>IF('Customer Inputs'!$W$12="End",0,IFERROR(IF(AND($GS$2&lt;&gt;"Enter Spend&gt;&gt;&gt;",$GT$2="EXISTING"),SUMIFS('Existing Customers'!$S:$S,'Existing Customers'!$H:$H,$GR25,'Existing Customers'!$A:$A,$GS$1)/SUMIFS('Existing Customers'!$Q:$Q,'Existing Customers'!$A:$A,$GS$1,'Existing Customers'!$H:$H,$GR25),HI25),0))</f>
        <v>0</v>
      </c>
      <c r="GZ25" s="780">
        <f>IF('Customer Inputs'!$W$12="End",0,IFERROR(IF(AND($GS$2&lt;&gt;"Enter Spend&gt;&gt;&gt;",$GT$2="EXISTING"),SUMIFS('Existing Customers'!$U:$U,'Existing Customers'!$H:$H,$GR25,'Existing Customers'!$A:$A,$GS$1)/SUMIFS('Existing Customers'!$Q:$Q,'Existing Customers'!$A:$A,$GS$1,'Existing Customers'!$H:$H,$GR25),HJ25),0))</f>
        <v>0</v>
      </c>
      <c r="HA25" s="783" t="e">
        <f>_xlfn.CONCAT('Customer Inputs'!$AH$12,"_",GR25)</f>
        <v>#N/A</v>
      </c>
      <c r="HB25" s="783">
        <f t="array" ref="HB25">IF('Customer Inputs'!$W$12="End",0,IFERROR(INDEX('Margin Guidence Table'!$A$1:$AG$10000,MATCH(1,('Margin Guidence Table'!$A$1:$A$10000=HA25)*('Margin Guidence Table'!$I$1:$I$10000&lt;=ROUND($GS$3,0))*('Margin Guidence Table'!$J$1:$J$10000&gt;=ROUND($GS$3,0)),0),MATCH("DATA_POINTS",'Margin Guidence Table'!$A$1:$AG$1,0)),0))</f>
        <v>0</v>
      </c>
      <c r="HC25" s="780" t="str">
        <f t="shared" si="45"/>
        <v>DEFAULT</v>
      </c>
      <c r="HD25" s="780">
        <f t="array" ref="HD25">IF('Customer Inputs'!$W$12="End",0,IFERROR(IF($HC25="SEGMENT",INDEX('Margin Guidence Table'!$A$1:$AG$10000,MATCH(1,('Margin Guidence Table'!$A$1:$A$10000=HA25)*('Margin Guidence Table'!$I$1:$I$10000&lt;=ROUND($GS$3,0))*('Margin Guidence Table'!$J$1:$J$10000&gt;=ROUND($GS$3,0)),0),MATCH("SALES_CASE",'Margin Guidence Table'!$A$1:$AG$1,0)),INDEX('Margin Guidence Table'!$A$1:$AG$10000,MATCH(1,('Margin Guidence Table'!$A$1:$A$10000=HA25)*('Margin Guidence Table'!$I$1:$I$10000&lt;=ROUND($GS$3,0))*('Margin Guidence Table'!$J$1:$J$10000&gt;=ROUND($GS$3,0)),0),MATCH("DEFAULT_SALES_CASE",'Margin Guidence Table'!$A$1:$AG$1,0))),0))</f>
        <v>0</v>
      </c>
      <c r="HE25" s="780">
        <f t="array" ref="HE25">IF('Customer Inputs'!$W$12="End",0,IFERROR(IF($HC25="SEGMENT",INDEX('Margin Guidence Table'!$A$1:$AG$10000,MATCH(1,('Margin Guidence Table'!$A$1:$A$10000=HA25)*('Margin Guidence Table'!$I$1:$I$10000&lt;=ROUND($GS$3,0))*('Margin Guidence Table'!$J$1:$J$10000&gt;=ROUND($GS$3,0)),0),MATCH("SALES_LBS",'Margin Guidence Table'!$A$1:$AG$1,0)),INDEX('Margin Guidence Table'!$A$1:$AG$10000,MATCH(1,('Margin Guidence Table'!$A$1:$A$10000=HA25)*('Margin Guidence Table'!$I$1:$I$10000&lt;=ROUND($GS$3,0))*('Margin Guidence Table'!$J$1:$J$10000&gt;=ROUND($GS$3,0)),0),MATCH("DEFAULT_SALES_LBS",'Margin Guidence Table'!$A$1:$AG$1,0))),0))</f>
        <v>0</v>
      </c>
      <c r="HF25" s="784">
        <f t="array" ref="HF25">IF('Customer Inputs'!$W$12="End",0,IFERROR(IF($HC25="SEGMENT",INDEX('Margin Guidence Table'!$A$1:$AG$10000,MATCH(1,('Margin Guidence Table'!$A$1:$A$10000=HA25)*('Margin Guidence Table'!$I$1:$I$10000&lt;=ROUND($GS$3,0))*('Margin Guidence Table'!$J$1:$J$10000&gt;=ROUND($GS$3,0)),0),MATCH("MDA_MIN_MARGIN_GUIDENCE",'Margin Guidence Table'!$A$1:$AG$1,0)),INDEX('Margin Guidence Table'!$A$1:$AG$10000,MATCH(1,('Margin Guidence Table'!$A$1:$A$10000=HA25)*('Margin Guidence Table'!$I$1:$I$10000&lt;=ROUND($GS$3,0))*('Margin Guidence Table'!$J$1:$J$10000&gt;=ROUND($GS$3,0)),0),MATCH("DEFAULT_MDA_MIN_MARGIN_GUIDENCE",'Margin Guidence Table'!$A$1:$AG$1,0))),0))</f>
        <v>0</v>
      </c>
      <c r="HG25" s="784">
        <f t="array" ref="HG25">IF('Customer Inputs'!$W$12="End",0,IFERROR(IF($HC25="SEGMENT",INDEX('Margin Guidence Table'!$A$1:$AG$10000,MATCH(1,('Margin Guidence Table'!$A$1:$A$10000=HA25)*('Margin Guidence Table'!$I$1:$I$10000&lt;=ROUND($GS$3,0))*('Margin Guidence Table'!$J$1:$J$10000&gt;=ROUND($GS$3,0)),0),MATCH("MDA_MEDIAN_MARGIN_GUIDENCE",'Margin Guidence Table'!$A$1:$AG$1,0)),INDEX('Margin Guidence Table'!$A$1:$AG$10000,MATCH(1,('Margin Guidence Table'!$A$1:$A$10000=HA25)*('Margin Guidence Table'!$I$1:$I$10000&lt;=ROUND($GS$3,0))*('Margin Guidence Table'!$J$1:$J$10000&gt;=ROUND($GS$3,0)),0),MATCH("DEFAULT_MDA_MEDIAN_MARGIN_GUIDENCE",'Margin Guidence Table'!$A$1:$AG$1,0))),0))</f>
        <v>0</v>
      </c>
      <c r="HH25" s="784">
        <f t="array" ref="HH25">IF('Customer Inputs'!$W$12="End",0,IFERROR(IF($HC25="SEGMENT",INDEX('Margin Guidence Table'!$A$1:$AG$10000,MATCH(1,('Margin Guidence Table'!$A$1:$A$10000=HA25)*('Margin Guidence Table'!$I$1:$I$10000&lt;=ROUND($GS$3,0))*('Margin Guidence Table'!$J$1:$J$10000&gt;=ROUND($GS$3,0)),0),MATCH("MDA_MAX_MARGIN_GUIDENCE",'Margin Guidence Table'!$A$1:$AG$1,0)),INDEX('Margin Guidence Table'!$A$1:$AG$10000,MATCH(1,('Margin Guidence Table'!$A$1:$A$10000=HA25)*('Margin Guidence Table'!$I$1:$I$10000&lt;=ROUND($GS$3,0))*('Margin Guidence Table'!$J$1:$J$10000&gt;=ROUND($GS$3,0)),0),MATCH("DEFAULT_MDA_MAX_MARGIN_GUIDENCE",'Margin Guidence Table'!$A$1:$AG$1,0))),0))</f>
        <v>0</v>
      </c>
      <c r="HI25" s="784">
        <f t="array" ref="HI25">IF('Customer Inputs'!$W$12="End",0,IFERROR(IF($HC25="SEGMENT",INDEX('Margin Guidence Table'!$A$1:$AG$10000,MATCH(1,('Margin Guidence Table'!$A$1:$A$10000=HA25)*('Margin Guidence Table'!$I$1:$I$10000&lt;=ROUND($GS$3,0))*('Margin Guidence Table'!$J$1:$J$10000&gt;=ROUND($GS$3,0)),0),MATCH("PA_PCT_SALES",'Margin Guidence Table'!$A$1:$AG$1,0)),INDEX('Margin Guidence Table'!$A$1:$AG$10000,MATCH(1,('Margin Guidence Table'!$A$1:$A$10000=HA25)*('Margin Guidence Table'!$I$1:$I$10000&lt;=ROUND($GS$3,0))*('Margin Guidence Table'!$J$1:$J$10000&gt;=ROUND($GS$3,0)),0),MATCH("DEFAULT_PA_PCT_SALES",'Margin Guidence Table'!$A$1:$AG$1,0))),0))</f>
        <v>0</v>
      </c>
      <c r="HJ25" s="784">
        <f t="array" ref="HJ25">IF('Customer Inputs'!$W$12="End",0,IFERROR(IF($HC25="SEGMENT",INDEX('Margin Guidence Table'!$A$1:$AG$10000,MATCH(1,('Margin Guidence Table'!$A$1:$A$10000=HA25)*('Margin Guidence Table'!$I$1:$I$10000&lt;=ROUND($GS$3,0))*('Margin Guidence Table'!$J$1:$J$10000&gt;=ROUND($GS$3,0)),0),MATCH("SELF_FUND_PCT_SALES",'Margin Guidence Table'!$A$1:$AG$1,0)),INDEX('Margin Guidence Table'!$A$1:$AG$10000,MATCH(1,('Margin Guidence Table'!$A$1:$A$10000=HA25)*('Margin Guidence Table'!$I$1:$I$10000&lt;=ROUND($GS$3,0))*('Margin Guidence Table'!$J$1:$J$10000&gt;=ROUND($GS$3,0)),0),MATCH("DEFAULT_SELF_FUND_PCT_SALES",'Margin Guidence Table'!$A$1:$AG$1,0))),0))</f>
        <v>0</v>
      </c>
      <c r="HK25" s="784">
        <f t="array" ref="HK25">IF('Customer Inputs'!$W$12="End",0,IF($GT$2="Existing",IFERROR(SUMIFS('Existing Customers'!$V:$V,'Existing Customers'!$H:$H,$GR25,'Existing Customers'!$A:$A,$GS$1)/SUMIFS('Existing Customers'!$Q:$Q,'Existing Customers'!$H:$H,$GR25,'Existing Customers'!$A:$A,$GS$1),0),IFERROR(IF($HC25="SEGMENT",INDEX('Margin Guidence Table'!$A$1:$AG$10000,MATCH(1,('Margin Guidence Table'!$A$1:$A$10000=HA25)*('Margin Guidence Table'!$I$1:$I$10000&lt;=ROUND($GS$3,0))*('Margin Guidence Table'!$J$1:$J$10000&gt;=ROUND($GS$3,0)),0),MATCH("CIA_MEDIAN_MARGIN_GUIDENCE",'Margin Guidence Table'!$A$1:$AG$1,0)),INDEX('Margin Guidence Table'!$A$1:$AG$10000,MATCH(1,('Margin Guidence Table'!$A$1:$A$10000=HA25)*('Margin Guidence Table'!$I$1:$I$10000&lt;=ROUND($GS$3,0))*('Margin Guidence Table'!$J$1:$J$10000&gt;=ROUND($GS$3,0)),0),MATCH("DEFAULT_CIA_MEDIAN_MARGIN_GUIDENCE",'Margin Guidence Table'!$A$1:$AG$1,0))),0)))</f>
        <v>0</v>
      </c>
      <c r="HL25" s="126"/>
      <c r="HM25" s="18">
        <f t="array" ref="HM25">IF('Customer Inputs'!$W$13="End",0,IFERROR(IF($HZ25="SEGMENT",INDEX('Margin Guidence Table'!$A$1:$AG$10000,MATCH(1,('Margin Guidence Table'!$A$1:$A$10000=$HX25)*('Margin Guidence Table'!$I$1:$I$10000&lt;=ROUND($HP$3,0))*('Margin Guidence Table'!$J$1:$J$10000&gt;=ROUND($HP$3,0)),0),MATCH("PCT_SALES",'Margin Guidence Table'!$A$1:$AG$1,0)),INDEX('Margin Guidence Table'!$A$1:$AG$10000,MATCH(1,('Margin Guidence Table'!$A$1:$A$10000=$HX25)*('Margin Guidence Table'!$I$1:$I$10000&lt;=ROUND($HP$3,0))*('Margin Guidence Table'!$J$1:$J$10000&gt;=ROUND($HP$3,0)),0),MATCH("DEFAULT_PCT_SALES",'Margin Guidence Table'!$A$1:$AG$1,0))),0))</f>
        <v>0</v>
      </c>
      <c r="HN25" s="297" t="e">
        <f t="shared" si="46"/>
        <v>#DIV/0!</v>
      </c>
      <c r="HO25" s="99" t="s">
        <v>93</v>
      </c>
      <c r="HP25" s="91">
        <f>IF('Customer Inputs'!$W$13="End",0,IFERROR(IF(AND($HP$2&lt;&gt;"Enter Spend&gt;&gt;&gt;",$HQ$2="EXISTING"),SUMIFS('Existing Customers'!$Q:$Q,'Existing Customers'!$A:$A,$HP$1,'Existing Customers'!$H:$H,$HO25)*$HP$4,$HP$3*$HN25),0))</f>
        <v>0</v>
      </c>
      <c r="HQ25" s="86">
        <f>IF('Customer Inputs'!$W$13="End",0,IFERROR(IF(AND($HP$2&lt;&gt;"Enter Spend&gt;&gt;&gt;",$HQ$2="EXISTING"),SUMIFS('Existing Customers'!$N:$N,'Existing Customers'!$A:$A,$HP$1,'Existing Customers'!$H:$H,$HO25)*$HP$4,$HP25/$IA25),0))</f>
        <v>0</v>
      </c>
      <c r="HR25" s="92">
        <f>IF('Customer Inputs'!$W$13="End",0,IFERROR(IF(AND($HP$2&lt;&gt;"Enter Spend&gt;&gt;&gt;",$HQ$2="EXISTING"),SUMIFS('Existing Customers'!$O:$O,'Existing Customers'!$H:$H,$HO25,'Existing Customers'!$A:$A,$HP$1)*$HP$4,$HQ25*$HP$8),0))</f>
        <v>0</v>
      </c>
      <c r="HS25" s="92">
        <f>IF('Customer Inputs'!$W$13="End",0,IFERROR(IF(AND($HP$2&lt;&gt;"Enter Spend&gt;&gt;&gt;",$HQ$2="EXISTING"),SUMIFS('Existing Customers'!$P:$P,'Existing Customers'!$A:$A,$HP$1,'Existing Customers'!$H:$H,$HO25)*$HP$4,$HP25/$IB25),0))</f>
        <v>0</v>
      </c>
      <c r="HT25" s="93">
        <f>IF('Customer Inputs'!$W$13="End",0,IFERROR(IF(AND($HP$2&lt;&gt;"Enter Spend&gt;&gt;&gt;",$HQ$2="EXISTING"),SUMIFS('Existing Customers'!$V:$V,'Existing Customers'!$H:$H,$HO25,'Existing Customers'!$A:$A,$HP$1)*$HP$4,0),0))</f>
        <v>0</v>
      </c>
      <c r="HU25" s="93">
        <f>IF('Customer Inputs'!$W$13="End",0,IFERROR(IF(AND($HP$2&lt;&gt;"Enter Spend&gt;&gt;&gt;",$HQ$2="EXISTING"),SUMIFS('Existing Customers'!$R:$R,'Existing Customers'!$H:$H,$HO25,'Existing Customers'!$A:$A,$HP$1)*$HP$4,0),0))</f>
        <v>0</v>
      </c>
      <c r="HV25" s="780">
        <f>IF('Customer Inputs'!$W$13="End",0,IFERROR(IF(AND($HP$2&lt;&gt;"Enter Spend&gt;&gt;&gt;",$HQ$2="EXISTING"),SUMIFS('Existing Customers'!$S:$S,'Existing Customers'!$H:$H,$HO25,'Existing Customers'!$A:$A,$HP$1)/SUMIFS('Existing Customers'!$Q:$Q,'Existing Customers'!$A:$A,$HP$1,'Existing Customers'!$H:$H,$HO25),IF25),0))</f>
        <v>0</v>
      </c>
      <c r="HW25" s="780">
        <f>IF('Customer Inputs'!$W$13="End",0,IFERROR(IF(AND($HP$2&lt;&gt;"Enter Spend&gt;&gt;&gt;",$HQ$2="EXISTING"),SUMIFS('Existing Customers'!$U:$U,'Existing Customers'!$H:$H,$HO25,'Existing Customers'!$A:$A,$HP$1)/SUMIFS('Existing Customers'!$Q:$Q,'Existing Customers'!$A:$A,$HP$1,'Existing Customers'!$H:$H,$HO25),IG25),0))</f>
        <v>0</v>
      </c>
      <c r="HX25" s="783" t="e">
        <f>_xlfn.CONCAT('Customer Inputs'!$AH$13,"_",HO25)</f>
        <v>#N/A</v>
      </c>
      <c r="HY25" s="783">
        <f t="array" ref="HY25">IF('Customer Inputs'!$W$13="End",0,IFERROR(INDEX('Margin Guidence Table'!$A$1:$AG$10000,MATCH(1,('Margin Guidence Table'!$A$1:$A$10000=HX25)*('Margin Guidence Table'!$I$1:$I$10000&lt;=ROUND($HP$3,0))*('Margin Guidence Table'!$J$1:$J$10000&gt;=ROUND($HP$3,0)),0),MATCH("DATA_POINTS",'Margin Guidence Table'!$A$1:$AG$1,0)),0))</f>
        <v>0</v>
      </c>
      <c r="HZ25" s="780" t="str">
        <f t="shared" si="47"/>
        <v>DEFAULT</v>
      </c>
      <c r="IA25" s="780">
        <f t="array" ref="IA25">IF('Customer Inputs'!$W$13="End",0,IFERROR(IF($HZ25="SEGMENT",INDEX('Margin Guidence Table'!$A$1:$AG$10000,MATCH(1,('Margin Guidence Table'!$A$1:$A$10000=HX25)*('Margin Guidence Table'!$I$1:$I$10000&lt;=ROUND($HP$3,0))*('Margin Guidence Table'!$J$1:$J$10000&gt;=ROUND($HP$3,0)),0),MATCH("SALES_CASE",'Margin Guidence Table'!$A$1:$AG$1,0)),INDEX('Margin Guidence Table'!$A$1:$AG$10000,MATCH(1,('Margin Guidence Table'!$A$1:$A$10000=HX25)*('Margin Guidence Table'!$I$1:$I$10000&lt;=ROUND($HP$3,0))*('Margin Guidence Table'!$J$1:$J$10000&gt;=ROUND($HP$3,0)),0),MATCH("DEFAULT_SALES_CASE",'Margin Guidence Table'!$A$1:$AG$1,0))),0))</f>
        <v>0</v>
      </c>
      <c r="IB25" s="780">
        <f t="array" ref="IB25">IF('Customer Inputs'!$W$13="End",0,IFERROR(IF($HZ25="SEGMENT",INDEX('Margin Guidence Table'!$A$1:$AG$10000,MATCH(1,('Margin Guidence Table'!$A$1:$A$10000=HX25)*('Margin Guidence Table'!$I$1:$I$10000&lt;=ROUND($HP$3,0))*('Margin Guidence Table'!$J$1:$J$10000&gt;=ROUND($HP$3,0)),0),MATCH("SALES_LBS",'Margin Guidence Table'!$A$1:$AG$1,0)),INDEX('Margin Guidence Table'!$A$1:$AG$10000,MATCH(1,('Margin Guidence Table'!$A$1:$A$10000=HX25)*('Margin Guidence Table'!$I$1:$I$10000&lt;=ROUND($HP$3,0))*('Margin Guidence Table'!$J$1:$J$10000&gt;=ROUND($HP$3,0)),0),MATCH("DEFAULT_SALES_LBS",'Margin Guidence Table'!$A$1:$AG$1,0))),0))</f>
        <v>0</v>
      </c>
      <c r="IC25" s="784">
        <f t="array" ref="IC25">IF('Customer Inputs'!$W$13="End",0,IFERROR(IF($HZ25="SEGMENT",INDEX('Margin Guidence Table'!$A$1:$AG$10000,MATCH(1,('Margin Guidence Table'!$A$1:$A$10000=HX25)*('Margin Guidence Table'!$I$1:$I$10000&lt;=ROUND($HP$3,0))*('Margin Guidence Table'!$J$1:$J$10000&gt;=ROUND($HP$3,0)),0),MATCH("MDA_MIN_MARGIN_GUIDENCE",'Margin Guidence Table'!$A$1:$AG$1,0)),INDEX('Margin Guidence Table'!$A$1:$AG$10000,MATCH(1,('Margin Guidence Table'!$A$1:$A$10000=HX25)*('Margin Guidence Table'!$I$1:$I$10000&lt;=ROUND($HP$3,0))*('Margin Guidence Table'!$J$1:$J$10000&gt;=ROUND($HP$3,0)),0),MATCH("DEFAULT_MDA_MIN_MARGIN_GUIDENCE",'Margin Guidence Table'!$A$1:$AG$1,0))),0))</f>
        <v>0</v>
      </c>
      <c r="ID25" s="784">
        <f t="array" ref="ID25">IF('Customer Inputs'!$W$13="End",0,IFERROR(IF($HZ25="SEGMENT",INDEX('Margin Guidence Table'!$A$1:$AG$10000,MATCH(1,('Margin Guidence Table'!$A$1:$A$10000=HX25)*('Margin Guidence Table'!$I$1:$I$10000&lt;=ROUND($HP$3,0))*('Margin Guidence Table'!$J$1:$J$10000&gt;=ROUND($HP$3,0)),0),MATCH("MDA_MEDIAN_MARGIN_GUIDENCE",'Margin Guidence Table'!$A$1:$AG$1,0)),INDEX('Margin Guidence Table'!$A$1:$AG$10000,MATCH(1,('Margin Guidence Table'!$A$1:$A$10000=HX25)*('Margin Guidence Table'!$I$1:$I$10000&lt;=ROUND($HP$3,0))*('Margin Guidence Table'!$J$1:$J$10000&gt;=ROUND($HP$3,0)),0),MATCH("DEFAULT_MDA_MEDIAN_MARGIN_GUIDENCE",'Margin Guidence Table'!$A$1:$AG$1,0))),0))</f>
        <v>0</v>
      </c>
      <c r="IE25" s="784">
        <f t="array" ref="IE25">IF('Customer Inputs'!$W$13="End",0,IFERROR(IF($HZ25="SEGMENT",INDEX('Margin Guidence Table'!$A$1:$AG$10000,MATCH(1,('Margin Guidence Table'!$A$1:$A$10000=HX25)*('Margin Guidence Table'!$I$1:$I$10000&lt;=ROUND($HP$3,0))*('Margin Guidence Table'!$J$1:$J$10000&gt;=ROUND($HP$3,0)),0),MATCH("MDA_MAX_MARGIN_GUIDENCE",'Margin Guidence Table'!$A$1:$AG$1,0)),INDEX('Margin Guidence Table'!$A$1:$AG$10000,MATCH(1,('Margin Guidence Table'!$A$1:$A$10000=HX25)*('Margin Guidence Table'!$I$1:$I$10000&lt;=ROUND($HP$3,0))*('Margin Guidence Table'!$J$1:$J$10000&gt;=ROUND($HP$3,0)),0),MATCH("DEFAULT_MDA_MAX_MARGIN_GUIDENCE",'Margin Guidence Table'!$A$1:$AG$1,0))),0))</f>
        <v>0</v>
      </c>
      <c r="IF25" s="784">
        <f t="array" ref="IF25">IF('Customer Inputs'!$W$13="End",0,IFERROR(IF($HZ25="SEGMENT",INDEX('Margin Guidence Table'!$A$1:$AG$10000,MATCH(1,('Margin Guidence Table'!$A$1:$A$10000=HX25)*('Margin Guidence Table'!$I$1:$I$10000&lt;=ROUND($HP$3,0))*('Margin Guidence Table'!$J$1:$J$10000&gt;=ROUND($HP$3,0)),0),MATCH("PA_PCT_SALES",'Margin Guidence Table'!$A$1:$AG$1,0)),INDEX('Margin Guidence Table'!$A$1:$AG$10000,MATCH(1,('Margin Guidence Table'!$A$1:$A$10000=HX25)*('Margin Guidence Table'!$I$1:$I$10000&lt;=ROUND($HP$3,0))*('Margin Guidence Table'!$J$1:$J$10000&gt;=ROUND($HP$3,0)),0),MATCH("DEFAULT_PA_PCT_SALES",'Margin Guidence Table'!$A$1:$AG$1,0))),0))</f>
        <v>0</v>
      </c>
      <c r="IG25" s="784">
        <f t="array" ref="IG25">IF('Customer Inputs'!$W$13="End",0,IFERROR(IF($HZ25="SEGMENT",INDEX('Margin Guidence Table'!$A$1:$AG$10000,MATCH(1,('Margin Guidence Table'!$A$1:$A$10000=HX25)*('Margin Guidence Table'!$I$1:$I$10000&lt;=ROUND($HP$3,0))*('Margin Guidence Table'!$J$1:$J$10000&gt;=ROUND($HP$3,0)),0),MATCH("SELF_FUND_PCT_SALES",'Margin Guidence Table'!$A$1:$AG$1,0)),INDEX('Margin Guidence Table'!$A$1:$AG$10000,MATCH(1,('Margin Guidence Table'!$A$1:$A$10000=HX25)*('Margin Guidence Table'!$I$1:$I$10000&lt;=ROUND($HP$3,0))*('Margin Guidence Table'!$J$1:$J$10000&gt;=ROUND($HP$3,0)),0),MATCH("DEFAULT_SELF_FUND_PCT_SALES",'Margin Guidence Table'!$A$1:$AG$1,0))),0))</f>
        <v>0</v>
      </c>
      <c r="IH25" s="784">
        <f t="array" ref="IH25">IF('Customer Inputs'!$W$13="End",0,IF($HQ$2="Existing",IFERROR(SUMIFS('Existing Customers'!$V:$V,'Existing Customers'!$H:$H,$HO25,'Existing Customers'!$A:$A,$HP$1)/SUMIFS('Existing Customers'!$Q:$Q,'Existing Customers'!$H:$H,$HO25,'Existing Customers'!$A:$A,$HP$1),0),IFERROR(IF($HZ25="SEGMENT",INDEX('Margin Guidence Table'!$A$1:$AG$10000,MATCH(1,('Margin Guidence Table'!$A$1:$A$10000=HX25)*('Margin Guidence Table'!$I$1:$I$10000&lt;=ROUND($HP$3,0))*('Margin Guidence Table'!$J$1:$J$10000&gt;=ROUND($HP$3,0)),0),MATCH("CIA_MEDIAN_MARGIN_GUIDENCE",'Margin Guidence Table'!$A$1:$AG$1,0)),INDEX('Margin Guidence Table'!$A$1:$AG$10000,MATCH(1,('Margin Guidence Table'!$A$1:$A$10000=HX25)*('Margin Guidence Table'!$I$1:$I$10000&lt;=ROUND($HP$3,0))*('Margin Guidence Table'!$J$1:$J$10000&gt;=ROUND($HP$3,0)),0),MATCH("DEFAULT_CIA_MEDIAN_MARGIN_GUIDENCE",'Margin Guidence Table'!$A$1:$AG$1,0))),0)))</f>
        <v>0</v>
      </c>
      <c r="II25" s="126"/>
      <c r="IJ25" s="18">
        <f t="array" ref="IJ25">IF('Customer Inputs'!$W$14="End",0,IFERROR(IF($IW25="SEGMENT",INDEX('Margin Guidence Table'!$A:$AC,MATCH(1,('Margin Guidence Table'!$A:$A=$IU25)*('Margin Guidence Table'!$H:$H&lt;=ROUND($IM$3,0))*('Margin Guidence Table'!$G:$G&gt;=ROUND($IM$3,0)),0),MATCH("PCT_SALES",'Margin Guidence Table'!$A$1:$AG$1,0)),INDEX('Margin Guidence Table'!$A:$AC,MATCH(1,('Margin Guidence Table'!$A:$A=$IU25)*('Margin Guidence Table'!$H:$H&lt;=ROUND($IM$3,0))*('Margin Guidence Table'!$G:$G&gt;=ROUND($IM$3,0)),0),MATCH("DEFAULT_PCT_SALES",'Margin Guidence Table'!$A$1:$AG$1,0))),0))</f>
        <v>0</v>
      </c>
      <c r="IK25" s="297" t="e">
        <f t="shared" si="48"/>
        <v>#DIV/0!</v>
      </c>
      <c r="IL25" s="99" t="s">
        <v>93</v>
      </c>
      <c r="IM25" s="91">
        <f>IF('Customer Inputs'!$W$14="End",0,IFERROR(IF(AND($IM$2&lt;&gt;"Enter Spend&gt;&gt;&gt;",$IN$2="EXISTING"),SUMIFS('Existing Customers'!$Q:$Q,'Existing Customers'!$A:$A,$IM$1,'Existing Customers'!$H:$H,$IL25)*$IM$4,$IM$3*$IK25),0))</f>
        <v>0</v>
      </c>
      <c r="IN25" s="86">
        <f>IF('Customer Inputs'!$W$14="End",0,IFERROR(IF(AND($IM$2&lt;&gt;"Enter Spend&gt;&gt;&gt;",$IN$2="EXISTING"),SUMIFS('Existing Customers'!$N:$N,'Existing Customers'!$A:$A,$IM$1,'Existing Customers'!$H:$H,$IL25)*$IM$4,$IM25/$IX25),0))</f>
        <v>0</v>
      </c>
      <c r="IO25" s="92">
        <f>IF('Customer Inputs'!$W$14="End",0,IFERROR(IF(AND($IM$2&lt;&gt;"Enter Spend&gt;&gt;&gt;",$IN$2="EXISTING"),SUMIFS('Existing Customers'!$O:$O,'Existing Customers'!$H:$H,$IL25,'Existing Customers'!$A:$A,$IM$1)*$IM$4,$IN25*$IM$8),0))</f>
        <v>0</v>
      </c>
      <c r="IP25" s="92">
        <f>IF('Customer Inputs'!$W$14="End",0,IFERROR(IF(AND($IM$2&lt;&gt;"Enter Spend&gt;&gt;&gt;",$IN$2="EXISTING"),SUMIFS('Existing Customers'!$P:$P,'Existing Customers'!$A:$A,$IM$1,'Existing Customers'!$H:$H,$IL25)*$IM$4,$IM25/$IY25),0))</f>
        <v>0</v>
      </c>
      <c r="IQ25" s="303">
        <f>IF('Customer Inputs'!$W$14="End",0,IFERROR(IF(AND($IM$2&lt;&gt;"Enter Spend&gt;&gt;&gt;",$IN$2="EXISTING"),SUMIFS('Existing Customers'!$V:$V,'Existing Customers'!$H:$H,$IL25,'Existing Customers'!$A:$A,$IM$1)*$IM$4,0),0))</f>
        <v>0</v>
      </c>
      <c r="IR25" s="93">
        <f>IF('Customer Inputs'!$W$14="End",0,IFERROR(IF(AND($IM$2&lt;&gt;"Enter Spend&gt;&gt;&gt;",$IN$2="EXISTING"),SUMIFS('Existing Customers'!$R:$R,'Existing Customers'!$H:$H,$IL25,'Existing Customers'!$A:$A,$IM$1)*$IM$4,0),0))</f>
        <v>0</v>
      </c>
      <c r="IS25" s="780">
        <f>IF('Customer Inputs'!$W$14="End",0,IFERROR(IF(AND($IM$2&lt;&gt;"Enter Spend&gt;&gt;&gt;",$IN$2="EXISTING"),SUMIFS('Existing Customers'!$S:$S,'Existing Customers'!$H:$H,$IL25,'Existing Customers'!$A:$A,$IM$1)/SUMIFS('Existing Customers'!$Q:$Q,'Existing Customers'!$A:$A,$IM$1,'Existing Customers'!$H:$H,$IL25),JC25),0))</f>
        <v>0</v>
      </c>
      <c r="IT25" s="780">
        <f>IF('Customer Inputs'!$W$14="End",0,IFERROR(IF(AND($IM$2&lt;&gt;"Enter Spend&gt;&gt;&gt;",$IN$2="EXISTING"),SUMIFS('Existing Customers'!$U:$U,'Existing Customers'!$H:$H,$IL25,'Existing Customers'!$A:$A,$IM$1)/SUMIFS('Existing Customers'!$Q:$Q,'Existing Customers'!$A:$A,$IM$1,'Existing Customers'!$H:$H,$IL25),JD25),0))</f>
        <v>0</v>
      </c>
      <c r="IU25" s="783" t="e">
        <f>_xlfn.CONCAT('Customer Inputs'!$AH$14,"_",IL25)</f>
        <v>#N/A</v>
      </c>
      <c r="IV25" s="783">
        <f t="array" ref="IV25">IF('Customer Inputs'!$W$14="End",0,IFERROR(INDEX('Margin Guidence Table'!$A$1:$AG$10000,MATCH(1,('Margin Guidence Table'!$A$1:$A$10000=IU25)*('Margin Guidence Table'!$I$1:$I$10000&lt;=ROUND($IM$3,0))*('Margin Guidence Table'!$J$1:$J$10000&gt;=ROUND($IM$3,0)),0),MATCH("DATA_POINTS",'Margin Guidence Table'!$A$1:$AG$1,0)),0))</f>
        <v>0</v>
      </c>
      <c r="IW25" s="780" t="str">
        <f t="shared" si="49"/>
        <v>DEFAULT</v>
      </c>
      <c r="IX25" s="780">
        <f t="array" ref="IX25">IF('Customer Inputs'!$W$14="End",0,IFERROR(IF($IW25="SEGMENT",INDEX('Margin Guidence Table'!$A$1:$AG$10000,MATCH(1,('Margin Guidence Table'!$A$1:$A$10000=IU25)*('Margin Guidence Table'!$I$1:$I$10000&lt;=ROUND($IM$3,0))*('Margin Guidence Table'!$J$1:$J$10000&gt;=ROUND($IM$3,0)),0),MATCH("SALES_CASE",'Margin Guidence Table'!$A$1:$AG$1,0)),INDEX('Margin Guidence Table'!$A$1:$AG$10000,MATCH(1,('Margin Guidence Table'!$A$1:$A$10000=IU25)*('Margin Guidence Table'!$I$1:$I$10000&lt;=ROUND($IM$3,0))*('Margin Guidence Table'!$J$1:$J$10000&gt;=ROUND($IM$3,0)),0),MATCH("DEFAULT_SALES_CASE",'Margin Guidence Table'!$A$1:$AG$1,0))),0))</f>
        <v>0</v>
      </c>
      <c r="IY25" s="780">
        <f t="array" ref="IY25">IF('Customer Inputs'!$W$14="End",0,IFERROR(IF($IW25="SEGMENT",INDEX('Margin Guidence Table'!$A$1:$AG$10000,MATCH(1,('Margin Guidence Table'!$A$1:$A$10000=IU25)*('Margin Guidence Table'!$I$1:$I$10000&lt;=ROUND($IM$3,0))*('Margin Guidence Table'!$J$1:$J$10000&gt;=ROUND($IM$3,0)),0),MATCH("SALES_LBS",'Margin Guidence Table'!$A$1:$AG$1,0)),INDEX('Margin Guidence Table'!$A$1:$AG$10000,MATCH(1,('Margin Guidence Table'!$A$1:$A$10000=IU25)*('Margin Guidence Table'!$I$1:$I$10000&lt;=ROUND($IM$3,0))*('Margin Guidence Table'!$J$1:$J$10000&gt;=ROUND($IM$3,0)),0),MATCH("DEFAULT_SALES_LBS",'Margin Guidence Table'!$A$1:$AG$1,0))),0))</f>
        <v>0</v>
      </c>
      <c r="IZ25" s="784">
        <f t="array" ref="IZ25">IF('Customer Inputs'!$W$14="End",0,IFERROR(IF($IW25="SEGMENT",INDEX('Margin Guidence Table'!$A$1:$AG$10000,MATCH(1,('Margin Guidence Table'!$A$1:$A$10000=IU25)*('Margin Guidence Table'!$I$1:$I$10000&lt;=ROUND($IM$3,0))*('Margin Guidence Table'!$J$1:$J$10000&gt;=ROUND($IM$3,0)),0),MATCH("MDA_MIN_MARGIN_GUIDENCE",'Margin Guidence Table'!$A$1:$AG$1,0)),INDEX('Margin Guidence Table'!$A$1:$AG$10000,MATCH(1,('Margin Guidence Table'!$A$1:$A$10000=IU25)*('Margin Guidence Table'!$I$1:$I$10000&lt;=ROUND($IM$3,0))*('Margin Guidence Table'!$J$1:$J$10000&gt;=ROUND($IM$3,0)),0),MATCH("DEFAULT_MDA_MIN_MARGIN_GUIDENCE",'Margin Guidence Table'!$A$1:$AG$1,0))),0))</f>
        <v>0</v>
      </c>
      <c r="JA25" s="784">
        <f t="array" ref="JA25">IF('Customer Inputs'!$W$14="End",0,IFERROR(IF($IW25="SEGMENT",INDEX('Margin Guidence Table'!$A$1:$AG$10000,MATCH(1,('Margin Guidence Table'!$A$1:$A$10000=IU25)*('Margin Guidence Table'!$I$1:$I$10000&lt;=ROUND($IM$3,0))*('Margin Guidence Table'!$J$1:$J$10000&gt;=ROUND($IM$3,0)),0),MATCH("MDA_MEDIAN_MARGIN_GUIDENCE",'Margin Guidence Table'!$A$1:$AG$1,0)),INDEX('Margin Guidence Table'!$A$1:$AG$10000,MATCH(1,('Margin Guidence Table'!$A$1:$A$10000=IU25)*('Margin Guidence Table'!$I$1:$I$10000&lt;=ROUND($IM$3,0))*('Margin Guidence Table'!$J$1:$J$10000&gt;=ROUND($IM$3,0)),0),MATCH("DEFAULT_MDA_MEDIAN_MARGIN_GUIDENCE",'Margin Guidence Table'!$A$1:$AG$1,0))),0))</f>
        <v>0</v>
      </c>
      <c r="JB25" s="784">
        <f t="array" ref="JB25">IF('Customer Inputs'!$W$14="End",0,IFERROR(IF($IW25="SEGMENT",INDEX('Margin Guidence Table'!$A$1:$AG$10000,MATCH(1,('Margin Guidence Table'!$A$1:$A$10000=IU25)*('Margin Guidence Table'!$I$1:$I$10000&lt;=ROUND($IM$3,0))*('Margin Guidence Table'!$J$1:$J$10000&gt;=ROUND($IM$3,0)),0),MATCH("MDA_MAX_MARGIN_GUIDENCE",'Margin Guidence Table'!$A$1:$AG$1,0)),INDEX('Margin Guidence Table'!$A$1:$AG$10000,MATCH(1,('Margin Guidence Table'!$A$1:$A$10000=IU25)*('Margin Guidence Table'!$I$1:$I$10000&lt;=ROUND($IM$3,0))*('Margin Guidence Table'!$J$1:$J$10000&gt;=ROUND($IM$3,0)),0),MATCH("DEFAULT_MDA_MAX_MARGIN_GUIDENCE",'Margin Guidence Table'!$A$1:$AG$1,0))),0))</f>
        <v>0</v>
      </c>
      <c r="JC25" s="784">
        <f t="array" ref="JC25">IF('Customer Inputs'!$W$14="End",0,IFERROR(IF($IW25="SEGMENT",INDEX('Margin Guidence Table'!$A$1:$AG$10000,MATCH(1,('Margin Guidence Table'!$A$1:$A$10000=IU25)*('Margin Guidence Table'!$I$1:$I$10000&lt;=ROUND($IM$3,0))*('Margin Guidence Table'!$J$1:$J$10000&gt;=ROUND($IM$3,0)),0),MATCH("PA_PCT_SALES",'Margin Guidence Table'!$A$1:$AG$1,0)),INDEX('Margin Guidence Table'!$A$1:$AG$10000,MATCH(1,('Margin Guidence Table'!$A$1:$A$10000=IU25)*('Margin Guidence Table'!$I$1:$I$10000&lt;=ROUND($IM$3,0))*('Margin Guidence Table'!$J$1:$J$10000&gt;=ROUND($IM$3,0)),0),MATCH("DEFAULT_PA_PCT_SALES",'Margin Guidence Table'!$A$1:$AG$1,0))),0))</f>
        <v>0</v>
      </c>
      <c r="JD25" s="784">
        <f t="array" ref="JD25">IF('Customer Inputs'!$W$14="End",0,IFERROR(IF($IW25="SEGMENT",INDEX('Margin Guidence Table'!$A$1:$AG$10000,MATCH(1,('Margin Guidence Table'!$A$1:$A$10000=IU25)*('Margin Guidence Table'!$I$1:$I$10000&lt;=ROUND($IM$3,0))*('Margin Guidence Table'!$J$1:$J$10000&gt;=ROUND($IM$3,0)),0),MATCH("SELF_FUND_PCT_SALES",'Margin Guidence Table'!$A$1:$AG$1,0)),INDEX('Margin Guidence Table'!$A$1:$AG$10000,MATCH(1,('Margin Guidence Table'!$A$1:$A$10000=IU25)*('Margin Guidence Table'!$I$1:$I$10000&lt;=ROUND($IM$3,0))*('Margin Guidence Table'!$J$1:$J$10000&gt;=ROUND($IM$3,0)),0),MATCH("DEFAULT_SELF_FUND_PCT_SALES",'Margin Guidence Table'!$A$1:$AG$1,0))),0))</f>
        <v>0</v>
      </c>
      <c r="JE25" s="784">
        <f t="array" ref="JE25">IF('Customer Inputs'!$W$14="End",0,IF($IN$2="Existing",IFERROR(SUMIFS('Existing Customers'!$V:$V,'Existing Customers'!$H:$H,$IL25,'Existing Customers'!$A:$A,$IM$1)/SUMIFS('Existing Customers'!$Q:$Q,'Existing Customers'!$H:$H,$IL25,'Existing Customers'!$A:$A,$IM$1),0),IFERROR(IF($IW25="SEGMENT",INDEX('Margin Guidence Table'!$A$1:$AG$10000,MATCH(1,('Margin Guidence Table'!$A$1:$A$10000=IU25)*('Margin Guidence Table'!$I$1:$I$10000&lt;=ROUND($IM$3,0))*('Margin Guidence Table'!$J$1:$J$10000&gt;=ROUND($IM$3,0)),0),MATCH("CIA_MEDIAN_MARGIN_GUIDENCE",'Margin Guidence Table'!$A$1:$AG$1,0)),INDEX('Margin Guidence Table'!$A$1:$AG$10000,MATCH(1,('Margin Guidence Table'!$A$1:$A$10000=IU25)*('Margin Guidence Table'!$I$1:$I$10000&lt;=ROUND($IM$3,0))*('Margin Guidence Table'!$J$1:$J$10000&gt;=ROUND($IM$3,0)),0),MATCH("DEFAULT_CIA_MEDIAN_MARGIN_GUIDENCE",'Margin Guidence Table'!$A$1:$AG$1,0))),0)))</f>
        <v>0</v>
      </c>
      <c r="JF25" s="126"/>
      <c r="JG25" s="18">
        <f t="array" ref="JG25">IF('Customer Inputs'!$W$15="End",0,IFERROR(IF($JT25="SEGMENT",INDEX('Margin Guidence Table'!$A$1:$AG$10000,MATCH(1,('Margin Guidence Table'!$A$1:$A$10000=$JR25)*('Margin Guidence Table'!$I$1:$I$10000&lt;=ROUND($JJ$3,0))*('Margin Guidence Table'!$J$1:$J$10000&gt;=ROUND($JJ$3,0)),0),MATCH("PCT_SALES",'Margin Guidence Table'!$A$1:$AG$1,0)),INDEX('Margin Guidence Table'!$A$1:$AG$10000,MATCH(1,('Margin Guidence Table'!$A$1:$A$10000=$JR25)*('Margin Guidence Table'!$I$1:$I$10000&lt;=ROUND($JJ$3,0))*('Margin Guidence Table'!$J$1:$J$10000&gt;=ROUND($JJ$3,0)),0),MATCH("DEFAULT_PCT_SALES",'Margin Guidence Table'!$A$1:$AG$1,0))),0))</f>
        <v>0</v>
      </c>
      <c r="JH25" s="297" t="e">
        <f t="shared" si="50"/>
        <v>#DIV/0!</v>
      </c>
      <c r="JI25" s="99" t="s">
        <v>93</v>
      </c>
      <c r="JJ25" s="91">
        <f>IF('Customer Inputs'!$W$15="End",0,IFERROR(IF(AND($JJ$2&lt;&gt;"Enter Spend&gt;&gt;&gt;",$JK$2="EXISTING"),SUMIFS('Existing Customers'!$Q:$Q,'Existing Customers'!$A:$A,$JJ$1,'Existing Customers'!$H:$H,$JI25)*$JJ$4,$JJ$3*$JH25),0))</f>
        <v>0</v>
      </c>
      <c r="JK25" s="86">
        <f>IF('Customer Inputs'!$W$15="End",0,IFERROR(IF(AND($JJ$2&lt;&gt;"Enter Spend&gt;&gt;&gt;",$JK$2="EXISTING"),SUMIFS('Existing Customers'!$N:$N,'Existing Customers'!$A:$A,$JJ$1,'Existing Customers'!$H:$H,$JI25)*$JJ$4,$JJ25/$JU25),0))</f>
        <v>0</v>
      </c>
      <c r="JL25" s="92">
        <f>IF('Customer Inputs'!$W$15="End",0,IFERROR(IF(AND($JJ$2&lt;&gt;"Enter Spend&gt;&gt;&gt;",$JK$2="EXISTING"),SUMIFS('Existing Customers'!$O:$O,'Existing Customers'!$H:$H,$JI25,'Existing Customers'!$A:$A,$JJ$1)*$JJ$4,$JK25*$JJ$8),0))</f>
        <v>0</v>
      </c>
      <c r="JM25" s="92">
        <f>IF('Customer Inputs'!$W$15="End",0,IFERROR(IF(AND($JJ$2&lt;&gt;"Enter Spend&gt;&gt;&gt;",$JK$2="EXISTING"),SUMIFS('Existing Customers'!$P:$P,'Existing Customers'!$A:$A,$JJ$1,'Existing Customers'!$H:$H,$JI25)*$JJ$4,$JJ25/$JV25),0))</f>
        <v>0</v>
      </c>
      <c r="JN25" s="303">
        <f>IF('Customer Inputs'!$W$15="End",0,IFERROR(IF(AND($JJ$2&lt;&gt;"Enter Spend&gt;&gt;&gt;",$JK$2="EXISTING"),SUMIFS('Existing Customers'!$V:$V,'Existing Customers'!$H:$H,$JI25,'Existing Customers'!$A:$A,$JJ$1)*$JJ$4,0),0))</f>
        <v>0</v>
      </c>
      <c r="JO25" s="93">
        <f>IF('Customer Inputs'!$W$15="End",0,IFERROR(IF(AND($JJ$2&lt;&gt;"Enter Spend&gt;&gt;&gt;",$JK$2="EXISTING"),SUMIFS('Existing Customers'!$R:$R,'Existing Customers'!$H:$H,$JI25,'Existing Customers'!$A:$A,$JJ$1)*$JJ$4,0),0))</f>
        <v>0</v>
      </c>
      <c r="JP25" s="780">
        <f>IF('Customer Inputs'!$W$15="End",0,IFERROR(IF(AND($JJ$2&lt;&gt;"Enter Spend&gt;&gt;&gt;",$JK$2="EXISTING"),SUMIFS('Existing Customers'!$S:$S,'Existing Customers'!$H:$H,$JI25,'Existing Customers'!$A:$A,$JJ$1)/SUMIFS('Existing Customers'!$Q:$Q,'Existing Customers'!$A:$A,$JJ$1,'Existing Customers'!$H:$H,$JI25),JZ25),0))</f>
        <v>0</v>
      </c>
      <c r="JQ25" s="780">
        <f>IF('Customer Inputs'!$W$15="End",0,IFERROR(IF(AND($JJ$2&lt;&gt;"Enter Spend&gt;&gt;&gt;",$JK$2="EXISTING"),SUMIFS('Existing Customers'!$U:$U,'Existing Customers'!$H:$H,$JI25,'Existing Customers'!$A:$A,$JJ$1)/SUMIFS('Existing Customers'!$Q:$Q,'Existing Customers'!$A:$A,$JJ$1,'Existing Customers'!$H:$H,$JI25),KA25),0))</f>
        <v>0</v>
      </c>
      <c r="JR25" s="783" t="e">
        <f>_xlfn.CONCAT('Customer Inputs'!$AH$15,"_",JI25)</f>
        <v>#N/A</v>
      </c>
      <c r="JS25" s="783">
        <f t="array" ref="JS25">IF('Customer Inputs'!$W$15="End",0,IFERROR(INDEX('Margin Guidence Table'!$A$1:$AG$10000,MATCH(1,('Margin Guidence Table'!$A$1:$A$10000=JR25)*('Margin Guidence Table'!$I$1:$I$10000&lt;=ROUND($JJ$3,0))*('Margin Guidence Table'!$J$1:$J$10000&gt;=ROUND($JJ$3,0)),0),MATCH("DATA_POINTS",'Margin Guidence Table'!$A$1:$AG$1,0)),0))</f>
        <v>0</v>
      </c>
      <c r="JT25" s="780" t="str">
        <f t="shared" si="51"/>
        <v>DEFAULT</v>
      </c>
      <c r="JU25" s="780">
        <f t="array" ref="JU25">IF('Customer Inputs'!$W$15="End",0,IFERROR(IF($JT25="SEGMENT",INDEX('Margin Guidence Table'!$A$1:$AG$10000,MATCH(1,('Margin Guidence Table'!$A$1:$A$10000=JR25)*('Margin Guidence Table'!$I$1:$I$10000&lt;=ROUND($JJ$3,0))*('Margin Guidence Table'!$J$1:$J$10000&gt;=ROUND($JJ$3,0)),0),MATCH("SALES_CASE",'Margin Guidence Table'!$A$1:$AG$1,0)),INDEX('Margin Guidence Table'!$A$1:$AG$10000,MATCH(1,('Margin Guidence Table'!$A$1:$A$10000=JR25)*('Margin Guidence Table'!$I$1:$I$10000&lt;=ROUND($JJ$3,0))*('Margin Guidence Table'!$J$1:$J$10000&gt;=ROUND($JJ$3,0)),0),MATCH("DEFAULT_SALES_CASE",'Margin Guidence Table'!$A$1:$AG$1,0))),0))</f>
        <v>0</v>
      </c>
      <c r="JV25" s="780">
        <f t="array" ref="JV25">IF('Customer Inputs'!$W$15="End",0,IFERROR(IF($JT25="SEGMENT",INDEX('Margin Guidence Table'!$A$1:$AG$10000,MATCH(1,('Margin Guidence Table'!$A$1:$A$10000=JR25)*('Margin Guidence Table'!$I$1:$I$10000&lt;=ROUND($JJ$3,0))*('Margin Guidence Table'!$J$1:$J$10000&gt;=ROUND($JJ$3,0)),0),MATCH("SALES_LBS",'Margin Guidence Table'!$A$1:$AG$1,0)),INDEX('Margin Guidence Table'!$A$1:$AG$10000,MATCH(1,('Margin Guidence Table'!$A$1:$A$10000=JR25)*('Margin Guidence Table'!$I$1:$I$10000&lt;=ROUND($JJ$3,0))*('Margin Guidence Table'!$J$1:$J$10000&gt;=ROUND($JJ$3,0)),0),MATCH("DEFAULT_SALES_LBS",'Margin Guidence Table'!$A$1:$AG$1,0))),0))</f>
        <v>0</v>
      </c>
      <c r="JW25" s="784">
        <f t="array" ref="JW25">IF('Customer Inputs'!$W$15="End",0,IFERROR(IF($JT25="SEGMENT",INDEX('Margin Guidence Table'!$A$1:$AG$10000,MATCH(1,('Margin Guidence Table'!$A$1:$A$10000=JR25)*('Margin Guidence Table'!$I$1:$I$10000&lt;=ROUND($JJ$3,0))*('Margin Guidence Table'!$J$1:$J$10000&gt;=ROUND($JJ$3,0)),0),MATCH("MDA_MIN_MARGIN_GUIDENCE",'Margin Guidence Table'!$A$1:$AG$1,0)),INDEX('Margin Guidence Table'!$A$1:$AG$10000,MATCH(1,('Margin Guidence Table'!$A$1:$A$10000=JR25)*('Margin Guidence Table'!$I$1:$I$10000&lt;=ROUND($JJ$3,0))*('Margin Guidence Table'!$J$1:$J$10000&gt;=ROUND($JJ$3,0)),0),MATCH("DEFAULT_MDA_MIN_MARGIN_GUIDENCE",'Margin Guidence Table'!$A$1:$AG$1,0))),0))</f>
        <v>0</v>
      </c>
      <c r="JX25" s="784">
        <f t="array" ref="JX25">IF('Customer Inputs'!$W$15="End",0,IFERROR(IF($JT25="SEGMENT",INDEX('Margin Guidence Table'!$A$1:$AG$10000,MATCH(1,('Margin Guidence Table'!$A$1:$A$10000=JR25)*('Margin Guidence Table'!$I$1:$I$10000&lt;=ROUND($JJ$3,0))*('Margin Guidence Table'!$J$1:$J$10000&gt;=ROUND($JJ$3,0)),0),MATCH("MDA_MEDIAN_MARGIN_GUIDENCE",'Margin Guidence Table'!$A$1:$AG$1,0)),INDEX('Margin Guidence Table'!$A$1:$AG$10000,MATCH(1,('Margin Guidence Table'!$A$1:$A$10000=JR25)*('Margin Guidence Table'!$I$1:$I$10000&lt;=ROUND($JJ$3,0))*('Margin Guidence Table'!$J$1:$J$10000&gt;=ROUND($JJ$3,0)),0),MATCH("DEFAULT_MDA_MEDIAN_MARGIN_GUIDENCE",'Margin Guidence Table'!$A$1:$AG$1,0))),0))</f>
        <v>0</v>
      </c>
      <c r="JY25" s="784">
        <f t="array" ref="JY25">IF('Customer Inputs'!$W$15="End",0,IFERROR(IF($JT25="SEGMENT",INDEX('Margin Guidence Table'!$A$1:$AG$10000,MATCH(1,('Margin Guidence Table'!$A$1:$A$10000=JR25)*('Margin Guidence Table'!$I$1:$I$10000&lt;=ROUND($JJ$3,0))*('Margin Guidence Table'!$J$1:$J$10000&gt;=ROUND($JJ$3,0)),0),MATCH("MDA_MAX_MARGIN_GUIDENCE",'Margin Guidence Table'!$A$1:$AG$1,0)),INDEX('Margin Guidence Table'!$A$1:$AG$10000,MATCH(1,('Margin Guidence Table'!$A$1:$A$10000=JR25)*('Margin Guidence Table'!$I$1:$I$10000&lt;=ROUND($JJ$3,0))*('Margin Guidence Table'!$J$1:$J$10000&gt;=ROUND($JJ$3,0)),0),MATCH("DEFAULT_MDA_MAX_MARGIN_GUIDENCE",'Margin Guidence Table'!$A$1:$AG$1,0))),0))</f>
        <v>0</v>
      </c>
      <c r="JZ25" s="784">
        <f t="array" ref="JZ25">IF('Customer Inputs'!$W$15="End",0,IFERROR(IF($JT25="SEGMENT",INDEX('Margin Guidence Table'!$A$1:$AG$10000,MATCH(1,('Margin Guidence Table'!$A$1:$A$10000=JR25)*('Margin Guidence Table'!$I$1:$I$10000&lt;=ROUND($JJ$3,0))*('Margin Guidence Table'!$J$1:$J$10000&gt;=ROUND($JJ$3,0)),0),MATCH("PA_PCT_SALES",'Margin Guidence Table'!$A$1:$AG$1,0)),INDEX('Margin Guidence Table'!$A$1:$AG$10000,MATCH(1,('Margin Guidence Table'!$A$1:$A$10000=JR25)*('Margin Guidence Table'!$I$1:$I$10000&lt;=ROUND($JJ$3,0))*('Margin Guidence Table'!$J$1:$J$10000&gt;=ROUND($JJ$3,0)),0),MATCH("DEFAULT_PA_PCT_SALES",'Margin Guidence Table'!$A$1:$AG$1,0))),0))</f>
        <v>0</v>
      </c>
      <c r="KA25" s="784" cm="1">
        <f t="array" ref="KA25">IF('Customer Inputs'!$W$15="End",0,IFERROR(IF($JT25="SEGMENT",INDEX('Margin Guidence Table'!$A$1:$AG$10000,MATCH(1,('Margin Guidence Table'!$A$1:$A$10000=JR25)*('Margin Guidence Table'!$I$1:$I$10000&lt;=ROUND($JJ$3,0))*('Margin Guidence Table'!$J$1:$J$10000&gt;=ROUND($JJ$3,0)),0),MATCH("SELF_FUND_PCT_SALES",'Margin Guidence Table'!$A$1:$AG$1,0)),INDEX('Margin Guidence Table'!$A$1:$AG$10000,MATCH(1,('Margin Guidence Table'!$A$1:$A$10000=JR25)*('Margin Guidence Table'!$I$1:$I$10000&lt;=ROUND($JJ$3,0))*('Margin Guidence Table'!$J$1:$J$10000&gt;=ROUND($JJ$3,0)),0),MATCH("DEFAULT_SELF_FUND_PCT_SALES",'Margin Guidence Table'!$A$1:$AG$1,0))),0))</f>
        <v>0</v>
      </c>
      <c r="KB25" s="784">
        <f t="array" ref="KB25">IF('Customer Inputs'!$W$15="End",0,IF($JK$2="Existing",IFERROR(SUMIFS('Existing Customers'!$V:$V,'Existing Customers'!$H:$H,$JI25,'Existing Customers'!$A:$A,$JJ$1)/SUMIFS('Existing Customers'!$Q:$Q,'Existing Customers'!$H:$H,$JI25,'Existing Customers'!$A:$A,$JJ$1),0),IFERROR(IF($JT25="SEGMENT",INDEX('Margin Guidence Table'!$A$1:$AG$10000,MATCH(1,('Margin Guidence Table'!$A$1:$A$10000=JR25)*('Margin Guidence Table'!$I$1:$I$10000&lt;=ROUND($JJ$3,0))*('Margin Guidence Table'!$J$1:$J$10000&gt;=ROUND($JJ$3,0)),0),MATCH("CIA_MEDIAN_MARGIN_GUIDENCE",'Margin Guidence Table'!$A$1:$AG$1,0)),INDEX('Margin Guidence Table'!$A$1:$AG$10000,MATCH(1,('Margin Guidence Table'!$A$1:$A$10000=JR25)*('Margin Guidence Table'!$I$1:$I$10000&lt;=ROUND($JJ$3,0))*('Margin Guidence Table'!$J$1:$J$10000&gt;=ROUND($JJ$3,0)),0),MATCH("DEFAULT_CIA_MEDIAN_MARGIN_GUIDENCE",'Margin Guidence Table'!$A$1:$AG$1,0))),0)))</f>
        <v>0</v>
      </c>
      <c r="KC25" s="784"/>
      <c r="KD25" s="18">
        <f t="array" ref="KD25">IF('Customer Inputs'!$W$16="End",0,IFERROR(IF($KQ25="SEGMENT",INDEX('Margin Guidence Table'!$A$1:$AG$10000,MATCH(1,('Margin Guidence Table'!$A$1:$A$10000=$KO25)*('Margin Guidence Table'!$I$1:$I$10000&lt;=ROUND($KG$3,0))*('Margin Guidence Table'!$J$1:$J$10000&gt;=ROUND($KG$3,0)),0),MATCH("PCT_SALES",'Margin Guidence Table'!$A$1:$AG$1,0)),INDEX('Margin Guidence Table'!$A$1:$AG$10000,MATCH(1,('Margin Guidence Table'!$A$1:$A$10000=$KO25)*('Margin Guidence Table'!$I$1:$I$10000&lt;=ROUND($KG$3,0))*('Margin Guidence Table'!$J$1:$J$10000&gt;=ROUND($KG$3,0)),0),MATCH("DEFAULT_PCT_SALES",'Margin Guidence Table'!$A$1:$AG$1,0))),0))</f>
        <v>0</v>
      </c>
      <c r="KE25" s="1713" t="e">
        <f t="shared" si="52"/>
        <v>#DIV/0!</v>
      </c>
      <c r="KF25" s="99" t="s">
        <v>93</v>
      </c>
      <c r="KG25" s="91">
        <f>IF('Customer Inputs'!$W$16="End",0,IFERROR(IF(AND($KG$2&lt;&gt;"Enter Spend&gt;&gt;&gt;",$KH$2="EXISTING"),SUMIFS('Existing Customers'!$Q:$Q,'Existing Customers'!$A:$A,$KG$1,'Existing Customers'!$H:$H,$KF25)*$KG$4,$KG$3*$KE25),0))</f>
        <v>0</v>
      </c>
      <c r="KH25" s="86">
        <f>IF('Customer Inputs'!$W$16="End",0,IFERROR(IF(AND($KG$2&lt;&gt;"Enter Spend&gt;&gt;&gt;",$KH$2="EXISTING"),SUMIFS('Existing Customers'!$N:$N,'Existing Customers'!$A:$A,$KG$1,'Existing Customers'!$H:$H,$KF25)*$KG$4,$KG25/$KR25),0))</f>
        <v>0</v>
      </c>
      <c r="KI25" s="92">
        <f>IF('Customer Inputs'!$W$16="End",0,IFERROR(IF(AND($KG$2&lt;&gt;"Enter Spend&gt;&gt;&gt;",$KH$2="EXISTING"),SUMIFS('Existing Customers'!$O:$O,'Existing Customers'!$H:$H,$KF25,'Existing Customers'!$A:$A,$KG$1)*$KG$4,$KH25*$KG$8),0))</f>
        <v>0</v>
      </c>
      <c r="KJ25" s="92">
        <f>IF('Customer Inputs'!$W$16="End",0,IFERROR(IF(AND($KG$2&lt;&gt;"Enter Spend&gt;&gt;&gt;",$KH$2="EXISTING"),SUMIFS('Existing Customers'!$P:$P,'Existing Customers'!$A:$A,$KG$1,'Existing Customers'!$H:$H,$KF25)*$KG$4,$KG25/$KS25),0))</f>
        <v>0</v>
      </c>
      <c r="KK25" s="303">
        <f>IF('Customer Inputs'!$W$16="End",0,IFERROR(IF(AND($KG$2&lt;&gt;"Enter Spend&gt;&gt;&gt;",$KH$2="EXISTING"),SUMIFS('Existing Customers'!$V:$V,'Existing Customers'!$H:$H,$KF25,'Existing Customers'!$A:$A,$KG$1)*$KG$4,0),0))</f>
        <v>0</v>
      </c>
      <c r="KL25" s="93">
        <f>IF('Customer Inputs'!$W$16="End",0,IFERROR(IF(AND($KG$2&lt;&gt;"Enter Spend&gt;&gt;&gt;",$KH$2="EXISTING"),SUMIFS('Existing Customers'!$R:$R,'Existing Customers'!$H:$H,$KF25,'Existing Customers'!$A:$A,$KG$1)*$KG$4,0),0))</f>
        <v>0</v>
      </c>
      <c r="KM25" s="780">
        <f>IF('Customer Inputs'!$W$16="End",0,IFERROR(IF(AND($KG$2&lt;&gt;"Enter Spend&gt;&gt;&gt;",$KH$2="EXISTING"),SUMIFS('Existing Customers'!$S:$S,'Existing Customers'!$H:$H,$KF25,'Existing Customers'!$A:$A,$KG$1)/SUMIFS('Existing Customers'!$Q:$Q,'Existing Customers'!$A:$A,$KG$1,'Existing Customers'!$H:$H,$KF25),KW25),0))</f>
        <v>0</v>
      </c>
      <c r="KN25" s="780">
        <f>IF('Customer Inputs'!$W$16="End",0,IFERROR(IF(AND($KG$2&lt;&gt;"Enter Spend&gt;&gt;&gt;",$KH$2="EXISTING"),SUMIFS('Existing Customers'!$U:$U,'Existing Customers'!$H:$H,$KF25,'Existing Customers'!$A:$A,$KG$1)/SUMIFS('Existing Customers'!$Q:$Q,'Existing Customers'!$A:$A,$KG$1,'Existing Customers'!$H:$H,$KF25),KX25),0))</f>
        <v>0</v>
      </c>
      <c r="KO25" s="783" t="e">
        <f>_xlfn.CONCAT('Customer Inputs'!$AH$16,"_",KF25)</f>
        <v>#N/A</v>
      </c>
      <c r="KP25" s="783">
        <f t="array" ref="KP25">IF('Customer Inputs'!$W$16="End",0,IFERROR(INDEX('Margin Guidence Table'!$A$1:$AG$10000,MATCH(1,('Margin Guidence Table'!$A$1:$A$10000=KO25)*('Margin Guidence Table'!$I$1:$I$10000&lt;=ROUND($KG$3,0))*('Margin Guidence Table'!$J$1:$J$10000&gt;=ROUND($KG$3,0)),0),MATCH("DATA_POINTS",'Margin Guidence Table'!$A$1:$AG$1,0)),0))</f>
        <v>0</v>
      </c>
      <c r="KQ25" s="780" t="str">
        <f t="shared" si="53"/>
        <v>DEFAULT</v>
      </c>
      <c r="KR25" s="780">
        <f t="array" ref="KR25">IF('Customer Inputs'!$W$16="End",0,IFERROR(IF($KQ25="SEGMENT",INDEX('Margin Guidence Table'!$A$1:$AG$10000,MATCH(1,('Margin Guidence Table'!$A$1:$A$10000=KO25)*('Margin Guidence Table'!$I$1:$I$10000&lt;=ROUND($KG$3,0))*('Margin Guidence Table'!$J$1:$J$10000&gt;=ROUND($KG$3,0)),0),MATCH("SALES_CASE",'Margin Guidence Table'!$A$1:$AG$1,0)),INDEX('Margin Guidence Table'!$A$1:$AG$10000,MATCH(1,('Margin Guidence Table'!$A$1:$A$10000=KO25)*('Margin Guidence Table'!$I$1:$I$10000&lt;=ROUND($KG$3,0))*('Margin Guidence Table'!$J$1:$J$10000&gt;=ROUND($KG$3,0)),0),MATCH("DEFAULT_SALES_CASE",'Margin Guidence Table'!$A$1:$AG$1,0))),0))</f>
        <v>0</v>
      </c>
      <c r="KS25" s="780">
        <f t="array" ref="KS25">IF('Customer Inputs'!$W$16="End",0,IFERROR(IF($KQ25="SEGMENT",INDEX('Margin Guidence Table'!$A$1:$AG$10000,MATCH(1,('Margin Guidence Table'!$A$1:$A$10000=KO25)*('Margin Guidence Table'!$I$1:$I$10000&lt;=ROUND($KG$3,0))*('Margin Guidence Table'!$J$1:$J$10000&gt;=ROUND($KG$3,0)),0),MATCH("SALES_LBS",'Margin Guidence Table'!$A$1:$AG$1,0)),INDEX('Margin Guidence Table'!$A$1:$AG$10000,MATCH(1,('Margin Guidence Table'!$A$1:$A$10000=KO25)*('Margin Guidence Table'!$I$1:$I$10000&lt;=ROUND($KG$3,0))*('Margin Guidence Table'!$J$1:$J$10000&gt;=ROUND($KG$3,0)),0),MATCH("DEFAULT_SALES_LBS",'Margin Guidence Table'!$A$1:$AG$1,0))),0))</f>
        <v>0</v>
      </c>
      <c r="KT25" s="784">
        <f t="array" ref="KT25">IF('Customer Inputs'!$W$16="End",0,IFERROR(IF($KQ25="SEGMENT",INDEX('Margin Guidence Table'!$A$1:$AG$10000,MATCH(1,('Margin Guidence Table'!$A$1:$A$10000=KO25)*('Margin Guidence Table'!$I$1:$I$10000&lt;=ROUND($KG$3,0))*('Margin Guidence Table'!$J$1:$J$10000&gt;=ROUND($KG$3,0)),0),MATCH("MDA_MIN_MARGIN_GUIDENCE",'Margin Guidence Table'!$A$1:$AG$1,0)),INDEX('Margin Guidence Table'!$A$1:$AG$10000,MATCH(1,('Margin Guidence Table'!$A$1:$A$10000=KO25)*('Margin Guidence Table'!$I$1:$I$10000&lt;=ROUND($KG$3,0))*('Margin Guidence Table'!$J$1:$J$10000&gt;=ROUND($KG$3,0)),0),MATCH("DEFAULT_MDA_MIN_MARGIN_GUIDENCE",'Margin Guidence Table'!$A$1:$AG$1,0))),0))</f>
        <v>0</v>
      </c>
      <c r="KU25" s="784">
        <f t="array" ref="KU25">IF('Customer Inputs'!$W$16="End",0,IFERROR(IF($KQ25="SEGMENT",INDEX('Margin Guidence Table'!$A$1:$AG$10000,MATCH(1,('Margin Guidence Table'!$A$1:$A$10000=KO25)*('Margin Guidence Table'!$I$1:$I$10000&lt;=ROUND($KG$3,0))*('Margin Guidence Table'!$J$1:$J$10000&gt;=ROUND($KG$3,0)),0),MATCH("MDA_MEDIAN_MARGIN_GUIDENCE",'Margin Guidence Table'!$A$1:$AG$1,0)),INDEX('Margin Guidence Table'!$A$1:$AG$10000,MATCH(1,('Margin Guidence Table'!$A$1:$A$10000=KO25)*('Margin Guidence Table'!$I$1:$I$10000&lt;=ROUND($KG$3,0))*('Margin Guidence Table'!$J$1:$J$10000&gt;=ROUND($KG$3,0)),0),MATCH("DEFAULT_MDA_MEDIAN_MARGIN_GUIDENCE",'Margin Guidence Table'!$A$1:$AG$1,0))),0))</f>
        <v>0</v>
      </c>
      <c r="KV25" s="784">
        <f t="array" ref="KV25">IF('Customer Inputs'!$W$16="End",0,IFERROR(IF($KQ25="SEGMENT",INDEX('Margin Guidence Table'!$A$1:$AG$10000,MATCH(1,('Margin Guidence Table'!$A$1:$A$10000=KO25)*('Margin Guidence Table'!$I$1:$I$10000&lt;=ROUND($KG$3,0))*('Margin Guidence Table'!$J$1:$J$10000&gt;=ROUND($KG$3,0)),0),MATCH("MDA_MAX_MARGIN_GUIDENCE",'Margin Guidence Table'!$A$1:$AG$1,0)),INDEX('Margin Guidence Table'!$A$1:$AG$10000,MATCH(1,('Margin Guidence Table'!$A$1:$A$10000=KO25)*('Margin Guidence Table'!$I$1:$I$10000&lt;=ROUND($KG$3,0))*('Margin Guidence Table'!$J$1:$J$10000&gt;=ROUND($KG$3,0)),0),MATCH("DEFAULT_MDA_MAX_MARGIN_GUIDENCE",'Margin Guidence Table'!$A$1:$AG$1,0))),0))</f>
        <v>0</v>
      </c>
      <c r="KW25" s="784">
        <f t="array" ref="KW25">IF('Customer Inputs'!$W$16="End",0,IFERROR(IF($KQ25="SEGMENT",INDEX('Margin Guidence Table'!$A$1:$AG$10000,MATCH(1,('Margin Guidence Table'!$A$1:$A$10000=KO25)*('Margin Guidence Table'!$I$1:$I$10000&lt;=ROUND($KG$3,0))*('Margin Guidence Table'!$J$1:$J$10000&gt;=ROUND($KG$3,0)),0),MATCH("PA_PCT_SALES",'Margin Guidence Table'!$A$1:$AG$1,0)),INDEX('Margin Guidence Table'!$A$1:$AG$10000,MATCH(1,('Margin Guidence Table'!$A$1:$A$10000=KO25)*('Margin Guidence Table'!$I$1:$I$10000&lt;=ROUND($KG$3,0))*('Margin Guidence Table'!$J$1:$J$10000&gt;=ROUND($KG$3,0)),0),MATCH("DEFAULT_PA_PCT_SALES",'Margin Guidence Table'!$A$1:$AG$1,0))),0))</f>
        <v>0</v>
      </c>
      <c r="KX25" s="784">
        <f t="array" ref="KX25">IF('Customer Inputs'!$W$16="End",0,IFERROR(IF($KQ25="SEGMENT",INDEX('Margin Guidence Table'!$A$1:$AG$10000,MATCH(1,('Margin Guidence Table'!$A$1:$A$10000=KO25)*('Margin Guidence Table'!$I$1:$I$10000&lt;=ROUND($KG$3,0))*('Margin Guidence Table'!$J$1:$J$10000&gt;=ROUND($KG$3,0)),0),MATCH("SELF_FUND_PCT_SALES",'Margin Guidence Table'!$A$1:$AG$1,0)),INDEX('Margin Guidence Table'!$A$1:$AG$10000,MATCH(1,('Margin Guidence Table'!$A$1:$A$10000=KO25)*('Margin Guidence Table'!$I$1:$I$10000&lt;=ROUND($KG$3,0))*('Margin Guidence Table'!$J$1:$J$10000&gt;=ROUND($KG$3,0)),0),MATCH("DEFAULT_SELF_FUND_PCT_SALES",'Margin Guidence Table'!$A$1:$AG$1,0))),0))</f>
        <v>0</v>
      </c>
      <c r="KY25" s="784">
        <f t="array" ref="KY25">IF('Customer Inputs'!$W$16="End",0,IF($KH$2="Existing",IFERROR(SUMIFS('Existing Customers'!$V:$V,'Existing Customers'!$H:$H,$KF25,'Existing Customers'!$A:$A,$KG$1)/SUMIFS('Existing Customers'!$Q:$Q,'Existing Customers'!$H:$H,$KF25,'Existing Customers'!$A:$A,$KG$1),0),IFERROR(IF($KQ25="SEGMENT",INDEX('Margin Guidence Table'!$A$1:$AG$10000,MATCH(1,('Margin Guidence Table'!$A$1:$A$10000=KO25)*('Margin Guidence Table'!$I$1:$I$10000&lt;=ROUND($KG$3,0))*('Margin Guidence Table'!$J$1:$J$10000&gt;=ROUND($KG$3,0)),0),MATCH("CIA_MEDIAN_MARGIN_GUIDENCE",'Margin Guidence Table'!$A$1:$AG$1,0)),INDEX('Margin Guidence Table'!$A$1:$AG$10000,MATCH(1,('Margin Guidence Table'!$A$1:$A$10000=KO25)*('Margin Guidence Table'!$I$1:$I$10000&lt;=ROUND($KG$3,0))*('Margin Guidence Table'!$J$1:$J$10000&gt;=ROUND($KG$3,0)),0),MATCH("DEFAULT_CIA_MEDIAN_MARGIN_GUIDENCE",'Margin Guidence Table'!$A$1:$AG$1,0))),0)))</f>
        <v>0</v>
      </c>
      <c r="KZ25" s="784"/>
      <c r="LA25" s="18">
        <f t="array" ref="LA25">IF('Customer Inputs'!$W$17="End",0,IFERROR(IF($LN25="SEGMENT",INDEX('Margin Guidence Table'!$A$1:$AG$10000,MATCH(1,('Margin Guidence Table'!$A$1:$A$10000=$LL25)*('Margin Guidence Table'!$I$1:$I$10000&lt;=ROUND($LD$3,0))*('Margin Guidence Table'!$J$1:$J$10000&gt;=ROUND($LD$3,0)),0),MATCH("PCT_SALES",'Margin Guidence Table'!$A$1:$AG$1,0)),INDEX('Margin Guidence Table'!$A$1:$AG$10000,MATCH(1,('Margin Guidence Table'!$A$1:$A$10000=$LL25)*('Margin Guidence Table'!$I$1:$I$10000&lt;=ROUND($LD$3,0))*('Margin Guidence Table'!$J$1:$J$10000&gt;=ROUND($LD$3,0)),0),MATCH("DEFAULT_PCT_SALES",'Margin Guidence Table'!$A$1:$AG$1,0))),0))</f>
        <v>0</v>
      </c>
      <c r="LB25" s="1713" t="e">
        <f t="shared" si="54"/>
        <v>#DIV/0!</v>
      </c>
      <c r="LC25" s="99" t="s">
        <v>93</v>
      </c>
      <c r="LD25" s="91">
        <f>IF('Customer Inputs'!$W$17="End",0,IFERROR(IF(AND($LD$2&lt;&gt;"Enter Spend&gt;&gt;&gt;",$LE$2="EXISTING"),SUMIFS('Existing Customers'!$Q:$Q,'Existing Customers'!$A:$A,$LD$1,'Existing Customers'!$H:$H,$LC25)*$LD$4,$LD$3*$LB25),0))</f>
        <v>0</v>
      </c>
      <c r="LE25" s="86">
        <f>IF('Customer Inputs'!$W$17="End",0,IFERROR(IF(AND($LD$2&lt;&gt;"Enter Spend&gt;&gt;&gt;",$LE$2="EXISTING"),SUMIFS('Existing Customers'!$N:$N,'Existing Customers'!$A:$A,$LD$1,'Existing Customers'!$H:$H,$LC25)*$LD$4,$LD25/$LO25),0))</f>
        <v>0</v>
      </c>
      <c r="LF25" s="92">
        <f>IF('Customer Inputs'!$W$17="End",0,IFERROR(IF(AND($LD$2&lt;&gt;"Enter Spend&gt;&gt;&gt;",$LE$2="EXISTING"),SUMIFS('Existing Customers'!$O:$O,'Existing Customers'!$H:$H,$LC25,'Existing Customers'!$A:$A,$LD$1)*$LD$4,$LE25*$LD$8),0))</f>
        <v>0</v>
      </c>
      <c r="LG25" s="92">
        <f>IF('Customer Inputs'!$W$17="End",0,IFERROR(IF(AND($LD$2&lt;&gt;"Enter Spend&gt;&gt;&gt;",$LE$2="EXISTING"),SUMIFS('Existing Customers'!$P:$P,'Existing Customers'!$A:$A,$LD$1,'Existing Customers'!$H:$H,$LC25)*$LD$4,$LD25/$LP25),0))</f>
        <v>0</v>
      </c>
      <c r="LH25" s="303">
        <f>IF('Customer Inputs'!$W$17="End",0,IFERROR(IF(AND($LD$2&lt;&gt;"Enter Spend&gt;&gt;&gt;",$LE$2="EXISTING"),SUMIFS('Existing Customers'!$V:$V,'Existing Customers'!$H:$H,$LC25,'Existing Customers'!$A:$A,$LD$1)*$LD$4,0),0))</f>
        <v>0</v>
      </c>
      <c r="LI25" s="93">
        <f>IF('Customer Inputs'!$W$17="End",0,IFERROR(IF(AND($LD$2&lt;&gt;"Enter Spend&gt;&gt;&gt;",$LE$2="EXISTING"),SUMIFS('Existing Customers'!$R:$R,'Existing Customers'!$H:$H,$LC25,'Existing Customers'!$A:$A,$LD$1)*$LD$4,0),0))</f>
        <v>0</v>
      </c>
      <c r="LJ25" s="780">
        <f>IF('Customer Inputs'!$W$17="End",0,IFERROR(IF(AND($LD$2&lt;&gt;"Enter Spend&gt;&gt;&gt;",$LE$2="EXISTING"),SUMIFS('Existing Customers'!$S:$S,'Existing Customers'!$H:$H,$LC25,'Existing Customers'!$A:$A,$LD$1)/SUMIFS('Existing Customers'!$Q:$Q,'Existing Customers'!$A:$A,$LD$1,'Existing Customers'!$H:$H,$LC25),LT25),0))</f>
        <v>0</v>
      </c>
      <c r="LK25" s="780">
        <f>IF('Customer Inputs'!$W$17="End",0,IFERROR(IF(AND($LD$2&lt;&gt;"Enter Spend&gt;&gt;&gt;",$LE$2="EXISTING"),SUMIFS('Existing Customers'!$U:$U,'Existing Customers'!$H:$H,$LC25,'Existing Customers'!$A:$A,$LD$1)/SUMIFS('Existing Customers'!$Q:$Q,'Existing Customers'!$A:$A,$LD$1,'Existing Customers'!$H:$H,$LC25),LU25),0))</f>
        <v>0</v>
      </c>
      <c r="LL25" s="783" t="e">
        <f>_xlfn.CONCAT('Customer Inputs'!$AH$17,"_",LC25)</f>
        <v>#N/A</v>
      </c>
      <c r="LM25" s="783">
        <f t="array" ref="LM25">IF('Customer Inputs'!$W$17="End",0,IFERROR(INDEX('Margin Guidence Table'!$A$1:$AG$10000,MATCH(1,('Margin Guidence Table'!$A$1:$A$10000=LL25)*('Margin Guidence Table'!$I$1:$I$10000&lt;=ROUND($LD$3,0))*('Margin Guidence Table'!$J$1:$J$10000&gt;=ROUND($LD$3,0)),0),MATCH("DATA_POINTS",'Margin Guidence Table'!$A$1:$AG$1,0)),0))</f>
        <v>0</v>
      </c>
      <c r="LN25" s="780" t="str">
        <f t="shared" si="55"/>
        <v>DEFAULT</v>
      </c>
      <c r="LO25" s="780">
        <f t="array" ref="LO25">IF('Customer Inputs'!$W$17="End",0,IFERROR(IF($LN25="SEGMENT",INDEX('Margin Guidence Table'!$A$1:$AG$10000,MATCH(1,('Margin Guidence Table'!$A$1:$A$10000=LL25)*('Margin Guidence Table'!$I$1:$I$10000&lt;=ROUND($LD$3,0))*('Margin Guidence Table'!$J$1:$J$10000&gt;=ROUND($LD$3,0)),0),MATCH("SALES_CASE",'Margin Guidence Table'!$A$1:$AG$1,0)),INDEX('Margin Guidence Table'!$A$1:$AG$10000,MATCH(1,('Margin Guidence Table'!$A$1:$A$10000=LL25)*('Margin Guidence Table'!$I$1:$I$10000&lt;=ROUND($LD$3,0))*('Margin Guidence Table'!$J$1:$J$10000&gt;=ROUND($LD$3,0)),0),MATCH("DEFAULT_SALES_CASE",'Margin Guidence Table'!$A$1:$AG$1,0))),0))</f>
        <v>0</v>
      </c>
      <c r="LP25" s="780">
        <f t="array" ref="LP25">IF('Customer Inputs'!$W$17="End",0,IFERROR(IF($LN25="SEGMENT",INDEX('Margin Guidence Table'!$A$1:$AG$10000,MATCH(1,('Margin Guidence Table'!$A$1:$A$10000=LL25)*('Margin Guidence Table'!$I$1:$I$10000&lt;=ROUND($LD$3,0))*('Margin Guidence Table'!$J$1:$J$10000&gt;=ROUND($LD$3,0)),0),MATCH("SALES_LBS",'Margin Guidence Table'!$A$1:$AG$1,0)),INDEX('Margin Guidence Table'!$A$1:$AG$10000,MATCH(1,('Margin Guidence Table'!$A$1:$A$10000=LL25)*('Margin Guidence Table'!$I$1:$I$10000&lt;=ROUND($LD$3,0))*('Margin Guidence Table'!$J$1:$J$10000&gt;=ROUND($LD$3,0)),0),MATCH("DEFAULT_SALES_LBS",'Margin Guidence Table'!$A$1:$AG$1,0))),0))</f>
        <v>0</v>
      </c>
      <c r="LQ25" s="784">
        <f t="array" ref="LQ25">IF('Customer Inputs'!$W$17="End",0,IFERROR(IF($LN25="SEGMENT",INDEX('Margin Guidence Table'!$A$1:$AG$10000,MATCH(1,('Margin Guidence Table'!$A$1:$A$10000=LL25)*('Margin Guidence Table'!$I$1:$I$10000&lt;=ROUND($LD$3,0))*('Margin Guidence Table'!$J$1:$J$10000&gt;=ROUND($LD$3,0)),0),MATCH("MDA_MIN_MARGIN_GUIDENCE",'Margin Guidence Table'!$A$1:$AG$1,0)),INDEX('Margin Guidence Table'!$A$1:$AG$10000,MATCH(1,('Margin Guidence Table'!$A$1:$A$10000=LL25)*('Margin Guidence Table'!$I$1:$I$10000&lt;=ROUND($LD$3,0))*('Margin Guidence Table'!$J$1:$J$10000&gt;=ROUND($LD$3,0)),0),MATCH("DEFAULT_MDA_MIN_MARGIN_GUIDENCE",'Margin Guidence Table'!$A$1:$AG$1,0))),0))</f>
        <v>0</v>
      </c>
      <c r="LR25" s="784">
        <f t="array" ref="LR25">IF('Customer Inputs'!$W$17="End",0,IFERROR(IF($LN25="SEGMENT",INDEX('Margin Guidence Table'!$A$1:$AG$10000,MATCH(1,('Margin Guidence Table'!$A$1:$A$10000=LL25)*('Margin Guidence Table'!$I$1:$I$10000&lt;=ROUND($LD$3,0))*('Margin Guidence Table'!$J$1:$J$10000&gt;=ROUND($LD$3,0)),0),MATCH("MDA_MEDIAN_MARGIN_GUIDENCE",'Margin Guidence Table'!$A$1:$AG$1,0)),INDEX('Margin Guidence Table'!$A$1:$AG$10000,MATCH(1,('Margin Guidence Table'!$A$1:$A$10000=LL25)*('Margin Guidence Table'!$I$1:$I$10000&lt;=ROUND($LD$3,0))*('Margin Guidence Table'!$J$1:$J$10000&gt;=ROUND($LD$3,0)),0),MATCH("DEFAULT_MDA_MEDIAN_MARGIN_GUIDENCE",'Margin Guidence Table'!$A$1:$AG$1,0))),0))</f>
        <v>0</v>
      </c>
      <c r="LS25" s="784">
        <f t="array" ref="LS25">IF('Customer Inputs'!$W$17="End",0,IFERROR(IF($LN25="SEGMENT",INDEX('Margin Guidence Table'!$A$1:$AG$10000,MATCH(1,('Margin Guidence Table'!$A$1:$A$10000=LL25)*('Margin Guidence Table'!$I$1:$I$10000&lt;=ROUND($LD$3,0))*('Margin Guidence Table'!$J$1:$J$10000&gt;=ROUND($LD$3,0)),0),MATCH("MDA_MAX_MARGIN_GUIDENCE",'Margin Guidence Table'!$A$1:$AG$1,0)),INDEX('Margin Guidence Table'!$A$1:$AG$10000,MATCH(1,('Margin Guidence Table'!$A$1:$A$10000=LL25)*('Margin Guidence Table'!$I$1:$I$10000&lt;=ROUND($LD$3,0))*('Margin Guidence Table'!$J$1:$J$10000&gt;=ROUND($LD$3,0)),0),MATCH("DEFAULT_MDA_MAX_MARGIN_GUIDENCE",'Margin Guidence Table'!$A$1:$AG$1,0))),0))</f>
        <v>0</v>
      </c>
      <c r="LT25" s="784">
        <f t="array" ref="LT25">IF('Customer Inputs'!$W$17="End",0,IFERROR(IF($LN25="SEGMENT",INDEX('Margin Guidence Table'!$A$1:$AG$10000,MATCH(1,('Margin Guidence Table'!$A$1:$A$10000=LL25)*('Margin Guidence Table'!$I$1:$I$10000&lt;=ROUND($LD$3,0))*('Margin Guidence Table'!$J$1:$J$10000&gt;=ROUND($LD$3,0)),0),MATCH("PA_PCT_SALES",'Margin Guidence Table'!$A$1:$AG$1,0)),INDEX('Margin Guidence Table'!$A$1:$AG$10000,MATCH(1,('Margin Guidence Table'!$A$1:$A$10000=LL25)*('Margin Guidence Table'!$I$1:$I$10000&lt;=ROUND($LD$3,0))*('Margin Guidence Table'!$J$1:$J$10000&gt;=ROUND($LD$3,0)),0),MATCH("DEFAULT_PA_PCT_SALES",'Margin Guidence Table'!$A$1:$AG$1,0))),0))</f>
        <v>0</v>
      </c>
      <c r="LU25" s="784">
        <f t="array" ref="LU25">IF('Customer Inputs'!$W$17="End",0,IFERROR(IF($LN25="SEGMENT",INDEX('Margin Guidence Table'!$A$1:$AG$10000,MATCH(1,('Margin Guidence Table'!$A$1:$A$10000=LL25)*('Margin Guidence Table'!$I$1:$I$10000&lt;=ROUND($LD$3,0))*('Margin Guidence Table'!$J$1:$J$10000&gt;=ROUND($LD$3,0)),0),MATCH("SELF_FUND_PCT_SALES",'Margin Guidence Table'!$A$1:$AG$1,0)),INDEX('Margin Guidence Table'!$A$1:$AG$10000,MATCH(1,('Margin Guidence Table'!$A$1:$A$10000=LL25)*('Margin Guidence Table'!$I$1:$I$10000&lt;=ROUND($LD$3,0))*('Margin Guidence Table'!$J$1:$J$10000&gt;=ROUND($LD$3,0)),0),MATCH("DEFAULT_SELF_FUND_PCT_SALES",'Margin Guidence Table'!$A$1:$AG$1,0))),0))</f>
        <v>0</v>
      </c>
      <c r="LV25" s="784">
        <f t="array" ref="LV25">IF('Customer Inputs'!$W$17="End",0,IF($LE$2="Existing",IFERROR(SUMIFS('Existing Customers'!$V:$V,'Existing Customers'!$H:$H,$LC25,'Existing Customers'!$A:$A,$LD$1)/SUMIFS('Existing Customers'!$Q:$Q,'Existing Customers'!$H:$H,$LC25,'Existing Customers'!$A:$A,$LD$1),0),IFERROR(IF($LN25="SEGMENT",INDEX('Margin Guidence Table'!$A$1:$AG$10000,MATCH(1,('Margin Guidence Table'!$A$1:$A$10000=LL25)*('Margin Guidence Table'!$I$1:$I$10000&lt;=ROUND($LD$3,0))*('Margin Guidence Table'!$J$1:$J$10000&gt;=ROUND($LD$3,0)),0),MATCH("CIA_MEDIAN_MARGIN_GUIDENCE",'Margin Guidence Table'!$A$1:$AG$1,0)),INDEX('Margin Guidence Table'!$A$1:$AG$10000,MATCH(1,('Margin Guidence Table'!$A$1:$A$10000=LL25)*('Margin Guidence Table'!$I$1:$I$10000&lt;=ROUND($LD$3,0))*('Margin Guidence Table'!$J$1:$J$10000&gt;=ROUND($LD$3,0)),0),MATCH("DEFAULT_CIA_MEDIAN_MARGIN_GUIDENCE",'Margin Guidence Table'!$A$1:$AG$1,0))),0)))</f>
        <v>0</v>
      </c>
      <c r="LW25" s="784"/>
      <c r="LX25" s="18">
        <f t="array" ref="LX25">IF('Customer Inputs'!$W$18="End",0,IFERROR(IF($MK25="SEGMENT",INDEX('Margin Guidence Table'!$A$1:$AG$10000,MATCH(1,('Margin Guidence Table'!$A$1:$A$10000=$MI25)*('Margin Guidence Table'!$I$1:$I$10000&lt;=ROUND($MA$3,0))*('Margin Guidence Table'!$J$1:$J$10000&gt;=ROUND($MA$3,0)),0),MATCH("PCT_SALES",'Margin Guidence Table'!$A$1:$AG$1,0)),INDEX('Margin Guidence Table'!$A$1:$AG$10000,MATCH(1,('Margin Guidence Table'!$A$1:$A$10000=$MI25)*('Margin Guidence Table'!$I$1:$I$10000&lt;=ROUND($MA$3,0))*('Margin Guidence Table'!$J$1:$J$10000&gt;=ROUND($MA$3,0)),0),MATCH("DEFAULT_PCT_SALES",'Margin Guidence Table'!$A$1:$AG$1,0))),0))</f>
        <v>0</v>
      </c>
      <c r="LY25" s="1713" t="e">
        <f t="shared" si="56"/>
        <v>#DIV/0!</v>
      </c>
      <c r="LZ25" s="99" t="s">
        <v>93</v>
      </c>
      <c r="MA25" s="91">
        <f>IF('Customer Inputs'!$W$18="End",0,IFERROR(IF(AND($MA$2&lt;&gt;"Enter Spend&gt;&gt;&gt;",$MB$2="EXISTING"),SUMIFS('Existing Customers'!$Q:$Q,'Existing Customers'!$A:$A,$MA$1,'Existing Customers'!$H:$H,$LZ25)*$MA$4,$MA$3*$LY25),0))</f>
        <v>0</v>
      </c>
      <c r="MB25" s="86">
        <f>IF('Customer Inputs'!$W$18="End",0,IFERROR(IF(AND($MA$2&lt;&gt;"Enter Spend&gt;&gt;&gt;",$MB$2="EXISTING"),SUMIFS('Existing Customers'!$N:$N,'Existing Customers'!$A:$A,$MA$1,'Existing Customers'!$H:$H,$LZ25)*$MA$4,$MA25/$ML25),0))</f>
        <v>0</v>
      </c>
      <c r="MC25" s="92">
        <f>IF('Customer Inputs'!$W$18="End",0,IFERROR(IF(AND($MA$2&lt;&gt;"Enter Spend&gt;&gt;&gt;",$MB$2="EXISTING"),SUMIFS('Existing Customers'!$O:$O,'Existing Customers'!$H:$H,$LZ25,'Existing Customers'!$A:$A,$MA$1)*$MA$4,$MB25*$MA$8),0))</f>
        <v>0</v>
      </c>
      <c r="MD25" s="92">
        <f>IF('Customer Inputs'!$W$18="End",0,IFERROR(IF(AND($MA$2&lt;&gt;"Enter Spend&gt;&gt;&gt;",$MB$2="EXISTING"),SUMIFS('Existing Customers'!$P:$P,'Existing Customers'!$A:$A,$MA$1,'Existing Customers'!$H:$H,$LZ25)*$MA$4,$MA25/$MM25),0))</f>
        <v>0</v>
      </c>
      <c r="ME25" s="303">
        <f>IF('Customer Inputs'!$W$18="End",0,IFERROR(IF(AND($MA$2&lt;&gt;"Enter Spend&gt;&gt;&gt;",$MB$2="EXISTING"),SUMIFS('Existing Customers'!$V:$V,'Existing Customers'!$H:$H,$LZ25,'Existing Customers'!$A:$A,$MA$1)*$MA$4,0),0))</f>
        <v>0</v>
      </c>
      <c r="MF25" s="93">
        <f>IF('Customer Inputs'!$W$18="End",0,IFERROR(IF(AND($MA$2&lt;&gt;"Enter Spend&gt;&gt;&gt;",$MB$2="EXISTING"),SUMIFS('Existing Customers'!$R:$R,'Existing Customers'!$H:$H,$LZ25,'Existing Customers'!$A:$A,$MA$1)*$MA$4,0),0))</f>
        <v>0</v>
      </c>
      <c r="MG25" s="780">
        <f>IF('Customer Inputs'!$W$18="End",0,IFERROR(IF(AND($MA$2&lt;&gt;"Enter Spend&gt;&gt;&gt;",$MB$2="EXISTING"),SUMIFS('Existing Customers'!$S:$S,'Existing Customers'!$H:$H,$LZ25,'Existing Customers'!$A:$A,$MA$1)/SUMIFS('Existing Customers'!$Q:$Q,'Existing Customers'!$A:$A,$MA$1,'Existing Customers'!$H:$H,$LZ25),MQ25),0))</f>
        <v>0</v>
      </c>
      <c r="MH25" s="780">
        <f>IF('Customer Inputs'!$W$18="End",0,IFERROR(IF(AND($MA$2&lt;&gt;"Enter Spend&gt;&gt;&gt;",$MB$2="EXISTING"),SUMIFS('Existing Customers'!$U:$U,'Existing Customers'!$H:$H,$LZ25,'Existing Customers'!$A:$A,$MA$1)/SUMIFS('Existing Customers'!$Q:$Q,'Existing Customers'!$A:$A,$MA$1,'Existing Customers'!$H:$H,$LZ25),MR25),0))</f>
        <v>0</v>
      </c>
      <c r="MI25" s="783" t="e">
        <f>_xlfn.CONCAT('Customer Inputs'!$AH$18,"_",LZ25)</f>
        <v>#N/A</v>
      </c>
      <c r="MJ25" s="783">
        <f t="array" ref="MJ25">IF('Customer Inputs'!$W$18="End",0,IFERROR(INDEX('Margin Guidence Table'!$A$1:$AG$10000,MATCH(1,('Margin Guidence Table'!$A$1:$A$10000=MI25)*('Margin Guidence Table'!$I$1:$I$10000&lt;=ROUND($MA$3,0))*('Margin Guidence Table'!$J$1:$J$10000&gt;=ROUND($MA$3,0)),0),MATCH("DATA_POINTS",'Margin Guidence Table'!$A$1:$AG$1,0)),0))</f>
        <v>0</v>
      </c>
      <c r="MK25" s="780" t="str">
        <f t="shared" si="57"/>
        <v>DEFAULT</v>
      </c>
      <c r="ML25" s="780">
        <f t="array" ref="ML25">IF('Customer Inputs'!$W$18="End",0,IFERROR(IF($MK25="SEGMENT",INDEX('Margin Guidence Table'!$A$1:$AG$10000,MATCH(1,('Margin Guidence Table'!$A$1:$A$10000=MI25)*('Margin Guidence Table'!$I$1:$I$10000&lt;=ROUND($MA$3,0))*('Margin Guidence Table'!$J$1:$J$10000&gt;=ROUND($MA$3,0)),0),MATCH("SALES_CASE",'Margin Guidence Table'!$A$1:$AG$1,0)),INDEX('Margin Guidence Table'!$A$1:$AG$10000,MATCH(1,('Margin Guidence Table'!$A$1:$A$10000=MI25)*('Margin Guidence Table'!$I$1:$I$10000&lt;=ROUND($MA$3,0))*('Margin Guidence Table'!$J$1:$J$10000&gt;=ROUND($MA$3,0)),0),MATCH("DEFAULT_SALES_CASE",'Margin Guidence Table'!$A$1:$AG$1,0))),0))</f>
        <v>0</v>
      </c>
      <c r="MM25" s="780">
        <f t="array" ref="MM25">IF('Customer Inputs'!$W$18="End",0,IFERROR(IF($MK25="SEGMENT",INDEX('Margin Guidence Table'!$A$1:$AG$10000,MATCH(1,('Margin Guidence Table'!$A$1:$A$10000=MI25)*('Margin Guidence Table'!$I$1:$I$10000&lt;=ROUND($MA$3,0))*('Margin Guidence Table'!$J$1:$J$10000&gt;=ROUND($MA$3,0)),0),MATCH("SALES_LBS",'Margin Guidence Table'!$A$1:$AG$1,0)),INDEX('Margin Guidence Table'!$A$1:$AG$10000,MATCH(1,('Margin Guidence Table'!$A$1:$A$10000=MI25)*('Margin Guidence Table'!$I$1:$I$10000&lt;=ROUND($MA$3,0))*('Margin Guidence Table'!$J$1:$J$10000&gt;=ROUND($MA$3,0)),0),MATCH("DEFAULT_SALES_LBS",'Margin Guidence Table'!$A$1:$AG$1,0))),0))</f>
        <v>0</v>
      </c>
      <c r="MN25" s="784">
        <f t="array" ref="MN25">IF('Customer Inputs'!$W$18="End",0,IFERROR(IF($MK25="SEGMENT",INDEX('Margin Guidence Table'!$A$1:$AG$10000,MATCH(1,('Margin Guidence Table'!$A$1:$A$10000=MI25)*('Margin Guidence Table'!$I$1:$I$10000&lt;=ROUND($MA$3,0))*('Margin Guidence Table'!$J$1:$J$10000&gt;=ROUND($MA$3,0)),0),MATCH("MDA_MIN_MARGIN_GUIDENCE",'Margin Guidence Table'!$A$1:$AG$1,0)),INDEX('Margin Guidence Table'!$A$1:$AG$10000,MATCH(1,('Margin Guidence Table'!$A$1:$A$10000=MI25)*('Margin Guidence Table'!$I$1:$I$10000&lt;=ROUND($MA$3,0))*('Margin Guidence Table'!$J$1:$J$10000&gt;=ROUND($MA$3,0)),0),MATCH("DEFAULT_MDA_MIN_MARGIN_GUIDENCE",'Margin Guidence Table'!$A$1:$AG$1,0))),0))</f>
        <v>0</v>
      </c>
      <c r="MO25" s="784">
        <f t="array" ref="MO25">IF('Customer Inputs'!$W$18="End",0,IFERROR(IF($MK25="SEGMENT",INDEX('Margin Guidence Table'!$A$1:$AG$10000,MATCH(1,('Margin Guidence Table'!$A$1:$A$10000=MI25)*('Margin Guidence Table'!$I$1:$I$10000&lt;=ROUND($MA$3,0))*('Margin Guidence Table'!$J$1:$J$10000&gt;=ROUND($MA$3,0)),0),MATCH("MDA_MEDIAN_MARGIN_GUIDENCE",'Margin Guidence Table'!$A$1:$AG$1,0)),INDEX('Margin Guidence Table'!$A$1:$AG$10000,MATCH(1,('Margin Guidence Table'!$A$1:$A$10000=MI25)*('Margin Guidence Table'!$I$1:$I$10000&lt;=ROUND($MA$3,0))*('Margin Guidence Table'!$J$1:$J$10000&gt;=ROUND($MA$3,0)),0),MATCH("DEFAULT_MDA_MEDIAN_MARGIN_GUIDENCE",'Margin Guidence Table'!$A$1:$AG$1,0))),0))</f>
        <v>0</v>
      </c>
      <c r="MP25" s="784">
        <f t="array" ref="MP25">IF('Customer Inputs'!$W$18="End",0,IFERROR(IF($MK25="SEGMENT",INDEX('Margin Guidence Table'!$A$1:$AG$10000,MATCH(1,('Margin Guidence Table'!$A$1:$A$10000=MI25)*('Margin Guidence Table'!$I$1:$I$10000&lt;=ROUND($MA$3,0))*('Margin Guidence Table'!$J$1:$J$10000&gt;=ROUND($MA$3,0)),0),MATCH("MDA_MAX_MARGIN_GUIDENCE",'Margin Guidence Table'!$A$1:$AG$1,0)),INDEX('Margin Guidence Table'!$A$1:$AG$10000,MATCH(1,('Margin Guidence Table'!$A$1:$A$10000=MI25)*('Margin Guidence Table'!$I$1:$I$10000&lt;=ROUND($MA$3,0))*('Margin Guidence Table'!$J$1:$J$10000&gt;=ROUND($MA$3,0)),0),MATCH("DEFAULT_MDA_MAX_MARGIN_GUIDENCE",'Margin Guidence Table'!$A$1:$AG$1,0))),0))</f>
        <v>0</v>
      </c>
      <c r="MQ25" s="784">
        <f t="array" ref="MQ25">IF('Customer Inputs'!$W$18="End",0,IFERROR(IF($MK25="SEGMENT",INDEX('Margin Guidence Table'!$A$1:$AG$10000,MATCH(1,('Margin Guidence Table'!$A$1:$A$10000=MI25)*('Margin Guidence Table'!$I$1:$I$10000&lt;=ROUND($MA$3,0))*('Margin Guidence Table'!$J$1:$J$10000&gt;=ROUND($MA$3,0)),0),MATCH("PA_PCT_SALES",'Margin Guidence Table'!$A$1:$AG$1,0)),INDEX('Margin Guidence Table'!$A$1:$AG$10000,MATCH(1,('Margin Guidence Table'!$A$1:$A$10000=MI25)*('Margin Guidence Table'!$I$1:$I$10000&lt;=ROUND($MA$3,0))*('Margin Guidence Table'!$J$1:$J$10000&gt;=ROUND($MA$3,0)),0),MATCH("DEFAULT_PA_PCT_SALES",'Margin Guidence Table'!$A$1:$AG$1,0))),0))</f>
        <v>0</v>
      </c>
      <c r="MR25" s="784">
        <f t="array" ref="MR25">IF('Customer Inputs'!$W$18="End",0,IFERROR(IF($MK25="SEGMENT",INDEX('Margin Guidence Table'!$A$1:$AG$10000,MATCH(1,('Margin Guidence Table'!$A$1:$A$10000=MI25)*('Margin Guidence Table'!$I$1:$I$10000&lt;=ROUND($MA$3,0))*('Margin Guidence Table'!$J$1:$J$10000&gt;=ROUND($MA$3,0)),0),MATCH("SELF_FUND_PCT_SALES",'Margin Guidence Table'!$A$1:$AG$1,0)),INDEX('Margin Guidence Table'!$A$1:$AG$10000,MATCH(1,('Margin Guidence Table'!$A$1:$A$10000=MI25)*('Margin Guidence Table'!$I$1:$I$10000&lt;=ROUND($MA$3,0))*('Margin Guidence Table'!$J$1:$J$10000&gt;=ROUND($MA$3,0)),0),MATCH("DEFAULT_SELF_FUND_PCT_SALES",'Margin Guidence Table'!$A$1:$AG$1,0))),0))</f>
        <v>0</v>
      </c>
      <c r="MS25" s="784">
        <f t="array" ref="MS25">IF('Customer Inputs'!$W$18="End",0,IF($MB$2="Existing",IFERROR(SUMIFS('Existing Customers'!$V:$V,'Existing Customers'!$H:$H,$LZ25,'Existing Customers'!$A:$A,$MA$1)/SUMIFS('Existing Customers'!$Q:$Q,'Existing Customers'!$H:$H,$LZ25,'Existing Customers'!$A:$A,$MA$1),0),IFERROR(IF($MK25="SEGMENT",INDEX('Margin Guidence Table'!$A$1:$AG$10000,MATCH(1,('Margin Guidence Table'!$A$1:$A$10000=MI25)*('Margin Guidence Table'!$I$1:$I$10000&lt;=ROUND($MA$3,0))*('Margin Guidence Table'!$J$1:$J$10000&gt;=ROUND($MA$3,0)),0),MATCH("CIA_MEDIAN_MARGIN_GUIDENCE",'Margin Guidence Table'!$A$1:$AG$1,0)),INDEX('Margin Guidence Table'!$A$1:$AG$10000,MATCH(1,('Margin Guidence Table'!$A$1:$A$10000=MI25)*('Margin Guidence Table'!$I$1:$I$10000&lt;=ROUND($MA$3,0))*('Margin Guidence Table'!$J$1:$J$10000&gt;=ROUND($MA$3,0)),0),MATCH("DEFAULT_CIA_MEDIAN_MARGIN_GUIDENCE",'Margin Guidence Table'!$A$1:$AG$1,0))),0)))</f>
        <v>0</v>
      </c>
      <c r="MT25" s="784"/>
      <c r="MU25" s="18">
        <f t="array" ref="MU25">IF('Customer Inputs'!$W$19="End",0,IFERROR(IF($NH25="SEGMENT",INDEX('Margin Guidence Table'!$A$1:$AG$10000,MATCH(1,('Margin Guidence Table'!$A$1:$A$10000=$NF25)*('Margin Guidence Table'!$I$1:$I$10000&lt;=ROUND($MX$3,0))*('Margin Guidence Table'!$J$1:$J$10000&gt;=ROUND($MX$3,0)),0),MATCH("PCT_SALES",'Margin Guidence Table'!$A$1:$AG$1,0)),INDEX('Margin Guidence Table'!$A$1:$AG$10000,MATCH(1,('Margin Guidence Table'!$A$1:$A$10000=$NF25)*('Margin Guidence Table'!$I$1:$I$10000&lt;=ROUND($MX$3,0))*('Margin Guidence Table'!$J$1:$J$10000&gt;=ROUND($MX$3,0)),0),MATCH("DEFAULT_PCT_SALES",'Margin Guidence Table'!$A$1:$AG$1,0))),0))</f>
        <v>0</v>
      </c>
      <c r="MV25" s="1713" t="e">
        <f t="shared" si="58"/>
        <v>#DIV/0!</v>
      </c>
      <c r="MW25" s="99" t="s">
        <v>93</v>
      </c>
      <c r="MX25" s="91">
        <f>IF('Customer Inputs'!$W$19="End",0,IFERROR(IF(AND($MX$2&lt;&gt;"Enter Spend&gt;&gt;&gt;",$MY$2="EXISTING"),SUMIFS('Existing Customers'!$Q:$Q,'Existing Customers'!$A:$A,$MX$1,'Existing Customers'!$H:$H,$MW25)*$MX$4,$MX$3*$MV25),0))</f>
        <v>0</v>
      </c>
      <c r="MY25" s="86">
        <f>IF('Customer Inputs'!$W$19="End",0,IFERROR(IF(AND($MX$2&lt;&gt;"Enter Spend&gt;&gt;&gt;",$MY$2="EXISTING"),SUMIFS('Existing Customers'!$N:$N,'Existing Customers'!$A:$A,$MX$1,'Existing Customers'!$H:$H,$MW25)*$MX$4,$MX25/$NI25),0))</f>
        <v>0</v>
      </c>
      <c r="MZ25" s="92">
        <f>IF('Customer Inputs'!$W$19="End",0,IFERROR(IF(AND($MX$2&lt;&gt;"Enter Spend&gt;&gt;&gt;",$MY$2="EXISTING"),SUMIFS('Existing Customers'!$O:$O,'Existing Customers'!$H:$H,$MW25,'Existing Customers'!$A:$A,$MX$1)*$MX$4,$MY25*$MX$8),0))</f>
        <v>0</v>
      </c>
      <c r="NA25" s="92">
        <f>IF('Customer Inputs'!$W$19="End",0,IFERROR(IF(AND($MX$2&lt;&gt;"Enter Spend&gt;&gt;&gt;",$MY$2="EXISTING"),SUMIFS('Existing Customers'!$P:$P,'Existing Customers'!$A:$A,$MX$1,'Existing Customers'!$H:$H,$MW25)*$MX$4,$MX25/$NJ25),0))</f>
        <v>0</v>
      </c>
      <c r="NB25" s="303">
        <f>IF('Customer Inputs'!$W$19="End",0,IFERROR(IF(AND($MX$2&lt;&gt;"Enter Spend&gt;&gt;&gt;",$MY$2="EXISTING"),SUMIFS('Existing Customers'!$V:$V,'Existing Customers'!$H:$H,$MW25,'Existing Customers'!$A:$A,$MX$1)*$MX$4,0),0))</f>
        <v>0</v>
      </c>
      <c r="NC25" s="93">
        <f>IF('Customer Inputs'!$W$19="End",0,IFERROR(IF(AND($MX$2&lt;&gt;"Enter Spend&gt;&gt;&gt;",$MY$2="EXISTING"),SUMIFS('Existing Customers'!$R:$R,'Existing Customers'!$H:$H,$MW25,'Existing Customers'!$A:$A,$MX$1)*$MX$4,0),0))</f>
        <v>0</v>
      </c>
      <c r="ND25" s="780">
        <f>IF('Customer Inputs'!$W$19="End",0,IFERROR(IF(AND($MX$2&lt;&gt;"Enter Spend&gt;&gt;&gt;",$MY$2="EXISTING"),SUMIFS('Existing Customers'!$S:$S,'Existing Customers'!$H:$H,$MW25,'Existing Customers'!$A:$A,$MX$1)/SUMIFS('Existing Customers'!$Q:$Q,'Existing Customers'!$A:$A,$MX$1,'Existing Customers'!$H:$H,$MW25),NN25),0))</f>
        <v>0</v>
      </c>
      <c r="NE25" s="780">
        <f>IF('Customer Inputs'!$W$19="End",0,IFERROR(IF(AND($MX$2&lt;&gt;"Enter Spend&gt;&gt;&gt;",$MY$2="EXISTING"),SUMIFS('Existing Customers'!$U:$U,'Existing Customers'!$H:$H,$MW25,'Existing Customers'!$A:$A,$MX$1)/SUMIFS('Existing Customers'!$Q:$Q,'Existing Customers'!$A:$A,$MX$1,'Existing Customers'!$H:$H,$MW25),NO25),0))</f>
        <v>0</v>
      </c>
      <c r="NF25" s="783" t="e">
        <f>_xlfn.CONCAT('Customer Inputs'!$AH$19,"_",MW25)</f>
        <v>#N/A</v>
      </c>
      <c r="NG25" s="783">
        <f t="array" ref="NG25">IF('Customer Inputs'!$W$19="End",0,IFERROR(INDEX('Margin Guidence Table'!$A$1:$AG$10000,MATCH(1,('Margin Guidence Table'!$A$1:$A$10000=NF25)*('Margin Guidence Table'!$I$1:$I$10000&lt;=ROUND($MX$3,0))*('Margin Guidence Table'!$J$1:$J$10000&gt;=ROUND($MX$3,0)),0),MATCH("DATA_POINTS",'Margin Guidence Table'!$A$1:$AG$1,0)),0))</f>
        <v>0</v>
      </c>
      <c r="NH25" s="780" t="str">
        <f t="shared" si="59"/>
        <v>DEFAULT</v>
      </c>
      <c r="NI25" s="780">
        <f t="array" ref="NI25">IF('Customer Inputs'!$W$19="End",0,IFERROR(IF($NH25="SEGMENT",INDEX('Margin Guidence Table'!$A$1:$AG$10000,MATCH(1,('Margin Guidence Table'!$A$1:$A$10000=NF25)*('Margin Guidence Table'!$I$1:$I$10000&lt;=ROUND($MX$3,0))*('Margin Guidence Table'!$J$1:$J$10000&gt;=ROUND($MX$3,0)),0),MATCH("SALES_CASE",'Margin Guidence Table'!$A$1:$AG$1,0)),INDEX('Margin Guidence Table'!$A$1:$AG$10000,MATCH(1,('Margin Guidence Table'!$A$1:$A$10000=NF25)*('Margin Guidence Table'!$I$1:$I$10000&lt;=ROUND($MX$3,0))*('Margin Guidence Table'!$J$1:$J$10000&gt;=ROUND($MX$3,0)),0),MATCH("DEFAULT_SALES_CASE",'Margin Guidence Table'!$A$1:$AG$1,0))),0))</f>
        <v>0</v>
      </c>
      <c r="NJ25" s="780">
        <f t="array" ref="NJ25">IF('Customer Inputs'!$W$19="End",0,IFERROR(IF($NH25="SEGMENT",INDEX('Margin Guidence Table'!$A$1:$AG$10000,MATCH(1,('Margin Guidence Table'!$A$1:$A$10000=NF25)*('Margin Guidence Table'!$I$1:$I$10000&lt;=ROUND($MX$3,0))*('Margin Guidence Table'!$J$1:$J$10000&gt;=ROUND($MX$3,0)),0),MATCH("SALES_LBS",'Margin Guidence Table'!$A$1:$AG$1,0)),INDEX('Margin Guidence Table'!$A$1:$AG$10000,MATCH(1,('Margin Guidence Table'!$A$1:$A$10000=NF25)*('Margin Guidence Table'!$I$1:$I$10000&lt;=ROUND($MX$3,0))*('Margin Guidence Table'!$J$1:$J$10000&gt;=ROUND($MX$3,0)),0),MATCH("DEFAULT_SALES_LBS",'Margin Guidence Table'!$A$1:$AG$1,0))),0))</f>
        <v>0</v>
      </c>
      <c r="NK25" s="784">
        <f t="array" ref="NK25">IF('Customer Inputs'!$W$19="End",0,IFERROR(IF($NH25="SEGMENT",INDEX('Margin Guidence Table'!$A$1:$AG$10000,MATCH(1,('Margin Guidence Table'!$A$1:$A$10000=NF25)*('Margin Guidence Table'!$I$1:$I$10000&lt;=ROUND($MX$3,0))*('Margin Guidence Table'!$J$1:$J$10000&gt;=ROUND($MX$3,0)),0),MATCH("MDA_MIN_MARGIN_GUIDENCE",'Margin Guidence Table'!$A$1:$AG$1,0)),INDEX('Margin Guidence Table'!$A$1:$AG$10000,MATCH(1,('Margin Guidence Table'!$A$1:$A$10000=NF25)*('Margin Guidence Table'!$I$1:$I$10000&lt;=ROUND($MX$3,0))*('Margin Guidence Table'!$J$1:$J$10000&gt;=ROUND($MX$3,0)),0),MATCH("DEFAULT_MDA_MIN_MARGIN_GUIDENCE",'Margin Guidence Table'!$A$1:$AG$1,0))),0))</f>
        <v>0</v>
      </c>
      <c r="NL25" s="784">
        <f t="array" ref="NL25">IF('Customer Inputs'!$W$19="End",0,IFERROR(IF($NH25="SEGMENT",INDEX('Margin Guidence Table'!$A$1:$AG$10000,MATCH(1,('Margin Guidence Table'!$A$1:$A$10000=NF25)*('Margin Guidence Table'!$I$1:$I$10000&lt;=ROUND($MX$3,0))*('Margin Guidence Table'!$J$1:$J$10000&gt;=ROUND($MX$3,0)),0),MATCH("MDA_MEDIAN_MARGIN_GUIDENCE",'Margin Guidence Table'!$A$1:$AG$1,0)),INDEX('Margin Guidence Table'!$A$1:$AG$10000,MATCH(1,('Margin Guidence Table'!$A$1:$A$10000=NF25)*('Margin Guidence Table'!$I$1:$I$10000&lt;=ROUND($MX$3,0))*('Margin Guidence Table'!$J$1:$J$10000&gt;=ROUND($MX$3,0)),0),MATCH("DEFAULT_MDA_MEDIAN_MARGIN_GUIDENCE",'Margin Guidence Table'!$A$1:$AG$1,0))),0))</f>
        <v>0</v>
      </c>
      <c r="NM25" s="784">
        <f t="array" ref="NM25">IF('Customer Inputs'!$W$19="End",0,IFERROR(IF($NH25="SEGMENT",INDEX('Margin Guidence Table'!$A$1:$AG$10000,MATCH(1,('Margin Guidence Table'!$A$1:$A$10000=NF25)*('Margin Guidence Table'!$I$1:$I$10000&lt;=ROUND($MX$3,0))*('Margin Guidence Table'!$J$1:$J$10000&gt;=ROUND($MX$3,0)),0),MATCH("MDA_MAX_MARGIN_GUIDENCE",'Margin Guidence Table'!$A$1:$AG$1,0)),INDEX('Margin Guidence Table'!$A$1:$AG$10000,MATCH(1,('Margin Guidence Table'!$A$1:$A$10000=NF25)*('Margin Guidence Table'!$I$1:$I$10000&lt;=ROUND($MX$3,0))*('Margin Guidence Table'!$J$1:$J$10000&gt;=ROUND($MX$3,0)),0),MATCH("DEFAULT_MDA_MAX_MARGIN_GUIDENCE",'Margin Guidence Table'!$A$1:$AG$1,0))),0))</f>
        <v>0</v>
      </c>
      <c r="NN25" s="784">
        <f t="array" ref="NN25">IF('Customer Inputs'!$W$19="End",0,IFERROR(IF($NH25="SEGMENT",INDEX('Margin Guidence Table'!$A$1:$AG$10000,MATCH(1,('Margin Guidence Table'!$A$1:$A$10000=NF25)*('Margin Guidence Table'!$I$1:$I$10000&lt;=ROUND($MX$3,0))*('Margin Guidence Table'!$J$1:$J$10000&gt;=ROUND($MX$3,0)),0),MATCH("PA_PCT_SALES",'Margin Guidence Table'!$A$1:$AG$1,0)),INDEX('Margin Guidence Table'!$A$1:$AG$10000,MATCH(1,('Margin Guidence Table'!$A$1:$A$10000=NF25)*('Margin Guidence Table'!$I$1:$I$10000&lt;=ROUND($MX$3,0))*('Margin Guidence Table'!$J$1:$J$10000&gt;=ROUND($MX$3,0)),0),MATCH("DEFAULT_PA_PCT_SALES",'Margin Guidence Table'!$A$1:$AG$1,0))),0))</f>
        <v>0</v>
      </c>
      <c r="NO25" s="784">
        <f t="array" ref="NO25">IF('Customer Inputs'!$W$19="End",0,IFERROR(IF($NH25="SEGMENT",INDEX('Margin Guidence Table'!$A$1:$AG$10000,MATCH(1,('Margin Guidence Table'!$A$1:$A$10000=NF25)*('Margin Guidence Table'!$I$1:$I$10000&lt;=ROUND($MX$3,0))*('Margin Guidence Table'!$J$1:$J$10000&gt;=ROUND($MX$3,0)),0),MATCH("SELF_FUND_PCT_SALES",'Margin Guidence Table'!$A$1:$AG$1,0)),INDEX('Margin Guidence Table'!$A$1:$AG$10000,MATCH(1,('Margin Guidence Table'!$A$1:$A$10000=NF25)*('Margin Guidence Table'!$I$1:$I$10000&lt;=ROUND($MX$3,0))*('Margin Guidence Table'!$J$1:$J$10000&gt;=ROUND($MX$3,0)),0),MATCH("DEFAULT_SELF_FUND_PCT_SALES",'Margin Guidence Table'!$A$1:$AG$1,0))),0))</f>
        <v>0</v>
      </c>
      <c r="NP25" s="784">
        <f t="array" ref="NP25">IF('Customer Inputs'!$W$19="End",0,IF($MY$2="Existing",IFERROR(SUMIFS('Existing Customers'!$V:$V,'Existing Customers'!$H:$H,$MW25,'Existing Customers'!$A:$A,$MX$1)/SUMIFS('Existing Customers'!$Q:$Q,'Existing Customers'!$H:$H,$MW25,'Existing Customers'!$A:$A,$MX$1),0),IFERROR(IF($NH25="SEGMENT",INDEX('Margin Guidence Table'!$A$1:$AG$10000,MATCH(1,('Margin Guidence Table'!$A$1:$A$10000=NF25)*('Margin Guidence Table'!$I$1:$I$10000&lt;=ROUND($MX$3,0))*('Margin Guidence Table'!$J$1:$J$10000&gt;=ROUND($MX$3,0)),0),MATCH("CIA_MEDIAN_MARGIN_GUIDENCE",'Margin Guidence Table'!$A$1:$AG$1,0)),INDEX('Margin Guidence Table'!$A$1:$AG$10000,MATCH(1,('Margin Guidence Table'!$A$1:$A$10000=NF25)*('Margin Guidence Table'!$I$1:$I$10000&lt;=ROUND($MX$3,0))*('Margin Guidence Table'!$J$1:$J$10000&gt;=ROUND($MX$3,0)),0),MATCH("DEFAULT_CIA_MEDIAN_MARGIN_GUIDENCE",'Margin Guidence Table'!$A$1:$AG$1,0))),0)))</f>
        <v>0</v>
      </c>
      <c r="NQ25" s="784"/>
      <c r="NR25" s="18">
        <f t="array" ref="NR25">IF('Customer Inputs'!$W$20="End",0,IFERROR(IF($OE25="SEGMENT",INDEX('Margin Guidence Table'!$A$1:$AG$10000,MATCH(1,('Margin Guidence Table'!$A$1:$A$10000=$OC25)*('Margin Guidence Table'!$I$1:$I$10000&lt;=ROUND($NU$3,0))*('Margin Guidence Table'!$J$1:$J$10000&gt;=ROUND($NU$3,0)),0),MATCH("PCT_SALES",'Margin Guidence Table'!$A$1:$AG$1,0)),INDEX('Margin Guidence Table'!$A$1:$AG$10000,MATCH(1,('Margin Guidence Table'!$A$1:$A$10000=$OC25)*('Margin Guidence Table'!$I$1:$I$10000&lt;=ROUND($NU$3,0))*('Margin Guidence Table'!$J$1:$J$10000&gt;=ROUND($NU$3,0)),0),MATCH("DEFAULT_PCT_SALES",'Margin Guidence Table'!$A$1:$AG$1,0))),0))</f>
        <v>0</v>
      </c>
      <c r="NS25" s="1713" t="e">
        <f t="shared" si="60"/>
        <v>#DIV/0!</v>
      </c>
      <c r="NT25" s="99" t="s">
        <v>93</v>
      </c>
      <c r="NU25" s="91">
        <f>IF('Customer Inputs'!$W$20="End",0,IFERROR(IF(AND($NU$2&lt;&gt;"Enter Spend&gt;&gt;&gt;",$NV$2="EXISTING"),SUMIFS('Existing Customers'!$Q:$Q,'Existing Customers'!$A:$A,$NU$1,'Existing Customers'!$H:$H,$NT25)*$NU$4,$NU$3*$NS25),0))</f>
        <v>0</v>
      </c>
      <c r="NV25" s="86">
        <f>IF('Customer Inputs'!$W$20="End",0,IFERROR(IF(AND($NU$2&lt;&gt;"Enter Spend&gt;&gt;&gt;",$NV$2="EXISTING"),SUMIFS('Existing Customers'!$N:$N,'Existing Customers'!$A:$A,$NU$1,'Existing Customers'!$H:$H,$NT25)*$NU$4,$NU25/$OF25),0))</f>
        <v>0</v>
      </c>
      <c r="NW25" s="92">
        <f>IF('Customer Inputs'!$W$20="End",0,IFERROR(IF(AND($NU$2&lt;&gt;"Enter Spend&gt;&gt;&gt;",$NV$2="EXISTING"),SUMIFS('Existing Customers'!$O:$O,'Existing Customers'!$H:$H,$NT25,'Existing Customers'!$A:$A,$NU$1)*$NU$4,$NV25*$NU$8),0))</f>
        <v>0</v>
      </c>
      <c r="NX25" s="92">
        <f>IF('Customer Inputs'!$W$20="End",0,IFERROR(IF(AND($NU$2&lt;&gt;"Enter Spend&gt;&gt;&gt;",$NV$2="EXISTING"),SUMIFS('Existing Customers'!$P:$P,'Existing Customers'!$A:$A,$NU$1,'Existing Customers'!$H:$H,$NT25)*$NU$4,$NU25/$OG25),0))</f>
        <v>0</v>
      </c>
      <c r="NY25" s="303">
        <f>IF('Customer Inputs'!$W$20="End",0,IFERROR(IF(AND($NU$2&lt;&gt;"Enter Spend&gt;&gt;&gt;",$NV$2="EXISTING"),SUMIFS('Existing Customers'!$V:$V,'Existing Customers'!$H:$H,$NT25,'Existing Customers'!$A:$A,$NU$1)*$NU$4,0),0))</f>
        <v>0</v>
      </c>
      <c r="NZ25" s="93">
        <f>IF('Customer Inputs'!$W$20="End",0,IFERROR(IF(AND($NU$2&lt;&gt;"Enter Spend&gt;&gt;&gt;",$NV$2="EXISTING"),SUMIFS('Existing Customers'!$R:$R,'Existing Customers'!$H:$H,$NT25,'Existing Customers'!$A:$A,$NU$1)*$NU$4,0),0))</f>
        <v>0</v>
      </c>
      <c r="OA25" s="780">
        <f>IF('Customer Inputs'!$W$20="End",0,IFERROR(IF(AND($NU$2&lt;&gt;"Enter Spend&gt;&gt;&gt;",$NV$2="EXISTING"),SUMIFS('Existing Customers'!$S:$S,'Existing Customers'!$H:$H,$NT25,'Existing Customers'!$A:$A,$NU$1)/SUMIFS('Existing Customers'!$Q:$Q,'Existing Customers'!$A:$A,$NU$1,'Existing Customers'!$H:$H,$NT25),OK25),0))</f>
        <v>0</v>
      </c>
      <c r="OB25" s="780">
        <f>IF('Customer Inputs'!$W$20="End",0,IFERROR(IF(AND($NU$2&lt;&gt;"Enter Spend&gt;&gt;&gt;",$NV$2="EXISTING"),SUMIFS('Existing Customers'!$U:$U,'Existing Customers'!$H:$H,$NT25,'Existing Customers'!$A:$A,$NU$1)/SUMIFS('Existing Customers'!$Q:$Q,'Existing Customers'!$A:$A,$NU$1,'Existing Customers'!$H:$H,$NT25),OL25),0))</f>
        <v>0</v>
      </c>
      <c r="OC25" s="783" t="e">
        <f>_xlfn.CONCAT('Customer Inputs'!$AH$20,"_",NT25)</f>
        <v>#N/A</v>
      </c>
      <c r="OD25" s="783">
        <f t="array" ref="OD25">IF('Customer Inputs'!$W$20="End",0,IFERROR(INDEX('Margin Guidence Table'!$A$1:$AG$10000,MATCH(1,('Margin Guidence Table'!$A$1:$A$10000=OC25)*('Margin Guidence Table'!$I$1:$I$10000&lt;=ROUND($NU$3,0))*('Margin Guidence Table'!$J$1:$J$10000&gt;=ROUND($NU$3,0)),0),MATCH("DATA_POINTS",'Margin Guidence Table'!$A$1:$AG$1,0)),0))</f>
        <v>0</v>
      </c>
      <c r="OE25" s="780" t="str">
        <f t="shared" si="61"/>
        <v>DEFAULT</v>
      </c>
      <c r="OF25" s="780">
        <f t="array" ref="OF25">IF('Customer Inputs'!$W$20="End",0,IFERROR(IF($OE25="SEGMENT",INDEX('Margin Guidence Table'!$A$1:$AG$10000,MATCH(1,('Margin Guidence Table'!$A$1:$A$10000=OC25)*('Margin Guidence Table'!$I$1:$I$10000&lt;=ROUND($NU$3,0))*('Margin Guidence Table'!$J$1:$J$10000&gt;=ROUND($NU$3,0)),0),MATCH("SALES_CASE",'Margin Guidence Table'!$A$1:$AG$1,0)),INDEX('Margin Guidence Table'!$A$1:$AG$10000,MATCH(1,('Margin Guidence Table'!$A$1:$A$10000=OC25)*('Margin Guidence Table'!$I$1:$I$10000&lt;=ROUND($NU$3,0))*('Margin Guidence Table'!$J$1:$J$10000&gt;=ROUND($NU$3,0)),0),MATCH("DEFAULT_SALES_CASE",'Margin Guidence Table'!$A$1:$AG$1,0))),0))</f>
        <v>0</v>
      </c>
      <c r="OG25" s="780">
        <f t="array" ref="OG25">IF('Customer Inputs'!$W$20="End",0,IFERROR(IF($OE25="SEGMENT",INDEX('Margin Guidence Table'!$A$1:$AG$10000,MATCH(1,('Margin Guidence Table'!$A$1:$A$10000=OC25)*('Margin Guidence Table'!$I$1:$I$10000&lt;=ROUND($NU$3,0))*('Margin Guidence Table'!$J$1:$J$10000&gt;=ROUND($NU$3,0)),0),MATCH("SALES_LBS",'Margin Guidence Table'!$A$1:$AG$1,0)),INDEX('Margin Guidence Table'!$A$1:$AG$10000,MATCH(1,('Margin Guidence Table'!$A$1:$A$10000=OC25)*('Margin Guidence Table'!$I$1:$I$10000&lt;=ROUND($NU$3,0))*('Margin Guidence Table'!$J$1:$J$10000&gt;=ROUND($NU$3,0)),0),MATCH("DEFAULT_SALES_LBS",'Margin Guidence Table'!$A$1:$AG$1,0))),0))</f>
        <v>0</v>
      </c>
      <c r="OH25" s="784">
        <f t="array" ref="OH25">IF('Customer Inputs'!$W$20="End",0,IFERROR(IF($OE25="SEGMENT",INDEX('Margin Guidence Table'!$A$1:$AG$10000,MATCH(1,('Margin Guidence Table'!$A$1:$A$10000=OC25)*('Margin Guidence Table'!$I$1:$I$10000&lt;=ROUND($NU$3,0))*('Margin Guidence Table'!$J$1:$J$10000&gt;=ROUND($NU$3,0)),0),MATCH("MDA_MIN_MARGIN_GUIDENCE",'Margin Guidence Table'!$A$1:$AG$1,0)),INDEX('Margin Guidence Table'!$A$1:$AG$10000,MATCH(1,('Margin Guidence Table'!$A$1:$A$10000=OC25)*('Margin Guidence Table'!$I$1:$I$10000&lt;=ROUND($NU$3,0))*('Margin Guidence Table'!$J$1:$J$10000&gt;=ROUND($NU$3,0)),0),MATCH("DEFAULT_MDA_MIN_MARGIN_GUIDENCE",'Margin Guidence Table'!$A$1:$AG$1,0))),0))</f>
        <v>0</v>
      </c>
      <c r="OI25" s="784">
        <f t="array" ref="OI25">IF('Customer Inputs'!$W$20="End",0,IFERROR(IF($OE25="SEGMENT",INDEX('Margin Guidence Table'!$A$1:$AG$10000,MATCH(1,('Margin Guidence Table'!$A$1:$A$10000=OC25)*('Margin Guidence Table'!$I$1:$I$10000&lt;=ROUND($NU$3,0))*('Margin Guidence Table'!$J$1:$J$10000&gt;=ROUND($NU$3,0)),0),MATCH("MDA_MEDIAN_MARGIN_GUIDENCE",'Margin Guidence Table'!$A$1:$AG$1,0)),INDEX('Margin Guidence Table'!$A$1:$AG$10000,MATCH(1,('Margin Guidence Table'!$A$1:$A$10000=OC25)*('Margin Guidence Table'!$I$1:$I$10000&lt;=ROUND($NU$3,0))*('Margin Guidence Table'!$J$1:$J$10000&gt;=ROUND($NU$3,0)),0),MATCH("DEFAULT_MDA_MEDIAN_MARGIN_GUIDENCE",'Margin Guidence Table'!$A$1:$AG$1,0))),0))</f>
        <v>0</v>
      </c>
      <c r="OJ25" s="784">
        <f t="array" ref="OJ25">IF('Customer Inputs'!$W$20="End",0,IFERROR(IF($OE25="SEGMENT",INDEX('Margin Guidence Table'!$A$1:$AG$10000,MATCH(1,('Margin Guidence Table'!$A$1:$A$10000=OC25)*('Margin Guidence Table'!$I$1:$I$10000&lt;=ROUND($NU$3,0))*('Margin Guidence Table'!$J$1:$J$10000&gt;=ROUND($NU$3,0)),0),MATCH("MDA_MAX_MARGIN_GUIDENCE",'Margin Guidence Table'!$A$1:$AG$1,0)),INDEX('Margin Guidence Table'!$A$1:$AG$10000,MATCH(1,('Margin Guidence Table'!$A$1:$A$10000=OC25)*('Margin Guidence Table'!$I$1:$I$10000&lt;=ROUND($NU$3,0))*('Margin Guidence Table'!$J$1:$J$10000&gt;=ROUND($NU$3,0)),0),MATCH("DEFAULT_MDA_MAX_MARGIN_GUIDENCE",'Margin Guidence Table'!$A$1:$AG$1,0))),0))</f>
        <v>0</v>
      </c>
      <c r="OK25" s="784">
        <f t="array" ref="OK25">IF('Customer Inputs'!$W$20="End",0,IFERROR(IF($OE25="SEGMENT",INDEX('Margin Guidence Table'!$A$1:$AG$10000,MATCH(1,('Margin Guidence Table'!$A$1:$A$10000=OC25)*('Margin Guidence Table'!$I$1:$I$10000&lt;=ROUND($NU$3,0))*('Margin Guidence Table'!$J$1:$J$10000&gt;=ROUND($NU$3,0)),0),MATCH("PA_PCT_SALES",'Margin Guidence Table'!$A$1:$AG$1,0)),INDEX('Margin Guidence Table'!$A$1:$AG$10000,MATCH(1,('Margin Guidence Table'!$A$1:$A$10000=OC25)*('Margin Guidence Table'!$I$1:$I$10000&lt;=ROUND($NU$3,0))*('Margin Guidence Table'!$J$1:$J$10000&gt;=ROUND($NU$3,0)),0),MATCH("DEFAULT_PA_PCT_SALES",'Margin Guidence Table'!$A$1:$AG$1,0))),0))</f>
        <v>0</v>
      </c>
      <c r="OL25" s="784">
        <f t="array" ref="OL25">IF('Customer Inputs'!$W$20="End",0,IFERROR(IF($OE25="SEGMENT",INDEX('Margin Guidence Table'!$A$1:$AG$10000,MATCH(1,('Margin Guidence Table'!$A$1:$A$10000=OC25)*('Margin Guidence Table'!$I$1:$I$10000&lt;=ROUND($NU$3,0))*('Margin Guidence Table'!$J$1:$J$10000&gt;=ROUND($NU$3,0)),0),MATCH("SELF_FUND_PCT_SALES",'Margin Guidence Table'!$A$1:$AG$1,0)),INDEX('Margin Guidence Table'!$A$1:$AG$10000,MATCH(1,('Margin Guidence Table'!$A$1:$A$10000=OC25)*('Margin Guidence Table'!$I$1:$I$10000&lt;=ROUND($NU$3,0))*('Margin Guidence Table'!$J$1:$J$10000&gt;=ROUND($NU$3,0)),0),MATCH("DEFAULT_SELF_FUND_PCT_SALES",'Margin Guidence Table'!$A$1:$AG$1,0))),0))</f>
        <v>0</v>
      </c>
      <c r="OM25" s="784">
        <f t="array" ref="OM25">IF('Customer Inputs'!$W$20="End",0,IF($NV$2="Existing",IFERROR(SUMIFS('Existing Customers'!$V:$V,'Existing Customers'!$H:$H,$NT25,'Existing Customers'!$A:$A,$NU$1)/SUMIFS('Existing Customers'!$Q:$Q,'Existing Customers'!$H:$H,$NT25,'Existing Customers'!$A:$A,$NU$1),0),IFERROR(IF($OE25="SEGMENT",INDEX('Margin Guidence Table'!$A$1:$AG$10000,MATCH(1,('Margin Guidence Table'!$A$1:$A$10000=OC25)*('Margin Guidence Table'!$I$1:$I$10000&lt;=ROUND($NU$3,0))*('Margin Guidence Table'!$J$1:$J$10000&gt;=ROUND($NU$3,0)),0),MATCH("CIA_MEDIAN_MARGIN_GUIDENCE",'Margin Guidence Table'!$A$1:$AG$1,0)),INDEX('Margin Guidence Table'!$A$1:$AG$10000,MATCH(1,('Margin Guidence Table'!$A$1:$A$10000=OC25)*('Margin Guidence Table'!$I$1:$I$10000&lt;=ROUND($NU$3,0))*('Margin Guidence Table'!$J$1:$J$10000&gt;=ROUND($NU$3,0)),0),MATCH("DEFAULT_CIA_MEDIAN_MARGIN_GUIDENCE",'Margin Guidence Table'!$A$1:$AG$1,0))),0)))</f>
        <v>0</v>
      </c>
      <c r="ON25" s="784"/>
      <c r="OO25" s="18">
        <f t="array" ref="OO25">IF('Customer Inputs'!$W$21="End",0,IFERROR(IF($PB25="SEGMENT",INDEX('Margin Guidence Table'!$A$1:$AG$10000,MATCH(1,('Margin Guidence Table'!$A$1:$A$10000=$OZ25)*('Margin Guidence Table'!$I$1:$I$10000&lt;=ROUND($OR$3,0))*('Margin Guidence Table'!$J$1:$J$10000&gt;=ROUND($OR$3,0)),0),MATCH("PCT_SALES",'Margin Guidence Table'!$A$1:$AG$1,0)),INDEX('Margin Guidence Table'!$A$1:$AG$10000,MATCH(1,('Margin Guidence Table'!$A$1:$A$10000=$OZ25)*('Margin Guidence Table'!$I$1:$I$10000&lt;=ROUND($OR$3,0))*('Margin Guidence Table'!$J$1:$J$10000&gt;=ROUND($OR$3,0)),0),MATCH("DEFAULT_PCT_SALES",'Margin Guidence Table'!$A$1:$AG$1,0))),0))</f>
        <v>0</v>
      </c>
      <c r="OP25" s="1713" t="e">
        <f t="shared" si="62"/>
        <v>#DIV/0!</v>
      </c>
      <c r="OQ25" s="99" t="s">
        <v>93</v>
      </c>
      <c r="OR25" s="91">
        <f>IF('Customer Inputs'!$W$21="End",0,IFERROR(IF(AND($OR$2&lt;&gt;"Enter Spend&gt;&gt;&gt;",$OS$2="EXISTING"),SUMIFS('Existing Customers'!$Q:$Q,'Existing Customers'!$A:$A,$OR$1,'Existing Customers'!$H:$H,$OQ25)*$OR$4,$OR$3*$OP25),0))</f>
        <v>0</v>
      </c>
      <c r="OS25" s="86">
        <f>IF('Customer Inputs'!$W$21="End",0,IFERROR(IF(AND($OR$2&lt;&gt;"Enter Spend&gt;&gt;&gt;",$OS$2="EXISTING"),SUMIFS('Existing Customers'!$N:$N,'Existing Customers'!$A:$A,$OR$1,'Existing Customers'!$H:$H,$OQ25)*$OR$4,$OR25/$PC25),0))</f>
        <v>0</v>
      </c>
      <c r="OT25" s="92">
        <f>IF('Customer Inputs'!$W$21="End",0,IFERROR(IF(AND($OR$2&lt;&gt;"Enter Spend&gt;&gt;&gt;",$OS$2="EXISTING"),SUMIFS('Existing Customers'!$O:$O,'Existing Customers'!$H:$H,$OQ25,'Existing Customers'!$A:$A,$OR$1)*$OR$4,$OS25*$OR$8),0))</f>
        <v>0</v>
      </c>
      <c r="OU25" s="92">
        <f>IF('Customer Inputs'!$W$21="End",0,IFERROR(IF(AND($OR$2&lt;&gt;"Enter Spend&gt;&gt;&gt;",$OS$2="EXISTING"),SUMIFS('Existing Customers'!$P:$P,'Existing Customers'!$A:$A,$OR$1,'Existing Customers'!$H:$H,$OQ25)*$OR$4,$OR25/$PD25),0))</f>
        <v>0</v>
      </c>
      <c r="OV25" s="303">
        <f>IF('Customer Inputs'!$W$21="End",0,IFERROR(IF(AND($OR$2&lt;&gt;"Enter Spend&gt;&gt;&gt;",$OS$2="EXISTING"),SUMIFS('Existing Customers'!$V:$V,'Existing Customers'!$H:$H,$OQ25,'Existing Customers'!$A:$A,$OR$1)*$OR$4,0),0))</f>
        <v>0</v>
      </c>
      <c r="OW25" s="93">
        <f>IF('Customer Inputs'!$W$21="End",0,IFERROR(IF(AND($OR$2&lt;&gt;"Enter Spend&gt;&gt;&gt;",$OS$2="EXISTING"),SUMIFS('Existing Customers'!$R:$R,'Existing Customers'!$H:$H,$OP25,'Existing Customers'!$A:$A,$OR$1)*$OR$4,0),0))</f>
        <v>0</v>
      </c>
      <c r="OX25" s="780">
        <f>IF('Customer Inputs'!$W$21="End",0,IFERROR(IF(AND($OR$2&lt;&gt;"Enter Spend&gt;&gt;&gt;",$OS$2="EXISTING"),SUMIFS('Existing Customers'!$S:$S,'Existing Customers'!$H:$H,$OQ25,'Existing Customers'!$A:$A,$OR$1)/SUMIFS('Existing Customers'!$Q:$Q,'Existing Customers'!$A:$A,$OR$1,'Existing Customers'!$H:$H,$OQ25),PH25),0))</f>
        <v>0</v>
      </c>
      <c r="OY25" s="780">
        <f>IF('Customer Inputs'!$W$21="End",0,IFERROR(IF(AND($OR$2&lt;&gt;"Enter Spend&gt;&gt;&gt;",$OS$2="EXISTING"),SUMIFS('Existing Customers'!$U:$U,'Existing Customers'!$H:$H,$OQ25,'Existing Customers'!$A:$A,$OR$1)/SUMIFS('Existing Customers'!$Q:$Q,'Existing Customers'!$A:$A,$OR$1,'Existing Customers'!$H:$H,$OQ25),PI25),0))</f>
        <v>0</v>
      </c>
      <c r="OZ25" s="783" t="e">
        <f>_xlfn.CONCAT('Customer Inputs'!$AH$21,"_",OQ25)</f>
        <v>#N/A</v>
      </c>
      <c r="PA25" s="783">
        <f t="array" ref="PA25">IF('Customer Inputs'!$W$22="End",0,IFERROR(INDEX('Margin Guidence Table'!$A$1:$AG$10000,MATCH(1,('Margin Guidence Table'!$A$1:$A$10000=OZ25)*('Margin Guidence Table'!$I$1:$I$10000&lt;=ROUND($OR$3,0))*('Margin Guidence Table'!$J$1:$J$10000&gt;=ROUND($OR$3,0)),0),MATCH("DATA_POINTS",'Margin Guidence Table'!$A$1:$AG$1,0)),0))</f>
        <v>0</v>
      </c>
      <c r="PB25" s="780" t="str">
        <f t="shared" si="63"/>
        <v>DEFAULT</v>
      </c>
      <c r="PC25" s="780">
        <f t="array" ref="PC25">IF('Customer Inputs'!$W$21="End",0,IFERROR(IF($PB25="SEGMENT",INDEX('Margin Guidence Table'!$A$1:$AG$10000,MATCH(1,('Margin Guidence Table'!$A$1:$A$10000=OZ25)*('Margin Guidence Table'!$I$1:$I$10000&lt;=ROUND($OR$3,0))*('Margin Guidence Table'!$J$1:$J$10000&gt;=ROUND($OR$3,0)),0),MATCH("SALES_CASE",'Margin Guidence Table'!$A$1:$AG$1,0)),INDEX('Margin Guidence Table'!$A$1:$AG$10000,MATCH(1,('Margin Guidence Table'!$A$1:$A$10000=OZ25)*('Margin Guidence Table'!$I$1:$I$10000&lt;=ROUND($OR$3,0))*('Margin Guidence Table'!$J$1:$J$10000&gt;=ROUND($OR$3,0)),0),MATCH("DEFAULT_SALES_CASE",'Margin Guidence Table'!$A$1:$AG$1,0))),0))</f>
        <v>0</v>
      </c>
      <c r="PD25" s="780">
        <f t="array" ref="PD25">IF('Customer Inputs'!$W$21="End",0,IFERROR(IF($PB25="SEGMENT",INDEX('Margin Guidence Table'!$A$1:$AG$10000,MATCH(1,('Margin Guidence Table'!$A$1:$A$10000=OZ25)*('Margin Guidence Table'!$I$1:$I$10000&lt;=ROUND($OR$3,0))*('Margin Guidence Table'!$J$1:$J$10000&gt;=ROUND($OR$3,0)),0),MATCH("SALES_LBS",'Margin Guidence Table'!$A$1:$AG$1,0)),INDEX('Margin Guidence Table'!$A$1:$AG$10000,MATCH(1,('Margin Guidence Table'!$A$1:$A$10000=OZ25)*('Margin Guidence Table'!$I$1:$I$10000&lt;=ROUND($OR$3,0))*('Margin Guidence Table'!$J$1:$J$10000&gt;=ROUND($OR$3,0)),0),MATCH("DEFAULT_SALES_LBS",'Margin Guidence Table'!$A$1:$AG$1,0))),0))</f>
        <v>0</v>
      </c>
      <c r="PE25" s="784">
        <f t="array" ref="PE25">IF('Customer Inputs'!$W$21="End",0,IFERROR(IF($PB25="SEGMENT",INDEX('Margin Guidence Table'!$A$1:$AG$10000,MATCH(1,('Margin Guidence Table'!$A$1:$A$10000=OZ25)*('Margin Guidence Table'!$I$1:$I$10000&lt;=ROUND($OR$3,0))*('Margin Guidence Table'!$J$1:$J$10000&gt;=ROUND($OR$3,0)),0),MATCH("MDA_MIN_MARGIN_GUIDENCE",'Margin Guidence Table'!$A$1:$AG$1,0)),INDEX('Margin Guidence Table'!$A$1:$AG$10000,MATCH(1,('Margin Guidence Table'!$A$1:$A$10000=OZ25)*('Margin Guidence Table'!$I$1:$I$10000&lt;=ROUND($OR$3,0))*('Margin Guidence Table'!$J$1:$J$10000&gt;=ROUND($OR$3,0)),0),MATCH("DEFAULT_MDA_MIN_MARGIN_GUIDENCE",'Margin Guidence Table'!$A$1:$AG$1,0))),0))</f>
        <v>0</v>
      </c>
      <c r="PF25" s="784">
        <f t="array" ref="PF25">IF('Customer Inputs'!$W$21="End",0,IFERROR(IF($PB25="SEGMENT",INDEX('Margin Guidence Table'!$A$1:$AG$10000,MATCH(1,('Margin Guidence Table'!$A$1:$A$10000=OZ25)*('Margin Guidence Table'!$I$1:$I$10000&lt;=ROUND($OR$3,0))*('Margin Guidence Table'!$J$1:$J$10000&gt;=ROUND($OR$3,0)),0),MATCH("MDA_MEDIAN_MARGIN_GUIDENCE",'Margin Guidence Table'!$A$1:$AG$1,0)),INDEX('Margin Guidence Table'!$A$1:$AG$10000,MATCH(1,('Margin Guidence Table'!$A$1:$A$10000=OZ25)*('Margin Guidence Table'!$I$1:$I$10000&lt;=ROUND($OR$3,0))*('Margin Guidence Table'!$J$1:$J$10000&gt;=ROUND($OR$3,0)),0),MATCH("DEFAULT_MDA_MEDIAN_MARGIN_GUIDENCE",'Margin Guidence Table'!$A$1:$AG$1,0))),0))</f>
        <v>0</v>
      </c>
      <c r="PG25" s="784">
        <f t="array" ref="PG25">IF('Customer Inputs'!$W$21="End",0,IFERROR(IF($PB25="SEGMENT",INDEX('Margin Guidence Table'!$A$1:$AG$10000,MATCH(1,('Margin Guidence Table'!$A$1:$A$10000=OZ25)*('Margin Guidence Table'!$I$1:$I$10000&lt;=ROUND($OR$3,0))*('Margin Guidence Table'!$J$1:$J$10000&gt;=ROUND($OR$3,0)),0),MATCH("MDA_MAX_MARGIN_GUIDENCE",'Margin Guidence Table'!$A$1:$AG$1,0)),INDEX('Margin Guidence Table'!$A$1:$AG$10000,MATCH(1,('Margin Guidence Table'!$A$1:$A$10000=OZ25)*('Margin Guidence Table'!$I$1:$I$10000&lt;=ROUND($OR$3,0))*('Margin Guidence Table'!$J$1:$J$10000&gt;=ROUND($OR$3,0)),0),MATCH("DEFAULT_MDA_MAX_MARGIN_GUIDENCE",'Margin Guidence Table'!$A$1:$AG$1,0))),0))</f>
        <v>0</v>
      </c>
      <c r="PH25" s="784">
        <f t="array" ref="PH25">IF('Customer Inputs'!$W$21="End",0,IFERROR(IF($PB25="SEGMENT",INDEX('Margin Guidence Table'!$A$1:$AG$10000,MATCH(1,('Margin Guidence Table'!$A$1:$A$10000=OZ25)*('Margin Guidence Table'!$I$1:$I$10000&lt;=ROUND($OR$3,0))*('Margin Guidence Table'!$J$1:$J$10000&gt;=ROUND($OR$3,0)),0),MATCH("PA_PCT_SALES",'Margin Guidence Table'!$A$1:$AG$1,0)),INDEX('Margin Guidence Table'!$A$1:$AG$10000,MATCH(1,('Margin Guidence Table'!$A$1:$A$10000=OZ25)*('Margin Guidence Table'!$I$1:$I$10000&lt;=ROUND($OR$3,0))*('Margin Guidence Table'!$J$1:$J$10000&gt;=ROUND($OR$3,0)),0),MATCH("DEFAULT_PA_PCT_SALES",'Margin Guidence Table'!$A$1:$AG$1,0))),0))</f>
        <v>0</v>
      </c>
      <c r="PI25" s="784">
        <f t="array" ref="PI25">IF('Customer Inputs'!$W$21="End",0,IFERROR(IF($PB25="SEGMENT",INDEX('Margin Guidence Table'!$A$1:$AG$10000,MATCH(1,('Margin Guidence Table'!$A$1:$A$10000=OZ25)*('Margin Guidence Table'!$I$1:$I$10000&lt;=ROUND($OR$3,0))*('Margin Guidence Table'!$J$1:$J$10000&gt;=ROUND($OR$3,0)),0),MATCH("SELF_FUND_PCT_SALES",'Margin Guidence Table'!$A$1:$AG$1,0)),INDEX('Margin Guidence Table'!$A$1:$AG$10000,MATCH(1,('Margin Guidence Table'!$A$1:$A$10000=OZ25)*('Margin Guidence Table'!$I$1:$I$10000&lt;=ROUND($OR$3,0))*('Margin Guidence Table'!$J$1:$J$10000&gt;=ROUND($OR$3,0)),0),MATCH("DEFAULT_SELF_FUND_PCT_SALES",'Margin Guidence Table'!$A$1:$AG$1,0))),0))</f>
        <v>0</v>
      </c>
      <c r="PJ25" s="784">
        <f t="array" ref="PJ25">IF('Customer Inputs'!$W$21="End",0,IF($OS$2="Existing",IFERROR(SUMIFS('Existing Customers'!$V:$V,'Existing Customers'!$H:$H,$OQ25,'Existing Customers'!$A:$A,$OR$1)/SUMIFS('Existing Customers'!$Q:$Q,'Existing Customers'!$H:$H,$OQ25,'Existing Customers'!$A:$A,$OR$1),0),IFERROR(IF($PB25="SEGMENT",INDEX('Margin Guidence Table'!$A$1:$AG$10000,MATCH(1,('Margin Guidence Table'!$A$1:$A$10000=OZ25)*('Margin Guidence Table'!$I$1:$I$10000&lt;=ROUND($OR$3,0))*('Margin Guidence Table'!$J$1:$J$10000&gt;=ROUND($OR$3,0)),0),MATCH("CIA_MEDIAN_MARGIN_GUIDENCE",'Margin Guidence Table'!$A$1:$AG$1,0)),INDEX('Margin Guidence Table'!$A$1:$AG$10000,MATCH(1,('Margin Guidence Table'!$A$1:$A$10000=OZ25)*('Margin Guidence Table'!$I$1:$I$10000&lt;=ROUND($OR$3,0))*('Margin Guidence Table'!$J$1:$J$10000&gt;=ROUND($OR$3,0)),0),MATCH("DEFAULT_CIA_MEDIAN_MARGIN_GUIDENCE",'Margin Guidence Table'!$A$1:$AG$1,0))),0)))</f>
        <v>0</v>
      </c>
      <c r="PK25" s="784"/>
      <c r="PL25" s="18">
        <f t="array" ref="PL25">IF('Customer Inputs'!$W$22="End",0,IFERROR(IF($PY25="SEGMENT",INDEX('Margin Guidence Table'!$A$1:$AG$10000,MATCH(1,('Margin Guidence Table'!$A$1:$A$10000=$PW25)*('Margin Guidence Table'!$I$1:$I$10000&lt;=ROUND($PO$3,0))*('Margin Guidence Table'!$J$1:$J$10000&gt;=ROUND($PO$3,0)),0),MATCH("PCT_SALES",'Margin Guidence Table'!$A$1:$AG$1,0)),INDEX('Margin Guidence Table'!$A$1:$AG$10000,MATCH(1,('Margin Guidence Table'!$A$1:$A$10000=$PW25)*('Margin Guidence Table'!$I$1:$I$10000&lt;=ROUND($PO$3,0))*('Margin Guidence Table'!$J$1:$J$10000&gt;=ROUND($PO$3,0)),0),MATCH("DEFAULT_PCT_SALES",'Margin Guidence Table'!$A$1:$AG$1,0))),0))</f>
        <v>0</v>
      </c>
      <c r="PM25" s="1713" t="e">
        <f t="shared" si="64"/>
        <v>#DIV/0!</v>
      </c>
      <c r="PN25" s="99" t="s">
        <v>93</v>
      </c>
      <c r="PO25" s="91">
        <f>IF('Customer Inputs'!$W$22="End",0,IFERROR(IF(AND($PO$2&lt;&gt;"Enter Spend&gt;&gt;&gt;",$PP$2="EXISTING"),SUMIFS('Existing Customers'!$Q:$Q,'Existing Customers'!$A:$A,$PO$1,'Existing Customers'!$H:$H,$PN25)*$PO$4,$PO$3*$PM25),0))</f>
        <v>0</v>
      </c>
      <c r="PP25" s="86">
        <f>IF('Customer Inputs'!$W$22="End",0,IFERROR(IF(AND($PO$2&lt;&gt;"Enter Spend&gt;&gt;&gt;",$PP$2="EXISTING"),SUMIFS('Existing Customers'!$N:$N,'Existing Customers'!$A:$A,$PO$1,'Existing Customers'!$H:$H,$PN25)*$PO$4,$PO25/$PZ25),0))</f>
        <v>0</v>
      </c>
      <c r="PQ25" s="92">
        <f>IF('Customer Inputs'!$W$22="End",0,IFERROR(IF(AND($PO$2&lt;&gt;"Enter Spend&gt;&gt;&gt;",$PP$2="EXISTING"),SUMIFS('Existing Customers'!$O:$O,'Existing Customers'!$H:$H,$PN25,'Existing Customers'!$A:$A,$PO$1)*$PO$4,$PP25*$PO$8),0))</f>
        <v>0</v>
      </c>
      <c r="PR25" s="92">
        <f>IF('Customer Inputs'!$W$22="End",0,IFERROR(IF(AND($PO$2&lt;&gt;"Enter Spend&gt;&gt;&gt;",$PP$2="EXISTING"),SUMIFS('Existing Customers'!$P:$P,'Existing Customers'!$A:$A,$PO$1,'Existing Customers'!$H:$H,$PN25)*$PO$4,$PO25/$QA25),0))</f>
        <v>0</v>
      </c>
      <c r="PS25" s="303">
        <f>IF('Customer Inputs'!$W$22="End",0,IFERROR(IF(AND($PO$2&lt;&gt;"Enter Spend&gt;&gt;&gt;",$PP$2="EXISTING"),SUMIFS('Existing Customers'!$V:$V,'Existing Customers'!$H:$H,$PN25,'Existing Customers'!$A:$A,$PO$1)*$PO$4,0),0))</f>
        <v>0</v>
      </c>
      <c r="PT25" s="93">
        <f>IF('Customer Inputs'!$W$22="End",0,IFERROR(IF(AND($PO$2&lt;&gt;"Enter Spend&gt;&gt;&gt;",$PP$2="EXISTING"),SUMIFS('Existing Customers'!$R:$R,'Existing Customers'!$H:$H,$PN25,'Existing Customers'!$A:$A,$PO$1)*$PO$4,0),0))</f>
        <v>0</v>
      </c>
      <c r="PU25" s="780">
        <f>IF('Customer Inputs'!$W$22="End",0,IFERROR(IF(AND($PO$2&lt;&gt;"Enter Spend&gt;&gt;&gt;",$PP$2="EXISTING"),SUMIFS('Existing Customers'!$S:$S,'Existing Customers'!$H:$H,$PN25,'Existing Customers'!$A:$A,$PO$1)/SUMIFS('Existing Customers'!$Q:$Q,'Existing Customers'!$A:$A,$PO$1,'Existing Customers'!$H:$H,$PN25),QE25),0))</f>
        <v>0</v>
      </c>
      <c r="PV25" s="780">
        <f>IF('Customer Inputs'!$W$22="End",0,IFERROR(IF(AND($PO$2&lt;&gt;"Enter Spend&gt;&gt;&gt;",$PP$2="EXISTING"),SUMIFS('Existing Customers'!$U:$U,'Existing Customers'!$H:$H,$PN25,'Existing Customers'!$A:$A,$PO$1)/SUMIFS('Existing Customers'!$Q:$Q,'Existing Customers'!$A:$A,$PO$1,'Existing Customers'!$H:$H,$PN25),QF25),0))</f>
        <v>0</v>
      </c>
      <c r="PW25" s="783" t="e">
        <f>_xlfn.CONCAT('Customer Inputs'!$AH$22,"_",PN25)</f>
        <v>#N/A</v>
      </c>
      <c r="PX25" s="783">
        <f t="array" ref="PX25">IF('Customer Inputs'!$W$22="End",0,IFERROR(INDEX('Margin Guidence Table'!$A$1:$AG$10000,MATCH(1,('Margin Guidence Table'!$A$1:$A$10000=PW25)*('Margin Guidence Table'!$I$1:$I$10000&lt;=ROUND($PO$3,0))*('Margin Guidence Table'!$J$1:$J$10000&gt;=ROUND($PO$3,0)),0),MATCH("DATA_POINTS",'Margin Guidence Table'!$A$1:$AG$1,0)),0))</f>
        <v>0</v>
      </c>
      <c r="PY25" s="780" t="str">
        <f t="shared" si="65"/>
        <v>DEFAULT</v>
      </c>
      <c r="PZ25" s="780">
        <f t="array" ref="PZ25">IF('Customer Inputs'!$W$22="End",0,IFERROR(IF($PY25="SEGMENT",INDEX('Margin Guidence Table'!$A$1:$AG$10000,MATCH(1,('Margin Guidence Table'!$A$1:$A$10000=PW25)*('Margin Guidence Table'!$I$1:$I$10000&lt;=ROUND($PO$3,0))*('Margin Guidence Table'!$J$1:$J$10000&gt;=ROUND($PO$3,0)),0),MATCH("SALES_CASE",'Margin Guidence Table'!$A$1:$AG$1,0)),INDEX('Margin Guidence Table'!$A$1:$AG$10000,MATCH(1,('Margin Guidence Table'!$A$1:$A$10000=PW25)*('Margin Guidence Table'!$I$1:$I$10000&lt;=ROUND($PO$3,0))*('Margin Guidence Table'!$J$1:$J$10000&gt;=ROUND($PO$3,0)),0),MATCH("DEFAULT_SALES_CASE",'Margin Guidence Table'!$A$1:$AG$1,0))),0))</f>
        <v>0</v>
      </c>
      <c r="QA25" s="780">
        <f t="array" ref="QA25">IF('Customer Inputs'!$W$22="End",0,IFERROR(IF($PY25="SEGMENT",INDEX('Margin Guidence Table'!$A$1:$AG$10000,MATCH(1,('Margin Guidence Table'!$A$1:$A$10000=PW25)*('Margin Guidence Table'!$I$1:$I$10000&lt;=ROUND($PO$3,0))*('Margin Guidence Table'!$J$1:$J$10000&gt;=ROUND($PO$3,0)),0),MATCH("SALES_LBS",'Margin Guidence Table'!$A$1:$AG$1,0)),INDEX('Margin Guidence Table'!$A$1:$AG$10000,MATCH(1,('Margin Guidence Table'!$A$1:$A$10000=PW25)*('Margin Guidence Table'!$I$1:$I$10000&lt;=ROUND($PO$3,0))*('Margin Guidence Table'!$J$1:$J$10000&gt;=ROUND($PO$3,0)),0),MATCH("DEFAULT_SALES_LBS",'Margin Guidence Table'!$A$1:$AG$1,0))),0))</f>
        <v>0</v>
      </c>
      <c r="QB25" s="784">
        <f t="array" ref="QB25">IF('Customer Inputs'!$W$22="End",0,IFERROR(IF($PY25="SEGMENT",INDEX('Margin Guidence Table'!$A$1:$AG$10000,MATCH(1,('Margin Guidence Table'!$A$1:$A$10000=PW25)*('Margin Guidence Table'!$I$1:$I$10000&lt;=ROUND($PO$3,0))*('Margin Guidence Table'!$J$1:$J$10000&gt;=ROUND($PO$3,0)),0),MATCH("MDA_MIN_MARGIN_GUIDENCE",'Margin Guidence Table'!$A$1:$AG$1,0)),INDEX('Margin Guidence Table'!$A$1:$AG$10000,MATCH(1,('Margin Guidence Table'!$A$1:$A$10000=PW25)*('Margin Guidence Table'!$I$1:$I$10000&lt;=ROUND($PO$3,0))*('Margin Guidence Table'!$J$1:$J$10000&gt;=ROUND($PO$3,0)),0),MATCH("DEFAULT_MDA_MIN_MARGIN_GUIDENCE",'Margin Guidence Table'!$A$1:$AG$1,0))),0))</f>
        <v>0</v>
      </c>
      <c r="QC25" s="784">
        <f t="array" ref="QC25">IF('Customer Inputs'!$W$22="End",0,IFERROR(IF($PY25="SEGMENT",INDEX('Margin Guidence Table'!$A$1:$AG$10000,MATCH(1,('Margin Guidence Table'!$A$1:$A$10000=PW25)*('Margin Guidence Table'!$I$1:$I$10000&lt;=ROUND($PO$3,0))*('Margin Guidence Table'!$J$1:$J$10000&gt;=ROUND($PO$3,0)),0),MATCH("MDA_MEDIAN_MARGIN_GUIDENCE",'Margin Guidence Table'!$A$1:$AG$1,0)),INDEX('Margin Guidence Table'!$A$1:$AG$10000,MATCH(1,('Margin Guidence Table'!$A$1:$A$10000=PW25)*('Margin Guidence Table'!$I$1:$I$10000&lt;=ROUND($PO$3,0))*('Margin Guidence Table'!$J$1:$J$10000&gt;=ROUND($PO$3,0)),0),MATCH("DEFAULT_MDA_MEDIAN_MARGIN_GUIDENCE",'Margin Guidence Table'!$A$1:$AG$1,0))),0))</f>
        <v>0</v>
      </c>
      <c r="QD25" s="784">
        <f t="array" ref="QD25">IF('Customer Inputs'!$W$22="End",0,IFERROR(IF($PY25="SEGMENT",INDEX('Margin Guidence Table'!$A$1:$AG$10000,MATCH(1,('Margin Guidence Table'!$A$1:$A$10000=PW25)*('Margin Guidence Table'!$I$1:$I$10000&lt;=ROUND($PO$3,0))*('Margin Guidence Table'!$J$1:$J$10000&gt;=ROUND($PO$3,0)),0),MATCH("MDA_MAX_MARGIN_GUIDENCE",'Margin Guidence Table'!$A$1:$AG$1,0)),INDEX('Margin Guidence Table'!$A$1:$AG$10000,MATCH(1,('Margin Guidence Table'!$A$1:$A$10000=PW25)*('Margin Guidence Table'!$I$1:$I$10000&lt;=ROUND($PO$3,0))*('Margin Guidence Table'!$J$1:$J$10000&gt;=ROUND($PO$3,0)),0),MATCH("DEFAULT_MDA_MAX_MARGIN_GUIDENCE",'Margin Guidence Table'!$A$1:$AG$1,0))),0))</f>
        <v>0</v>
      </c>
      <c r="QE25" s="784">
        <f t="array" ref="QE25">IF('Customer Inputs'!$W$22="End",0,IFERROR(IF($PY25="SEGMENT",INDEX('Margin Guidence Table'!$A$1:$AG$10000,MATCH(1,('Margin Guidence Table'!$A$1:$A$10000=PW25)*('Margin Guidence Table'!$I$1:$I$10000&lt;=ROUND($PO$3,0))*('Margin Guidence Table'!$J$1:$J$10000&gt;=ROUND($PO$3,0)),0),MATCH("PA_PCT_SALES",'Margin Guidence Table'!$A$1:$AG$1,0)),INDEX('Margin Guidence Table'!$A$1:$AG$10000,MATCH(1,('Margin Guidence Table'!$A$1:$A$10000=PW25)*('Margin Guidence Table'!$I$1:$I$10000&lt;=ROUND($PO$3,0))*('Margin Guidence Table'!$J$1:$J$10000&gt;=ROUND($PO$3,0)),0),MATCH("DEFAULT_PA_PCT_SALES",'Margin Guidence Table'!$A$1:$AG$1,0))),0))</f>
        <v>0</v>
      </c>
      <c r="QF25" s="784">
        <f t="array" ref="QF25">IF('Customer Inputs'!$W$22="End",0,IFERROR(IF($PY25="SEGMENT",INDEX('Margin Guidence Table'!$A$1:$AG$10000,MATCH(1,('Margin Guidence Table'!$A$1:$A$10000=PW25)*('Margin Guidence Table'!$I$1:$I$10000&lt;=ROUND($PO$3,0))*('Margin Guidence Table'!$J$1:$J$10000&gt;=ROUND($PO$3,0)),0),MATCH("SELF_FUND_PCT_SALES",'Margin Guidence Table'!$A$1:$AG$1,0)),INDEX('Margin Guidence Table'!$A$1:$AG$10000,MATCH(1,('Margin Guidence Table'!$A$1:$A$10000=PW25)*('Margin Guidence Table'!$I$1:$I$10000&lt;=ROUND($PO$3,0))*('Margin Guidence Table'!$J$1:$J$10000&gt;=ROUND($PO$3,0)),0),MATCH("DEFAULT_SELF_FUND_PCT_SALES",'Margin Guidence Table'!$A$1:$AG$1,0))),0))</f>
        <v>0</v>
      </c>
      <c r="QG25" s="784">
        <f t="array" ref="QG25">IF('Customer Inputs'!$W$22="End",0,IF($PP$2="Existing",IFERROR(SUMIFS('Existing Customers'!$V:$V,'Existing Customers'!$H:$H,$PN25,'Existing Customers'!$A:$A,$PO$1)/SUMIFS('Existing Customers'!$Q:$Q,'Existing Customers'!$H:$H,$PN25,'Existing Customers'!$A:$A,$PO$1),0),IFERROR(IF($PY25="SEGMENT",INDEX('Margin Guidence Table'!$A$1:$AG$10000,MATCH(1,('Margin Guidence Table'!$A$1:$A$10000=PW25)*('Margin Guidence Table'!$I$1:$I$10000&lt;=ROUND($PO$3,0))*('Margin Guidence Table'!$J$1:$J$10000&gt;=ROUND($PO$3,0)),0),MATCH("CIA_MEDIAN_MARGIN_GUIDENCE",'Margin Guidence Table'!$A$1:$AG$1,0)),INDEX('Margin Guidence Table'!$A$1:$AG$10000,MATCH(1,('Margin Guidence Table'!$A$1:$A$10000=PW25)*('Margin Guidence Table'!$I$1:$I$10000&lt;=ROUND($PO$3,0))*('Margin Guidence Table'!$J$1:$J$10000&gt;=ROUND($PO$3,0)),0),MATCH("DEFAULT_CIA_MEDIAN_MARGIN_GUIDENCE",'Margin Guidence Table'!$A$1:$AG$1,0))),0)))</f>
        <v>0</v>
      </c>
      <c r="QH25" s="784"/>
      <c r="QI25" s="18">
        <f t="array" ref="QI25">IF('Customer Inputs'!$W$23="End",0,IFERROR(IF($QV25="SEGMENT",INDEX('Margin Guidence Table'!$A$1:$AG$10000,MATCH(1,('Margin Guidence Table'!$A$1:$A$10000=$QT25)*('Margin Guidence Table'!$I$1:$I$10000&lt;=ROUND($QL$3,0))*('Margin Guidence Table'!$J$1:$J$10000&gt;=ROUND($QL$3,0)),0),MATCH("PCT_SALES",'Margin Guidence Table'!$A$1:$AG$1,0)),INDEX('Margin Guidence Table'!$A$1:$AG$10000,MATCH(1,('Margin Guidence Table'!$A$1:$A$10000=$QT25)*('Margin Guidence Table'!$I$1:$I$10000&lt;=ROUND($QL$3,0))*('Margin Guidence Table'!$J$1:$J$10000&gt;=ROUND($QL$3,0)),0),MATCH("DEFAULT_PCT_SALES",'Margin Guidence Table'!$A$1:$AG$1,0))),0))</f>
        <v>0</v>
      </c>
      <c r="QJ25" s="1713" t="e">
        <f t="shared" si="66"/>
        <v>#DIV/0!</v>
      </c>
      <c r="QK25" s="99" t="s">
        <v>93</v>
      </c>
      <c r="QL25" s="91">
        <f>IF('Customer Inputs'!$W$23="End",0,IFERROR(IF(AND($QL$2&lt;&gt;"Enter Spend&gt;&gt;&gt;",$QM$2="EXISTING"),SUMIFS('Existing Customers'!$Q:$Q,'Existing Customers'!$A:$A,$QL$1,'Existing Customers'!$H:$H,$QK25)*$QL$4,$QL$3*$QJ25),0))</f>
        <v>0</v>
      </c>
      <c r="QM25" s="86">
        <f>IF('Customer Inputs'!$W$23="End",0,IFERROR(IF(AND($QL$2&lt;&gt;"Enter Spend&gt;&gt;&gt;",$QM$2="EXISTING"),SUMIFS('Existing Customers'!$N:$N,'Existing Customers'!$A:$A,$QL$1,'Existing Customers'!$H:$H,$QK25)*$QL$4,$QL25/$QW25),0))</f>
        <v>0</v>
      </c>
      <c r="QN25" s="92">
        <f>IF('Customer Inputs'!$W$23="End",0,IFERROR(IF(AND($QL$2&lt;&gt;"Enter Spend&gt;&gt;&gt;",$QM$2="EXISTING"),SUMIFS('Existing Customers'!$O:$O,'Existing Customers'!$H:$H,$QK25,'Existing Customers'!$A:$A,$QL$1)*$QL$4,$QM25*$QL$8),0))</f>
        <v>0</v>
      </c>
      <c r="QO25" s="92">
        <f>IF('Customer Inputs'!$W$23="End",0,IFERROR(IF(AND($QL$2&lt;&gt;"Enter Spend&gt;&gt;&gt;",$QM$2="EXISTING"),SUMIFS('Existing Customers'!$P:$P,'Existing Customers'!$A:$A,$QL$1,'Existing Customers'!$H:$H,$QK25)*$QL$4,$QL25/$QX25),0))</f>
        <v>0</v>
      </c>
      <c r="QP25" s="303">
        <f>IF('Customer Inputs'!$W$23="End",0,IFERROR(IF(AND($QL$2&lt;&gt;"Enter Spend&gt;&gt;&gt;",$QM$2="EXISTING"),SUMIFS('Existing Customers'!$V:$V,'Existing Customers'!$H:$H,$QK25,'Existing Customers'!$A:$A,$QL$1)*$QL$4,0),0))</f>
        <v>0</v>
      </c>
      <c r="QQ25" s="93">
        <f>IF('Customer Inputs'!$W$23="End",0,IFERROR(IF(AND($QL$2&lt;&gt;"Enter Spend&gt;&gt;&gt;",$QM$2="EXISTING"),SUMIFS('Existing Customers'!$R:$R,'Existing Customers'!$H:$H,$QK25,'Existing Customers'!$A:$A,$QL$1)*$QL$4,0),0))</f>
        <v>0</v>
      </c>
      <c r="QR25" s="780">
        <f>IF('Customer Inputs'!$W$23="End",0,IFERROR(IF(AND($QL$2&lt;&gt;"Enter Spend&gt;&gt;&gt;",$QM$2="EXISTING"),SUMIFS('Existing Customers'!$S:$S,'Existing Customers'!$H:$H,$QK25,'Existing Customers'!$A:$A,$QL$1)/SUMIFS('Existing Customers'!$Q:$Q,'Existing Customers'!$A:$A,$QL$1,'Existing Customers'!$H:$H,$QK25),RB25),0))</f>
        <v>0</v>
      </c>
      <c r="QS25" s="780">
        <f>IF('Customer Inputs'!$W$23="End",0,IFERROR(IF(AND($QL$2&lt;&gt;"Enter Spend&gt;&gt;&gt;",$QM$2="EXISTING"),SUMIFS('Existing Customers'!$U:$U,'Existing Customers'!$H:$H,$QK25,'Existing Customers'!$A:$A,$QL$1)/SUMIFS('Existing Customers'!$Q:$Q,'Existing Customers'!$A:$A,$QL$1,'Existing Customers'!$H:$H,$QK25),RC25),0))</f>
        <v>0</v>
      </c>
      <c r="QT25" s="783" t="e">
        <f>_xlfn.CONCAT('Customer Inputs'!$AH$23,"_",QK25)</f>
        <v>#N/A</v>
      </c>
      <c r="QU25" s="783">
        <f t="array" ref="QU25">IF('Customer Inputs'!$W$23="End",0,IFERROR(INDEX('Margin Guidence Table'!$A$1:$AG$10000,MATCH(1,('Margin Guidence Table'!$A$1:$A$10000=QT25)*('Margin Guidence Table'!$I$1:$I$10000&lt;=ROUND($QL$3,0))*('Margin Guidence Table'!$J$1:$J$10000&gt;=ROUND($QL$3,0)),0),MATCH("DATA_POINTS",'Margin Guidence Table'!$A$1:$AG$1,0)),0))</f>
        <v>0</v>
      </c>
      <c r="QV25" s="780" t="str">
        <f t="shared" si="67"/>
        <v>DEFAULT</v>
      </c>
      <c r="QW25" s="780">
        <f t="array" ref="QW25">IF('Customer Inputs'!$W$23="End",0,IFERROR(IF($QV25="SEGMENT",INDEX('Margin Guidence Table'!$A$1:$AG$10000,MATCH(1,('Margin Guidence Table'!$A$1:$A$10000=QT25)*('Margin Guidence Table'!$I$1:$I$10000&lt;=ROUND($QL$3,0))*('Margin Guidence Table'!$J$1:$J$10000&gt;=ROUND($QL$3,0)),0),MATCH("SALES_CASE",'Margin Guidence Table'!$A$1:$AG$1,0)),INDEX('Margin Guidence Table'!$A$1:$AG$10000,MATCH(1,('Margin Guidence Table'!$A$1:$A$10000=QT25)*('Margin Guidence Table'!$I$1:$I$10000&lt;=ROUND($QL$3,0))*('Margin Guidence Table'!$J$1:$J$10000&gt;=ROUND($QL$3,0)),0),MATCH("DEFAULT_SALES_CASE",'Margin Guidence Table'!$A$1:$AG$1,0))),0))</f>
        <v>0</v>
      </c>
      <c r="QX25" s="780">
        <f t="array" ref="QX25">IF('Customer Inputs'!$W$23="End",0,IFERROR(IF($QV25="SEGMENT",INDEX('Margin Guidence Table'!$A$1:$AG$10000,MATCH(1,('Margin Guidence Table'!$A$1:$A$10000=QT25)*('Margin Guidence Table'!$I$1:$I$10000&lt;=ROUND($QL$3,0))*('Margin Guidence Table'!$J$1:$J$10000&gt;=ROUND($QL$3,0)),0),MATCH("SALES_LBS",'Margin Guidence Table'!$A$1:$AG$1,0)),INDEX('Margin Guidence Table'!$A$1:$AG$10000,MATCH(1,('Margin Guidence Table'!$A$1:$A$10000=QT25)*('Margin Guidence Table'!$I$1:$I$10000&lt;=ROUND($QL$3,0))*('Margin Guidence Table'!$J$1:$J$10000&gt;=ROUND($QL$3,0)),0),MATCH("DEFAULT_SALES_LBS",'Margin Guidence Table'!$A$1:$AG$1,0))),0))</f>
        <v>0</v>
      </c>
      <c r="QY25" s="784">
        <f t="array" ref="QY25">IF('Customer Inputs'!$W$23="End",0,IFERROR(IF($QV25="SEGMENT",INDEX('Margin Guidence Table'!$A$1:$AG$10000,MATCH(1,('Margin Guidence Table'!$A$1:$A$10000=QT25)*('Margin Guidence Table'!$I$1:$I$10000&lt;=ROUND($QL$3,0))*('Margin Guidence Table'!$J$1:$J$10000&gt;=ROUND($QL$3,0)),0),MATCH("MDA_MIN_MARGIN_GUIDENCE",'Margin Guidence Table'!$A$1:$AG$1,0)),INDEX('Margin Guidence Table'!$A$1:$AG$10000,MATCH(1,('Margin Guidence Table'!$A$1:$A$10000=QT25)*('Margin Guidence Table'!$I$1:$I$10000&lt;=ROUND($QL$3,0))*('Margin Guidence Table'!$J$1:$J$10000&gt;=ROUND($QL$3,0)),0),MATCH("DEFAULT_MDA_MIN_MARGIN_GUIDENCE",'Margin Guidence Table'!$A$1:$AG$1,0))),0))</f>
        <v>0</v>
      </c>
      <c r="QZ25" s="784">
        <f t="array" ref="QZ25">IF('Customer Inputs'!$W$23="End",0,IFERROR(IF($QV25="SEGMENT",INDEX('Margin Guidence Table'!$A$1:$AG$10000,MATCH(1,('Margin Guidence Table'!$A$1:$A$10000=QT25)*('Margin Guidence Table'!$I$1:$I$10000&lt;=ROUND($QL$3,0))*('Margin Guidence Table'!$J$1:$J$10000&gt;=ROUND($QL$3,0)),0),MATCH("MDA_MEDIAN_MARGIN_GUIDENCE",'Margin Guidence Table'!$A$1:$AG$1,0)),INDEX('Margin Guidence Table'!$A$1:$AG$10000,MATCH(1,('Margin Guidence Table'!$A$1:$A$10000=QT25)*('Margin Guidence Table'!$I$1:$I$10000&lt;=ROUND($QL$3,0))*('Margin Guidence Table'!$J$1:$J$10000&gt;=ROUND($QL$3,0)),0),MATCH("DEFAULT_MDA_MEDIAN_MARGIN_GUIDENCE",'Margin Guidence Table'!$A$1:$AG$1,0))),0))</f>
        <v>0</v>
      </c>
      <c r="RA25" s="784">
        <f t="array" ref="RA25">IF('Customer Inputs'!$W$23="End",0,IFERROR(IF($QV25="SEGMENT",INDEX('Margin Guidence Table'!$A$1:$AG$10000,MATCH(1,('Margin Guidence Table'!$A$1:$A$10000=QT25)*('Margin Guidence Table'!$I$1:$I$10000&lt;=ROUND($QL$3,0))*('Margin Guidence Table'!$J$1:$J$10000&gt;=ROUND($QL$3,0)),0),MATCH("MDA_MAX_MARGIN_GUIDENCE",'Margin Guidence Table'!$A$1:$AG$1,0)),INDEX('Margin Guidence Table'!$A$1:$AG$10000,MATCH(1,('Margin Guidence Table'!$A$1:$A$10000=QT25)*('Margin Guidence Table'!$I$1:$I$10000&lt;=ROUND($QL$3,0))*('Margin Guidence Table'!$J$1:$J$10000&gt;=ROUND($QL$3,0)),0),MATCH("DEFAULT_MDA_MAX_MARGIN_GUIDENCE",'Margin Guidence Table'!$A$1:$AG$1,0))),0))</f>
        <v>0</v>
      </c>
      <c r="RB25" s="784">
        <f t="array" ref="RB25">IF('Customer Inputs'!$W$23="End",0,IFERROR(IF($QV25="SEGMENT",INDEX('Margin Guidence Table'!$A$1:$AG$10000,MATCH(1,('Margin Guidence Table'!$A$1:$A$10000=QT25)*('Margin Guidence Table'!$I$1:$I$10000&lt;=ROUND($QL$3,0))*('Margin Guidence Table'!$J$1:$J$10000&gt;=ROUND($QL$3,0)),0),MATCH("PA_PCT_SALES",'Margin Guidence Table'!$A$1:$AG$1,0)),INDEX('Margin Guidence Table'!$A$1:$AG$10000,MATCH(1,('Margin Guidence Table'!$A$1:$A$10000=QT25)*('Margin Guidence Table'!$I$1:$I$10000&lt;=ROUND($QL$3,0))*('Margin Guidence Table'!$J$1:$J$10000&gt;=ROUND($QL$3,0)),0),MATCH("DEFAULT_PA_PCT_SALES",'Margin Guidence Table'!$A$1:$AG$1,0))),0))</f>
        <v>0</v>
      </c>
      <c r="RC25" s="784">
        <f t="array" ref="RC25">IF('Customer Inputs'!$W$23="End",0,IFERROR(IF($QV25="SEGMENT",INDEX('Margin Guidence Table'!$A$1:$AG$10000,MATCH(1,('Margin Guidence Table'!$A$1:$A$10000=QT25)*('Margin Guidence Table'!$I$1:$I$10000&lt;=ROUND($QL$3,0))*('Margin Guidence Table'!$J$1:$J$10000&gt;=ROUND($QL$3,0)),0),MATCH("SELF_FUND_PCT_SALES",'Margin Guidence Table'!$A$1:$AG$1,0)),INDEX('Margin Guidence Table'!$A$1:$AG$10000,MATCH(1,('Margin Guidence Table'!$A$1:$A$10000=QT25)*('Margin Guidence Table'!$I$1:$I$10000&lt;=ROUND($QL$3,0))*('Margin Guidence Table'!$J$1:$J$10000&gt;=ROUND($QL$3,0)),0),MATCH("DEFAULT_SELF_FUND_PCT_SALES",'Margin Guidence Table'!$A$1:$AG$1,0))),0))</f>
        <v>0</v>
      </c>
      <c r="RD25" s="784">
        <f t="array" ref="RD25">IF('Customer Inputs'!$W$23="End",0,IF($QM$2="Existing",IFERROR(SUMIFS('Existing Customers'!$V:$V,'Existing Customers'!$H:$H,$QK25,'Existing Customers'!$A:$A,$QL$1)/SUMIFS('Existing Customers'!$Q:$Q,'Existing Customers'!$H:$H,$QK25,'Existing Customers'!$A:$A,$QL$1),0),IFERROR(IF($QV25="SEGMENT",INDEX('Margin Guidence Table'!$A$1:$AG$10000,MATCH(1,('Margin Guidence Table'!$A$1:$A$10000=QT25)*('Margin Guidence Table'!$I$1:$I$10000&lt;=ROUND($QL$3,0))*('Margin Guidence Table'!$J$1:$J$10000&gt;=ROUND($QL$3,0)),0),MATCH("CIA_MEDIAN_MARGIN_GUIDENCE",'Margin Guidence Table'!$A$1:$AG$1,0)),INDEX('Margin Guidence Table'!$A$1:$AG$10000,MATCH(1,('Margin Guidence Table'!$A$1:$A$10000=QT25)*('Margin Guidence Table'!$I$1:$I$10000&lt;=ROUND($QL$3,0))*('Margin Guidence Table'!$J$1:$J$10000&gt;=ROUND($QL$3,0)),0),MATCH("DEFAULT_CIA_MEDIAN_MARGIN_GUIDENCE",'Margin Guidence Table'!$A$1:$AG$1,0))),0)))</f>
        <v>0</v>
      </c>
      <c r="RE25" s="784"/>
      <c r="RF25" s="18">
        <f t="array" ref="RF25">IF('Customer Inputs'!$W$24="End",0,IFERROR(IF($RS25="SEGMENT",INDEX('Margin Guidence Table'!$A$1:$AG$10000,MATCH(1,('Margin Guidence Table'!$A$1:$A$10000=$RQ25)*('Margin Guidence Table'!$I$1:$I$10000&lt;=ROUND($RI$3,0))*('Margin Guidence Table'!$J$1:$J$10000&gt;=ROUND($RI$3,0)),0),MATCH("PCT_SALES",'Margin Guidence Table'!$A$1:$AG$1,0)),INDEX('Margin Guidence Table'!$A$1:$AG$10000,MATCH(1,('Margin Guidence Table'!$A$1:$A$10000=$RQ25)*('Margin Guidence Table'!$I$1:$I$10000&lt;=ROUND($RI$3,0))*('Margin Guidence Table'!$J$1:$J$10000&gt;=ROUND($RI$3,0)),0),MATCH("DEFAULT_PCT_SALES",'Margin Guidence Table'!$A$1:$AG$1,0))),0))</f>
        <v>0</v>
      </c>
      <c r="RG25" s="1713" t="e">
        <f t="shared" si="68"/>
        <v>#DIV/0!</v>
      </c>
      <c r="RH25" s="99" t="s">
        <v>93</v>
      </c>
      <c r="RI25" s="91">
        <f>IF('Customer Inputs'!$W$24="End",0,IFERROR(IF(AND($RI$2&lt;&gt;"Enter Spend&gt;&gt;&gt;",$RJ$2="EXISTING"),SUMIFS('Existing Customers'!$Q:$Q,'Existing Customers'!$A:$A,$RI$1,'Existing Customers'!$H:$H,$RH25)*$RI$4,$RI$3*$RG25),0))</f>
        <v>0</v>
      </c>
      <c r="RJ25" s="86">
        <f>IF('Customer Inputs'!$W$24="End",0,IFERROR(IF(AND($RI$2&lt;&gt;"Enter Spend&gt;&gt;&gt;",$RJ$2="EXISTING"),SUMIFS('Existing Customers'!$N:$N,'Existing Customers'!$A:$A,$RI$1,'Existing Customers'!$H:$H,$RH25)*$RI$4,$RI25/$RT25),0))</f>
        <v>0</v>
      </c>
      <c r="RK25" s="92">
        <f>IF('Customer Inputs'!$W$24="End",0,IFERROR(IF(AND($RI$2&lt;&gt;"Enter Spend&gt;&gt;&gt;",$RJ$2="EXISTING"),SUMIFS('Existing Customers'!$O:$O,'Existing Customers'!$H:$H,$RH25,'Existing Customers'!$A:$A,$RI$1)*$RI$4,$RJ25*$RI$8),0))</f>
        <v>0</v>
      </c>
      <c r="RL25" s="92">
        <f>IF('Customer Inputs'!$W$24="End",0,IFERROR(IF(AND($RI$2&lt;&gt;"Enter Spend&gt;&gt;&gt;",$RJ$2="EXISTING"),SUMIFS('Existing Customers'!$P:$P,'Existing Customers'!$A:$A,$RI$1,'Existing Customers'!$H:$H,$RH25)*$RI$4,$RI25/$RU25),0))</f>
        <v>0</v>
      </c>
      <c r="RM25" s="303">
        <f>IF('Customer Inputs'!$W$24="End",0,IFERROR(IF(AND($RI$2&lt;&gt;"Enter Spend&gt;&gt;&gt;",$RJ$2="EXISTING"),SUMIFS('Existing Customers'!$V:$V,'Existing Customers'!$H:$H,$RH25,'Existing Customers'!$A:$A,$RI$1)*$RI$4,0),0))</f>
        <v>0</v>
      </c>
      <c r="RN25" s="93">
        <f>IF('Customer Inputs'!$W$24="End",0,IFERROR(IF(AND($RI$2&lt;&gt;"Enter Spend&gt;&gt;&gt;",$RJ$2="EXISTING"),SUMIFS('Existing Customers'!$R:$R,'Existing Customers'!$H:$H,$RH25,'Existing Customers'!$A:$A,$RI$1)*$RI$4,0),0))</f>
        <v>0</v>
      </c>
      <c r="RO25" s="780">
        <f>IF('Customer Inputs'!$W$24="End",0,IFERROR(IF(AND($RI$2&lt;&gt;"Enter Spend&gt;&gt;&gt;",$RJ$2="EXISTING"),SUMIFS('Existing Customers'!$S:$S,'Existing Customers'!$H:$H,$RH25,'Existing Customers'!$A:$A,$RI$1)/SUMIFS('Existing Customers'!$Q:$Q,'Existing Customers'!$A:$A,$RI$1,'Existing Customers'!$H:$H,$RH25),RY25),0))</f>
        <v>0</v>
      </c>
      <c r="RP25" s="780">
        <f>IF('Customer Inputs'!$W$24="End",0,IFERROR(IF(AND($RI$2&lt;&gt;"Enter Spend&gt;&gt;&gt;",$RJ$2="EXISTING"),SUMIFS('Existing Customers'!$U:$U,'Existing Customers'!$H:$H,$RH25,'Existing Customers'!$A:$A,$RI$1)/SUMIFS('Existing Customers'!$Q:$Q,'Existing Customers'!$A:$A,$RI$1,'Existing Customers'!$H:$H,$RH25),RZ25),0))</f>
        <v>0</v>
      </c>
      <c r="RQ25" s="783" t="e">
        <f>_xlfn.CONCAT('Customer Inputs'!$AH$24,"_",RH25)</f>
        <v>#N/A</v>
      </c>
      <c r="RR25" s="783">
        <f t="array" ref="RR25">IF('Customer Inputs'!$W$24="End",0,IFERROR(INDEX('Margin Guidence Table'!$A$1:$AG$10000,MATCH(1,('Margin Guidence Table'!$A$1:$A$10000=RQ25)*('Margin Guidence Table'!$I$1:$I$10000&lt;=ROUND($RI$3,0))*('Margin Guidence Table'!$J$1:$J$10000&gt;=ROUND($RI$3,0)),0),MATCH("DATA_POINTS",'Margin Guidence Table'!$A$1:$AG$1,0)),0))</f>
        <v>0</v>
      </c>
      <c r="RS25" s="780" t="str">
        <f t="shared" si="69"/>
        <v>DEFAULT</v>
      </c>
      <c r="RT25" s="780">
        <f t="array" ref="RT25">IF('Customer Inputs'!$W$24="End",0,IFERROR(IF($RS25="SEGMENT",INDEX('Margin Guidence Table'!$A$1:$AG$10000,MATCH(1,('Margin Guidence Table'!$A$1:$A$10000=RQ25)*('Margin Guidence Table'!$I$1:$I$10000&lt;=ROUND($RI$3,0))*('Margin Guidence Table'!$J$1:$J$10000&gt;=ROUND($RI$3,0)),0),MATCH("SALES_CASE",'Margin Guidence Table'!$A$1:$AG$1,0)),INDEX('Margin Guidence Table'!$A$1:$AG$10000,MATCH(1,('Margin Guidence Table'!$A$1:$A$10000=RQ25)*('Margin Guidence Table'!$I$1:$I$10000&lt;=ROUND($RI$3,0))*('Margin Guidence Table'!$J$1:$J$10000&gt;=ROUND($RI$3,0)),0),MATCH("DEFAULT_SALES_CASE",'Margin Guidence Table'!$A$1:$AG$1,0))),0))</f>
        <v>0</v>
      </c>
      <c r="RU25" s="780">
        <f t="array" ref="RU25">IF('Customer Inputs'!$W$24="End",0,IFERROR(IF($RS25="SEGMENT",INDEX('Margin Guidence Table'!$A$1:$AG$10000,MATCH(1,('Margin Guidence Table'!$A$1:$A$10000=RQ25)*('Margin Guidence Table'!$I$1:$I$10000&lt;=ROUND($RI$3,0))*('Margin Guidence Table'!$J$1:$J$10000&gt;=ROUND($RI$3,0)),0),MATCH("SALES_LBS",'Margin Guidence Table'!$A$1:$AG$1,0)),INDEX('Margin Guidence Table'!$A$1:$AG$10000,MATCH(1,('Margin Guidence Table'!$A$1:$A$10000=RQ25)*('Margin Guidence Table'!$I$1:$I$10000&lt;=ROUND($RI$3,0))*('Margin Guidence Table'!$J$1:$J$10000&gt;=ROUND($RI$3,0)),0),MATCH("DEFAULT_SALES_LBS",'Margin Guidence Table'!$A$1:$AG$1,0))),0))</f>
        <v>0</v>
      </c>
      <c r="RV25" s="784">
        <f t="array" ref="RV25">IF('Customer Inputs'!$W$24="End",0,IFERROR(IF($RS25="SEGMENT",INDEX('Margin Guidence Table'!$A$1:$AG$10000,MATCH(1,('Margin Guidence Table'!$A$1:$A$10000=RQ25)*('Margin Guidence Table'!$I$1:$I$10000&lt;=ROUND($RI$3,0))*('Margin Guidence Table'!$J$1:$J$10000&gt;=ROUND($RI$3,0)),0),MATCH("MDA_MIN_MARGIN_GUIDENCE",'Margin Guidence Table'!$A$1:$AG$1,0)),INDEX('Margin Guidence Table'!$A$1:$AG$10000,MATCH(1,('Margin Guidence Table'!$A$1:$A$10000=RQ25)*('Margin Guidence Table'!$I$1:$I$10000&lt;=ROUND($RI$3,0))*('Margin Guidence Table'!$J$1:$J$10000&gt;=ROUND($RI$3,0)),0),MATCH("DEFAULT_MDA_MIN_MARGIN_GUIDENCE",'Margin Guidence Table'!$A$1:$AG$1,0))),0))</f>
        <v>0</v>
      </c>
      <c r="RW25" s="784">
        <f t="array" ref="RW25">IF('Customer Inputs'!$W$24="End",0,IFERROR(IF($RS25="SEGMENT",INDEX('Margin Guidence Table'!$A$1:$AG$10000,MATCH(1,('Margin Guidence Table'!$A$1:$A$10000=RQ25)*('Margin Guidence Table'!$I$1:$I$10000&lt;=ROUND($RI$3,0))*('Margin Guidence Table'!$J$1:$J$10000&gt;=ROUND($RI$3,0)),0),MATCH("MDA_MEDIAN_MARGIN_GUIDENCE",'Margin Guidence Table'!$A$1:$AG$1,0)),INDEX('Margin Guidence Table'!$A$1:$AG$10000,MATCH(1,('Margin Guidence Table'!$A$1:$A$10000=RQ25)*('Margin Guidence Table'!$I$1:$I$10000&lt;=ROUND($RI$3,0))*('Margin Guidence Table'!$J$1:$J$10000&gt;=ROUND($RI$3,0)),0),MATCH("DEFAULT_MDA_MEDIAN_MARGIN_GUIDENCE",'Margin Guidence Table'!$A$1:$AG$1,0))),0))</f>
        <v>0</v>
      </c>
      <c r="RX25" s="784">
        <f t="array" ref="RX25">IF('Customer Inputs'!$W$24="End",0,IFERROR(IF($RS25="SEGMENT",INDEX('Margin Guidence Table'!$A$1:$AG$10000,MATCH(1,('Margin Guidence Table'!$A$1:$A$10000=RQ25)*('Margin Guidence Table'!$I$1:$I$10000&lt;=ROUND($RI$3,0))*('Margin Guidence Table'!$J$1:$J$10000&gt;=ROUND($RI$3,0)),0),MATCH("MDA_MAX_MARGIN_GUIDENCE",'Margin Guidence Table'!$A$1:$AG$1,0)),INDEX('Margin Guidence Table'!$A$1:$AG$10000,MATCH(1,('Margin Guidence Table'!$A$1:$A$10000=RQ25)*('Margin Guidence Table'!$I$1:$I$10000&lt;=ROUND($RI$3,0))*('Margin Guidence Table'!$J$1:$J$10000&gt;=ROUND($RI$3,0)),0),MATCH("DEFAULT_MDA_MAX_MARGIN_GUIDENCE",'Margin Guidence Table'!$A$1:$AG$1,0))),0))</f>
        <v>0</v>
      </c>
      <c r="RY25" s="784">
        <f t="array" ref="RY25">IF('Customer Inputs'!$W$24="End",0,IFERROR(IF($RS25="SEGMENT",INDEX('Margin Guidence Table'!$A$1:$AG$10000,MATCH(1,('Margin Guidence Table'!$A$1:$A$10000=RQ25)*('Margin Guidence Table'!$I$1:$I$10000&lt;=ROUND($RI$3,0))*('Margin Guidence Table'!$J$1:$J$10000&gt;=ROUND($RI$3,0)),0),MATCH("PA_PCT_SALES",'Margin Guidence Table'!$A$1:$AG$1,0)),INDEX('Margin Guidence Table'!$A$1:$AG$10000,MATCH(1,('Margin Guidence Table'!$A$1:$A$10000=RQ25)*('Margin Guidence Table'!$I$1:$I$10000&lt;=ROUND($RI$3,0))*('Margin Guidence Table'!$J$1:$J$10000&gt;=ROUND($RI$3,0)),0),MATCH("DEFAULT_PA_PCT_SALES",'Margin Guidence Table'!$A$1:$AG$1,0))),0))</f>
        <v>0</v>
      </c>
      <c r="RZ25" s="784">
        <f t="array" ref="RZ25">IF('Customer Inputs'!$W$24="End",0,IFERROR(IF($RS25="SEGMENT",INDEX('Margin Guidence Table'!$A$1:$AG$10000,MATCH(1,('Margin Guidence Table'!$A$1:$A$10000=RQ25)*('Margin Guidence Table'!$I$1:$I$10000&lt;=ROUND($RI$3,0))*('Margin Guidence Table'!$J$1:$J$10000&gt;=ROUND($RI$3,0)),0),MATCH("SELF_FUND_PCT_SALES",'Margin Guidence Table'!$A$1:$AG$1,0)),INDEX('Margin Guidence Table'!$A$1:$AG$10000,MATCH(1,('Margin Guidence Table'!$A$1:$A$10000=RQ25)*('Margin Guidence Table'!$I$1:$I$10000&lt;=ROUND($RI$3,0))*('Margin Guidence Table'!$J$1:$J$10000&gt;=ROUND($RI$3,0)),0),MATCH("DEFAULT_SELF_FUND_PCT_SALES",'Margin Guidence Table'!$A$1:$AG$1,0))),0))</f>
        <v>0</v>
      </c>
      <c r="SA25" s="784">
        <f t="array" ref="SA25">IF('Customer Inputs'!$W$24="End",0,IF($RJ$2="Existing",IFERROR(SUMIFS('Existing Customers'!$V:$V,'Existing Customers'!$H:$H,$RH25,'Existing Customers'!$A:$A,$RI$1)/SUMIFS('Existing Customers'!$Q:$Q,'Existing Customers'!$H:$H,$RH25,'Existing Customers'!$A:$A,$RI$1),0),IFERROR(IF($RS25="SEGMENT",INDEX('Margin Guidence Table'!$A$1:$AG$10000,MATCH(1,('Margin Guidence Table'!$A$1:$A$10000=RQ25)*('Margin Guidence Table'!$I$1:$I$10000&lt;=ROUND($RI$3,0))*('Margin Guidence Table'!$J$1:$J$10000&gt;=ROUND($RI$3,0)),0),MATCH("CIA_MEDIAN_MARGIN_GUIDENCE",'Margin Guidence Table'!$A$1:$AG$1,0)),INDEX('Margin Guidence Table'!$A$1:$AG$10000,MATCH(1,('Margin Guidence Table'!$A$1:$A$10000=RQ25)*('Margin Guidence Table'!$I$1:$I$10000&lt;=ROUND($RI$3,0))*('Margin Guidence Table'!$J$1:$J$10000&gt;=ROUND($RI$3,0)),0),MATCH("DEFAULT_CIA_MEDIAN_MARGIN_GUIDENCE",'Margin Guidence Table'!$A$1:$AG$1,0))),0)))</f>
        <v>0</v>
      </c>
      <c r="SB25" s="784"/>
      <c r="SC25" s="18">
        <f t="array" ref="SC25">IF('Customer Inputs'!$W$25="End",0,IFERROR(IF($SP25="SEGMENT",INDEX('Margin Guidence Table'!$A$1:$AG$10000,MATCH(1,('Margin Guidence Table'!$A$1:$A$10000=$SN25)*('Margin Guidence Table'!$I$1:$I$10000&lt;=ROUND($SF$3,0))*('Margin Guidence Table'!$J$1:$J$10000&gt;=ROUND($SF$3,0)),0),MATCH("PCT_SALES",'Margin Guidence Table'!$A$1:$AG$1,0)),INDEX('Margin Guidence Table'!$A$1:$AG$10000,MATCH(1,('Margin Guidence Table'!$A$1:$A$10000=$SN25)*('Margin Guidence Table'!$I$1:$I$10000&lt;=ROUND($SF$3,0))*('Margin Guidence Table'!$J$1:$J$10000&gt;=ROUND($SF$3,0)),0),MATCH("DEFAULT_PCT_SALES",'Margin Guidence Table'!$A$1:$AG$1,0))),0))</f>
        <v>0</v>
      </c>
      <c r="SD25" s="1713" t="e">
        <f t="shared" si="70"/>
        <v>#DIV/0!</v>
      </c>
      <c r="SE25" s="99" t="s">
        <v>93</v>
      </c>
      <c r="SF25" s="91">
        <f>IF('Customer Inputs'!$W$25="End",0,IFERROR(IF(AND($SF$2&lt;&gt;"Enter Spend&gt;&gt;&gt;",$SG$2="EXISTING"),SUMIFS('Existing Customers'!$Q:$Q,'Existing Customers'!$A:$A,$SF$1,'Existing Customers'!$H:$H,$SE25)*$SF$4,$SF$3*$SD25),0))</f>
        <v>0</v>
      </c>
      <c r="SG25" s="86">
        <f>IF('Customer Inputs'!$W$25="End",0,IFERROR(IF(AND($SF$2&lt;&gt;"Enter Spend&gt;&gt;&gt;",$SG$2="EXISTING"),SUMIFS('Existing Customers'!$N:$N,'Existing Customers'!$A:$A,$SF$1,'Existing Customers'!$H:$H,$SE25)*$SF$4,$SF25/$SQ25),0))</f>
        <v>0</v>
      </c>
      <c r="SH25" s="92">
        <f>IF('Customer Inputs'!$W$25="End",0,IFERROR(IF(AND($SF$2&lt;&gt;"Enter Spend&gt;&gt;&gt;",$SG$2="EXISTING"),SUMIFS('Existing Customers'!$O:$O,'Existing Customers'!$H:$H,$SE25,'Existing Customers'!$A:$A,$SF$1)*$SF$4,$SG25*$SF$8),0))</f>
        <v>0</v>
      </c>
      <c r="SI25" s="92">
        <f>IF('Customer Inputs'!$W$25="End",0,IFERROR(IF(AND($SF$2&lt;&gt;"Enter Spend&gt;&gt;&gt;",$SG$2="EXISTING"),SUMIFS('Existing Customers'!$P:$P,'Existing Customers'!$A:$A,$SF$1,'Existing Customers'!$H:$H,$SE25)*$SF$4,$SF25/$SR25),0))</f>
        <v>0</v>
      </c>
      <c r="SJ25" s="303">
        <f>IF('Customer Inputs'!$W$25="End",0,IFERROR(IF(AND($SF$2&lt;&gt;"Enter Spend&gt;&gt;&gt;",$SG$2="EXISTING"),SUMIFS('Existing Customers'!$V:$V,'Existing Customers'!$H:$H,$SE25,'Existing Customers'!$A:$A,$SF$1)*$SF$4,0),0))</f>
        <v>0</v>
      </c>
      <c r="SK25" s="93">
        <f>IF('Customer Inputs'!$W$25="End",0,IFERROR(IF(AND($SF$2&lt;&gt;"Enter Spend&gt;&gt;&gt;",$SG$2="EXISTING"),SUMIFS('Existing Customers'!$R:$R,'Existing Customers'!$H:$H,$SE25,'Existing Customers'!$A:$A,$SF$1)*$SF$4,0),0))</f>
        <v>0</v>
      </c>
      <c r="SL25" s="780">
        <f>IF('Customer Inputs'!$W$25="End",0,IFERROR(IF(AND($SF$2&lt;&gt;"Enter Spend&gt;&gt;&gt;",$SG$2="EXISTING"),SUMIFS('Existing Customers'!$S:$S,'Existing Customers'!$H:$H,$SE25,'Existing Customers'!$A:$A,$SF$1)/SUMIFS('Existing Customers'!$Q:$Q,'Existing Customers'!$A:$A,$SF$1,'Existing Customers'!$H:$H,$SE25),SV25),0))</f>
        <v>0</v>
      </c>
      <c r="SM25" s="780">
        <f>IF('Customer Inputs'!$W$25="End",0,IFERROR(IF(AND($SF$2&lt;&gt;"Enter Spend&gt;&gt;&gt;",$SG$2="EXISTING"),SUMIFS('Existing Customers'!$U:$U,'Existing Customers'!$H:$H,$SE25,'Existing Customers'!$A:$A,$SF$1)/SUMIFS('Existing Customers'!$Q:$Q,'Existing Customers'!$A:$A,$SF$1,'Existing Customers'!$H:$H,$SE25),SW25),0))</f>
        <v>0</v>
      </c>
      <c r="SN25" s="783" t="e">
        <f>_xlfn.CONCAT('Customer Inputs'!$AH$25,"_",SE25)</f>
        <v>#N/A</v>
      </c>
      <c r="SO25" s="783">
        <f t="array" ref="SO25">IF('Customer Inputs'!$W$25="End",0,IFERROR(INDEX('Margin Guidence Table'!$A$1:$AG$10000,MATCH(1,('Margin Guidence Table'!$A$1:$A$10000=SN25)*('Margin Guidence Table'!$I$1:$I$10000&lt;=ROUND($SF$3,0))*('Margin Guidence Table'!$J$1:$J$10000&gt;=ROUND($SF$3,0)),0),MATCH("DATA_POINTS",'Margin Guidence Table'!$A$1:$AG$1,0)),0))</f>
        <v>0</v>
      </c>
      <c r="SP25" s="780" t="str">
        <f t="shared" si="71"/>
        <v>DEFAULT</v>
      </c>
      <c r="SQ25" s="780">
        <f t="array" ref="SQ25">IF('Customer Inputs'!$W$25="End",0,IFERROR(IF($SP25="SEGMENT",INDEX('Margin Guidence Table'!$A$1:$AG$10000,MATCH(1,('Margin Guidence Table'!$A$1:$A$10000=SN25)*('Margin Guidence Table'!$I$1:$I$10000&lt;=ROUND($SF$3,0))*('Margin Guidence Table'!$J$1:$J$10000&gt;=ROUND($SF$3,0)),0),MATCH("SALES_CASE",'Margin Guidence Table'!$A$1:$AG$1,0)),INDEX('Margin Guidence Table'!$A$1:$AG$10000,MATCH(1,('Margin Guidence Table'!$A$1:$A$10000=SN25)*('Margin Guidence Table'!$I$1:$I$10000&lt;=ROUND($SF$3,0))*('Margin Guidence Table'!$J$1:$J$10000&gt;=ROUND($SF$3,0)),0),MATCH("DEFAULT_SALES_CASE",'Margin Guidence Table'!$A$1:$AG$1,0))),0))</f>
        <v>0</v>
      </c>
      <c r="SR25" s="780">
        <f t="array" ref="SR25">IF('Customer Inputs'!$W$25="End",0,IFERROR(IF($SP25="SEGMENT",INDEX('Margin Guidence Table'!$A$1:$AG$10000,MATCH(1,('Margin Guidence Table'!$A$1:$A$10000=SN25)*('Margin Guidence Table'!$I$1:$I$10000&lt;=ROUND($SF$3,0))*('Margin Guidence Table'!$J$1:$J$10000&gt;=ROUND($SF$3,0)),0),MATCH("SALES_LBS",'Margin Guidence Table'!$A$1:$AG$1,0)),INDEX('Margin Guidence Table'!$A$1:$AG$10000,MATCH(1,('Margin Guidence Table'!$A$1:$A$10000=SN25)*('Margin Guidence Table'!$I$1:$I$10000&lt;=ROUND($SF$3,0))*('Margin Guidence Table'!$J$1:$J$10000&gt;=ROUND($SF$3,0)),0),MATCH("DEFAULT_SALES_LBS",'Margin Guidence Table'!$A$1:$AG$1,0))),0))</f>
        <v>0</v>
      </c>
      <c r="SS25" s="784">
        <f t="array" ref="SS25">IF('Customer Inputs'!$W$25="End",0,IFERROR(IF($SP25="SEGMENT",INDEX('Margin Guidence Table'!$A$1:$AG$10000,MATCH(1,('Margin Guidence Table'!$A$1:$A$10000=SN25)*('Margin Guidence Table'!$I$1:$I$10000&lt;=ROUND($SF$3,0))*('Margin Guidence Table'!$J$1:$J$10000&gt;=ROUND($SF$3,0)),0),MATCH("MDA_MIN_MARGIN_GUIDENCE",'Margin Guidence Table'!$A$1:$AG$1,0)),INDEX('Margin Guidence Table'!$A$1:$AG$10000,MATCH(1,('Margin Guidence Table'!$A$1:$A$10000=SN25)*('Margin Guidence Table'!$I$1:$I$10000&lt;=ROUND($SF$3,0))*('Margin Guidence Table'!$J$1:$J$10000&gt;=ROUND($SF$3,0)),0),MATCH("DEFAULT_MDA_MIN_MARGIN_GUIDENCE",'Margin Guidence Table'!$A$1:$AG$1,0))),0))</f>
        <v>0</v>
      </c>
      <c r="ST25" s="784">
        <f t="array" ref="ST25">IF('Customer Inputs'!$W$25="End",0,IFERROR(IF($SP25="SEGMENT",INDEX('Margin Guidence Table'!$A$1:$AG$10000,MATCH(1,('Margin Guidence Table'!$A$1:$A$10000=SN25)*('Margin Guidence Table'!$I$1:$I$10000&lt;=ROUND($SF$3,0))*('Margin Guidence Table'!$J$1:$J$10000&gt;=ROUND($SF$3,0)),0),MATCH("MDA_MEDIAN_MARGIN_GUIDENCE",'Margin Guidence Table'!$A$1:$AG$1,0)),INDEX('Margin Guidence Table'!$A$1:$AG$10000,MATCH(1,('Margin Guidence Table'!$A$1:$A$10000=SN25)*('Margin Guidence Table'!$I$1:$I$10000&lt;=ROUND($SF$3,0))*('Margin Guidence Table'!$J$1:$J$10000&gt;=ROUND($SF$3,0)),0),MATCH("DEFAULT_MDA_MEDIAN_MARGIN_GUIDENCE",'Margin Guidence Table'!$A$1:$AG$1,0))),0))</f>
        <v>0</v>
      </c>
      <c r="SU25" s="784">
        <f t="array" ref="SU25">IF('Customer Inputs'!$W$25="End",0,IFERROR(IF($SP25="SEGMENT",INDEX('Margin Guidence Table'!$A$1:$AG$10000,MATCH(1,('Margin Guidence Table'!$A$1:$A$10000=SN25)*('Margin Guidence Table'!$I$1:$I$10000&lt;=ROUND($SF$3,0))*('Margin Guidence Table'!$J$1:$J$10000&gt;=ROUND($SF$3,0)),0),MATCH("MDA_MAX_MARGIN_GUIDENCE",'Margin Guidence Table'!$A$1:$AG$1,0)),INDEX('Margin Guidence Table'!$A$1:$AG$10000,MATCH(1,('Margin Guidence Table'!$A$1:$A$10000=SN25)*('Margin Guidence Table'!$I$1:$I$10000&lt;=ROUND($SF$3,0))*('Margin Guidence Table'!$J$1:$J$10000&gt;=ROUND($SF$3,0)),0),MATCH("DEFAULT_MDA_MAX_MARGIN_GUIDENCE",'Margin Guidence Table'!$A$1:$AG$1,0))),0))</f>
        <v>0</v>
      </c>
      <c r="SV25" s="784">
        <f t="array" ref="SV25">IF('Customer Inputs'!$W$25="End",0,IFERROR(IF($SP25="SEGMENT",INDEX('Margin Guidence Table'!$A$1:$AG$10000,MATCH(1,('Margin Guidence Table'!$A$1:$A$10000=SN25)*('Margin Guidence Table'!$I$1:$I$10000&lt;=ROUND($SF$3,0))*('Margin Guidence Table'!$J$1:$J$10000&gt;=ROUND($SF$3,0)),0),MATCH("PA_PCT_SALES",'Margin Guidence Table'!$A$1:$AG$1,0)),INDEX('Margin Guidence Table'!$A$1:$AG$10000,MATCH(1,('Margin Guidence Table'!$A$1:$A$10000=SN25)*('Margin Guidence Table'!$I$1:$I$10000&lt;=ROUND($SF$3,0))*('Margin Guidence Table'!$J$1:$J$10000&gt;=ROUND($SF$3,0)),0),MATCH("DEFAULT_PA_PCT_SALES",'Margin Guidence Table'!$A$1:$AG$1,0))),0))</f>
        <v>0</v>
      </c>
      <c r="SW25" s="784">
        <f t="array" ref="SW25">IF('Customer Inputs'!$W$25="End",0,IFERROR(IF($SP25="SEGMENT",INDEX('Margin Guidence Table'!$A$1:$AG$10000,MATCH(1,('Margin Guidence Table'!$A$1:$A$10000=SN25)*('Margin Guidence Table'!$I$1:$I$10000&lt;=ROUND($SF$3,0))*('Margin Guidence Table'!$J$1:$J$10000&gt;=ROUND($SF$3,0)),0),MATCH("SELF_FUND_PCT_SALES",'Margin Guidence Table'!$A$1:$AG$1,0)),INDEX('Margin Guidence Table'!$A$1:$AG$10000,MATCH(1,('Margin Guidence Table'!$A$1:$A$10000=SN25)*('Margin Guidence Table'!$I$1:$I$10000&lt;=ROUND($SF$3,0))*('Margin Guidence Table'!$J$1:$J$10000&gt;=ROUND($SF$3,0)),0),MATCH("DEFAULT_SELF_FUND_PCT_SALES",'Margin Guidence Table'!$A$1:$AG$1,0))),0))</f>
        <v>0</v>
      </c>
      <c r="SX25" s="784">
        <f t="array" ref="SX25">IF('Customer Inputs'!$W$25="End",0,IF($SG$2="Existing",IFERROR(SUMIFS('Existing Customers'!$V:$V,'Existing Customers'!$H:$H,$SE25,'Existing Customers'!$A:$A,$SF$1)/SUMIFS('Existing Customers'!$Q:$Q,'Existing Customers'!$H:$H,$SE25,'Existing Customers'!$A:$A,$SF$1),0),IFERROR(IF($SP25="SEGMENT",INDEX('Margin Guidence Table'!$A$1:$AG$10000,MATCH(1,('Margin Guidence Table'!$A$1:$A$10000=SN25)*('Margin Guidence Table'!$I$1:$I$10000&lt;=ROUND($SF$3,0))*('Margin Guidence Table'!$J$1:$J$10000&gt;=ROUND($SF$3,0)),0),MATCH("CIA_MEDIAN_MARGIN_GUIDENCE",'Margin Guidence Table'!$A$1:$AG$1,0)),INDEX('Margin Guidence Table'!$A$1:$AG$10000,MATCH(1,('Margin Guidence Table'!$A$1:$A$10000=SN25)*('Margin Guidence Table'!$I$1:$I$10000&lt;=ROUND($SF$3,0))*('Margin Guidence Table'!$J$1:$J$10000&gt;=ROUND($SF$3,0)),0),MATCH("DEFAULT_CIA_MEDIAN_MARGIN_GUIDENCE",'Margin Guidence Table'!$A$1:$AG$1,0))),0)))</f>
        <v>0</v>
      </c>
      <c r="SY25" s="784"/>
      <c r="SZ25" s="1705"/>
      <c r="TA25" s="99" t="s">
        <v>93</v>
      </c>
      <c r="TB25" s="94"/>
      <c r="TC25" s="86"/>
      <c r="TD25" s="86"/>
      <c r="TE25" s="86"/>
      <c r="TF25" s="111"/>
      <c r="TG25" s="95"/>
      <c r="TH25" s="126"/>
      <c r="TI25" s="1705"/>
      <c r="TJ25" s="99" t="s">
        <v>93</v>
      </c>
      <c r="TK25" s="94"/>
      <c r="TL25" s="86"/>
      <c r="TM25" s="86"/>
      <c r="TN25" s="86"/>
      <c r="TO25" s="111"/>
      <c r="TP25" s="95"/>
      <c r="TQ25" s="1705"/>
      <c r="TR25" s="1705"/>
    </row>
    <row r="26" spans="1:538" ht="15.75" thickBot="1" x14ac:dyDescent="0.3">
      <c r="A26" s="1705"/>
      <c r="B26" s="99" t="s">
        <v>105</v>
      </c>
      <c r="C26" s="346">
        <f t="shared" si="0"/>
        <v>0</v>
      </c>
      <c r="D26" s="358">
        <f t="shared" si="1"/>
        <v>0</v>
      </c>
      <c r="E26" s="358">
        <f t="shared" si="2"/>
        <v>0</v>
      </c>
      <c r="F26" s="358">
        <f t="shared" si="3"/>
        <v>0</v>
      </c>
      <c r="G26" s="1428">
        <f t="shared" si="4"/>
        <v>0</v>
      </c>
      <c r="H26" s="1428">
        <f t="shared" si="5"/>
        <v>0</v>
      </c>
      <c r="I26" s="359">
        <f t="shared" si="6"/>
        <v>0</v>
      </c>
      <c r="J26" s="358">
        <f t="shared" si="7"/>
        <v>0</v>
      </c>
      <c r="K26" s="778">
        <f t="shared" si="8"/>
        <v>0</v>
      </c>
      <c r="L26" s="778">
        <f t="shared" si="9"/>
        <v>0</v>
      </c>
      <c r="M26" s="778">
        <f t="shared" si="10"/>
        <v>0</v>
      </c>
      <c r="N26" s="1428">
        <f>IF('PIM Model'!D22="$/CS",IFERROR(ROUND(SUM(BX26*$BV$35+CU26*$CS$35+DR26*$DP$35+EO26*$EM$35+FL26*$FJ$35+GI26*$GG$35+HF26*$HD$35+IC26*$IA$35+IZ26*$IX$35+JW26*$JU$35+KT26*$KR$35+LQ26*$LO$35+MN26*$ML$35+NK26*$NI$35+OH26*$OF$35+PE26*$PC$35+QB26*$PZ$35+QY26*$QW$35+RV26*$RT$35+SS26*$SQ$35)/$G$35,2),0),IF('PIM Model'!D22="$/LB",IFERROR(ROUND(SUM(BX26*$BW$35+CU26*$CT$35+DR26*$DQ$35+EO26*$EN$35+FL26*$FK$35+GI26*$GH$35+HF26*$HE$35+IC26*$IB$35+IZ26*$IY$35+JW26*$JV$35+KT26*$KS$35+LQ26*$LP$35+MN26*$MM$35+NK26*$NJ$35+OH26*$OG$35+PE26*$PD$35+QB26*$QA$35+QY26*$QX$35+RV26*$RU$35+SS26*$SR$35)/$H$35,2),0),0))</f>
        <v>0</v>
      </c>
      <c r="O26" s="1428">
        <f>IF('PIM Model'!D22="$/CS",IFERROR(ROUND(SUM(BY26*$BV$35+CV26*$CS$35+DS26*$DP$35+EP26*$EM$35+FM26*$FJ$35+GJ26*$GG$35+HG26*$HD$35+ID26*$IA$35+JA26*$IX$35+JX26*$JU$35+KU26*$KR$35+LR26*$LO$35+MO26*$ML$35+NL26*$NI$35+OI26*$OF$35+PF26*$PC$35+QC26*$PZ$35+QZ26*$QW$35+RW26*$RT$35+ST26*$SQ$35)/$G$35,2),0),IF('PIM Model'!D22="$/LB",IFERROR(ROUND(SUM(BY26*$BW$35+CV26*$CT$35+DS26*$DQ$35+EP26*$EN$35+FM26*$FK$35+GJ26*$GH$35+HG26*$HE$35+ID26*$IB$35+JA26*$IY$35+JX26*$JV$35+KU26*$KS$35+LR26*$LP$35+MO26*$MM$35+NL26*$NJ$35+OI26*$OG$35+PF26*$PD$35+QC26*$QA$35+QZ26*$QX$35+RW26*$RU$35+ST26*$SR$35)/$H$35,2),0),0))</f>
        <v>0</v>
      </c>
      <c r="P26" s="1428">
        <f>IF('PIM Model'!D22="$/CS",IFERROR(ROUND(SUM(BZ26*$BV$35+CW26*$CS$35+DT26*$DP$35+EQ26*$EM$35+FN26*$FJ$35+GK26*$GG$35+HH26*$HD$35+IE26*$IA$35+JB26*$IX$35+JY26*$JU$35+KV26*$KR$35+LS26*$LO$35+MP26*$ML$35+NM26*$NI$35+OJ26*$OF$35+PG26*$PC$35+QD26*$PZ$35+RA26*$QW$35+RX26*$RT$35+SU26*$SQ$35)/$G$35,2),0),IF('PIM Model'!D22="$/LB",IFERROR(ROUND(SUM(BZ26*$BW$35+CW26*$CT$35+DT26*$DQ$35+EQ26*$EN$35+FN26*$FK$35+GK26*$GH$35+HH26*$HE$35+IE26*$IB$35+JB26*$IY$35+JY26*$JV$35+KV26*$KS$35+LS26*$LP$35+MP26*$MM$35+NM26*$NJ$35+OJ26*$OG$35+PG26*$PD$35+QD26*$QA$35+RA26*$QX$35+RX26*$RU$35+SU26*$SR$35)/$H$35,2),0),0))</f>
        <v>0</v>
      </c>
      <c r="Q26" s="358">
        <f t="shared" si="11"/>
        <v>0</v>
      </c>
      <c r="R26" s="358">
        <f t="shared" si="12"/>
        <v>0</v>
      </c>
      <c r="S26" s="779">
        <f t="shared" si="13"/>
        <v>0</v>
      </c>
      <c r="T26" s="779">
        <f t="shared" si="14"/>
        <v>0</v>
      </c>
      <c r="U26" s="779">
        <f t="shared" si="15"/>
        <v>0</v>
      </c>
      <c r="V26" s="779">
        <f t="shared" si="16"/>
        <v>0</v>
      </c>
      <c r="W26" s="779">
        <f t="shared" si="17"/>
        <v>0</v>
      </c>
      <c r="X26" s="1705"/>
      <c r="Y26" s="1705" t="str">
        <f>'PIM Model'!E22</f>
        <v>INCLUDE</v>
      </c>
      <c r="Z26" s="1705">
        <f t="shared" si="18"/>
        <v>0</v>
      </c>
      <c r="AA26" s="1705">
        <f t="shared" si="19"/>
        <v>0</v>
      </c>
      <c r="AB26" s="99" t="s">
        <v>105</v>
      </c>
      <c r="AC26" s="107">
        <f t="shared" si="20"/>
        <v>0</v>
      </c>
      <c r="AD26" s="108">
        <f t="shared" si="21"/>
        <v>0</v>
      </c>
      <c r="AE26" s="108">
        <f t="shared" si="22"/>
        <v>0</v>
      </c>
      <c r="AF26" s="108">
        <f t="shared" si="23"/>
        <v>0</v>
      </c>
      <c r="AG26" s="110">
        <f t="shared" si="24"/>
        <v>0</v>
      </c>
      <c r="AH26" s="114">
        <f t="shared" si="25"/>
        <v>0</v>
      </c>
      <c r="AI26" s="301"/>
      <c r="AJ26" s="99" t="s">
        <v>105</v>
      </c>
      <c r="AK26" s="346">
        <f t="shared" si="26"/>
        <v>0</v>
      </c>
      <c r="AL26" s="347">
        <f t="shared" si="26"/>
        <v>0</v>
      </c>
      <c r="AM26" s="347">
        <f t="shared" si="26"/>
        <v>0</v>
      </c>
      <c r="AN26" s="350">
        <f t="shared" si="27"/>
        <v>0</v>
      </c>
      <c r="AO26" s="351">
        <f t="shared" si="28"/>
        <v>0</v>
      </c>
      <c r="AP26" s="301"/>
      <c r="AQ26" s="99" t="s">
        <v>105</v>
      </c>
      <c r="AR26" s="346">
        <f t="shared" si="29"/>
        <v>0</v>
      </c>
      <c r="AS26" s="347">
        <f t="shared" si="30"/>
        <v>0</v>
      </c>
      <c r="AT26" s="351"/>
      <c r="AU26" s="301"/>
      <c r="AV26" s="1708" t="str">
        <f>IF('PIM Ranges'!$AK24='PIM Ranges'!$AY$11,IF($AR26&lt;'PIM Ranges'!$AZ$11,"Q1",IF($AR26&lt;'PIM Ranges'!$BA$11,"Q2",IF($AR26&lt;'PIM Ranges'!$BB$11,"Q3",IF($AR26&lt;'PIM Ranges'!$BC$11,"Q4","Q5")))),IF('PIM Ranges'!$AK24='PIM Ranges'!$AY$12,IF($AR26&lt;'PIM Ranges'!$AZ$12,"Q1",IF($AR26&lt;'PIM Ranges'!$BA$12,"Q2",IF($AR26&lt;'PIM Ranges'!$BB$12,"Q3",IF($AR26&lt;'PIM Ranges'!$BC$12,"Q4","Q5")))),IF('PIM Ranges'!$AK24='PIM Ranges'!$AY$13,IF($AR26&lt;'PIM Ranges'!$AZ$13,"Q1",IF($AR26&lt;'PIM Ranges'!$BA$13,"Q2",IF($AR26&lt;'PIM Ranges'!$BB$13,"Q3",IF($AR26&lt;'PIM Ranges'!$BC$13,"Q4","Q5")))),IF('PIM Ranges'!$AK24='PIM Ranges'!$AY$14,IF($AR26&lt;'PIM Ranges'!$AZ$14,"Q1",IF($AR26&lt;'PIM Ranges'!$BA$14,"Q2",IF($AR26&lt;'PIM Ranges'!$BB$14,"Q3",IF($AR26&lt;'PIM Ranges'!$BC$14,"Q4","Q5")))),IF('PIM Ranges'!$AK24='PIM Ranges'!$AY$15,IF($AR26&lt;'PIM Ranges'!$AZ$15,"Q1",IF($AR26&lt;'PIM Ranges'!$BA$15,"Q2",IF($AR26&lt;'PIM Ranges'!$BB$15,"Q3",IF($AR26&lt;'PIM Ranges'!$BC$15,"Q4","Q5")))),IF('PIM Ranges'!$AK24='PIM Ranges'!$AY$16,IF($AR26&lt;'PIM Ranges'!$AZ$16,"Q1",IF($AR26&lt;'PIM Ranges'!$BA$16,"Q2",IF($AR26&lt;'PIM Ranges'!$BB$16,"Q3",IF($AR26&lt;'PIM Ranges'!$BC$16,"Q4","Q5")))),IF('PIM Ranges'!$AK24='PIM Ranges'!$AY$17,IF($AR26&lt;'PIM Ranges'!$AZ$17,"Q1",IF($AR26&lt;'PIM Ranges'!$BA$17,"Q2",IF($AR26&lt;'PIM Ranges'!$BB$17,"Q3",IF($AR26&lt;'PIM Ranges'!$BC$17,"Q4","Q5")))),IF('PIM Ranges'!$AK24='PIM Ranges'!$AY$18,IF($AR26&lt;'PIM Ranges'!$AZ$18,"Q1",IF($AR26&lt;'PIM Ranges'!$BA$18,"Q2",IF($AR26&lt;'PIM Ranges'!$BB$18,"Q3",IF($AR26&lt;'PIM Ranges'!$BC$18,"Q4","Q5")))),IF('PIM Ranges'!$AK24='PIM Ranges'!$AY$19,IF($AR26&lt;'PIM Ranges'!$AZ$19,"Q1",IF($AR26&lt;'PIM Ranges'!$BA$19,"Q2",IF($AR26&lt;'PIM Ranges'!$BB$19,"Q3",IF($AR26&lt;'PIM Ranges'!$BC$19,"Q4","Q5")))),IF('PIM Ranges'!$AK24='PIM Ranges'!$AY$20,IF($AR26&lt;'PIM Ranges'!$AZ$20,"Q1",IF($AR26&lt;'PIM Ranges'!$BA$20,"Q2",IF($AR26&lt;'PIM Ranges'!$BB$20,"Q3",IF($AR26&lt;'PIM Ranges'!$BC$20,"Q4","Q5")))),IF('PIM Ranges'!$AK24='PIM Ranges'!$AY$21,IF($AR26&lt;'PIM Ranges'!$AZ$21,"Q1",IF($AR26&lt;'PIM Ranges'!$BA$21,"Q2",IF($AR26&lt;'PIM Ranges'!$BB$21,"Q3",IF($AR26&lt;'PIM Ranges'!$BC$21,"Q4","Q5")))),IF('PIM Ranges'!$AK24='PIM Ranges'!$AY$22,IF($AR26&lt;'PIM Ranges'!$AZ$22,"Q1",IF($AR26&lt;'PIM Ranges'!$BA$22,"Q2",IF($AR26&lt;'PIM Ranges'!$BB$22,"Q3",IF($AR26&lt;'PIM Ranges'!$BC$22,"Q4","Q5")))),IF('PIM Ranges'!$AK24='PIM Ranges'!$AY$23,IF($AR26&lt;'PIM Ranges'!$AZ$23,"Q1",IF($AR26&lt;'PIM Ranges'!$BA$23,"Q2",IF($AR26&lt;'PIM Ranges'!$BB$23,"Q3",IF($AR26&lt;'PIM Ranges'!$BC$23,"Q4","Q5")))),IF('PIM Ranges'!$AK24='PIM Ranges'!$AY$24,IF($AR26&lt;'PIM Ranges'!$AZ$24,"Q1",IF($AR26&lt;'PIM Ranges'!$BA$24,"Q2",IF($AR26&lt;'PIM Ranges'!$BB$24,"Q3",IF($AR26&lt;'PIM Ranges'!$BC$24,"Q4","Q5")))),IF('PIM Ranges'!$AK24='PIM Ranges'!$AY$25,IF($AR26&lt;'PIM Ranges'!$AZ$25,"Q1",IF($AR26&lt;'PIM Ranges'!$BA$25,"Q2",IF($AR26&lt;'PIM Ranges'!$BB$25,"Q3",IF($AR26&lt;'PIM Ranges'!$BC$25,"Q4","Q5")))),IF('PIM Ranges'!$AK24='PIM Ranges'!$AY$26,IF($AR26&lt;'PIM Ranges'!$AZ$26,"Q1",IF($AR26&lt;'PIM Ranges'!$BA$26,"Q2",IF($AR26&lt;'PIM Ranges'!$BB$26,"Q3",IF($AR26&lt;'PIM Ranges'!$BC$26,"Q4","Q5")))),IF('PIM Ranges'!$AK24='PIM Ranges'!$AY$27,IF($AR26&lt;'PIM Ranges'!$AZ$27,"Q1",IF($AR26&lt;'PIM Ranges'!$BA$27,"Q2",IF($AR26&lt;'PIM Ranges'!$BB$27,"Q3",IF($AR26&lt;'PIM Ranges'!$BC$27,"Q4","Q5")))),IF('PIM Ranges'!$AK24='PIM Ranges'!$AY$28,IF($AR26&lt;'PIM Ranges'!$AZ$28,"Q1",IF($AR26&lt;'PIM Ranges'!$BA$28,"Q2",IF($AR26&lt;'PIM Ranges'!$BB$28,"Q3",IF($AR26&lt;'PIM Ranges'!$BC$28,"Q4","Q5")))),IF('PIM Ranges'!$AK24='PIM Ranges'!$AY$29,IF($AR26&lt;'PIM Ranges'!$AZ$29,"Q1",IF($AR26&lt;'PIM Ranges'!$BA$29,"Q2",IF($AR26&lt;'PIM Ranges'!$BB$29,"Q3",IF($AR26&lt;'PIM Ranges'!$BC$29,"Q4","Q5")))),IF('PIM Ranges'!$AK24='PIM Ranges'!$AY$30,IF($AR26&lt;'PIM Ranges'!$AZ$30,"Q1",IF($AR26&lt;'PIM Ranges'!$BA$30,"Q2",IF($AR26&lt;'PIM Ranges'!$BB$30,"Q3",IF($AR26&lt;'PIM Ranges'!$BC$30,"Q4","Q5")))),IF('PIM Ranges'!$AK24='PIM Ranges'!$AY$31,IF($AR26&lt;'PIM Ranges'!$AZ$31,"Q1",IF($AR26&lt;'PIM Ranges'!$BA$31,"Q2",IF($AR26&lt;'PIM Ranges'!$BB$31,"Q3",IF($AR26&lt;'PIM Ranges'!$BC$31,"Q4","Q5")))),IF('PIM Ranges'!$AK24='PIM Ranges'!$AY$32,IF($AR26&lt;'PIM Ranges'!$AZ$32,"Q1",IF($AR26&lt;'PIM Ranges'!$BA$32,"Q2",IF($AR26&lt;'PIM Ranges'!$BB$32,"Q3",IF($AR26&lt;'PIM Ranges'!$BC$32,"Q4","Q5"))))))))))))))))))))))))))</f>
        <v>Q1</v>
      </c>
      <c r="AW26" s="301">
        <f>VLOOKUP($AQ26&amp;$AV26,'IMargin Quartiles'!$A:$F,6,FALSE)</f>
        <v>0.18</v>
      </c>
      <c r="AX26" s="301"/>
      <c r="AY26" s="1708" t="str">
        <f>IF('PIM Ranges'!$AK24='PIM Ranges'!$AY$11,IF('PIM Ranges'!$AL24&lt;'PIM Ranges'!$AZ$11,"Q1",IF('PIM Ranges'!$AL24&lt;'PIM Ranges'!$BA$11,"Q2",IF('PIM Ranges'!$AL24&lt;'PIM Ranges'!$BB$11,"Q3",IF('PIM Ranges'!$AL24&lt;'PIM Ranges'!$BC$11,"Q4","Q5")))),IF('PIM Ranges'!$AK24='PIM Ranges'!$AY$12,IF('PIM Ranges'!$AL24&lt;'PIM Ranges'!$AZ$12,"Q1",IF('PIM Ranges'!$AL24&lt;'PIM Ranges'!$BA$12,"Q2",IF('PIM Ranges'!$AL24&lt;'PIM Ranges'!$BB$12,"Q3",IF('PIM Ranges'!$AL24&lt;'PIM Ranges'!$BC$12,"Q4","Q5")))),IF('PIM Ranges'!$AK24='PIM Ranges'!$AY$13,IF('PIM Ranges'!$AL24&lt;'PIM Ranges'!$AZ$13,"Q1",IF('PIM Ranges'!$AL24&lt;'PIM Ranges'!$BA$13,"Q2",IF('PIM Ranges'!$AL24&lt;'PIM Ranges'!$BB$13,"Q3",IF('PIM Ranges'!$AL24&lt;'PIM Ranges'!$BC$13,"Q4","Q5")))),IF('PIM Ranges'!$AK24='PIM Ranges'!$AY$14,IF('PIM Ranges'!$AL24&lt;'PIM Ranges'!$AZ$14,"Q1",IF('PIM Ranges'!$AL24&lt;'PIM Ranges'!$BA$14,"Q2",IF('PIM Ranges'!$AL24&lt;'PIM Ranges'!$BB$14,"Q3",IF('PIM Ranges'!$AL24&lt;'PIM Ranges'!$BC$14,"Q4","Q5")))),IF('PIM Ranges'!$AK24='PIM Ranges'!$AY$15,IF('PIM Ranges'!$AL24&lt;'PIM Ranges'!$AZ$15,"Q1",IF('PIM Ranges'!$AL24&lt;'PIM Ranges'!$BA$15,"Q2",IF('PIM Ranges'!$AL24&lt;'PIM Ranges'!$BB$15,"Q3",IF('PIM Ranges'!$AL24&lt;'PIM Ranges'!$BC$15,"Q4","Q5")))),IF('PIM Ranges'!$AK24='PIM Ranges'!$AY$16,IF('PIM Ranges'!$AL24&lt;'PIM Ranges'!$AZ$16,"Q1",IF('PIM Ranges'!$AL24&lt;'PIM Ranges'!$BA$16,"Q2",IF('PIM Ranges'!$AL24&lt;'PIM Ranges'!$BB$16,"Q3",IF('PIM Ranges'!$AL24&lt;'PIM Ranges'!$BC$16,"Q4","Q5")))),IF('PIM Ranges'!$AK24='PIM Ranges'!$AY$17,IF('PIM Ranges'!$AL24&lt;'PIM Ranges'!$AZ$17,"Q1",IF('PIM Ranges'!$AL24&lt;'PIM Ranges'!$BA$17,"Q2",IF('PIM Ranges'!$AL24&lt;'PIM Ranges'!$BB$17,"Q3",IF('PIM Ranges'!$AL24&lt;'PIM Ranges'!$BC$17,"Q4","Q5")))),IF('PIM Ranges'!$AK24='PIM Ranges'!$AY$18,IF('PIM Ranges'!$AL24&lt;'PIM Ranges'!$AZ$18,"Q1",IF('PIM Ranges'!$AL24&lt;'PIM Ranges'!$BA$18,"Q2",IF('PIM Ranges'!$AL24&lt;'PIM Ranges'!$BB$18,"Q3",IF('PIM Ranges'!$AL24&lt;'PIM Ranges'!$BC$18,"Q4","Q5")))),IF('PIM Ranges'!$AK24='PIM Ranges'!$AY$19,IF('PIM Ranges'!$AL24&lt;'PIM Ranges'!$AZ$19,"Q1",IF('PIM Ranges'!$AL24&lt;'PIM Ranges'!$BA$19,"Q2",IF('PIM Ranges'!$AL24&lt;'PIM Ranges'!$BB$19,"Q3",IF('PIM Ranges'!$AL24&lt;'PIM Ranges'!$BC$19,"Q4","Q5")))),IF('PIM Ranges'!$AK24='PIM Ranges'!$AY$20,IF('PIM Ranges'!$AL24&lt;'PIM Ranges'!$AZ$20,"Q1",IF('PIM Ranges'!$AL24&lt;'PIM Ranges'!$BA$20,"Q2",IF('PIM Ranges'!$AL24&lt;'PIM Ranges'!$BB$20,"Q3",IF('PIM Ranges'!$AL24&lt;'PIM Ranges'!$BC$20,"Q4","Q5")))),IF('PIM Ranges'!$AK24='PIM Ranges'!$AY$21,IF('PIM Ranges'!$AL24&lt;'PIM Ranges'!$AZ$21,"Q1",IF('PIM Ranges'!$AL24&lt;'PIM Ranges'!$BA$21,"Q2",IF('PIM Ranges'!$AL24&lt;'PIM Ranges'!$BB$21,"Q3",IF('PIM Ranges'!$AL24&lt;'PIM Ranges'!$BC$21,"Q4","Q5")))),IF('PIM Ranges'!$AK24='PIM Ranges'!$AY$22,IF('PIM Ranges'!$AL24&lt;'PIM Ranges'!$AZ$22,"Q1",IF('PIM Ranges'!$AL24&lt;'PIM Ranges'!$BA$22,"Q2",IF('PIM Ranges'!$AL24&lt;'PIM Ranges'!$BB$22,"Q3",IF('PIM Ranges'!$AL24&lt;'PIM Ranges'!$BC$22,"Q4","Q5")))),IF('PIM Ranges'!$AK24='PIM Ranges'!$AY$23,IF('PIM Ranges'!$AL24&lt;'PIM Ranges'!$AZ$23,"Q1",IF('PIM Ranges'!$AL24&lt;'PIM Ranges'!$BA$23,"Q2",IF('PIM Ranges'!$AL24&lt;'PIM Ranges'!$BB$23,"Q3",IF('PIM Ranges'!$AL24&lt;'PIM Ranges'!$BC$23,"Q4","Q5")))),IF('PIM Ranges'!$AK24='PIM Ranges'!$AY$24,IF('PIM Ranges'!$AL24&lt;'PIM Ranges'!$AZ$24,"Q1",IF('PIM Ranges'!$AL24&lt;'PIM Ranges'!$BA$24,"Q2",IF('PIM Ranges'!$AL24&lt;'PIM Ranges'!$BB$24,"Q3",IF('PIM Ranges'!$AL24&lt;'PIM Ranges'!$BC$24,"Q4","Q5")))),IF('PIM Ranges'!$AK24='PIM Ranges'!$AY$25,IF('PIM Ranges'!$AL24&lt;'PIM Ranges'!$AZ$25,"Q1",IF('PIM Ranges'!$AL24&lt;'PIM Ranges'!$BA$25,"Q2",IF('PIM Ranges'!$AL24&lt;'PIM Ranges'!$BB$25,"Q3",IF('PIM Ranges'!$AL24&lt;'PIM Ranges'!$BC$25,"Q4","Q5")))),IF('PIM Ranges'!$AK24='PIM Ranges'!$AY$26,IF('PIM Ranges'!$AL24&lt;'PIM Ranges'!$AZ$26,"Q1",IF('PIM Ranges'!$AL24&lt;'PIM Ranges'!$BA$26,"Q2",IF('PIM Ranges'!$AL24&lt;'PIM Ranges'!$BB$26,"Q3",IF('PIM Ranges'!$AL24&lt;'PIM Ranges'!$BC$26,"Q4","Q5")))),IF('PIM Ranges'!$AK24='PIM Ranges'!$AY$27,IF('PIM Ranges'!$AL24&lt;'PIM Ranges'!$AZ$27,"Q1",IF('PIM Ranges'!$AL24&lt;'PIM Ranges'!$BA$27,"Q2",IF('PIM Ranges'!$AL24&lt;'PIM Ranges'!$BB$27,"Q3",IF('PIM Ranges'!$AL24&lt;'PIM Ranges'!$BC$27,"Q4","Q5")))),IF('PIM Ranges'!$AK24='PIM Ranges'!$AY$28,IF('PIM Ranges'!$AL24&lt;'PIM Ranges'!$AZ$28,"Q1",IF('PIM Ranges'!$AL24&lt;'PIM Ranges'!$BA$28,"Q2",IF('PIM Ranges'!$AL24&lt;'PIM Ranges'!$BB$28,"Q3",IF('PIM Ranges'!$AL24&lt;'PIM Ranges'!$BC$28,"Q4","Q5")))),IF('PIM Ranges'!$AK24='PIM Ranges'!$AY$29,IF('PIM Ranges'!$AL24&lt;'PIM Ranges'!$AZ$29,"Q1",IF('PIM Ranges'!$AL24&lt;'PIM Ranges'!$BA$29,"Q2",IF('PIM Ranges'!$AL24&lt;'PIM Ranges'!$BB$29,"Q3",IF('PIM Ranges'!$AL24&lt;'PIM Ranges'!$BC$29,"Q4","Q5")))),IF('PIM Ranges'!$AK24='PIM Ranges'!$AY$30,IF('PIM Ranges'!$AL24&lt;'PIM Ranges'!$AZ$30,"Q1",IF('PIM Ranges'!$AL24&lt;'PIM Ranges'!$BA$30,"Q2",IF('PIM Ranges'!$AL24&lt;'PIM Ranges'!$BB$30,"Q3",IF('PIM Ranges'!$AL24&lt;'PIM Ranges'!$BC$30,"Q4","Q5")))),IF('PIM Ranges'!$AK24='PIM Ranges'!$AY$31,IF('PIM Ranges'!$AL24&lt;'PIM Ranges'!$AZ$31,"Q1",IF('PIM Ranges'!$AL24&lt;'PIM Ranges'!$BA$31,"Q2",IF('PIM Ranges'!$AL24&lt;'PIM Ranges'!$BB$31,"Q3",IF('PIM Ranges'!$AL24&lt;'PIM Ranges'!$BC$31,"Q4","Q5")))),IF('PIM Ranges'!$AK24='PIM Ranges'!$AY$32,IF('PIM Ranges'!$AL24&lt;'PIM Ranges'!$AZ$32,"Q1",IF('PIM Ranges'!$AL24&lt;'PIM Ranges'!$BA$32,"Q2",IF('PIM Ranges'!$AL24&lt;'PIM Ranges'!$BB$32,"Q3",IF('PIM Ranges'!$AL24&lt;'PIM Ranges'!$BC$32,"Q4","Q5"))))))))))))))))))))))))))</f>
        <v>Q1</v>
      </c>
      <c r="AZ26" s="301">
        <f t="shared" si="31"/>
        <v>0</v>
      </c>
      <c r="BA26" s="39">
        <f>'PIM Model'!C22</f>
        <v>0</v>
      </c>
      <c r="BB26" s="301"/>
      <c r="BC26" s="301"/>
      <c r="BD26" s="301" t="e">
        <f t="shared" si="72"/>
        <v>#DIV/0!</v>
      </c>
      <c r="BE26" s="301"/>
      <c r="BF26" s="301"/>
      <c r="BG26" s="105">
        <v>15</v>
      </c>
      <c r="BH26" s="18">
        <f t="array" ref="BH26">IF('Customer Inputs'!$W$6="End",0,IFERROR(IF($BU26="SEGMENT",INDEX('Margin Guidence Table'!$A$1:$AG$10000,MATCH(1,('Margin Guidence Table'!$A$1:$A$10000=$BS26)*('Margin Guidence Table'!$I$1:$I$10000&lt;=ROUND($BK$3,0))*('Margin Guidence Table'!$J$1:$J$10000&gt;=ROUND($BK$3,0)),0),MATCH("PCT_SALES",'Margin Guidence Table'!$A$1:$AG$1,0)),INDEX('Margin Guidence Table'!$A$1:$AG$10000,MATCH(1,('Margin Guidence Table'!$A$1:$A$10000=$BS26)*('Margin Guidence Table'!$I$1:$I$10000&lt;=ROUND($BK$3,0))*('Margin Guidence Table'!$J$1:$J$10000&gt;=ROUND($BK$3,0)),0),MATCH("DEFAULT_PCT_SALES",'Margin Guidence Table'!$A$1:$AG$1,0))),0))</f>
        <v>0</v>
      </c>
      <c r="BI26" s="297" t="e">
        <f t="shared" si="32"/>
        <v>#DIV/0!</v>
      </c>
      <c r="BJ26" s="99" t="s">
        <v>105</v>
      </c>
      <c r="BK26" s="91">
        <f>IF('Customer Inputs'!$W$6="End",0,IFERROR(IF(AND($BK$2&lt;&gt;"Enter Spend&gt;&gt;&gt;",$BL$2="EXISTING"),SUMIFS('Existing Customers'!$Q:$Q,'Existing Customers'!$A:$A,$BK$1,'Existing Customers'!$H:$H,$BJ26)*$BK$4,$BK$3*$BI26),0))</f>
        <v>0</v>
      </c>
      <c r="BL26" s="92">
        <f>IF('Customer Inputs'!$W$6="End",0,IFERROR(IF(AND($BK$2&lt;&gt;"Enter Spend&gt;&gt;&gt;",$BL$2="EXISTING"),SUMIFS('Existing Customers'!$N:$N,'Existing Customers'!$A:$A,$BK$1,'Existing Customers'!$H:$H,$BJ26)*$BK$4,$BK26/$BV26),0))</f>
        <v>0</v>
      </c>
      <c r="BM26" s="92">
        <f>IF('Customer Inputs'!$W$6="End",0,IFERROR(IF(AND($BK$2&lt;&gt;"Enter Spend&gt;&gt;&gt;",$BL$2="EXISTING"),SUMIFS('Existing Customers'!$O:$O,'Existing Customers'!$H:$H,$BJ26,'Existing Customers'!$A:$A,$BK$1)*$BK$4,$BL26*$BK$8),0))</f>
        <v>0</v>
      </c>
      <c r="BN26" s="92">
        <f>IF('Customer Inputs'!$W$6="End",0,IFERROR(IF(AND($BK$2&lt;&gt;"Enter Spend&gt;&gt;&gt;",$BL$2="EXISTING"),SUMIFS('Existing Customers'!$P:$P,'Existing Customers'!$A:$A,$BK$1,'Existing Customers'!$H:$H,$BJ26)*$BK$4,$BK26/$BW26),0))</f>
        <v>0</v>
      </c>
      <c r="BO26" s="303">
        <f>IF('Customer Inputs'!$W$6="End",0,IFERROR(IF(AND($BK$2&lt;&gt;"Enter Spend&gt;&gt;&gt;",$BL$2="EXISTING"),SUMIFS('Existing Customers'!$V:$V,'Existing Customers'!$H:$H,$BJ26,'Existing Customers'!$A:$A,$BK$1)*$BK$4,0),0))</f>
        <v>0</v>
      </c>
      <c r="BP26" s="93">
        <f>IF('Customer Inputs'!$W$6="End",0,IFERROR(IF(AND($BK$2&lt;&gt;"Enter Spend&gt;&gt;&gt;",$BL$2="EXISTING"),SUMIFS('Existing Customers'!$R:$R,'Existing Customers'!$H:$H,$BJ26,'Existing Customers'!$A:$A,$BK$1)*$BK$4,0),0))</f>
        <v>0</v>
      </c>
      <c r="BQ26" s="93">
        <f>IF('Customer Inputs'!$W$6="End",0,IFERROR(IF(AND($BK$2&lt;&gt;"Enter Spend&gt;&gt;&gt;",$BL$2="EXISTING"),SUMIFS('Existing Customers'!$S:$S,'Existing Customers'!$H:$H,$BJ26,'Existing Customers'!$A:$A,$BK$1)/SUMIFS('Existing Customers'!$Q:$Q,'Existing Customers'!$A:$A,$BK$1,'Existing Customers'!$H:$H,$BJ26),CA26),0))</f>
        <v>0</v>
      </c>
      <c r="BR26" s="93">
        <f>IF('Customer Inputs'!$W$6="End",0,IFERROR(IF(AND($BK$2&lt;&gt;"Enter Spend&gt;&gt;&gt;",$BL$2="EXISTING"),SUMIFS('Existing Customers'!$U:$U,'Existing Customers'!$H:$H,$BJ26,'Existing Customers'!$A:$A,$BK$1)/SUMIFS('Existing Customers'!$Q:$Q,'Existing Customers'!$A:$A,$BK$1,'Existing Customers'!$H:$H,$BJ26),CB26),0))</f>
        <v>0</v>
      </c>
      <c r="BS26" s="782" t="e">
        <f>_xlfn.CONCAT('Customer Inputs'!$AH$6,"_",BJ26)</f>
        <v>#N/A</v>
      </c>
      <c r="BT26" s="783">
        <f t="array" ref="BT26">IF('Customer Inputs'!$W$6="End",0,IFERROR(INDEX('Margin Guidence Table'!$A$1:$AG$10000,MATCH(1,('Margin Guidence Table'!$A$1:$A$10000=$BS26)*('Margin Guidence Table'!$I$1:$I$10000&lt;=ROUND($BK$3,0))*('Margin Guidence Table'!$J$1:$J$10000&gt;=ROUND($BK$3,0)),0),MATCH("DATA_POINTS",'Margin Guidence Table'!$A$1:$AG$1,0)),0))</f>
        <v>0</v>
      </c>
      <c r="BU26" s="780" t="str">
        <f t="shared" si="33"/>
        <v>DEFAULT</v>
      </c>
      <c r="BV26" s="780">
        <f t="array" ref="BV26">IF('Customer Inputs'!$W$6="End",0,IFERROR(IF($BU26="SEGMENT",INDEX('Margin Guidence Table'!$A$1:$AG$10000,MATCH(1,('Margin Guidence Table'!$A$1:$A$10000=$BS26)*('Margin Guidence Table'!$I$1:$I$10000&lt;=ROUND($BK$3,0))*('Margin Guidence Table'!$J$1:$J$10000&gt;=ROUND($BK$3,0)),0),MATCH("SALES_CASE",'Margin Guidence Table'!$A$1:$AG$1,0)),INDEX('Margin Guidence Table'!$A$1:$AG$10000,MATCH(1,('Margin Guidence Table'!$A$1:$A$10000=$BS26)*('Margin Guidence Table'!$I$1:$I$10000&lt;=ROUND($BK$3,0))*('Margin Guidence Table'!$J$1:$J$10000&gt;=ROUND($BK$3,0)),0),MATCH("DEFAULT_SALES_CASE",'Margin Guidence Table'!$A$1:$AG$1,0))),0))</f>
        <v>0</v>
      </c>
      <c r="BW26" s="780">
        <f t="array" ref="BW26">IF('Customer Inputs'!$W$6="End",0,IFERROR(IF($BU26="SEGMENT",INDEX('Margin Guidence Table'!$A$1:$AG$10000,MATCH(1,('Margin Guidence Table'!$A$1:$A$10000=$BS26)*('Margin Guidence Table'!$I$1:$I$10000&lt;=ROUND($BK$3,0))*('Margin Guidence Table'!$J$1:$J$10000&gt;=ROUND($BK$3,0)),0),MATCH("SALES_LBS",'Margin Guidence Table'!$A$1:$AG$1,0)),INDEX('Margin Guidence Table'!$A$1:$AG$10000,MATCH(1,('Margin Guidence Table'!$A$1:$A$10000=$BS26)*('Margin Guidence Table'!$I$1:$I$10000&lt;=ROUND($BK$3,0))*('Margin Guidence Table'!$J$1:$J$10000&gt;=ROUND($BK$3,0)),0),MATCH("DEFAULT_SALES_LBS",'Margin Guidence Table'!$A$1:$AG$1,0))),0))</f>
        <v>0</v>
      </c>
      <c r="BX26" s="784">
        <f t="array" ref="BX26">IF('Customer Inputs'!$W$6="End",0,IFERROR(IF($BU26="SEGMENT",INDEX('Margin Guidence Table'!$A$1:$AG$10000,MATCH(1,('Margin Guidence Table'!$A$1:$A$10000=$BS26)*('Margin Guidence Table'!$I$1:$I$10000&lt;=ROUND($BK$3,0))*('Margin Guidence Table'!$J$1:$J$10000&gt;=ROUND($BK$3,0)),0),MATCH("MDA_MIN_MARGIN_GUIDENCE",'Margin Guidence Table'!$A$1:$AG$1,0)),INDEX('Margin Guidence Table'!$A$1:$AG$10000,MATCH(1,('Margin Guidence Table'!$A$1:$A$10000=$BS26)*('Margin Guidence Table'!$I$1:$I$10000&lt;=ROUND($BK$3,0))*('Margin Guidence Table'!$J$1:$J$10000&gt;=ROUND($BK$3,0)),0),MATCH("DEFAULT_MDA_MIN_MARGIN_GUIDENCE",'Margin Guidence Table'!$A$1:$AG$1,0))),0))</f>
        <v>0</v>
      </c>
      <c r="BY26" s="784">
        <f t="array" ref="BY26">IF('Customer Inputs'!$W$6="End",0,IFERROR(IF($BU26="SEGMENT",INDEX('Margin Guidence Table'!$A$1:$AG$10000,MATCH(1,('Margin Guidence Table'!$A$1:$A$10000=$BS26)*('Margin Guidence Table'!$I$1:$I$10000&lt;=ROUND($BK$3,0))*('Margin Guidence Table'!$J$1:$J$10000&gt;=ROUND($BK$3,0)),0),MATCH("MDA_MEDIAN_MARGIN_GUIDENCE",'Margin Guidence Table'!$A$1:$AG$1,0)),INDEX('Margin Guidence Table'!$A$1:$AG$10000,MATCH(1,('Margin Guidence Table'!$A$1:$A$10000=$BS26)*('Margin Guidence Table'!$I$1:$I$10000&lt;=ROUND($BK$3,0))*('Margin Guidence Table'!$J$1:$J$10000&gt;=ROUND($BK$3,0)),0),MATCH("DEFAULT_MDA_MEDIAN_MARGIN_GUIDENCE",'Margin Guidence Table'!$A$1:$AG$1,0))),0))</f>
        <v>0</v>
      </c>
      <c r="BZ26" s="784">
        <f t="array" ref="BZ26">IF('Customer Inputs'!$W$6="End",0,IFERROR(IF($BU26="SEGMENT",INDEX('Margin Guidence Table'!$A$1:$AG$10000,MATCH(1,('Margin Guidence Table'!$A$1:$A$10000=$BS26)*('Margin Guidence Table'!$I$1:$I$10000&lt;=ROUND($BK$3,0))*('Margin Guidence Table'!$J$1:$J$10000&gt;=ROUND($BK$3,0)),0),MATCH("MDA_MAX_MARGIN_GUIDENCE",'Margin Guidence Table'!$A$1:$AG$1,0)),INDEX('Margin Guidence Table'!$A$1:$AG$10000,MATCH(1,('Margin Guidence Table'!$A$1:$A$10000=$BS26)*('Margin Guidence Table'!$I$1:$I$10000&lt;=ROUND($BK$3,0))*('Margin Guidence Table'!$J$1:$J$10000&gt;=ROUND($BK$3,0)),0),MATCH("DEFAULT_MDA_MAX_MARGIN_GUIDENCE",'Margin Guidence Table'!$A$1:$AG$1,0))),0))</f>
        <v>0</v>
      </c>
      <c r="CA26" s="784">
        <f t="array" ref="CA26">IF('Customer Inputs'!$W$6="End",0,IFERROR(IF($BU26="SEGMENT",INDEX('Margin Guidence Table'!$A$1:$AG$10000,MATCH(1,('Margin Guidence Table'!$A$1:$A$10000=$BS26)*('Margin Guidence Table'!$I$1:$I$10000&lt;=ROUND($BK$3,0))*('Margin Guidence Table'!$J$1:$J$10000&gt;=ROUND($BK$3,0)),0),MATCH("PA_PCT_SALES",'Margin Guidence Table'!$A$1:$AG$1,0)),INDEX('Margin Guidence Table'!$A$1:$AG$10000,MATCH(1,('Margin Guidence Table'!$A$1:$A$10000=$BS26)*('Margin Guidence Table'!$I$1:$I$10000&lt;=ROUND($BK$3,0))*('Margin Guidence Table'!$J$1:$J$10000&gt;=ROUND($BK$3,0)),0),MATCH("DEFAULT_PA_PCT_SALES",'Margin Guidence Table'!$A$1:$AG$1,0))),0))</f>
        <v>0</v>
      </c>
      <c r="CB26" s="784">
        <f t="array" ref="CB26">IF('Customer Inputs'!$W$6="End",0,IFERROR(IF($BU26="SEGMENT",INDEX('Margin Guidence Table'!$A$1:$AG$10000,MATCH(1,('Margin Guidence Table'!$A$1:$A$10000=$BS26)*('Margin Guidence Table'!$I$1:$I$10000&lt;=ROUND($BK$3,0))*('Margin Guidence Table'!$J$1:$J$10000&gt;=ROUND($BK$3,0)),0),MATCH("SELF_FUND_PCT_SALES",'Margin Guidence Table'!$A$1:$AG$1,0)),INDEX('Margin Guidence Table'!$A$1:$AG$10000,MATCH(1,('Margin Guidence Table'!$A$1:$A$10000=$BS26)*('Margin Guidence Table'!$I$1:$I$10000&lt;=ROUND($BK$3,0))*('Margin Guidence Table'!$J$1:$J$10000&gt;=ROUND($BK$3,0)),0),MATCH("DEFAULT_SELF_FUND_PCT_SALES",'Margin Guidence Table'!$A$1:$AG$1,0))),0))</f>
        <v>0</v>
      </c>
      <c r="CC26" s="784">
        <f t="array" ref="CC26">IF('Customer Inputs'!$W$6="End",0,IF($BL$2="Existing",IFERROR(SUMIFS('Existing Customers'!$V:$V,'Existing Customers'!$H:$H,$BJ26,'Existing Customers'!$A:$A,$BK$1)/SUMIFS('Existing Customers'!$Q:$Q,'Existing Customers'!$H:$H,$BJ26,'Existing Customers'!$A:$A,$BK$1),0),IFERROR(IF($BU26="SEGMENT",INDEX('Margin Guidence Table'!$A$1:$AG$10000,MATCH(1,('Margin Guidence Table'!$A$1:$A$10000=$BS26)*('Margin Guidence Table'!$I$1:$I$10000&lt;=ROUND($BK$3,0))*('Margin Guidence Table'!$J$1:$J$10000&gt;=ROUND($BK$3,0)),0),MATCH("CIA_MEDIAN_MARGIN_GUIDENCE",'Margin Guidence Table'!$A$1:$AG$1,0)),INDEX('Margin Guidence Table'!$A$1:$AG$10000,MATCH(1,('Margin Guidence Table'!$A$1:$A$10000=$BS26)*('Margin Guidence Table'!$I$1:$I$10000&lt;=ROUND($BK$3,0))*('Margin Guidence Table'!$J$1:$J$10000&gt;=ROUND($BK$3,0)),0),MATCH("DEFAULT_CIA_MEDIAN_MARGIN_GUIDENCE",'Margin Guidence Table'!$A$1:$AG$1,0))),0)))</f>
        <v>0</v>
      </c>
      <c r="CD26" s="126"/>
      <c r="CE26" s="18">
        <f t="array" ref="CE26">IF('Customer Inputs'!$W$7="End",0,IFERROR(IF($CR26="SEGMENT",INDEX('Margin Guidence Table'!$A$1:$AG$10000,MATCH(1,('Margin Guidence Table'!$A$1:$A$10000=$CP26)*('Margin Guidence Table'!$I$1:$I$10000&lt;=ROUND($CH$3,0))*('Margin Guidence Table'!$J$1:$J$10000&gt;=ROUND($CH$3,0)),0),MATCH("PCT_SALES",'Margin Guidence Table'!$A$1:$AG$1,0)),INDEX('Margin Guidence Table'!$A$1:$AG$10000,MATCH(1,('Margin Guidence Table'!$A$1:$A$10000=$CP26)*('Margin Guidence Table'!$I$1:$I$10000&lt;=ROUND($CH$3,0))*('Margin Guidence Table'!$J$1:$J$10000&gt;=ROUND($CH$3,0)),0),MATCH("DEFAULT_PCT_SALES",'Margin Guidence Table'!$A$1:$AG$1,0))),0))</f>
        <v>0</v>
      </c>
      <c r="CF26" s="297" t="e">
        <f t="shared" si="34"/>
        <v>#DIV/0!</v>
      </c>
      <c r="CG26" s="99" t="s">
        <v>105</v>
      </c>
      <c r="CH26" s="91">
        <f>IF('Customer Inputs'!$W$7="End",0,IFERROR(IF(AND($CH$2&lt;&gt;"Enter Spend&gt;&gt;&gt;",$CI$2="EXISTING"),SUMIFS('Existing Customers'!$Q:$Q,'Existing Customers'!$A:$A,$CH$1,'Existing Customers'!$H:$H,$CG26)*$CH$4,$CH$3*$CF26),0))</f>
        <v>0</v>
      </c>
      <c r="CI26" s="86">
        <f>IF('Customer Inputs'!$W$7="End",0,IFERROR(IF(AND($CH$2&lt;&gt;"Enter Spend&gt;&gt;&gt;",$CI$2="EXISTING"),SUMIFS('Existing Customers'!$N:$N,'Existing Customers'!$A:$A,$CH$1,'Existing Customers'!$H:$H,$CG26)*$CH$4,$CH26/$CS26),0))</f>
        <v>0</v>
      </c>
      <c r="CJ26" s="92">
        <f>IF('Customer Inputs'!$W$7="End",0,IFERROR(IF(AND($CH$2&lt;&gt;"Enter Spend&gt;&gt;&gt;",$CI$2="EXISTING"),SUMIFS('Existing Customers'!$O:$O,'Existing Customers'!$H:$H,$CG26,'Existing Customers'!$A:$A,$CH$1)*$CH$4,$CI26*$CH$8),0))</f>
        <v>0</v>
      </c>
      <c r="CK26" s="92">
        <f>IF('Customer Inputs'!$W$7="End",0,IFERROR(IF(AND($CH$2&lt;&gt;"Enter Spend&gt;&gt;&gt;",$CI$2="EXISTING"),SUMIFS('Existing Customers'!$P:$P,'Existing Customers'!$A:$A,$CH$1,'Existing Customers'!$H:$H,$CG26)*$CH$4,$CH26/$CT26),0))</f>
        <v>0</v>
      </c>
      <c r="CL26" s="93">
        <f>IF('Customer Inputs'!$W$7="End",0,IFERROR(IF(AND($CH$2&lt;&gt;"Enter Spend&gt;&gt;&gt;",$CI$2="EXISTING"),SUMIFS('Existing Customers'!$V:$V,'Existing Customers'!$H:$H,$CG26,'Existing Customers'!$A:$A,$CH$1)*$CH$4,0),0))</f>
        <v>0</v>
      </c>
      <c r="CM26" s="93">
        <f>IF('Customer Inputs'!$W$7="End",0,IFERROR(IF(AND($CH$2&lt;&gt;"Enter Spend&gt;&gt;&gt;",$CI$2="EXISTING"),SUMIFS('Existing Customers'!$R:$R,'Existing Customers'!$H:$H,$CG26,'Existing Customers'!$A:$A,$CH$1)*$CH$4,0),0))</f>
        <v>0</v>
      </c>
      <c r="CN26" s="780">
        <f>IF('Customer Inputs'!$W$7="End",0,IFERROR(IF(AND($CH$2&lt;&gt;"Enter Spend&gt;&gt;&gt;",$CI$2="EXISTING"),SUMIFS('Existing Customers'!$S:$S,'Existing Customers'!$H:$H,$CG26,'Existing Customers'!$A:$A,$CH$1)/SUMIFS('Existing Customers'!$Q:$Q,'Existing Customers'!$A:$A,$CH$1,'Existing Customers'!$H:$H,$CG26),CX26),0))</f>
        <v>0</v>
      </c>
      <c r="CO26" s="780">
        <f>IF('Customer Inputs'!$W$7="End",0,IFERROR(IF(AND($CH$2&lt;&gt;"Enter Spend&gt;&gt;&gt;",$CI$2="EXISTING"),SUMIFS('Existing Customers'!$U:$U,'Existing Customers'!$H:$H,$CG26,'Existing Customers'!$A:$A,$CH$1)/SUMIFS('Existing Customers'!$Q:$Q,'Existing Customers'!$A:$A,$CH$1,'Existing Customers'!$H:$H,$CG26),CY26),0))</f>
        <v>0</v>
      </c>
      <c r="CP26" s="783" t="e">
        <f>_xlfn.CONCAT('Customer Inputs'!$AH$7,"_",CG26)</f>
        <v>#N/A</v>
      </c>
      <c r="CQ26" s="783">
        <f t="array" ref="CQ26">IFERROR(INDEX('Margin Guidence Table'!$A$1:$AG$10000,MATCH(1,('Margin Guidence Table'!$A$1:$A$10000=$CP26)*('Margin Guidence Table'!$I$1:$I$10000&lt;=ROUND($CH$3,0))*('Margin Guidence Table'!$J$1:$J$10000&gt;=ROUND($CH$3,0)),0),MATCH("DATA_POINTS",'Margin Guidence Table'!$A$1:$AG$1,0)),0)</f>
        <v>0</v>
      </c>
      <c r="CR26" s="780" t="str">
        <f t="shared" si="35"/>
        <v>DEFAULT</v>
      </c>
      <c r="CS26" s="780">
        <f t="array" ref="CS26">IF('Customer Inputs'!$W$7="End",0,IFERROR(IF($CR26="SEGMENT",INDEX('Margin Guidence Table'!$A$1:$AG$10000,MATCH(1,('Margin Guidence Table'!$A$1:$A$10000=$CP26)*('Margin Guidence Table'!$I$1:$I$10000&lt;=ROUND($CH$3,0))*('Margin Guidence Table'!$J$1:$J$10000&gt;=ROUND($CH$3,0)),0),MATCH("SALES_CASE",'Margin Guidence Table'!$A$1:$AG$1,0)),INDEX('Margin Guidence Table'!$A$1:$AG$10000,MATCH(1,('Margin Guidence Table'!$A$1:$A$10000=$CP26)*('Margin Guidence Table'!$I$1:$I$10000&lt;=ROUND($CH$3,0))*('Margin Guidence Table'!$J$1:$J$10000&gt;=ROUND($CH$3,0)),0),MATCH("DEFAULT_SALES_CASE",'Margin Guidence Table'!$A$1:$AG$1,0))),0))</f>
        <v>0</v>
      </c>
      <c r="CT26" s="780">
        <f t="array" ref="CT26">IF('Customer Inputs'!$W$7="End",0,IFERROR(IF($CR26="SEGMENT",INDEX('Margin Guidence Table'!$A$1:$AG$10000,MATCH(1,('Margin Guidence Table'!$A$1:$A$10000=$CP26)*('Margin Guidence Table'!$I$1:$I$10000&lt;=ROUND($CH$3,0))*('Margin Guidence Table'!$J$1:$J$10000&gt;=ROUND($CH$3,0)),0),MATCH("SALES_LBS",'Margin Guidence Table'!$A$1:$AG$1,0)),INDEX('Margin Guidence Table'!$A$1:$AG$10000,MATCH(1,('Margin Guidence Table'!$A$1:$A$10000=$CP26)*('Margin Guidence Table'!$I$1:$I$10000&lt;=ROUND($CH$3,0))*('Margin Guidence Table'!$J$1:$J$10000&gt;=ROUND($CH$3,0)),0),MATCH("DEFAULT_SALES_LBS",'Margin Guidence Table'!$A$1:$AG$1,0))),0))</f>
        <v>0</v>
      </c>
      <c r="CU26" s="784">
        <f t="array" ref="CU26">IF('Customer Inputs'!$W$7="End",0,IFERROR(IF($CR26="SEGMENT",INDEX('Margin Guidence Table'!$A$1:$AG$10000,MATCH(1,('Margin Guidence Table'!$A$1:$A$10000=$CP26)*('Margin Guidence Table'!$I$1:$I$10000&lt;=ROUND($CH$3,0))*('Margin Guidence Table'!$J$1:$J$10000&gt;=ROUND($CH$3,0)),0),MATCH("MDA_MIN_MARGIN_GUIDENCE",'Margin Guidence Table'!$A$1:$AG$1,0)),INDEX('Margin Guidence Table'!$A$1:$AG$10000,MATCH(1,('Margin Guidence Table'!$A$1:$A$10000=$CP26)*('Margin Guidence Table'!$I$1:$I$10000&lt;=ROUND($CH$3,0))*('Margin Guidence Table'!$J$1:$J$10000&gt;=ROUND($CH$3,0)),0),MATCH("DEFAULT_MDA_MIN_MARGIN_GUIDENCE",'Margin Guidence Table'!$A$1:$AG$1,0))),0))</f>
        <v>0</v>
      </c>
      <c r="CV26" s="784">
        <f t="array" ref="CV26">IF('Customer Inputs'!$W$7="End",0,IFERROR(IF($CR26="SEGMENT",INDEX('Margin Guidence Table'!$A$1:$AG$10000,MATCH(1,('Margin Guidence Table'!$A$1:$A$10000=$CP26)*('Margin Guidence Table'!$I$1:$I$10000&lt;=ROUND($CH$3,0))*('Margin Guidence Table'!$J$1:$J$10000&gt;=ROUND($CH$3,0)),0),MATCH("MDA_MEDIAN_MARGIN_GUIDENCE",'Margin Guidence Table'!$A$1:$AG$1,0)),INDEX('Margin Guidence Table'!$A$1:$AG$10000,MATCH(1,('Margin Guidence Table'!$A$1:$A$10000=$CP26)*('Margin Guidence Table'!$I$1:$I$10000&lt;=ROUND($CH$3,0))*('Margin Guidence Table'!$J$1:$J$10000&gt;=ROUND($CH$3,0)),0),MATCH("DEFAULT_MDA_MEDIAN_MARGIN_GUIDENCE",'Margin Guidence Table'!$A$1:$AG$1,0))),0))</f>
        <v>0</v>
      </c>
      <c r="CW26" s="784">
        <f t="array" ref="CW26">IF('Customer Inputs'!$W$7="End",0,IFERROR(IF($CR26="SEGMENT",INDEX('Margin Guidence Table'!$A$1:$AG$10000,MATCH(1,('Margin Guidence Table'!$A$1:$A$10000=$CP26)*('Margin Guidence Table'!$I$1:$I$10000&lt;=ROUND($CH$3,0))*('Margin Guidence Table'!$J$1:$J$10000&gt;=ROUND($CH$3,0)),0),MATCH("MDA_MAX_MARGIN_GUIDENCE",'Margin Guidence Table'!$A$1:$AG$1,0)),INDEX('Margin Guidence Table'!$A$1:$AG$10000,MATCH(1,('Margin Guidence Table'!$A$1:$A$10000=$CP26)*('Margin Guidence Table'!$I$1:$I$10000&lt;=ROUND($CH$3,0))*('Margin Guidence Table'!$J$1:$J$10000&gt;=ROUND($CH$3,0)),0),MATCH("DEFAULT_MDA_MAX_MARGIN_GUIDENCE",'Margin Guidence Table'!$A$1:$AG$1,0))),0))</f>
        <v>0</v>
      </c>
      <c r="CX26" s="784">
        <f t="array" ref="CX26">IF('Customer Inputs'!$W$7="End",0,IFERROR(IF($CR26="SEGMENT",INDEX('Margin Guidence Table'!$A$1:$AG$10000,MATCH(1,('Margin Guidence Table'!$A$1:$A$10000=$CP26)*('Margin Guidence Table'!$I$1:$I$10000&lt;=ROUND($CH$3,0))*('Margin Guidence Table'!$J$1:$J$10000&gt;=ROUND($CH$3,0)),0),MATCH("PA_PCT_SALES",'Margin Guidence Table'!$A$1:$AG$1,0)),INDEX('Margin Guidence Table'!$A$1:$AG$10000,MATCH(1,('Margin Guidence Table'!$A$1:$A$10000=$CP26)*('Margin Guidence Table'!$I$1:$I$10000&lt;=ROUND($CH$3,0))*('Margin Guidence Table'!$J$1:$J$10000&gt;=ROUND($CH$3,0)),0),MATCH("DEFAULT_PA_PCT_SALES",'Margin Guidence Table'!$A$1:$AG$1,0))),0))</f>
        <v>0</v>
      </c>
      <c r="CY26" s="784">
        <f t="array" ref="CY26">IF('Customer Inputs'!$W$7="End",0,IFERROR(IF($CR26="SEGMENT",INDEX('Margin Guidence Table'!$A$1:$AG$10000,MATCH(1,('Margin Guidence Table'!$A$1:$A$10000=$CP26)*('Margin Guidence Table'!$I$1:$I$10000&lt;=ROUND($CH$3,0))*('Margin Guidence Table'!$J$1:$J$10000&gt;=ROUND($CH$3,0)),0),MATCH("SELF_FUND_PCT_SALES",'Margin Guidence Table'!$A$1:$AG$1,0)),INDEX('Margin Guidence Table'!$A$1:$AG$10000,MATCH(1,('Margin Guidence Table'!$A$1:$A$10000=$CP26)*('Margin Guidence Table'!$I$1:$I$10000&lt;=ROUND($CH$3,0))*('Margin Guidence Table'!$J$1:$J$10000&gt;=ROUND($CH$3,0)),0),MATCH("DEFAULT_SELF_FUND_PCT_SALES",'Margin Guidence Table'!$A$1:$AG$1,0))),0))</f>
        <v>0</v>
      </c>
      <c r="CZ26" s="784">
        <f t="array" ref="CZ26">IF('Customer Inputs'!$W$7="End",0,IF($CI$2="Existing",IFERROR(SUMIFS('Existing Customers'!$V:$V,'Existing Customers'!$H:$H,$CG26,'Existing Customers'!$A:$A,$CH$1)/SUMIFS('Existing Customers'!$Q:$Q,'Existing Customers'!$H:$H,$CG26,'Existing Customers'!$A:$A,$CH$1),0),IFERROR(IF($CR26="SEGMENT",INDEX('Margin Guidence Table'!$A$1:$AG$10000,MATCH(1,('Margin Guidence Table'!$A$1:$A$10000=$CP26)*('Margin Guidence Table'!$I$1:$I$10000&lt;=ROUND($CH$3,0))*('Margin Guidence Table'!$J$1:$J$10000&gt;=ROUND($CH$3,0)),0),MATCH("CIA_MEDIAN_MARGIN_GUIDENCE",'Margin Guidence Table'!$A$1:$AG$1,0)),INDEX('Margin Guidence Table'!$A$1:$AG$10000,MATCH(1,('Margin Guidence Table'!$A$1:$A$10000=$CP26)*('Margin Guidence Table'!$I$1:$I$10000&lt;=ROUND($CH$3,0))*('Margin Guidence Table'!$J$1:$J$10000&gt;=ROUND($CH$3,0)),0),MATCH("DEFAULT_CIA_MEDIAN_MARGIN_GUIDENCE",'Margin Guidence Table'!$A$1:$AG$1,0))),0)))</f>
        <v>0</v>
      </c>
      <c r="DA26" s="126"/>
      <c r="DB26" s="18">
        <f t="array" ref="DB26">IF('Customer Inputs'!$W$8="End",0,IFERROR(IF($DO26="SEGMENT",INDEX('Margin Guidence Table'!$A$1:$AG$10000,MATCH(1,('Margin Guidence Table'!$A$1:$A$10000=$DM26)*('Margin Guidence Table'!$I$1:$I$10000&lt;=ROUND($DE$3,0))*('Margin Guidence Table'!$J$1:$J$10000&gt;=ROUND($DE$3,0)),0),MATCH("PCT_SALES",'Margin Guidence Table'!$A$1:$AG$1,0)),INDEX('Margin Guidence Table'!$A$1:$AG$10000,MATCH(1,('Margin Guidence Table'!$A$1:$A$10000=$DM26)*('Margin Guidence Table'!$I$1:$I$10000&lt;=ROUND($DE$3,0))*('Margin Guidence Table'!$J$1:$J$10000&gt;=ROUND($DE$3,0)),0),MATCH("DEFAULT_PCT_SALES",'Margin Guidence Table'!$A$1:$AG$1,0))),0))</f>
        <v>0</v>
      </c>
      <c r="DC26" s="297" t="e">
        <f t="shared" si="36"/>
        <v>#DIV/0!</v>
      </c>
      <c r="DD26" s="99" t="s">
        <v>105</v>
      </c>
      <c r="DE26" s="91">
        <f>IF('Customer Inputs'!$W$8="End",0,IFERROR(IF(AND($DE$2&lt;&gt;"Enter Spend&gt;&gt;&gt;",$DF$2="EXISTING"),SUMIFS('Existing Customers'!$Q:$Q,'Existing Customers'!$A:$A,$DE$1,'Existing Customers'!$H:$H,$DD26)*$DE$4,$DE$3*$DC26),0))</f>
        <v>0</v>
      </c>
      <c r="DF26" s="86">
        <f>IF('Customer Inputs'!$W$8="End",0,IFERROR(IF(AND($DE$2&lt;&gt;"Enter Spend&gt;&gt;&gt;",$DF$2="EXISTING"),SUMIFS('Existing Customers'!$N:$N,'Existing Customers'!$A:$A,$DE$1,'Existing Customers'!$H:$H,$DD26)*$DE$4,$DE26/$DP26),0))</f>
        <v>0</v>
      </c>
      <c r="DG26" s="92">
        <f>IF('Customer Inputs'!$W$8="End",0,IFERROR(IF(AND($DE$2&lt;&gt;"Enter Spend&gt;&gt;&gt;",$DF$2="EXISTING"),SUMIFS('Existing Customers'!$O:$O,'Existing Customers'!$H:$H,$DD26,'Existing Customers'!$A:$A,$DE$1)*$DE$4,$DF26*$DE$8),0))</f>
        <v>0</v>
      </c>
      <c r="DH26" s="92">
        <f>IF('Customer Inputs'!$W$8="End",0,IFERROR(IF(AND($DE$2&lt;&gt;"Enter Spend&gt;&gt;&gt;",$DF$2="EXISTING"),SUMIFS('Existing Customers'!$P:$P,'Existing Customers'!$A:$A,$DE$1,'Existing Customers'!$H:$H,$DD26)*$DE$4,$DE26/$DQ26),0))</f>
        <v>0</v>
      </c>
      <c r="DI26" s="93">
        <f>IF('Customer Inputs'!$W$8="End",0,IFERROR(IF(AND($DE$2&lt;&gt;"Enter Spend&gt;&gt;&gt;",$DF$2="EXISTING"),SUMIFS('Existing Customers'!$V:$V,'Existing Customers'!$H:$H,$DD26,'Existing Customers'!$A:$A,$DE$1)*$DE$4,0),0))</f>
        <v>0</v>
      </c>
      <c r="DJ26" s="93">
        <f>IF('Customer Inputs'!$W$8="End",0,IFERROR(IF(AND($DE$2&lt;&gt;"Enter Spend&gt;&gt;&gt;",$DF$2="EXISTING"),SUMIFS('Existing Customers'!$R:$R,'Existing Customers'!$H:$H,$DD26,'Existing Customers'!$A:$A,$DE$1)*$DE$4,0),0))</f>
        <v>0</v>
      </c>
      <c r="DK26" s="780">
        <f>IF('Customer Inputs'!$W$8="End",0,IFERROR(IF(AND($DE$2&lt;&gt;"Enter Spend&gt;&gt;&gt;",$DF$2="EXISTING"),SUMIFS('Existing Customers'!$S:$S,'Existing Customers'!$H:$H,$DD26,'Existing Customers'!$A:$A,$DE$1)/SUMIFS('Existing Customers'!$Q:$Q,'Existing Customers'!$A:$A,$DE$1,'Existing Customers'!$H:$H,$DD26),DU26),0))</f>
        <v>0</v>
      </c>
      <c r="DL26" s="780">
        <f>IF('Customer Inputs'!$W$8="End",0,IFERROR(IF(AND($DE$2&lt;&gt;"Enter Spend&gt;&gt;&gt;",$DF$2="EXISTING"),SUMIFS('Existing Customers'!$U:$U,'Existing Customers'!$H:$H,$DD26,'Existing Customers'!$A:$A,$DE$1)/SUMIFS('Existing Customers'!$Q:$Q,'Existing Customers'!$A:$A,$DE$1,'Existing Customers'!$H:$H,$DD26),DV26),0))</f>
        <v>0</v>
      </c>
      <c r="DM26" s="783" t="e">
        <f>_xlfn.CONCAT('Customer Inputs'!$AH$8,"_",DD26)</f>
        <v>#N/A</v>
      </c>
      <c r="DN26" s="783">
        <f t="array" ref="DN26">IF('Customer Inputs'!$W$8="End",0,IFERROR(INDEX('Margin Guidence Table'!$A$1:$AG$10000,MATCH(1,('Margin Guidence Table'!$A$1:$A$10000=DM26)*('Margin Guidence Table'!$I$1:$I$10000&lt;=ROUND($DE$3,0))*('Margin Guidence Table'!$J$1:$J$10000&gt;=ROUND($DE$3,0)),0),MATCH("DATA_POINTS",'Margin Guidence Table'!$A$1:$AG$1,0)),0))</f>
        <v>0</v>
      </c>
      <c r="DO26" s="780" t="str">
        <f t="shared" si="37"/>
        <v>DEFAULT</v>
      </c>
      <c r="DP26" s="780">
        <f t="array" ref="DP26">IF('Customer Inputs'!$W$8="End",0,IFERROR(IF($DO26="SEGMENT",INDEX('Margin Guidence Table'!$A$1:$AG$10000,MATCH(1,('Margin Guidence Table'!$A$1:$A$10000=DM26)*('Margin Guidence Table'!$I$1:$I$10000&lt;=ROUND($DE$3,0))*('Margin Guidence Table'!$J$1:$J$10000&gt;=ROUND($DE$3,0)),0),MATCH("SALES_CASE",'Margin Guidence Table'!$A$1:$AG$1,0)),INDEX('Margin Guidence Table'!$A$1:$AG$10000,MATCH(1,('Margin Guidence Table'!$A$1:$A$10000=DM26)*('Margin Guidence Table'!$I$1:$I$10000&lt;=ROUND($DE$3,0))*('Margin Guidence Table'!$J$1:$J$10000&gt;=ROUND($DE$3,0)),0),MATCH("DEFAULT_SALES_CASE",'Margin Guidence Table'!$A$1:$AG$1,0))),0))</f>
        <v>0</v>
      </c>
      <c r="DQ26" s="780">
        <f t="array" ref="DQ26">IF('Customer Inputs'!$W$8="End",0,IFERROR(IF($DO26="SEGMENT",INDEX('Margin Guidence Table'!$A$1:$AG$10000,MATCH(1,('Margin Guidence Table'!$A$1:$A$10000=DM26)*('Margin Guidence Table'!$I$1:$I$10000&lt;=ROUND($DE$3,0))*('Margin Guidence Table'!$J$1:$J$10000&gt;=ROUND($DE$3,0)),0),MATCH("SALES_LBS",'Margin Guidence Table'!$A$1:$AG$1,0)),INDEX('Margin Guidence Table'!$A$1:$AG$10000,MATCH(1,('Margin Guidence Table'!$A$1:$A$10000=DM26)*('Margin Guidence Table'!$I$1:$I$10000&lt;=ROUND($DE$3,0))*('Margin Guidence Table'!$J$1:$J$10000&gt;=ROUND($DE$3,0)),0),MATCH("DEFAULT_SALES_LBS",'Margin Guidence Table'!$A$1:$AG$1,0))),0))</f>
        <v>0</v>
      </c>
      <c r="DR26" s="784">
        <f t="array" ref="DR26">IF('Customer Inputs'!$W$8="End",0,IFERROR(IF($DO26="SEGMENT",INDEX('Margin Guidence Table'!$A$1:$AG$10000,MATCH(1,('Margin Guidence Table'!$A$1:$A$10000=DM26)*('Margin Guidence Table'!$I$1:$I$10000&lt;=ROUND($DE$3,0))*('Margin Guidence Table'!$J$1:$J$10000&gt;=ROUND($DE$3,0)),0),MATCH("MDA_MIN_MARGIN_GUIDENCE",'Margin Guidence Table'!$A$1:$AG$1,0)),INDEX('Margin Guidence Table'!$A$1:$AG$10000,MATCH(1,('Margin Guidence Table'!$A$1:$A$10000=DM26)*('Margin Guidence Table'!$I$1:$I$10000&lt;=ROUND($DE$3,0))*('Margin Guidence Table'!$J$1:$J$10000&gt;=ROUND($DE$3,0)),0),MATCH("DEFAULT_MDA_MIN_MARGIN_GUIDENCE",'Margin Guidence Table'!$A$1:$AG$1,0))),0))</f>
        <v>0</v>
      </c>
      <c r="DS26" s="784">
        <f t="array" ref="DS26">IF('Customer Inputs'!$W$8="End",0,IFERROR(IF($DO26="SEGMENT",INDEX('Margin Guidence Table'!$A$1:$AG$10000,MATCH(1,('Margin Guidence Table'!$A$1:$A$10000=DM26)*('Margin Guidence Table'!$I$1:$I$10000&lt;=ROUND($DE$3,0))*('Margin Guidence Table'!$J$1:$J$10000&gt;=ROUND($DE$3,0)),0),MATCH("MDA_MEDIAN_MARGIN_GUIDENCE",'Margin Guidence Table'!$A$1:$AG$1,0)),INDEX('Margin Guidence Table'!$A$1:$AG$10000,MATCH(1,('Margin Guidence Table'!$A$1:$A$10000=DM26)*('Margin Guidence Table'!$I$1:$I$10000&lt;=ROUND($DE$3,0))*('Margin Guidence Table'!$J$1:$J$10000&gt;=ROUND($DE$3,0)),0),MATCH("DEFAULT_MDA_MEDIAN_MARGIN_GUIDENCE",'Margin Guidence Table'!$A$1:$AG$1,0))),0))</f>
        <v>0</v>
      </c>
      <c r="DT26" s="784">
        <f t="array" ref="DT26">IF('Customer Inputs'!$W$8="End",0,IFERROR(IF($DO26="SEGMENT",INDEX('Margin Guidence Table'!$A$1:$AG$10000,MATCH(1,('Margin Guidence Table'!$A$1:$A$10000=DM26)*('Margin Guidence Table'!$I$1:$I$10000&lt;=ROUND($DE$3,0))*('Margin Guidence Table'!$J$1:$J$10000&gt;=ROUND($DE$3,0)),0),MATCH("MDA_MAX_MARGIN_GUIDENCE",'Margin Guidence Table'!$A$1:$AG$1,0)),INDEX('Margin Guidence Table'!$A$1:$AG$10000,MATCH(1,('Margin Guidence Table'!$A$1:$A$10000=DM26)*('Margin Guidence Table'!$I$1:$I$10000&lt;=ROUND($DE$3,0))*('Margin Guidence Table'!$J$1:$J$10000&gt;=ROUND($DE$3,0)),0),MATCH("DEFAULT_MDA_MAX_MARGIN_GUIDENCE",'Margin Guidence Table'!$A$1:$AG$1,0))),0))</f>
        <v>0</v>
      </c>
      <c r="DU26" s="784">
        <f t="array" ref="DU26">IF('Customer Inputs'!$W$8="End",0,IFERROR(IF($DO26="SEGMENT",INDEX('Margin Guidence Table'!$A$1:$AG$10000,MATCH(1,('Margin Guidence Table'!$A$1:$A$10000=DM26)*('Margin Guidence Table'!$I$1:$I$10000&lt;=ROUND($DE$3,0))*('Margin Guidence Table'!$J$1:$J$10000&gt;=ROUND($DE$3,0)),0),MATCH("PA_PCT_SALES",'Margin Guidence Table'!$A$1:$AG$1,0)),INDEX('Margin Guidence Table'!$A$1:$AG$10000,MATCH(1,('Margin Guidence Table'!$A$1:$A$10000=DM26)*('Margin Guidence Table'!$I$1:$I$10000&lt;=ROUND($DE$3,0))*('Margin Guidence Table'!$J$1:$J$10000&gt;=ROUND($DE$3,0)),0),MATCH("DEFAULT_PA_PCT_SALES",'Margin Guidence Table'!$A$1:$AG$1,0))),0))</f>
        <v>0</v>
      </c>
      <c r="DV26" s="784">
        <f t="array" ref="DV26">IF('Customer Inputs'!$W$8="End",0,IFERROR(IF($DO26="SEGMENT",INDEX('Margin Guidence Table'!$A$1:$AG$10000,MATCH(1,('Margin Guidence Table'!$A$1:$A$10000=DM26)*('Margin Guidence Table'!$I$1:$I$10000&lt;=ROUND($DE$3,0))*('Margin Guidence Table'!$J$1:$J$10000&gt;=ROUND($DE$3,0)),0),MATCH("SELF_FUND_PCT_SALES",'Margin Guidence Table'!$A$1:$AG$1,0)),INDEX('Margin Guidence Table'!$A$1:$AG$10000,MATCH(1,('Margin Guidence Table'!$A$1:$A$10000=DM26)*('Margin Guidence Table'!$I$1:$I$10000&lt;=ROUND($DE$3,0))*('Margin Guidence Table'!$J$1:$J$10000&gt;=ROUND($DE$3,0)),0),MATCH("DEFAULT_SELF_FUND_PCT_SALES",'Margin Guidence Table'!$A$1:$AG$1,0))),0))</f>
        <v>0</v>
      </c>
      <c r="DW26" s="784">
        <f t="array" ref="DW26">IF('Customer Inputs'!$W$8="End",0,IF($DF$2="Existing",IFERROR(SUMIFS('Existing Customers'!$V:$V,'Existing Customers'!$H:$H,$DD26,'Existing Customers'!$A:$A,$DE$1)/SUMIFS('Existing Customers'!$Q:$Q,'Existing Customers'!$H:$H,$DD26,'Existing Customers'!$A:$A,$DE$1),0),IFERROR(IF($DO26="SEGMENT",INDEX('Margin Guidence Table'!$A$1:$AG$10000,MATCH(1,('Margin Guidence Table'!$A$1:$A$10000=DM26)*('Margin Guidence Table'!$I$1:$I$10000&lt;=ROUND($DE$3,0))*('Margin Guidence Table'!$J$1:$J$10000&gt;=ROUND($DE$3,0)),0),MATCH("CIA_MEDIAN_MARGIN_GUIDENCE",'Margin Guidence Table'!$A$1:$AG$1,0)),INDEX('Margin Guidence Table'!$A$1:$AG$10000,MATCH(1,('Margin Guidence Table'!$A$1:$A$10000=DM26)*('Margin Guidence Table'!$I$1:$I$10000&lt;=ROUND($DE$3,0))*('Margin Guidence Table'!$J$1:$J$10000&gt;=ROUND($DE$3,0)),0),MATCH("DEFAULT_CIA_MEDIAN_MARGIN_GUIDENCE",'Margin Guidence Table'!$A$1:$AG$1,0))),0)))</f>
        <v>0</v>
      </c>
      <c r="DX26" s="126"/>
      <c r="DY26" s="18">
        <f t="array" ref="DY26">IF('Customer Inputs'!$W$9="End",0,IFERROR(IF($EL26="SEGMENT",INDEX('Margin Guidence Table'!$A$1:$AG$10000,MATCH(1,('Margin Guidence Table'!$A$1:$A$10000=$EJ26)*('Margin Guidence Table'!$I$1:$I$10000&lt;=ROUND($EB$3,0))*('Margin Guidence Table'!$J$1:$J$10000&gt;=ROUND($EB$3,0)),0),MATCH("PCT_SALES",'Margin Guidence Table'!$A$1:$AG$1,0)),INDEX('Margin Guidence Table'!$A$1:$AG$10000,MATCH(1,('Margin Guidence Table'!$A$1:$A$10000=$EJ26)*('Margin Guidence Table'!$I$1:$I$10000&lt;=ROUND($EB$3,0))*('Margin Guidence Table'!$J$1:$J$10000&gt;=ROUND($EB$3,0)),0),MATCH("DEFAULT_PCT_SALES",'Margin Guidence Table'!$A$1:$AG$1,0))),0))</f>
        <v>0</v>
      </c>
      <c r="DZ26" s="297" t="e">
        <f t="shared" si="38"/>
        <v>#DIV/0!</v>
      </c>
      <c r="EA26" s="99" t="s">
        <v>105</v>
      </c>
      <c r="EB26" s="91">
        <f>IF('Customer Inputs'!$W$9="End",0,IFERROR(IF(AND($EB$2&lt;&gt;"Enter Spend&gt;&gt;&gt;",$EC$2="EXISTING"),SUMIFS('Existing Customers'!$Q:$Q,'Existing Customers'!$A:$A,$EB$1,'Existing Customers'!$H:$H,$EA26)*$EB$4,$EB$3*$DZ26),0))</f>
        <v>0</v>
      </c>
      <c r="EC26" s="86">
        <f>IF('Customer Inputs'!$W$9="End",0,IFERROR(IF(AND($EB$2&lt;&gt;"Enter Spend&gt;&gt;&gt;",$EC$2="EXISTING"),SUMIFS('Existing Customers'!$N:$N,'Existing Customers'!$A:$A,$EB$1,'Existing Customers'!$H:$H,$EA26)*$EB$4,$EB26/$EM26),0))</f>
        <v>0</v>
      </c>
      <c r="ED26" s="92">
        <f>IF('Customer Inputs'!$W$9="End",0,IFERROR(IF(AND($EB$2&lt;&gt;"Enter Spend&gt;&gt;&gt;",$EC$2="EXISTING"),SUMIFS('Existing Customers'!$O:$O,'Existing Customers'!$H:$H,$EA26,'Existing Customers'!$A:$A,$EB$1)*$EB$4,$EC26*$EB$8),0))</f>
        <v>0</v>
      </c>
      <c r="EE26" s="92">
        <f>IF('Customer Inputs'!$W$9="End",0,IFERROR(IF(AND($EB$2&lt;&gt;"Enter Spend&gt;&gt;&gt;",$EC$2="EXISTING"),SUMIFS('Existing Customers'!$P:$P,'Existing Customers'!$A:$A,$EB$1,'Existing Customers'!$H:$H,$EA26)*$EB$4,$EB26/$EN26),0))</f>
        <v>0</v>
      </c>
      <c r="EF26" s="93">
        <f>IF('Customer Inputs'!$W$9="End",0,IFERROR(IF(AND($EB$2&lt;&gt;"Enter Spend&gt;&gt;&gt;",$EC$2="EXISTING"),SUMIFS('Existing Customers'!$V:$V,'Existing Customers'!$H:$H,$EA26,'Existing Customers'!$A:$A,$EB$1)*$EB$4,0),0))</f>
        <v>0</v>
      </c>
      <c r="EG26" s="93">
        <f>IF('Customer Inputs'!$W$9="End",0,IFERROR(IF(AND($EB$2&lt;&gt;"Enter Spend&gt;&gt;&gt;",$EC$2="EXISTING"),SUMIFS('Existing Customers'!$R:$R,'Existing Customers'!$H:$H,$EA26,'Existing Customers'!$A:$A,$EB$1)*$EB$4,0),0))</f>
        <v>0</v>
      </c>
      <c r="EH26" s="780">
        <f>IF('Customer Inputs'!$W$9="End",0,IFERROR(IF(AND($EB$2&lt;&gt;"Enter Spend&gt;&gt;&gt;",$EC$2="EXISTING"),SUMIFS('Existing Customers'!$S:$S,'Existing Customers'!$H:$H,$EA26,'Existing Customers'!$A:$A,$EB$1)/SUMIFS('Existing Customers'!$Q:$Q,'Existing Customers'!$A:$A,$EB$1,'Existing Customers'!$H:$H,$EA26),ER26),0))</f>
        <v>0</v>
      </c>
      <c r="EI26" s="780">
        <f>IF('Customer Inputs'!$W$9="End",0,IFERROR(IF(AND($EB$2&lt;&gt;"Enter Spend&gt;&gt;&gt;",$EC$2="EXISTING"),SUMIFS('Existing Customers'!$U:$U,'Existing Customers'!$H:$H,$EA26,'Existing Customers'!$A:$A,$EB$1)/SUMIFS('Existing Customers'!$Q:$Q,'Existing Customers'!$A:$A,$EB$1,'Existing Customers'!$H:$H,$EA26),ES26),0))</f>
        <v>0</v>
      </c>
      <c r="EJ26" s="783" t="e">
        <f>_xlfn.CONCAT('Customer Inputs'!$AH$9,"_",EA26)</f>
        <v>#N/A</v>
      </c>
      <c r="EK26" s="783">
        <f t="array" ref="EK26">IF('Customer Inputs'!$W$9="End",0,IFERROR(INDEX('Margin Guidence Table'!$A$1:$AG$10000,MATCH(1,('Margin Guidence Table'!$A$1:$A$10000=EJ26)*('Margin Guidence Table'!$I$1:$I$10000&lt;=ROUND($EB$3,0))*('Margin Guidence Table'!$J$1:$J$10000&gt;=ROUND($EB$3,0)),0),MATCH("DATA_POINTS",'Margin Guidence Table'!$A$1:$AG$1,0)),0))</f>
        <v>0</v>
      </c>
      <c r="EL26" s="780" t="str">
        <f t="shared" si="39"/>
        <v>DEFAULT</v>
      </c>
      <c r="EM26" s="780">
        <f t="array" ref="EM26">IF('Customer Inputs'!$W$9="End",0,IFERROR(IF($EL26="SEGMENT",INDEX('Margin Guidence Table'!$A$1:$AG$10000,MATCH(1,('Margin Guidence Table'!$A$1:$A$10000=EJ26)*('Margin Guidence Table'!$I$1:$I$10000&lt;=ROUND($EB$3,0))*('Margin Guidence Table'!$J$1:$J$10000&gt;=ROUND($EB$3,0)),0),MATCH("SALES_CASE",'Margin Guidence Table'!$A$1:$AG$1,0)),INDEX('Margin Guidence Table'!$A$1:$AG$10000,MATCH(1,('Margin Guidence Table'!$A$1:$A$10000=EJ26)*('Margin Guidence Table'!$I$1:$I$10000&lt;=ROUND($EB$3,0))*('Margin Guidence Table'!$J$1:$J$10000&gt;=ROUND($EB$3,0)),0),MATCH("DEFAULT_SALES_CASE",'Margin Guidence Table'!$A$1:$AG$1,0))),0))</f>
        <v>0</v>
      </c>
      <c r="EN26" s="780">
        <f t="array" ref="EN26">IF('Customer Inputs'!$W$9="End",0,IFERROR(IF($EL26="SEGMENT",INDEX('Margin Guidence Table'!$A$1:$AG$10000,MATCH(1,('Margin Guidence Table'!$A$1:$A$10000=EJ26)*('Margin Guidence Table'!$I$1:$I$10000&lt;=ROUND($EB$3,0))*('Margin Guidence Table'!$J$1:$J$10000&gt;=ROUND($EB$3,0)),0),MATCH("SALES_LBS",'Margin Guidence Table'!$A$1:$AG$1,0)),INDEX('Margin Guidence Table'!$A$1:$AG$10000,MATCH(1,('Margin Guidence Table'!$A$1:$A$10000=EJ26)*('Margin Guidence Table'!$I$1:$I$10000&lt;=ROUND($EB$3,0))*('Margin Guidence Table'!$J$1:$J$10000&gt;=ROUND($EB$3,0)),0),MATCH("DEFAULT_SALES_LBS",'Margin Guidence Table'!$A$1:$AG$1,0))),0))</f>
        <v>0</v>
      </c>
      <c r="EO26" s="784">
        <f t="array" ref="EO26">IF('Customer Inputs'!$W$9="End",0,IFERROR(IF($EL26="SEGMENT",INDEX('Margin Guidence Table'!$A$1:$AG$10000,MATCH(1,('Margin Guidence Table'!$A$1:$A$10000=EJ26)*('Margin Guidence Table'!$I$1:$I$10000&lt;=ROUND($EB$3,0))*('Margin Guidence Table'!$J$1:$J$10000&gt;=ROUND($EB$3,0)),0),MATCH("MDA_MIN_MARGIN_GUIDENCE",'Margin Guidence Table'!$A$1:$AG$1,0)),INDEX('Margin Guidence Table'!$A$1:$AG$10000,MATCH(1,('Margin Guidence Table'!$A$1:$A$10000=EJ26)*('Margin Guidence Table'!$I$1:$I$10000&lt;=ROUND($EB$3,0))*('Margin Guidence Table'!$J$1:$J$10000&gt;=ROUND($EB$3,0)),0),MATCH("DEFAULT_MDA_MIN_MARGIN_GUIDENCE",'Margin Guidence Table'!$A$1:$AG$1,0))),0))</f>
        <v>0</v>
      </c>
      <c r="EP26" s="784">
        <f t="array" ref="EP26">IF('Customer Inputs'!$W$9="End",0,IFERROR(IF($EL26="SEGMENT",INDEX('Margin Guidence Table'!$A$1:$AG$10000,MATCH(1,('Margin Guidence Table'!$A$1:$A$10000=EJ26)*('Margin Guidence Table'!$I$1:$I$10000&lt;=ROUND($EB$3,0))*('Margin Guidence Table'!$J$1:$J$10000&gt;=ROUND($EB$3,0)),0),MATCH("MDA_MEDIAN_MARGIN_GUIDENCE",'Margin Guidence Table'!$A$1:$AG$1,0)),INDEX('Margin Guidence Table'!$A$1:$AG$10000,MATCH(1,('Margin Guidence Table'!$A$1:$A$10000=EJ26)*('Margin Guidence Table'!$I$1:$I$10000&lt;=ROUND($EB$3,0))*('Margin Guidence Table'!$J$1:$J$10000&gt;=ROUND($EB$3,0)),0),MATCH("DEFAULT_MDA_MEDIAN_MARGIN_GUIDENCE",'Margin Guidence Table'!$A$1:$AG$1,0))),0))</f>
        <v>0</v>
      </c>
      <c r="EQ26" s="784">
        <f t="array" ref="EQ26">IF('Customer Inputs'!$W$9="End",0,IFERROR(IF($EL26="SEGMENT",INDEX('Margin Guidence Table'!$A$1:$AG$10000,MATCH(1,('Margin Guidence Table'!$A$1:$A$10000=EJ26)*('Margin Guidence Table'!$I$1:$I$10000&lt;=ROUND($EB$3,0))*('Margin Guidence Table'!$J$1:$J$10000&gt;=ROUND($EB$3,0)),0),MATCH("MDA_MAX_MARGIN_GUIDENCE",'Margin Guidence Table'!$A$1:$AG$1,0)),INDEX('Margin Guidence Table'!$A$1:$AG$10000,MATCH(1,('Margin Guidence Table'!$A$1:$A$10000=EJ26)*('Margin Guidence Table'!$I$1:$I$10000&lt;=ROUND($EB$3,0))*('Margin Guidence Table'!$J$1:$J$10000&gt;=ROUND($EB$3,0)),0),MATCH("DEFAULT_MDA_MAX_MARGIN_GUIDENCE",'Margin Guidence Table'!$A$1:$AG$1,0))),0))</f>
        <v>0</v>
      </c>
      <c r="ER26" s="784">
        <f t="array" ref="ER26">IF('Customer Inputs'!$W$9="End",0,IFERROR(IF($EL26="SEGMENT",INDEX('Margin Guidence Table'!$A$1:$AG$10000,MATCH(1,('Margin Guidence Table'!$A$1:$A$10000=EJ26)*('Margin Guidence Table'!$I$1:$I$10000&lt;=ROUND($EB$3,0))*('Margin Guidence Table'!$J$1:$J$10000&gt;=ROUND($EB$3,0)),0),MATCH("PA_PCT_SALES",'Margin Guidence Table'!$A$1:$AG$1,0)),INDEX('Margin Guidence Table'!$A$1:$AG$10000,MATCH(1,('Margin Guidence Table'!$A$1:$A$10000=EJ26)*('Margin Guidence Table'!$I$1:$I$10000&lt;=ROUND($EB$3,0))*('Margin Guidence Table'!$J$1:$J$10000&gt;=ROUND($EB$3,0)),0),MATCH("DEFAULT_PA_PCT_SALES",'Margin Guidence Table'!$A$1:$AG$1,0))),0))</f>
        <v>0</v>
      </c>
      <c r="ES26" s="784">
        <f t="array" ref="ES26">IF('Customer Inputs'!$W$9="End",0,IFERROR(IF($EL26="SEGMENT",INDEX('Margin Guidence Table'!$A$1:$AG$10000,MATCH(1,('Margin Guidence Table'!$A$1:$A$10000=EJ26)*('Margin Guidence Table'!$I$1:$I$10000&lt;=ROUND($EB$3,0))*('Margin Guidence Table'!$J$1:$J$10000&gt;=ROUND($EB$3,0)),0),MATCH("SELF_FUND_PCT_SALES",'Margin Guidence Table'!$A$1:$AG$1,0)),INDEX('Margin Guidence Table'!$A$1:$AG$10000,MATCH(1,('Margin Guidence Table'!$A$1:$A$10000=EJ26)*('Margin Guidence Table'!$I$1:$I$10000&lt;=ROUND($EB$3,0))*('Margin Guidence Table'!$J$1:$J$10000&gt;=ROUND($EB$3,0)),0),MATCH("DEFAULT_SELF_FUND_PCT_SALES",'Margin Guidence Table'!$A$1:$AG$1,0))),0))</f>
        <v>0</v>
      </c>
      <c r="ET26" s="784">
        <f t="array" ref="ET26">IF('Customer Inputs'!$W$9="End",0,IF($EC$2="Existing",IFERROR(SUMIFS('Existing Customers'!$V:$V,'Existing Customers'!$H:$H,$EA26,'Existing Customers'!$A:$A,$EB$1)/SUMIFS('Existing Customers'!$Q:$Q,'Existing Customers'!$H:$H,$EA26,'Existing Customers'!$A:$A,$EB$1),0),IFERROR(IF($EL26="SEGMENT",INDEX('Margin Guidence Table'!$A$1:$AG$10000,MATCH(1,('Margin Guidence Table'!$A$1:$A$10000=EJ26)*('Margin Guidence Table'!$I$1:$I$10000&lt;=ROUND($EB$3,0))*('Margin Guidence Table'!$J$1:$J$10000&gt;=ROUND($EB$3,0)),0),MATCH("CIA_MEDIAN_MARGIN_GUIDENCE",'Margin Guidence Table'!$A$1:$AG$1,0)),INDEX('Margin Guidence Table'!$A$1:$AG$10000,MATCH(1,('Margin Guidence Table'!$A$1:$A$10000=EJ26)*('Margin Guidence Table'!$I$1:$I$10000&lt;=ROUND($EB$3,0))*('Margin Guidence Table'!$J$1:$J$10000&gt;=ROUND($EB$3,0)),0),MATCH("DEFAULT_CIA_MEDIAN_MARGIN_GUIDENCE",'Margin Guidence Table'!$A$1:$AG$1,0))),0)))</f>
        <v>0</v>
      </c>
      <c r="EU26" s="126"/>
      <c r="EV26" s="18">
        <f t="array" ref="EV26">IF('Customer Inputs'!$W$10="End",0,IFERROR(IF($FI26="SEGMENT",INDEX('Margin Guidence Table'!$A$1:$AG$10000,MATCH(1,('Margin Guidence Table'!$A$1:$A$10000=$FG26)*('Margin Guidence Table'!$I$1:$I$10000&lt;=ROUND($EY$3,0))*('Margin Guidence Table'!$J$1:$J$10000&gt;=ROUND($EY$3,0)),0),MATCH("PCT_SALES",'Margin Guidence Table'!$A$1:$AG$1,0)),INDEX('Margin Guidence Table'!$A$1:$AG$10000,MATCH(1,('Margin Guidence Table'!$A$1:$A$10000=$FG26)*('Margin Guidence Table'!$I$1:$I$10000&lt;=ROUND($EY$3,0))*('Margin Guidence Table'!$J$1:$J$10000&gt;=ROUND($EY$3,0)),0),MATCH("DEFAULT_PCT_SALES",'Margin Guidence Table'!$A$1:$AG$1,0))),0))</f>
        <v>0</v>
      </c>
      <c r="EW26" s="297" t="e">
        <f t="shared" si="40"/>
        <v>#DIV/0!</v>
      </c>
      <c r="EX26" s="99" t="s">
        <v>105</v>
      </c>
      <c r="EY26" s="91">
        <f>IF('Customer Inputs'!$W$10="End",0,IFERROR(IF(AND($EY$2&lt;&gt;"Enter Spend&gt;&gt;&gt;",$EZ$2="EXISTING"),SUMIFS('Existing Customers'!$Q:$Q,'Existing Customers'!$A:$A,$EY$1,'Existing Customers'!$H:$H,$EX26)*$EY$4,$EY$3*$EW26),0))</f>
        <v>0</v>
      </c>
      <c r="EZ26" s="86">
        <f>IF('Customer Inputs'!$W$10="End",0,IFERROR(IF(AND($EY$2&lt;&gt;"Enter Spend&gt;&gt;&gt;",$EZ$2="EXISTING"),SUMIFS('Existing Customers'!$N:$N,'Existing Customers'!$A:$A,$EY$1,'Existing Customers'!$H:$H,$EX26)*$EY$4,$EY26/$FJ26),0))</f>
        <v>0</v>
      </c>
      <c r="FA26" s="92">
        <f>IF('Customer Inputs'!$W$10="End",0,IFERROR(IF(AND($EY$2&lt;&gt;"Enter Spend&gt;&gt;&gt;",$EZ$2="EXISTING"),SUMIFS('Existing Customers'!$O:$O,'Existing Customers'!$H:$H,$EX26,'Existing Customers'!$A:$A,$EY$1)*$EY$4,$EZ26*$EY$8),0))</f>
        <v>0</v>
      </c>
      <c r="FB26" s="92">
        <f>IF('Customer Inputs'!$W$10="End",0,IFERROR(IF(AND($EY$2&lt;&gt;"Enter Spend&gt;&gt;&gt;",$EZ$2="EXISTING"),SUMIFS('Existing Customers'!$P:$P,'Existing Customers'!$A:$A,$EY$1,'Existing Customers'!$H:$H,$EX26)*$EY$4,$EY26/$FK26),0))</f>
        <v>0</v>
      </c>
      <c r="FC26" s="93">
        <f>IF('Customer Inputs'!$W$10="End",0,IFERROR(IF(AND($EY$2&lt;&gt;"Enter Spend&gt;&gt;&gt;",$EZ$2="EXISTING"),SUMIFS('Existing Customers'!$V:$V,'Existing Customers'!$H:$H,$EX26,'Existing Customers'!$A:$A,$EY$1)*$EY$4,0),0))</f>
        <v>0</v>
      </c>
      <c r="FD26" s="93">
        <f>IF('Customer Inputs'!$W$10="End",0,IFERROR(IF(AND($EY$2&lt;&gt;"Enter Spend&gt;&gt;&gt;",$EZ$2="EXISTING"),SUMIFS('Existing Customers'!$R:$R,'Existing Customers'!$H:$H,$EX26,'Existing Customers'!$A:$A,$EY$1)*$EY$4,0),0))</f>
        <v>0</v>
      </c>
      <c r="FE26" s="780">
        <f>IF('Customer Inputs'!$W$10="End",0,IFERROR(IF(AND($EY$2&lt;&gt;"Enter Spend&gt;&gt;&gt;",$EZ$2="EXISTING"),SUMIFS('Existing Customers'!$S:$S,'Existing Customers'!$H:$H,$EX26,'Existing Customers'!$A:$A,$EY$1)/SUMIFS('Existing Customers'!$Q:$Q,'Existing Customers'!$A:$A,$EY$1,'Existing Customers'!$H:$H,$EX26),FO26),0))</f>
        <v>0</v>
      </c>
      <c r="FF26" s="780">
        <f>IF('Customer Inputs'!$W$10="End",0,IFERROR(IF(AND($EY$2&lt;&gt;"Enter Spend&gt;&gt;&gt;",$EZ$2="EXISTING"),SUMIFS('Existing Customers'!$U:$U,'Existing Customers'!$H:$H,$EX26,'Existing Customers'!$A:$A,$EY$1)/SUMIFS('Existing Customers'!$Q:$Q,'Existing Customers'!$A:$A,$EY$1,'Existing Customers'!$H:$H,$EX26),FP26),0))</f>
        <v>0</v>
      </c>
      <c r="FG26" s="783" t="e">
        <f>_xlfn.CONCAT('Customer Inputs'!$AH$10,"_",EX26)</f>
        <v>#N/A</v>
      </c>
      <c r="FH26" s="783">
        <f t="array" ref="FH26">IF('Customer Inputs'!$W$10="End",0,IFERROR(INDEX('Margin Guidence Table'!$A$1:$AG$10000,MATCH(1,('Margin Guidence Table'!$A$1:$A$10000=FG26)*('Margin Guidence Table'!$I$1:$I$10000&lt;=ROUND($EY$3,0))*('Margin Guidence Table'!$J$1:$J$10000&gt;=ROUND($EY$3,0)),0),MATCH("DATA_POINTS",'Margin Guidence Table'!$A$1:$AG$1,0)),0))</f>
        <v>0</v>
      </c>
      <c r="FI26" s="780" t="str">
        <f t="shared" si="41"/>
        <v>DEFAULT</v>
      </c>
      <c r="FJ26" s="780">
        <f t="array" ref="FJ26">IF('Customer Inputs'!$W$10="End",0,IFERROR(IF($FI26="SEGMENT",INDEX('Margin Guidence Table'!$A$1:$AG$10000,MATCH(1,('Margin Guidence Table'!$A$1:$A$10000=FG26)*('Margin Guidence Table'!$I$1:$I$10000&lt;=ROUND($EY$3,0))*('Margin Guidence Table'!$J$1:$J$10000&gt;=ROUND($EY$3,0)),0),MATCH("SALES_CASE",'Margin Guidence Table'!$A$1:$AG$1,0)),INDEX('Margin Guidence Table'!$A$1:$AG$10000,MATCH(1,('Margin Guidence Table'!$A$1:$A$10000=FG26)*('Margin Guidence Table'!$I$1:$I$10000&lt;=ROUND($EY$3,0))*('Margin Guidence Table'!$J$1:$J$10000&gt;=ROUND($EY$3,0)),0),MATCH("DEFAULT_SALES_CASE",'Margin Guidence Table'!$A$1:$AG$1,0))),0))</f>
        <v>0</v>
      </c>
      <c r="FK26" s="780">
        <f t="array" ref="FK26">IF('Customer Inputs'!$W$10="End",0,IFERROR(IF($FI26="SEGMENT",INDEX('Margin Guidence Table'!$A$1:$AG$10000,MATCH(1,('Margin Guidence Table'!$A$1:$A$10000=FG26)*('Margin Guidence Table'!$I$1:$I$10000&lt;=ROUND($EY$3,0))*('Margin Guidence Table'!$J$1:$J$10000&gt;=ROUND($EY$3,0)),0),MATCH("SALES_LBS",'Margin Guidence Table'!$A$1:$AG$1,0)),INDEX('Margin Guidence Table'!$A$1:$AG$10000,MATCH(1,('Margin Guidence Table'!$A$1:$A$10000=FG26)*('Margin Guidence Table'!$I$1:$I$10000&lt;=ROUND($EY$3,0))*('Margin Guidence Table'!$J$1:$J$10000&gt;=ROUND($EY$3,0)),0),MATCH("DEFAULT_SALES_LBS",'Margin Guidence Table'!$A$1:$AG$1,0))),0))</f>
        <v>0</v>
      </c>
      <c r="FL26" s="784">
        <f t="array" ref="FL26">IF('Customer Inputs'!$W$10="End",0,IFERROR(IF($FI26="SEGMENT",INDEX('Margin Guidence Table'!$A$1:$AG$10000,MATCH(1,('Margin Guidence Table'!$A$1:$A$10000=FG26)*('Margin Guidence Table'!$I$1:$I$10000&lt;=ROUND($EY$3,0))*('Margin Guidence Table'!$J$1:$J$10000&gt;=ROUND($EY$3,0)),0),MATCH("MDA_MIN_MARGIN_GUIDENCE",'Margin Guidence Table'!$A$1:$AG$1,0)),INDEX('Margin Guidence Table'!$A$1:$AG$10000,MATCH(1,('Margin Guidence Table'!$A$1:$A$10000=FG26)*('Margin Guidence Table'!$I$1:$I$10000&lt;=ROUND($EY$3,0))*('Margin Guidence Table'!$J$1:$J$10000&gt;=ROUND($EY$3,0)),0),MATCH("DEFAULT_MDA_MIN_MARGIN_GUIDENCE",'Margin Guidence Table'!$A$1:$AG$1,0))),0))</f>
        <v>0</v>
      </c>
      <c r="FM26" s="784">
        <f t="array" ref="FM26">IF('Customer Inputs'!$W$10="End",0,IFERROR(IF($FI26="SEGMENT",INDEX('Margin Guidence Table'!$A$1:$AG$10000,MATCH(1,('Margin Guidence Table'!$A$1:$A$10000=FG26)*('Margin Guidence Table'!$I$1:$I$10000&lt;=ROUND($EY$3,0))*('Margin Guidence Table'!$J$1:$J$10000&gt;=ROUND($EY$3,0)),0),MATCH("MDA_MEDIAN_MARGIN_GUIDENCE",'Margin Guidence Table'!$A$1:$AG$1,0)),INDEX('Margin Guidence Table'!$A$1:$AG$10000,MATCH(1,('Margin Guidence Table'!$A$1:$A$10000=FG26)*('Margin Guidence Table'!$I$1:$I$10000&lt;=ROUND($EY$3,0))*('Margin Guidence Table'!$J$1:$J$10000&gt;=ROUND($EY$3,0)),0),MATCH("DEFAULT_MDA_MEDIAN_MARGIN_GUIDENCE",'Margin Guidence Table'!$A$1:$AG$1,0))),0))</f>
        <v>0</v>
      </c>
      <c r="FN26" s="784">
        <f t="array" ref="FN26">IF('Customer Inputs'!$W$10="End",0,IFERROR(IF($FI26="SEGMENT",INDEX('Margin Guidence Table'!$A$1:$AG$10000,MATCH(1,('Margin Guidence Table'!$A$1:$A$10000=FG26)*('Margin Guidence Table'!$I$1:$I$10000&lt;=ROUND($EY$3,0))*('Margin Guidence Table'!$J$1:$J$10000&gt;=ROUND($EY$3,0)),0),MATCH("MDA_MAX_MARGIN_GUIDENCE",'Margin Guidence Table'!$A$1:$AG$1,0)),INDEX('Margin Guidence Table'!$A$1:$AG$10000,MATCH(1,('Margin Guidence Table'!$A$1:$A$10000=FG26)*('Margin Guidence Table'!$I$1:$I$10000&lt;=ROUND($EY$3,0))*('Margin Guidence Table'!$J$1:$J$10000&gt;=ROUND($EY$3,0)),0),MATCH("DEFAULT_MDA_MAX_MARGIN_GUIDENCE",'Margin Guidence Table'!$A$1:$AG$1,0))),0))</f>
        <v>0</v>
      </c>
      <c r="FO26" s="784">
        <f t="array" ref="FO26">IF('Customer Inputs'!$W$10="End",0,IFERROR(IF($FI26="SEGMENT",INDEX('Margin Guidence Table'!$A$1:$AG$10000,MATCH(1,('Margin Guidence Table'!$A$1:$A$10000=FG26)*('Margin Guidence Table'!$I$1:$I$10000&lt;=ROUND($EY$3,0))*('Margin Guidence Table'!$J$1:$J$10000&gt;=ROUND($EY$3,0)),0),MATCH("PA_PCT_SALES",'Margin Guidence Table'!$A$1:$AG$1,0)),INDEX('Margin Guidence Table'!$A$1:$AG$10000,MATCH(1,('Margin Guidence Table'!$A$1:$A$10000=FG26)*('Margin Guidence Table'!$I$1:$I$10000&lt;=ROUND($EY$3,0))*('Margin Guidence Table'!$J$1:$J$10000&gt;=ROUND($EY$3,0)),0),MATCH("DEFAULT_PA_PCT_SALES",'Margin Guidence Table'!$A$1:$AG$1,0))),0))</f>
        <v>0</v>
      </c>
      <c r="FP26" s="784">
        <f t="array" ref="FP26">IF('Customer Inputs'!$W$10="End",0,IFERROR(IF($FI26="SEGMENT",INDEX('Margin Guidence Table'!$A$1:$AG$10000,MATCH(1,('Margin Guidence Table'!$A$1:$A$10000=FG26)*('Margin Guidence Table'!$I$1:$I$10000&lt;=ROUND($EY$3,0))*('Margin Guidence Table'!$J$1:$J$10000&gt;=ROUND($EY$3,0)),0),MATCH("SELF_FUND_PCT_SALES",'Margin Guidence Table'!$A$1:$AG$1,0)),INDEX('Margin Guidence Table'!$A$1:$AG$10000,MATCH(1,('Margin Guidence Table'!$A$1:$A$10000=FG26)*('Margin Guidence Table'!$I$1:$I$10000&lt;=ROUND($EY$3,0))*('Margin Guidence Table'!$J$1:$J$10000&gt;=ROUND($EY$3,0)),0),MATCH("DEFAULT_SELF_FUND_PCT_SALES",'Margin Guidence Table'!$A$1:$AG$1,0))),0))</f>
        <v>0</v>
      </c>
      <c r="FQ26" s="784">
        <f t="array" ref="FQ26">IF('Customer Inputs'!$W$10="End",0,IF($EZ$2="Existing",IFERROR(SUMIFS('Existing Customers'!$V:$V,'Existing Customers'!$H:$H,$EX26,'Existing Customers'!$A:$A,$EY$1)/SUMIFS('Existing Customers'!$Q:$Q,'Existing Customers'!$H:$H,$EX26,'Existing Customers'!$A:$A,$EY$1),0),IFERROR(IF($FI26="SEGMENT",INDEX('Margin Guidence Table'!$A$1:$AG$10000,MATCH(1,('Margin Guidence Table'!$A$1:$A$10000=FG26)*('Margin Guidence Table'!$I$1:$I$10000&lt;=ROUND($EY$3,0))*('Margin Guidence Table'!$J$1:$J$10000&gt;=ROUND($EY$3,0)),0),MATCH("CIA_MEDIAN_MARGIN_GUIDENCE",'Margin Guidence Table'!$A$1:$AG$1,0)),INDEX('Margin Guidence Table'!$A$1:$AG$10000,MATCH(1,('Margin Guidence Table'!$A$1:$A$10000=FG26)*('Margin Guidence Table'!$I$1:$I$10000&lt;=ROUND($EY$3,0))*('Margin Guidence Table'!$J$1:$J$10000&gt;=ROUND($EY$3,0)),0),MATCH("DEFAULT_CIA_MEDIAN_MARGIN_GUIDENCE",'Margin Guidence Table'!$A$1:$AG$1,0))),0)))</f>
        <v>0</v>
      </c>
      <c r="FR26" s="126"/>
      <c r="FS26" s="18">
        <f t="array" ref="FS26">IF('Customer Inputs'!$W$11="End",0,IFERROR(IF($GF26="SEGMENT",INDEX('Margin Guidence Table'!$A$1:$AG$10000,MATCH(1,('Margin Guidence Table'!$A$1:$A$10000=$GD26)*('Margin Guidence Table'!$I$1:$I$10000&lt;=ROUND($FV$3,0))*('Margin Guidence Table'!$J$1:$J$10000&gt;=ROUND($FV$3,0)),0),MATCH("PCT_SALES",'Margin Guidence Table'!$A$1:$AG$1,0)),INDEX('Margin Guidence Table'!$A$1:$AG$10000,MATCH(1,('Margin Guidence Table'!$A$1:$A$10000=$GD26)*('Margin Guidence Table'!$I$1:$I$10000&lt;=ROUND($FV$3,0))*('Margin Guidence Table'!$J$1:$J$10000&gt;=ROUND($FV$3,0)),0),MATCH("DEFAULT_PCT_SALES",'Margin Guidence Table'!$A$1:$AG$1,0))),0))</f>
        <v>0</v>
      </c>
      <c r="FT26" s="297" t="e">
        <f t="shared" si="42"/>
        <v>#DIV/0!</v>
      </c>
      <c r="FU26" s="99" t="s">
        <v>105</v>
      </c>
      <c r="FV26" s="91">
        <f>IF('Customer Inputs'!$W$11="End",0,IFERROR(IF(AND($FV$2&lt;&gt;"Enter Spend&gt;&gt;&gt;",$FW$2="EXISTING"),SUMIFS('Existing Customers'!$Q:$Q,'Existing Customers'!$A:$A,$FV$1,'Existing Customers'!$H:$H,$FU26)*$FV$4,$FV$3*$FT26),0))</f>
        <v>0</v>
      </c>
      <c r="FW26" s="86">
        <f>IF('Customer Inputs'!$W$11="End",0,IFERROR(IF(AND($FV$2&lt;&gt;"Enter Spend&gt;&gt;&gt;",$FW$2="EXISTING"),SUMIFS('Existing Customers'!$N:$N,'Existing Customers'!$A:$A,$FV$1,'Existing Customers'!$H:$H,$FU26)*$FV$4,$FV26/$GG26),0))</f>
        <v>0</v>
      </c>
      <c r="FX26" s="92">
        <f>IF('Customer Inputs'!$W$11="End",0,IFERROR(IF(AND($FV$2&lt;&gt;"Enter Spend&gt;&gt;&gt;",$FW$2="EXISTING"),SUMIFS('Existing Customers'!$O:$O,'Existing Customers'!$H:$H,$FU26,'Existing Customers'!$A:$A,$FV$1)*$FV$4,$FW26*$FV$8),0))</f>
        <v>0</v>
      </c>
      <c r="FY26" s="92">
        <f>IF('Customer Inputs'!$W$11="End",0,IFERROR(IF(AND($FV$2&lt;&gt;"Enter Spend&gt;&gt;&gt;",$FW$2="EXISTING"),SUMIFS('Existing Customers'!$P:$P,'Existing Customers'!$A:$A,$FV$1,'Existing Customers'!$H:$H,$FU26)*$FV$4,$FV26/$GH26),0))</f>
        <v>0</v>
      </c>
      <c r="FZ26" s="93">
        <f>IF('Customer Inputs'!$W$11="End",0,IFERROR(IF(AND($FV$2&lt;&gt;"Enter Spend&gt;&gt;&gt;",$FW$2="EXISTING"),SUMIFS('Existing Customers'!$V:$V,'Existing Customers'!$H:$H,$FU26,'Existing Customers'!$A:$A,$FV$1)*$FV$4,0),0))</f>
        <v>0</v>
      </c>
      <c r="GA26" s="93">
        <f>IF('Customer Inputs'!$W$11="End",0,IFERROR(IF(AND($FV$2&lt;&gt;"Enter Spend&gt;&gt;&gt;",$FW$2="EXISTING"),SUMIFS('Existing Customers'!$R:$R,'Existing Customers'!$H:$H,$FU26,'Existing Customers'!$A:$A,$FV$1)*$FV$4,0),0))</f>
        <v>0</v>
      </c>
      <c r="GB26" s="780">
        <f>IF('Customer Inputs'!$W$11="End",0,IFERROR(IF(AND($FV$2&lt;&gt;"Enter Spend&gt;&gt;&gt;",$FW$2="EXISTING"),SUMIFS('Existing Customers'!$S:$S,'Existing Customers'!$H:$H,$FU26,'Existing Customers'!$A:$A,$FV$1)/SUMIFS('Existing Customers'!$Q:$Q,'Existing Customers'!$A:$A,$FV$1,'Existing Customers'!$H:$H,$FU26),GL26),0))</f>
        <v>0</v>
      </c>
      <c r="GC26" s="780">
        <f>IF('Customer Inputs'!$W$11="End",0,IFERROR(IF(AND($FV$2&lt;&gt;"Enter Spend&gt;&gt;&gt;",$FW$2="EXISTING"),SUMIFS('Existing Customers'!$U:$U,'Existing Customers'!$H:$H,$FU26,'Existing Customers'!$A:$A,$FV$1)/SUMIFS('Existing Customers'!$Q:$Q,'Existing Customers'!$A:$A,$FV$1,'Existing Customers'!$H:$H,$FU26),GM26),0))</f>
        <v>0</v>
      </c>
      <c r="GD26" s="783" t="e">
        <f>_xlfn.CONCAT('Customer Inputs'!$AH$11,"_",FU26)</f>
        <v>#N/A</v>
      </c>
      <c r="GE26" s="783">
        <f t="array" ref="GE26">IF('Customer Inputs'!$W$11="End",0,IFERROR(INDEX('Margin Guidence Table'!$A$1:$AG$10000,MATCH(1,('Margin Guidence Table'!$A$1:$A$10000=GD26)*('Margin Guidence Table'!$I$1:$I$10000&lt;=ROUND($FV$3,0))*('Margin Guidence Table'!$J$1:$J$10000&gt;=ROUND($FV$3,0)),0),MATCH("DATA_POINTS",'Margin Guidence Table'!$A$1:$AG$1,0)),0))</f>
        <v>0</v>
      </c>
      <c r="GF26" s="780" t="str">
        <f t="shared" si="43"/>
        <v>DEFAULT</v>
      </c>
      <c r="GG26" s="780">
        <f t="array" ref="GG26">IF('Customer Inputs'!$W$11="End",0,IFERROR(IF($GF26="SEGMENT",INDEX('Margin Guidence Table'!$A$1:$AG$10000,MATCH(1,('Margin Guidence Table'!$A$1:$A$10000=GD26)*('Margin Guidence Table'!$I$1:$I$10000&lt;=ROUND($FV$3,0))*('Margin Guidence Table'!$J$1:$J$10000&gt;=ROUND($FV$3,0)),0),MATCH("SALES_CASE",'Margin Guidence Table'!$A$1:$AG$1,0)),INDEX('Margin Guidence Table'!$A$1:$AG$10000,MATCH(1,('Margin Guidence Table'!$A$1:$A$10000=GD26)*('Margin Guidence Table'!$I$1:$I$10000&lt;=ROUND($FV$3,0))*('Margin Guidence Table'!$J$1:$J$10000&gt;=ROUND($FV$3,0)),0),MATCH("DEFAULT_SALES_CASE",'Margin Guidence Table'!$A$1:$AG$1,0))),0))</f>
        <v>0</v>
      </c>
      <c r="GH26" s="780">
        <f t="array" ref="GH26">IF('Customer Inputs'!$W$11="End",0,IFERROR(IF($GF26="SEGMENT",INDEX('Margin Guidence Table'!$A$1:$AG$10000,MATCH(1,('Margin Guidence Table'!$A$1:$A$10000=GD26)*('Margin Guidence Table'!$I$1:$I$10000&lt;=ROUND($FV$3,0))*('Margin Guidence Table'!$J$1:$J$10000&gt;=ROUND($FV$3,0)),0),MATCH("SALES_LBS",'Margin Guidence Table'!$A$1:$AG$1,0)),INDEX('Margin Guidence Table'!$A$1:$AG$10000,MATCH(1,('Margin Guidence Table'!$A$1:$A$10000=GD26)*('Margin Guidence Table'!$I$1:$I$10000&lt;=ROUND($FV$3,0))*('Margin Guidence Table'!$J$1:$J$10000&gt;=ROUND($FV$3,0)),0),MATCH("DEFAULT_SALES_LBS",'Margin Guidence Table'!$A$1:$AG$1,0))),0))</f>
        <v>0</v>
      </c>
      <c r="GI26" s="784">
        <f t="array" ref="GI26">IF('Customer Inputs'!$W$11="End",0,IFERROR(IF($GF26="SEGMENT",INDEX('Margin Guidence Table'!$A$1:$AG$10000,MATCH(1,('Margin Guidence Table'!$A$1:$A$10000=GD26)*('Margin Guidence Table'!$I$1:$I$10000&lt;=ROUND($FV$3,0))*('Margin Guidence Table'!$J$1:$J$10000&gt;=ROUND($FV$3,0)),0),MATCH("MDA_MIN_MARGIN_GUIDENCE",'Margin Guidence Table'!$A$1:$AG$1,0)),INDEX('Margin Guidence Table'!$A$1:$AG$10000,MATCH(1,('Margin Guidence Table'!$A$1:$A$10000=GD26)*('Margin Guidence Table'!$I$1:$I$10000&lt;=ROUND($FV$3,0))*('Margin Guidence Table'!$J$1:$J$10000&gt;=ROUND($FV$3,0)),0),MATCH("DEFAULT_MDA_MIN_MARGIN_GUIDENCE",'Margin Guidence Table'!$A$1:$AG$1,0))),0))</f>
        <v>0</v>
      </c>
      <c r="GJ26" s="784">
        <f t="array" ref="GJ26">IF('Customer Inputs'!$W$11="End",0,IFERROR(IF($GF26="SEGMENT",INDEX('Margin Guidence Table'!$A$1:$AG$10000,MATCH(1,('Margin Guidence Table'!$A$1:$A$10000=GD26)*('Margin Guidence Table'!$I$1:$I$10000&lt;=ROUND($FV$3,0))*('Margin Guidence Table'!$J$1:$J$10000&gt;=ROUND($FV$3,0)),0),MATCH("MDA_MEDIAN_MARGIN_GUIDENCE",'Margin Guidence Table'!$A$1:$AG$1,0)),INDEX('Margin Guidence Table'!$A$1:$AG$10000,MATCH(1,('Margin Guidence Table'!$A$1:$A$10000=GD26)*('Margin Guidence Table'!$I$1:$I$10000&lt;=ROUND($FV$3,0))*('Margin Guidence Table'!$J$1:$J$10000&gt;=ROUND($FV$3,0)),0),MATCH("DEFAULT_MDA_MEDIAN_MARGIN_GUIDENCE",'Margin Guidence Table'!$A$1:$AG$1,0))),0))</f>
        <v>0</v>
      </c>
      <c r="GK26" s="784">
        <f t="array" ref="GK26">IF('Customer Inputs'!$W$11="End",0,IFERROR(IF($GF26="SEGMENT",INDEX('Margin Guidence Table'!$A$1:$AG$10000,MATCH(1,('Margin Guidence Table'!$A$1:$A$10000=GD26)*('Margin Guidence Table'!$I$1:$I$10000&lt;=ROUND($FV$3,0))*('Margin Guidence Table'!$J$1:$J$10000&gt;=ROUND($FV$3,0)),0),MATCH("MDA_MAX_MARGIN_GUIDENCE",'Margin Guidence Table'!$A$1:$AG$1,0)),INDEX('Margin Guidence Table'!$A$1:$AG$10000,MATCH(1,('Margin Guidence Table'!$A$1:$A$10000=GD26)*('Margin Guidence Table'!$I$1:$I$10000&lt;=ROUND($FV$3,0))*('Margin Guidence Table'!$J$1:$J$10000&gt;=ROUND($FV$3,0)),0),MATCH("DEFAULT_MDA_MAX_MARGIN_GUIDENCE",'Margin Guidence Table'!$A$1:$AG$1,0))),0))</f>
        <v>0</v>
      </c>
      <c r="GL26" s="784">
        <f t="array" ref="GL26">IF('Customer Inputs'!$W$11="End",0,IFERROR(IF($GF26="SEGMENT",INDEX('Margin Guidence Table'!$A$1:$AG$10000,MATCH(1,('Margin Guidence Table'!$A$1:$A$10000=GD26)*('Margin Guidence Table'!$I$1:$I$10000&lt;=ROUND($FV$3,0))*('Margin Guidence Table'!$J$1:$J$10000&gt;=ROUND($FV$3,0)),0),MATCH("PA_PCT_SALES",'Margin Guidence Table'!$A$1:$AG$1,0)),INDEX('Margin Guidence Table'!$A$1:$AG$10000,MATCH(1,('Margin Guidence Table'!$A$1:$A$10000=GD26)*('Margin Guidence Table'!$I$1:$I$10000&lt;=ROUND($FV$3,0))*('Margin Guidence Table'!$J$1:$J$10000&gt;=ROUND($FV$3,0)),0),MATCH("DEFAULT_PA_PCT_SALES",'Margin Guidence Table'!$A$1:$AG$1,0))),0))</f>
        <v>0</v>
      </c>
      <c r="GM26" s="784">
        <f t="array" ref="GM26">IF('Customer Inputs'!$W$11="End",0,IFERROR(IF($GF26="SEGMENT",INDEX('Margin Guidence Table'!$A$1:$AG$10000,MATCH(1,('Margin Guidence Table'!$A$1:$A$10000=GD26)*('Margin Guidence Table'!$I$1:$I$10000&lt;=ROUND($FV$3,0))*('Margin Guidence Table'!$J$1:$J$10000&gt;=ROUND($FV$3,0)),0),MATCH("SELF_FUND_PCT_SALES",'Margin Guidence Table'!$A$1:$AG$1,0)),INDEX('Margin Guidence Table'!$A$1:$AG$10000,MATCH(1,('Margin Guidence Table'!$A$1:$A$10000=GD26)*('Margin Guidence Table'!$I$1:$I$10000&lt;=ROUND($FV$3,0))*('Margin Guidence Table'!$J$1:$J$10000&gt;=ROUND($FV$3,0)),0),MATCH("DEFAULT_SELF_FUND_PCT_SALES",'Margin Guidence Table'!$A$1:$AG$1,0))),0))</f>
        <v>0</v>
      </c>
      <c r="GN26" s="784">
        <f t="array" ref="GN26">IF('Customer Inputs'!$W$11="End",0,IF($FW$2="Existing",IFERROR(SUMIFS('Existing Customers'!$V:$V,'Existing Customers'!$H:$H,$FU26,'Existing Customers'!$A:$A,$FV$1)/SUMIFS('Existing Customers'!$Q:$Q,'Existing Customers'!$H:$H,$FU26,'Existing Customers'!$A:$A,$FV$1),0),IFERROR(IF($GF26="SEGMENT",INDEX('Margin Guidence Table'!$A$1:$AG$10000,MATCH(1,('Margin Guidence Table'!$A$1:$A$10000=GD26)*('Margin Guidence Table'!$I$1:$I$10000&lt;=ROUND($FV$3,0))*('Margin Guidence Table'!$J$1:$J$10000&gt;=ROUND($FV$3,0)),0),MATCH("CIA_MEDIAN_MARGIN_GUIDENCE",'Margin Guidence Table'!$A$1:$AG$1,0)),INDEX('Margin Guidence Table'!$A$1:$AG$10000,MATCH(1,('Margin Guidence Table'!$A$1:$A$10000=GD26)*('Margin Guidence Table'!$I$1:$I$10000&lt;=ROUND($FV$3,0))*('Margin Guidence Table'!$J$1:$J$10000&gt;=ROUND($FV$3,0)),0),MATCH("DEFAULT_CIA_MEDIAN_MARGIN_GUIDENCE",'Margin Guidence Table'!$A$1:$AG$1,0))),0)))</f>
        <v>0</v>
      </c>
      <c r="GO26" s="126"/>
      <c r="GP26" s="18">
        <f t="array" ref="GP26">IF('Customer Inputs'!$W$12="End",0,IFERROR(IF($HC26="SEGMENT",INDEX('Margin Guidence Table'!$A$1:$AG$10000,MATCH(1,('Margin Guidence Table'!$A$1:$A$10000=$HA26)*('Margin Guidence Table'!$I$1:$I$10000&lt;=ROUND($GS$3,0))*('Margin Guidence Table'!$J$1:$J$10000&gt;=ROUND($GS$3,0)),0),MATCH("PCT_SALES",'Margin Guidence Table'!$A$1:$AG$1,0)),INDEX('Margin Guidence Table'!$A$1:$AG$10000,MATCH(1,('Margin Guidence Table'!$A$1:$A$10000=$HA26)*('Margin Guidence Table'!$I$1:$I$10000&lt;=ROUND($GS$3,0))*('Margin Guidence Table'!$J$1:$J$10000&gt;=ROUND($GS$3,0)),0),MATCH("DEFAULT_PCT_SALES",'Margin Guidence Table'!$A$1:$AG$1,0))),0))</f>
        <v>0</v>
      </c>
      <c r="GQ26" s="297" t="e">
        <f t="shared" si="44"/>
        <v>#DIV/0!</v>
      </c>
      <c r="GR26" s="99" t="s">
        <v>105</v>
      </c>
      <c r="GS26" s="91">
        <f>IF('Customer Inputs'!$W$12="End",0,IFERROR(IF(AND($GS$2&lt;&gt;"Enter Spend&gt;&gt;&gt;",$GT$2="EXISTING"),SUMIFS('Existing Customers'!$Q:$Q,'Existing Customers'!$A:$A,$GS$1,'Existing Customers'!$H:$H,$GR26)*$GS$4,$GS$3*$GQ26),0))</f>
        <v>0</v>
      </c>
      <c r="GT26" s="86">
        <f>IF('Customer Inputs'!$W$12="End",0,IFERROR(IF(AND($GS$2&lt;&gt;"Enter Spend&gt;&gt;&gt;",$GT$2="EXISTING"),SUMIFS('Existing Customers'!$N:$N,'Existing Customers'!$A:$A,$GS$1,'Existing Customers'!$H:$H,$GR26)*$GS$4,$GS26/$HD26),0))</f>
        <v>0</v>
      </c>
      <c r="GU26" s="92">
        <f>IF('Customer Inputs'!$W$12="End",0,IFERROR(IF(AND($GS$2&lt;&gt;"Enter Spend&gt;&gt;&gt;",$GT$2="EXISTING"),SUMIFS('Existing Customers'!$O:$O,'Existing Customers'!$H:$H,$GR26,'Existing Customers'!$A:$A,$GS$1)*$GS$4,$GT26*$GS$8),0))</f>
        <v>0</v>
      </c>
      <c r="GV26" s="92">
        <f>IF('Customer Inputs'!$W$12="End",0,IFERROR(IF(AND($GS$2&lt;&gt;"Enter Spend&gt;&gt;&gt;",$GT$2="EXISTING"),SUMIFS('Existing Customers'!$P:$P,'Existing Customers'!$A:$A,$GS$1,'Existing Customers'!$H:$H,$GR26)*$GS$4,$GS26/$HE26),0))</f>
        <v>0</v>
      </c>
      <c r="GW26" s="93">
        <f>IF('Customer Inputs'!$W$12="End",0,IFERROR(IF(AND($GS$2&lt;&gt;"Enter Spend&gt;&gt;&gt;",$GT$2="EXISTING"),SUMIFS('Existing Customers'!$V:$V,'Existing Customers'!$H:$H,$GR26,'Existing Customers'!$A:$A,$GS$1)*$GS$4,0),0))</f>
        <v>0</v>
      </c>
      <c r="GX26" s="93">
        <f>IF('Customer Inputs'!$W$12="End",0,IFERROR(IF(AND($GS$2&lt;&gt;"Enter Spend&gt;&gt;&gt;",$GT$2="EXISTING"),SUMIFS('Existing Customers'!$R:$R,'Existing Customers'!$H:$H,$GR26,'Existing Customers'!$A:$A,$GS$1)*$GS$4,0),0))</f>
        <v>0</v>
      </c>
      <c r="GY26" s="780">
        <f>IF('Customer Inputs'!$W$12="End",0,IFERROR(IF(AND($GS$2&lt;&gt;"Enter Spend&gt;&gt;&gt;",$GT$2="EXISTING"),SUMIFS('Existing Customers'!$S:$S,'Existing Customers'!$H:$H,$GR26,'Existing Customers'!$A:$A,$GS$1)/SUMIFS('Existing Customers'!$Q:$Q,'Existing Customers'!$A:$A,$GS$1,'Existing Customers'!$H:$H,$GR26),HI26),0))</f>
        <v>0</v>
      </c>
      <c r="GZ26" s="780">
        <f>IF('Customer Inputs'!$W$12="End",0,IFERROR(IF(AND($GS$2&lt;&gt;"Enter Spend&gt;&gt;&gt;",$GT$2="EXISTING"),SUMIFS('Existing Customers'!$U:$U,'Existing Customers'!$H:$H,$GR26,'Existing Customers'!$A:$A,$GS$1)/SUMIFS('Existing Customers'!$Q:$Q,'Existing Customers'!$A:$A,$GS$1,'Existing Customers'!$H:$H,$GR26),HJ26),0))</f>
        <v>0</v>
      </c>
      <c r="HA26" s="783" t="e">
        <f>_xlfn.CONCAT('Customer Inputs'!$AH$12,"_",GR26)</f>
        <v>#N/A</v>
      </c>
      <c r="HB26" s="783">
        <f t="array" ref="HB26">IF('Customer Inputs'!$W$12="End",0,IFERROR(INDEX('Margin Guidence Table'!$A$1:$AG$10000,MATCH(1,('Margin Guidence Table'!$A$1:$A$10000=HA26)*('Margin Guidence Table'!$I$1:$I$10000&lt;=ROUND($GS$3,0))*('Margin Guidence Table'!$J$1:$J$10000&gt;=ROUND($GS$3,0)),0),MATCH("DATA_POINTS",'Margin Guidence Table'!$A$1:$AG$1,0)),0))</f>
        <v>0</v>
      </c>
      <c r="HC26" s="780" t="str">
        <f t="shared" si="45"/>
        <v>DEFAULT</v>
      </c>
      <c r="HD26" s="780">
        <f t="array" ref="HD26">IF('Customer Inputs'!$W$12="End",0,IFERROR(IF($HC26="SEGMENT",INDEX('Margin Guidence Table'!$A$1:$AG$10000,MATCH(1,('Margin Guidence Table'!$A$1:$A$10000=HA26)*('Margin Guidence Table'!$I$1:$I$10000&lt;=ROUND($GS$3,0))*('Margin Guidence Table'!$J$1:$J$10000&gt;=ROUND($GS$3,0)),0),MATCH("SALES_CASE",'Margin Guidence Table'!$A$1:$AG$1,0)),INDEX('Margin Guidence Table'!$A$1:$AG$10000,MATCH(1,('Margin Guidence Table'!$A$1:$A$10000=HA26)*('Margin Guidence Table'!$I$1:$I$10000&lt;=ROUND($GS$3,0))*('Margin Guidence Table'!$J$1:$J$10000&gt;=ROUND($GS$3,0)),0),MATCH("DEFAULT_SALES_CASE",'Margin Guidence Table'!$A$1:$AG$1,0))),0))</f>
        <v>0</v>
      </c>
      <c r="HE26" s="780">
        <f t="array" ref="HE26">IF('Customer Inputs'!$W$12="End",0,IFERROR(IF($HC26="SEGMENT",INDEX('Margin Guidence Table'!$A$1:$AG$10000,MATCH(1,('Margin Guidence Table'!$A$1:$A$10000=HA26)*('Margin Guidence Table'!$I$1:$I$10000&lt;=ROUND($GS$3,0))*('Margin Guidence Table'!$J$1:$J$10000&gt;=ROUND($GS$3,0)),0),MATCH("SALES_LBS",'Margin Guidence Table'!$A$1:$AG$1,0)),INDEX('Margin Guidence Table'!$A$1:$AG$10000,MATCH(1,('Margin Guidence Table'!$A$1:$A$10000=HA26)*('Margin Guidence Table'!$I$1:$I$10000&lt;=ROUND($GS$3,0))*('Margin Guidence Table'!$J$1:$J$10000&gt;=ROUND($GS$3,0)),0),MATCH("DEFAULT_SALES_LBS",'Margin Guidence Table'!$A$1:$AG$1,0))),0))</f>
        <v>0</v>
      </c>
      <c r="HF26" s="784">
        <f t="array" ref="HF26">IF('Customer Inputs'!$W$12="End",0,IFERROR(IF($HC26="SEGMENT",INDEX('Margin Guidence Table'!$A$1:$AG$10000,MATCH(1,('Margin Guidence Table'!$A$1:$A$10000=HA26)*('Margin Guidence Table'!$I$1:$I$10000&lt;=ROUND($GS$3,0))*('Margin Guidence Table'!$J$1:$J$10000&gt;=ROUND($GS$3,0)),0),MATCH("MDA_MIN_MARGIN_GUIDENCE",'Margin Guidence Table'!$A$1:$AG$1,0)),INDEX('Margin Guidence Table'!$A$1:$AG$10000,MATCH(1,('Margin Guidence Table'!$A$1:$A$10000=HA26)*('Margin Guidence Table'!$I$1:$I$10000&lt;=ROUND($GS$3,0))*('Margin Guidence Table'!$J$1:$J$10000&gt;=ROUND($GS$3,0)),0),MATCH("DEFAULT_MDA_MIN_MARGIN_GUIDENCE",'Margin Guidence Table'!$A$1:$AG$1,0))),0))</f>
        <v>0</v>
      </c>
      <c r="HG26" s="784">
        <f t="array" ref="HG26">IF('Customer Inputs'!$W$12="End",0,IFERROR(IF($HC26="SEGMENT",INDEX('Margin Guidence Table'!$A$1:$AG$10000,MATCH(1,('Margin Guidence Table'!$A$1:$A$10000=HA26)*('Margin Guidence Table'!$I$1:$I$10000&lt;=ROUND($GS$3,0))*('Margin Guidence Table'!$J$1:$J$10000&gt;=ROUND($GS$3,0)),0),MATCH("MDA_MEDIAN_MARGIN_GUIDENCE",'Margin Guidence Table'!$A$1:$AG$1,0)),INDEX('Margin Guidence Table'!$A$1:$AG$10000,MATCH(1,('Margin Guidence Table'!$A$1:$A$10000=HA26)*('Margin Guidence Table'!$I$1:$I$10000&lt;=ROUND($GS$3,0))*('Margin Guidence Table'!$J$1:$J$10000&gt;=ROUND($GS$3,0)),0),MATCH("DEFAULT_MDA_MEDIAN_MARGIN_GUIDENCE",'Margin Guidence Table'!$A$1:$AG$1,0))),0))</f>
        <v>0</v>
      </c>
      <c r="HH26" s="784">
        <f t="array" ref="HH26">IF('Customer Inputs'!$W$12="End",0,IFERROR(IF($HC26="SEGMENT",INDEX('Margin Guidence Table'!$A$1:$AG$10000,MATCH(1,('Margin Guidence Table'!$A$1:$A$10000=HA26)*('Margin Guidence Table'!$I$1:$I$10000&lt;=ROUND($GS$3,0))*('Margin Guidence Table'!$J$1:$J$10000&gt;=ROUND($GS$3,0)),0),MATCH("MDA_MAX_MARGIN_GUIDENCE",'Margin Guidence Table'!$A$1:$AG$1,0)),INDEX('Margin Guidence Table'!$A$1:$AG$10000,MATCH(1,('Margin Guidence Table'!$A$1:$A$10000=HA26)*('Margin Guidence Table'!$I$1:$I$10000&lt;=ROUND($GS$3,0))*('Margin Guidence Table'!$J$1:$J$10000&gt;=ROUND($GS$3,0)),0),MATCH("DEFAULT_MDA_MAX_MARGIN_GUIDENCE",'Margin Guidence Table'!$A$1:$AG$1,0))),0))</f>
        <v>0</v>
      </c>
      <c r="HI26" s="784">
        <f t="array" ref="HI26">IF('Customer Inputs'!$W$12="End",0,IFERROR(IF($HC26="SEGMENT",INDEX('Margin Guidence Table'!$A$1:$AG$10000,MATCH(1,('Margin Guidence Table'!$A$1:$A$10000=HA26)*('Margin Guidence Table'!$I$1:$I$10000&lt;=ROUND($GS$3,0))*('Margin Guidence Table'!$J$1:$J$10000&gt;=ROUND($GS$3,0)),0),MATCH("PA_PCT_SALES",'Margin Guidence Table'!$A$1:$AG$1,0)),INDEX('Margin Guidence Table'!$A$1:$AG$10000,MATCH(1,('Margin Guidence Table'!$A$1:$A$10000=HA26)*('Margin Guidence Table'!$I$1:$I$10000&lt;=ROUND($GS$3,0))*('Margin Guidence Table'!$J$1:$J$10000&gt;=ROUND($GS$3,0)),0),MATCH("DEFAULT_PA_PCT_SALES",'Margin Guidence Table'!$A$1:$AG$1,0))),0))</f>
        <v>0</v>
      </c>
      <c r="HJ26" s="784">
        <f t="array" ref="HJ26">IF('Customer Inputs'!$W$12="End",0,IFERROR(IF($HC26="SEGMENT",INDEX('Margin Guidence Table'!$A$1:$AG$10000,MATCH(1,('Margin Guidence Table'!$A$1:$A$10000=HA26)*('Margin Guidence Table'!$I$1:$I$10000&lt;=ROUND($GS$3,0))*('Margin Guidence Table'!$J$1:$J$10000&gt;=ROUND($GS$3,0)),0),MATCH("SELF_FUND_PCT_SALES",'Margin Guidence Table'!$A$1:$AG$1,0)),INDEX('Margin Guidence Table'!$A$1:$AG$10000,MATCH(1,('Margin Guidence Table'!$A$1:$A$10000=HA26)*('Margin Guidence Table'!$I$1:$I$10000&lt;=ROUND($GS$3,0))*('Margin Guidence Table'!$J$1:$J$10000&gt;=ROUND($GS$3,0)),0),MATCH("DEFAULT_SELF_FUND_PCT_SALES",'Margin Guidence Table'!$A$1:$AG$1,0))),0))</f>
        <v>0</v>
      </c>
      <c r="HK26" s="784">
        <f t="array" ref="HK26">IF('Customer Inputs'!$W$12="End",0,IF($GT$2="Existing",IFERROR(SUMIFS('Existing Customers'!$V:$V,'Existing Customers'!$H:$H,$GR26,'Existing Customers'!$A:$A,$GS$1)/SUMIFS('Existing Customers'!$Q:$Q,'Existing Customers'!$H:$H,$GR26,'Existing Customers'!$A:$A,$GS$1),0),IFERROR(IF($HC26="SEGMENT",INDEX('Margin Guidence Table'!$A$1:$AG$10000,MATCH(1,('Margin Guidence Table'!$A$1:$A$10000=HA26)*('Margin Guidence Table'!$I$1:$I$10000&lt;=ROUND($GS$3,0))*('Margin Guidence Table'!$J$1:$J$10000&gt;=ROUND($GS$3,0)),0),MATCH("CIA_MEDIAN_MARGIN_GUIDENCE",'Margin Guidence Table'!$A$1:$AG$1,0)),INDEX('Margin Guidence Table'!$A$1:$AG$10000,MATCH(1,('Margin Guidence Table'!$A$1:$A$10000=HA26)*('Margin Guidence Table'!$I$1:$I$10000&lt;=ROUND($GS$3,0))*('Margin Guidence Table'!$J$1:$J$10000&gt;=ROUND($GS$3,0)),0),MATCH("DEFAULT_CIA_MEDIAN_MARGIN_GUIDENCE",'Margin Guidence Table'!$A$1:$AG$1,0))),0)))</f>
        <v>0</v>
      </c>
      <c r="HL26" s="126"/>
      <c r="HM26" s="18">
        <f t="array" ref="HM26">IF('Customer Inputs'!$W$13="End",0,IFERROR(IF($HZ26="SEGMENT",INDEX('Margin Guidence Table'!$A$1:$AG$10000,MATCH(1,('Margin Guidence Table'!$A$1:$A$10000=$HX26)*('Margin Guidence Table'!$I$1:$I$10000&lt;=ROUND($HP$3,0))*('Margin Guidence Table'!$J$1:$J$10000&gt;=ROUND($HP$3,0)),0),MATCH("PCT_SALES",'Margin Guidence Table'!$A$1:$AG$1,0)),INDEX('Margin Guidence Table'!$A$1:$AG$10000,MATCH(1,('Margin Guidence Table'!$A$1:$A$10000=$HX26)*('Margin Guidence Table'!$I$1:$I$10000&lt;=ROUND($HP$3,0))*('Margin Guidence Table'!$J$1:$J$10000&gt;=ROUND($HP$3,0)),0),MATCH("DEFAULT_PCT_SALES",'Margin Guidence Table'!$A$1:$AG$1,0))),0))</f>
        <v>0</v>
      </c>
      <c r="HN26" s="297" t="e">
        <f t="shared" si="46"/>
        <v>#DIV/0!</v>
      </c>
      <c r="HO26" s="99" t="s">
        <v>105</v>
      </c>
      <c r="HP26" s="91">
        <f>IF('Customer Inputs'!$W$13="End",0,IFERROR(IF(AND($HP$2&lt;&gt;"Enter Spend&gt;&gt;&gt;",$HQ$2="EXISTING"),SUMIFS('Existing Customers'!$Q:$Q,'Existing Customers'!$A:$A,$HP$1,'Existing Customers'!$H:$H,$HO26)*$HP$4,$HP$3*$HN26),0))</f>
        <v>0</v>
      </c>
      <c r="HQ26" s="86">
        <f>IF('Customer Inputs'!$W$13="End",0,IFERROR(IF(AND($HP$2&lt;&gt;"Enter Spend&gt;&gt;&gt;",$HQ$2="EXISTING"),SUMIFS('Existing Customers'!$N:$N,'Existing Customers'!$A:$A,$HP$1,'Existing Customers'!$H:$H,$HO26)*$HP$4,$HP26/$IA26),0))</f>
        <v>0</v>
      </c>
      <c r="HR26" s="92">
        <f>IF('Customer Inputs'!$W$13="End",0,IFERROR(IF(AND($HP$2&lt;&gt;"Enter Spend&gt;&gt;&gt;",$HQ$2="EXISTING"),SUMIFS('Existing Customers'!$O:$O,'Existing Customers'!$H:$H,$HO26,'Existing Customers'!$A:$A,$HP$1)*$HP$4,$HQ26*$HP$8),0))</f>
        <v>0</v>
      </c>
      <c r="HS26" s="92">
        <f>IF('Customer Inputs'!$W$13="End",0,IFERROR(IF(AND($HP$2&lt;&gt;"Enter Spend&gt;&gt;&gt;",$HQ$2="EXISTING"),SUMIFS('Existing Customers'!$P:$P,'Existing Customers'!$A:$A,$HP$1,'Existing Customers'!$H:$H,$HO26)*$HP$4,$HP26/$IB26),0))</f>
        <v>0</v>
      </c>
      <c r="HT26" s="93">
        <f>IF('Customer Inputs'!$W$13="End",0,IFERROR(IF(AND($HP$2&lt;&gt;"Enter Spend&gt;&gt;&gt;",$HQ$2="EXISTING"),SUMIFS('Existing Customers'!$V:$V,'Existing Customers'!$H:$H,$HO26,'Existing Customers'!$A:$A,$HP$1)*$HP$4,0),0))</f>
        <v>0</v>
      </c>
      <c r="HU26" s="93">
        <f>IF('Customer Inputs'!$W$13="End",0,IFERROR(IF(AND($HP$2&lt;&gt;"Enter Spend&gt;&gt;&gt;",$HQ$2="EXISTING"),SUMIFS('Existing Customers'!$R:$R,'Existing Customers'!$H:$H,$HO26,'Existing Customers'!$A:$A,$HP$1)*$HP$4,0),0))</f>
        <v>0</v>
      </c>
      <c r="HV26" s="780">
        <f>IF('Customer Inputs'!$W$13="End",0,IFERROR(IF(AND($HP$2&lt;&gt;"Enter Spend&gt;&gt;&gt;",$HQ$2="EXISTING"),SUMIFS('Existing Customers'!$S:$S,'Existing Customers'!$H:$H,$HO26,'Existing Customers'!$A:$A,$HP$1)/SUMIFS('Existing Customers'!$Q:$Q,'Existing Customers'!$A:$A,$HP$1,'Existing Customers'!$H:$H,$HO26),IF26),0))</f>
        <v>0</v>
      </c>
      <c r="HW26" s="780">
        <f>IF('Customer Inputs'!$W$13="End",0,IFERROR(IF(AND($HP$2&lt;&gt;"Enter Spend&gt;&gt;&gt;",$HQ$2="EXISTING"),SUMIFS('Existing Customers'!$U:$U,'Existing Customers'!$H:$H,$HO26,'Existing Customers'!$A:$A,$HP$1)/SUMIFS('Existing Customers'!$Q:$Q,'Existing Customers'!$A:$A,$HP$1,'Existing Customers'!$H:$H,$HO26),IG26),0))</f>
        <v>0</v>
      </c>
      <c r="HX26" s="783" t="e">
        <f>_xlfn.CONCAT('Customer Inputs'!$AH$13,"_",HO26)</f>
        <v>#N/A</v>
      </c>
      <c r="HY26" s="783">
        <f t="array" ref="HY26">IF('Customer Inputs'!$W$13="End",0,IFERROR(INDEX('Margin Guidence Table'!$A$1:$AG$10000,MATCH(1,('Margin Guidence Table'!$A$1:$A$10000=HX26)*('Margin Guidence Table'!$I$1:$I$10000&lt;=ROUND($HP$3,0))*('Margin Guidence Table'!$J$1:$J$10000&gt;=ROUND($HP$3,0)),0),MATCH("DATA_POINTS",'Margin Guidence Table'!$A$1:$AG$1,0)),0))</f>
        <v>0</v>
      </c>
      <c r="HZ26" s="780" t="str">
        <f t="shared" si="47"/>
        <v>DEFAULT</v>
      </c>
      <c r="IA26" s="780">
        <f t="array" ref="IA26">IF('Customer Inputs'!$W$13="End",0,IFERROR(IF($HZ26="SEGMENT",INDEX('Margin Guidence Table'!$A$1:$AG$10000,MATCH(1,('Margin Guidence Table'!$A$1:$A$10000=HX26)*('Margin Guidence Table'!$I$1:$I$10000&lt;=ROUND($HP$3,0))*('Margin Guidence Table'!$J$1:$J$10000&gt;=ROUND($HP$3,0)),0),MATCH("SALES_CASE",'Margin Guidence Table'!$A$1:$AG$1,0)),INDEX('Margin Guidence Table'!$A$1:$AG$10000,MATCH(1,('Margin Guidence Table'!$A$1:$A$10000=HX26)*('Margin Guidence Table'!$I$1:$I$10000&lt;=ROUND($HP$3,0))*('Margin Guidence Table'!$J$1:$J$10000&gt;=ROUND($HP$3,0)),0),MATCH("DEFAULT_SALES_CASE",'Margin Guidence Table'!$A$1:$AG$1,0))),0))</f>
        <v>0</v>
      </c>
      <c r="IB26" s="780">
        <f t="array" ref="IB26">IF('Customer Inputs'!$W$13="End",0,IFERROR(IF($HZ26="SEGMENT",INDEX('Margin Guidence Table'!$A$1:$AG$10000,MATCH(1,('Margin Guidence Table'!$A$1:$A$10000=HX26)*('Margin Guidence Table'!$I$1:$I$10000&lt;=ROUND($HP$3,0))*('Margin Guidence Table'!$J$1:$J$10000&gt;=ROUND($HP$3,0)),0),MATCH("SALES_LBS",'Margin Guidence Table'!$A$1:$AG$1,0)),INDEX('Margin Guidence Table'!$A$1:$AG$10000,MATCH(1,('Margin Guidence Table'!$A$1:$A$10000=HX26)*('Margin Guidence Table'!$I$1:$I$10000&lt;=ROUND($HP$3,0))*('Margin Guidence Table'!$J$1:$J$10000&gt;=ROUND($HP$3,0)),0),MATCH("DEFAULT_SALES_LBS",'Margin Guidence Table'!$A$1:$AG$1,0))),0))</f>
        <v>0</v>
      </c>
      <c r="IC26" s="784">
        <f t="array" ref="IC26">IF('Customer Inputs'!$W$13="End",0,IFERROR(IF($HZ26="SEGMENT",INDEX('Margin Guidence Table'!$A$1:$AG$10000,MATCH(1,('Margin Guidence Table'!$A$1:$A$10000=HX26)*('Margin Guidence Table'!$I$1:$I$10000&lt;=ROUND($HP$3,0))*('Margin Guidence Table'!$J$1:$J$10000&gt;=ROUND($HP$3,0)),0),MATCH("MDA_MIN_MARGIN_GUIDENCE",'Margin Guidence Table'!$A$1:$AG$1,0)),INDEX('Margin Guidence Table'!$A$1:$AG$10000,MATCH(1,('Margin Guidence Table'!$A$1:$A$10000=HX26)*('Margin Guidence Table'!$I$1:$I$10000&lt;=ROUND($HP$3,0))*('Margin Guidence Table'!$J$1:$J$10000&gt;=ROUND($HP$3,0)),0),MATCH("DEFAULT_MDA_MIN_MARGIN_GUIDENCE",'Margin Guidence Table'!$A$1:$AG$1,0))),0))</f>
        <v>0</v>
      </c>
      <c r="ID26" s="784">
        <f t="array" ref="ID26">IF('Customer Inputs'!$W$13="End",0,IFERROR(IF($HZ26="SEGMENT",INDEX('Margin Guidence Table'!$A$1:$AG$10000,MATCH(1,('Margin Guidence Table'!$A$1:$A$10000=HX26)*('Margin Guidence Table'!$I$1:$I$10000&lt;=ROUND($HP$3,0))*('Margin Guidence Table'!$J$1:$J$10000&gt;=ROUND($HP$3,0)),0),MATCH("MDA_MEDIAN_MARGIN_GUIDENCE",'Margin Guidence Table'!$A$1:$AG$1,0)),INDEX('Margin Guidence Table'!$A$1:$AG$10000,MATCH(1,('Margin Guidence Table'!$A$1:$A$10000=HX26)*('Margin Guidence Table'!$I$1:$I$10000&lt;=ROUND($HP$3,0))*('Margin Guidence Table'!$J$1:$J$10000&gt;=ROUND($HP$3,0)),0),MATCH("DEFAULT_MDA_MEDIAN_MARGIN_GUIDENCE",'Margin Guidence Table'!$A$1:$AG$1,0))),0))</f>
        <v>0</v>
      </c>
      <c r="IE26" s="784">
        <f t="array" ref="IE26">IF('Customer Inputs'!$W$13="End",0,IFERROR(IF($HZ26="SEGMENT",INDEX('Margin Guidence Table'!$A$1:$AG$10000,MATCH(1,('Margin Guidence Table'!$A$1:$A$10000=HX26)*('Margin Guidence Table'!$I$1:$I$10000&lt;=ROUND($HP$3,0))*('Margin Guidence Table'!$J$1:$J$10000&gt;=ROUND($HP$3,0)),0),MATCH("MDA_MAX_MARGIN_GUIDENCE",'Margin Guidence Table'!$A$1:$AG$1,0)),INDEX('Margin Guidence Table'!$A$1:$AG$10000,MATCH(1,('Margin Guidence Table'!$A$1:$A$10000=HX26)*('Margin Guidence Table'!$I$1:$I$10000&lt;=ROUND($HP$3,0))*('Margin Guidence Table'!$J$1:$J$10000&gt;=ROUND($HP$3,0)),0),MATCH("DEFAULT_MDA_MAX_MARGIN_GUIDENCE",'Margin Guidence Table'!$A$1:$AG$1,0))),0))</f>
        <v>0</v>
      </c>
      <c r="IF26" s="784">
        <f t="array" ref="IF26">IF('Customer Inputs'!$W$13="End",0,IFERROR(IF($HZ26="SEGMENT",INDEX('Margin Guidence Table'!$A$1:$AG$10000,MATCH(1,('Margin Guidence Table'!$A$1:$A$10000=HX26)*('Margin Guidence Table'!$I$1:$I$10000&lt;=ROUND($HP$3,0))*('Margin Guidence Table'!$J$1:$J$10000&gt;=ROUND($HP$3,0)),0),MATCH("PA_PCT_SALES",'Margin Guidence Table'!$A$1:$AG$1,0)),INDEX('Margin Guidence Table'!$A$1:$AG$10000,MATCH(1,('Margin Guidence Table'!$A$1:$A$10000=HX26)*('Margin Guidence Table'!$I$1:$I$10000&lt;=ROUND($HP$3,0))*('Margin Guidence Table'!$J$1:$J$10000&gt;=ROUND($HP$3,0)),0),MATCH("DEFAULT_PA_PCT_SALES",'Margin Guidence Table'!$A$1:$AG$1,0))),0))</f>
        <v>0</v>
      </c>
      <c r="IG26" s="784">
        <f t="array" ref="IG26">IF('Customer Inputs'!$W$13="End",0,IFERROR(IF($HZ26="SEGMENT",INDEX('Margin Guidence Table'!$A$1:$AG$10000,MATCH(1,('Margin Guidence Table'!$A$1:$A$10000=HX26)*('Margin Guidence Table'!$I$1:$I$10000&lt;=ROUND($HP$3,0))*('Margin Guidence Table'!$J$1:$J$10000&gt;=ROUND($HP$3,0)),0),MATCH("SELF_FUND_PCT_SALES",'Margin Guidence Table'!$A$1:$AG$1,0)),INDEX('Margin Guidence Table'!$A$1:$AG$10000,MATCH(1,('Margin Guidence Table'!$A$1:$A$10000=HX26)*('Margin Guidence Table'!$I$1:$I$10000&lt;=ROUND($HP$3,0))*('Margin Guidence Table'!$J$1:$J$10000&gt;=ROUND($HP$3,0)),0),MATCH("DEFAULT_SELF_FUND_PCT_SALES",'Margin Guidence Table'!$A$1:$AG$1,0))),0))</f>
        <v>0</v>
      </c>
      <c r="IH26" s="784">
        <f t="array" ref="IH26">IF('Customer Inputs'!$W$13="End",0,IF($HQ$2="Existing",IFERROR(SUMIFS('Existing Customers'!$V:$V,'Existing Customers'!$H:$H,$HO26,'Existing Customers'!$A:$A,$HP$1)/SUMIFS('Existing Customers'!$Q:$Q,'Existing Customers'!$H:$H,$HO26,'Existing Customers'!$A:$A,$HP$1),0),IFERROR(IF($HZ26="SEGMENT",INDEX('Margin Guidence Table'!$A$1:$AG$10000,MATCH(1,('Margin Guidence Table'!$A$1:$A$10000=HX26)*('Margin Guidence Table'!$I$1:$I$10000&lt;=ROUND($HP$3,0))*('Margin Guidence Table'!$J$1:$J$10000&gt;=ROUND($HP$3,0)),0),MATCH("CIA_MEDIAN_MARGIN_GUIDENCE",'Margin Guidence Table'!$A$1:$AG$1,0)),INDEX('Margin Guidence Table'!$A$1:$AG$10000,MATCH(1,('Margin Guidence Table'!$A$1:$A$10000=HX26)*('Margin Guidence Table'!$I$1:$I$10000&lt;=ROUND($HP$3,0))*('Margin Guidence Table'!$J$1:$J$10000&gt;=ROUND($HP$3,0)),0),MATCH("DEFAULT_CIA_MEDIAN_MARGIN_GUIDENCE",'Margin Guidence Table'!$A$1:$AG$1,0))),0)))</f>
        <v>0</v>
      </c>
      <c r="II26" s="126"/>
      <c r="IJ26" s="18">
        <f t="array" ref="IJ26">IF('Customer Inputs'!$W$14="End",0,IFERROR(IF($IW26="SEGMENT",INDEX('Margin Guidence Table'!$A:$AC,MATCH(1,('Margin Guidence Table'!$A:$A=$IU26)*('Margin Guidence Table'!$H:$H&lt;=ROUND($IM$3,0))*('Margin Guidence Table'!$G:$G&gt;=ROUND($IM$3,0)),0),MATCH("PCT_SALES",'Margin Guidence Table'!$A$1:$AG$1,0)),INDEX('Margin Guidence Table'!$A:$AC,MATCH(1,('Margin Guidence Table'!$A:$A=$IU26)*('Margin Guidence Table'!$H:$H&lt;=ROUND($IM$3,0))*('Margin Guidence Table'!$G:$G&gt;=ROUND($IM$3,0)),0),MATCH("DEFAULT_PCT_SALES",'Margin Guidence Table'!$A$1:$AG$1,0))),0))</f>
        <v>0</v>
      </c>
      <c r="IK26" s="297" t="e">
        <f t="shared" si="48"/>
        <v>#DIV/0!</v>
      </c>
      <c r="IL26" s="99" t="s">
        <v>105</v>
      </c>
      <c r="IM26" s="91">
        <f>IF('Customer Inputs'!$W$14="End",0,IFERROR(IF(AND($IM$2&lt;&gt;"Enter Spend&gt;&gt;&gt;",$IN$2="EXISTING"),SUMIFS('Existing Customers'!$Q:$Q,'Existing Customers'!$A:$A,$IM$1,'Existing Customers'!$H:$H,$IL26)*$IM$4,$IM$3*$IK26),0))</f>
        <v>0</v>
      </c>
      <c r="IN26" s="86">
        <f>IF('Customer Inputs'!$W$14="End",0,IFERROR(IF(AND($IM$2&lt;&gt;"Enter Spend&gt;&gt;&gt;",$IN$2="EXISTING"),SUMIFS('Existing Customers'!$N:$N,'Existing Customers'!$A:$A,$IM$1,'Existing Customers'!$H:$H,$IL26)*$IM$4,$IM26/$IX26),0))</f>
        <v>0</v>
      </c>
      <c r="IO26" s="92">
        <f>IF('Customer Inputs'!$W$14="End",0,IFERROR(IF(AND($IM$2&lt;&gt;"Enter Spend&gt;&gt;&gt;",$IN$2="EXISTING"),SUMIFS('Existing Customers'!$O:$O,'Existing Customers'!$H:$H,$IL26,'Existing Customers'!$A:$A,$IM$1)*$IM$4,$IN26*$IM$8),0))</f>
        <v>0</v>
      </c>
      <c r="IP26" s="92">
        <f>IF('Customer Inputs'!$W$14="End",0,IFERROR(IF(AND($IM$2&lt;&gt;"Enter Spend&gt;&gt;&gt;",$IN$2="EXISTING"),SUMIFS('Existing Customers'!$P:$P,'Existing Customers'!$A:$A,$IM$1,'Existing Customers'!$H:$H,$IL26)*$IM$4,$IM26/$IY26),0))</f>
        <v>0</v>
      </c>
      <c r="IQ26" s="303">
        <f>IF('Customer Inputs'!$W$14="End",0,IFERROR(IF(AND($IM$2&lt;&gt;"Enter Spend&gt;&gt;&gt;",$IN$2="EXISTING"),SUMIFS('Existing Customers'!$V:$V,'Existing Customers'!$H:$H,$IL26,'Existing Customers'!$A:$A,$IM$1)*$IM$4,0),0))</f>
        <v>0</v>
      </c>
      <c r="IR26" s="93">
        <f>IF('Customer Inputs'!$W$14="End",0,IFERROR(IF(AND($IM$2&lt;&gt;"Enter Spend&gt;&gt;&gt;",$IN$2="EXISTING"),SUMIFS('Existing Customers'!$R:$R,'Existing Customers'!$H:$H,$IL26,'Existing Customers'!$A:$A,$IM$1)*$IM$4,0),0))</f>
        <v>0</v>
      </c>
      <c r="IS26" s="780">
        <f>IF('Customer Inputs'!$W$14="End",0,IFERROR(IF(AND($IM$2&lt;&gt;"Enter Spend&gt;&gt;&gt;",$IN$2="EXISTING"),SUMIFS('Existing Customers'!$S:$S,'Existing Customers'!$H:$H,$IL26,'Existing Customers'!$A:$A,$IM$1)/SUMIFS('Existing Customers'!$Q:$Q,'Existing Customers'!$A:$A,$IM$1,'Existing Customers'!$H:$H,$IL26),JC26),0))</f>
        <v>0</v>
      </c>
      <c r="IT26" s="780">
        <f>IF('Customer Inputs'!$W$14="End",0,IFERROR(IF(AND($IM$2&lt;&gt;"Enter Spend&gt;&gt;&gt;",$IN$2="EXISTING"),SUMIFS('Existing Customers'!$U:$U,'Existing Customers'!$H:$H,$IL26,'Existing Customers'!$A:$A,$IM$1)/SUMIFS('Existing Customers'!$Q:$Q,'Existing Customers'!$A:$A,$IM$1,'Existing Customers'!$H:$H,$IL26),JD26),0))</f>
        <v>0</v>
      </c>
      <c r="IU26" s="783" t="e">
        <f>_xlfn.CONCAT('Customer Inputs'!$AH$14,"_",IL26)</f>
        <v>#N/A</v>
      </c>
      <c r="IV26" s="783">
        <f t="array" ref="IV26">IF('Customer Inputs'!$W$14="End",0,IFERROR(INDEX('Margin Guidence Table'!$A$1:$AG$10000,MATCH(1,('Margin Guidence Table'!$A$1:$A$10000=IU26)*('Margin Guidence Table'!$I$1:$I$10000&lt;=ROUND($IM$3,0))*('Margin Guidence Table'!$J$1:$J$10000&gt;=ROUND($IM$3,0)),0),MATCH("DATA_POINTS",'Margin Guidence Table'!$A$1:$AG$1,0)),0))</f>
        <v>0</v>
      </c>
      <c r="IW26" s="780" t="str">
        <f t="shared" si="49"/>
        <v>DEFAULT</v>
      </c>
      <c r="IX26" s="780">
        <f t="array" ref="IX26">IF('Customer Inputs'!$W$14="End",0,IFERROR(IF($IW26="SEGMENT",INDEX('Margin Guidence Table'!$A$1:$AG$10000,MATCH(1,('Margin Guidence Table'!$A$1:$A$10000=IU26)*('Margin Guidence Table'!$I$1:$I$10000&lt;=ROUND($IM$3,0))*('Margin Guidence Table'!$J$1:$J$10000&gt;=ROUND($IM$3,0)),0),MATCH("SALES_CASE",'Margin Guidence Table'!$A$1:$AG$1,0)),INDEX('Margin Guidence Table'!$A$1:$AG$10000,MATCH(1,('Margin Guidence Table'!$A$1:$A$10000=IU26)*('Margin Guidence Table'!$I$1:$I$10000&lt;=ROUND($IM$3,0))*('Margin Guidence Table'!$J$1:$J$10000&gt;=ROUND($IM$3,0)),0),MATCH("DEFAULT_SALES_CASE",'Margin Guidence Table'!$A$1:$AG$1,0))),0))</f>
        <v>0</v>
      </c>
      <c r="IY26" s="780">
        <f t="array" ref="IY26">IF('Customer Inputs'!$W$14="End",0,IFERROR(IF($IW26="SEGMENT",INDEX('Margin Guidence Table'!$A$1:$AG$10000,MATCH(1,('Margin Guidence Table'!$A$1:$A$10000=IU26)*('Margin Guidence Table'!$I$1:$I$10000&lt;=ROUND($IM$3,0))*('Margin Guidence Table'!$J$1:$J$10000&gt;=ROUND($IM$3,0)),0),MATCH("SALES_LBS",'Margin Guidence Table'!$A$1:$AG$1,0)),INDEX('Margin Guidence Table'!$A$1:$AG$10000,MATCH(1,('Margin Guidence Table'!$A$1:$A$10000=IU26)*('Margin Guidence Table'!$I$1:$I$10000&lt;=ROUND($IM$3,0))*('Margin Guidence Table'!$J$1:$J$10000&gt;=ROUND($IM$3,0)),0),MATCH("DEFAULT_SALES_LBS",'Margin Guidence Table'!$A$1:$AG$1,0))),0))</f>
        <v>0</v>
      </c>
      <c r="IZ26" s="784">
        <f t="array" ref="IZ26">IF('Customer Inputs'!$W$14="End",0,IFERROR(IF($IW26="SEGMENT",INDEX('Margin Guidence Table'!$A$1:$AG$10000,MATCH(1,('Margin Guidence Table'!$A$1:$A$10000=IU26)*('Margin Guidence Table'!$I$1:$I$10000&lt;=ROUND($IM$3,0))*('Margin Guidence Table'!$J$1:$J$10000&gt;=ROUND($IM$3,0)),0),MATCH("MDA_MIN_MARGIN_GUIDENCE",'Margin Guidence Table'!$A$1:$AG$1,0)),INDEX('Margin Guidence Table'!$A$1:$AG$10000,MATCH(1,('Margin Guidence Table'!$A$1:$A$10000=IU26)*('Margin Guidence Table'!$I$1:$I$10000&lt;=ROUND($IM$3,0))*('Margin Guidence Table'!$J$1:$J$10000&gt;=ROUND($IM$3,0)),0),MATCH("DEFAULT_MDA_MIN_MARGIN_GUIDENCE",'Margin Guidence Table'!$A$1:$AG$1,0))),0))</f>
        <v>0</v>
      </c>
      <c r="JA26" s="784">
        <f t="array" ref="JA26">IF('Customer Inputs'!$W$14="End",0,IFERROR(IF($IW26="SEGMENT",INDEX('Margin Guidence Table'!$A$1:$AG$10000,MATCH(1,('Margin Guidence Table'!$A$1:$A$10000=IU26)*('Margin Guidence Table'!$I$1:$I$10000&lt;=ROUND($IM$3,0))*('Margin Guidence Table'!$J$1:$J$10000&gt;=ROUND($IM$3,0)),0),MATCH("MDA_MEDIAN_MARGIN_GUIDENCE",'Margin Guidence Table'!$A$1:$AG$1,0)),INDEX('Margin Guidence Table'!$A$1:$AG$10000,MATCH(1,('Margin Guidence Table'!$A$1:$A$10000=IU26)*('Margin Guidence Table'!$I$1:$I$10000&lt;=ROUND($IM$3,0))*('Margin Guidence Table'!$J$1:$J$10000&gt;=ROUND($IM$3,0)),0),MATCH("DEFAULT_MDA_MEDIAN_MARGIN_GUIDENCE",'Margin Guidence Table'!$A$1:$AG$1,0))),0))</f>
        <v>0</v>
      </c>
      <c r="JB26" s="784">
        <f t="array" ref="JB26">IF('Customer Inputs'!$W$14="End",0,IFERROR(IF($IW26="SEGMENT",INDEX('Margin Guidence Table'!$A$1:$AG$10000,MATCH(1,('Margin Guidence Table'!$A$1:$A$10000=IU26)*('Margin Guidence Table'!$I$1:$I$10000&lt;=ROUND($IM$3,0))*('Margin Guidence Table'!$J$1:$J$10000&gt;=ROUND($IM$3,0)),0),MATCH("MDA_MAX_MARGIN_GUIDENCE",'Margin Guidence Table'!$A$1:$AG$1,0)),INDEX('Margin Guidence Table'!$A$1:$AG$10000,MATCH(1,('Margin Guidence Table'!$A$1:$A$10000=IU26)*('Margin Guidence Table'!$I$1:$I$10000&lt;=ROUND($IM$3,0))*('Margin Guidence Table'!$J$1:$J$10000&gt;=ROUND($IM$3,0)),0),MATCH("DEFAULT_MDA_MAX_MARGIN_GUIDENCE",'Margin Guidence Table'!$A$1:$AG$1,0))),0))</f>
        <v>0</v>
      </c>
      <c r="JC26" s="784">
        <f t="array" ref="JC26">IF('Customer Inputs'!$W$14="End",0,IFERROR(IF($IW26="SEGMENT",INDEX('Margin Guidence Table'!$A$1:$AG$10000,MATCH(1,('Margin Guidence Table'!$A$1:$A$10000=IU26)*('Margin Guidence Table'!$I$1:$I$10000&lt;=ROUND($IM$3,0))*('Margin Guidence Table'!$J$1:$J$10000&gt;=ROUND($IM$3,0)),0),MATCH("PA_PCT_SALES",'Margin Guidence Table'!$A$1:$AG$1,0)),INDEX('Margin Guidence Table'!$A$1:$AG$10000,MATCH(1,('Margin Guidence Table'!$A$1:$A$10000=IU26)*('Margin Guidence Table'!$I$1:$I$10000&lt;=ROUND($IM$3,0))*('Margin Guidence Table'!$J$1:$J$10000&gt;=ROUND($IM$3,0)),0),MATCH("DEFAULT_PA_PCT_SALES",'Margin Guidence Table'!$A$1:$AG$1,0))),0))</f>
        <v>0</v>
      </c>
      <c r="JD26" s="784">
        <f t="array" ref="JD26">IF('Customer Inputs'!$W$14="End",0,IFERROR(IF($IW26="SEGMENT",INDEX('Margin Guidence Table'!$A$1:$AG$10000,MATCH(1,('Margin Guidence Table'!$A$1:$A$10000=IU26)*('Margin Guidence Table'!$I$1:$I$10000&lt;=ROUND($IM$3,0))*('Margin Guidence Table'!$J$1:$J$10000&gt;=ROUND($IM$3,0)),0),MATCH("SELF_FUND_PCT_SALES",'Margin Guidence Table'!$A$1:$AG$1,0)),INDEX('Margin Guidence Table'!$A$1:$AG$10000,MATCH(1,('Margin Guidence Table'!$A$1:$A$10000=IU26)*('Margin Guidence Table'!$I$1:$I$10000&lt;=ROUND($IM$3,0))*('Margin Guidence Table'!$J$1:$J$10000&gt;=ROUND($IM$3,0)),0),MATCH("DEFAULT_SELF_FUND_PCT_SALES",'Margin Guidence Table'!$A$1:$AG$1,0))),0))</f>
        <v>0</v>
      </c>
      <c r="JE26" s="784">
        <f t="array" ref="JE26">IF('Customer Inputs'!$W$14="End",0,IF($IN$2="Existing",IFERROR(SUMIFS('Existing Customers'!$V:$V,'Existing Customers'!$H:$H,$IL26,'Existing Customers'!$A:$A,$IM$1)/SUMIFS('Existing Customers'!$Q:$Q,'Existing Customers'!$H:$H,$IL26,'Existing Customers'!$A:$A,$IM$1),0),IFERROR(IF($IW26="SEGMENT",INDEX('Margin Guidence Table'!$A$1:$AG$10000,MATCH(1,('Margin Guidence Table'!$A$1:$A$10000=IU26)*('Margin Guidence Table'!$I$1:$I$10000&lt;=ROUND($IM$3,0))*('Margin Guidence Table'!$J$1:$J$10000&gt;=ROUND($IM$3,0)),0),MATCH("CIA_MEDIAN_MARGIN_GUIDENCE",'Margin Guidence Table'!$A$1:$AG$1,0)),INDEX('Margin Guidence Table'!$A$1:$AG$10000,MATCH(1,('Margin Guidence Table'!$A$1:$A$10000=IU26)*('Margin Guidence Table'!$I$1:$I$10000&lt;=ROUND($IM$3,0))*('Margin Guidence Table'!$J$1:$J$10000&gt;=ROUND($IM$3,0)),0),MATCH("DEFAULT_CIA_MEDIAN_MARGIN_GUIDENCE",'Margin Guidence Table'!$A$1:$AG$1,0))),0)))</f>
        <v>0</v>
      </c>
      <c r="JF26" s="126"/>
      <c r="JG26" s="18">
        <f t="array" ref="JG26">IF('Customer Inputs'!$W$15="End",0,IFERROR(IF($JT26="SEGMENT",INDEX('Margin Guidence Table'!$A$1:$AG$10000,MATCH(1,('Margin Guidence Table'!$A$1:$A$10000=$JR26)*('Margin Guidence Table'!$I$1:$I$10000&lt;=ROUND($JJ$3,0))*('Margin Guidence Table'!$J$1:$J$10000&gt;=ROUND($JJ$3,0)),0),MATCH("PCT_SALES",'Margin Guidence Table'!$A$1:$AG$1,0)),INDEX('Margin Guidence Table'!$A$1:$AG$10000,MATCH(1,('Margin Guidence Table'!$A$1:$A$10000=$JR26)*('Margin Guidence Table'!$I$1:$I$10000&lt;=ROUND($JJ$3,0))*('Margin Guidence Table'!$J$1:$J$10000&gt;=ROUND($JJ$3,0)),0),MATCH("DEFAULT_PCT_SALES",'Margin Guidence Table'!$A$1:$AG$1,0))),0))</f>
        <v>0</v>
      </c>
      <c r="JH26" s="297" t="e">
        <f t="shared" si="50"/>
        <v>#DIV/0!</v>
      </c>
      <c r="JI26" s="99" t="s">
        <v>105</v>
      </c>
      <c r="JJ26" s="91">
        <f>IF('Customer Inputs'!$W$15="End",0,IFERROR(IF(AND($JJ$2&lt;&gt;"Enter Spend&gt;&gt;&gt;",$JK$2="EXISTING"),SUMIFS('Existing Customers'!$Q:$Q,'Existing Customers'!$A:$A,$JJ$1,'Existing Customers'!$H:$H,$JI26)*$JJ$4,$JJ$3*$JH26),0))</f>
        <v>0</v>
      </c>
      <c r="JK26" s="86">
        <f>IF('Customer Inputs'!$W$15="End",0,IFERROR(IF(AND($JJ$2&lt;&gt;"Enter Spend&gt;&gt;&gt;",$JK$2="EXISTING"),SUMIFS('Existing Customers'!$N:$N,'Existing Customers'!$A:$A,$JJ$1,'Existing Customers'!$H:$H,$JI26)*$JJ$4,$JJ26/$JU26),0))</f>
        <v>0</v>
      </c>
      <c r="JL26" s="92">
        <f>IF('Customer Inputs'!$W$15="End",0,IFERROR(IF(AND($JJ$2&lt;&gt;"Enter Spend&gt;&gt;&gt;",$JK$2="EXISTING"),SUMIFS('Existing Customers'!$O:$O,'Existing Customers'!$H:$H,$JI26,'Existing Customers'!$A:$A,$JJ$1)*$JJ$4,$JK26*$JJ$8),0))</f>
        <v>0</v>
      </c>
      <c r="JM26" s="92">
        <f>IF('Customer Inputs'!$W$15="End",0,IFERROR(IF(AND($JJ$2&lt;&gt;"Enter Spend&gt;&gt;&gt;",$JK$2="EXISTING"),SUMIFS('Existing Customers'!$P:$P,'Existing Customers'!$A:$A,$JJ$1,'Existing Customers'!$H:$H,$JI26)*$JJ$4,$JJ26/$JV26),0))</f>
        <v>0</v>
      </c>
      <c r="JN26" s="303">
        <f>IF('Customer Inputs'!$W$15="End",0,IFERROR(IF(AND($JJ$2&lt;&gt;"Enter Spend&gt;&gt;&gt;",$JK$2="EXISTING"),SUMIFS('Existing Customers'!$V:$V,'Existing Customers'!$H:$H,$JI26,'Existing Customers'!$A:$A,$JJ$1)*$JJ$4,0),0))</f>
        <v>0</v>
      </c>
      <c r="JO26" s="93">
        <f>IF('Customer Inputs'!$W$15="End",0,IFERROR(IF(AND($JJ$2&lt;&gt;"Enter Spend&gt;&gt;&gt;",$JK$2="EXISTING"),SUMIFS('Existing Customers'!$R:$R,'Existing Customers'!$H:$H,$JI26,'Existing Customers'!$A:$A,$JJ$1)*$JJ$4,0),0))</f>
        <v>0</v>
      </c>
      <c r="JP26" s="780">
        <f>IF('Customer Inputs'!$W$15="End",0,IFERROR(IF(AND($JJ$2&lt;&gt;"Enter Spend&gt;&gt;&gt;",$JK$2="EXISTING"),SUMIFS('Existing Customers'!$S:$S,'Existing Customers'!$H:$H,$JI26,'Existing Customers'!$A:$A,$JJ$1)/SUMIFS('Existing Customers'!$Q:$Q,'Existing Customers'!$A:$A,$JJ$1,'Existing Customers'!$H:$H,$JI26),JZ26),0))</f>
        <v>0</v>
      </c>
      <c r="JQ26" s="780">
        <f>IF('Customer Inputs'!$W$15="End",0,IFERROR(IF(AND($JJ$2&lt;&gt;"Enter Spend&gt;&gt;&gt;",$JK$2="EXISTING"),SUMIFS('Existing Customers'!$U:$U,'Existing Customers'!$H:$H,$JI26,'Existing Customers'!$A:$A,$JJ$1)/SUMIFS('Existing Customers'!$Q:$Q,'Existing Customers'!$A:$A,$JJ$1,'Existing Customers'!$H:$H,$JI26),KA26),0))</f>
        <v>0</v>
      </c>
      <c r="JR26" s="783" t="e">
        <f>_xlfn.CONCAT('Customer Inputs'!$AH$15,"_",JI26)</f>
        <v>#N/A</v>
      </c>
      <c r="JS26" s="783">
        <f t="array" ref="JS26">IF('Customer Inputs'!$W$15="End",0,IFERROR(INDEX('Margin Guidence Table'!$A$1:$AG$10000,MATCH(1,('Margin Guidence Table'!$A$1:$A$10000=JR26)*('Margin Guidence Table'!$I$1:$I$10000&lt;=ROUND($JJ$3,0))*('Margin Guidence Table'!$J$1:$J$10000&gt;=ROUND($JJ$3,0)),0),MATCH("DATA_POINTS",'Margin Guidence Table'!$A$1:$AG$1,0)),0))</f>
        <v>0</v>
      </c>
      <c r="JT26" s="780" t="str">
        <f t="shared" si="51"/>
        <v>DEFAULT</v>
      </c>
      <c r="JU26" s="780">
        <f t="array" ref="JU26">IF('Customer Inputs'!$W$15="End",0,IFERROR(IF($JT26="SEGMENT",INDEX('Margin Guidence Table'!$A$1:$AG$10000,MATCH(1,('Margin Guidence Table'!$A$1:$A$10000=JR26)*('Margin Guidence Table'!$I$1:$I$10000&lt;=ROUND($JJ$3,0))*('Margin Guidence Table'!$J$1:$J$10000&gt;=ROUND($JJ$3,0)),0),MATCH("SALES_CASE",'Margin Guidence Table'!$A$1:$AG$1,0)),INDEX('Margin Guidence Table'!$A$1:$AG$10000,MATCH(1,('Margin Guidence Table'!$A$1:$A$10000=JR26)*('Margin Guidence Table'!$I$1:$I$10000&lt;=ROUND($JJ$3,0))*('Margin Guidence Table'!$J$1:$J$10000&gt;=ROUND($JJ$3,0)),0),MATCH("DEFAULT_SALES_CASE",'Margin Guidence Table'!$A$1:$AG$1,0))),0))</f>
        <v>0</v>
      </c>
      <c r="JV26" s="780">
        <f t="array" ref="JV26">IF('Customer Inputs'!$W$15="End",0,IFERROR(IF($JT26="SEGMENT",INDEX('Margin Guidence Table'!$A$1:$AG$10000,MATCH(1,('Margin Guidence Table'!$A$1:$A$10000=JR26)*('Margin Guidence Table'!$I$1:$I$10000&lt;=ROUND($JJ$3,0))*('Margin Guidence Table'!$J$1:$J$10000&gt;=ROUND($JJ$3,0)),0),MATCH("SALES_LBS",'Margin Guidence Table'!$A$1:$AG$1,0)),INDEX('Margin Guidence Table'!$A$1:$AG$10000,MATCH(1,('Margin Guidence Table'!$A$1:$A$10000=JR26)*('Margin Guidence Table'!$I$1:$I$10000&lt;=ROUND($JJ$3,0))*('Margin Guidence Table'!$J$1:$J$10000&gt;=ROUND($JJ$3,0)),0),MATCH("DEFAULT_SALES_LBS",'Margin Guidence Table'!$A$1:$AG$1,0))),0))</f>
        <v>0</v>
      </c>
      <c r="JW26" s="784">
        <f t="array" ref="JW26">IF('Customer Inputs'!$W$15="End",0,IFERROR(IF($JT26="SEGMENT",INDEX('Margin Guidence Table'!$A$1:$AG$10000,MATCH(1,('Margin Guidence Table'!$A$1:$A$10000=JR26)*('Margin Guidence Table'!$I$1:$I$10000&lt;=ROUND($JJ$3,0))*('Margin Guidence Table'!$J$1:$J$10000&gt;=ROUND($JJ$3,0)),0),MATCH("MDA_MIN_MARGIN_GUIDENCE",'Margin Guidence Table'!$A$1:$AG$1,0)),INDEX('Margin Guidence Table'!$A$1:$AG$10000,MATCH(1,('Margin Guidence Table'!$A$1:$A$10000=JR26)*('Margin Guidence Table'!$I$1:$I$10000&lt;=ROUND($JJ$3,0))*('Margin Guidence Table'!$J$1:$J$10000&gt;=ROUND($JJ$3,0)),0),MATCH("DEFAULT_MDA_MIN_MARGIN_GUIDENCE",'Margin Guidence Table'!$A$1:$AG$1,0))),0))</f>
        <v>0</v>
      </c>
      <c r="JX26" s="784">
        <f t="array" ref="JX26">IF('Customer Inputs'!$W$15="End",0,IFERROR(IF($JT26="SEGMENT",INDEX('Margin Guidence Table'!$A$1:$AG$10000,MATCH(1,('Margin Guidence Table'!$A$1:$A$10000=JR26)*('Margin Guidence Table'!$I$1:$I$10000&lt;=ROUND($JJ$3,0))*('Margin Guidence Table'!$J$1:$J$10000&gt;=ROUND($JJ$3,0)),0),MATCH("MDA_MEDIAN_MARGIN_GUIDENCE",'Margin Guidence Table'!$A$1:$AG$1,0)),INDEX('Margin Guidence Table'!$A$1:$AG$10000,MATCH(1,('Margin Guidence Table'!$A$1:$A$10000=JR26)*('Margin Guidence Table'!$I$1:$I$10000&lt;=ROUND($JJ$3,0))*('Margin Guidence Table'!$J$1:$J$10000&gt;=ROUND($JJ$3,0)),0),MATCH("DEFAULT_MDA_MEDIAN_MARGIN_GUIDENCE",'Margin Guidence Table'!$A$1:$AG$1,0))),0))</f>
        <v>0</v>
      </c>
      <c r="JY26" s="784">
        <f t="array" ref="JY26">IF('Customer Inputs'!$W$15="End",0,IFERROR(IF($JT26="SEGMENT",INDEX('Margin Guidence Table'!$A$1:$AG$10000,MATCH(1,('Margin Guidence Table'!$A$1:$A$10000=JR26)*('Margin Guidence Table'!$I$1:$I$10000&lt;=ROUND($JJ$3,0))*('Margin Guidence Table'!$J$1:$J$10000&gt;=ROUND($JJ$3,0)),0),MATCH("MDA_MAX_MARGIN_GUIDENCE",'Margin Guidence Table'!$A$1:$AG$1,0)),INDEX('Margin Guidence Table'!$A$1:$AG$10000,MATCH(1,('Margin Guidence Table'!$A$1:$A$10000=JR26)*('Margin Guidence Table'!$I$1:$I$10000&lt;=ROUND($JJ$3,0))*('Margin Guidence Table'!$J$1:$J$10000&gt;=ROUND($JJ$3,0)),0),MATCH("DEFAULT_MDA_MAX_MARGIN_GUIDENCE",'Margin Guidence Table'!$A$1:$AG$1,0))),0))</f>
        <v>0</v>
      </c>
      <c r="JZ26" s="784">
        <f t="array" ref="JZ26">IF('Customer Inputs'!$W$15="End",0,IFERROR(IF($JT26="SEGMENT",INDEX('Margin Guidence Table'!$A$1:$AG$10000,MATCH(1,('Margin Guidence Table'!$A$1:$A$10000=JR26)*('Margin Guidence Table'!$I$1:$I$10000&lt;=ROUND($JJ$3,0))*('Margin Guidence Table'!$J$1:$J$10000&gt;=ROUND($JJ$3,0)),0),MATCH("PA_PCT_SALES",'Margin Guidence Table'!$A$1:$AG$1,0)),INDEX('Margin Guidence Table'!$A$1:$AG$10000,MATCH(1,('Margin Guidence Table'!$A$1:$A$10000=JR26)*('Margin Guidence Table'!$I$1:$I$10000&lt;=ROUND($JJ$3,0))*('Margin Guidence Table'!$J$1:$J$10000&gt;=ROUND($JJ$3,0)),0),MATCH("DEFAULT_PA_PCT_SALES",'Margin Guidence Table'!$A$1:$AG$1,0))),0))</f>
        <v>0</v>
      </c>
      <c r="KA26" s="784" cm="1">
        <f t="array" ref="KA26">IF('Customer Inputs'!$W$15="End",0,IFERROR(IF($JT26="SEGMENT",INDEX('Margin Guidence Table'!$A$1:$AG$10000,MATCH(1,('Margin Guidence Table'!$A$1:$A$10000=JR26)*('Margin Guidence Table'!$I$1:$I$10000&lt;=ROUND($JJ$3,0))*('Margin Guidence Table'!$J$1:$J$10000&gt;=ROUND($JJ$3,0)),0),MATCH("SELF_FUND_PCT_SALES",'Margin Guidence Table'!$A$1:$AG$1,0)),INDEX('Margin Guidence Table'!$A$1:$AG$10000,MATCH(1,('Margin Guidence Table'!$A$1:$A$10000=JR26)*('Margin Guidence Table'!$I$1:$I$10000&lt;=ROUND($JJ$3,0))*('Margin Guidence Table'!$J$1:$J$10000&gt;=ROUND($JJ$3,0)),0),MATCH("DEFAULT_SELF_FUND_PCT_SALES",'Margin Guidence Table'!$A$1:$AG$1,0))),0))</f>
        <v>0</v>
      </c>
      <c r="KB26" s="784">
        <f t="array" ref="KB26">IF('Customer Inputs'!$W$15="End",0,IF($JK$2="Existing",IFERROR(SUMIFS('Existing Customers'!$V:$V,'Existing Customers'!$H:$H,$JI26,'Existing Customers'!$A:$A,$JJ$1)/SUMIFS('Existing Customers'!$Q:$Q,'Existing Customers'!$H:$H,$JI26,'Existing Customers'!$A:$A,$JJ$1),0),IFERROR(IF($JT26="SEGMENT",INDEX('Margin Guidence Table'!$A$1:$AG$10000,MATCH(1,('Margin Guidence Table'!$A$1:$A$10000=JR26)*('Margin Guidence Table'!$I$1:$I$10000&lt;=ROUND($JJ$3,0))*('Margin Guidence Table'!$J$1:$J$10000&gt;=ROUND($JJ$3,0)),0),MATCH("CIA_MEDIAN_MARGIN_GUIDENCE",'Margin Guidence Table'!$A$1:$AG$1,0)),INDEX('Margin Guidence Table'!$A$1:$AG$10000,MATCH(1,('Margin Guidence Table'!$A$1:$A$10000=JR26)*('Margin Guidence Table'!$I$1:$I$10000&lt;=ROUND($JJ$3,0))*('Margin Guidence Table'!$J$1:$J$10000&gt;=ROUND($JJ$3,0)),0),MATCH("DEFAULT_CIA_MEDIAN_MARGIN_GUIDENCE",'Margin Guidence Table'!$A$1:$AG$1,0))),0)))</f>
        <v>0</v>
      </c>
      <c r="KC26" s="784"/>
      <c r="KD26" s="18">
        <f t="array" ref="KD26">IF('Customer Inputs'!$W$16="End",0,IFERROR(IF($KQ26="SEGMENT",INDEX('Margin Guidence Table'!$A$1:$AG$10000,MATCH(1,('Margin Guidence Table'!$A$1:$A$10000=$KO26)*('Margin Guidence Table'!$I$1:$I$10000&lt;=ROUND($KG$3,0))*('Margin Guidence Table'!$J$1:$J$10000&gt;=ROUND($KG$3,0)),0),MATCH("PCT_SALES",'Margin Guidence Table'!$A$1:$AG$1,0)),INDEX('Margin Guidence Table'!$A$1:$AG$10000,MATCH(1,('Margin Guidence Table'!$A$1:$A$10000=$KO26)*('Margin Guidence Table'!$I$1:$I$10000&lt;=ROUND($KG$3,0))*('Margin Guidence Table'!$J$1:$J$10000&gt;=ROUND($KG$3,0)),0),MATCH("DEFAULT_PCT_SALES",'Margin Guidence Table'!$A$1:$AG$1,0))),0))</f>
        <v>0</v>
      </c>
      <c r="KE26" s="1713" t="e">
        <f t="shared" si="52"/>
        <v>#DIV/0!</v>
      </c>
      <c r="KF26" s="99" t="s">
        <v>105</v>
      </c>
      <c r="KG26" s="91">
        <f>IF('Customer Inputs'!$W$16="End",0,IFERROR(IF(AND($KG$2&lt;&gt;"Enter Spend&gt;&gt;&gt;",$KH$2="EXISTING"),SUMIFS('Existing Customers'!$Q:$Q,'Existing Customers'!$A:$A,$KG$1,'Existing Customers'!$H:$H,$KF26)*$KG$4,$KG$3*$KE26),0))</f>
        <v>0</v>
      </c>
      <c r="KH26" s="86">
        <f>IF('Customer Inputs'!$W$16="End",0,IFERROR(IF(AND($KG$2&lt;&gt;"Enter Spend&gt;&gt;&gt;",$KH$2="EXISTING"),SUMIFS('Existing Customers'!$N:$N,'Existing Customers'!$A:$A,$KG$1,'Existing Customers'!$H:$H,$KF26)*$KG$4,$KG26/$KR26),0))</f>
        <v>0</v>
      </c>
      <c r="KI26" s="92">
        <f>IF('Customer Inputs'!$W$16="End",0,IFERROR(IF(AND($KG$2&lt;&gt;"Enter Spend&gt;&gt;&gt;",$KH$2="EXISTING"),SUMIFS('Existing Customers'!$O:$O,'Existing Customers'!$H:$H,$KF26,'Existing Customers'!$A:$A,$KG$1)*$KG$4,$KH26*$KG$8),0))</f>
        <v>0</v>
      </c>
      <c r="KJ26" s="92">
        <f>IF('Customer Inputs'!$W$16="End",0,IFERROR(IF(AND($KG$2&lt;&gt;"Enter Spend&gt;&gt;&gt;",$KH$2="EXISTING"),SUMIFS('Existing Customers'!$P:$P,'Existing Customers'!$A:$A,$KG$1,'Existing Customers'!$H:$H,$KF26)*$KG$4,$KG26/$KS26),0))</f>
        <v>0</v>
      </c>
      <c r="KK26" s="303">
        <f>IF('Customer Inputs'!$W$16="End",0,IFERROR(IF(AND($KG$2&lt;&gt;"Enter Spend&gt;&gt;&gt;",$KH$2="EXISTING"),SUMIFS('Existing Customers'!$V:$V,'Existing Customers'!$H:$H,$KF26,'Existing Customers'!$A:$A,$KG$1)*$KG$4,0),0))</f>
        <v>0</v>
      </c>
      <c r="KL26" s="93">
        <f>IF('Customer Inputs'!$W$16="End",0,IFERROR(IF(AND($KG$2&lt;&gt;"Enter Spend&gt;&gt;&gt;",$KH$2="EXISTING"),SUMIFS('Existing Customers'!$R:$R,'Existing Customers'!$H:$H,$KF26,'Existing Customers'!$A:$A,$KG$1)*$KG$4,0),0))</f>
        <v>0</v>
      </c>
      <c r="KM26" s="780">
        <f>IF('Customer Inputs'!$W$16="End",0,IFERROR(IF(AND($KG$2&lt;&gt;"Enter Spend&gt;&gt;&gt;",$KH$2="EXISTING"),SUMIFS('Existing Customers'!$S:$S,'Existing Customers'!$H:$H,$KF26,'Existing Customers'!$A:$A,$KG$1)/SUMIFS('Existing Customers'!$Q:$Q,'Existing Customers'!$A:$A,$KG$1,'Existing Customers'!$H:$H,$KF26),KW26),0))</f>
        <v>0</v>
      </c>
      <c r="KN26" s="780">
        <f>IF('Customer Inputs'!$W$16="End",0,IFERROR(IF(AND($KG$2&lt;&gt;"Enter Spend&gt;&gt;&gt;",$KH$2="EXISTING"),SUMIFS('Existing Customers'!$U:$U,'Existing Customers'!$H:$H,$KF26,'Existing Customers'!$A:$A,$KG$1)/SUMIFS('Existing Customers'!$Q:$Q,'Existing Customers'!$A:$A,$KG$1,'Existing Customers'!$H:$H,$KF26),KX26),0))</f>
        <v>0</v>
      </c>
      <c r="KO26" s="783" t="e">
        <f>_xlfn.CONCAT('Customer Inputs'!$AH$16,"_",KF26)</f>
        <v>#N/A</v>
      </c>
      <c r="KP26" s="783">
        <f t="array" ref="KP26">IF('Customer Inputs'!$W$16="End",0,IFERROR(INDEX('Margin Guidence Table'!$A$1:$AG$10000,MATCH(1,('Margin Guidence Table'!$A$1:$A$10000=KO26)*('Margin Guidence Table'!$I$1:$I$10000&lt;=ROUND($KG$3,0))*('Margin Guidence Table'!$J$1:$J$10000&gt;=ROUND($KG$3,0)),0),MATCH("DATA_POINTS",'Margin Guidence Table'!$A$1:$AG$1,0)),0))</f>
        <v>0</v>
      </c>
      <c r="KQ26" s="780" t="str">
        <f t="shared" si="53"/>
        <v>DEFAULT</v>
      </c>
      <c r="KR26" s="780">
        <f t="array" ref="KR26">IF('Customer Inputs'!$W$16="End",0,IFERROR(IF($KQ26="SEGMENT",INDEX('Margin Guidence Table'!$A$1:$AG$10000,MATCH(1,('Margin Guidence Table'!$A$1:$A$10000=KO26)*('Margin Guidence Table'!$I$1:$I$10000&lt;=ROUND($KG$3,0))*('Margin Guidence Table'!$J$1:$J$10000&gt;=ROUND($KG$3,0)),0),MATCH("SALES_CASE",'Margin Guidence Table'!$A$1:$AG$1,0)),INDEX('Margin Guidence Table'!$A$1:$AG$10000,MATCH(1,('Margin Guidence Table'!$A$1:$A$10000=KO26)*('Margin Guidence Table'!$I$1:$I$10000&lt;=ROUND($KG$3,0))*('Margin Guidence Table'!$J$1:$J$10000&gt;=ROUND($KG$3,0)),0),MATCH("DEFAULT_SALES_CASE",'Margin Guidence Table'!$A$1:$AG$1,0))),0))</f>
        <v>0</v>
      </c>
      <c r="KS26" s="780">
        <f t="array" ref="KS26">IF('Customer Inputs'!$W$16="End",0,IFERROR(IF($KQ26="SEGMENT",INDEX('Margin Guidence Table'!$A$1:$AG$10000,MATCH(1,('Margin Guidence Table'!$A$1:$A$10000=KO26)*('Margin Guidence Table'!$I$1:$I$10000&lt;=ROUND($KG$3,0))*('Margin Guidence Table'!$J$1:$J$10000&gt;=ROUND($KG$3,0)),0),MATCH("SALES_LBS",'Margin Guidence Table'!$A$1:$AG$1,0)),INDEX('Margin Guidence Table'!$A$1:$AG$10000,MATCH(1,('Margin Guidence Table'!$A$1:$A$10000=KO26)*('Margin Guidence Table'!$I$1:$I$10000&lt;=ROUND($KG$3,0))*('Margin Guidence Table'!$J$1:$J$10000&gt;=ROUND($KG$3,0)),0),MATCH("DEFAULT_SALES_LBS",'Margin Guidence Table'!$A$1:$AG$1,0))),0))</f>
        <v>0</v>
      </c>
      <c r="KT26" s="784">
        <f t="array" ref="KT26">IF('Customer Inputs'!$W$16="End",0,IFERROR(IF($KQ26="SEGMENT",INDEX('Margin Guidence Table'!$A$1:$AG$10000,MATCH(1,('Margin Guidence Table'!$A$1:$A$10000=KO26)*('Margin Guidence Table'!$I$1:$I$10000&lt;=ROUND($KG$3,0))*('Margin Guidence Table'!$J$1:$J$10000&gt;=ROUND($KG$3,0)),0),MATCH("MDA_MIN_MARGIN_GUIDENCE",'Margin Guidence Table'!$A$1:$AG$1,0)),INDEX('Margin Guidence Table'!$A$1:$AG$10000,MATCH(1,('Margin Guidence Table'!$A$1:$A$10000=KO26)*('Margin Guidence Table'!$I$1:$I$10000&lt;=ROUND($KG$3,0))*('Margin Guidence Table'!$J$1:$J$10000&gt;=ROUND($KG$3,0)),0),MATCH("DEFAULT_MDA_MIN_MARGIN_GUIDENCE",'Margin Guidence Table'!$A$1:$AG$1,0))),0))</f>
        <v>0</v>
      </c>
      <c r="KU26" s="784">
        <f t="array" ref="KU26">IF('Customer Inputs'!$W$16="End",0,IFERROR(IF($KQ26="SEGMENT",INDEX('Margin Guidence Table'!$A$1:$AG$10000,MATCH(1,('Margin Guidence Table'!$A$1:$A$10000=KO26)*('Margin Guidence Table'!$I$1:$I$10000&lt;=ROUND($KG$3,0))*('Margin Guidence Table'!$J$1:$J$10000&gt;=ROUND($KG$3,0)),0),MATCH("MDA_MEDIAN_MARGIN_GUIDENCE",'Margin Guidence Table'!$A$1:$AG$1,0)),INDEX('Margin Guidence Table'!$A$1:$AG$10000,MATCH(1,('Margin Guidence Table'!$A$1:$A$10000=KO26)*('Margin Guidence Table'!$I$1:$I$10000&lt;=ROUND($KG$3,0))*('Margin Guidence Table'!$J$1:$J$10000&gt;=ROUND($KG$3,0)),0),MATCH("DEFAULT_MDA_MEDIAN_MARGIN_GUIDENCE",'Margin Guidence Table'!$A$1:$AG$1,0))),0))</f>
        <v>0</v>
      </c>
      <c r="KV26" s="784">
        <f t="array" ref="KV26">IF('Customer Inputs'!$W$16="End",0,IFERROR(IF($KQ26="SEGMENT",INDEX('Margin Guidence Table'!$A$1:$AG$10000,MATCH(1,('Margin Guidence Table'!$A$1:$A$10000=KO26)*('Margin Guidence Table'!$I$1:$I$10000&lt;=ROUND($KG$3,0))*('Margin Guidence Table'!$J$1:$J$10000&gt;=ROUND($KG$3,0)),0),MATCH("MDA_MAX_MARGIN_GUIDENCE",'Margin Guidence Table'!$A$1:$AG$1,0)),INDEX('Margin Guidence Table'!$A$1:$AG$10000,MATCH(1,('Margin Guidence Table'!$A$1:$A$10000=KO26)*('Margin Guidence Table'!$I$1:$I$10000&lt;=ROUND($KG$3,0))*('Margin Guidence Table'!$J$1:$J$10000&gt;=ROUND($KG$3,0)),0),MATCH("DEFAULT_MDA_MAX_MARGIN_GUIDENCE",'Margin Guidence Table'!$A$1:$AG$1,0))),0))</f>
        <v>0</v>
      </c>
      <c r="KW26" s="784">
        <f t="array" ref="KW26">IF('Customer Inputs'!$W$16="End",0,IFERROR(IF($KQ26="SEGMENT",INDEX('Margin Guidence Table'!$A$1:$AG$10000,MATCH(1,('Margin Guidence Table'!$A$1:$A$10000=KO26)*('Margin Guidence Table'!$I$1:$I$10000&lt;=ROUND($KG$3,0))*('Margin Guidence Table'!$J$1:$J$10000&gt;=ROUND($KG$3,0)),0),MATCH("PA_PCT_SALES",'Margin Guidence Table'!$A$1:$AG$1,0)),INDEX('Margin Guidence Table'!$A$1:$AG$10000,MATCH(1,('Margin Guidence Table'!$A$1:$A$10000=KO26)*('Margin Guidence Table'!$I$1:$I$10000&lt;=ROUND($KG$3,0))*('Margin Guidence Table'!$J$1:$J$10000&gt;=ROUND($KG$3,0)),0),MATCH("DEFAULT_PA_PCT_SALES",'Margin Guidence Table'!$A$1:$AG$1,0))),0))</f>
        <v>0</v>
      </c>
      <c r="KX26" s="784">
        <f t="array" ref="KX26">IF('Customer Inputs'!$W$16="End",0,IFERROR(IF($KQ26="SEGMENT",INDEX('Margin Guidence Table'!$A$1:$AG$10000,MATCH(1,('Margin Guidence Table'!$A$1:$A$10000=KO26)*('Margin Guidence Table'!$I$1:$I$10000&lt;=ROUND($KG$3,0))*('Margin Guidence Table'!$J$1:$J$10000&gt;=ROUND($KG$3,0)),0),MATCH("SELF_FUND_PCT_SALES",'Margin Guidence Table'!$A$1:$AG$1,0)),INDEX('Margin Guidence Table'!$A$1:$AG$10000,MATCH(1,('Margin Guidence Table'!$A$1:$A$10000=KO26)*('Margin Guidence Table'!$I$1:$I$10000&lt;=ROUND($KG$3,0))*('Margin Guidence Table'!$J$1:$J$10000&gt;=ROUND($KG$3,0)),0),MATCH("DEFAULT_SELF_FUND_PCT_SALES",'Margin Guidence Table'!$A$1:$AG$1,0))),0))</f>
        <v>0</v>
      </c>
      <c r="KY26" s="784">
        <f t="array" ref="KY26">IF('Customer Inputs'!$W$16="End",0,IF($KH$2="Existing",IFERROR(SUMIFS('Existing Customers'!$V:$V,'Existing Customers'!$H:$H,$KF26,'Existing Customers'!$A:$A,$KG$1)/SUMIFS('Existing Customers'!$Q:$Q,'Existing Customers'!$H:$H,$KF26,'Existing Customers'!$A:$A,$KG$1),0),IFERROR(IF($KQ26="SEGMENT",INDEX('Margin Guidence Table'!$A$1:$AG$10000,MATCH(1,('Margin Guidence Table'!$A$1:$A$10000=KO26)*('Margin Guidence Table'!$I$1:$I$10000&lt;=ROUND($KG$3,0))*('Margin Guidence Table'!$J$1:$J$10000&gt;=ROUND($KG$3,0)),0),MATCH("CIA_MEDIAN_MARGIN_GUIDENCE",'Margin Guidence Table'!$A$1:$AG$1,0)),INDEX('Margin Guidence Table'!$A$1:$AG$10000,MATCH(1,('Margin Guidence Table'!$A$1:$A$10000=KO26)*('Margin Guidence Table'!$I$1:$I$10000&lt;=ROUND($KG$3,0))*('Margin Guidence Table'!$J$1:$J$10000&gt;=ROUND($KG$3,0)),0),MATCH("DEFAULT_CIA_MEDIAN_MARGIN_GUIDENCE",'Margin Guidence Table'!$A$1:$AG$1,0))),0)))</f>
        <v>0</v>
      </c>
      <c r="KZ26" s="784"/>
      <c r="LA26" s="18">
        <f t="array" ref="LA26">IF('Customer Inputs'!$W$17="End",0,IFERROR(IF($LN26="SEGMENT",INDEX('Margin Guidence Table'!$A$1:$AG$10000,MATCH(1,('Margin Guidence Table'!$A$1:$A$10000=$LL26)*('Margin Guidence Table'!$I$1:$I$10000&lt;=ROUND($LD$3,0))*('Margin Guidence Table'!$J$1:$J$10000&gt;=ROUND($LD$3,0)),0),MATCH("PCT_SALES",'Margin Guidence Table'!$A$1:$AG$1,0)),INDEX('Margin Guidence Table'!$A$1:$AG$10000,MATCH(1,('Margin Guidence Table'!$A$1:$A$10000=$LL26)*('Margin Guidence Table'!$I$1:$I$10000&lt;=ROUND($LD$3,0))*('Margin Guidence Table'!$J$1:$J$10000&gt;=ROUND($LD$3,0)),0),MATCH("DEFAULT_PCT_SALES",'Margin Guidence Table'!$A$1:$AG$1,0))),0))</f>
        <v>0</v>
      </c>
      <c r="LB26" s="1713" t="e">
        <f t="shared" si="54"/>
        <v>#DIV/0!</v>
      </c>
      <c r="LC26" s="99" t="s">
        <v>105</v>
      </c>
      <c r="LD26" s="91">
        <f>IF('Customer Inputs'!$W$17="End",0,IFERROR(IF(AND($LD$2&lt;&gt;"Enter Spend&gt;&gt;&gt;",$LE$2="EXISTING"),SUMIFS('Existing Customers'!$Q:$Q,'Existing Customers'!$A:$A,$LD$1,'Existing Customers'!$H:$H,$LC26)*$LD$4,$LD$3*$LB26),0))</f>
        <v>0</v>
      </c>
      <c r="LE26" s="86">
        <f>IF('Customer Inputs'!$W$17="End",0,IFERROR(IF(AND($LD$2&lt;&gt;"Enter Spend&gt;&gt;&gt;",$LE$2="EXISTING"),SUMIFS('Existing Customers'!$N:$N,'Existing Customers'!$A:$A,$LD$1,'Existing Customers'!$H:$H,$LC26)*$LD$4,$LD26/$LO26),0))</f>
        <v>0</v>
      </c>
      <c r="LF26" s="92">
        <f>IF('Customer Inputs'!$W$17="End",0,IFERROR(IF(AND($LD$2&lt;&gt;"Enter Spend&gt;&gt;&gt;",$LE$2="EXISTING"),SUMIFS('Existing Customers'!$O:$O,'Existing Customers'!$H:$H,$LC26,'Existing Customers'!$A:$A,$LD$1)*$LD$4,$LE26*$LD$8),0))</f>
        <v>0</v>
      </c>
      <c r="LG26" s="92">
        <f>IF('Customer Inputs'!$W$17="End",0,IFERROR(IF(AND($LD$2&lt;&gt;"Enter Spend&gt;&gt;&gt;",$LE$2="EXISTING"),SUMIFS('Existing Customers'!$P:$P,'Existing Customers'!$A:$A,$LD$1,'Existing Customers'!$H:$H,$LC26)*$LD$4,$LD26/$LP26),0))</f>
        <v>0</v>
      </c>
      <c r="LH26" s="303">
        <f>IF('Customer Inputs'!$W$17="End",0,IFERROR(IF(AND($LD$2&lt;&gt;"Enter Spend&gt;&gt;&gt;",$LE$2="EXISTING"),SUMIFS('Existing Customers'!$V:$V,'Existing Customers'!$H:$H,$LC26,'Existing Customers'!$A:$A,$LD$1)*$LD$4,0),0))</f>
        <v>0</v>
      </c>
      <c r="LI26" s="93">
        <f>IF('Customer Inputs'!$W$17="End",0,IFERROR(IF(AND($LD$2&lt;&gt;"Enter Spend&gt;&gt;&gt;",$LE$2="EXISTING"),SUMIFS('Existing Customers'!$R:$R,'Existing Customers'!$H:$H,$LC26,'Existing Customers'!$A:$A,$LD$1)*$LD$4,0),0))</f>
        <v>0</v>
      </c>
      <c r="LJ26" s="780">
        <f>IF('Customer Inputs'!$W$17="End",0,IFERROR(IF(AND($LD$2&lt;&gt;"Enter Spend&gt;&gt;&gt;",$LE$2="EXISTING"),SUMIFS('Existing Customers'!$S:$S,'Existing Customers'!$H:$H,$LC26,'Existing Customers'!$A:$A,$LD$1)/SUMIFS('Existing Customers'!$Q:$Q,'Existing Customers'!$A:$A,$LD$1,'Existing Customers'!$H:$H,$LC26),LT26),0))</f>
        <v>0</v>
      </c>
      <c r="LK26" s="780">
        <f>IF('Customer Inputs'!$W$17="End",0,IFERROR(IF(AND($LD$2&lt;&gt;"Enter Spend&gt;&gt;&gt;",$LE$2="EXISTING"),SUMIFS('Existing Customers'!$U:$U,'Existing Customers'!$H:$H,$LC26,'Existing Customers'!$A:$A,$LD$1)/SUMIFS('Existing Customers'!$Q:$Q,'Existing Customers'!$A:$A,$LD$1,'Existing Customers'!$H:$H,$LC26),LU26),0))</f>
        <v>0</v>
      </c>
      <c r="LL26" s="783" t="e">
        <f>_xlfn.CONCAT('Customer Inputs'!$AH$17,"_",LC26)</f>
        <v>#N/A</v>
      </c>
      <c r="LM26" s="783">
        <f t="array" ref="LM26">IF('Customer Inputs'!$W$17="End",0,IFERROR(INDEX('Margin Guidence Table'!$A$1:$AG$10000,MATCH(1,('Margin Guidence Table'!$A$1:$A$10000=LL26)*('Margin Guidence Table'!$I$1:$I$10000&lt;=ROUND($LD$3,0))*('Margin Guidence Table'!$J$1:$J$10000&gt;=ROUND($LD$3,0)),0),MATCH("DATA_POINTS",'Margin Guidence Table'!$A$1:$AG$1,0)),0))</f>
        <v>0</v>
      </c>
      <c r="LN26" s="780" t="str">
        <f t="shared" si="55"/>
        <v>DEFAULT</v>
      </c>
      <c r="LO26" s="780">
        <f t="array" ref="LO26">IF('Customer Inputs'!$W$17="End",0,IFERROR(IF($LN26="SEGMENT",INDEX('Margin Guidence Table'!$A$1:$AG$10000,MATCH(1,('Margin Guidence Table'!$A$1:$A$10000=LL26)*('Margin Guidence Table'!$I$1:$I$10000&lt;=ROUND($LD$3,0))*('Margin Guidence Table'!$J$1:$J$10000&gt;=ROUND($LD$3,0)),0),MATCH("SALES_CASE",'Margin Guidence Table'!$A$1:$AG$1,0)),INDEX('Margin Guidence Table'!$A$1:$AG$10000,MATCH(1,('Margin Guidence Table'!$A$1:$A$10000=LL26)*('Margin Guidence Table'!$I$1:$I$10000&lt;=ROUND($LD$3,0))*('Margin Guidence Table'!$J$1:$J$10000&gt;=ROUND($LD$3,0)),0),MATCH("DEFAULT_SALES_CASE",'Margin Guidence Table'!$A$1:$AG$1,0))),0))</f>
        <v>0</v>
      </c>
      <c r="LP26" s="780">
        <f t="array" ref="LP26">IF('Customer Inputs'!$W$17="End",0,IFERROR(IF($LN26="SEGMENT",INDEX('Margin Guidence Table'!$A$1:$AG$10000,MATCH(1,('Margin Guidence Table'!$A$1:$A$10000=LL26)*('Margin Guidence Table'!$I$1:$I$10000&lt;=ROUND($LD$3,0))*('Margin Guidence Table'!$J$1:$J$10000&gt;=ROUND($LD$3,0)),0),MATCH("SALES_LBS",'Margin Guidence Table'!$A$1:$AG$1,0)),INDEX('Margin Guidence Table'!$A$1:$AG$10000,MATCH(1,('Margin Guidence Table'!$A$1:$A$10000=LL26)*('Margin Guidence Table'!$I$1:$I$10000&lt;=ROUND($LD$3,0))*('Margin Guidence Table'!$J$1:$J$10000&gt;=ROUND($LD$3,0)),0),MATCH("DEFAULT_SALES_LBS",'Margin Guidence Table'!$A$1:$AG$1,0))),0))</f>
        <v>0</v>
      </c>
      <c r="LQ26" s="784">
        <f t="array" ref="LQ26">IF('Customer Inputs'!$W$17="End",0,IFERROR(IF($LN26="SEGMENT",INDEX('Margin Guidence Table'!$A$1:$AG$10000,MATCH(1,('Margin Guidence Table'!$A$1:$A$10000=LL26)*('Margin Guidence Table'!$I$1:$I$10000&lt;=ROUND($LD$3,0))*('Margin Guidence Table'!$J$1:$J$10000&gt;=ROUND($LD$3,0)),0),MATCH("MDA_MIN_MARGIN_GUIDENCE",'Margin Guidence Table'!$A$1:$AG$1,0)),INDEX('Margin Guidence Table'!$A$1:$AG$10000,MATCH(1,('Margin Guidence Table'!$A$1:$A$10000=LL26)*('Margin Guidence Table'!$I$1:$I$10000&lt;=ROUND($LD$3,0))*('Margin Guidence Table'!$J$1:$J$10000&gt;=ROUND($LD$3,0)),0),MATCH("DEFAULT_MDA_MIN_MARGIN_GUIDENCE",'Margin Guidence Table'!$A$1:$AG$1,0))),0))</f>
        <v>0</v>
      </c>
      <c r="LR26" s="784">
        <f t="array" ref="LR26">IF('Customer Inputs'!$W$17="End",0,IFERROR(IF($LN26="SEGMENT",INDEX('Margin Guidence Table'!$A$1:$AG$10000,MATCH(1,('Margin Guidence Table'!$A$1:$A$10000=LL26)*('Margin Guidence Table'!$I$1:$I$10000&lt;=ROUND($LD$3,0))*('Margin Guidence Table'!$J$1:$J$10000&gt;=ROUND($LD$3,0)),0),MATCH("MDA_MEDIAN_MARGIN_GUIDENCE",'Margin Guidence Table'!$A$1:$AG$1,0)),INDEX('Margin Guidence Table'!$A$1:$AG$10000,MATCH(1,('Margin Guidence Table'!$A$1:$A$10000=LL26)*('Margin Guidence Table'!$I$1:$I$10000&lt;=ROUND($LD$3,0))*('Margin Guidence Table'!$J$1:$J$10000&gt;=ROUND($LD$3,0)),0),MATCH("DEFAULT_MDA_MEDIAN_MARGIN_GUIDENCE",'Margin Guidence Table'!$A$1:$AG$1,0))),0))</f>
        <v>0</v>
      </c>
      <c r="LS26" s="784">
        <f t="array" ref="LS26">IF('Customer Inputs'!$W$17="End",0,IFERROR(IF($LN26="SEGMENT",INDEX('Margin Guidence Table'!$A$1:$AG$10000,MATCH(1,('Margin Guidence Table'!$A$1:$A$10000=LL26)*('Margin Guidence Table'!$I$1:$I$10000&lt;=ROUND($LD$3,0))*('Margin Guidence Table'!$J$1:$J$10000&gt;=ROUND($LD$3,0)),0),MATCH("MDA_MAX_MARGIN_GUIDENCE",'Margin Guidence Table'!$A$1:$AG$1,0)),INDEX('Margin Guidence Table'!$A$1:$AG$10000,MATCH(1,('Margin Guidence Table'!$A$1:$A$10000=LL26)*('Margin Guidence Table'!$I$1:$I$10000&lt;=ROUND($LD$3,0))*('Margin Guidence Table'!$J$1:$J$10000&gt;=ROUND($LD$3,0)),0),MATCH("DEFAULT_MDA_MAX_MARGIN_GUIDENCE",'Margin Guidence Table'!$A$1:$AG$1,0))),0))</f>
        <v>0</v>
      </c>
      <c r="LT26" s="784">
        <f t="array" ref="LT26">IF('Customer Inputs'!$W$17="End",0,IFERROR(IF($LN26="SEGMENT",INDEX('Margin Guidence Table'!$A$1:$AG$10000,MATCH(1,('Margin Guidence Table'!$A$1:$A$10000=LL26)*('Margin Guidence Table'!$I$1:$I$10000&lt;=ROUND($LD$3,0))*('Margin Guidence Table'!$J$1:$J$10000&gt;=ROUND($LD$3,0)),0),MATCH("PA_PCT_SALES",'Margin Guidence Table'!$A$1:$AG$1,0)),INDEX('Margin Guidence Table'!$A$1:$AG$10000,MATCH(1,('Margin Guidence Table'!$A$1:$A$10000=LL26)*('Margin Guidence Table'!$I$1:$I$10000&lt;=ROUND($LD$3,0))*('Margin Guidence Table'!$J$1:$J$10000&gt;=ROUND($LD$3,0)),0),MATCH("DEFAULT_PA_PCT_SALES",'Margin Guidence Table'!$A$1:$AG$1,0))),0))</f>
        <v>0</v>
      </c>
      <c r="LU26" s="784">
        <f t="array" ref="LU26">IF('Customer Inputs'!$W$17="End",0,IFERROR(IF($LN26="SEGMENT",INDEX('Margin Guidence Table'!$A$1:$AG$10000,MATCH(1,('Margin Guidence Table'!$A$1:$A$10000=LL26)*('Margin Guidence Table'!$I$1:$I$10000&lt;=ROUND($LD$3,0))*('Margin Guidence Table'!$J$1:$J$10000&gt;=ROUND($LD$3,0)),0),MATCH("SELF_FUND_PCT_SALES",'Margin Guidence Table'!$A$1:$AG$1,0)),INDEX('Margin Guidence Table'!$A$1:$AG$10000,MATCH(1,('Margin Guidence Table'!$A$1:$A$10000=LL26)*('Margin Guidence Table'!$I$1:$I$10000&lt;=ROUND($LD$3,0))*('Margin Guidence Table'!$J$1:$J$10000&gt;=ROUND($LD$3,0)),0),MATCH("DEFAULT_SELF_FUND_PCT_SALES",'Margin Guidence Table'!$A$1:$AG$1,0))),0))</f>
        <v>0</v>
      </c>
      <c r="LV26" s="784">
        <f t="array" ref="LV26">IF('Customer Inputs'!$W$17="End",0,IF($LE$2="Existing",IFERROR(SUMIFS('Existing Customers'!$V:$V,'Existing Customers'!$H:$H,$LC26,'Existing Customers'!$A:$A,$LD$1)/SUMIFS('Existing Customers'!$Q:$Q,'Existing Customers'!$H:$H,$LC26,'Existing Customers'!$A:$A,$LD$1),0),IFERROR(IF($LN26="SEGMENT",INDEX('Margin Guidence Table'!$A$1:$AG$10000,MATCH(1,('Margin Guidence Table'!$A$1:$A$10000=LL26)*('Margin Guidence Table'!$I$1:$I$10000&lt;=ROUND($LD$3,0))*('Margin Guidence Table'!$J$1:$J$10000&gt;=ROUND($LD$3,0)),0),MATCH("CIA_MEDIAN_MARGIN_GUIDENCE",'Margin Guidence Table'!$A$1:$AG$1,0)),INDEX('Margin Guidence Table'!$A$1:$AG$10000,MATCH(1,('Margin Guidence Table'!$A$1:$A$10000=LL26)*('Margin Guidence Table'!$I$1:$I$10000&lt;=ROUND($LD$3,0))*('Margin Guidence Table'!$J$1:$J$10000&gt;=ROUND($LD$3,0)),0),MATCH("DEFAULT_CIA_MEDIAN_MARGIN_GUIDENCE",'Margin Guidence Table'!$A$1:$AG$1,0))),0)))</f>
        <v>0</v>
      </c>
      <c r="LW26" s="784"/>
      <c r="LX26" s="18">
        <f t="array" ref="LX26">IF('Customer Inputs'!$W$18="End",0,IFERROR(IF($MK26="SEGMENT",INDEX('Margin Guidence Table'!$A$1:$AG$10000,MATCH(1,('Margin Guidence Table'!$A$1:$A$10000=$MI26)*('Margin Guidence Table'!$I$1:$I$10000&lt;=ROUND($MA$3,0))*('Margin Guidence Table'!$J$1:$J$10000&gt;=ROUND($MA$3,0)),0),MATCH("PCT_SALES",'Margin Guidence Table'!$A$1:$AG$1,0)),INDEX('Margin Guidence Table'!$A$1:$AG$10000,MATCH(1,('Margin Guidence Table'!$A$1:$A$10000=$MI26)*('Margin Guidence Table'!$I$1:$I$10000&lt;=ROUND($MA$3,0))*('Margin Guidence Table'!$J$1:$J$10000&gt;=ROUND($MA$3,0)),0),MATCH("DEFAULT_PCT_SALES",'Margin Guidence Table'!$A$1:$AG$1,0))),0))</f>
        <v>0</v>
      </c>
      <c r="LY26" s="1713" t="e">
        <f t="shared" si="56"/>
        <v>#DIV/0!</v>
      </c>
      <c r="LZ26" s="99" t="s">
        <v>105</v>
      </c>
      <c r="MA26" s="91">
        <f>IF('Customer Inputs'!$W$18="End",0,IFERROR(IF(AND($MA$2&lt;&gt;"Enter Spend&gt;&gt;&gt;",$MB$2="EXISTING"),SUMIFS('Existing Customers'!$Q:$Q,'Existing Customers'!$A:$A,$MA$1,'Existing Customers'!$H:$H,$LZ26)*$MA$4,$MA$3*$LY26),0))</f>
        <v>0</v>
      </c>
      <c r="MB26" s="86">
        <f>IF('Customer Inputs'!$W$18="End",0,IFERROR(IF(AND($MA$2&lt;&gt;"Enter Spend&gt;&gt;&gt;",$MB$2="EXISTING"),SUMIFS('Existing Customers'!$N:$N,'Existing Customers'!$A:$A,$MA$1,'Existing Customers'!$H:$H,$LZ26)*$MA$4,$MA26/$ML26),0))</f>
        <v>0</v>
      </c>
      <c r="MC26" s="92">
        <f>IF('Customer Inputs'!$W$18="End",0,IFERROR(IF(AND($MA$2&lt;&gt;"Enter Spend&gt;&gt;&gt;",$MB$2="EXISTING"),SUMIFS('Existing Customers'!$O:$O,'Existing Customers'!$H:$H,$LZ26,'Existing Customers'!$A:$A,$MA$1)*$MA$4,$MB26*$MA$8),0))</f>
        <v>0</v>
      </c>
      <c r="MD26" s="92">
        <f>IF('Customer Inputs'!$W$18="End",0,IFERROR(IF(AND($MA$2&lt;&gt;"Enter Spend&gt;&gt;&gt;",$MB$2="EXISTING"),SUMIFS('Existing Customers'!$P:$P,'Existing Customers'!$A:$A,$MA$1,'Existing Customers'!$H:$H,$LZ26)*$MA$4,$MA26/$MM26),0))</f>
        <v>0</v>
      </c>
      <c r="ME26" s="303">
        <f>IF('Customer Inputs'!$W$18="End",0,IFERROR(IF(AND($MA$2&lt;&gt;"Enter Spend&gt;&gt;&gt;",$MB$2="EXISTING"),SUMIFS('Existing Customers'!$V:$V,'Existing Customers'!$H:$H,$LZ26,'Existing Customers'!$A:$A,$MA$1)*$MA$4,0),0))</f>
        <v>0</v>
      </c>
      <c r="MF26" s="93">
        <f>IF('Customer Inputs'!$W$18="End",0,IFERROR(IF(AND($MA$2&lt;&gt;"Enter Spend&gt;&gt;&gt;",$MB$2="EXISTING"),SUMIFS('Existing Customers'!$R:$R,'Existing Customers'!$H:$H,$LZ26,'Existing Customers'!$A:$A,$MA$1)*$MA$4,0),0))</f>
        <v>0</v>
      </c>
      <c r="MG26" s="780">
        <f>IF('Customer Inputs'!$W$18="End",0,IFERROR(IF(AND($MA$2&lt;&gt;"Enter Spend&gt;&gt;&gt;",$MB$2="EXISTING"),SUMIFS('Existing Customers'!$S:$S,'Existing Customers'!$H:$H,$LZ26,'Existing Customers'!$A:$A,$MA$1)/SUMIFS('Existing Customers'!$Q:$Q,'Existing Customers'!$A:$A,$MA$1,'Existing Customers'!$H:$H,$LZ26),MQ26),0))</f>
        <v>0</v>
      </c>
      <c r="MH26" s="780">
        <f>IF('Customer Inputs'!$W$18="End",0,IFERROR(IF(AND($MA$2&lt;&gt;"Enter Spend&gt;&gt;&gt;",$MB$2="EXISTING"),SUMIFS('Existing Customers'!$U:$U,'Existing Customers'!$H:$H,$LZ26,'Existing Customers'!$A:$A,$MA$1)/SUMIFS('Existing Customers'!$Q:$Q,'Existing Customers'!$A:$A,$MA$1,'Existing Customers'!$H:$H,$LZ26),MR26),0))</f>
        <v>0</v>
      </c>
      <c r="MI26" s="783" t="e">
        <f>_xlfn.CONCAT('Customer Inputs'!$AH$18,"_",LZ26)</f>
        <v>#N/A</v>
      </c>
      <c r="MJ26" s="783">
        <f t="array" ref="MJ26">IF('Customer Inputs'!$W$18="End",0,IFERROR(INDEX('Margin Guidence Table'!$A$1:$AG$10000,MATCH(1,('Margin Guidence Table'!$A$1:$A$10000=MI26)*('Margin Guidence Table'!$I$1:$I$10000&lt;=ROUND($MA$3,0))*('Margin Guidence Table'!$J$1:$J$10000&gt;=ROUND($MA$3,0)),0),MATCH("DATA_POINTS",'Margin Guidence Table'!$A$1:$AG$1,0)),0))</f>
        <v>0</v>
      </c>
      <c r="MK26" s="780" t="str">
        <f t="shared" si="57"/>
        <v>DEFAULT</v>
      </c>
      <c r="ML26" s="780">
        <f t="array" ref="ML26">IF('Customer Inputs'!$W$18="End",0,IFERROR(IF($MK26="SEGMENT",INDEX('Margin Guidence Table'!$A$1:$AG$10000,MATCH(1,('Margin Guidence Table'!$A$1:$A$10000=MI26)*('Margin Guidence Table'!$I$1:$I$10000&lt;=ROUND($MA$3,0))*('Margin Guidence Table'!$J$1:$J$10000&gt;=ROUND($MA$3,0)),0),MATCH("SALES_CASE",'Margin Guidence Table'!$A$1:$AG$1,0)),INDEX('Margin Guidence Table'!$A$1:$AG$10000,MATCH(1,('Margin Guidence Table'!$A$1:$A$10000=MI26)*('Margin Guidence Table'!$I$1:$I$10000&lt;=ROUND($MA$3,0))*('Margin Guidence Table'!$J$1:$J$10000&gt;=ROUND($MA$3,0)),0),MATCH("DEFAULT_SALES_CASE",'Margin Guidence Table'!$A$1:$AG$1,0))),0))</f>
        <v>0</v>
      </c>
      <c r="MM26" s="780">
        <f t="array" ref="MM26">IF('Customer Inputs'!$W$18="End",0,IFERROR(IF($MK26="SEGMENT",INDEX('Margin Guidence Table'!$A$1:$AG$10000,MATCH(1,('Margin Guidence Table'!$A$1:$A$10000=MI26)*('Margin Guidence Table'!$I$1:$I$10000&lt;=ROUND($MA$3,0))*('Margin Guidence Table'!$J$1:$J$10000&gt;=ROUND($MA$3,0)),0),MATCH("SALES_LBS",'Margin Guidence Table'!$A$1:$AG$1,0)),INDEX('Margin Guidence Table'!$A$1:$AG$10000,MATCH(1,('Margin Guidence Table'!$A$1:$A$10000=MI26)*('Margin Guidence Table'!$I$1:$I$10000&lt;=ROUND($MA$3,0))*('Margin Guidence Table'!$J$1:$J$10000&gt;=ROUND($MA$3,0)),0),MATCH("DEFAULT_SALES_LBS",'Margin Guidence Table'!$A$1:$AG$1,0))),0))</f>
        <v>0</v>
      </c>
      <c r="MN26" s="784">
        <f t="array" ref="MN26">IF('Customer Inputs'!$W$18="End",0,IFERROR(IF($MK26="SEGMENT",INDEX('Margin Guidence Table'!$A$1:$AG$10000,MATCH(1,('Margin Guidence Table'!$A$1:$A$10000=MI26)*('Margin Guidence Table'!$I$1:$I$10000&lt;=ROUND($MA$3,0))*('Margin Guidence Table'!$J$1:$J$10000&gt;=ROUND($MA$3,0)),0),MATCH("MDA_MIN_MARGIN_GUIDENCE",'Margin Guidence Table'!$A$1:$AG$1,0)),INDEX('Margin Guidence Table'!$A$1:$AG$10000,MATCH(1,('Margin Guidence Table'!$A$1:$A$10000=MI26)*('Margin Guidence Table'!$I$1:$I$10000&lt;=ROUND($MA$3,0))*('Margin Guidence Table'!$J$1:$J$10000&gt;=ROUND($MA$3,0)),0),MATCH("DEFAULT_MDA_MIN_MARGIN_GUIDENCE",'Margin Guidence Table'!$A$1:$AG$1,0))),0))</f>
        <v>0</v>
      </c>
      <c r="MO26" s="784">
        <f t="array" ref="MO26">IF('Customer Inputs'!$W$18="End",0,IFERROR(IF($MK26="SEGMENT",INDEX('Margin Guidence Table'!$A$1:$AG$10000,MATCH(1,('Margin Guidence Table'!$A$1:$A$10000=MI26)*('Margin Guidence Table'!$I$1:$I$10000&lt;=ROUND($MA$3,0))*('Margin Guidence Table'!$J$1:$J$10000&gt;=ROUND($MA$3,0)),0),MATCH("MDA_MEDIAN_MARGIN_GUIDENCE",'Margin Guidence Table'!$A$1:$AG$1,0)),INDEX('Margin Guidence Table'!$A$1:$AG$10000,MATCH(1,('Margin Guidence Table'!$A$1:$A$10000=MI26)*('Margin Guidence Table'!$I$1:$I$10000&lt;=ROUND($MA$3,0))*('Margin Guidence Table'!$J$1:$J$10000&gt;=ROUND($MA$3,0)),0),MATCH("DEFAULT_MDA_MEDIAN_MARGIN_GUIDENCE",'Margin Guidence Table'!$A$1:$AG$1,0))),0))</f>
        <v>0</v>
      </c>
      <c r="MP26" s="784">
        <f t="array" ref="MP26">IF('Customer Inputs'!$W$18="End",0,IFERROR(IF($MK26="SEGMENT",INDEX('Margin Guidence Table'!$A$1:$AG$10000,MATCH(1,('Margin Guidence Table'!$A$1:$A$10000=MI26)*('Margin Guidence Table'!$I$1:$I$10000&lt;=ROUND($MA$3,0))*('Margin Guidence Table'!$J$1:$J$10000&gt;=ROUND($MA$3,0)),0),MATCH("MDA_MAX_MARGIN_GUIDENCE",'Margin Guidence Table'!$A$1:$AG$1,0)),INDEX('Margin Guidence Table'!$A$1:$AG$10000,MATCH(1,('Margin Guidence Table'!$A$1:$A$10000=MI26)*('Margin Guidence Table'!$I$1:$I$10000&lt;=ROUND($MA$3,0))*('Margin Guidence Table'!$J$1:$J$10000&gt;=ROUND($MA$3,0)),0),MATCH("DEFAULT_MDA_MAX_MARGIN_GUIDENCE",'Margin Guidence Table'!$A$1:$AG$1,0))),0))</f>
        <v>0</v>
      </c>
      <c r="MQ26" s="784">
        <f t="array" ref="MQ26">IF('Customer Inputs'!$W$18="End",0,IFERROR(IF($MK26="SEGMENT",INDEX('Margin Guidence Table'!$A$1:$AG$10000,MATCH(1,('Margin Guidence Table'!$A$1:$A$10000=MI26)*('Margin Guidence Table'!$I$1:$I$10000&lt;=ROUND($MA$3,0))*('Margin Guidence Table'!$J$1:$J$10000&gt;=ROUND($MA$3,0)),0),MATCH("PA_PCT_SALES",'Margin Guidence Table'!$A$1:$AG$1,0)),INDEX('Margin Guidence Table'!$A$1:$AG$10000,MATCH(1,('Margin Guidence Table'!$A$1:$A$10000=MI26)*('Margin Guidence Table'!$I$1:$I$10000&lt;=ROUND($MA$3,0))*('Margin Guidence Table'!$J$1:$J$10000&gt;=ROUND($MA$3,0)),0),MATCH("DEFAULT_PA_PCT_SALES",'Margin Guidence Table'!$A$1:$AG$1,0))),0))</f>
        <v>0</v>
      </c>
      <c r="MR26" s="784">
        <f t="array" ref="MR26">IF('Customer Inputs'!$W$18="End",0,IFERROR(IF($MK26="SEGMENT",INDEX('Margin Guidence Table'!$A$1:$AG$10000,MATCH(1,('Margin Guidence Table'!$A$1:$A$10000=MI26)*('Margin Guidence Table'!$I$1:$I$10000&lt;=ROUND($MA$3,0))*('Margin Guidence Table'!$J$1:$J$10000&gt;=ROUND($MA$3,0)),0),MATCH("SELF_FUND_PCT_SALES",'Margin Guidence Table'!$A$1:$AG$1,0)),INDEX('Margin Guidence Table'!$A$1:$AG$10000,MATCH(1,('Margin Guidence Table'!$A$1:$A$10000=MI26)*('Margin Guidence Table'!$I$1:$I$10000&lt;=ROUND($MA$3,0))*('Margin Guidence Table'!$J$1:$J$10000&gt;=ROUND($MA$3,0)),0),MATCH("DEFAULT_SELF_FUND_PCT_SALES",'Margin Guidence Table'!$A$1:$AG$1,0))),0))</f>
        <v>0</v>
      </c>
      <c r="MS26" s="784">
        <f t="array" ref="MS26">IF('Customer Inputs'!$W$18="End",0,IF($MB$2="Existing",IFERROR(SUMIFS('Existing Customers'!$V:$V,'Existing Customers'!$H:$H,$LZ26,'Existing Customers'!$A:$A,$MA$1)/SUMIFS('Existing Customers'!$Q:$Q,'Existing Customers'!$H:$H,$LZ26,'Existing Customers'!$A:$A,$MA$1),0),IFERROR(IF($MK26="SEGMENT",INDEX('Margin Guidence Table'!$A$1:$AG$10000,MATCH(1,('Margin Guidence Table'!$A$1:$A$10000=MI26)*('Margin Guidence Table'!$I$1:$I$10000&lt;=ROUND($MA$3,0))*('Margin Guidence Table'!$J$1:$J$10000&gt;=ROUND($MA$3,0)),0),MATCH("CIA_MEDIAN_MARGIN_GUIDENCE",'Margin Guidence Table'!$A$1:$AG$1,0)),INDEX('Margin Guidence Table'!$A$1:$AG$10000,MATCH(1,('Margin Guidence Table'!$A$1:$A$10000=MI26)*('Margin Guidence Table'!$I$1:$I$10000&lt;=ROUND($MA$3,0))*('Margin Guidence Table'!$J$1:$J$10000&gt;=ROUND($MA$3,0)),0),MATCH("DEFAULT_CIA_MEDIAN_MARGIN_GUIDENCE",'Margin Guidence Table'!$A$1:$AG$1,0))),0)))</f>
        <v>0</v>
      </c>
      <c r="MT26" s="784"/>
      <c r="MU26" s="18">
        <f t="array" ref="MU26">IF('Customer Inputs'!$W$19="End",0,IFERROR(IF($NH26="SEGMENT",INDEX('Margin Guidence Table'!$A$1:$AG$10000,MATCH(1,('Margin Guidence Table'!$A$1:$A$10000=$NF26)*('Margin Guidence Table'!$I$1:$I$10000&lt;=ROUND($MX$3,0))*('Margin Guidence Table'!$J$1:$J$10000&gt;=ROUND($MX$3,0)),0),MATCH("PCT_SALES",'Margin Guidence Table'!$A$1:$AG$1,0)),INDEX('Margin Guidence Table'!$A$1:$AG$10000,MATCH(1,('Margin Guidence Table'!$A$1:$A$10000=$NF26)*('Margin Guidence Table'!$I$1:$I$10000&lt;=ROUND($MX$3,0))*('Margin Guidence Table'!$J$1:$J$10000&gt;=ROUND($MX$3,0)),0),MATCH("DEFAULT_PCT_SALES",'Margin Guidence Table'!$A$1:$AG$1,0))),0))</f>
        <v>0</v>
      </c>
      <c r="MV26" s="1713" t="e">
        <f t="shared" si="58"/>
        <v>#DIV/0!</v>
      </c>
      <c r="MW26" s="99" t="s">
        <v>105</v>
      </c>
      <c r="MX26" s="91">
        <f>IF('Customer Inputs'!$W$19="End",0,IFERROR(IF(AND($MX$2&lt;&gt;"Enter Spend&gt;&gt;&gt;",$MY$2="EXISTING"),SUMIFS('Existing Customers'!$Q:$Q,'Existing Customers'!$A:$A,$MX$1,'Existing Customers'!$H:$H,$MW26)*$MX$4,$MX$3*$MV26),0))</f>
        <v>0</v>
      </c>
      <c r="MY26" s="86">
        <f>IF('Customer Inputs'!$W$19="End",0,IFERROR(IF(AND($MX$2&lt;&gt;"Enter Spend&gt;&gt;&gt;",$MY$2="EXISTING"),SUMIFS('Existing Customers'!$N:$N,'Existing Customers'!$A:$A,$MX$1,'Existing Customers'!$H:$H,$MW26)*$MX$4,$MX26/$NI26),0))</f>
        <v>0</v>
      </c>
      <c r="MZ26" s="92">
        <f>IF('Customer Inputs'!$W$19="End",0,IFERROR(IF(AND($MX$2&lt;&gt;"Enter Spend&gt;&gt;&gt;",$MY$2="EXISTING"),SUMIFS('Existing Customers'!$O:$O,'Existing Customers'!$H:$H,$MW26,'Existing Customers'!$A:$A,$MX$1)*$MX$4,$MY26*$MX$8),0))</f>
        <v>0</v>
      </c>
      <c r="NA26" s="92">
        <f>IF('Customer Inputs'!$W$19="End",0,IFERROR(IF(AND($MX$2&lt;&gt;"Enter Spend&gt;&gt;&gt;",$MY$2="EXISTING"),SUMIFS('Existing Customers'!$P:$P,'Existing Customers'!$A:$A,$MX$1,'Existing Customers'!$H:$H,$MW26)*$MX$4,$MX26/$NJ26),0))</f>
        <v>0</v>
      </c>
      <c r="NB26" s="303">
        <f>IF('Customer Inputs'!$W$19="End",0,IFERROR(IF(AND($MX$2&lt;&gt;"Enter Spend&gt;&gt;&gt;",$MY$2="EXISTING"),SUMIFS('Existing Customers'!$V:$V,'Existing Customers'!$H:$H,$MW26,'Existing Customers'!$A:$A,$MX$1)*$MX$4,0),0))</f>
        <v>0</v>
      </c>
      <c r="NC26" s="93">
        <f>IF('Customer Inputs'!$W$19="End",0,IFERROR(IF(AND($MX$2&lt;&gt;"Enter Spend&gt;&gt;&gt;",$MY$2="EXISTING"),SUMIFS('Existing Customers'!$R:$R,'Existing Customers'!$H:$H,$MW26,'Existing Customers'!$A:$A,$MX$1)*$MX$4,0),0))</f>
        <v>0</v>
      </c>
      <c r="ND26" s="780">
        <f>IF('Customer Inputs'!$W$19="End",0,IFERROR(IF(AND($MX$2&lt;&gt;"Enter Spend&gt;&gt;&gt;",$MY$2="EXISTING"),SUMIFS('Existing Customers'!$S:$S,'Existing Customers'!$H:$H,$MW26,'Existing Customers'!$A:$A,$MX$1)/SUMIFS('Existing Customers'!$Q:$Q,'Existing Customers'!$A:$A,$MX$1,'Existing Customers'!$H:$H,$MW26),NN26),0))</f>
        <v>0</v>
      </c>
      <c r="NE26" s="780">
        <f>IF('Customer Inputs'!$W$19="End",0,IFERROR(IF(AND($MX$2&lt;&gt;"Enter Spend&gt;&gt;&gt;",$MY$2="EXISTING"),SUMIFS('Existing Customers'!$U:$U,'Existing Customers'!$H:$H,$MW26,'Existing Customers'!$A:$A,$MX$1)/SUMIFS('Existing Customers'!$Q:$Q,'Existing Customers'!$A:$A,$MX$1,'Existing Customers'!$H:$H,$MW26),NO26),0))</f>
        <v>0</v>
      </c>
      <c r="NF26" s="783" t="e">
        <f>_xlfn.CONCAT('Customer Inputs'!$AH$19,"_",MW26)</f>
        <v>#N/A</v>
      </c>
      <c r="NG26" s="783">
        <f t="array" ref="NG26">IF('Customer Inputs'!$W$19="End",0,IFERROR(INDEX('Margin Guidence Table'!$A$1:$AG$10000,MATCH(1,('Margin Guidence Table'!$A$1:$A$10000=NF26)*('Margin Guidence Table'!$I$1:$I$10000&lt;=ROUND($MX$3,0))*('Margin Guidence Table'!$J$1:$J$10000&gt;=ROUND($MX$3,0)),0),MATCH("DATA_POINTS",'Margin Guidence Table'!$A$1:$AG$1,0)),0))</f>
        <v>0</v>
      </c>
      <c r="NH26" s="780" t="str">
        <f t="shared" si="59"/>
        <v>DEFAULT</v>
      </c>
      <c r="NI26" s="780">
        <f t="array" ref="NI26">IF('Customer Inputs'!$W$19="End",0,IFERROR(IF($NH26="SEGMENT",INDEX('Margin Guidence Table'!$A$1:$AG$10000,MATCH(1,('Margin Guidence Table'!$A$1:$A$10000=NF26)*('Margin Guidence Table'!$I$1:$I$10000&lt;=ROUND($MX$3,0))*('Margin Guidence Table'!$J$1:$J$10000&gt;=ROUND($MX$3,0)),0),MATCH("SALES_CASE",'Margin Guidence Table'!$A$1:$AG$1,0)),INDEX('Margin Guidence Table'!$A$1:$AG$10000,MATCH(1,('Margin Guidence Table'!$A$1:$A$10000=NF26)*('Margin Guidence Table'!$I$1:$I$10000&lt;=ROUND($MX$3,0))*('Margin Guidence Table'!$J$1:$J$10000&gt;=ROUND($MX$3,0)),0),MATCH("DEFAULT_SALES_CASE",'Margin Guidence Table'!$A$1:$AG$1,0))),0))</f>
        <v>0</v>
      </c>
      <c r="NJ26" s="780">
        <f t="array" ref="NJ26">IF('Customer Inputs'!$W$19="End",0,IFERROR(IF($NH26="SEGMENT",INDEX('Margin Guidence Table'!$A$1:$AG$10000,MATCH(1,('Margin Guidence Table'!$A$1:$A$10000=NF26)*('Margin Guidence Table'!$I$1:$I$10000&lt;=ROUND($MX$3,0))*('Margin Guidence Table'!$J$1:$J$10000&gt;=ROUND($MX$3,0)),0),MATCH("SALES_LBS",'Margin Guidence Table'!$A$1:$AG$1,0)),INDEX('Margin Guidence Table'!$A$1:$AG$10000,MATCH(1,('Margin Guidence Table'!$A$1:$A$10000=NF26)*('Margin Guidence Table'!$I$1:$I$10000&lt;=ROUND($MX$3,0))*('Margin Guidence Table'!$J$1:$J$10000&gt;=ROUND($MX$3,0)),0),MATCH("DEFAULT_SALES_LBS",'Margin Guidence Table'!$A$1:$AG$1,0))),0))</f>
        <v>0</v>
      </c>
      <c r="NK26" s="784">
        <f t="array" ref="NK26">IF('Customer Inputs'!$W$19="End",0,IFERROR(IF($NH26="SEGMENT",INDEX('Margin Guidence Table'!$A$1:$AG$10000,MATCH(1,('Margin Guidence Table'!$A$1:$A$10000=NF26)*('Margin Guidence Table'!$I$1:$I$10000&lt;=ROUND($MX$3,0))*('Margin Guidence Table'!$J$1:$J$10000&gt;=ROUND($MX$3,0)),0),MATCH("MDA_MIN_MARGIN_GUIDENCE",'Margin Guidence Table'!$A$1:$AG$1,0)),INDEX('Margin Guidence Table'!$A$1:$AG$10000,MATCH(1,('Margin Guidence Table'!$A$1:$A$10000=NF26)*('Margin Guidence Table'!$I$1:$I$10000&lt;=ROUND($MX$3,0))*('Margin Guidence Table'!$J$1:$J$10000&gt;=ROUND($MX$3,0)),0),MATCH("DEFAULT_MDA_MIN_MARGIN_GUIDENCE",'Margin Guidence Table'!$A$1:$AG$1,0))),0))</f>
        <v>0</v>
      </c>
      <c r="NL26" s="784">
        <f t="array" ref="NL26">IF('Customer Inputs'!$W$19="End",0,IFERROR(IF($NH26="SEGMENT",INDEX('Margin Guidence Table'!$A$1:$AG$10000,MATCH(1,('Margin Guidence Table'!$A$1:$A$10000=NF26)*('Margin Guidence Table'!$I$1:$I$10000&lt;=ROUND($MX$3,0))*('Margin Guidence Table'!$J$1:$J$10000&gt;=ROUND($MX$3,0)),0),MATCH("MDA_MEDIAN_MARGIN_GUIDENCE",'Margin Guidence Table'!$A$1:$AG$1,0)),INDEX('Margin Guidence Table'!$A$1:$AG$10000,MATCH(1,('Margin Guidence Table'!$A$1:$A$10000=NF26)*('Margin Guidence Table'!$I$1:$I$10000&lt;=ROUND($MX$3,0))*('Margin Guidence Table'!$J$1:$J$10000&gt;=ROUND($MX$3,0)),0),MATCH("DEFAULT_MDA_MEDIAN_MARGIN_GUIDENCE",'Margin Guidence Table'!$A$1:$AG$1,0))),0))</f>
        <v>0</v>
      </c>
      <c r="NM26" s="784">
        <f t="array" ref="NM26">IF('Customer Inputs'!$W$19="End",0,IFERROR(IF($NH26="SEGMENT",INDEX('Margin Guidence Table'!$A$1:$AG$10000,MATCH(1,('Margin Guidence Table'!$A$1:$A$10000=NF26)*('Margin Guidence Table'!$I$1:$I$10000&lt;=ROUND($MX$3,0))*('Margin Guidence Table'!$J$1:$J$10000&gt;=ROUND($MX$3,0)),0),MATCH("MDA_MAX_MARGIN_GUIDENCE",'Margin Guidence Table'!$A$1:$AG$1,0)),INDEX('Margin Guidence Table'!$A$1:$AG$10000,MATCH(1,('Margin Guidence Table'!$A$1:$A$10000=NF26)*('Margin Guidence Table'!$I$1:$I$10000&lt;=ROUND($MX$3,0))*('Margin Guidence Table'!$J$1:$J$10000&gt;=ROUND($MX$3,0)),0),MATCH("DEFAULT_MDA_MAX_MARGIN_GUIDENCE",'Margin Guidence Table'!$A$1:$AG$1,0))),0))</f>
        <v>0</v>
      </c>
      <c r="NN26" s="784">
        <f t="array" ref="NN26">IF('Customer Inputs'!$W$19="End",0,IFERROR(IF($NH26="SEGMENT",INDEX('Margin Guidence Table'!$A$1:$AG$10000,MATCH(1,('Margin Guidence Table'!$A$1:$A$10000=NF26)*('Margin Guidence Table'!$I$1:$I$10000&lt;=ROUND($MX$3,0))*('Margin Guidence Table'!$J$1:$J$10000&gt;=ROUND($MX$3,0)),0),MATCH("PA_PCT_SALES",'Margin Guidence Table'!$A$1:$AG$1,0)),INDEX('Margin Guidence Table'!$A$1:$AG$10000,MATCH(1,('Margin Guidence Table'!$A$1:$A$10000=NF26)*('Margin Guidence Table'!$I$1:$I$10000&lt;=ROUND($MX$3,0))*('Margin Guidence Table'!$J$1:$J$10000&gt;=ROUND($MX$3,0)),0),MATCH("DEFAULT_PA_PCT_SALES",'Margin Guidence Table'!$A$1:$AG$1,0))),0))</f>
        <v>0</v>
      </c>
      <c r="NO26" s="784">
        <f t="array" ref="NO26">IF('Customer Inputs'!$W$19="End",0,IFERROR(IF($NH26="SEGMENT",INDEX('Margin Guidence Table'!$A$1:$AG$10000,MATCH(1,('Margin Guidence Table'!$A$1:$A$10000=NF26)*('Margin Guidence Table'!$I$1:$I$10000&lt;=ROUND($MX$3,0))*('Margin Guidence Table'!$J$1:$J$10000&gt;=ROUND($MX$3,0)),0),MATCH("SELF_FUND_PCT_SALES",'Margin Guidence Table'!$A$1:$AG$1,0)),INDEX('Margin Guidence Table'!$A$1:$AG$10000,MATCH(1,('Margin Guidence Table'!$A$1:$A$10000=NF26)*('Margin Guidence Table'!$I$1:$I$10000&lt;=ROUND($MX$3,0))*('Margin Guidence Table'!$J$1:$J$10000&gt;=ROUND($MX$3,0)),0),MATCH("DEFAULT_SELF_FUND_PCT_SALES",'Margin Guidence Table'!$A$1:$AG$1,0))),0))</f>
        <v>0</v>
      </c>
      <c r="NP26" s="784">
        <f t="array" ref="NP26">IF('Customer Inputs'!$W$19="End",0,IF($MY$2="Existing",IFERROR(SUMIFS('Existing Customers'!$V:$V,'Existing Customers'!$H:$H,$MW26,'Existing Customers'!$A:$A,$MX$1)/SUMIFS('Existing Customers'!$Q:$Q,'Existing Customers'!$H:$H,$MW26,'Existing Customers'!$A:$A,$MX$1),0),IFERROR(IF($NH26="SEGMENT",INDEX('Margin Guidence Table'!$A$1:$AG$10000,MATCH(1,('Margin Guidence Table'!$A$1:$A$10000=NF26)*('Margin Guidence Table'!$I$1:$I$10000&lt;=ROUND($MX$3,0))*('Margin Guidence Table'!$J$1:$J$10000&gt;=ROUND($MX$3,0)),0),MATCH("CIA_MEDIAN_MARGIN_GUIDENCE",'Margin Guidence Table'!$A$1:$AG$1,0)),INDEX('Margin Guidence Table'!$A$1:$AG$10000,MATCH(1,('Margin Guidence Table'!$A$1:$A$10000=NF26)*('Margin Guidence Table'!$I$1:$I$10000&lt;=ROUND($MX$3,0))*('Margin Guidence Table'!$J$1:$J$10000&gt;=ROUND($MX$3,0)),0),MATCH("DEFAULT_CIA_MEDIAN_MARGIN_GUIDENCE",'Margin Guidence Table'!$A$1:$AG$1,0))),0)))</f>
        <v>0</v>
      </c>
      <c r="NQ26" s="784"/>
      <c r="NR26" s="18">
        <f t="array" ref="NR26">IF('Customer Inputs'!$W$20="End",0,IFERROR(IF($OE26="SEGMENT",INDEX('Margin Guidence Table'!$A$1:$AG$10000,MATCH(1,('Margin Guidence Table'!$A$1:$A$10000=$OC26)*('Margin Guidence Table'!$I$1:$I$10000&lt;=ROUND($NU$3,0))*('Margin Guidence Table'!$J$1:$J$10000&gt;=ROUND($NU$3,0)),0),MATCH("PCT_SALES",'Margin Guidence Table'!$A$1:$AG$1,0)),INDEX('Margin Guidence Table'!$A$1:$AG$10000,MATCH(1,('Margin Guidence Table'!$A$1:$A$10000=$OC26)*('Margin Guidence Table'!$I$1:$I$10000&lt;=ROUND($NU$3,0))*('Margin Guidence Table'!$J$1:$J$10000&gt;=ROUND($NU$3,0)),0),MATCH("DEFAULT_PCT_SALES",'Margin Guidence Table'!$A$1:$AG$1,0))),0))</f>
        <v>0</v>
      </c>
      <c r="NS26" s="1713" t="e">
        <f t="shared" si="60"/>
        <v>#DIV/0!</v>
      </c>
      <c r="NT26" s="99" t="s">
        <v>105</v>
      </c>
      <c r="NU26" s="91">
        <f>IF('Customer Inputs'!$W$20="End",0,IFERROR(IF(AND($NU$2&lt;&gt;"Enter Spend&gt;&gt;&gt;",$NV$2="EXISTING"),SUMIFS('Existing Customers'!$Q:$Q,'Existing Customers'!$A:$A,$NU$1,'Existing Customers'!$H:$H,$NT26)*$NU$4,$NU$3*$NS26),0))</f>
        <v>0</v>
      </c>
      <c r="NV26" s="86">
        <f>IF('Customer Inputs'!$W$20="End",0,IFERROR(IF(AND($NU$2&lt;&gt;"Enter Spend&gt;&gt;&gt;",$NV$2="EXISTING"),SUMIFS('Existing Customers'!$N:$N,'Existing Customers'!$A:$A,$NU$1,'Existing Customers'!$H:$H,$NT26)*$NU$4,$NU26/$OF26),0))</f>
        <v>0</v>
      </c>
      <c r="NW26" s="92">
        <f>IF('Customer Inputs'!$W$20="End",0,IFERROR(IF(AND($NU$2&lt;&gt;"Enter Spend&gt;&gt;&gt;",$NV$2="EXISTING"),SUMIFS('Existing Customers'!$O:$O,'Existing Customers'!$H:$H,$NT26,'Existing Customers'!$A:$A,$NU$1)*$NU$4,$NV26*$NU$8),0))</f>
        <v>0</v>
      </c>
      <c r="NX26" s="92">
        <f>IF('Customer Inputs'!$W$20="End",0,IFERROR(IF(AND($NU$2&lt;&gt;"Enter Spend&gt;&gt;&gt;",$NV$2="EXISTING"),SUMIFS('Existing Customers'!$P:$P,'Existing Customers'!$A:$A,$NU$1,'Existing Customers'!$H:$H,$NT26)*$NU$4,$NU26/$OG26),0))</f>
        <v>0</v>
      </c>
      <c r="NY26" s="303">
        <f>IF('Customer Inputs'!$W$20="End",0,IFERROR(IF(AND($NU$2&lt;&gt;"Enter Spend&gt;&gt;&gt;",$NV$2="EXISTING"),SUMIFS('Existing Customers'!$V:$V,'Existing Customers'!$H:$H,$NT26,'Existing Customers'!$A:$A,$NU$1)*$NU$4,0),0))</f>
        <v>0</v>
      </c>
      <c r="NZ26" s="93">
        <f>IF('Customer Inputs'!$W$20="End",0,IFERROR(IF(AND($NU$2&lt;&gt;"Enter Spend&gt;&gt;&gt;",$NV$2="EXISTING"),SUMIFS('Existing Customers'!$R:$R,'Existing Customers'!$H:$H,$NT26,'Existing Customers'!$A:$A,$NU$1)*$NU$4,0),0))</f>
        <v>0</v>
      </c>
      <c r="OA26" s="780">
        <f>IF('Customer Inputs'!$W$20="End",0,IFERROR(IF(AND($NU$2&lt;&gt;"Enter Spend&gt;&gt;&gt;",$NV$2="EXISTING"),SUMIFS('Existing Customers'!$S:$S,'Existing Customers'!$H:$H,$NT26,'Existing Customers'!$A:$A,$NU$1)/SUMIFS('Existing Customers'!$Q:$Q,'Existing Customers'!$A:$A,$NU$1,'Existing Customers'!$H:$H,$NT26),OK26),0))</f>
        <v>0</v>
      </c>
      <c r="OB26" s="780">
        <f>IF('Customer Inputs'!$W$20="End",0,IFERROR(IF(AND($NU$2&lt;&gt;"Enter Spend&gt;&gt;&gt;",$NV$2="EXISTING"),SUMIFS('Existing Customers'!$U:$U,'Existing Customers'!$H:$H,$NT26,'Existing Customers'!$A:$A,$NU$1)/SUMIFS('Existing Customers'!$Q:$Q,'Existing Customers'!$A:$A,$NU$1,'Existing Customers'!$H:$H,$NT26),OL26),0))</f>
        <v>0</v>
      </c>
      <c r="OC26" s="783" t="e">
        <f>_xlfn.CONCAT('Customer Inputs'!$AH$20,"_",NT26)</f>
        <v>#N/A</v>
      </c>
      <c r="OD26" s="783">
        <f t="array" ref="OD26">IF('Customer Inputs'!$W$20="End",0,IFERROR(INDEX('Margin Guidence Table'!$A$1:$AG$10000,MATCH(1,('Margin Guidence Table'!$A$1:$A$10000=OC26)*('Margin Guidence Table'!$I$1:$I$10000&lt;=ROUND($NU$3,0))*('Margin Guidence Table'!$J$1:$J$10000&gt;=ROUND($NU$3,0)),0),MATCH("DATA_POINTS",'Margin Guidence Table'!$A$1:$AG$1,0)),0))</f>
        <v>0</v>
      </c>
      <c r="OE26" s="780" t="str">
        <f t="shared" si="61"/>
        <v>DEFAULT</v>
      </c>
      <c r="OF26" s="780">
        <f t="array" ref="OF26">IF('Customer Inputs'!$W$20="End",0,IFERROR(IF($OE26="SEGMENT",INDEX('Margin Guidence Table'!$A$1:$AG$10000,MATCH(1,('Margin Guidence Table'!$A$1:$A$10000=OC26)*('Margin Guidence Table'!$I$1:$I$10000&lt;=ROUND($NU$3,0))*('Margin Guidence Table'!$J$1:$J$10000&gt;=ROUND($NU$3,0)),0),MATCH("SALES_CASE",'Margin Guidence Table'!$A$1:$AG$1,0)),INDEX('Margin Guidence Table'!$A$1:$AG$10000,MATCH(1,('Margin Guidence Table'!$A$1:$A$10000=OC26)*('Margin Guidence Table'!$I$1:$I$10000&lt;=ROUND($NU$3,0))*('Margin Guidence Table'!$J$1:$J$10000&gt;=ROUND($NU$3,0)),0),MATCH("DEFAULT_SALES_CASE",'Margin Guidence Table'!$A$1:$AG$1,0))),0))</f>
        <v>0</v>
      </c>
      <c r="OG26" s="780">
        <f t="array" ref="OG26">IF('Customer Inputs'!$W$20="End",0,IFERROR(IF($OE26="SEGMENT",INDEX('Margin Guidence Table'!$A$1:$AG$10000,MATCH(1,('Margin Guidence Table'!$A$1:$A$10000=OC26)*('Margin Guidence Table'!$I$1:$I$10000&lt;=ROUND($NU$3,0))*('Margin Guidence Table'!$J$1:$J$10000&gt;=ROUND($NU$3,0)),0),MATCH("SALES_LBS",'Margin Guidence Table'!$A$1:$AG$1,0)),INDEX('Margin Guidence Table'!$A$1:$AG$10000,MATCH(1,('Margin Guidence Table'!$A$1:$A$10000=OC26)*('Margin Guidence Table'!$I$1:$I$10000&lt;=ROUND($NU$3,0))*('Margin Guidence Table'!$J$1:$J$10000&gt;=ROUND($NU$3,0)),0),MATCH("DEFAULT_SALES_LBS",'Margin Guidence Table'!$A$1:$AG$1,0))),0))</f>
        <v>0</v>
      </c>
      <c r="OH26" s="784">
        <f t="array" ref="OH26">IF('Customer Inputs'!$W$20="End",0,IFERROR(IF($OE26="SEGMENT",INDEX('Margin Guidence Table'!$A$1:$AG$10000,MATCH(1,('Margin Guidence Table'!$A$1:$A$10000=OC26)*('Margin Guidence Table'!$I$1:$I$10000&lt;=ROUND($NU$3,0))*('Margin Guidence Table'!$J$1:$J$10000&gt;=ROUND($NU$3,0)),0),MATCH("MDA_MIN_MARGIN_GUIDENCE",'Margin Guidence Table'!$A$1:$AG$1,0)),INDEX('Margin Guidence Table'!$A$1:$AG$10000,MATCH(1,('Margin Guidence Table'!$A$1:$A$10000=OC26)*('Margin Guidence Table'!$I$1:$I$10000&lt;=ROUND($NU$3,0))*('Margin Guidence Table'!$J$1:$J$10000&gt;=ROUND($NU$3,0)),0),MATCH("DEFAULT_MDA_MIN_MARGIN_GUIDENCE",'Margin Guidence Table'!$A$1:$AG$1,0))),0))</f>
        <v>0</v>
      </c>
      <c r="OI26" s="784">
        <f t="array" ref="OI26">IF('Customer Inputs'!$W$20="End",0,IFERROR(IF($OE26="SEGMENT",INDEX('Margin Guidence Table'!$A$1:$AG$10000,MATCH(1,('Margin Guidence Table'!$A$1:$A$10000=OC26)*('Margin Guidence Table'!$I$1:$I$10000&lt;=ROUND($NU$3,0))*('Margin Guidence Table'!$J$1:$J$10000&gt;=ROUND($NU$3,0)),0),MATCH("MDA_MEDIAN_MARGIN_GUIDENCE",'Margin Guidence Table'!$A$1:$AG$1,0)),INDEX('Margin Guidence Table'!$A$1:$AG$10000,MATCH(1,('Margin Guidence Table'!$A$1:$A$10000=OC26)*('Margin Guidence Table'!$I$1:$I$10000&lt;=ROUND($NU$3,0))*('Margin Guidence Table'!$J$1:$J$10000&gt;=ROUND($NU$3,0)),0),MATCH("DEFAULT_MDA_MEDIAN_MARGIN_GUIDENCE",'Margin Guidence Table'!$A$1:$AG$1,0))),0))</f>
        <v>0</v>
      </c>
      <c r="OJ26" s="784">
        <f t="array" ref="OJ26">IF('Customer Inputs'!$W$20="End",0,IFERROR(IF($OE26="SEGMENT",INDEX('Margin Guidence Table'!$A$1:$AG$10000,MATCH(1,('Margin Guidence Table'!$A$1:$A$10000=OC26)*('Margin Guidence Table'!$I$1:$I$10000&lt;=ROUND($NU$3,0))*('Margin Guidence Table'!$J$1:$J$10000&gt;=ROUND($NU$3,0)),0),MATCH("MDA_MAX_MARGIN_GUIDENCE",'Margin Guidence Table'!$A$1:$AG$1,0)),INDEX('Margin Guidence Table'!$A$1:$AG$10000,MATCH(1,('Margin Guidence Table'!$A$1:$A$10000=OC26)*('Margin Guidence Table'!$I$1:$I$10000&lt;=ROUND($NU$3,0))*('Margin Guidence Table'!$J$1:$J$10000&gt;=ROUND($NU$3,0)),0),MATCH("DEFAULT_MDA_MAX_MARGIN_GUIDENCE",'Margin Guidence Table'!$A$1:$AG$1,0))),0))</f>
        <v>0</v>
      </c>
      <c r="OK26" s="784">
        <f t="array" ref="OK26">IF('Customer Inputs'!$W$20="End",0,IFERROR(IF($OE26="SEGMENT",INDEX('Margin Guidence Table'!$A$1:$AG$10000,MATCH(1,('Margin Guidence Table'!$A$1:$A$10000=OC26)*('Margin Guidence Table'!$I$1:$I$10000&lt;=ROUND($NU$3,0))*('Margin Guidence Table'!$J$1:$J$10000&gt;=ROUND($NU$3,0)),0),MATCH("PA_PCT_SALES",'Margin Guidence Table'!$A$1:$AG$1,0)),INDEX('Margin Guidence Table'!$A$1:$AG$10000,MATCH(1,('Margin Guidence Table'!$A$1:$A$10000=OC26)*('Margin Guidence Table'!$I$1:$I$10000&lt;=ROUND($NU$3,0))*('Margin Guidence Table'!$J$1:$J$10000&gt;=ROUND($NU$3,0)),0),MATCH("DEFAULT_PA_PCT_SALES",'Margin Guidence Table'!$A$1:$AG$1,0))),0))</f>
        <v>0</v>
      </c>
      <c r="OL26" s="784">
        <f t="array" ref="OL26">IF('Customer Inputs'!$W$20="End",0,IFERROR(IF($OE26="SEGMENT",INDEX('Margin Guidence Table'!$A$1:$AG$10000,MATCH(1,('Margin Guidence Table'!$A$1:$A$10000=OC26)*('Margin Guidence Table'!$I$1:$I$10000&lt;=ROUND($NU$3,0))*('Margin Guidence Table'!$J$1:$J$10000&gt;=ROUND($NU$3,0)),0),MATCH("SELF_FUND_PCT_SALES",'Margin Guidence Table'!$A$1:$AG$1,0)),INDEX('Margin Guidence Table'!$A$1:$AG$10000,MATCH(1,('Margin Guidence Table'!$A$1:$A$10000=OC26)*('Margin Guidence Table'!$I$1:$I$10000&lt;=ROUND($NU$3,0))*('Margin Guidence Table'!$J$1:$J$10000&gt;=ROUND($NU$3,0)),0),MATCH("DEFAULT_SELF_FUND_PCT_SALES",'Margin Guidence Table'!$A$1:$AG$1,0))),0))</f>
        <v>0</v>
      </c>
      <c r="OM26" s="784">
        <f t="array" ref="OM26">IF('Customer Inputs'!$W$20="End",0,IF($NV$2="Existing",IFERROR(SUMIFS('Existing Customers'!$V:$V,'Existing Customers'!$H:$H,$NT26,'Existing Customers'!$A:$A,$NU$1)/SUMIFS('Existing Customers'!$Q:$Q,'Existing Customers'!$H:$H,$NT26,'Existing Customers'!$A:$A,$NU$1),0),IFERROR(IF($OE26="SEGMENT",INDEX('Margin Guidence Table'!$A$1:$AG$10000,MATCH(1,('Margin Guidence Table'!$A$1:$A$10000=OC26)*('Margin Guidence Table'!$I$1:$I$10000&lt;=ROUND($NU$3,0))*('Margin Guidence Table'!$J$1:$J$10000&gt;=ROUND($NU$3,0)),0),MATCH("CIA_MEDIAN_MARGIN_GUIDENCE",'Margin Guidence Table'!$A$1:$AG$1,0)),INDEX('Margin Guidence Table'!$A$1:$AG$10000,MATCH(1,('Margin Guidence Table'!$A$1:$A$10000=OC26)*('Margin Guidence Table'!$I$1:$I$10000&lt;=ROUND($NU$3,0))*('Margin Guidence Table'!$J$1:$J$10000&gt;=ROUND($NU$3,0)),0),MATCH("DEFAULT_CIA_MEDIAN_MARGIN_GUIDENCE",'Margin Guidence Table'!$A$1:$AG$1,0))),0)))</f>
        <v>0</v>
      </c>
      <c r="ON26" s="784"/>
      <c r="OO26" s="18">
        <f t="array" ref="OO26">IF('Customer Inputs'!$W$21="End",0,IFERROR(IF($PB26="SEGMENT",INDEX('Margin Guidence Table'!$A$1:$AG$10000,MATCH(1,('Margin Guidence Table'!$A$1:$A$10000=$OZ26)*('Margin Guidence Table'!$I$1:$I$10000&lt;=ROUND($OR$3,0))*('Margin Guidence Table'!$J$1:$J$10000&gt;=ROUND($OR$3,0)),0),MATCH("PCT_SALES",'Margin Guidence Table'!$A$1:$AG$1,0)),INDEX('Margin Guidence Table'!$A$1:$AG$10000,MATCH(1,('Margin Guidence Table'!$A$1:$A$10000=$OZ26)*('Margin Guidence Table'!$I$1:$I$10000&lt;=ROUND($OR$3,0))*('Margin Guidence Table'!$J$1:$J$10000&gt;=ROUND($OR$3,0)),0),MATCH("DEFAULT_PCT_SALES",'Margin Guidence Table'!$A$1:$AG$1,0))),0))</f>
        <v>0</v>
      </c>
      <c r="OP26" s="1713" t="e">
        <f t="shared" si="62"/>
        <v>#DIV/0!</v>
      </c>
      <c r="OQ26" s="99" t="s">
        <v>105</v>
      </c>
      <c r="OR26" s="91">
        <f>IF('Customer Inputs'!$W$21="End",0,IFERROR(IF(AND($OR$2&lt;&gt;"Enter Spend&gt;&gt;&gt;",$OS$2="EXISTING"),SUMIFS('Existing Customers'!$Q:$Q,'Existing Customers'!$A:$A,$OR$1,'Existing Customers'!$H:$H,$OQ26)*$OR$4,$OR$3*$OP26),0))</f>
        <v>0</v>
      </c>
      <c r="OS26" s="86">
        <f>IF('Customer Inputs'!$W$21="End",0,IFERROR(IF(AND($OR$2&lt;&gt;"Enter Spend&gt;&gt;&gt;",$OS$2="EXISTING"),SUMIFS('Existing Customers'!$N:$N,'Existing Customers'!$A:$A,$OR$1,'Existing Customers'!$H:$H,$OQ26)*$OR$4,$OR26/$PC26),0))</f>
        <v>0</v>
      </c>
      <c r="OT26" s="92">
        <f>IF('Customer Inputs'!$W$21="End",0,IFERROR(IF(AND($OR$2&lt;&gt;"Enter Spend&gt;&gt;&gt;",$OS$2="EXISTING"),SUMIFS('Existing Customers'!$O:$O,'Existing Customers'!$H:$H,$OQ26,'Existing Customers'!$A:$A,$OR$1)*$OR$4,$OS26*$OR$8),0))</f>
        <v>0</v>
      </c>
      <c r="OU26" s="92">
        <f>IF('Customer Inputs'!$W$21="End",0,IFERROR(IF(AND($OR$2&lt;&gt;"Enter Spend&gt;&gt;&gt;",$OS$2="EXISTING"),SUMIFS('Existing Customers'!$P:$P,'Existing Customers'!$A:$A,$OR$1,'Existing Customers'!$H:$H,$OQ26)*$OR$4,$OR26/$PD26),0))</f>
        <v>0</v>
      </c>
      <c r="OV26" s="303">
        <f>IF('Customer Inputs'!$W$21="End",0,IFERROR(IF(AND($OR$2&lt;&gt;"Enter Spend&gt;&gt;&gt;",$OS$2="EXISTING"),SUMIFS('Existing Customers'!$V:$V,'Existing Customers'!$H:$H,$OQ26,'Existing Customers'!$A:$A,$OR$1)*$OR$4,0),0))</f>
        <v>0</v>
      </c>
      <c r="OW26" s="93">
        <f>IF('Customer Inputs'!$W$21="End",0,IFERROR(IF(AND($OR$2&lt;&gt;"Enter Spend&gt;&gt;&gt;",$OS$2="EXISTING"),SUMIFS('Existing Customers'!$R:$R,'Existing Customers'!$H:$H,$OP26,'Existing Customers'!$A:$A,$OR$1)*$OR$4,0),0))</f>
        <v>0</v>
      </c>
      <c r="OX26" s="780">
        <f>IF('Customer Inputs'!$W$21="End",0,IFERROR(IF(AND($OR$2&lt;&gt;"Enter Spend&gt;&gt;&gt;",$OS$2="EXISTING"),SUMIFS('Existing Customers'!$S:$S,'Existing Customers'!$H:$H,$OQ26,'Existing Customers'!$A:$A,$OR$1)/SUMIFS('Existing Customers'!$Q:$Q,'Existing Customers'!$A:$A,$OR$1,'Existing Customers'!$H:$H,$OQ26),PH26),0))</f>
        <v>0</v>
      </c>
      <c r="OY26" s="780">
        <f>IF('Customer Inputs'!$W$21="End",0,IFERROR(IF(AND($OR$2&lt;&gt;"Enter Spend&gt;&gt;&gt;",$OS$2="EXISTING"),SUMIFS('Existing Customers'!$U:$U,'Existing Customers'!$H:$H,$OQ26,'Existing Customers'!$A:$A,$OR$1)/SUMIFS('Existing Customers'!$Q:$Q,'Existing Customers'!$A:$A,$OR$1,'Existing Customers'!$H:$H,$OQ26),PI26),0))</f>
        <v>0</v>
      </c>
      <c r="OZ26" s="783" t="e">
        <f>_xlfn.CONCAT('Customer Inputs'!$AH$21,"_",OQ26)</f>
        <v>#N/A</v>
      </c>
      <c r="PA26" s="783">
        <f t="array" ref="PA26">IF('Customer Inputs'!$W$22="End",0,IFERROR(INDEX('Margin Guidence Table'!$A$1:$AG$10000,MATCH(1,('Margin Guidence Table'!$A$1:$A$10000=OZ26)*('Margin Guidence Table'!$I$1:$I$10000&lt;=ROUND($OR$3,0))*('Margin Guidence Table'!$J$1:$J$10000&gt;=ROUND($OR$3,0)),0),MATCH("DATA_POINTS",'Margin Guidence Table'!$A$1:$AG$1,0)),0))</f>
        <v>0</v>
      </c>
      <c r="PB26" s="780" t="str">
        <f t="shared" si="63"/>
        <v>DEFAULT</v>
      </c>
      <c r="PC26" s="780">
        <f t="array" ref="PC26">IF('Customer Inputs'!$W$21="End",0,IFERROR(IF($PB26="SEGMENT",INDEX('Margin Guidence Table'!$A$1:$AG$10000,MATCH(1,('Margin Guidence Table'!$A$1:$A$10000=OZ26)*('Margin Guidence Table'!$I$1:$I$10000&lt;=ROUND($OR$3,0))*('Margin Guidence Table'!$J$1:$J$10000&gt;=ROUND($OR$3,0)),0),MATCH("SALES_CASE",'Margin Guidence Table'!$A$1:$AG$1,0)),INDEX('Margin Guidence Table'!$A$1:$AG$10000,MATCH(1,('Margin Guidence Table'!$A$1:$A$10000=OZ26)*('Margin Guidence Table'!$I$1:$I$10000&lt;=ROUND($OR$3,0))*('Margin Guidence Table'!$J$1:$J$10000&gt;=ROUND($OR$3,0)),0),MATCH("DEFAULT_SALES_CASE",'Margin Guidence Table'!$A$1:$AG$1,0))),0))</f>
        <v>0</v>
      </c>
      <c r="PD26" s="780">
        <f t="array" ref="PD26">IF('Customer Inputs'!$W$21="End",0,IFERROR(IF($PB26="SEGMENT",INDEX('Margin Guidence Table'!$A$1:$AG$10000,MATCH(1,('Margin Guidence Table'!$A$1:$A$10000=OZ26)*('Margin Guidence Table'!$I$1:$I$10000&lt;=ROUND($OR$3,0))*('Margin Guidence Table'!$J$1:$J$10000&gt;=ROUND($OR$3,0)),0),MATCH("SALES_LBS",'Margin Guidence Table'!$A$1:$AG$1,0)),INDEX('Margin Guidence Table'!$A$1:$AG$10000,MATCH(1,('Margin Guidence Table'!$A$1:$A$10000=OZ26)*('Margin Guidence Table'!$I$1:$I$10000&lt;=ROUND($OR$3,0))*('Margin Guidence Table'!$J$1:$J$10000&gt;=ROUND($OR$3,0)),0),MATCH("DEFAULT_SALES_LBS",'Margin Guidence Table'!$A$1:$AG$1,0))),0))</f>
        <v>0</v>
      </c>
      <c r="PE26" s="784">
        <f t="array" ref="PE26">IF('Customer Inputs'!$W$21="End",0,IFERROR(IF($PB26="SEGMENT",INDEX('Margin Guidence Table'!$A$1:$AG$10000,MATCH(1,('Margin Guidence Table'!$A$1:$A$10000=OZ26)*('Margin Guidence Table'!$I$1:$I$10000&lt;=ROUND($OR$3,0))*('Margin Guidence Table'!$J$1:$J$10000&gt;=ROUND($OR$3,0)),0),MATCH("MDA_MIN_MARGIN_GUIDENCE",'Margin Guidence Table'!$A$1:$AG$1,0)),INDEX('Margin Guidence Table'!$A$1:$AG$10000,MATCH(1,('Margin Guidence Table'!$A$1:$A$10000=OZ26)*('Margin Guidence Table'!$I$1:$I$10000&lt;=ROUND($OR$3,0))*('Margin Guidence Table'!$J$1:$J$10000&gt;=ROUND($OR$3,0)),0),MATCH("DEFAULT_MDA_MIN_MARGIN_GUIDENCE",'Margin Guidence Table'!$A$1:$AG$1,0))),0))</f>
        <v>0</v>
      </c>
      <c r="PF26" s="784">
        <f t="array" ref="PF26">IF('Customer Inputs'!$W$21="End",0,IFERROR(IF($PB26="SEGMENT",INDEX('Margin Guidence Table'!$A$1:$AG$10000,MATCH(1,('Margin Guidence Table'!$A$1:$A$10000=OZ26)*('Margin Guidence Table'!$I$1:$I$10000&lt;=ROUND($OR$3,0))*('Margin Guidence Table'!$J$1:$J$10000&gt;=ROUND($OR$3,0)),0),MATCH("MDA_MEDIAN_MARGIN_GUIDENCE",'Margin Guidence Table'!$A$1:$AG$1,0)),INDEX('Margin Guidence Table'!$A$1:$AG$10000,MATCH(1,('Margin Guidence Table'!$A$1:$A$10000=OZ26)*('Margin Guidence Table'!$I$1:$I$10000&lt;=ROUND($OR$3,0))*('Margin Guidence Table'!$J$1:$J$10000&gt;=ROUND($OR$3,0)),0),MATCH("DEFAULT_MDA_MEDIAN_MARGIN_GUIDENCE",'Margin Guidence Table'!$A$1:$AG$1,0))),0))</f>
        <v>0</v>
      </c>
      <c r="PG26" s="784">
        <f t="array" ref="PG26">IF('Customer Inputs'!$W$21="End",0,IFERROR(IF($PB26="SEGMENT",INDEX('Margin Guidence Table'!$A$1:$AG$10000,MATCH(1,('Margin Guidence Table'!$A$1:$A$10000=OZ26)*('Margin Guidence Table'!$I$1:$I$10000&lt;=ROUND($OR$3,0))*('Margin Guidence Table'!$J$1:$J$10000&gt;=ROUND($OR$3,0)),0),MATCH("MDA_MAX_MARGIN_GUIDENCE",'Margin Guidence Table'!$A$1:$AG$1,0)),INDEX('Margin Guidence Table'!$A$1:$AG$10000,MATCH(1,('Margin Guidence Table'!$A$1:$A$10000=OZ26)*('Margin Guidence Table'!$I$1:$I$10000&lt;=ROUND($OR$3,0))*('Margin Guidence Table'!$J$1:$J$10000&gt;=ROUND($OR$3,0)),0),MATCH("DEFAULT_MDA_MAX_MARGIN_GUIDENCE",'Margin Guidence Table'!$A$1:$AG$1,0))),0))</f>
        <v>0</v>
      </c>
      <c r="PH26" s="784">
        <f t="array" ref="PH26">IF('Customer Inputs'!$W$21="End",0,IFERROR(IF($PB26="SEGMENT",INDEX('Margin Guidence Table'!$A$1:$AG$10000,MATCH(1,('Margin Guidence Table'!$A$1:$A$10000=OZ26)*('Margin Guidence Table'!$I$1:$I$10000&lt;=ROUND($OR$3,0))*('Margin Guidence Table'!$J$1:$J$10000&gt;=ROUND($OR$3,0)),0),MATCH("PA_PCT_SALES",'Margin Guidence Table'!$A$1:$AG$1,0)),INDEX('Margin Guidence Table'!$A$1:$AG$10000,MATCH(1,('Margin Guidence Table'!$A$1:$A$10000=OZ26)*('Margin Guidence Table'!$I$1:$I$10000&lt;=ROUND($OR$3,0))*('Margin Guidence Table'!$J$1:$J$10000&gt;=ROUND($OR$3,0)),0),MATCH("DEFAULT_PA_PCT_SALES",'Margin Guidence Table'!$A$1:$AG$1,0))),0))</f>
        <v>0</v>
      </c>
      <c r="PI26" s="784">
        <f t="array" ref="PI26">IF('Customer Inputs'!$W$21="End",0,IFERROR(IF($PB26="SEGMENT",INDEX('Margin Guidence Table'!$A$1:$AG$10000,MATCH(1,('Margin Guidence Table'!$A$1:$A$10000=OZ26)*('Margin Guidence Table'!$I$1:$I$10000&lt;=ROUND($OR$3,0))*('Margin Guidence Table'!$J$1:$J$10000&gt;=ROUND($OR$3,0)),0),MATCH("SELF_FUND_PCT_SALES",'Margin Guidence Table'!$A$1:$AG$1,0)),INDEX('Margin Guidence Table'!$A$1:$AG$10000,MATCH(1,('Margin Guidence Table'!$A$1:$A$10000=OZ26)*('Margin Guidence Table'!$I$1:$I$10000&lt;=ROUND($OR$3,0))*('Margin Guidence Table'!$J$1:$J$10000&gt;=ROUND($OR$3,0)),0),MATCH("DEFAULT_SELF_FUND_PCT_SALES",'Margin Guidence Table'!$A$1:$AG$1,0))),0))</f>
        <v>0</v>
      </c>
      <c r="PJ26" s="784">
        <f t="array" ref="PJ26">IF('Customer Inputs'!$W$21="End",0,IF($OS$2="Existing",IFERROR(SUMIFS('Existing Customers'!$V:$V,'Existing Customers'!$H:$H,$OQ26,'Existing Customers'!$A:$A,$OR$1)/SUMIFS('Existing Customers'!$Q:$Q,'Existing Customers'!$H:$H,$OQ26,'Existing Customers'!$A:$A,$OR$1),0),IFERROR(IF($PB26="SEGMENT",INDEX('Margin Guidence Table'!$A$1:$AG$10000,MATCH(1,('Margin Guidence Table'!$A$1:$A$10000=OZ26)*('Margin Guidence Table'!$I$1:$I$10000&lt;=ROUND($OR$3,0))*('Margin Guidence Table'!$J$1:$J$10000&gt;=ROUND($OR$3,0)),0),MATCH("CIA_MEDIAN_MARGIN_GUIDENCE",'Margin Guidence Table'!$A$1:$AG$1,0)),INDEX('Margin Guidence Table'!$A$1:$AG$10000,MATCH(1,('Margin Guidence Table'!$A$1:$A$10000=OZ26)*('Margin Guidence Table'!$I$1:$I$10000&lt;=ROUND($OR$3,0))*('Margin Guidence Table'!$J$1:$J$10000&gt;=ROUND($OR$3,0)),0),MATCH("DEFAULT_CIA_MEDIAN_MARGIN_GUIDENCE",'Margin Guidence Table'!$A$1:$AG$1,0))),0)))</f>
        <v>0</v>
      </c>
      <c r="PK26" s="784"/>
      <c r="PL26" s="18">
        <f t="array" ref="PL26">IF('Customer Inputs'!$W$22="End",0,IFERROR(IF($PY26="SEGMENT",INDEX('Margin Guidence Table'!$A$1:$AG$10000,MATCH(1,('Margin Guidence Table'!$A$1:$A$10000=$PW26)*('Margin Guidence Table'!$I$1:$I$10000&lt;=ROUND($PO$3,0))*('Margin Guidence Table'!$J$1:$J$10000&gt;=ROUND($PO$3,0)),0),MATCH("PCT_SALES",'Margin Guidence Table'!$A$1:$AG$1,0)),INDEX('Margin Guidence Table'!$A$1:$AG$10000,MATCH(1,('Margin Guidence Table'!$A$1:$A$10000=$PW26)*('Margin Guidence Table'!$I$1:$I$10000&lt;=ROUND($PO$3,0))*('Margin Guidence Table'!$J$1:$J$10000&gt;=ROUND($PO$3,0)),0),MATCH("DEFAULT_PCT_SALES",'Margin Guidence Table'!$A$1:$AG$1,0))),0))</f>
        <v>0</v>
      </c>
      <c r="PM26" s="1713" t="e">
        <f t="shared" si="64"/>
        <v>#DIV/0!</v>
      </c>
      <c r="PN26" s="99" t="s">
        <v>105</v>
      </c>
      <c r="PO26" s="91">
        <f>IF('Customer Inputs'!$W$22="End",0,IFERROR(IF(AND($PO$2&lt;&gt;"Enter Spend&gt;&gt;&gt;",$PP$2="EXISTING"),SUMIFS('Existing Customers'!$Q:$Q,'Existing Customers'!$A:$A,$PO$1,'Existing Customers'!$H:$H,$PN26)*$PO$4,$PO$3*$PM26),0))</f>
        <v>0</v>
      </c>
      <c r="PP26" s="86">
        <f>IF('Customer Inputs'!$W$22="End",0,IFERROR(IF(AND($PO$2&lt;&gt;"Enter Spend&gt;&gt;&gt;",$PP$2="EXISTING"),SUMIFS('Existing Customers'!$N:$N,'Existing Customers'!$A:$A,$PO$1,'Existing Customers'!$H:$H,$PN26)*$PO$4,$PO26/$PZ26),0))</f>
        <v>0</v>
      </c>
      <c r="PQ26" s="92">
        <f>IF('Customer Inputs'!$W$22="End",0,IFERROR(IF(AND($PO$2&lt;&gt;"Enter Spend&gt;&gt;&gt;",$PP$2="EXISTING"),SUMIFS('Existing Customers'!$O:$O,'Existing Customers'!$H:$H,$PN26,'Existing Customers'!$A:$A,$PO$1)*$PO$4,$PP26*$PO$8),0))</f>
        <v>0</v>
      </c>
      <c r="PR26" s="92">
        <f>IF('Customer Inputs'!$W$22="End",0,IFERROR(IF(AND($PO$2&lt;&gt;"Enter Spend&gt;&gt;&gt;",$PP$2="EXISTING"),SUMIFS('Existing Customers'!$P:$P,'Existing Customers'!$A:$A,$PO$1,'Existing Customers'!$H:$H,$PN26)*$PO$4,$PO26/$QA26),0))</f>
        <v>0</v>
      </c>
      <c r="PS26" s="303">
        <f>IF('Customer Inputs'!$W$22="End",0,IFERROR(IF(AND($PO$2&lt;&gt;"Enter Spend&gt;&gt;&gt;",$PP$2="EXISTING"),SUMIFS('Existing Customers'!$V:$V,'Existing Customers'!$H:$H,$PN26,'Existing Customers'!$A:$A,$PO$1)*$PO$4,0),0))</f>
        <v>0</v>
      </c>
      <c r="PT26" s="93">
        <f>IF('Customer Inputs'!$W$22="End",0,IFERROR(IF(AND($PO$2&lt;&gt;"Enter Spend&gt;&gt;&gt;",$PP$2="EXISTING"),SUMIFS('Existing Customers'!$R:$R,'Existing Customers'!$H:$H,$PN26,'Existing Customers'!$A:$A,$PO$1)*$PO$4,0),0))</f>
        <v>0</v>
      </c>
      <c r="PU26" s="780">
        <f>IF('Customer Inputs'!$W$22="End",0,IFERROR(IF(AND($PO$2&lt;&gt;"Enter Spend&gt;&gt;&gt;",$PP$2="EXISTING"),SUMIFS('Existing Customers'!$S:$S,'Existing Customers'!$H:$H,$PN26,'Existing Customers'!$A:$A,$PO$1)/SUMIFS('Existing Customers'!$Q:$Q,'Existing Customers'!$A:$A,$PO$1,'Existing Customers'!$H:$H,$PN26),QE26),0))</f>
        <v>0</v>
      </c>
      <c r="PV26" s="780">
        <f>IF('Customer Inputs'!$W$22="End",0,IFERROR(IF(AND($PO$2&lt;&gt;"Enter Spend&gt;&gt;&gt;",$PP$2="EXISTING"),SUMIFS('Existing Customers'!$U:$U,'Existing Customers'!$H:$H,$PN26,'Existing Customers'!$A:$A,$PO$1)/SUMIFS('Existing Customers'!$Q:$Q,'Existing Customers'!$A:$A,$PO$1,'Existing Customers'!$H:$H,$PN26),QF26),0))</f>
        <v>0</v>
      </c>
      <c r="PW26" s="783" t="e">
        <f>_xlfn.CONCAT('Customer Inputs'!$AH$22,"_",PN26)</f>
        <v>#N/A</v>
      </c>
      <c r="PX26" s="783">
        <f t="array" ref="PX26">IF('Customer Inputs'!$W$22="End",0,IFERROR(INDEX('Margin Guidence Table'!$A$1:$AG$10000,MATCH(1,('Margin Guidence Table'!$A$1:$A$10000=PW26)*('Margin Guidence Table'!$I$1:$I$10000&lt;=ROUND($PO$3,0))*('Margin Guidence Table'!$J$1:$J$10000&gt;=ROUND($PO$3,0)),0),MATCH("DATA_POINTS",'Margin Guidence Table'!$A$1:$AG$1,0)),0))</f>
        <v>0</v>
      </c>
      <c r="PY26" s="780" t="str">
        <f t="shared" si="65"/>
        <v>DEFAULT</v>
      </c>
      <c r="PZ26" s="780">
        <f t="array" ref="PZ26">IF('Customer Inputs'!$W$22="End",0,IFERROR(IF($PY26="SEGMENT",INDEX('Margin Guidence Table'!$A$1:$AG$10000,MATCH(1,('Margin Guidence Table'!$A$1:$A$10000=PW26)*('Margin Guidence Table'!$I$1:$I$10000&lt;=ROUND($PO$3,0))*('Margin Guidence Table'!$J$1:$J$10000&gt;=ROUND($PO$3,0)),0),MATCH("SALES_CASE",'Margin Guidence Table'!$A$1:$AG$1,0)),INDEX('Margin Guidence Table'!$A$1:$AG$10000,MATCH(1,('Margin Guidence Table'!$A$1:$A$10000=PW26)*('Margin Guidence Table'!$I$1:$I$10000&lt;=ROUND($PO$3,0))*('Margin Guidence Table'!$J$1:$J$10000&gt;=ROUND($PO$3,0)),0),MATCH("DEFAULT_SALES_CASE",'Margin Guidence Table'!$A$1:$AG$1,0))),0))</f>
        <v>0</v>
      </c>
      <c r="QA26" s="780">
        <f t="array" ref="QA26">IF('Customer Inputs'!$W$22="End",0,IFERROR(IF($PY26="SEGMENT",INDEX('Margin Guidence Table'!$A$1:$AG$10000,MATCH(1,('Margin Guidence Table'!$A$1:$A$10000=PW26)*('Margin Guidence Table'!$I$1:$I$10000&lt;=ROUND($PO$3,0))*('Margin Guidence Table'!$J$1:$J$10000&gt;=ROUND($PO$3,0)),0),MATCH("SALES_LBS",'Margin Guidence Table'!$A$1:$AG$1,0)),INDEX('Margin Guidence Table'!$A$1:$AG$10000,MATCH(1,('Margin Guidence Table'!$A$1:$A$10000=PW26)*('Margin Guidence Table'!$I$1:$I$10000&lt;=ROUND($PO$3,0))*('Margin Guidence Table'!$J$1:$J$10000&gt;=ROUND($PO$3,0)),0),MATCH("DEFAULT_SALES_LBS",'Margin Guidence Table'!$A$1:$AG$1,0))),0))</f>
        <v>0</v>
      </c>
      <c r="QB26" s="784">
        <f t="array" ref="QB26">IF('Customer Inputs'!$W$22="End",0,IFERROR(IF($PY26="SEGMENT",INDEX('Margin Guidence Table'!$A$1:$AG$10000,MATCH(1,('Margin Guidence Table'!$A$1:$A$10000=PW26)*('Margin Guidence Table'!$I$1:$I$10000&lt;=ROUND($PO$3,0))*('Margin Guidence Table'!$J$1:$J$10000&gt;=ROUND($PO$3,0)),0),MATCH("MDA_MIN_MARGIN_GUIDENCE",'Margin Guidence Table'!$A$1:$AG$1,0)),INDEX('Margin Guidence Table'!$A$1:$AG$10000,MATCH(1,('Margin Guidence Table'!$A$1:$A$10000=PW26)*('Margin Guidence Table'!$I$1:$I$10000&lt;=ROUND($PO$3,0))*('Margin Guidence Table'!$J$1:$J$10000&gt;=ROUND($PO$3,0)),0),MATCH("DEFAULT_MDA_MIN_MARGIN_GUIDENCE",'Margin Guidence Table'!$A$1:$AG$1,0))),0))</f>
        <v>0</v>
      </c>
      <c r="QC26" s="784">
        <f t="array" ref="QC26">IF('Customer Inputs'!$W$22="End",0,IFERROR(IF($PY26="SEGMENT",INDEX('Margin Guidence Table'!$A$1:$AG$10000,MATCH(1,('Margin Guidence Table'!$A$1:$A$10000=PW26)*('Margin Guidence Table'!$I$1:$I$10000&lt;=ROUND($PO$3,0))*('Margin Guidence Table'!$J$1:$J$10000&gt;=ROUND($PO$3,0)),0),MATCH("MDA_MEDIAN_MARGIN_GUIDENCE",'Margin Guidence Table'!$A$1:$AG$1,0)),INDEX('Margin Guidence Table'!$A$1:$AG$10000,MATCH(1,('Margin Guidence Table'!$A$1:$A$10000=PW26)*('Margin Guidence Table'!$I$1:$I$10000&lt;=ROUND($PO$3,0))*('Margin Guidence Table'!$J$1:$J$10000&gt;=ROUND($PO$3,0)),0),MATCH("DEFAULT_MDA_MEDIAN_MARGIN_GUIDENCE",'Margin Guidence Table'!$A$1:$AG$1,0))),0))</f>
        <v>0</v>
      </c>
      <c r="QD26" s="784">
        <f t="array" ref="QD26">IF('Customer Inputs'!$W$22="End",0,IFERROR(IF($PY26="SEGMENT",INDEX('Margin Guidence Table'!$A$1:$AG$10000,MATCH(1,('Margin Guidence Table'!$A$1:$A$10000=PW26)*('Margin Guidence Table'!$I$1:$I$10000&lt;=ROUND($PO$3,0))*('Margin Guidence Table'!$J$1:$J$10000&gt;=ROUND($PO$3,0)),0),MATCH("MDA_MAX_MARGIN_GUIDENCE",'Margin Guidence Table'!$A$1:$AG$1,0)),INDEX('Margin Guidence Table'!$A$1:$AG$10000,MATCH(1,('Margin Guidence Table'!$A$1:$A$10000=PW26)*('Margin Guidence Table'!$I$1:$I$10000&lt;=ROUND($PO$3,0))*('Margin Guidence Table'!$J$1:$J$10000&gt;=ROUND($PO$3,0)),0),MATCH("DEFAULT_MDA_MAX_MARGIN_GUIDENCE",'Margin Guidence Table'!$A$1:$AG$1,0))),0))</f>
        <v>0</v>
      </c>
      <c r="QE26" s="784">
        <f t="array" ref="QE26">IF('Customer Inputs'!$W$22="End",0,IFERROR(IF($PY26="SEGMENT",INDEX('Margin Guidence Table'!$A$1:$AG$10000,MATCH(1,('Margin Guidence Table'!$A$1:$A$10000=PW26)*('Margin Guidence Table'!$I$1:$I$10000&lt;=ROUND($PO$3,0))*('Margin Guidence Table'!$J$1:$J$10000&gt;=ROUND($PO$3,0)),0),MATCH("PA_PCT_SALES",'Margin Guidence Table'!$A$1:$AG$1,0)),INDEX('Margin Guidence Table'!$A$1:$AG$10000,MATCH(1,('Margin Guidence Table'!$A$1:$A$10000=PW26)*('Margin Guidence Table'!$I$1:$I$10000&lt;=ROUND($PO$3,0))*('Margin Guidence Table'!$J$1:$J$10000&gt;=ROUND($PO$3,0)),0),MATCH("DEFAULT_PA_PCT_SALES",'Margin Guidence Table'!$A$1:$AG$1,0))),0))</f>
        <v>0</v>
      </c>
      <c r="QF26" s="784">
        <f t="array" ref="QF26">IF('Customer Inputs'!$W$22="End",0,IFERROR(IF($PY26="SEGMENT",INDEX('Margin Guidence Table'!$A$1:$AG$10000,MATCH(1,('Margin Guidence Table'!$A$1:$A$10000=PW26)*('Margin Guidence Table'!$I$1:$I$10000&lt;=ROUND($PO$3,0))*('Margin Guidence Table'!$J$1:$J$10000&gt;=ROUND($PO$3,0)),0),MATCH("SELF_FUND_PCT_SALES",'Margin Guidence Table'!$A$1:$AG$1,0)),INDEX('Margin Guidence Table'!$A$1:$AG$10000,MATCH(1,('Margin Guidence Table'!$A$1:$A$10000=PW26)*('Margin Guidence Table'!$I$1:$I$10000&lt;=ROUND($PO$3,0))*('Margin Guidence Table'!$J$1:$J$10000&gt;=ROUND($PO$3,0)),0),MATCH("DEFAULT_SELF_FUND_PCT_SALES",'Margin Guidence Table'!$A$1:$AG$1,0))),0))</f>
        <v>0</v>
      </c>
      <c r="QG26" s="784">
        <f t="array" ref="QG26">IF('Customer Inputs'!$W$22="End",0,IF($PP$2="Existing",IFERROR(SUMIFS('Existing Customers'!$V:$V,'Existing Customers'!$H:$H,$PN26,'Existing Customers'!$A:$A,$PO$1)/SUMIFS('Existing Customers'!$Q:$Q,'Existing Customers'!$H:$H,$PN26,'Existing Customers'!$A:$A,$PO$1),0),IFERROR(IF($PY26="SEGMENT",INDEX('Margin Guidence Table'!$A$1:$AG$10000,MATCH(1,('Margin Guidence Table'!$A$1:$A$10000=PW26)*('Margin Guidence Table'!$I$1:$I$10000&lt;=ROUND($PO$3,0))*('Margin Guidence Table'!$J$1:$J$10000&gt;=ROUND($PO$3,0)),0),MATCH("CIA_MEDIAN_MARGIN_GUIDENCE",'Margin Guidence Table'!$A$1:$AG$1,0)),INDEX('Margin Guidence Table'!$A$1:$AG$10000,MATCH(1,('Margin Guidence Table'!$A$1:$A$10000=PW26)*('Margin Guidence Table'!$I$1:$I$10000&lt;=ROUND($PO$3,0))*('Margin Guidence Table'!$J$1:$J$10000&gt;=ROUND($PO$3,0)),0),MATCH("DEFAULT_CIA_MEDIAN_MARGIN_GUIDENCE",'Margin Guidence Table'!$A$1:$AG$1,0))),0)))</f>
        <v>0</v>
      </c>
      <c r="QH26" s="784"/>
      <c r="QI26" s="18">
        <f t="array" ref="QI26">IF('Customer Inputs'!$W$23="End",0,IFERROR(IF($QV26="SEGMENT",INDEX('Margin Guidence Table'!$A$1:$AG$10000,MATCH(1,('Margin Guidence Table'!$A$1:$A$10000=$QT26)*('Margin Guidence Table'!$I$1:$I$10000&lt;=ROUND($QL$3,0))*('Margin Guidence Table'!$J$1:$J$10000&gt;=ROUND($QL$3,0)),0),MATCH("PCT_SALES",'Margin Guidence Table'!$A$1:$AG$1,0)),INDEX('Margin Guidence Table'!$A$1:$AG$10000,MATCH(1,('Margin Guidence Table'!$A$1:$A$10000=$QT26)*('Margin Guidence Table'!$I$1:$I$10000&lt;=ROUND($QL$3,0))*('Margin Guidence Table'!$J$1:$J$10000&gt;=ROUND($QL$3,0)),0),MATCH("DEFAULT_PCT_SALES",'Margin Guidence Table'!$A$1:$AG$1,0))),0))</f>
        <v>0</v>
      </c>
      <c r="QJ26" s="1713" t="e">
        <f t="shared" si="66"/>
        <v>#DIV/0!</v>
      </c>
      <c r="QK26" s="99" t="s">
        <v>105</v>
      </c>
      <c r="QL26" s="91">
        <f>IF('Customer Inputs'!$W$23="End",0,IFERROR(IF(AND($QL$2&lt;&gt;"Enter Spend&gt;&gt;&gt;",$QM$2="EXISTING"),SUMIFS('Existing Customers'!$Q:$Q,'Existing Customers'!$A:$A,$QL$1,'Existing Customers'!$H:$H,$QK26)*$QL$4,$QL$3*$QJ26),0))</f>
        <v>0</v>
      </c>
      <c r="QM26" s="86">
        <f>IF('Customer Inputs'!$W$23="End",0,IFERROR(IF(AND($QL$2&lt;&gt;"Enter Spend&gt;&gt;&gt;",$QM$2="EXISTING"),SUMIFS('Existing Customers'!$N:$N,'Existing Customers'!$A:$A,$QL$1,'Existing Customers'!$H:$H,$QK26)*$QL$4,$QL26/$QW26),0))</f>
        <v>0</v>
      </c>
      <c r="QN26" s="92">
        <f>IF('Customer Inputs'!$W$23="End",0,IFERROR(IF(AND($QL$2&lt;&gt;"Enter Spend&gt;&gt;&gt;",$QM$2="EXISTING"),SUMIFS('Existing Customers'!$O:$O,'Existing Customers'!$H:$H,$QK26,'Existing Customers'!$A:$A,$QL$1)*$QL$4,$QM26*$QL$8),0))</f>
        <v>0</v>
      </c>
      <c r="QO26" s="92">
        <f>IF('Customer Inputs'!$W$23="End",0,IFERROR(IF(AND($QL$2&lt;&gt;"Enter Spend&gt;&gt;&gt;",$QM$2="EXISTING"),SUMIFS('Existing Customers'!$P:$P,'Existing Customers'!$A:$A,$QL$1,'Existing Customers'!$H:$H,$QK26)*$QL$4,$QL26/$QX26),0))</f>
        <v>0</v>
      </c>
      <c r="QP26" s="303">
        <f>IF('Customer Inputs'!$W$23="End",0,IFERROR(IF(AND($QL$2&lt;&gt;"Enter Spend&gt;&gt;&gt;",$QM$2="EXISTING"),SUMIFS('Existing Customers'!$V:$V,'Existing Customers'!$H:$H,$QK26,'Existing Customers'!$A:$A,$QL$1)*$QL$4,0),0))</f>
        <v>0</v>
      </c>
      <c r="QQ26" s="93">
        <f>IF('Customer Inputs'!$W$23="End",0,IFERROR(IF(AND($QL$2&lt;&gt;"Enter Spend&gt;&gt;&gt;",$QM$2="EXISTING"),SUMIFS('Existing Customers'!$R:$R,'Existing Customers'!$H:$H,$QK26,'Existing Customers'!$A:$A,$QL$1)*$QL$4,0),0))</f>
        <v>0</v>
      </c>
      <c r="QR26" s="780">
        <f>IF('Customer Inputs'!$W$23="End",0,IFERROR(IF(AND($QL$2&lt;&gt;"Enter Spend&gt;&gt;&gt;",$QM$2="EXISTING"),SUMIFS('Existing Customers'!$S:$S,'Existing Customers'!$H:$H,$QK26,'Existing Customers'!$A:$A,$QL$1)/SUMIFS('Existing Customers'!$Q:$Q,'Existing Customers'!$A:$A,$QL$1,'Existing Customers'!$H:$H,$QK26),RB26),0))</f>
        <v>0</v>
      </c>
      <c r="QS26" s="780">
        <f>IF('Customer Inputs'!$W$23="End",0,IFERROR(IF(AND($QL$2&lt;&gt;"Enter Spend&gt;&gt;&gt;",$QM$2="EXISTING"),SUMIFS('Existing Customers'!$U:$U,'Existing Customers'!$H:$H,$QK26,'Existing Customers'!$A:$A,$QL$1)/SUMIFS('Existing Customers'!$Q:$Q,'Existing Customers'!$A:$A,$QL$1,'Existing Customers'!$H:$H,$QK26),RC26),0))</f>
        <v>0</v>
      </c>
      <c r="QT26" s="783" t="e">
        <f>_xlfn.CONCAT('Customer Inputs'!$AH$23,"_",QK26)</f>
        <v>#N/A</v>
      </c>
      <c r="QU26" s="783">
        <f t="array" ref="QU26">IF('Customer Inputs'!$W$23="End",0,IFERROR(INDEX('Margin Guidence Table'!$A$1:$AG$10000,MATCH(1,('Margin Guidence Table'!$A$1:$A$10000=QT26)*('Margin Guidence Table'!$I$1:$I$10000&lt;=ROUND($QL$3,0))*('Margin Guidence Table'!$J$1:$J$10000&gt;=ROUND($QL$3,0)),0),MATCH("DATA_POINTS",'Margin Guidence Table'!$A$1:$AG$1,0)),0))</f>
        <v>0</v>
      </c>
      <c r="QV26" s="780" t="str">
        <f t="shared" si="67"/>
        <v>DEFAULT</v>
      </c>
      <c r="QW26" s="780">
        <f t="array" ref="QW26">IF('Customer Inputs'!$W$23="End",0,IFERROR(IF($QV26="SEGMENT",INDEX('Margin Guidence Table'!$A$1:$AG$10000,MATCH(1,('Margin Guidence Table'!$A$1:$A$10000=QT26)*('Margin Guidence Table'!$I$1:$I$10000&lt;=ROUND($QL$3,0))*('Margin Guidence Table'!$J$1:$J$10000&gt;=ROUND($QL$3,0)),0),MATCH("SALES_CASE",'Margin Guidence Table'!$A$1:$AG$1,0)),INDEX('Margin Guidence Table'!$A$1:$AG$10000,MATCH(1,('Margin Guidence Table'!$A$1:$A$10000=QT26)*('Margin Guidence Table'!$I$1:$I$10000&lt;=ROUND($QL$3,0))*('Margin Guidence Table'!$J$1:$J$10000&gt;=ROUND($QL$3,0)),0),MATCH("DEFAULT_SALES_CASE",'Margin Guidence Table'!$A$1:$AG$1,0))),0))</f>
        <v>0</v>
      </c>
      <c r="QX26" s="780">
        <f t="array" ref="QX26">IF('Customer Inputs'!$W$23="End",0,IFERROR(IF($QV26="SEGMENT",INDEX('Margin Guidence Table'!$A$1:$AG$10000,MATCH(1,('Margin Guidence Table'!$A$1:$A$10000=QT26)*('Margin Guidence Table'!$I$1:$I$10000&lt;=ROUND($QL$3,0))*('Margin Guidence Table'!$J$1:$J$10000&gt;=ROUND($QL$3,0)),0),MATCH("SALES_LBS",'Margin Guidence Table'!$A$1:$AG$1,0)),INDEX('Margin Guidence Table'!$A$1:$AG$10000,MATCH(1,('Margin Guidence Table'!$A$1:$A$10000=QT26)*('Margin Guidence Table'!$I$1:$I$10000&lt;=ROUND($QL$3,0))*('Margin Guidence Table'!$J$1:$J$10000&gt;=ROUND($QL$3,0)),0),MATCH("DEFAULT_SALES_LBS",'Margin Guidence Table'!$A$1:$AG$1,0))),0))</f>
        <v>0</v>
      </c>
      <c r="QY26" s="784">
        <f t="array" ref="QY26">IF('Customer Inputs'!$W$23="End",0,IFERROR(IF($QV26="SEGMENT",INDEX('Margin Guidence Table'!$A$1:$AG$10000,MATCH(1,('Margin Guidence Table'!$A$1:$A$10000=QT26)*('Margin Guidence Table'!$I$1:$I$10000&lt;=ROUND($QL$3,0))*('Margin Guidence Table'!$J$1:$J$10000&gt;=ROUND($QL$3,0)),0),MATCH("MDA_MIN_MARGIN_GUIDENCE",'Margin Guidence Table'!$A$1:$AG$1,0)),INDEX('Margin Guidence Table'!$A$1:$AG$10000,MATCH(1,('Margin Guidence Table'!$A$1:$A$10000=QT26)*('Margin Guidence Table'!$I$1:$I$10000&lt;=ROUND($QL$3,0))*('Margin Guidence Table'!$J$1:$J$10000&gt;=ROUND($QL$3,0)),0),MATCH("DEFAULT_MDA_MIN_MARGIN_GUIDENCE",'Margin Guidence Table'!$A$1:$AG$1,0))),0))</f>
        <v>0</v>
      </c>
      <c r="QZ26" s="784">
        <f t="array" ref="QZ26">IF('Customer Inputs'!$W$23="End",0,IFERROR(IF($QV26="SEGMENT",INDEX('Margin Guidence Table'!$A$1:$AG$10000,MATCH(1,('Margin Guidence Table'!$A$1:$A$10000=QT26)*('Margin Guidence Table'!$I$1:$I$10000&lt;=ROUND($QL$3,0))*('Margin Guidence Table'!$J$1:$J$10000&gt;=ROUND($QL$3,0)),0),MATCH("MDA_MEDIAN_MARGIN_GUIDENCE",'Margin Guidence Table'!$A$1:$AG$1,0)),INDEX('Margin Guidence Table'!$A$1:$AG$10000,MATCH(1,('Margin Guidence Table'!$A$1:$A$10000=QT26)*('Margin Guidence Table'!$I$1:$I$10000&lt;=ROUND($QL$3,0))*('Margin Guidence Table'!$J$1:$J$10000&gt;=ROUND($QL$3,0)),0),MATCH("DEFAULT_MDA_MEDIAN_MARGIN_GUIDENCE",'Margin Guidence Table'!$A$1:$AG$1,0))),0))</f>
        <v>0</v>
      </c>
      <c r="RA26" s="784">
        <f t="array" ref="RA26">IF('Customer Inputs'!$W$23="End",0,IFERROR(IF($QV26="SEGMENT",INDEX('Margin Guidence Table'!$A$1:$AG$10000,MATCH(1,('Margin Guidence Table'!$A$1:$A$10000=QT26)*('Margin Guidence Table'!$I$1:$I$10000&lt;=ROUND($QL$3,0))*('Margin Guidence Table'!$J$1:$J$10000&gt;=ROUND($QL$3,0)),0),MATCH("MDA_MAX_MARGIN_GUIDENCE",'Margin Guidence Table'!$A$1:$AG$1,0)),INDEX('Margin Guidence Table'!$A$1:$AG$10000,MATCH(1,('Margin Guidence Table'!$A$1:$A$10000=QT26)*('Margin Guidence Table'!$I$1:$I$10000&lt;=ROUND($QL$3,0))*('Margin Guidence Table'!$J$1:$J$10000&gt;=ROUND($QL$3,0)),0),MATCH("DEFAULT_MDA_MAX_MARGIN_GUIDENCE",'Margin Guidence Table'!$A$1:$AG$1,0))),0))</f>
        <v>0</v>
      </c>
      <c r="RB26" s="784">
        <f t="array" ref="RB26">IF('Customer Inputs'!$W$23="End",0,IFERROR(IF($QV26="SEGMENT",INDEX('Margin Guidence Table'!$A$1:$AG$10000,MATCH(1,('Margin Guidence Table'!$A$1:$A$10000=QT26)*('Margin Guidence Table'!$I$1:$I$10000&lt;=ROUND($QL$3,0))*('Margin Guidence Table'!$J$1:$J$10000&gt;=ROUND($QL$3,0)),0),MATCH("PA_PCT_SALES",'Margin Guidence Table'!$A$1:$AG$1,0)),INDEX('Margin Guidence Table'!$A$1:$AG$10000,MATCH(1,('Margin Guidence Table'!$A$1:$A$10000=QT26)*('Margin Guidence Table'!$I$1:$I$10000&lt;=ROUND($QL$3,0))*('Margin Guidence Table'!$J$1:$J$10000&gt;=ROUND($QL$3,0)),0),MATCH("DEFAULT_PA_PCT_SALES",'Margin Guidence Table'!$A$1:$AG$1,0))),0))</f>
        <v>0</v>
      </c>
      <c r="RC26" s="784">
        <f t="array" ref="RC26">IF('Customer Inputs'!$W$23="End",0,IFERROR(IF($QV26="SEGMENT",INDEX('Margin Guidence Table'!$A$1:$AG$10000,MATCH(1,('Margin Guidence Table'!$A$1:$A$10000=QT26)*('Margin Guidence Table'!$I$1:$I$10000&lt;=ROUND($QL$3,0))*('Margin Guidence Table'!$J$1:$J$10000&gt;=ROUND($QL$3,0)),0),MATCH("SELF_FUND_PCT_SALES",'Margin Guidence Table'!$A$1:$AG$1,0)),INDEX('Margin Guidence Table'!$A$1:$AG$10000,MATCH(1,('Margin Guidence Table'!$A$1:$A$10000=QT26)*('Margin Guidence Table'!$I$1:$I$10000&lt;=ROUND($QL$3,0))*('Margin Guidence Table'!$J$1:$J$10000&gt;=ROUND($QL$3,0)),0),MATCH("DEFAULT_SELF_FUND_PCT_SALES",'Margin Guidence Table'!$A$1:$AG$1,0))),0))</f>
        <v>0</v>
      </c>
      <c r="RD26" s="784">
        <f t="array" ref="RD26">IF('Customer Inputs'!$W$23="End",0,IF($QM$2="Existing",IFERROR(SUMIFS('Existing Customers'!$V:$V,'Existing Customers'!$H:$H,$QK26,'Existing Customers'!$A:$A,$QL$1)/SUMIFS('Existing Customers'!$Q:$Q,'Existing Customers'!$H:$H,$QK26,'Existing Customers'!$A:$A,$QL$1),0),IFERROR(IF($QV26="SEGMENT",INDEX('Margin Guidence Table'!$A$1:$AG$10000,MATCH(1,('Margin Guidence Table'!$A$1:$A$10000=QT26)*('Margin Guidence Table'!$I$1:$I$10000&lt;=ROUND($QL$3,0))*('Margin Guidence Table'!$J$1:$J$10000&gt;=ROUND($QL$3,0)),0),MATCH("CIA_MEDIAN_MARGIN_GUIDENCE",'Margin Guidence Table'!$A$1:$AG$1,0)),INDEX('Margin Guidence Table'!$A$1:$AG$10000,MATCH(1,('Margin Guidence Table'!$A$1:$A$10000=QT26)*('Margin Guidence Table'!$I$1:$I$10000&lt;=ROUND($QL$3,0))*('Margin Guidence Table'!$J$1:$J$10000&gt;=ROUND($QL$3,0)),0),MATCH("DEFAULT_CIA_MEDIAN_MARGIN_GUIDENCE",'Margin Guidence Table'!$A$1:$AG$1,0))),0)))</f>
        <v>0</v>
      </c>
      <c r="RE26" s="784"/>
      <c r="RF26" s="18">
        <f t="array" ref="RF26">IF('Customer Inputs'!$W$24="End",0,IFERROR(IF($RS26="SEGMENT",INDEX('Margin Guidence Table'!$A$1:$AG$10000,MATCH(1,('Margin Guidence Table'!$A$1:$A$10000=$RQ26)*('Margin Guidence Table'!$I$1:$I$10000&lt;=ROUND($RI$3,0))*('Margin Guidence Table'!$J$1:$J$10000&gt;=ROUND($RI$3,0)),0),MATCH("PCT_SALES",'Margin Guidence Table'!$A$1:$AG$1,0)),INDEX('Margin Guidence Table'!$A$1:$AG$10000,MATCH(1,('Margin Guidence Table'!$A$1:$A$10000=$RQ26)*('Margin Guidence Table'!$I$1:$I$10000&lt;=ROUND($RI$3,0))*('Margin Guidence Table'!$J$1:$J$10000&gt;=ROUND($RI$3,0)),0),MATCH("DEFAULT_PCT_SALES",'Margin Guidence Table'!$A$1:$AG$1,0))),0))</f>
        <v>0</v>
      </c>
      <c r="RG26" s="1713" t="e">
        <f t="shared" si="68"/>
        <v>#DIV/0!</v>
      </c>
      <c r="RH26" s="99" t="s">
        <v>105</v>
      </c>
      <c r="RI26" s="91">
        <f>IF('Customer Inputs'!$W$24="End",0,IFERROR(IF(AND($RI$2&lt;&gt;"Enter Spend&gt;&gt;&gt;",$RJ$2="EXISTING"),SUMIFS('Existing Customers'!$Q:$Q,'Existing Customers'!$A:$A,$RI$1,'Existing Customers'!$H:$H,$RH26)*$RI$4,$RI$3*$RG26),0))</f>
        <v>0</v>
      </c>
      <c r="RJ26" s="86">
        <f>IF('Customer Inputs'!$W$24="End",0,IFERROR(IF(AND($RI$2&lt;&gt;"Enter Spend&gt;&gt;&gt;",$RJ$2="EXISTING"),SUMIFS('Existing Customers'!$N:$N,'Existing Customers'!$A:$A,$RI$1,'Existing Customers'!$H:$H,$RH26)*$RI$4,$RI26/$RT26),0))</f>
        <v>0</v>
      </c>
      <c r="RK26" s="92">
        <f>IF('Customer Inputs'!$W$24="End",0,IFERROR(IF(AND($RI$2&lt;&gt;"Enter Spend&gt;&gt;&gt;",$RJ$2="EXISTING"),SUMIFS('Existing Customers'!$O:$O,'Existing Customers'!$H:$H,$RH26,'Existing Customers'!$A:$A,$RI$1)*$RI$4,$RJ26*$RI$8),0))</f>
        <v>0</v>
      </c>
      <c r="RL26" s="92">
        <f>IF('Customer Inputs'!$W$24="End",0,IFERROR(IF(AND($RI$2&lt;&gt;"Enter Spend&gt;&gt;&gt;",$RJ$2="EXISTING"),SUMIFS('Existing Customers'!$P:$P,'Existing Customers'!$A:$A,$RI$1,'Existing Customers'!$H:$H,$RH26)*$RI$4,$RI26/$RU26),0))</f>
        <v>0</v>
      </c>
      <c r="RM26" s="303">
        <f>IF('Customer Inputs'!$W$24="End",0,IFERROR(IF(AND($RI$2&lt;&gt;"Enter Spend&gt;&gt;&gt;",$RJ$2="EXISTING"),SUMIFS('Existing Customers'!$V:$V,'Existing Customers'!$H:$H,$RH26,'Existing Customers'!$A:$A,$RI$1)*$RI$4,0),0))</f>
        <v>0</v>
      </c>
      <c r="RN26" s="93">
        <f>IF('Customer Inputs'!$W$24="End",0,IFERROR(IF(AND($RI$2&lt;&gt;"Enter Spend&gt;&gt;&gt;",$RJ$2="EXISTING"),SUMIFS('Existing Customers'!$R:$R,'Existing Customers'!$H:$H,$RH26,'Existing Customers'!$A:$A,$RI$1)*$RI$4,0),0))</f>
        <v>0</v>
      </c>
      <c r="RO26" s="780">
        <f>IF('Customer Inputs'!$W$24="End",0,IFERROR(IF(AND($RI$2&lt;&gt;"Enter Spend&gt;&gt;&gt;",$RJ$2="EXISTING"),SUMIFS('Existing Customers'!$S:$S,'Existing Customers'!$H:$H,$RH26,'Existing Customers'!$A:$A,$RI$1)/SUMIFS('Existing Customers'!$Q:$Q,'Existing Customers'!$A:$A,$RI$1,'Existing Customers'!$H:$H,$RH26),RY26),0))</f>
        <v>0</v>
      </c>
      <c r="RP26" s="780">
        <f>IF('Customer Inputs'!$W$24="End",0,IFERROR(IF(AND($RI$2&lt;&gt;"Enter Spend&gt;&gt;&gt;",$RJ$2="EXISTING"),SUMIFS('Existing Customers'!$U:$U,'Existing Customers'!$H:$H,$RH26,'Existing Customers'!$A:$A,$RI$1)/SUMIFS('Existing Customers'!$Q:$Q,'Existing Customers'!$A:$A,$RI$1,'Existing Customers'!$H:$H,$RH26),RZ26),0))</f>
        <v>0</v>
      </c>
      <c r="RQ26" s="783" t="e">
        <f>_xlfn.CONCAT('Customer Inputs'!$AH$24,"_",RH26)</f>
        <v>#N/A</v>
      </c>
      <c r="RR26" s="783">
        <f t="array" ref="RR26">IF('Customer Inputs'!$W$24="End",0,IFERROR(INDEX('Margin Guidence Table'!$A$1:$AG$10000,MATCH(1,('Margin Guidence Table'!$A$1:$A$10000=RQ26)*('Margin Guidence Table'!$I$1:$I$10000&lt;=ROUND($RI$3,0))*('Margin Guidence Table'!$J$1:$J$10000&gt;=ROUND($RI$3,0)),0),MATCH("DATA_POINTS",'Margin Guidence Table'!$A$1:$AG$1,0)),0))</f>
        <v>0</v>
      </c>
      <c r="RS26" s="780" t="str">
        <f t="shared" si="69"/>
        <v>DEFAULT</v>
      </c>
      <c r="RT26" s="780">
        <f t="array" ref="RT26">IF('Customer Inputs'!$W$24="End",0,IFERROR(IF($RS26="SEGMENT",INDEX('Margin Guidence Table'!$A$1:$AG$10000,MATCH(1,('Margin Guidence Table'!$A$1:$A$10000=RQ26)*('Margin Guidence Table'!$I$1:$I$10000&lt;=ROUND($RI$3,0))*('Margin Guidence Table'!$J$1:$J$10000&gt;=ROUND($RI$3,0)),0),MATCH("SALES_CASE",'Margin Guidence Table'!$A$1:$AG$1,0)),INDEX('Margin Guidence Table'!$A$1:$AG$10000,MATCH(1,('Margin Guidence Table'!$A$1:$A$10000=RQ26)*('Margin Guidence Table'!$I$1:$I$10000&lt;=ROUND($RI$3,0))*('Margin Guidence Table'!$J$1:$J$10000&gt;=ROUND($RI$3,0)),0),MATCH("DEFAULT_SALES_CASE",'Margin Guidence Table'!$A$1:$AG$1,0))),0))</f>
        <v>0</v>
      </c>
      <c r="RU26" s="780">
        <f t="array" ref="RU26">IF('Customer Inputs'!$W$24="End",0,IFERROR(IF($RS26="SEGMENT",INDEX('Margin Guidence Table'!$A$1:$AG$10000,MATCH(1,('Margin Guidence Table'!$A$1:$A$10000=RQ26)*('Margin Guidence Table'!$I$1:$I$10000&lt;=ROUND($RI$3,0))*('Margin Guidence Table'!$J$1:$J$10000&gt;=ROUND($RI$3,0)),0),MATCH("SALES_LBS",'Margin Guidence Table'!$A$1:$AG$1,0)),INDEX('Margin Guidence Table'!$A$1:$AG$10000,MATCH(1,('Margin Guidence Table'!$A$1:$A$10000=RQ26)*('Margin Guidence Table'!$I$1:$I$10000&lt;=ROUND($RI$3,0))*('Margin Guidence Table'!$J$1:$J$10000&gt;=ROUND($RI$3,0)),0),MATCH("DEFAULT_SALES_LBS",'Margin Guidence Table'!$A$1:$AG$1,0))),0))</f>
        <v>0</v>
      </c>
      <c r="RV26" s="784">
        <f t="array" ref="RV26">IF('Customer Inputs'!$W$24="End",0,IFERROR(IF($RS26="SEGMENT",INDEX('Margin Guidence Table'!$A$1:$AG$10000,MATCH(1,('Margin Guidence Table'!$A$1:$A$10000=RQ26)*('Margin Guidence Table'!$I$1:$I$10000&lt;=ROUND($RI$3,0))*('Margin Guidence Table'!$J$1:$J$10000&gt;=ROUND($RI$3,0)),0),MATCH("MDA_MIN_MARGIN_GUIDENCE",'Margin Guidence Table'!$A$1:$AG$1,0)),INDEX('Margin Guidence Table'!$A$1:$AG$10000,MATCH(1,('Margin Guidence Table'!$A$1:$A$10000=RQ26)*('Margin Guidence Table'!$I$1:$I$10000&lt;=ROUND($RI$3,0))*('Margin Guidence Table'!$J$1:$J$10000&gt;=ROUND($RI$3,0)),0),MATCH("DEFAULT_MDA_MIN_MARGIN_GUIDENCE",'Margin Guidence Table'!$A$1:$AG$1,0))),0))</f>
        <v>0</v>
      </c>
      <c r="RW26" s="784">
        <f t="array" ref="RW26">IF('Customer Inputs'!$W$24="End",0,IFERROR(IF($RS26="SEGMENT",INDEX('Margin Guidence Table'!$A$1:$AG$10000,MATCH(1,('Margin Guidence Table'!$A$1:$A$10000=RQ26)*('Margin Guidence Table'!$I$1:$I$10000&lt;=ROUND($RI$3,0))*('Margin Guidence Table'!$J$1:$J$10000&gt;=ROUND($RI$3,0)),0),MATCH("MDA_MEDIAN_MARGIN_GUIDENCE",'Margin Guidence Table'!$A$1:$AG$1,0)),INDEX('Margin Guidence Table'!$A$1:$AG$10000,MATCH(1,('Margin Guidence Table'!$A$1:$A$10000=RQ26)*('Margin Guidence Table'!$I$1:$I$10000&lt;=ROUND($RI$3,0))*('Margin Guidence Table'!$J$1:$J$10000&gt;=ROUND($RI$3,0)),0),MATCH("DEFAULT_MDA_MEDIAN_MARGIN_GUIDENCE",'Margin Guidence Table'!$A$1:$AG$1,0))),0))</f>
        <v>0</v>
      </c>
      <c r="RX26" s="784">
        <f t="array" ref="RX26">IF('Customer Inputs'!$W$24="End",0,IFERROR(IF($RS26="SEGMENT",INDEX('Margin Guidence Table'!$A$1:$AG$10000,MATCH(1,('Margin Guidence Table'!$A$1:$A$10000=RQ26)*('Margin Guidence Table'!$I$1:$I$10000&lt;=ROUND($RI$3,0))*('Margin Guidence Table'!$J$1:$J$10000&gt;=ROUND($RI$3,0)),0),MATCH("MDA_MAX_MARGIN_GUIDENCE",'Margin Guidence Table'!$A$1:$AG$1,0)),INDEX('Margin Guidence Table'!$A$1:$AG$10000,MATCH(1,('Margin Guidence Table'!$A$1:$A$10000=RQ26)*('Margin Guidence Table'!$I$1:$I$10000&lt;=ROUND($RI$3,0))*('Margin Guidence Table'!$J$1:$J$10000&gt;=ROUND($RI$3,0)),0),MATCH("DEFAULT_MDA_MAX_MARGIN_GUIDENCE",'Margin Guidence Table'!$A$1:$AG$1,0))),0))</f>
        <v>0</v>
      </c>
      <c r="RY26" s="784">
        <f t="array" ref="RY26">IF('Customer Inputs'!$W$24="End",0,IFERROR(IF($RS26="SEGMENT",INDEX('Margin Guidence Table'!$A$1:$AG$10000,MATCH(1,('Margin Guidence Table'!$A$1:$A$10000=RQ26)*('Margin Guidence Table'!$I$1:$I$10000&lt;=ROUND($RI$3,0))*('Margin Guidence Table'!$J$1:$J$10000&gt;=ROUND($RI$3,0)),0),MATCH("PA_PCT_SALES",'Margin Guidence Table'!$A$1:$AG$1,0)),INDEX('Margin Guidence Table'!$A$1:$AG$10000,MATCH(1,('Margin Guidence Table'!$A$1:$A$10000=RQ26)*('Margin Guidence Table'!$I$1:$I$10000&lt;=ROUND($RI$3,0))*('Margin Guidence Table'!$J$1:$J$10000&gt;=ROUND($RI$3,0)),0),MATCH("DEFAULT_PA_PCT_SALES",'Margin Guidence Table'!$A$1:$AG$1,0))),0))</f>
        <v>0</v>
      </c>
      <c r="RZ26" s="784">
        <f t="array" ref="RZ26">IF('Customer Inputs'!$W$24="End",0,IFERROR(IF($RS26="SEGMENT",INDEX('Margin Guidence Table'!$A$1:$AG$10000,MATCH(1,('Margin Guidence Table'!$A$1:$A$10000=RQ26)*('Margin Guidence Table'!$I$1:$I$10000&lt;=ROUND($RI$3,0))*('Margin Guidence Table'!$J$1:$J$10000&gt;=ROUND($RI$3,0)),0),MATCH("SELF_FUND_PCT_SALES",'Margin Guidence Table'!$A$1:$AG$1,0)),INDEX('Margin Guidence Table'!$A$1:$AG$10000,MATCH(1,('Margin Guidence Table'!$A$1:$A$10000=RQ26)*('Margin Guidence Table'!$I$1:$I$10000&lt;=ROUND($RI$3,0))*('Margin Guidence Table'!$J$1:$J$10000&gt;=ROUND($RI$3,0)),0),MATCH("DEFAULT_SELF_FUND_PCT_SALES",'Margin Guidence Table'!$A$1:$AG$1,0))),0))</f>
        <v>0</v>
      </c>
      <c r="SA26" s="784">
        <f t="array" ref="SA26">IF('Customer Inputs'!$W$24="End",0,IF($RJ$2="Existing",IFERROR(SUMIFS('Existing Customers'!$V:$V,'Existing Customers'!$H:$H,$RH26,'Existing Customers'!$A:$A,$RI$1)/SUMIFS('Existing Customers'!$Q:$Q,'Existing Customers'!$H:$H,$RH26,'Existing Customers'!$A:$A,$RI$1),0),IFERROR(IF($RS26="SEGMENT",INDEX('Margin Guidence Table'!$A$1:$AG$10000,MATCH(1,('Margin Guidence Table'!$A$1:$A$10000=RQ26)*('Margin Guidence Table'!$I$1:$I$10000&lt;=ROUND($RI$3,0))*('Margin Guidence Table'!$J$1:$J$10000&gt;=ROUND($RI$3,0)),0),MATCH("CIA_MEDIAN_MARGIN_GUIDENCE",'Margin Guidence Table'!$A$1:$AG$1,0)),INDEX('Margin Guidence Table'!$A$1:$AG$10000,MATCH(1,('Margin Guidence Table'!$A$1:$A$10000=RQ26)*('Margin Guidence Table'!$I$1:$I$10000&lt;=ROUND($RI$3,0))*('Margin Guidence Table'!$J$1:$J$10000&gt;=ROUND($RI$3,0)),0),MATCH("DEFAULT_CIA_MEDIAN_MARGIN_GUIDENCE",'Margin Guidence Table'!$A$1:$AG$1,0))),0)))</f>
        <v>0</v>
      </c>
      <c r="SB26" s="784"/>
      <c r="SC26" s="18">
        <f t="array" ref="SC26">IF('Customer Inputs'!$W$25="End",0,IFERROR(IF($SP26="SEGMENT",INDEX('Margin Guidence Table'!$A$1:$AG$10000,MATCH(1,('Margin Guidence Table'!$A$1:$A$10000=$SN26)*('Margin Guidence Table'!$I$1:$I$10000&lt;=ROUND($SF$3,0))*('Margin Guidence Table'!$J$1:$J$10000&gt;=ROUND($SF$3,0)),0),MATCH("PCT_SALES",'Margin Guidence Table'!$A$1:$AG$1,0)),INDEX('Margin Guidence Table'!$A$1:$AG$10000,MATCH(1,('Margin Guidence Table'!$A$1:$A$10000=$SN26)*('Margin Guidence Table'!$I$1:$I$10000&lt;=ROUND($SF$3,0))*('Margin Guidence Table'!$J$1:$J$10000&gt;=ROUND($SF$3,0)),0),MATCH("DEFAULT_PCT_SALES",'Margin Guidence Table'!$A$1:$AG$1,0))),0))</f>
        <v>0</v>
      </c>
      <c r="SD26" s="1713" t="e">
        <f t="shared" si="70"/>
        <v>#DIV/0!</v>
      </c>
      <c r="SE26" s="99" t="s">
        <v>105</v>
      </c>
      <c r="SF26" s="91">
        <f>IF('Customer Inputs'!$W$25="End",0,IFERROR(IF(AND($SF$2&lt;&gt;"Enter Spend&gt;&gt;&gt;",$SG$2="EXISTING"),SUMIFS('Existing Customers'!$Q:$Q,'Existing Customers'!$A:$A,$SF$1,'Existing Customers'!$H:$H,$SE26)*$SF$4,$SF$3*$SD26),0))</f>
        <v>0</v>
      </c>
      <c r="SG26" s="86">
        <f>IF('Customer Inputs'!$W$25="End",0,IFERROR(IF(AND($SF$2&lt;&gt;"Enter Spend&gt;&gt;&gt;",$SG$2="EXISTING"),SUMIFS('Existing Customers'!$N:$N,'Existing Customers'!$A:$A,$SF$1,'Existing Customers'!$H:$H,$SE26)*$SF$4,$SF26/$SQ26),0))</f>
        <v>0</v>
      </c>
      <c r="SH26" s="92">
        <f>IF('Customer Inputs'!$W$25="End",0,IFERROR(IF(AND($SF$2&lt;&gt;"Enter Spend&gt;&gt;&gt;",$SG$2="EXISTING"),SUMIFS('Existing Customers'!$O:$O,'Existing Customers'!$H:$H,$SE26,'Existing Customers'!$A:$A,$SF$1)*$SF$4,$SG26*$SF$8),0))</f>
        <v>0</v>
      </c>
      <c r="SI26" s="92">
        <f>IF('Customer Inputs'!$W$25="End",0,IFERROR(IF(AND($SF$2&lt;&gt;"Enter Spend&gt;&gt;&gt;",$SG$2="EXISTING"),SUMIFS('Existing Customers'!$P:$P,'Existing Customers'!$A:$A,$SF$1,'Existing Customers'!$H:$H,$SE26)*$SF$4,$SF26/$SR26),0))</f>
        <v>0</v>
      </c>
      <c r="SJ26" s="303">
        <f>IF('Customer Inputs'!$W$25="End",0,IFERROR(IF(AND($SF$2&lt;&gt;"Enter Spend&gt;&gt;&gt;",$SG$2="EXISTING"),SUMIFS('Existing Customers'!$V:$V,'Existing Customers'!$H:$H,$SE26,'Existing Customers'!$A:$A,$SF$1)*$SF$4,0),0))</f>
        <v>0</v>
      </c>
      <c r="SK26" s="93">
        <f>IF('Customer Inputs'!$W$25="End",0,IFERROR(IF(AND($SF$2&lt;&gt;"Enter Spend&gt;&gt;&gt;",$SG$2="EXISTING"),SUMIFS('Existing Customers'!$R:$R,'Existing Customers'!$H:$H,$SE26,'Existing Customers'!$A:$A,$SF$1)*$SF$4,0),0))</f>
        <v>0</v>
      </c>
      <c r="SL26" s="780">
        <f>IF('Customer Inputs'!$W$25="End",0,IFERROR(IF(AND($SF$2&lt;&gt;"Enter Spend&gt;&gt;&gt;",$SG$2="EXISTING"),SUMIFS('Existing Customers'!$S:$S,'Existing Customers'!$H:$H,$SE26,'Existing Customers'!$A:$A,$SF$1)/SUMIFS('Existing Customers'!$Q:$Q,'Existing Customers'!$A:$A,$SF$1,'Existing Customers'!$H:$H,$SE26),SV26),0))</f>
        <v>0</v>
      </c>
      <c r="SM26" s="780">
        <f>IF('Customer Inputs'!$W$25="End",0,IFERROR(IF(AND($SF$2&lt;&gt;"Enter Spend&gt;&gt;&gt;",$SG$2="EXISTING"),SUMIFS('Existing Customers'!$U:$U,'Existing Customers'!$H:$H,$SE26,'Existing Customers'!$A:$A,$SF$1)/SUMIFS('Existing Customers'!$Q:$Q,'Existing Customers'!$A:$A,$SF$1,'Existing Customers'!$H:$H,$SE26),SW26),0))</f>
        <v>0</v>
      </c>
      <c r="SN26" s="783" t="e">
        <f>_xlfn.CONCAT('Customer Inputs'!$AH$25,"_",SE26)</f>
        <v>#N/A</v>
      </c>
      <c r="SO26" s="783">
        <f t="array" ref="SO26">IF('Customer Inputs'!$W$25="End",0,IFERROR(INDEX('Margin Guidence Table'!$A$1:$AG$10000,MATCH(1,('Margin Guidence Table'!$A$1:$A$10000=SN26)*('Margin Guidence Table'!$I$1:$I$10000&lt;=ROUND($SF$3,0))*('Margin Guidence Table'!$J$1:$J$10000&gt;=ROUND($SF$3,0)),0),MATCH("DATA_POINTS",'Margin Guidence Table'!$A$1:$AG$1,0)),0))</f>
        <v>0</v>
      </c>
      <c r="SP26" s="780" t="str">
        <f t="shared" si="71"/>
        <v>DEFAULT</v>
      </c>
      <c r="SQ26" s="780">
        <f t="array" ref="SQ26">IF('Customer Inputs'!$W$25="End",0,IFERROR(IF($SP26="SEGMENT",INDEX('Margin Guidence Table'!$A$1:$AG$10000,MATCH(1,('Margin Guidence Table'!$A$1:$A$10000=SN26)*('Margin Guidence Table'!$I$1:$I$10000&lt;=ROUND($SF$3,0))*('Margin Guidence Table'!$J$1:$J$10000&gt;=ROUND($SF$3,0)),0),MATCH("SALES_CASE",'Margin Guidence Table'!$A$1:$AG$1,0)),INDEX('Margin Guidence Table'!$A$1:$AG$10000,MATCH(1,('Margin Guidence Table'!$A$1:$A$10000=SN26)*('Margin Guidence Table'!$I$1:$I$10000&lt;=ROUND($SF$3,0))*('Margin Guidence Table'!$J$1:$J$10000&gt;=ROUND($SF$3,0)),0),MATCH("DEFAULT_SALES_CASE",'Margin Guidence Table'!$A$1:$AG$1,0))),0))</f>
        <v>0</v>
      </c>
      <c r="SR26" s="780">
        <f t="array" ref="SR26">IF('Customer Inputs'!$W$25="End",0,IFERROR(IF($SP26="SEGMENT",INDEX('Margin Guidence Table'!$A$1:$AG$10000,MATCH(1,('Margin Guidence Table'!$A$1:$A$10000=SN26)*('Margin Guidence Table'!$I$1:$I$10000&lt;=ROUND($SF$3,0))*('Margin Guidence Table'!$J$1:$J$10000&gt;=ROUND($SF$3,0)),0),MATCH("SALES_LBS",'Margin Guidence Table'!$A$1:$AG$1,0)),INDEX('Margin Guidence Table'!$A$1:$AG$10000,MATCH(1,('Margin Guidence Table'!$A$1:$A$10000=SN26)*('Margin Guidence Table'!$I$1:$I$10000&lt;=ROUND($SF$3,0))*('Margin Guidence Table'!$J$1:$J$10000&gt;=ROUND($SF$3,0)),0),MATCH("DEFAULT_SALES_LBS",'Margin Guidence Table'!$A$1:$AG$1,0))),0))</f>
        <v>0</v>
      </c>
      <c r="SS26" s="784">
        <f t="array" ref="SS26">IF('Customer Inputs'!$W$25="End",0,IFERROR(IF($SP26="SEGMENT",INDEX('Margin Guidence Table'!$A$1:$AG$10000,MATCH(1,('Margin Guidence Table'!$A$1:$A$10000=SN26)*('Margin Guidence Table'!$I$1:$I$10000&lt;=ROUND($SF$3,0))*('Margin Guidence Table'!$J$1:$J$10000&gt;=ROUND($SF$3,0)),0),MATCH("MDA_MIN_MARGIN_GUIDENCE",'Margin Guidence Table'!$A$1:$AG$1,0)),INDEX('Margin Guidence Table'!$A$1:$AG$10000,MATCH(1,('Margin Guidence Table'!$A$1:$A$10000=SN26)*('Margin Guidence Table'!$I$1:$I$10000&lt;=ROUND($SF$3,0))*('Margin Guidence Table'!$J$1:$J$10000&gt;=ROUND($SF$3,0)),0),MATCH("DEFAULT_MDA_MIN_MARGIN_GUIDENCE",'Margin Guidence Table'!$A$1:$AG$1,0))),0))</f>
        <v>0</v>
      </c>
      <c r="ST26" s="784">
        <f t="array" ref="ST26">IF('Customer Inputs'!$W$25="End",0,IFERROR(IF($SP26="SEGMENT",INDEX('Margin Guidence Table'!$A$1:$AG$10000,MATCH(1,('Margin Guidence Table'!$A$1:$A$10000=SN26)*('Margin Guidence Table'!$I$1:$I$10000&lt;=ROUND($SF$3,0))*('Margin Guidence Table'!$J$1:$J$10000&gt;=ROUND($SF$3,0)),0),MATCH("MDA_MEDIAN_MARGIN_GUIDENCE",'Margin Guidence Table'!$A$1:$AG$1,0)),INDEX('Margin Guidence Table'!$A$1:$AG$10000,MATCH(1,('Margin Guidence Table'!$A$1:$A$10000=SN26)*('Margin Guidence Table'!$I$1:$I$10000&lt;=ROUND($SF$3,0))*('Margin Guidence Table'!$J$1:$J$10000&gt;=ROUND($SF$3,0)),0),MATCH("DEFAULT_MDA_MEDIAN_MARGIN_GUIDENCE",'Margin Guidence Table'!$A$1:$AG$1,0))),0))</f>
        <v>0</v>
      </c>
      <c r="SU26" s="784">
        <f t="array" ref="SU26">IF('Customer Inputs'!$W$25="End",0,IFERROR(IF($SP26="SEGMENT",INDEX('Margin Guidence Table'!$A$1:$AG$10000,MATCH(1,('Margin Guidence Table'!$A$1:$A$10000=SN26)*('Margin Guidence Table'!$I$1:$I$10000&lt;=ROUND($SF$3,0))*('Margin Guidence Table'!$J$1:$J$10000&gt;=ROUND($SF$3,0)),0),MATCH("MDA_MAX_MARGIN_GUIDENCE",'Margin Guidence Table'!$A$1:$AG$1,0)),INDEX('Margin Guidence Table'!$A$1:$AG$10000,MATCH(1,('Margin Guidence Table'!$A$1:$A$10000=SN26)*('Margin Guidence Table'!$I$1:$I$10000&lt;=ROUND($SF$3,0))*('Margin Guidence Table'!$J$1:$J$10000&gt;=ROUND($SF$3,0)),0),MATCH("DEFAULT_MDA_MAX_MARGIN_GUIDENCE",'Margin Guidence Table'!$A$1:$AG$1,0))),0))</f>
        <v>0</v>
      </c>
      <c r="SV26" s="784">
        <f t="array" ref="SV26">IF('Customer Inputs'!$W$25="End",0,IFERROR(IF($SP26="SEGMENT",INDEX('Margin Guidence Table'!$A$1:$AG$10000,MATCH(1,('Margin Guidence Table'!$A$1:$A$10000=SN26)*('Margin Guidence Table'!$I$1:$I$10000&lt;=ROUND($SF$3,0))*('Margin Guidence Table'!$J$1:$J$10000&gt;=ROUND($SF$3,0)),0),MATCH("PA_PCT_SALES",'Margin Guidence Table'!$A$1:$AG$1,0)),INDEX('Margin Guidence Table'!$A$1:$AG$10000,MATCH(1,('Margin Guidence Table'!$A$1:$A$10000=SN26)*('Margin Guidence Table'!$I$1:$I$10000&lt;=ROUND($SF$3,0))*('Margin Guidence Table'!$J$1:$J$10000&gt;=ROUND($SF$3,0)),0),MATCH("DEFAULT_PA_PCT_SALES",'Margin Guidence Table'!$A$1:$AG$1,0))),0))</f>
        <v>0</v>
      </c>
      <c r="SW26" s="784">
        <f t="array" ref="SW26">IF('Customer Inputs'!$W$25="End",0,IFERROR(IF($SP26="SEGMENT",INDEX('Margin Guidence Table'!$A$1:$AG$10000,MATCH(1,('Margin Guidence Table'!$A$1:$A$10000=SN26)*('Margin Guidence Table'!$I$1:$I$10000&lt;=ROUND($SF$3,0))*('Margin Guidence Table'!$J$1:$J$10000&gt;=ROUND($SF$3,0)),0),MATCH("SELF_FUND_PCT_SALES",'Margin Guidence Table'!$A$1:$AG$1,0)),INDEX('Margin Guidence Table'!$A$1:$AG$10000,MATCH(1,('Margin Guidence Table'!$A$1:$A$10000=SN26)*('Margin Guidence Table'!$I$1:$I$10000&lt;=ROUND($SF$3,0))*('Margin Guidence Table'!$J$1:$J$10000&gt;=ROUND($SF$3,0)),0),MATCH("DEFAULT_SELF_FUND_PCT_SALES",'Margin Guidence Table'!$A$1:$AG$1,0))),0))</f>
        <v>0</v>
      </c>
      <c r="SX26" s="784">
        <f t="array" ref="SX26">IF('Customer Inputs'!$W$25="End",0,IF($SG$2="Existing",IFERROR(SUMIFS('Existing Customers'!$V:$V,'Existing Customers'!$H:$H,$SE26,'Existing Customers'!$A:$A,$SF$1)/SUMIFS('Existing Customers'!$Q:$Q,'Existing Customers'!$H:$H,$SE26,'Existing Customers'!$A:$A,$SF$1),0),IFERROR(IF($SP26="SEGMENT",INDEX('Margin Guidence Table'!$A$1:$AG$10000,MATCH(1,('Margin Guidence Table'!$A$1:$A$10000=SN26)*('Margin Guidence Table'!$I$1:$I$10000&lt;=ROUND($SF$3,0))*('Margin Guidence Table'!$J$1:$J$10000&gt;=ROUND($SF$3,0)),0),MATCH("CIA_MEDIAN_MARGIN_GUIDENCE",'Margin Guidence Table'!$A$1:$AG$1,0)),INDEX('Margin Guidence Table'!$A$1:$AG$10000,MATCH(1,('Margin Guidence Table'!$A$1:$A$10000=SN26)*('Margin Guidence Table'!$I$1:$I$10000&lt;=ROUND($SF$3,0))*('Margin Guidence Table'!$J$1:$J$10000&gt;=ROUND($SF$3,0)),0),MATCH("DEFAULT_CIA_MEDIAN_MARGIN_GUIDENCE",'Margin Guidence Table'!$A$1:$AG$1,0))),0)))</f>
        <v>0</v>
      </c>
      <c r="SY26" s="784"/>
      <c r="SZ26" s="1705"/>
      <c r="TA26" s="99" t="s">
        <v>105</v>
      </c>
      <c r="TB26" s="94"/>
      <c r="TC26" s="86"/>
      <c r="TD26" s="86"/>
      <c r="TE26" s="86"/>
      <c r="TF26" s="111"/>
      <c r="TG26" s="95"/>
      <c r="TH26" s="126"/>
      <c r="TI26" s="1705"/>
      <c r="TJ26" s="99" t="s">
        <v>105</v>
      </c>
      <c r="TK26" s="94"/>
      <c r="TL26" s="86"/>
      <c r="TM26" s="86"/>
      <c r="TN26" s="86"/>
      <c r="TO26" s="111"/>
      <c r="TP26" s="95"/>
      <c r="TQ26" s="1705"/>
      <c r="TR26" s="1705"/>
    </row>
    <row r="27" spans="1:538" ht="15.75" thickBot="1" x14ac:dyDescent="0.3">
      <c r="A27" s="1705"/>
      <c r="B27" s="99" t="s">
        <v>92</v>
      </c>
      <c r="C27" s="346">
        <f t="shared" si="0"/>
        <v>0</v>
      </c>
      <c r="D27" s="358">
        <f t="shared" si="1"/>
        <v>0</v>
      </c>
      <c r="E27" s="358">
        <f t="shared" si="2"/>
        <v>0</v>
      </c>
      <c r="F27" s="358">
        <f t="shared" si="3"/>
        <v>0</v>
      </c>
      <c r="G27" s="1428">
        <f t="shared" si="4"/>
        <v>0</v>
      </c>
      <c r="H27" s="1428">
        <f t="shared" si="5"/>
        <v>0</v>
      </c>
      <c r="I27" s="359">
        <f t="shared" si="6"/>
        <v>0</v>
      </c>
      <c r="J27" s="358">
        <f t="shared" si="7"/>
        <v>0</v>
      </c>
      <c r="K27" s="778">
        <f t="shared" si="8"/>
        <v>0</v>
      </c>
      <c r="L27" s="778">
        <f t="shared" si="9"/>
        <v>0</v>
      </c>
      <c r="M27" s="778">
        <f t="shared" si="10"/>
        <v>0</v>
      </c>
      <c r="N27" s="1428">
        <f>IF('PIM Model'!D23="$/CS",IFERROR(ROUND(SUM(BX27*$BV$35+CU27*$CS$35+DR27*$DP$35+EO27*$EM$35+FL27*$FJ$35+GI27*$GG$35+HF27*$HD$35+IC27*$IA$35+IZ27*$IX$35+JW27*$JU$35+KT27*$KR$35+LQ27*$LO$35+MN27*$ML$35+NK27*$NI$35+OH27*$OF$35+PE27*$PC$35+QB27*$PZ$35+QY27*$QW$35+RV27*$RT$35+SS27*$SQ$35)/$G$35,2),0),IF('PIM Model'!D23="$/LB",IFERROR(ROUND(SUM(BX27*$BW$35+CU27*$CT$35+DR27*$DQ$35+EO27*$EN$35+FL27*$FK$35+GI27*$GH$35+HF27*$HE$35+IC27*$IB$35+IZ27*$IY$35+JW27*$JV$35+KT27*$KS$35+LQ27*$LP$35+MN27*$MM$35+NK27*$NJ$35+OH27*$OG$35+PE27*$PD$35+QB27*$QA$35+QY27*$QX$35+RV27*$RU$35+SS27*$SR$35)/$H$35,2),0),0))</f>
        <v>0</v>
      </c>
      <c r="O27" s="1428">
        <f>IF('PIM Model'!D23="$/CS",IFERROR(ROUND(SUM(BY27*$BV$35+CV27*$CS$35+DS27*$DP$35+EP27*$EM$35+FM27*$FJ$35+GJ27*$GG$35+HG27*$HD$35+ID27*$IA$35+JA27*$IX$35+JX27*$JU$35+KU27*$KR$35+LR27*$LO$35+MO27*$ML$35+NL27*$NI$35+OI27*$OF$35+PF27*$PC$35+QC27*$PZ$35+QZ27*$QW$35+RW27*$RT$35+ST27*$SQ$35)/$G$35,2),0),IF('PIM Model'!D23="$/LB",IFERROR(ROUND(SUM(BY27*$BW$35+CV27*$CT$35+DS27*$DQ$35+EP27*$EN$35+FM27*$FK$35+GJ27*$GH$35+HG27*$HE$35+ID27*$IB$35+JA27*$IY$35+JX27*$JV$35+KU27*$KS$35+LR27*$LP$35+MO27*$MM$35+NL27*$NJ$35+OI27*$OG$35+PF27*$PD$35+QC27*$QA$35+QZ27*$QX$35+RW27*$RU$35+ST27*$SR$35)/$H$35,2),0),0))</f>
        <v>0</v>
      </c>
      <c r="P27" s="1428">
        <f>IF('PIM Model'!D23="$/CS",IFERROR(ROUND(SUM(BZ27*$BV$35+CW27*$CS$35+DT27*$DP$35+EQ27*$EM$35+FN27*$FJ$35+GK27*$GG$35+HH27*$HD$35+IE27*$IA$35+JB27*$IX$35+JY27*$JU$35+KV27*$KR$35+LS27*$LO$35+MP27*$ML$35+NM27*$NI$35+OJ27*$OF$35+PG27*$PC$35+QD27*$PZ$35+RA27*$QW$35+RX27*$RT$35+SU27*$SQ$35)/$G$35,2),0),IF('PIM Model'!D23="$/LB",IFERROR(ROUND(SUM(BZ27*$BW$35+CW27*$CT$35+DT27*$DQ$35+EQ27*$EN$35+FN27*$FK$35+GK27*$GH$35+HH27*$HE$35+IE27*$IB$35+JB27*$IY$35+JY27*$JV$35+KV27*$KS$35+LS27*$LP$35+MP27*$MM$35+NM27*$NJ$35+OJ27*$OG$35+PG27*$PD$35+QD27*$QA$35+RA27*$QX$35+RX27*$RU$35+SU27*$SR$35)/$H$35,2),0),0))</f>
        <v>0</v>
      </c>
      <c r="Q27" s="358">
        <f t="shared" si="11"/>
        <v>0</v>
      </c>
      <c r="R27" s="358">
        <f t="shared" si="12"/>
        <v>0</v>
      </c>
      <c r="S27" s="779">
        <f t="shared" si="13"/>
        <v>0</v>
      </c>
      <c r="T27" s="779">
        <f t="shared" si="14"/>
        <v>0</v>
      </c>
      <c r="U27" s="779">
        <f t="shared" si="15"/>
        <v>0</v>
      </c>
      <c r="V27" s="779">
        <f t="shared" si="16"/>
        <v>0</v>
      </c>
      <c r="W27" s="779">
        <f t="shared" si="17"/>
        <v>0</v>
      </c>
      <c r="X27" s="1705"/>
      <c r="Y27" s="1705" t="str">
        <f>'PIM Model'!E23</f>
        <v>INCLUDE</v>
      </c>
      <c r="Z27" s="1705">
        <f t="shared" si="18"/>
        <v>0</v>
      </c>
      <c r="AA27" s="1705">
        <f t="shared" si="19"/>
        <v>0</v>
      </c>
      <c r="AB27" s="99" t="s">
        <v>92</v>
      </c>
      <c r="AC27" s="107">
        <f t="shared" si="20"/>
        <v>0</v>
      </c>
      <c r="AD27" s="108">
        <f t="shared" si="21"/>
        <v>0</v>
      </c>
      <c r="AE27" s="108">
        <f t="shared" si="22"/>
        <v>0</v>
      </c>
      <c r="AF27" s="108">
        <f t="shared" si="23"/>
        <v>0</v>
      </c>
      <c r="AG27" s="110">
        <f t="shared" si="24"/>
        <v>0</v>
      </c>
      <c r="AH27" s="114">
        <f t="shared" si="25"/>
        <v>0</v>
      </c>
      <c r="AI27" s="301"/>
      <c r="AJ27" s="99" t="s">
        <v>92</v>
      </c>
      <c r="AK27" s="346">
        <f t="shared" si="26"/>
        <v>0</v>
      </c>
      <c r="AL27" s="347">
        <f t="shared" si="26"/>
        <v>0</v>
      </c>
      <c r="AM27" s="347">
        <f t="shared" si="26"/>
        <v>0</v>
      </c>
      <c r="AN27" s="350">
        <f t="shared" si="27"/>
        <v>0</v>
      </c>
      <c r="AO27" s="351">
        <f t="shared" si="28"/>
        <v>0</v>
      </c>
      <c r="AP27" s="301"/>
      <c r="AQ27" s="99" t="s">
        <v>92</v>
      </c>
      <c r="AR27" s="346">
        <f t="shared" si="29"/>
        <v>0</v>
      </c>
      <c r="AS27" s="347">
        <f t="shared" si="30"/>
        <v>0</v>
      </c>
      <c r="AT27" s="351"/>
      <c r="AU27" s="301"/>
      <c r="AV27" s="1708" t="str">
        <f>IF('PIM Ranges'!$AK25='PIM Ranges'!$AY$11,IF($AR27&lt;'PIM Ranges'!$AZ$11,"Q1",IF($AR27&lt;'PIM Ranges'!$BA$11,"Q2",IF($AR27&lt;'PIM Ranges'!$BB$11,"Q3",IF($AR27&lt;'PIM Ranges'!$BC$11,"Q4","Q5")))),IF('PIM Ranges'!$AK25='PIM Ranges'!$AY$12,IF($AR27&lt;'PIM Ranges'!$AZ$12,"Q1",IF($AR27&lt;'PIM Ranges'!$BA$12,"Q2",IF($AR27&lt;'PIM Ranges'!$BB$12,"Q3",IF($AR27&lt;'PIM Ranges'!$BC$12,"Q4","Q5")))),IF('PIM Ranges'!$AK25='PIM Ranges'!$AY$13,IF($AR27&lt;'PIM Ranges'!$AZ$13,"Q1",IF($AR27&lt;'PIM Ranges'!$BA$13,"Q2",IF($AR27&lt;'PIM Ranges'!$BB$13,"Q3",IF($AR27&lt;'PIM Ranges'!$BC$13,"Q4","Q5")))),IF('PIM Ranges'!$AK25='PIM Ranges'!$AY$14,IF($AR27&lt;'PIM Ranges'!$AZ$14,"Q1",IF($AR27&lt;'PIM Ranges'!$BA$14,"Q2",IF($AR27&lt;'PIM Ranges'!$BB$14,"Q3",IF($AR27&lt;'PIM Ranges'!$BC$14,"Q4","Q5")))),IF('PIM Ranges'!$AK25='PIM Ranges'!$AY$15,IF($AR27&lt;'PIM Ranges'!$AZ$15,"Q1",IF($AR27&lt;'PIM Ranges'!$BA$15,"Q2",IF($AR27&lt;'PIM Ranges'!$BB$15,"Q3",IF($AR27&lt;'PIM Ranges'!$BC$15,"Q4","Q5")))),IF('PIM Ranges'!$AK25='PIM Ranges'!$AY$16,IF($AR27&lt;'PIM Ranges'!$AZ$16,"Q1",IF($AR27&lt;'PIM Ranges'!$BA$16,"Q2",IF($AR27&lt;'PIM Ranges'!$BB$16,"Q3",IF($AR27&lt;'PIM Ranges'!$BC$16,"Q4","Q5")))),IF('PIM Ranges'!$AK25='PIM Ranges'!$AY$17,IF($AR27&lt;'PIM Ranges'!$AZ$17,"Q1",IF($AR27&lt;'PIM Ranges'!$BA$17,"Q2",IF($AR27&lt;'PIM Ranges'!$BB$17,"Q3",IF($AR27&lt;'PIM Ranges'!$BC$17,"Q4","Q5")))),IF('PIM Ranges'!$AK25='PIM Ranges'!$AY$18,IF($AR27&lt;'PIM Ranges'!$AZ$18,"Q1",IF($AR27&lt;'PIM Ranges'!$BA$18,"Q2",IF($AR27&lt;'PIM Ranges'!$BB$18,"Q3",IF($AR27&lt;'PIM Ranges'!$BC$18,"Q4","Q5")))),IF('PIM Ranges'!$AK25='PIM Ranges'!$AY$19,IF($AR27&lt;'PIM Ranges'!$AZ$19,"Q1",IF($AR27&lt;'PIM Ranges'!$BA$19,"Q2",IF($AR27&lt;'PIM Ranges'!$BB$19,"Q3",IF($AR27&lt;'PIM Ranges'!$BC$19,"Q4","Q5")))),IF('PIM Ranges'!$AK25='PIM Ranges'!$AY$20,IF($AR27&lt;'PIM Ranges'!$AZ$20,"Q1",IF($AR27&lt;'PIM Ranges'!$BA$20,"Q2",IF($AR27&lt;'PIM Ranges'!$BB$20,"Q3",IF($AR27&lt;'PIM Ranges'!$BC$20,"Q4","Q5")))),IF('PIM Ranges'!$AK25='PIM Ranges'!$AY$21,IF($AR27&lt;'PIM Ranges'!$AZ$21,"Q1",IF($AR27&lt;'PIM Ranges'!$BA$21,"Q2",IF($AR27&lt;'PIM Ranges'!$BB$21,"Q3",IF($AR27&lt;'PIM Ranges'!$BC$21,"Q4","Q5")))),IF('PIM Ranges'!$AK25='PIM Ranges'!$AY$22,IF($AR27&lt;'PIM Ranges'!$AZ$22,"Q1",IF($AR27&lt;'PIM Ranges'!$BA$22,"Q2",IF($AR27&lt;'PIM Ranges'!$BB$22,"Q3",IF($AR27&lt;'PIM Ranges'!$BC$22,"Q4","Q5")))),IF('PIM Ranges'!$AK25='PIM Ranges'!$AY$23,IF($AR27&lt;'PIM Ranges'!$AZ$23,"Q1",IF($AR27&lt;'PIM Ranges'!$BA$23,"Q2",IF($AR27&lt;'PIM Ranges'!$BB$23,"Q3",IF($AR27&lt;'PIM Ranges'!$BC$23,"Q4","Q5")))),IF('PIM Ranges'!$AK25='PIM Ranges'!$AY$24,IF($AR27&lt;'PIM Ranges'!$AZ$24,"Q1",IF($AR27&lt;'PIM Ranges'!$BA$24,"Q2",IF($AR27&lt;'PIM Ranges'!$BB$24,"Q3",IF($AR27&lt;'PIM Ranges'!$BC$24,"Q4","Q5")))),IF('PIM Ranges'!$AK25='PIM Ranges'!$AY$25,IF($AR27&lt;'PIM Ranges'!$AZ$25,"Q1",IF($AR27&lt;'PIM Ranges'!$BA$25,"Q2",IF($AR27&lt;'PIM Ranges'!$BB$25,"Q3",IF($AR27&lt;'PIM Ranges'!$BC$25,"Q4","Q5")))),IF('PIM Ranges'!$AK25='PIM Ranges'!$AY$26,IF($AR27&lt;'PIM Ranges'!$AZ$26,"Q1",IF($AR27&lt;'PIM Ranges'!$BA$26,"Q2",IF($AR27&lt;'PIM Ranges'!$BB$26,"Q3",IF($AR27&lt;'PIM Ranges'!$BC$26,"Q4","Q5")))),IF('PIM Ranges'!$AK25='PIM Ranges'!$AY$27,IF($AR27&lt;'PIM Ranges'!$AZ$27,"Q1",IF($AR27&lt;'PIM Ranges'!$BA$27,"Q2",IF($AR27&lt;'PIM Ranges'!$BB$27,"Q3",IF($AR27&lt;'PIM Ranges'!$BC$27,"Q4","Q5")))),IF('PIM Ranges'!$AK25='PIM Ranges'!$AY$28,IF($AR27&lt;'PIM Ranges'!$AZ$28,"Q1",IF($AR27&lt;'PIM Ranges'!$BA$28,"Q2",IF($AR27&lt;'PIM Ranges'!$BB$28,"Q3",IF($AR27&lt;'PIM Ranges'!$BC$28,"Q4","Q5")))),IF('PIM Ranges'!$AK25='PIM Ranges'!$AY$29,IF($AR27&lt;'PIM Ranges'!$AZ$29,"Q1",IF($AR27&lt;'PIM Ranges'!$BA$29,"Q2",IF($AR27&lt;'PIM Ranges'!$BB$29,"Q3",IF($AR27&lt;'PIM Ranges'!$BC$29,"Q4","Q5")))),IF('PIM Ranges'!$AK25='PIM Ranges'!$AY$30,IF($AR27&lt;'PIM Ranges'!$AZ$30,"Q1",IF($AR27&lt;'PIM Ranges'!$BA$30,"Q2",IF($AR27&lt;'PIM Ranges'!$BB$30,"Q3",IF($AR27&lt;'PIM Ranges'!$BC$30,"Q4","Q5")))),IF('PIM Ranges'!$AK25='PIM Ranges'!$AY$31,IF($AR27&lt;'PIM Ranges'!$AZ$31,"Q1",IF($AR27&lt;'PIM Ranges'!$BA$31,"Q2",IF($AR27&lt;'PIM Ranges'!$BB$31,"Q3",IF($AR27&lt;'PIM Ranges'!$BC$31,"Q4","Q5")))),IF('PIM Ranges'!$AK25='PIM Ranges'!$AY$32,IF($AR27&lt;'PIM Ranges'!$AZ$32,"Q1",IF($AR27&lt;'PIM Ranges'!$BA$32,"Q2",IF($AR27&lt;'PIM Ranges'!$BB$32,"Q3",IF($AR27&lt;'PIM Ranges'!$BC$32,"Q4","Q5"))))))))))))))))))))))))))</f>
        <v>Q1</v>
      </c>
      <c r="AW27" s="301">
        <f>VLOOKUP($AQ27&amp;$AV27,'IMargin Quartiles'!$A:$F,6,FALSE)</f>
        <v>0.13</v>
      </c>
      <c r="AX27" s="301"/>
      <c r="AY27" s="1708" t="str">
        <f>IF('PIM Ranges'!$AK25='PIM Ranges'!$AY$11,IF('PIM Ranges'!$AL25&lt;'PIM Ranges'!$AZ$11,"Q1",IF('PIM Ranges'!$AL25&lt;'PIM Ranges'!$BA$11,"Q2",IF('PIM Ranges'!$AL25&lt;'PIM Ranges'!$BB$11,"Q3",IF('PIM Ranges'!$AL25&lt;'PIM Ranges'!$BC$11,"Q4","Q5")))),IF('PIM Ranges'!$AK25='PIM Ranges'!$AY$12,IF('PIM Ranges'!$AL25&lt;'PIM Ranges'!$AZ$12,"Q1",IF('PIM Ranges'!$AL25&lt;'PIM Ranges'!$BA$12,"Q2",IF('PIM Ranges'!$AL25&lt;'PIM Ranges'!$BB$12,"Q3",IF('PIM Ranges'!$AL25&lt;'PIM Ranges'!$BC$12,"Q4","Q5")))),IF('PIM Ranges'!$AK25='PIM Ranges'!$AY$13,IF('PIM Ranges'!$AL25&lt;'PIM Ranges'!$AZ$13,"Q1",IF('PIM Ranges'!$AL25&lt;'PIM Ranges'!$BA$13,"Q2",IF('PIM Ranges'!$AL25&lt;'PIM Ranges'!$BB$13,"Q3",IF('PIM Ranges'!$AL25&lt;'PIM Ranges'!$BC$13,"Q4","Q5")))),IF('PIM Ranges'!$AK25='PIM Ranges'!$AY$14,IF('PIM Ranges'!$AL25&lt;'PIM Ranges'!$AZ$14,"Q1",IF('PIM Ranges'!$AL25&lt;'PIM Ranges'!$BA$14,"Q2",IF('PIM Ranges'!$AL25&lt;'PIM Ranges'!$BB$14,"Q3",IF('PIM Ranges'!$AL25&lt;'PIM Ranges'!$BC$14,"Q4","Q5")))),IF('PIM Ranges'!$AK25='PIM Ranges'!$AY$15,IF('PIM Ranges'!$AL25&lt;'PIM Ranges'!$AZ$15,"Q1",IF('PIM Ranges'!$AL25&lt;'PIM Ranges'!$BA$15,"Q2",IF('PIM Ranges'!$AL25&lt;'PIM Ranges'!$BB$15,"Q3",IF('PIM Ranges'!$AL25&lt;'PIM Ranges'!$BC$15,"Q4","Q5")))),IF('PIM Ranges'!$AK25='PIM Ranges'!$AY$16,IF('PIM Ranges'!$AL25&lt;'PIM Ranges'!$AZ$16,"Q1",IF('PIM Ranges'!$AL25&lt;'PIM Ranges'!$BA$16,"Q2",IF('PIM Ranges'!$AL25&lt;'PIM Ranges'!$BB$16,"Q3",IF('PIM Ranges'!$AL25&lt;'PIM Ranges'!$BC$16,"Q4","Q5")))),IF('PIM Ranges'!$AK25='PIM Ranges'!$AY$17,IF('PIM Ranges'!$AL25&lt;'PIM Ranges'!$AZ$17,"Q1",IF('PIM Ranges'!$AL25&lt;'PIM Ranges'!$BA$17,"Q2",IF('PIM Ranges'!$AL25&lt;'PIM Ranges'!$BB$17,"Q3",IF('PIM Ranges'!$AL25&lt;'PIM Ranges'!$BC$17,"Q4","Q5")))),IF('PIM Ranges'!$AK25='PIM Ranges'!$AY$18,IF('PIM Ranges'!$AL25&lt;'PIM Ranges'!$AZ$18,"Q1",IF('PIM Ranges'!$AL25&lt;'PIM Ranges'!$BA$18,"Q2",IF('PIM Ranges'!$AL25&lt;'PIM Ranges'!$BB$18,"Q3",IF('PIM Ranges'!$AL25&lt;'PIM Ranges'!$BC$18,"Q4","Q5")))),IF('PIM Ranges'!$AK25='PIM Ranges'!$AY$19,IF('PIM Ranges'!$AL25&lt;'PIM Ranges'!$AZ$19,"Q1",IF('PIM Ranges'!$AL25&lt;'PIM Ranges'!$BA$19,"Q2",IF('PIM Ranges'!$AL25&lt;'PIM Ranges'!$BB$19,"Q3",IF('PIM Ranges'!$AL25&lt;'PIM Ranges'!$BC$19,"Q4","Q5")))),IF('PIM Ranges'!$AK25='PIM Ranges'!$AY$20,IF('PIM Ranges'!$AL25&lt;'PIM Ranges'!$AZ$20,"Q1",IF('PIM Ranges'!$AL25&lt;'PIM Ranges'!$BA$20,"Q2",IF('PIM Ranges'!$AL25&lt;'PIM Ranges'!$BB$20,"Q3",IF('PIM Ranges'!$AL25&lt;'PIM Ranges'!$BC$20,"Q4","Q5")))),IF('PIM Ranges'!$AK25='PIM Ranges'!$AY$21,IF('PIM Ranges'!$AL25&lt;'PIM Ranges'!$AZ$21,"Q1",IF('PIM Ranges'!$AL25&lt;'PIM Ranges'!$BA$21,"Q2",IF('PIM Ranges'!$AL25&lt;'PIM Ranges'!$BB$21,"Q3",IF('PIM Ranges'!$AL25&lt;'PIM Ranges'!$BC$21,"Q4","Q5")))),IF('PIM Ranges'!$AK25='PIM Ranges'!$AY$22,IF('PIM Ranges'!$AL25&lt;'PIM Ranges'!$AZ$22,"Q1",IF('PIM Ranges'!$AL25&lt;'PIM Ranges'!$BA$22,"Q2",IF('PIM Ranges'!$AL25&lt;'PIM Ranges'!$BB$22,"Q3",IF('PIM Ranges'!$AL25&lt;'PIM Ranges'!$BC$22,"Q4","Q5")))),IF('PIM Ranges'!$AK25='PIM Ranges'!$AY$23,IF('PIM Ranges'!$AL25&lt;'PIM Ranges'!$AZ$23,"Q1",IF('PIM Ranges'!$AL25&lt;'PIM Ranges'!$BA$23,"Q2",IF('PIM Ranges'!$AL25&lt;'PIM Ranges'!$BB$23,"Q3",IF('PIM Ranges'!$AL25&lt;'PIM Ranges'!$BC$23,"Q4","Q5")))),IF('PIM Ranges'!$AK25='PIM Ranges'!$AY$24,IF('PIM Ranges'!$AL25&lt;'PIM Ranges'!$AZ$24,"Q1",IF('PIM Ranges'!$AL25&lt;'PIM Ranges'!$BA$24,"Q2",IF('PIM Ranges'!$AL25&lt;'PIM Ranges'!$BB$24,"Q3",IF('PIM Ranges'!$AL25&lt;'PIM Ranges'!$BC$24,"Q4","Q5")))),IF('PIM Ranges'!$AK25='PIM Ranges'!$AY$25,IF('PIM Ranges'!$AL25&lt;'PIM Ranges'!$AZ$25,"Q1",IF('PIM Ranges'!$AL25&lt;'PIM Ranges'!$BA$25,"Q2",IF('PIM Ranges'!$AL25&lt;'PIM Ranges'!$BB$25,"Q3",IF('PIM Ranges'!$AL25&lt;'PIM Ranges'!$BC$25,"Q4","Q5")))),IF('PIM Ranges'!$AK25='PIM Ranges'!$AY$26,IF('PIM Ranges'!$AL25&lt;'PIM Ranges'!$AZ$26,"Q1",IF('PIM Ranges'!$AL25&lt;'PIM Ranges'!$BA$26,"Q2",IF('PIM Ranges'!$AL25&lt;'PIM Ranges'!$BB$26,"Q3",IF('PIM Ranges'!$AL25&lt;'PIM Ranges'!$BC$26,"Q4","Q5")))),IF('PIM Ranges'!$AK25='PIM Ranges'!$AY$27,IF('PIM Ranges'!$AL25&lt;'PIM Ranges'!$AZ$27,"Q1",IF('PIM Ranges'!$AL25&lt;'PIM Ranges'!$BA$27,"Q2",IF('PIM Ranges'!$AL25&lt;'PIM Ranges'!$BB$27,"Q3",IF('PIM Ranges'!$AL25&lt;'PIM Ranges'!$BC$27,"Q4","Q5")))),IF('PIM Ranges'!$AK25='PIM Ranges'!$AY$28,IF('PIM Ranges'!$AL25&lt;'PIM Ranges'!$AZ$28,"Q1",IF('PIM Ranges'!$AL25&lt;'PIM Ranges'!$BA$28,"Q2",IF('PIM Ranges'!$AL25&lt;'PIM Ranges'!$BB$28,"Q3",IF('PIM Ranges'!$AL25&lt;'PIM Ranges'!$BC$28,"Q4","Q5")))),IF('PIM Ranges'!$AK25='PIM Ranges'!$AY$29,IF('PIM Ranges'!$AL25&lt;'PIM Ranges'!$AZ$29,"Q1",IF('PIM Ranges'!$AL25&lt;'PIM Ranges'!$BA$29,"Q2",IF('PIM Ranges'!$AL25&lt;'PIM Ranges'!$BB$29,"Q3",IF('PIM Ranges'!$AL25&lt;'PIM Ranges'!$BC$29,"Q4","Q5")))),IF('PIM Ranges'!$AK25='PIM Ranges'!$AY$30,IF('PIM Ranges'!$AL25&lt;'PIM Ranges'!$AZ$30,"Q1",IF('PIM Ranges'!$AL25&lt;'PIM Ranges'!$BA$30,"Q2",IF('PIM Ranges'!$AL25&lt;'PIM Ranges'!$BB$30,"Q3",IF('PIM Ranges'!$AL25&lt;'PIM Ranges'!$BC$30,"Q4","Q5")))),IF('PIM Ranges'!$AK25='PIM Ranges'!$AY$31,IF('PIM Ranges'!$AL25&lt;'PIM Ranges'!$AZ$31,"Q1",IF('PIM Ranges'!$AL25&lt;'PIM Ranges'!$BA$31,"Q2",IF('PIM Ranges'!$AL25&lt;'PIM Ranges'!$BB$31,"Q3",IF('PIM Ranges'!$AL25&lt;'PIM Ranges'!$BC$31,"Q4","Q5")))),IF('PIM Ranges'!$AK25='PIM Ranges'!$AY$32,IF('PIM Ranges'!$AL25&lt;'PIM Ranges'!$AZ$32,"Q1",IF('PIM Ranges'!$AL25&lt;'PIM Ranges'!$BA$32,"Q2",IF('PIM Ranges'!$AL25&lt;'PIM Ranges'!$BB$32,"Q3",IF('PIM Ranges'!$AL25&lt;'PIM Ranges'!$BC$32,"Q4","Q5"))))))))))))))))))))))))))</f>
        <v>Q1</v>
      </c>
      <c r="AZ27" s="301">
        <f t="shared" si="31"/>
        <v>0</v>
      </c>
      <c r="BA27" s="39">
        <f>'PIM Model'!C23</f>
        <v>0</v>
      </c>
      <c r="BB27" s="301"/>
      <c r="BC27" s="301"/>
      <c r="BD27" s="301" t="e">
        <f t="shared" si="72"/>
        <v>#DIV/0!</v>
      </c>
      <c r="BE27" s="301"/>
      <c r="BF27" s="301"/>
      <c r="BG27" s="105">
        <v>16</v>
      </c>
      <c r="BH27" s="18">
        <f t="array" ref="BH27">IF('Customer Inputs'!$W$6="End",0,IFERROR(IF($BU27="SEGMENT",INDEX('Margin Guidence Table'!$A$1:$AG$10000,MATCH(1,('Margin Guidence Table'!$A$1:$A$10000=$BS27)*('Margin Guidence Table'!$I$1:$I$10000&lt;=ROUND($BK$3,0))*('Margin Guidence Table'!$J$1:$J$10000&gt;=ROUND($BK$3,0)),0),MATCH("PCT_SALES",'Margin Guidence Table'!$A$1:$AG$1,0)),INDEX('Margin Guidence Table'!$A$1:$AG$10000,MATCH(1,('Margin Guidence Table'!$A$1:$A$10000=$BS27)*('Margin Guidence Table'!$I$1:$I$10000&lt;=ROUND($BK$3,0))*('Margin Guidence Table'!$J$1:$J$10000&gt;=ROUND($BK$3,0)),0),MATCH("DEFAULT_PCT_SALES",'Margin Guidence Table'!$A$1:$AG$1,0))),0))</f>
        <v>0</v>
      </c>
      <c r="BI27" s="297" t="e">
        <f t="shared" si="32"/>
        <v>#DIV/0!</v>
      </c>
      <c r="BJ27" s="99" t="s">
        <v>92</v>
      </c>
      <c r="BK27" s="91">
        <f>IF('Customer Inputs'!$W$6="End",0,IFERROR(IF(AND($BK$2&lt;&gt;"Enter Spend&gt;&gt;&gt;",$BL$2="EXISTING"),SUMIFS('Existing Customers'!$Q:$Q,'Existing Customers'!$A:$A,$BK$1,'Existing Customers'!$H:$H,$BJ27)*$BK$4,$BK$3*$BI27),0))</f>
        <v>0</v>
      </c>
      <c r="BL27" s="92">
        <f>IF('Customer Inputs'!$W$6="End",0,IFERROR(IF(AND($BK$2&lt;&gt;"Enter Spend&gt;&gt;&gt;",$BL$2="EXISTING"),SUMIFS('Existing Customers'!$N:$N,'Existing Customers'!$A:$A,$BK$1,'Existing Customers'!$H:$H,$BJ27)*$BK$4,$BK27/$BV27),0))</f>
        <v>0</v>
      </c>
      <c r="BM27" s="92">
        <f>IF('Customer Inputs'!$W$6="End",0,IFERROR(IF(AND($BK$2&lt;&gt;"Enter Spend&gt;&gt;&gt;",$BL$2="EXISTING"),SUMIFS('Existing Customers'!$O:$O,'Existing Customers'!$H:$H,$BJ27,'Existing Customers'!$A:$A,$BK$1)*$BK$4,$BL27*$BK$8),0))</f>
        <v>0</v>
      </c>
      <c r="BN27" s="92">
        <f>IF('Customer Inputs'!$W$6="End",0,IFERROR(IF(AND($BK$2&lt;&gt;"Enter Spend&gt;&gt;&gt;",$BL$2="EXISTING"),SUMIFS('Existing Customers'!$P:$P,'Existing Customers'!$A:$A,$BK$1,'Existing Customers'!$H:$H,$BJ27)*$BK$4,$BK27/$BW27),0))</f>
        <v>0</v>
      </c>
      <c r="BO27" s="303">
        <f>IF('Customer Inputs'!$W$6="End",0,IFERROR(IF(AND($BK$2&lt;&gt;"Enter Spend&gt;&gt;&gt;",$BL$2="EXISTING"),SUMIFS('Existing Customers'!$V:$V,'Existing Customers'!$H:$H,$BJ27,'Existing Customers'!$A:$A,$BK$1)*$BK$4,0),0))</f>
        <v>0</v>
      </c>
      <c r="BP27" s="93">
        <f>IF('Customer Inputs'!$W$6="End",0,IFERROR(IF(AND($BK$2&lt;&gt;"Enter Spend&gt;&gt;&gt;",$BL$2="EXISTING"),SUMIFS('Existing Customers'!$R:$R,'Existing Customers'!$H:$H,$BJ27,'Existing Customers'!$A:$A,$BK$1)*$BK$4,0),0))</f>
        <v>0</v>
      </c>
      <c r="BQ27" s="93">
        <f>IF('Customer Inputs'!$W$6="End",0,IFERROR(IF(AND($BK$2&lt;&gt;"Enter Spend&gt;&gt;&gt;",$BL$2="EXISTING"),SUMIFS('Existing Customers'!$S:$S,'Existing Customers'!$H:$H,$BJ27,'Existing Customers'!$A:$A,$BK$1)/SUMIFS('Existing Customers'!$Q:$Q,'Existing Customers'!$A:$A,$BK$1,'Existing Customers'!$H:$H,$BJ27),CA27),0))</f>
        <v>0</v>
      </c>
      <c r="BR27" s="93">
        <f>IF('Customer Inputs'!$W$6="End",0,IFERROR(IF(AND($BK$2&lt;&gt;"Enter Spend&gt;&gt;&gt;",$BL$2="EXISTING"),SUMIFS('Existing Customers'!$U:$U,'Existing Customers'!$H:$H,$BJ27,'Existing Customers'!$A:$A,$BK$1)/SUMIFS('Existing Customers'!$Q:$Q,'Existing Customers'!$A:$A,$BK$1,'Existing Customers'!$H:$H,$BJ27),CB27),0))</f>
        <v>0</v>
      </c>
      <c r="BS27" s="782" t="e">
        <f>_xlfn.CONCAT('Customer Inputs'!$AH$6,"_",BJ27)</f>
        <v>#N/A</v>
      </c>
      <c r="BT27" s="783">
        <f t="array" ref="BT27">IF('Customer Inputs'!$W$6="End",0,IFERROR(INDEX('Margin Guidence Table'!$A$1:$AG$10000,MATCH(1,('Margin Guidence Table'!$A$1:$A$10000=$BS27)*('Margin Guidence Table'!$I$1:$I$10000&lt;=ROUND($BK$3,0))*('Margin Guidence Table'!$J$1:$J$10000&gt;=ROUND($BK$3,0)),0),MATCH("DATA_POINTS",'Margin Guidence Table'!$A$1:$AG$1,0)),0))</f>
        <v>0</v>
      </c>
      <c r="BU27" s="780" t="str">
        <f t="shared" si="33"/>
        <v>DEFAULT</v>
      </c>
      <c r="BV27" s="780">
        <f t="array" ref="BV27">IF('Customer Inputs'!$W$6="End",0,IFERROR(IF($BU27="SEGMENT",INDEX('Margin Guidence Table'!$A$1:$AG$10000,MATCH(1,('Margin Guidence Table'!$A$1:$A$10000=$BS27)*('Margin Guidence Table'!$I$1:$I$10000&lt;=ROUND($BK$3,0))*('Margin Guidence Table'!$J$1:$J$10000&gt;=ROUND($BK$3,0)),0),MATCH("SALES_CASE",'Margin Guidence Table'!$A$1:$AG$1,0)),INDEX('Margin Guidence Table'!$A$1:$AG$10000,MATCH(1,('Margin Guidence Table'!$A$1:$A$10000=$BS27)*('Margin Guidence Table'!$I$1:$I$10000&lt;=ROUND($BK$3,0))*('Margin Guidence Table'!$J$1:$J$10000&gt;=ROUND($BK$3,0)),0),MATCH("DEFAULT_SALES_CASE",'Margin Guidence Table'!$A$1:$AG$1,0))),0))</f>
        <v>0</v>
      </c>
      <c r="BW27" s="780">
        <f t="array" ref="BW27">IF('Customer Inputs'!$W$6="End",0,IFERROR(IF($BU27="SEGMENT",INDEX('Margin Guidence Table'!$A$1:$AG$10000,MATCH(1,('Margin Guidence Table'!$A$1:$A$10000=$BS27)*('Margin Guidence Table'!$I$1:$I$10000&lt;=ROUND($BK$3,0))*('Margin Guidence Table'!$J$1:$J$10000&gt;=ROUND($BK$3,0)),0),MATCH("SALES_LBS",'Margin Guidence Table'!$A$1:$AG$1,0)),INDEX('Margin Guidence Table'!$A$1:$AG$10000,MATCH(1,('Margin Guidence Table'!$A$1:$A$10000=$BS27)*('Margin Guidence Table'!$I$1:$I$10000&lt;=ROUND($BK$3,0))*('Margin Guidence Table'!$J$1:$J$10000&gt;=ROUND($BK$3,0)),0),MATCH("DEFAULT_SALES_LBS",'Margin Guidence Table'!$A$1:$AG$1,0))),0))</f>
        <v>0</v>
      </c>
      <c r="BX27" s="784">
        <f t="array" ref="BX27">IF('Customer Inputs'!$W$6="End",0,IFERROR(IF($BU27="SEGMENT",INDEX('Margin Guidence Table'!$A$1:$AG$10000,MATCH(1,('Margin Guidence Table'!$A$1:$A$10000=$BS27)*('Margin Guidence Table'!$I$1:$I$10000&lt;=ROUND($BK$3,0))*('Margin Guidence Table'!$J$1:$J$10000&gt;=ROUND($BK$3,0)),0),MATCH("MDA_MIN_MARGIN_GUIDENCE",'Margin Guidence Table'!$A$1:$AG$1,0)),INDEX('Margin Guidence Table'!$A$1:$AG$10000,MATCH(1,('Margin Guidence Table'!$A$1:$A$10000=$BS27)*('Margin Guidence Table'!$I$1:$I$10000&lt;=ROUND($BK$3,0))*('Margin Guidence Table'!$J$1:$J$10000&gt;=ROUND($BK$3,0)),0),MATCH("DEFAULT_MDA_MIN_MARGIN_GUIDENCE",'Margin Guidence Table'!$A$1:$AG$1,0))),0))</f>
        <v>0</v>
      </c>
      <c r="BY27" s="784">
        <f t="array" ref="BY27">IF('Customer Inputs'!$W$6="End",0,IFERROR(IF($BU27="SEGMENT",INDEX('Margin Guidence Table'!$A$1:$AG$10000,MATCH(1,('Margin Guidence Table'!$A$1:$A$10000=$BS27)*('Margin Guidence Table'!$I$1:$I$10000&lt;=ROUND($BK$3,0))*('Margin Guidence Table'!$J$1:$J$10000&gt;=ROUND($BK$3,0)),0),MATCH("MDA_MEDIAN_MARGIN_GUIDENCE",'Margin Guidence Table'!$A$1:$AG$1,0)),INDEX('Margin Guidence Table'!$A$1:$AG$10000,MATCH(1,('Margin Guidence Table'!$A$1:$A$10000=$BS27)*('Margin Guidence Table'!$I$1:$I$10000&lt;=ROUND($BK$3,0))*('Margin Guidence Table'!$J$1:$J$10000&gt;=ROUND($BK$3,0)),0),MATCH("DEFAULT_MDA_MEDIAN_MARGIN_GUIDENCE",'Margin Guidence Table'!$A$1:$AG$1,0))),0))</f>
        <v>0</v>
      </c>
      <c r="BZ27" s="784">
        <f t="array" ref="BZ27">IF('Customer Inputs'!$W$6="End",0,IFERROR(IF($BU27="SEGMENT",INDEX('Margin Guidence Table'!$A$1:$AG$10000,MATCH(1,('Margin Guidence Table'!$A$1:$A$10000=$BS27)*('Margin Guidence Table'!$I$1:$I$10000&lt;=ROUND($BK$3,0))*('Margin Guidence Table'!$J$1:$J$10000&gt;=ROUND($BK$3,0)),0),MATCH("MDA_MAX_MARGIN_GUIDENCE",'Margin Guidence Table'!$A$1:$AG$1,0)),INDEX('Margin Guidence Table'!$A$1:$AG$10000,MATCH(1,('Margin Guidence Table'!$A$1:$A$10000=$BS27)*('Margin Guidence Table'!$I$1:$I$10000&lt;=ROUND($BK$3,0))*('Margin Guidence Table'!$J$1:$J$10000&gt;=ROUND($BK$3,0)),0),MATCH("DEFAULT_MDA_MAX_MARGIN_GUIDENCE",'Margin Guidence Table'!$A$1:$AG$1,0))),0))</f>
        <v>0</v>
      </c>
      <c r="CA27" s="784">
        <f t="array" ref="CA27">IF('Customer Inputs'!$W$6="End",0,IFERROR(IF($BU27="SEGMENT",INDEX('Margin Guidence Table'!$A$1:$AG$10000,MATCH(1,('Margin Guidence Table'!$A$1:$A$10000=$BS27)*('Margin Guidence Table'!$I$1:$I$10000&lt;=ROUND($BK$3,0))*('Margin Guidence Table'!$J$1:$J$10000&gt;=ROUND($BK$3,0)),0),MATCH("PA_PCT_SALES",'Margin Guidence Table'!$A$1:$AG$1,0)),INDEX('Margin Guidence Table'!$A$1:$AG$10000,MATCH(1,('Margin Guidence Table'!$A$1:$A$10000=$BS27)*('Margin Guidence Table'!$I$1:$I$10000&lt;=ROUND($BK$3,0))*('Margin Guidence Table'!$J$1:$J$10000&gt;=ROUND($BK$3,0)),0),MATCH("DEFAULT_PA_PCT_SALES",'Margin Guidence Table'!$A$1:$AG$1,0))),0))</f>
        <v>0</v>
      </c>
      <c r="CB27" s="784">
        <f t="array" ref="CB27">IF('Customer Inputs'!$W$6="End",0,IFERROR(IF($BU27="SEGMENT",INDEX('Margin Guidence Table'!$A$1:$AG$10000,MATCH(1,('Margin Guidence Table'!$A$1:$A$10000=$BS27)*('Margin Guidence Table'!$I$1:$I$10000&lt;=ROUND($BK$3,0))*('Margin Guidence Table'!$J$1:$J$10000&gt;=ROUND($BK$3,0)),0),MATCH("SELF_FUND_PCT_SALES",'Margin Guidence Table'!$A$1:$AG$1,0)),INDEX('Margin Guidence Table'!$A$1:$AG$10000,MATCH(1,('Margin Guidence Table'!$A$1:$A$10000=$BS27)*('Margin Guidence Table'!$I$1:$I$10000&lt;=ROUND($BK$3,0))*('Margin Guidence Table'!$J$1:$J$10000&gt;=ROUND($BK$3,0)),0),MATCH("DEFAULT_SELF_FUND_PCT_SALES",'Margin Guidence Table'!$A$1:$AG$1,0))),0))</f>
        <v>0</v>
      </c>
      <c r="CC27" s="784">
        <f t="array" ref="CC27">IF('Customer Inputs'!$W$6="End",0,IF($BL$2="Existing",IFERROR(SUMIFS('Existing Customers'!$V:$V,'Existing Customers'!$H:$H,$BJ27,'Existing Customers'!$A:$A,$BK$1)/SUMIFS('Existing Customers'!$Q:$Q,'Existing Customers'!$H:$H,$BJ27,'Existing Customers'!$A:$A,$BK$1),0),IFERROR(IF($BU27="SEGMENT",INDEX('Margin Guidence Table'!$A$1:$AG$10000,MATCH(1,('Margin Guidence Table'!$A$1:$A$10000=$BS27)*('Margin Guidence Table'!$I$1:$I$10000&lt;=ROUND($BK$3,0))*('Margin Guidence Table'!$J$1:$J$10000&gt;=ROUND($BK$3,0)),0),MATCH("CIA_MEDIAN_MARGIN_GUIDENCE",'Margin Guidence Table'!$A$1:$AG$1,0)),INDEX('Margin Guidence Table'!$A$1:$AG$10000,MATCH(1,('Margin Guidence Table'!$A$1:$A$10000=$BS27)*('Margin Guidence Table'!$I$1:$I$10000&lt;=ROUND($BK$3,0))*('Margin Guidence Table'!$J$1:$J$10000&gt;=ROUND($BK$3,0)),0),MATCH("DEFAULT_CIA_MEDIAN_MARGIN_GUIDENCE",'Margin Guidence Table'!$A$1:$AG$1,0))),0)))</f>
        <v>0</v>
      </c>
      <c r="CD27" s="126"/>
      <c r="CE27" s="18">
        <f t="array" ref="CE27">IF('Customer Inputs'!$W$7="End",0,IFERROR(IF($CR27="SEGMENT",INDEX('Margin Guidence Table'!$A$1:$AG$10000,MATCH(1,('Margin Guidence Table'!$A$1:$A$10000=$CP27)*('Margin Guidence Table'!$I$1:$I$10000&lt;=ROUND($CH$3,0))*('Margin Guidence Table'!$J$1:$J$10000&gt;=ROUND($CH$3,0)),0),MATCH("PCT_SALES",'Margin Guidence Table'!$A$1:$AG$1,0)),INDEX('Margin Guidence Table'!$A$1:$AG$10000,MATCH(1,('Margin Guidence Table'!$A$1:$A$10000=$CP27)*('Margin Guidence Table'!$I$1:$I$10000&lt;=ROUND($CH$3,0))*('Margin Guidence Table'!$J$1:$J$10000&gt;=ROUND($CH$3,0)),0),MATCH("DEFAULT_PCT_SALES",'Margin Guidence Table'!$A$1:$AG$1,0))),0))</f>
        <v>0</v>
      </c>
      <c r="CF27" s="297" t="e">
        <f t="shared" si="34"/>
        <v>#DIV/0!</v>
      </c>
      <c r="CG27" s="99" t="s">
        <v>92</v>
      </c>
      <c r="CH27" s="91">
        <f>IF('Customer Inputs'!$W$7="End",0,IFERROR(IF(AND($CH$2&lt;&gt;"Enter Spend&gt;&gt;&gt;",$CI$2="EXISTING"),SUMIFS('Existing Customers'!$Q:$Q,'Existing Customers'!$A:$A,$CH$1,'Existing Customers'!$H:$H,$CG27)*$CH$4,$CH$3*$CF27),0))</f>
        <v>0</v>
      </c>
      <c r="CI27" s="86">
        <f>IF('Customer Inputs'!$W$7="End",0,IFERROR(IF(AND($CH$2&lt;&gt;"Enter Spend&gt;&gt;&gt;",$CI$2="EXISTING"),SUMIFS('Existing Customers'!$N:$N,'Existing Customers'!$A:$A,$CH$1,'Existing Customers'!$H:$H,$CG27)*$CH$4,$CH27/$CS27),0))</f>
        <v>0</v>
      </c>
      <c r="CJ27" s="92">
        <f>IF('Customer Inputs'!$W$7="End",0,IFERROR(IF(AND($CH$2&lt;&gt;"Enter Spend&gt;&gt;&gt;",$CI$2="EXISTING"),SUMIFS('Existing Customers'!$O:$O,'Existing Customers'!$H:$H,$CG27,'Existing Customers'!$A:$A,$CH$1)*$CH$4,$CI27*$CH$8),0))</f>
        <v>0</v>
      </c>
      <c r="CK27" s="92">
        <f>IF('Customer Inputs'!$W$7="End",0,IFERROR(IF(AND($CH$2&lt;&gt;"Enter Spend&gt;&gt;&gt;",$CI$2="EXISTING"),SUMIFS('Existing Customers'!$P:$P,'Existing Customers'!$A:$A,$CH$1,'Existing Customers'!$H:$H,$CG27)*$CH$4,$CH27/$CT27),0))</f>
        <v>0</v>
      </c>
      <c r="CL27" s="93">
        <f>IF('Customer Inputs'!$W$7="End",0,IFERROR(IF(AND($CH$2&lt;&gt;"Enter Spend&gt;&gt;&gt;",$CI$2="EXISTING"),SUMIFS('Existing Customers'!$V:$V,'Existing Customers'!$H:$H,$CG27,'Existing Customers'!$A:$A,$CH$1)*$CH$4,0),0))</f>
        <v>0</v>
      </c>
      <c r="CM27" s="93">
        <f>IF('Customer Inputs'!$W$7="End",0,IFERROR(IF(AND($CH$2&lt;&gt;"Enter Spend&gt;&gt;&gt;",$CI$2="EXISTING"),SUMIFS('Existing Customers'!$R:$R,'Existing Customers'!$H:$H,$CG27,'Existing Customers'!$A:$A,$CH$1)*$CH$4,0),0))</f>
        <v>0</v>
      </c>
      <c r="CN27" s="780">
        <f>IF('Customer Inputs'!$W$7="End",0,IFERROR(IF(AND($CH$2&lt;&gt;"Enter Spend&gt;&gt;&gt;",$CI$2="EXISTING"),SUMIFS('Existing Customers'!$S:$S,'Existing Customers'!$H:$H,$CG27,'Existing Customers'!$A:$A,$CH$1)/SUMIFS('Existing Customers'!$Q:$Q,'Existing Customers'!$A:$A,$CH$1,'Existing Customers'!$H:$H,$CG27),CX27),0))</f>
        <v>0</v>
      </c>
      <c r="CO27" s="780">
        <f>IF('Customer Inputs'!$W$7="End",0,IFERROR(IF(AND($CH$2&lt;&gt;"Enter Spend&gt;&gt;&gt;",$CI$2="EXISTING"),SUMIFS('Existing Customers'!$U:$U,'Existing Customers'!$H:$H,$CG27,'Existing Customers'!$A:$A,$CH$1)/SUMIFS('Existing Customers'!$Q:$Q,'Existing Customers'!$A:$A,$CH$1,'Existing Customers'!$H:$H,$CG27),CY27),0))</f>
        <v>0</v>
      </c>
      <c r="CP27" s="783" t="e">
        <f>_xlfn.CONCAT('Customer Inputs'!$AH$7,"_",CG27)</f>
        <v>#N/A</v>
      </c>
      <c r="CQ27" s="783">
        <f t="array" ref="CQ27">IFERROR(INDEX('Margin Guidence Table'!$A$1:$AG$10000,MATCH(1,('Margin Guidence Table'!$A$1:$A$10000=$CP27)*('Margin Guidence Table'!$I$1:$I$10000&lt;=ROUND($CH$3,0))*('Margin Guidence Table'!$J$1:$J$10000&gt;=ROUND($CH$3,0)),0),MATCH("DATA_POINTS",'Margin Guidence Table'!$A$1:$AG$1,0)),0)</f>
        <v>0</v>
      </c>
      <c r="CR27" s="780" t="str">
        <f t="shared" si="35"/>
        <v>DEFAULT</v>
      </c>
      <c r="CS27" s="780">
        <f t="array" ref="CS27">IF('Customer Inputs'!$W$7="End",0,IFERROR(IF($CR27="SEGMENT",INDEX('Margin Guidence Table'!$A$1:$AG$10000,MATCH(1,('Margin Guidence Table'!$A$1:$A$10000=$CP27)*('Margin Guidence Table'!$I$1:$I$10000&lt;=ROUND($CH$3,0))*('Margin Guidence Table'!$J$1:$J$10000&gt;=ROUND($CH$3,0)),0),MATCH("SALES_CASE",'Margin Guidence Table'!$A$1:$AG$1,0)),INDEX('Margin Guidence Table'!$A$1:$AG$10000,MATCH(1,('Margin Guidence Table'!$A$1:$A$10000=$CP27)*('Margin Guidence Table'!$I$1:$I$10000&lt;=ROUND($CH$3,0))*('Margin Guidence Table'!$J$1:$J$10000&gt;=ROUND($CH$3,0)),0),MATCH("DEFAULT_SALES_CASE",'Margin Guidence Table'!$A$1:$AG$1,0))),0))</f>
        <v>0</v>
      </c>
      <c r="CT27" s="780">
        <f t="array" ref="CT27">IF('Customer Inputs'!$W$7="End",0,IFERROR(IF($CR27="SEGMENT",INDEX('Margin Guidence Table'!$A$1:$AG$10000,MATCH(1,('Margin Guidence Table'!$A$1:$A$10000=$CP27)*('Margin Guidence Table'!$I$1:$I$10000&lt;=ROUND($CH$3,0))*('Margin Guidence Table'!$J$1:$J$10000&gt;=ROUND($CH$3,0)),0),MATCH("SALES_LBS",'Margin Guidence Table'!$A$1:$AG$1,0)),INDEX('Margin Guidence Table'!$A$1:$AG$10000,MATCH(1,('Margin Guidence Table'!$A$1:$A$10000=$CP27)*('Margin Guidence Table'!$I$1:$I$10000&lt;=ROUND($CH$3,0))*('Margin Guidence Table'!$J$1:$J$10000&gt;=ROUND($CH$3,0)),0),MATCH("DEFAULT_SALES_LBS",'Margin Guidence Table'!$A$1:$AG$1,0))),0))</f>
        <v>0</v>
      </c>
      <c r="CU27" s="784">
        <f t="array" ref="CU27">IF('Customer Inputs'!$W$7="End",0,IFERROR(IF($CR27="SEGMENT",INDEX('Margin Guidence Table'!$A$1:$AG$10000,MATCH(1,('Margin Guidence Table'!$A$1:$A$10000=$CP27)*('Margin Guidence Table'!$I$1:$I$10000&lt;=ROUND($CH$3,0))*('Margin Guidence Table'!$J$1:$J$10000&gt;=ROUND($CH$3,0)),0),MATCH("MDA_MIN_MARGIN_GUIDENCE",'Margin Guidence Table'!$A$1:$AG$1,0)),INDEX('Margin Guidence Table'!$A$1:$AG$10000,MATCH(1,('Margin Guidence Table'!$A$1:$A$10000=$CP27)*('Margin Guidence Table'!$I$1:$I$10000&lt;=ROUND($CH$3,0))*('Margin Guidence Table'!$J$1:$J$10000&gt;=ROUND($CH$3,0)),0),MATCH("DEFAULT_MDA_MIN_MARGIN_GUIDENCE",'Margin Guidence Table'!$A$1:$AG$1,0))),0))</f>
        <v>0</v>
      </c>
      <c r="CV27" s="784">
        <f t="array" ref="CV27">IF('Customer Inputs'!$W$7="End",0,IFERROR(IF($CR27="SEGMENT",INDEX('Margin Guidence Table'!$A$1:$AG$10000,MATCH(1,('Margin Guidence Table'!$A$1:$A$10000=$CP27)*('Margin Guidence Table'!$I$1:$I$10000&lt;=ROUND($CH$3,0))*('Margin Guidence Table'!$J$1:$J$10000&gt;=ROUND($CH$3,0)),0),MATCH("MDA_MEDIAN_MARGIN_GUIDENCE",'Margin Guidence Table'!$A$1:$AG$1,0)),INDEX('Margin Guidence Table'!$A$1:$AG$10000,MATCH(1,('Margin Guidence Table'!$A$1:$A$10000=$CP27)*('Margin Guidence Table'!$I$1:$I$10000&lt;=ROUND($CH$3,0))*('Margin Guidence Table'!$J$1:$J$10000&gt;=ROUND($CH$3,0)),0),MATCH("DEFAULT_MDA_MEDIAN_MARGIN_GUIDENCE",'Margin Guidence Table'!$A$1:$AG$1,0))),0))</f>
        <v>0</v>
      </c>
      <c r="CW27" s="784">
        <f t="array" ref="CW27">IF('Customer Inputs'!$W$7="End",0,IFERROR(IF($CR27="SEGMENT",INDEX('Margin Guidence Table'!$A$1:$AG$10000,MATCH(1,('Margin Guidence Table'!$A$1:$A$10000=$CP27)*('Margin Guidence Table'!$I$1:$I$10000&lt;=ROUND($CH$3,0))*('Margin Guidence Table'!$J$1:$J$10000&gt;=ROUND($CH$3,0)),0),MATCH("MDA_MAX_MARGIN_GUIDENCE",'Margin Guidence Table'!$A$1:$AG$1,0)),INDEX('Margin Guidence Table'!$A$1:$AG$10000,MATCH(1,('Margin Guidence Table'!$A$1:$A$10000=$CP27)*('Margin Guidence Table'!$I$1:$I$10000&lt;=ROUND($CH$3,0))*('Margin Guidence Table'!$J$1:$J$10000&gt;=ROUND($CH$3,0)),0),MATCH("DEFAULT_MDA_MAX_MARGIN_GUIDENCE",'Margin Guidence Table'!$A$1:$AG$1,0))),0))</f>
        <v>0</v>
      </c>
      <c r="CX27" s="784">
        <f t="array" ref="CX27">IF('Customer Inputs'!$W$7="End",0,IFERROR(IF($CR27="SEGMENT",INDEX('Margin Guidence Table'!$A$1:$AG$10000,MATCH(1,('Margin Guidence Table'!$A$1:$A$10000=$CP27)*('Margin Guidence Table'!$I$1:$I$10000&lt;=ROUND($CH$3,0))*('Margin Guidence Table'!$J$1:$J$10000&gt;=ROUND($CH$3,0)),0),MATCH("PA_PCT_SALES",'Margin Guidence Table'!$A$1:$AG$1,0)),INDEX('Margin Guidence Table'!$A$1:$AG$10000,MATCH(1,('Margin Guidence Table'!$A$1:$A$10000=$CP27)*('Margin Guidence Table'!$I$1:$I$10000&lt;=ROUND($CH$3,0))*('Margin Guidence Table'!$J$1:$J$10000&gt;=ROUND($CH$3,0)),0),MATCH("DEFAULT_PA_PCT_SALES",'Margin Guidence Table'!$A$1:$AG$1,0))),0))</f>
        <v>0</v>
      </c>
      <c r="CY27" s="784">
        <f t="array" ref="CY27">IF('Customer Inputs'!$W$7="End",0,IFERROR(IF($CR27="SEGMENT",INDEX('Margin Guidence Table'!$A$1:$AG$10000,MATCH(1,('Margin Guidence Table'!$A$1:$A$10000=$CP27)*('Margin Guidence Table'!$I$1:$I$10000&lt;=ROUND($CH$3,0))*('Margin Guidence Table'!$J$1:$J$10000&gt;=ROUND($CH$3,0)),0),MATCH("SELF_FUND_PCT_SALES",'Margin Guidence Table'!$A$1:$AG$1,0)),INDEX('Margin Guidence Table'!$A$1:$AG$10000,MATCH(1,('Margin Guidence Table'!$A$1:$A$10000=$CP27)*('Margin Guidence Table'!$I$1:$I$10000&lt;=ROUND($CH$3,0))*('Margin Guidence Table'!$J$1:$J$10000&gt;=ROUND($CH$3,0)),0),MATCH("DEFAULT_SELF_FUND_PCT_SALES",'Margin Guidence Table'!$A$1:$AG$1,0))),0))</f>
        <v>0</v>
      </c>
      <c r="CZ27" s="784">
        <f t="array" ref="CZ27">IF('Customer Inputs'!$W$7="End",0,IF($CI$2="Existing",IFERROR(SUMIFS('Existing Customers'!$V:$V,'Existing Customers'!$H:$H,$CG27,'Existing Customers'!$A:$A,$CH$1)/SUMIFS('Existing Customers'!$Q:$Q,'Existing Customers'!$H:$H,$CG27,'Existing Customers'!$A:$A,$CH$1),0),IFERROR(IF($CR27="SEGMENT",INDEX('Margin Guidence Table'!$A$1:$AG$10000,MATCH(1,('Margin Guidence Table'!$A$1:$A$10000=$CP27)*('Margin Guidence Table'!$I$1:$I$10000&lt;=ROUND($CH$3,0))*('Margin Guidence Table'!$J$1:$J$10000&gt;=ROUND($CH$3,0)),0),MATCH("CIA_MEDIAN_MARGIN_GUIDENCE",'Margin Guidence Table'!$A$1:$AG$1,0)),INDEX('Margin Guidence Table'!$A$1:$AG$10000,MATCH(1,('Margin Guidence Table'!$A$1:$A$10000=$CP27)*('Margin Guidence Table'!$I$1:$I$10000&lt;=ROUND($CH$3,0))*('Margin Guidence Table'!$J$1:$J$10000&gt;=ROUND($CH$3,0)),0),MATCH("DEFAULT_CIA_MEDIAN_MARGIN_GUIDENCE",'Margin Guidence Table'!$A$1:$AG$1,0))),0)))</f>
        <v>0</v>
      </c>
      <c r="DA27" s="126"/>
      <c r="DB27" s="18">
        <f t="array" ref="DB27">IF('Customer Inputs'!$W$8="End",0,IFERROR(IF($DO27="SEGMENT",INDEX('Margin Guidence Table'!$A$1:$AG$10000,MATCH(1,('Margin Guidence Table'!$A$1:$A$10000=$DM27)*('Margin Guidence Table'!$I$1:$I$10000&lt;=ROUND($DE$3,0))*('Margin Guidence Table'!$J$1:$J$10000&gt;=ROUND($DE$3,0)),0),MATCH("PCT_SALES",'Margin Guidence Table'!$A$1:$AG$1,0)),INDEX('Margin Guidence Table'!$A$1:$AG$10000,MATCH(1,('Margin Guidence Table'!$A$1:$A$10000=$DM27)*('Margin Guidence Table'!$I$1:$I$10000&lt;=ROUND($DE$3,0))*('Margin Guidence Table'!$J$1:$J$10000&gt;=ROUND($DE$3,0)),0),MATCH("DEFAULT_PCT_SALES",'Margin Guidence Table'!$A$1:$AG$1,0))),0))</f>
        <v>0</v>
      </c>
      <c r="DC27" s="297" t="e">
        <f t="shared" si="36"/>
        <v>#DIV/0!</v>
      </c>
      <c r="DD27" s="99" t="s">
        <v>92</v>
      </c>
      <c r="DE27" s="91">
        <f>IF('Customer Inputs'!$W$8="End",0,IFERROR(IF(AND($DE$2&lt;&gt;"Enter Spend&gt;&gt;&gt;",$DF$2="EXISTING"),SUMIFS('Existing Customers'!$Q:$Q,'Existing Customers'!$A:$A,$DE$1,'Existing Customers'!$H:$H,$DD27)*$DE$4,$DE$3*$DC27),0))</f>
        <v>0</v>
      </c>
      <c r="DF27" s="86">
        <f>IF('Customer Inputs'!$W$8="End",0,IFERROR(IF(AND($DE$2&lt;&gt;"Enter Spend&gt;&gt;&gt;",$DF$2="EXISTING"),SUMIFS('Existing Customers'!$N:$N,'Existing Customers'!$A:$A,$DE$1,'Existing Customers'!$H:$H,$DD27)*$DE$4,$DE27/$DP27),0))</f>
        <v>0</v>
      </c>
      <c r="DG27" s="92">
        <f>IF('Customer Inputs'!$W$8="End",0,IFERROR(IF(AND($DE$2&lt;&gt;"Enter Spend&gt;&gt;&gt;",$DF$2="EXISTING"),SUMIFS('Existing Customers'!$O:$O,'Existing Customers'!$H:$H,$DD27,'Existing Customers'!$A:$A,$DE$1)*$DE$4,$DF27*$DE$8),0))</f>
        <v>0</v>
      </c>
      <c r="DH27" s="92">
        <f>IF('Customer Inputs'!$W$8="End",0,IFERROR(IF(AND($DE$2&lt;&gt;"Enter Spend&gt;&gt;&gt;",$DF$2="EXISTING"),SUMIFS('Existing Customers'!$P:$P,'Existing Customers'!$A:$A,$DE$1,'Existing Customers'!$H:$H,$DD27)*$DE$4,$DE27/$DQ27),0))</f>
        <v>0</v>
      </c>
      <c r="DI27" s="93">
        <f>IF('Customer Inputs'!$W$8="End",0,IFERROR(IF(AND($DE$2&lt;&gt;"Enter Spend&gt;&gt;&gt;",$DF$2="EXISTING"),SUMIFS('Existing Customers'!$V:$V,'Existing Customers'!$H:$H,$DD27,'Existing Customers'!$A:$A,$DE$1)*$DE$4,0),0))</f>
        <v>0</v>
      </c>
      <c r="DJ27" s="93">
        <f>IF('Customer Inputs'!$W$8="End",0,IFERROR(IF(AND($DE$2&lt;&gt;"Enter Spend&gt;&gt;&gt;",$DF$2="EXISTING"),SUMIFS('Existing Customers'!$R:$R,'Existing Customers'!$H:$H,$DD27,'Existing Customers'!$A:$A,$DE$1)*$DE$4,0),0))</f>
        <v>0</v>
      </c>
      <c r="DK27" s="780">
        <f>IF('Customer Inputs'!$W$8="End",0,IFERROR(IF(AND($DE$2&lt;&gt;"Enter Spend&gt;&gt;&gt;",$DF$2="EXISTING"),SUMIFS('Existing Customers'!$S:$S,'Existing Customers'!$H:$H,$DD27,'Existing Customers'!$A:$A,$DE$1)/SUMIFS('Existing Customers'!$Q:$Q,'Existing Customers'!$A:$A,$DE$1,'Existing Customers'!$H:$H,$DD27),DU27),0))</f>
        <v>0</v>
      </c>
      <c r="DL27" s="780">
        <f>IF('Customer Inputs'!$W$8="End",0,IFERROR(IF(AND($DE$2&lt;&gt;"Enter Spend&gt;&gt;&gt;",$DF$2="EXISTING"),SUMIFS('Existing Customers'!$U:$U,'Existing Customers'!$H:$H,$DD27,'Existing Customers'!$A:$A,$DE$1)/SUMIFS('Existing Customers'!$Q:$Q,'Existing Customers'!$A:$A,$DE$1,'Existing Customers'!$H:$H,$DD27),DV27),0))</f>
        <v>0</v>
      </c>
      <c r="DM27" s="783" t="e">
        <f>_xlfn.CONCAT('Customer Inputs'!$AH$8,"_",DD27)</f>
        <v>#N/A</v>
      </c>
      <c r="DN27" s="783">
        <f t="array" ref="DN27">IF('Customer Inputs'!$W$8="End",0,IFERROR(INDEX('Margin Guidence Table'!$A$1:$AG$10000,MATCH(1,('Margin Guidence Table'!$A$1:$A$10000=DM27)*('Margin Guidence Table'!$I$1:$I$10000&lt;=ROUND($DE$3,0))*('Margin Guidence Table'!$J$1:$J$10000&gt;=ROUND($DE$3,0)),0),MATCH("DATA_POINTS",'Margin Guidence Table'!$A$1:$AG$1,0)),0))</f>
        <v>0</v>
      </c>
      <c r="DO27" s="780" t="str">
        <f t="shared" si="37"/>
        <v>DEFAULT</v>
      </c>
      <c r="DP27" s="780">
        <f t="array" ref="DP27">IF('Customer Inputs'!$W$8="End",0,IFERROR(IF($DO27="SEGMENT",INDEX('Margin Guidence Table'!$A$1:$AG$10000,MATCH(1,('Margin Guidence Table'!$A$1:$A$10000=DM27)*('Margin Guidence Table'!$I$1:$I$10000&lt;=ROUND($DE$3,0))*('Margin Guidence Table'!$J$1:$J$10000&gt;=ROUND($DE$3,0)),0),MATCH("SALES_CASE",'Margin Guidence Table'!$A$1:$AG$1,0)),INDEX('Margin Guidence Table'!$A$1:$AG$10000,MATCH(1,('Margin Guidence Table'!$A$1:$A$10000=DM27)*('Margin Guidence Table'!$I$1:$I$10000&lt;=ROUND($DE$3,0))*('Margin Guidence Table'!$J$1:$J$10000&gt;=ROUND($DE$3,0)),0),MATCH("DEFAULT_SALES_CASE",'Margin Guidence Table'!$A$1:$AG$1,0))),0))</f>
        <v>0</v>
      </c>
      <c r="DQ27" s="780">
        <f t="array" ref="DQ27">IF('Customer Inputs'!$W$8="End",0,IFERROR(IF($DO27="SEGMENT",INDEX('Margin Guidence Table'!$A$1:$AG$10000,MATCH(1,('Margin Guidence Table'!$A$1:$A$10000=DM27)*('Margin Guidence Table'!$I$1:$I$10000&lt;=ROUND($DE$3,0))*('Margin Guidence Table'!$J$1:$J$10000&gt;=ROUND($DE$3,0)),0),MATCH("SALES_LBS",'Margin Guidence Table'!$A$1:$AG$1,0)),INDEX('Margin Guidence Table'!$A$1:$AG$10000,MATCH(1,('Margin Guidence Table'!$A$1:$A$10000=DM27)*('Margin Guidence Table'!$I$1:$I$10000&lt;=ROUND($DE$3,0))*('Margin Guidence Table'!$J$1:$J$10000&gt;=ROUND($DE$3,0)),0),MATCH("DEFAULT_SALES_LBS",'Margin Guidence Table'!$A$1:$AG$1,0))),0))</f>
        <v>0</v>
      </c>
      <c r="DR27" s="784">
        <f t="array" ref="DR27">IF('Customer Inputs'!$W$8="End",0,IFERROR(IF($DO27="SEGMENT",INDEX('Margin Guidence Table'!$A$1:$AG$10000,MATCH(1,('Margin Guidence Table'!$A$1:$A$10000=DM27)*('Margin Guidence Table'!$I$1:$I$10000&lt;=ROUND($DE$3,0))*('Margin Guidence Table'!$J$1:$J$10000&gt;=ROUND($DE$3,0)),0),MATCH("MDA_MIN_MARGIN_GUIDENCE",'Margin Guidence Table'!$A$1:$AG$1,0)),INDEX('Margin Guidence Table'!$A$1:$AG$10000,MATCH(1,('Margin Guidence Table'!$A$1:$A$10000=DM27)*('Margin Guidence Table'!$I$1:$I$10000&lt;=ROUND($DE$3,0))*('Margin Guidence Table'!$J$1:$J$10000&gt;=ROUND($DE$3,0)),0),MATCH("DEFAULT_MDA_MIN_MARGIN_GUIDENCE",'Margin Guidence Table'!$A$1:$AG$1,0))),0))</f>
        <v>0</v>
      </c>
      <c r="DS27" s="784">
        <f t="array" ref="DS27">IF('Customer Inputs'!$W$8="End",0,IFERROR(IF($DO27="SEGMENT",INDEX('Margin Guidence Table'!$A$1:$AG$10000,MATCH(1,('Margin Guidence Table'!$A$1:$A$10000=DM27)*('Margin Guidence Table'!$I$1:$I$10000&lt;=ROUND($DE$3,0))*('Margin Guidence Table'!$J$1:$J$10000&gt;=ROUND($DE$3,0)),0),MATCH("MDA_MEDIAN_MARGIN_GUIDENCE",'Margin Guidence Table'!$A$1:$AG$1,0)),INDEX('Margin Guidence Table'!$A$1:$AG$10000,MATCH(1,('Margin Guidence Table'!$A$1:$A$10000=DM27)*('Margin Guidence Table'!$I$1:$I$10000&lt;=ROUND($DE$3,0))*('Margin Guidence Table'!$J$1:$J$10000&gt;=ROUND($DE$3,0)),0),MATCH("DEFAULT_MDA_MEDIAN_MARGIN_GUIDENCE",'Margin Guidence Table'!$A$1:$AG$1,0))),0))</f>
        <v>0</v>
      </c>
      <c r="DT27" s="784">
        <f t="array" ref="DT27">IF('Customer Inputs'!$W$8="End",0,IFERROR(IF($DO27="SEGMENT",INDEX('Margin Guidence Table'!$A$1:$AG$10000,MATCH(1,('Margin Guidence Table'!$A$1:$A$10000=DM27)*('Margin Guidence Table'!$I$1:$I$10000&lt;=ROUND($DE$3,0))*('Margin Guidence Table'!$J$1:$J$10000&gt;=ROUND($DE$3,0)),0),MATCH("MDA_MAX_MARGIN_GUIDENCE",'Margin Guidence Table'!$A$1:$AG$1,0)),INDEX('Margin Guidence Table'!$A$1:$AG$10000,MATCH(1,('Margin Guidence Table'!$A$1:$A$10000=DM27)*('Margin Guidence Table'!$I$1:$I$10000&lt;=ROUND($DE$3,0))*('Margin Guidence Table'!$J$1:$J$10000&gt;=ROUND($DE$3,0)),0),MATCH("DEFAULT_MDA_MAX_MARGIN_GUIDENCE",'Margin Guidence Table'!$A$1:$AG$1,0))),0))</f>
        <v>0</v>
      </c>
      <c r="DU27" s="784">
        <f t="array" ref="DU27">IF('Customer Inputs'!$W$8="End",0,IFERROR(IF($DO27="SEGMENT",INDEX('Margin Guidence Table'!$A$1:$AG$10000,MATCH(1,('Margin Guidence Table'!$A$1:$A$10000=DM27)*('Margin Guidence Table'!$I$1:$I$10000&lt;=ROUND($DE$3,0))*('Margin Guidence Table'!$J$1:$J$10000&gt;=ROUND($DE$3,0)),0),MATCH("PA_PCT_SALES",'Margin Guidence Table'!$A$1:$AG$1,0)),INDEX('Margin Guidence Table'!$A$1:$AG$10000,MATCH(1,('Margin Guidence Table'!$A$1:$A$10000=DM27)*('Margin Guidence Table'!$I$1:$I$10000&lt;=ROUND($DE$3,0))*('Margin Guidence Table'!$J$1:$J$10000&gt;=ROUND($DE$3,0)),0),MATCH("DEFAULT_PA_PCT_SALES",'Margin Guidence Table'!$A$1:$AG$1,0))),0))</f>
        <v>0</v>
      </c>
      <c r="DV27" s="784">
        <f t="array" ref="DV27">IF('Customer Inputs'!$W$8="End",0,IFERROR(IF($DO27="SEGMENT",INDEX('Margin Guidence Table'!$A$1:$AG$10000,MATCH(1,('Margin Guidence Table'!$A$1:$A$10000=DM27)*('Margin Guidence Table'!$I$1:$I$10000&lt;=ROUND($DE$3,0))*('Margin Guidence Table'!$J$1:$J$10000&gt;=ROUND($DE$3,0)),0),MATCH("SELF_FUND_PCT_SALES",'Margin Guidence Table'!$A$1:$AG$1,0)),INDEX('Margin Guidence Table'!$A$1:$AG$10000,MATCH(1,('Margin Guidence Table'!$A$1:$A$10000=DM27)*('Margin Guidence Table'!$I$1:$I$10000&lt;=ROUND($DE$3,0))*('Margin Guidence Table'!$J$1:$J$10000&gt;=ROUND($DE$3,0)),0),MATCH("DEFAULT_SELF_FUND_PCT_SALES",'Margin Guidence Table'!$A$1:$AG$1,0))),0))</f>
        <v>0</v>
      </c>
      <c r="DW27" s="784">
        <f t="array" ref="DW27">IF('Customer Inputs'!$W$8="End",0,IF($DF$2="Existing",IFERROR(SUMIFS('Existing Customers'!$V:$V,'Existing Customers'!$H:$H,$DD27,'Existing Customers'!$A:$A,$DE$1)/SUMIFS('Existing Customers'!$Q:$Q,'Existing Customers'!$H:$H,$DD27,'Existing Customers'!$A:$A,$DE$1),0),IFERROR(IF($DO27="SEGMENT",INDEX('Margin Guidence Table'!$A$1:$AG$10000,MATCH(1,('Margin Guidence Table'!$A$1:$A$10000=DM27)*('Margin Guidence Table'!$I$1:$I$10000&lt;=ROUND($DE$3,0))*('Margin Guidence Table'!$J$1:$J$10000&gt;=ROUND($DE$3,0)),0),MATCH("CIA_MEDIAN_MARGIN_GUIDENCE",'Margin Guidence Table'!$A$1:$AG$1,0)),INDEX('Margin Guidence Table'!$A$1:$AG$10000,MATCH(1,('Margin Guidence Table'!$A$1:$A$10000=DM27)*('Margin Guidence Table'!$I$1:$I$10000&lt;=ROUND($DE$3,0))*('Margin Guidence Table'!$J$1:$J$10000&gt;=ROUND($DE$3,0)),0),MATCH("DEFAULT_CIA_MEDIAN_MARGIN_GUIDENCE",'Margin Guidence Table'!$A$1:$AG$1,0))),0)))</f>
        <v>0</v>
      </c>
      <c r="DX27" s="126"/>
      <c r="DY27" s="18">
        <f t="array" ref="DY27">IF('Customer Inputs'!$W$9="End",0,IFERROR(IF($EL27="SEGMENT",INDEX('Margin Guidence Table'!$A$1:$AG$10000,MATCH(1,('Margin Guidence Table'!$A$1:$A$10000=$EJ27)*('Margin Guidence Table'!$I$1:$I$10000&lt;=ROUND($EB$3,0))*('Margin Guidence Table'!$J$1:$J$10000&gt;=ROUND($EB$3,0)),0),MATCH("PCT_SALES",'Margin Guidence Table'!$A$1:$AG$1,0)),INDEX('Margin Guidence Table'!$A$1:$AG$10000,MATCH(1,('Margin Guidence Table'!$A$1:$A$10000=$EJ27)*('Margin Guidence Table'!$I$1:$I$10000&lt;=ROUND($EB$3,0))*('Margin Guidence Table'!$J$1:$J$10000&gt;=ROUND($EB$3,0)),0),MATCH("DEFAULT_PCT_SALES",'Margin Guidence Table'!$A$1:$AG$1,0))),0))</f>
        <v>0</v>
      </c>
      <c r="DZ27" s="297" t="e">
        <f t="shared" si="38"/>
        <v>#DIV/0!</v>
      </c>
      <c r="EA27" s="99" t="s">
        <v>92</v>
      </c>
      <c r="EB27" s="91">
        <f>IF('Customer Inputs'!$W$9="End",0,IFERROR(IF(AND($EB$2&lt;&gt;"Enter Spend&gt;&gt;&gt;",$EC$2="EXISTING"),SUMIFS('Existing Customers'!$Q:$Q,'Existing Customers'!$A:$A,$EB$1,'Existing Customers'!$H:$H,$EA27)*$EB$4,$EB$3*$DZ27),0))</f>
        <v>0</v>
      </c>
      <c r="EC27" s="86">
        <f>IF('Customer Inputs'!$W$9="End",0,IFERROR(IF(AND($EB$2&lt;&gt;"Enter Spend&gt;&gt;&gt;",$EC$2="EXISTING"),SUMIFS('Existing Customers'!$N:$N,'Existing Customers'!$A:$A,$EB$1,'Existing Customers'!$H:$H,$EA27)*$EB$4,$EB27/$EM27),0))</f>
        <v>0</v>
      </c>
      <c r="ED27" s="92">
        <f>IF('Customer Inputs'!$W$9="End",0,IFERROR(IF(AND($EB$2&lt;&gt;"Enter Spend&gt;&gt;&gt;",$EC$2="EXISTING"),SUMIFS('Existing Customers'!$O:$O,'Existing Customers'!$H:$H,$EA27,'Existing Customers'!$A:$A,$EB$1)*$EB$4,$EC27*$EB$8),0))</f>
        <v>0</v>
      </c>
      <c r="EE27" s="92">
        <f>IF('Customer Inputs'!$W$9="End",0,IFERROR(IF(AND($EB$2&lt;&gt;"Enter Spend&gt;&gt;&gt;",$EC$2="EXISTING"),SUMIFS('Existing Customers'!$P:$P,'Existing Customers'!$A:$A,$EB$1,'Existing Customers'!$H:$H,$EA27)*$EB$4,$EB27/$EN27),0))</f>
        <v>0</v>
      </c>
      <c r="EF27" s="93">
        <f>IF('Customer Inputs'!$W$9="End",0,IFERROR(IF(AND($EB$2&lt;&gt;"Enter Spend&gt;&gt;&gt;",$EC$2="EXISTING"),SUMIFS('Existing Customers'!$V:$V,'Existing Customers'!$H:$H,$EA27,'Existing Customers'!$A:$A,$EB$1)*$EB$4,0),0))</f>
        <v>0</v>
      </c>
      <c r="EG27" s="93">
        <f>IF('Customer Inputs'!$W$9="End",0,IFERROR(IF(AND($EB$2&lt;&gt;"Enter Spend&gt;&gt;&gt;",$EC$2="EXISTING"),SUMIFS('Existing Customers'!$R:$R,'Existing Customers'!$H:$H,$EA27,'Existing Customers'!$A:$A,$EB$1)*$EB$4,0),0))</f>
        <v>0</v>
      </c>
      <c r="EH27" s="780">
        <f>IF('Customer Inputs'!$W$9="End",0,IFERROR(IF(AND($EB$2&lt;&gt;"Enter Spend&gt;&gt;&gt;",$EC$2="EXISTING"),SUMIFS('Existing Customers'!$S:$S,'Existing Customers'!$H:$H,$EA27,'Existing Customers'!$A:$A,$EB$1)/SUMIFS('Existing Customers'!$Q:$Q,'Existing Customers'!$A:$A,$EB$1,'Existing Customers'!$H:$H,$EA27),ER27),0))</f>
        <v>0</v>
      </c>
      <c r="EI27" s="780">
        <f>IF('Customer Inputs'!$W$9="End",0,IFERROR(IF(AND($EB$2&lt;&gt;"Enter Spend&gt;&gt;&gt;",$EC$2="EXISTING"),SUMIFS('Existing Customers'!$U:$U,'Existing Customers'!$H:$H,$EA27,'Existing Customers'!$A:$A,$EB$1)/SUMIFS('Existing Customers'!$Q:$Q,'Existing Customers'!$A:$A,$EB$1,'Existing Customers'!$H:$H,$EA27),ES27),0))</f>
        <v>0</v>
      </c>
      <c r="EJ27" s="783" t="e">
        <f>_xlfn.CONCAT('Customer Inputs'!$AH$9,"_",EA27)</f>
        <v>#N/A</v>
      </c>
      <c r="EK27" s="783">
        <f t="array" ref="EK27">IF('Customer Inputs'!$W$9="End",0,IFERROR(INDEX('Margin Guidence Table'!$A$1:$AG$10000,MATCH(1,('Margin Guidence Table'!$A$1:$A$10000=EJ27)*('Margin Guidence Table'!$I$1:$I$10000&lt;=ROUND($EB$3,0))*('Margin Guidence Table'!$J$1:$J$10000&gt;=ROUND($EB$3,0)),0),MATCH("DATA_POINTS",'Margin Guidence Table'!$A$1:$AG$1,0)),0))</f>
        <v>0</v>
      </c>
      <c r="EL27" s="780" t="str">
        <f t="shared" si="39"/>
        <v>DEFAULT</v>
      </c>
      <c r="EM27" s="780">
        <f t="array" ref="EM27">IF('Customer Inputs'!$W$9="End",0,IFERROR(IF($EL27="SEGMENT",INDEX('Margin Guidence Table'!$A$1:$AG$10000,MATCH(1,('Margin Guidence Table'!$A$1:$A$10000=EJ27)*('Margin Guidence Table'!$I$1:$I$10000&lt;=ROUND($EB$3,0))*('Margin Guidence Table'!$J$1:$J$10000&gt;=ROUND($EB$3,0)),0),MATCH("SALES_CASE",'Margin Guidence Table'!$A$1:$AG$1,0)),INDEX('Margin Guidence Table'!$A$1:$AG$10000,MATCH(1,('Margin Guidence Table'!$A$1:$A$10000=EJ27)*('Margin Guidence Table'!$I$1:$I$10000&lt;=ROUND($EB$3,0))*('Margin Guidence Table'!$J$1:$J$10000&gt;=ROUND($EB$3,0)),0),MATCH("DEFAULT_SALES_CASE",'Margin Guidence Table'!$A$1:$AG$1,0))),0))</f>
        <v>0</v>
      </c>
      <c r="EN27" s="780">
        <f t="array" ref="EN27">IF('Customer Inputs'!$W$9="End",0,IFERROR(IF($EL27="SEGMENT",INDEX('Margin Guidence Table'!$A$1:$AG$10000,MATCH(1,('Margin Guidence Table'!$A$1:$A$10000=EJ27)*('Margin Guidence Table'!$I$1:$I$10000&lt;=ROUND($EB$3,0))*('Margin Guidence Table'!$J$1:$J$10000&gt;=ROUND($EB$3,0)),0),MATCH("SALES_LBS",'Margin Guidence Table'!$A$1:$AG$1,0)),INDEX('Margin Guidence Table'!$A$1:$AG$10000,MATCH(1,('Margin Guidence Table'!$A$1:$A$10000=EJ27)*('Margin Guidence Table'!$I$1:$I$10000&lt;=ROUND($EB$3,0))*('Margin Guidence Table'!$J$1:$J$10000&gt;=ROUND($EB$3,0)),0),MATCH("DEFAULT_SALES_LBS",'Margin Guidence Table'!$A$1:$AG$1,0))),0))</f>
        <v>0</v>
      </c>
      <c r="EO27" s="784">
        <f t="array" ref="EO27">IF('Customer Inputs'!$W$9="End",0,IFERROR(IF($EL27="SEGMENT",INDEX('Margin Guidence Table'!$A$1:$AG$10000,MATCH(1,('Margin Guidence Table'!$A$1:$A$10000=EJ27)*('Margin Guidence Table'!$I$1:$I$10000&lt;=ROUND($EB$3,0))*('Margin Guidence Table'!$J$1:$J$10000&gt;=ROUND($EB$3,0)),0),MATCH("MDA_MIN_MARGIN_GUIDENCE",'Margin Guidence Table'!$A$1:$AG$1,0)),INDEX('Margin Guidence Table'!$A$1:$AG$10000,MATCH(1,('Margin Guidence Table'!$A$1:$A$10000=EJ27)*('Margin Guidence Table'!$I$1:$I$10000&lt;=ROUND($EB$3,0))*('Margin Guidence Table'!$J$1:$J$10000&gt;=ROUND($EB$3,0)),0),MATCH("DEFAULT_MDA_MIN_MARGIN_GUIDENCE",'Margin Guidence Table'!$A$1:$AG$1,0))),0))</f>
        <v>0</v>
      </c>
      <c r="EP27" s="784">
        <f t="array" ref="EP27">IF('Customer Inputs'!$W$9="End",0,IFERROR(IF($EL27="SEGMENT",INDEX('Margin Guidence Table'!$A$1:$AG$10000,MATCH(1,('Margin Guidence Table'!$A$1:$A$10000=EJ27)*('Margin Guidence Table'!$I$1:$I$10000&lt;=ROUND($EB$3,0))*('Margin Guidence Table'!$J$1:$J$10000&gt;=ROUND($EB$3,0)),0),MATCH("MDA_MEDIAN_MARGIN_GUIDENCE",'Margin Guidence Table'!$A$1:$AG$1,0)),INDEX('Margin Guidence Table'!$A$1:$AG$10000,MATCH(1,('Margin Guidence Table'!$A$1:$A$10000=EJ27)*('Margin Guidence Table'!$I$1:$I$10000&lt;=ROUND($EB$3,0))*('Margin Guidence Table'!$J$1:$J$10000&gt;=ROUND($EB$3,0)),0),MATCH("DEFAULT_MDA_MEDIAN_MARGIN_GUIDENCE",'Margin Guidence Table'!$A$1:$AG$1,0))),0))</f>
        <v>0</v>
      </c>
      <c r="EQ27" s="784">
        <f t="array" ref="EQ27">IF('Customer Inputs'!$W$9="End",0,IFERROR(IF($EL27="SEGMENT",INDEX('Margin Guidence Table'!$A$1:$AG$10000,MATCH(1,('Margin Guidence Table'!$A$1:$A$10000=EJ27)*('Margin Guidence Table'!$I$1:$I$10000&lt;=ROUND($EB$3,0))*('Margin Guidence Table'!$J$1:$J$10000&gt;=ROUND($EB$3,0)),0),MATCH("MDA_MAX_MARGIN_GUIDENCE",'Margin Guidence Table'!$A$1:$AG$1,0)),INDEX('Margin Guidence Table'!$A$1:$AG$10000,MATCH(1,('Margin Guidence Table'!$A$1:$A$10000=EJ27)*('Margin Guidence Table'!$I$1:$I$10000&lt;=ROUND($EB$3,0))*('Margin Guidence Table'!$J$1:$J$10000&gt;=ROUND($EB$3,0)),0),MATCH("DEFAULT_MDA_MAX_MARGIN_GUIDENCE",'Margin Guidence Table'!$A$1:$AG$1,0))),0))</f>
        <v>0</v>
      </c>
      <c r="ER27" s="784">
        <f t="array" ref="ER27">IF('Customer Inputs'!$W$9="End",0,IFERROR(IF($EL27="SEGMENT",INDEX('Margin Guidence Table'!$A$1:$AG$10000,MATCH(1,('Margin Guidence Table'!$A$1:$A$10000=EJ27)*('Margin Guidence Table'!$I$1:$I$10000&lt;=ROUND($EB$3,0))*('Margin Guidence Table'!$J$1:$J$10000&gt;=ROUND($EB$3,0)),0),MATCH("PA_PCT_SALES",'Margin Guidence Table'!$A$1:$AG$1,0)),INDEX('Margin Guidence Table'!$A$1:$AG$10000,MATCH(1,('Margin Guidence Table'!$A$1:$A$10000=EJ27)*('Margin Guidence Table'!$I$1:$I$10000&lt;=ROUND($EB$3,0))*('Margin Guidence Table'!$J$1:$J$10000&gt;=ROUND($EB$3,0)),0),MATCH("DEFAULT_PA_PCT_SALES",'Margin Guidence Table'!$A$1:$AG$1,0))),0))</f>
        <v>0</v>
      </c>
      <c r="ES27" s="784">
        <f t="array" ref="ES27">IF('Customer Inputs'!$W$9="End",0,IFERROR(IF($EL27="SEGMENT",INDEX('Margin Guidence Table'!$A$1:$AG$10000,MATCH(1,('Margin Guidence Table'!$A$1:$A$10000=EJ27)*('Margin Guidence Table'!$I$1:$I$10000&lt;=ROUND($EB$3,0))*('Margin Guidence Table'!$J$1:$J$10000&gt;=ROUND($EB$3,0)),0),MATCH("SELF_FUND_PCT_SALES",'Margin Guidence Table'!$A$1:$AG$1,0)),INDEX('Margin Guidence Table'!$A$1:$AG$10000,MATCH(1,('Margin Guidence Table'!$A$1:$A$10000=EJ27)*('Margin Guidence Table'!$I$1:$I$10000&lt;=ROUND($EB$3,0))*('Margin Guidence Table'!$J$1:$J$10000&gt;=ROUND($EB$3,0)),0),MATCH("DEFAULT_SELF_FUND_PCT_SALES",'Margin Guidence Table'!$A$1:$AG$1,0))),0))</f>
        <v>0</v>
      </c>
      <c r="ET27" s="784">
        <f t="array" ref="ET27">IF('Customer Inputs'!$W$9="End",0,IF($EC$2="Existing",IFERROR(SUMIFS('Existing Customers'!$V:$V,'Existing Customers'!$H:$H,$EA27,'Existing Customers'!$A:$A,$EB$1)/SUMIFS('Existing Customers'!$Q:$Q,'Existing Customers'!$H:$H,$EA27,'Existing Customers'!$A:$A,$EB$1),0),IFERROR(IF($EL27="SEGMENT",INDEX('Margin Guidence Table'!$A$1:$AG$10000,MATCH(1,('Margin Guidence Table'!$A$1:$A$10000=EJ27)*('Margin Guidence Table'!$I$1:$I$10000&lt;=ROUND($EB$3,0))*('Margin Guidence Table'!$J$1:$J$10000&gt;=ROUND($EB$3,0)),0),MATCH("CIA_MEDIAN_MARGIN_GUIDENCE",'Margin Guidence Table'!$A$1:$AG$1,0)),INDEX('Margin Guidence Table'!$A$1:$AG$10000,MATCH(1,('Margin Guidence Table'!$A$1:$A$10000=EJ27)*('Margin Guidence Table'!$I$1:$I$10000&lt;=ROUND($EB$3,0))*('Margin Guidence Table'!$J$1:$J$10000&gt;=ROUND($EB$3,0)),0),MATCH("DEFAULT_CIA_MEDIAN_MARGIN_GUIDENCE",'Margin Guidence Table'!$A$1:$AG$1,0))),0)))</f>
        <v>0</v>
      </c>
      <c r="EU27" s="126"/>
      <c r="EV27" s="18">
        <f t="array" ref="EV27">IF('Customer Inputs'!$W$10="End",0,IFERROR(IF($FI27="SEGMENT",INDEX('Margin Guidence Table'!$A$1:$AG$10000,MATCH(1,('Margin Guidence Table'!$A$1:$A$10000=$FG27)*('Margin Guidence Table'!$I$1:$I$10000&lt;=ROUND($EY$3,0))*('Margin Guidence Table'!$J$1:$J$10000&gt;=ROUND($EY$3,0)),0),MATCH("PCT_SALES",'Margin Guidence Table'!$A$1:$AG$1,0)),INDEX('Margin Guidence Table'!$A$1:$AG$10000,MATCH(1,('Margin Guidence Table'!$A$1:$A$10000=$FG27)*('Margin Guidence Table'!$I$1:$I$10000&lt;=ROUND($EY$3,0))*('Margin Guidence Table'!$J$1:$J$10000&gt;=ROUND($EY$3,0)),0),MATCH("DEFAULT_PCT_SALES",'Margin Guidence Table'!$A$1:$AG$1,0))),0))</f>
        <v>0</v>
      </c>
      <c r="EW27" s="297" t="e">
        <f t="shared" si="40"/>
        <v>#DIV/0!</v>
      </c>
      <c r="EX27" s="99" t="s">
        <v>92</v>
      </c>
      <c r="EY27" s="91">
        <f>IF('Customer Inputs'!$W$10="End",0,IFERROR(IF(AND($EY$2&lt;&gt;"Enter Spend&gt;&gt;&gt;",$EZ$2="EXISTING"),SUMIFS('Existing Customers'!$Q:$Q,'Existing Customers'!$A:$A,$EY$1,'Existing Customers'!$H:$H,$EX27)*$EY$4,$EY$3*$EW27),0))</f>
        <v>0</v>
      </c>
      <c r="EZ27" s="86">
        <f>IF('Customer Inputs'!$W$10="End",0,IFERROR(IF(AND($EY$2&lt;&gt;"Enter Spend&gt;&gt;&gt;",$EZ$2="EXISTING"),SUMIFS('Existing Customers'!$N:$N,'Existing Customers'!$A:$A,$EY$1,'Existing Customers'!$H:$H,$EX27)*$EY$4,$EY27/$FJ27),0))</f>
        <v>0</v>
      </c>
      <c r="FA27" s="92">
        <f>IF('Customer Inputs'!$W$10="End",0,IFERROR(IF(AND($EY$2&lt;&gt;"Enter Spend&gt;&gt;&gt;",$EZ$2="EXISTING"),SUMIFS('Existing Customers'!$O:$O,'Existing Customers'!$H:$H,$EX27,'Existing Customers'!$A:$A,$EY$1)*$EY$4,$EZ27*$EY$8),0))</f>
        <v>0</v>
      </c>
      <c r="FB27" s="92">
        <f>IF('Customer Inputs'!$W$10="End",0,IFERROR(IF(AND($EY$2&lt;&gt;"Enter Spend&gt;&gt;&gt;",$EZ$2="EXISTING"),SUMIFS('Existing Customers'!$P:$P,'Existing Customers'!$A:$A,$EY$1,'Existing Customers'!$H:$H,$EX27)*$EY$4,$EY27/$FK27),0))</f>
        <v>0</v>
      </c>
      <c r="FC27" s="93">
        <f>IF('Customer Inputs'!$W$10="End",0,IFERROR(IF(AND($EY$2&lt;&gt;"Enter Spend&gt;&gt;&gt;",$EZ$2="EXISTING"),SUMIFS('Existing Customers'!$V:$V,'Existing Customers'!$H:$H,$EX27,'Existing Customers'!$A:$A,$EY$1)*$EY$4,0),0))</f>
        <v>0</v>
      </c>
      <c r="FD27" s="93">
        <f>IF('Customer Inputs'!$W$10="End",0,IFERROR(IF(AND($EY$2&lt;&gt;"Enter Spend&gt;&gt;&gt;",$EZ$2="EXISTING"),SUMIFS('Existing Customers'!$R:$R,'Existing Customers'!$H:$H,$EX27,'Existing Customers'!$A:$A,$EY$1)*$EY$4,0),0))</f>
        <v>0</v>
      </c>
      <c r="FE27" s="780">
        <f>IF('Customer Inputs'!$W$10="End",0,IFERROR(IF(AND($EY$2&lt;&gt;"Enter Spend&gt;&gt;&gt;",$EZ$2="EXISTING"),SUMIFS('Existing Customers'!$S:$S,'Existing Customers'!$H:$H,$EX27,'Existing Customers'!$A:$A,$EY$1)/SUMIFS('Existing Customers'!$Q:$Q,'Existing Customers'!$A:$A,$EY$1,'Existing Customers'!$H:$H,$EX27),FO27),0))</f>
        <v>0</v>
      </c>
      <c r="FF27" s="780">
        <f>IF('Customer Inputs'!$W$10="End",0,IFERROR(IF(AND($EY$2&lt;&gt;"Enter Spend&gt;&gt;&gt;",$EZ$2="EXISTING"),SUMIFS('Existing Customers'!$U:$U,'Existing Customers'!$H:$H,$EX27,'Existing Customers'!$A:$A,$EY$1)/SUMIFS('Existing Customers'!$Q:$Q,'Existing Customers'!$A:$A,$EY$1,'Existing Customers'!$H:$H,$EX27),FP27),0))</f>
        <v>0</v>
      </c>
      <c r="FG27" s="783" t="e">
        <f>_xlfn.CONCAT('Customer Inputs'!$AH$10,"_",EX27)</f>
        <v>#N/A</v>
      </c>
      <c r="FH27" s="783">
        <f t="array" ref="FH27">IF('Customer Inputs'!$W$10="End",0,IFERROR(INDEX('Margin Guidence Table'!$A$1:$AG$10000,MATCH(1,('Margin Guidence Table'!$A$1:$A$10000=FG27)*('Margin Guidence Table'!$I$1:$I$10000&lt;=ROUND($EY$3,0))*('Margin Guidence Table'!$J$1:$J$10000&gt;=ROUND($EY$3,0)),0),MATCH("DATA_POINTS",'Margin Guidence Table'!$A$1:$AG$1,0)),0))</f>
        <v>0</v>
      </c>
      <c r="FI27" s="780" t="str">
        <f t="shared" si="41"/>
        <v>DEFAULT</v>
      </c>
      <c r="FJ27" s="780">
        <f t="array" ref="FJ27">IF('Customer Inputs'!$W$10="End",0,IFERROR(IF($FI27="SEGMENT",INDEX('Margin Guidence Table'!$A$1:$AG$10000,MATCH(1,('Margin Guidence Table'!$A$1:$A$10000=FG27)*('Margin Guidence Table'!$I$1:$I$10000&lt;=ROUND($EY$3,0))*('Margin Guidence Table'!$J$1:$J$10000&gt;=ROUND($EY$3,0)),0),MATCH("SALES_CASE",'Margin Guidence Table'!$A$1:$AG$1,0)),INDEX('Margin Guidence Table'!$A$1:$AG$10000,MATCH(1,('Margin Guidence Table'!$A$1:$A$10000=FG27)*('Margin Guidence Table'!$I$1:$I$10000&lt;=ROUND($EY$3,0))*('Margin Guidence Table'!$J$1:$J$10000&gt;=ROUND($EY$3,0)),0),MATCH("DEFAULT_SALES_CASE",'Margin Guidence Table'!$A$1:$AG$1,0))),0))</f>
        <v>0</v>
      </c>
      <c r="FK27" s="780">
        <f t="array" ref="FK27">IF('Customer Inputs'!$W$10="End",0,IFERROR(IF($FI27="SEGMENT",INDEX('Margin Guidence Table'!$A$1:$AG$10000,MATCH(1,('Margin Guidence Table'!$A$1:$A$10000=FG27)*('Margin Guidence Table'!$I$1:$I$10000&lt;=ROUND($EY$3,0))*('Margin Guidence Table'!$J$1:$J$10000&gt;=ROUND($EY$3,0)),0),MATCH("SALES_LBS",'Margin Guidence Table'!$A$1:$AG$1,0)),INDEX('Margin Guidence Table'!$A$1:$AG$10000,MATCH(1,('Margin Guidence Table'!$A$1:$A$10000=FG27)*('Margin Guidence Table'!$I$1:$I$10000&lt;=ROUND($EY$3,0))*('Margin Guidence Table'!$J$1:$J$10000&gt;=ROUND($EY$3,0)),0),MATCH("DEFAULT_SALES_LBS",'Margin Guidence Table'!$A$1:$AG$1,0))),0))</f>
        <v>0</v>
      </c>
      <c r="FL27" s="784">
        <f t="array" ref="FL27">IF('Customer Inputs'!$W$10="End",0,IFERROR(IF($FI27="SEGMENT",INDEX('Margin Guidence Table'!$A$1:$AG$10000,MATCH(1,('Margin Guidence Table'!$A$1:$A$10000=FG27)*('Margin Guidence Table'!$I$1:$I$10000&lt;=ROUND($EY$3,0))*('Margin Guidence Table'!$J$1:$J$10000&gt;=ROUND($EY$3,0)),0),MATCH("MDA_MIN_MARGIN_GUIDENCE",'Margin Guidence Table'!$A$1:$AG$1,0)),INDEX('Margin Guidence Table'!$A$1:$AG$10000,MATCH(1,('Margin Guidence Table'!$A$1:$A$10000=FG27)*('Margin Guidence Table'!$I$1:$I$10000&lt;=ROUND($EY$3,0))*('Margin Guidence Table'!$J$1:$J$10000&gt;=ROUND($EY$3,0)),0),MATCH("DEFAULT_MDA_MIN_MARGIN_GUIDENCE",'Margin Guidence Table'!$A$1:$AG$1,0))),0))</f>
        <v>0</v>
      </c>
      <c r="FM27" s="784">
        <f t="array" ref="FM27">IF('Customer Inputs'!$W$10="End",0,IFERROR(IF($FI27="SEGMENT",INDEX('Margin Guidence Table'!$A$1:$AG$10000,MATCH(1,('Margin Guidence Table'!$A$1:$A$10000=FG27)*('Margin Guidence Table'!$I$1:$I$10000&lt;=ROUND($EY$3,0))*('Margin Guidence Table'!$J$1:$J$10000&gt;=ROUND($EY$3,0)),0),MATCH("MDA_MEDIAN_MARGIN_GUIDENCE",'Margin Guidence Table'!$A$1:$AG$1,0)),INDEX('Margin Guidence Table'!$A$1:$AG$10000,MATCH(1,('Margin Guidence Table'!$A$1:$A$10000=FG27)*('Margin Guidence Table'!$I$1:$I$10000&lt;=ROUND($EY$3,0))*('Margin Guidence Table'!$J$1:$J$10000&gt;=ROUND($EY$3,0)),0),MATCH("DEFAULT_MDA_MEDIAN_MARGIN_GUIDENCE",'Margin Guidence Table'!$A$1:$AG$1,0))),0))</f>
        <v>0</v>
      </c>
      <c r="FN27" s="784">
        <f t="array" ref="FN27">IF('Customer Inputs'!$W$10="End",0,IFERROR(IF($FI27="SEGMENT",INDEX('Margin Guidence Table'!$A$1:$AG$10000,MATCH(1,('Margin Guidence Table'!$A$1:$A$10000=FG27)*('Margin Guidence Table'!$I$1:$I$10000&lt;=ROUND($EY$3,0))*('Margin Guidence Table'!$J$1:$J$10000&gt;=ROUND($EY$3,0)),0),MATCH("MDA_MAX_MARGIN_GUIDENCE",'Margin Guidence Table'!$A$1:$AG$1,0)),INDEX('Margin Guidence Table'!$A$1:$AG$10000,MATCH(1,('Margin Guidence Table'!$A$1:$A$10000=FG27)*('Margin Guidence Table'!$I$1:$I$10000&lt;=ROUND($EY$3,0))*('Margin Guidence Table'!$J$1:$J$10000&gt;=ROUND($EY$3,0)),0),MATCH("DEFAULT_MDA_MAX_MARGIN_GUIDENCE",'Margin Guidence Table'!$A$1:$AG$1,0))),0))</f>
        <v>0</v>
      </c>
      <c r="FO27" s="784">
        <f t="array" ref="FO27">IF('Customer Inputs'!$W$10="End",0,IFERROR(IF($FI27="SEGMENT",INDEX('Margin Guidence Table'!$A$1:$AG$10000,MATCH(1,('Margin Guidence Table'!$A$1:$A$10000=FG27)*('Margin Guidence Table'!$I$1:$I$10000&lt;=ROUND($EY$3,0))*('Margin Guidence Table'!$J$1:$J$10000&gt;=ROUND($EY$3,0)),0),MATCH("PA_PCT_SALES",'Margin Guidence Table'!$A$1:$AG$1,0)),INDEX('Margin Guidence Table'!$A$1:$AG$10000,MATCH(1,('Margin Guidence Table'!$A$1:$A$10000=FG27)*('Margin Guidence Table'!$I$1:$I$10000&lt;=ROUND($EY$3,0))*('Margin Guidence Table'!$J$1:$J$10000&gt;=ROUND($EY$3,0)),0),MATCH("DEFAULT_PA_PCT_SALES",'Margin Guidence Table'!$A$1:$AG$1,0))),0))</f>
        <v>0</v>
      </c>
      <c r="FP27" s="784">
        <f t="array" ref="FP27">IF('Customer Inputs'!$W$10="End",0,IFERROR(IF($FI27="SEGMENT",INDEX('Margin Guidence Table'!$A$1:$AG$10000,MATCH(1,('Margin Guidence Table'!$A$1:$A$10000=FG27)*('Margin Guidence Table'!$I$1:$I$10000&lt;=ROUND($EY$3,0))*('Margin Guidence Table'!$J$1:$J$10000&gt;=ROUND($EY$3,0)),0),MATCH("SELF_FUND_PCT_SALES",'Margin Guidence Table'!$A$1:$AG$1,0)),INDEX('Margin Guidence Table'!$A$1:$AG$10000,MATCH(1,('Margin Guidence Table'!$A$1:$A$10000=FG27)*('Margin Guidence Table'!$I$1:$I$10000&lt;=ROUND($EY$3,0))*('Margin Guidence Table'!$J$1:$J$10000&gt;=ROUND($EY$3,0)),0),MATCH("DEFAULT_SELF_FUND_PCT_SALES",'Margin Guidence Table'!$A$1:$AG$1,0))),0))</f>
        <v>0</v>
      </c>
      <c r="FQ27" s="784">
        <f t="array" ref="FQ27">IF('Customer Inputs'!$W$10="End",0,IF($EZ$2="Existing",IFERROR(SUMIFS('Existing Customers'!$V:$V,'Existing Customers'!$H:$H,$EX27,'Existing Customers'!$A:$A,$EY$1)/SUMIFS('Existing Customers'!$Q:$Q,'Existing Customers'!$H:$H,$EX27,'Existing Customers'!$A:$A,$EY$1),0),IFERROR(IF($FI27="SEGMENT",INDEX('Margin Guidence Table'!$A$1:$AG$10000,MATCH(1,('Margin Guidence Table'!$A$1:$A$10000=FG27)*('Margin Guidence Table'!$I$1:$I$10000&lt;=ROUND($EY$3,0))*('Margin Guidence Table'!$J$1:$J$10000&gt;=ROUND($EY$3,0)),0),MATCH("CIA_MEDIAN_MARGIN_GUIDENCE",'Margin Guidence Table'!$A$1:$AG$1,0)),INDEX('Margin Guidence Table'!$A$1:$AG$10000,MATCH(1,('Margin Guidence Table'!$A$1:$A$10000=FG27)*('Margin Guidence Table'!$I$1:$I$10000&lt;=ROUND($EY$3,0))*('Margin Guidence Table'!$J$1:$J$10000&gt;=ROUND($EY$3,0)),0),MATCH("DEFAULT_CIA_MEDIAN_MARGIN_GUIDENCE",'Margin Guidence Table'!$A$1:$AG$1,0))),0)))</f>
        <v>0</v>
      </c>
      <c r="FR27" s="126"/>
      <c r="FS27" s="18">
        <f t="array" ref="FS27">IF('Customer Inputs'!$W$11="End",0,IFERROR(IF($GF27="SEGMENT",INDEX('Margin Guidence Table'!$A$1:$AG$10000,MATCH(1,('Margin Guidence Table'!$A$1:$A$10000=$GD27)*('Margin Guidence Table'!$I$1:$I$10000&lt;=ROUND($FV$3,0))*('Margin Guidence Table'!$J$1:$J$10000&gt;=ROUND($FV$3,0)),0),MATCH("PCT_SALES",'Margin Guidence Table'!$A$1:$AG$1,0)),INDEX('Margin Guidence Table'!$A$1:$AG$10000,MATCH(1,('Margin Guidence Table'!$A$1:$A$10000=$GD27)*('Margin Guidence Table'!$I$1:$I$10000&lt;=ROUND($FV$3,0))*('Margin Guidence Table'!$J$1:$J$10000&gt;=ROUND($FV$3,0)),0),MATCH("DEFAULT_PCT_SALES",'Margin Guidence Table'!$A$1:$AG$1,0))),0))</f>
        <v>0</v>
      </c>
      <c r="FT27" s="297" t="e">
        <f t="shared" si="42"/>
        <v>#DIV/0!</v>
      </c>
      <c r="FU27" s="99" t="s">
        <v>92</v>
      </c>
      <c r="FV27" s="91">
        <f>IF('Customer Inputs'!$W$11="End",0,IFERROR(IF(AND($FV$2&lt;&gt;"Enter Spend&gt;&gt;&gt;",$FW$2="EXISTING"),SUMIFS('Existing Customers'!$Q:$Q,'Existing Customers'!$A:$A,$FV$1,'Existing Customers'!$H:$H,$FU27)*$FV$4,$FV$3*$FT27),0))</f>
        <v>0</v>
      </c>
      <c r="FW27" s="86">
        <f>IF('Customer Inputs'!$W$11="End",0,IFERROR(IF(AND($FV$2&lt;&gt;"Enter Spend&gt;&gt;&gt;",$FW$2="EXISTING"),SUMIFS('Existing Customers'!$N:$N,'Existing Customers'!$A:$A,$FV$1,'Existing Customers'!$H:$H,$FU27)*$FV$4,$FV27/$GG27),0))</f>
        <v>0</v>
      </c>
      <c r="FX27" s="92">
        <f>IF('Customer Inputs'!$W$11="End",0,IFERROR(IF(AND($FV$2&lt;&gt;"Enter Spend&gt;&gt;&gt;",$FW$2="EXISTING"),SUMIFS('Existing Customers'!$O:$O,'Existing Customers'!$H:$H,$FU27,'Existing Customers'!$A:$A,$FV$1)*$FV$4,$FW27*$FV$8),0))</f>
        <v>0</v>
      </c>
      <c r="FY27" s="92">
        <f>IF('Customer Inputs'!$W$11="End",0,IFERROR(IF(AND($FV$2&lt;&gt;"Enter Spend&gt;&gt;&gt;",$FW$2="EXISTING"),SUMIFS('Existing Customers'!$P:$P,'Existing Customers'!$A:$A,$FV$1,'Existing Customers'!$H:$H,$FU27)*$FV$4,$FV27/$GH27),0))</f>
        <v>0</v>
      </c>
      <c r="FZ27" s="93">
        <f>IF('Customer Inputs'!$W$11="End",0,IFERROR(IF(AND($FV$2&lt;&gt;"Enter Spend&gt;&gt;&gt;",$FW$2="EXISTING"),SUMIFS('Existing Customers'!$V:$V,'Existing Customers'!$H:$H,$FU27,'Existing Customers'!$A:$A,$FV$1)*$FV$4,0),0))</f>
        <v>0</v>
      </c>
      <c r="GA27" s="93">
        <f>IF('Customer Inputs'!$W$11="End",0,IFERROR(IF(AND($FV$2&lt;&gt;"Enter Spend&gt;&gt;&gt;",$FW$2="EXISTING"),SUMIFS('Existing Customers'!$R:$R,'Existing Customers'!$H:$H,$FU27,'Existing Customers'!$A:$A,$FV$1)*$FV$4,0),0))</f>
        <v>0</v>
      </c>
      <c r="GB27" s="780">
        <f>IF('Customer Inputs'!$W$11="End",0,IFERROR(IF(AND($FV$2&lt;&gt;"Enter Spend&gt;&gt;&gt;",$FW$2="EXISTING"),SUMIFS('Existing Customers'!$S:$S,'Existing Customers'!$H:$H,$FU27,'Existing Customers'!$A:$A,$FV$1)/SUMIFS('Existing Customers'!$Q:$Q,'Existing Customers'!$A:$A,$FV$1,'Existing Customers'!$H:$H,$FU27),GL27),0))</f>
        <v>0</v>
      </c>
      <c r="GC27" s="780">
        <f>IF('Customer Inputs'!$W$11="End",0,IFERROR(IF(AND($FV$2&lt;&gt;"Enter Spend&gt;&gt;&gt;",$FW$2="EXISTING"),SUMIFS('Existing Customers'!$U:$U,'Existing Customers'!$H:$H,$FU27,'Existing Customers'!$A:$A,$FV$1)/SUMIFS('Existing Customers'!$Q:$Q,'Existing Customers'!$A:$A,$FV$1,'Existing Customers'!$H:$H,$FU27),GM27),0))</f>
        <v>0</v>
      </c>
      <c r="GD27" s="783" t="e">
        <f>_xlfn.CONCAT('Customer Inputs'!$AH$11,"_",FU27)</f>
        <v>#N/A</v>
      </c>
      <c r="GE27" s="783">
        <f t="array" ref="GE27">IF('Customer Inputs'!$W$11="End",0,IFERROR(INDEX('Margin Guidence Table'!$A$1:$AG$10000,MATCH(1,('Margin Guidence Table'!$A$1:$A$10000=GD27)*('Margin Guidence Table'!$I$1:$I$10000&lt;=ROUND($FV$3,0))*('Margin Guidence Table'!$J$1:$J$10000&gt;=ROUND($FV$3,0)),0),MATCH("DATA_POINTS",'Margin Guidence Table'!$A$1:$AG$1,0)),0))</f>
        <v>0</v>
      </c>
      <c r="GF27" s="780" t="str">
        <f t="shared" si="43"/>
        <v>DEFAULT</v>
      </c>
      <c r="GG27" s="780">
        <f t="array" ref="GG27">IF('Customer Inputs'!$W$11="End",0,IFERROR(IF($GF27="SEGMENT",INDEX('Margin Guidence Table'!$A$1:$AG$10000,MATCH(1,('Margin Guidence Table'!$A$1:$A$10000=GD27)*('Margin Guidence Table'!$I$1:$I$10000&lt;=ROUND($FV$3,0))*('Margin Guidence Table'!$J$1:$J$10000&gt;=ROUND($FV$3,0)),0),MATCH("SALES_CASE",'Margin Guidence Table'!$A$1:$AG$1,0)),INDEX('Margin Guidence Table'!$A$1:$AG$10000,MATCH(1,('Margin Guidence Table'!$A$1:$A$10000=GD27)*('Margin Guidence Table'!$I$1:$I$10000&lt;=ROUND($FV$3,0))*('Margin Guidence Table'!$J$1:$J$10000&gt;=ROUND($FV$3,0)),0),MATCH("DEFAULT_SALES_CASE",'Margin Guidence Table'!$A$1:$AG$1,0))),0))</f>
        <v>0</v>
      </c>
      <c r="GH27" s="780">
        <f t="array" ref="GH27">IF('Customer Inputs'!$W$11="End",0,IFERROR(IF($GF27="SEGMENT",INDEX('Margin Guidence Table'!$A$1:$AG$10000,MATCH(1,('Margin Guidence Table'!$A$1:$A$10000=GD27)*('Margin Guidence Table'!$I$1:$I$10000&lt;=ROUND($FV$3,0))*('Margin Guidence Table'!$J$1:$J$10000&gt;=ROUND($FV$3,0)),0),MATCH("SALES_LBS",'Margin Guidence Table'!$A$1:$AG$1,0)),INDEX('Margin Guidence Table'!$A$1:$AG$10000,MATCH(1,('Margin Guidence Table'!$A$1:$A$10000=GD27)*('Margin Guidence Table'!$I$1:$I$10000&lt;=ROUND($FV$3,0))*('Margin Guidence Table'!$J$1:$J$10000&gt;=ROUND($FV$3,0)),0),MATCH("DEFAULT_SALES_LBS",'Margin Guidence Table'!$A$1:$AG$1,0))),0))</f>
        <v>0</v>
      </c>
      <c r="GI27" s="784">
        <f t="array" ref="GI27">IF('Customer Inputs'!$W$11="End",0,IFERROR(IF($GF27="SEGMENT",INDEX('Margin Guidence Table'!$A$1:$AG$10000,MATCH(1,('Margin Guidence Table'!$A$1:$A$10000=GD27)*('Margin Guidence Table'!$I$1:$I$10000&lt;=ROUND($FV$3,0))*('Margin Guidence Table'!$J$1:$J$10000&gt;=ROUND($FV$3,0)),0),MATCH("MDA_MIN_MARGIN_GUIDENCE",'Margin Guidence Table'!$A$1:$AG$1,0)),INDEX('Margin Guidence Table'!$A$1:$AG$10000,MATCH(1,('Margin Guidence Table'!$A$1:$A$10000=GD27)*('Margin Guidence Table'!$I$1:$I$10000&lt;=ROUND($FV$3,0))*('Margin Guidence Table'!$J$1:$J$10000&gt;=ROUND($FV$3,0)),0),MATCH("DEFAULT_MDA_MIN_MARGIN_GUIDENCE",'Margin Guidence Table'!$A$1:$AG$1,0))),0))</f>
        <v>0</v>
      </c>
      <c r="GJ27" s="784">
        <f t="array" ref="GJ27">IF('Customer Inputs'!$W$11="End",0,IFERROR(IF($GF27="SEGMENT",INDEX('Margin Guidence Table'!$A$1:$AG$10000,MATCH(1,('Margin Guidence Table'!$A$1:$A$10000=GD27)*('Margin Guidence Table'!$I$1:$I$10000&lt;=ROUND($FV$3,0))*('Margin Guidence Table'!$J$1:$J$10000&gt;=ROUND($FV$3,0)),0),MATCH("MDA_MEDIAN_MARGIN_GUIDENCE",'Margin Guidence Table'!$A$1:$AG$1,0)),INDEX('Margin Guidence Table'!$A$1:$AG$10000,MATCH(1,('Margin Guidence Table'!$A$1:$A$10000=GD27)*('Margin Guidence Table'!$I$1:$I$10000&lt;=ROUND($FV$3,0))*('Margin Guidence Table'!$J$1:$J$10000&gt;=ROUND($FV$3,0)),0),MATCH("DEFAULT_MDA_MEDIAN_MARGIN_GUIDENCE",'Margin Guidence Table'!$A$1:$AG$1,0))),0))</f>
        <v>0</v>
      </c>
      <c r="GK27" s="784">
        <f t="array" ref="GK27">IF('Customer Inputs'!$W$11="End",0,IFERROR(IF($GF27="SEGMENT",INDEX('Margin Guidence Table'!$A$1:$AG$10000,MATCH(1,('Margin Guidence Table'!$A$1:$A$10000=GD27)*('Margin Guidence Table'!$I$1:$I$10000&lt;=ROUND($FV$3,0))*('Margin Guidence Table'!$J$1:$J$10000&gt;=ROUND($FV$3,0)),0),MATCH("MDA_MAX_MARGIN_GUIDENCE",'Margin Guidence Table'!$A$1:$AG$1,0)),INDEX('Margin Guidence Table'!$A$1:$AG$10000,MATCH(1,('Margin Guidence Table'!$A$1:$A$10000=GD27)*('Margin Guidence Table'!$I$1:$I$10000&lt;=ROUND($FV$3,0))*('Margin Guidence Table'!$J$1:$J$10000&gt;=ROUND($FV$3,0)),0),MATCH("DEFAULT_MDA_MAX_MARGIN_GUIDENCE",'Margin Guidence Table'!$A$1:$AG$1,0))),0))</f>
        <v>0</v>
      </c>
      <c r="GL27" s="784">
        <f t="array" ref="GL27">IF('Customer Inputs'!$W$11="End",0,IFERROR(IF($GF27="SEGMENT",INDEX('Margin Guidence Table'!$A$1:$AG$10000,MATCH(1,('Margin Guidence Table'!$A$1:$A$10000=GD27)*('Margin Guidence Table'!$I$1:$I$10000&lt;=ROUND($FV$3,0))*('Margin Guidence Table'!$J$1:$J$10000&gt;=ROUND($FV$3,0)),0),MATCH("PA_PCT_SALES",'Margin Guidence Table'!$A$1:$AG$1,0)),INDEX('Margin Guidence Table'!$A$1:$AG$10000,MATCH(1,('Margin Guidence Table'!$A$1:$A$10000=GD27)*('Margin Guidence Table'!$I$1:$I$10000&lt;=ROUND($FV$3,0))*('Margin Guidence Table'!$J$1:$J$10000&gt;=ROUND($FV$3,0)),0),MATCH("DEFAULT_PA_PCT_SALES",'Margin Guidence Table'!$A$1:$AG$1,0))),0))</f>
        <v>0</v>
      </c>
      <c r="GM27" s="784">
        <f t="array" ref="GM27">IF('Customer Inputs'!$W$11="End",0,IFERROR(IF($GF27="SEGMENT",INDEX('Margin Guidence Table'!$A$1:$AG$10000,MATCH(1,('Margin Guidence Table'!$A$1:$A$10000=GD27)*('Margin Guidence Table'!$I$1:$I$10000&lt;=ROUND($FV$3,0))*('Margin Guidence Table'!$J$1:$J$10000&gt;=ROUND($FV$3,0)),0),MATCH("SELF_FUND_PCT_SALES",'Margin Guidence Table'!$A$1:$AG$1,0)),INDEX('Margin Guidence Table'!$A$1:$AG$10000,MATCH(1,('Margin Guidence Table'!$A$1:$A$10000=GD27)*('Margin Guidence Table'!$I$1:$I$10000&lt;=ROUND($FV$3,0))*('Margin Guidence Table'!$J$1:$J$10000&gt;=ROUND($FV$3,0)),0),MATCH("DEFAULT_SELF_FUND_PCT_SALES",'Margin Guidence Table'!$A$1:$AG$1,0))),0))</f>
        <v>0</v>
      </c>
      <c r="GN27" s="784">
        <f t="array" ref="GN27">IF('Customer Inputs'!$W$11="End",0,IF($FW$2="Existing",IFERROR(SUMIFS('Existing Customers'!$V:$V,'Existing Customers'!$H:$H,$FU27,'Existing Customers'!$A:$A,$FV$1)/SUMIFS('Existing Customers'!$Q:$Q,'Existing Customers'!$H:$H,$FU27,'Existing Customers'!$A:$A,$FV$1),0),IFERROR(IF($GF27="SEGMENT",INDEX('Margin Guidence Table'!$A$1:$AG$10000,MATCH(1,('Margin Guidence Table'!$A$1:$A$10000=GD27)*('Margin Guidence Table'!$I$1:$I$10000&lt;=ROUND($FV$3,0))*('Margin Guidence Table'!$J$1:$J$10000&gt;=ROUND($FV$3,0)),0),MATCH("CIA_MEDIAN_MARGIN_GUIDENCE",'Margin Guidence Table'!$A$1:$AG$1,0)),INDEX('Margin Guidence Table'!$A$1:$AG$10000,MATCH(1,('Margin Guidence Table'!$A$1:$A$10000=GD27)*('Margin Guidence Table'!$I$1:$I$10000&lt;=ROUND($FV$3,0))*('Margin Guidence Table'!$J$1:$J$10000&gt;=ROUND($FV$3,0)),0),MATCH("DEFAULT_CIA_MEDIAN_MARGIN_GUIDENCE",'Margin Guidence Table'!$A$1:$AG$1,0))),0)))</f>
        <v>0</v>
      </c>
      <c r="GO27" s="126"/>
      <c r="GP27" s="18">
        <f t="array" ref="GP27">IF('Customer Inputs'!$W$12="End",0,IFERROR(IF($HC27="SEGMENT",INDEX('Margin Guidence Table'!$A$1:$AG$10000,MATCH(1,('Margin Guidence Table'!$A$1:$A$10000=$HA27)*('Margin Guidence Table'!$I$1:$I$10000&lt;=ROUND($GS$3,0))*('Margin Guidence Table'!$J$1:$J$10000&gt;=ROUND($GS$3,0)),0),MATCH("PCT_SALES",'Margin Guidence Table'!$A$1:$AG$1,0)),INDEX('Margin Guidence Table'!$A$1:$AG$10000,MATCH(1,('Margin Guidence Table'!$A$1:$A$10000=$HA27)*('Margin Guidence Table'!$I$1:$I$10000&lt;=ROUND($GS$3,0))*('Margin Guidence Table'!$J$1:$J$10000&gt;=ROUND($GS$3,0)),0),MATCH("DEFAULT_PCT_SALES",'Margin Guidence Table'!$A$1:$AG$1,0))),0))</f>
        <v>0</v>
      </c>
      <c r="GQ27" s="297" t="e">
        <f t="shared" si="44"/>
        <v>#DIV/0!</v>
      </c>
      <c r="GR27" s="99" t="s">
        <v>92</v>
      </c>
      <c r="GS27" s="91">
        <f>IF('Customer Inputs'!$W$12="End",0,IFERROR(IF(AND($GS$2&lt;&gt;"Enter Spend&gt;&gt;&gt;",$GT$2="EXISTING"),SUMIFS('Existing Customers'!$Q:$Q,'Existing Customers'!$A:$A,$GS$1,'Existing Customers'!$H:$H,$GR27)*$GS$4,$GS$3*$GQ27),0))</f>
        <v>0</v>
      </c>
      <c r="GT27" s="86">
        <f>IF('Customer Inputs'!$W$12="End",0,IFERROR(IF(AND($GS$2&lt;&gt;"Enter Spend&gt;&gt;&gt;",$GT$2="EXISTING"),SUMIFS('Existing Customers'!$N:$N,'Existing Customers'!$A:$A,$GS$1,'Existing Customers'!$H:$H,$GR27)*$GS$4,$GS27/$HD27),0))</f>
        <v>0</v>
      </c>
      <c r="GU27" s="92">
        <f>IF('Customer Inputs'!$W$12="End",0,IFERROR(IF(AND($GS$2&lt;&gt;"Enter Spend&gt;&gt;&gt;",$GT$2="EXISTING"),SUMIFS('Existing Customers'!$O:$O,'Existing Customers'!$H:$H,$GR27,'Existing Customers'!$A:$A,$GS$1)*$GS$4,$GT27*$GS$8),0))</f>
        <v>0</v>
      </c>
      <c r="GV27" s="92">
        <f>IF('Customer Inputs'!$W$12="End",0,IFERROR(IF(AND($GS$2&lt;&gt;"Enter Spend&gt;&gt;&gt;",$GT$2="EXISTING"),SUMIFS('Existing Customers'!$P:$P,'Existing Customers'!$A:$A,$GS$1,'Existing Customers'!$H:$H,$GR27)*$GS$4,$GS27/$HE27),0))</f>
        <v>0</v>
      </c>
      <c r="GW27" s="93">
        <f>IF('Customer Inputs'!$W$12="End",0,IFERROR(IF(AND($GS$2&lt;&gt;"Enter Spend&gt;&gt;&gt;",$GT$2="EXISTING"),SUMIFS('Existing Customers'!$V:$V,'Existing Customers'!$H:$H,$GR27,'Existing Customers'!$A:$A,$GS$1)*$GS$4,0),0))</f>
        <v>0</v>
      </c>
      <c r="GX27" s="93">
        <f>IF('Customer Inputs'!$W$12="End",0,IFERROR(IF(AND($GS$2&lt;&gt;"Enter Spend&gt;&gt;&gt;",$GT$2="EXISTING"),SUMIFS('Existing Customers'!$R:$R,'Existing Customers'!$H:$H,$GR27,'Existing Customers'!$A:$A,$GS$1)*$GS$4,0),0))</f>
        <v>0</v>
      </c>
      <c r="GY27" s="780">
        <f>IF('Customer Inputs'!$W$12="End",0,IFERROR(IF(AND($GS$2&lt;&gt;"Enter Spend&gt;&gt;&gt;",$GT$2="EXISTING"),SUMIFS('Existing Customers'!$S:$S,'Existing Customers'!$H:$H,$GR27,'Existing Customers'!$A:$A,$GS$1)/SUMIFS('Existing Customers'!$Q:$Q,'Existing Customers'!$A:$A,$GS$1,'Existing Customers'!$H:$H,$GR27),HI27),0))</f>
        <v>0</v>
      </c>
      <c r="GZ27" s="780">
        <f>IF('Customer Inputs'!$W$12="End",0,IFERROR(IF(AND($GS$2&lt;&gt;"Enter Spend&gt;&gt;&gt;",$GT$2="EXISTING"),SUMIFS('Existing Customers'!$U:$U,'Existing Customers'!$H:$H,$GR27,'Existing Customers'!$A:$A,$GS$1)/SUMIFS('Existing Customers'!$Q:$Q,'Existing Customers'!$A:$A,$GS$1,'Existing Customers'!$H:$H,$GR27),HJ27),0))</f>
        <v>0</v>
      </c>
      <c r="HA27" s="783" t="e">
        <f>_xlfn.CONCAT('Customer Inputs'!$AH$12,"_",GR27)</f>
        <v>#N/A</v>
      </c>
      <c r="HB27" s="783">
        <f t="array" ref="HB27">IF('Customer Inputs'!$W$12="End",0,IFERROR(INDEX('Margin Guidence Table'!$A$1:$AG$10000,MATCH(1,('Margin Guidence Table'!$A$1:$A$10000=HA27)*('Margin Guidence Table'!$I$1:$I$10000&lt;=ROUND($GS$3,0))*('Margin Guidence Table'!$J$1:$J$10000&gt;=ROUND($GS$3,0)),0),MATCH("DATA_POINTS",'Margin Guidence Table'!$A$1:$AG$1,0)),0))</f>
        <v>0</v>
      </c>
      <c r="HC27" s="780" t="str">
        <f t="shared" si="45"/>
        <v>DEFAULT</v>
      </c>
      <c r="HD27" s="780">
        <f t="array" ref="HD27">IF('Customer Inputs'!$W$12="End",0,IFERROR(IF($HC27="SEGMENT",INDEX('Margin Guidence Table'!$A$1:$AG$10000,MATCH(1,('Margin Guidence Table'!$A$1:$A$10000=HA27)*('Margin Guidence Table'!$I$1:$I$10000&lt;=ROUND($GS$3,0))*('Margin Guidence Table'!$J$1:$J$10000&gt;=ROUND($GS$3,0)),0),MATCH("SALES_CASE",'Margin Guidence Table'!$A$1:$AG$1,0)),INDEX('Margin Guidence Table'!$A$1:$AG$10000,MATCH(1,('Margin Guidence Table'!$A$1:$A$10000=HA27)*('Margin Guidence Table'!$I$1:$I$10000&lt;=ROUND($GS$3,0))*('Margin Guidence Table'!$J$1:$J$10000&gt;=ROUND($GS$3,0)),0),MATCH("DEFAULT_SALES_CASE",'Margin Guidence Table'!$A$1:$AG$1,0))),0))</f>
        <v>0</v>
      </c>
      <c r="HE27" s="780">
        <f t="array" ref="HE27">IF('Customer Inputs'!$W$12="End",0,IFERROR(IF($HC27="SEGMENT",INDEX('Margin Guidence Table'!$A$1:$AG$10000,MATCH(1,('Margin Guidence Table'!$A$1:$A$10000=HA27)*('Margin Guidence Table'!$I$1:$I$10000&lt;=ROUND($GS$3,0))*('Margin Guidence Table'!$J$1:$J$10000&gt;=ROUND($GS$3,0)),0),MATCH("SALES_LBS",'Margin Guidence Table'!$A$1:$AG$1,0)),INDEX('Margin Guidence Table'!$A$1:$AG$10000,MATCH(1,('Margin Guidence Table'!$A$1:$A$10000=HA27)*('Margin Guidence Table'!$I$1:$I$10000&lt;=ROUND($GS$3,0))*('Margin Guidence Table'!$J$1:$J$10000&gt;=ROUND($GS$3,0)),0),MATCH("DEFAULT_SALES_LBS",'Margin Guidence Table'!$A$1:$AG$1,0))),0))</f>
        <v>0</v>
      </c>
      <c r="HF27" s="784">
        <f t="array" ref="HF27">IF('Customer Inputs'!$W$12="End",0,IFERROR(IF($HC27="SEGMENT",INDEX('Margin Guidence Table'!$A$1:$AG$10000,MATCH(1,('Margin Guidence Table'!$A$1:$A$10000=HA27)*('Margin Guidence Table'!$I$1:$I$10000&lt;=ROUND($GS$3,0))*('Margin Guidence Table'!$J$1:$J$10000&gt;=ROUND($GS$3,0)),0),MATCH("MDA_MIN_MARGIN_GUIDENCE",'Margin Guidence Table'!$A$1:$AG$1,0)),INDEX('Margin Guidence Table'!$A$1:$AG$10000,MATCH(1,('Margin Guidence Table'!$A$1:$A$10000=HA27)*('Margin Guidence Table'!$I$1:$I$10000&lt;=ROUND($GS$3,0))*('Margin Guidence Table'!$J$1:$J$10000&gt;=ROUND($GS$3,0)),0),MATCH("DEFAULT_MDA_MIN_MARGIN_GUIDENCE",'Margin Guidence Table'!$A$1:$AG$1,0))),0))</f>
        <v>0</v>
      </c>
      <c r="HG27" s="784">
        <f t="array" ref="HG27">IF('Customer Inputs'!$W$12="End",0,IFERROR(IF($HC27="SEGMENT",INDEX('Margin Guidence Table'!$A$1:$AG$10000,MATCH(1,('Margin Guidence Table'!$A$1:$A$10000=HA27)*('Margin Guidence Table'!$I$1:$I$10000&lt;=ROUND($GS$3,0))*('Margin Guidence Table'!$J$1:$J$10000&gt;=ROUND($GS$3,0)),0),MATCH("MDA_MEDIAN_MARGIN_GUIDENCE",'Margin Guidence Table'!$A$1:$AG$1,0)),INDEX('Margin Guidence Table'!$A$1:$AG$10000,MATCH(1,('Margin Guidence Table'!$A$1:$A$10000=HA27)*('Margin Guidence Table'!$I$1:$I$10000&lt;=ROUND($GS$3,0))*('Margin Guidence Table'!$J$1:$J$10000&gt;=ROUND($GS$3,0)),0),MATCH("DEFAULT_MDA_MEDIAN_MARGIN_GUIDENCE",'Margin Guidence Table'!$A$1:$AG$1,0))),0))</f>
        <v>0</v>
      </c>
      <c r="HH27" s="784">
        <f t="array" ref="HH27">IF('Customer Inputs'!$W$12="End",0,IFERROR(IF($HC27="SEGMENT",INDEX('Margin Guidence Table'!$A$1:$AG$10000,MATCH(1,('Margin Guidence Table'!$A$1:$A$10000=HA27)*('Margin Guidence Table'!$I$1:$I$10000&lt;=ROUND($GS$3,0))*('Margin Guidence Table'!$J$1:$J$10000&gt;=ROUND($GS$3,0)),0),MATCH("MDA_MAX_MARGIN_GUIDENCE",'Margin Guidence Table'!$A$1:$AG$1,0)),INDEX('Margin Guidence Table'!$A$1:$AG$10000,MATCH(1,('Margin Guidence Table'!$A$1:$A$10000=HA27)*('Margin Guidence Table'!$I$1:$I$10000&lt;=ROUND($GS$3,0))*('Margin Guidence Table'!$J$1:$J$10000&gt;=ROUND($GS$3,0)),0),MATCH("DEFAULT_MDA_MAX_MARGIN_GUIDENCE",'Margin Guidence Table'!$A$1:$AG$1,0))),0))</f>
        <v>0</v>
      </c>
      <c r="HI27" s="784">
        <f t="array" ref="HI27">IF('Customer Inputs'!$W$12="End",0,IFERROR(IF($HC27="SEGMENT",INDEX('Margin Guidence Table'!$A$1:$AG$10000,MATCH(1,('Margin Guidence Table'!$A$1:$A$10000=HA27)*('Margin Guidence Table'!$I$1:$I$10000&lt;=ROUND($GS$3,0))*('Margin Guidence Table'!$J$1:$J$10000&gt;=ROUND($GS$3,0)),0),MATCH("PA_PCT_SALES",'Margin Guidence Table'!$A$1:$AG$1,0)),INDEX('Margin Guidence Table'!$A$1:$AG$10000,MATCH(1,('Margin Guidence Table'!$A$1:$A$10000=HA27)*('Margin Guidence Table'!$I$1:$I$10000&lt;=ROUND($GS$3,0))*('Margin Guidence Table'!$J$1:$J$10000&gt;=ROUND($GS$3,0)),0),MATCH("DEFAULT_PA_PCT_SALES",'Margin Guidence Table'!$A$1:$AG$1,0))),0))</f>
        <v>0</v>
      </c>
      <c r="HJ27" s="784">
        <f t="array" ref="HJ27">IF('Customer Inputs'!$W$12="End",0,IFERROR(IF($HC27="SEGMENT",INDEX('Margin Guidence Table'!$A$1:$AG$10000,MATCH(1,('Margin Guidence Table'!$A$1:$A$10000=HA27)*('Margin Guidence Table'!$I$1:$I$10000&lt;=ROUND($GS$3,0))*('Margin Guidence Table'!$J$1:$J$10000&gt;=ROUND($GS$3,0)),0),MATCH("SELF_FUND_PCT_SALES",'Margin Guidence Table'!$A$1:$AG$1,0)),INDEX('Margin Guidence Table'!$A$1:$AG$10000,MATCH(1,('Margin Guidence Table'!$A$1:$A$10000=HA27)*('Margin Guidence Table'!$I$1:$I$10000&lt;=ROUND($GS$3,0))*('Margin Guidence Table'!$J$1:$J$10000&gt;=ROUND($GS$3,0)),0),MATCH("DEFAULT_SELF_FUND_PCT_SALES",'Margin Guidence Table'!$A$1:$AG$1,0))),0))</f>
        <v>0</v>
      </c>
      <c r="HK27" s="784">
        <f t="array" ref="HK27">IF('Customer Inputs'!$W$12="End",0,IF($GT$2="Existing",IFERROR(SUMIFS('Existing Customers'!$V:$V,'Existing Customers'!$H:$H,$GR27,'Existing Customers'!$A:$A,$GS$1)/SUMIFS('Existing Customers'!$Q:$Q,'Existing Customers'!$H:$H,$GR27,'Existing Customers'!$A:$A,$GS$1),0),IFERROR(IF($HC27="SEGMENT",INDEX('Margin Guidence Table'!$A$1:$AG$10000,MATCH(1,('Margin Guidence Table'!$A$1:$A$10000=HA27)*('Margin Guidence Table'!$I$1:$I$10000&lt;=ROUND($GS$3,0))*('Margin Guidence Table'!$J$1:$J$10000&gt;=ROUND($GS$3,0)),0),MATCH("CIA_MEDIAN_MARGIN_GUIDENCE",'Margin Guidence Table'!$A$1:$AG$1,0)),INDEX('Margin Guidence Table'!$A$1:$AG$10000,MATCH(1,('Margin Guidence Table'!$A$1:$A$10000=HA27)*('Margin Guidence Table'!$I$1:$I$10000&lt;=ROUND($GS$3,0))*('Margin Guidence Table'!$J$1:$J$10000&gt;=ROUND($GS$3,0)),0),MATCH("DEFAULT_CIA_MEDIAN_MARGIN_GUIDENCE",'Margin Guidence Table'!$A$1:$AG$1,0))),0)))</f>
        <v>0</v>
      </c>
      <c r="HL27" s="126"/>
      <c r="HM27" s="18">
        <f t="array" ref="HM27">IF('Customer Inputs'!$W$13="End",0,IFERROR(IF($HZ27="SEGMENT",INDEX('Margin Guidence Table'!$A$1:$AG$10000,MATCH(1,('Margin Guidence Table'!$A$1:$A$10000=$HX27)*('Margin Guidence Table'!$I$1:$I$10000&lt;=ROUND($HP$3,0))*('Margin Guidence Table'!$J$1:$J$10000&gt;=ROUND($HP$3,0)),0),MATCH("PCT_SALES",'Margin Guidence Table'!$A$1:$AG$1,0)),INDEX('Margin Guidence Table'!$A$1:$AG$10000,MATCH(1,('Margin Guidence Table'!$A$1:$A$10000=$HX27)*('Margin Guidence Table'!$I$1:$I$10000&lt;=ROUND($HP$3,0))*('Margin Guidence Table'!$J$1:$J$10000&gt;=ROUND($HP$3,0)),0),MATCH("DEFAULT_PCT_SALES",'Margin Guidence Table'!$A$1:$AG$1,0))),0))</f>
        <v>0</v>
      </c>
      <c r="HN27" s="297" t="e">
        <f t="shared" si="46"/>
        <v>#DIV/0!</v>
      </c>
      <c r="HO27" s="99" t="s">
        <v>92</v>
      </c>
      <c r="HP27" s="91">
        <f>IF('Customer Inputs'!$W$13="End",0,IFERROR(IF(AND($HP$2&lt;&gt;"Enter Spend&gt;&gt;&gt;",$HQ$2="EXISTING"),SUMIFS('Existing Customers'!$Q:$Q,'Existing Customers'!$A:$A,$HP$1,'Existing Customers'!$H:$H,$HO27)*$HP$4,$HP$3*$HN27),0))</f>
        <v>0</v>
      </c>
      <c r="HQ27" s="86">
        <f>IF('Customer Inputs'!$W$13="End",0,IFERROR(IF(AND($HP$2&lt;&gt;"Enter Spend&gt;&gt;&gt;",$HQ$2="EXISTING"),SUMIFS('Existing Customers'!$N:$N,'Existing Customers'!$A:$A,$HP$1,'Existing Customers'!$H:$H,$HO27)*$HP$4,$HP27/$IA27),0))</f>
        <v>0</v>
      </c>
      <c r="HR27" s="92">
        <f>IF('Customer Inputs'!$W$13="End",0,IFERROR(IF(AND($HP$2&lt;&gt;"Enter Spend&gt;&gt;&gt;",$HQ$2="EXISTING"),SUMIFS('Existing Customers'!$O:$O,'Existing Customers'!$H:$H,$HO27,'Existing Customers'!$A:$A,$HP$1)*$HP$4,$HQ27*$HP$8),0))</f>
        <v>0</v>
      </c>
      <c r="HS27" s="92">
        <f>IF('Customer Inputs'!$W$13="End",0,IFERROR(IF(AND($HP$2&lt;&gt;"Enter Spend&gt;&gt;&gt;",$HQ$2="EXISTING"),SUMIFS('Existing Customers'!$P:$P,'Existing Customers'!$A:$A,$HP$1,'Existing Customers'!$H:$H,$HO27)*$HP$4,$HP27/$IB27),0))</f>
        <v>0</v>
      </c>
      <c r="HT27" s="93">
        <f>IF('Customer Inputs'!$W$13="End",0,IFERROR(IF(AND($HP$2&lt;&gt;"Enter Spend&gt;&gt;&gt;",$HQ$2="EXISTING"),SUMIFS('Existing Customers'!$V:$V,'Existing Customers'!$H:$H,$HO27,'Existing Customers'!$A:$A,$HP$1)*$HP$4,0),0))</f>
        <v>0</v>
      </c>
      <c r="HU27" s="93">
        <f>IF('Customer Inputs'!$W$13="End",0,IFERROR(IF(AND($HP$2&lt;&gt;"Enter Spend&gt;&gt;&gt;",$HQ$2="EXISTING"),SUMIFS('Existing Customers'!$R:$R,'Existing Customers'!$H:$H,$HO27,'Existing Customers'!$A:$A,$HP$1)*$HP$4,0),0))</f>
        <v>0</v>
      </c>
      <c r="HV27" s="780">
        <f>IF('Customer Inputs'!$W$13="End",0,IFERROR(IF(AND($HP$2&lt;&gt;"Enter Spend&gt;&gt;&gt;",$HQ$2="EXISTING"),SUMIFS('Existing Customers'!$S:$S,'Existing Customers'!$H:$H,$HO27,'Existing Customers'!$A:$A,$HP$1)/SUMIFS('Existing Customers'!$Q:$Q,'Existing Customers'!$A:$A,$HP$1,'Existing Customers'!$H:$H,$HO27),IF27),0))</f>
        <v>0</v>
      </c>
      <c r="HW27" s="780">
        <f>IF('Customer Inputs'!$W$13="End",0,IFERROR(IF(AND($HP$2&lt;&gt;"Enter Spend&gt;&gt;&gt;",$HQ$2="EXISTING"),SUMIFS('Existing Customers'!$U:$U,'Existing Customers'!$H:$H,$HO27,'Existing Customers'!$A:$A,$HP$1)/SUMIFS('Existing Customers'!$Q:$Q,'Existing Customers'!$A:$A,$HP$1,'Existing Customers'!$H:$H,$HO27),IG27),0))</f>
        <v>0</v>
      </c>
      <c r="HX27" s="783" t="e">
        <f>_xlfn.CONCAT('Customer Inputs'!$AH$13,"_",HO27)</f>
        <v>#N/A</v>
      </c>
      <c r="HY27" s="783">
        <f t="array" ref="HY27">IF('Customer Inputs'!$W$13="End",0,IFERROR(INDEX('Margin Guidence Table'!$A$1:$AG$10000,MATCH(1,('Margin Guidence Table'!$A$1:$A$10000=HX27)*('Margin Guidence Table'!$I$1:$I$10000&lt;=ROUND($HP$3,0))*('Margin Guidence Table'!$J$1:$J$10000&gt;=ROUND($HP$3,0)),0),MATCH("DATA_POINTS",'Margin Guidence Table'!$A$1:$AG$1,0)),0))</f>
        <v>0</v>
      </c>
      <c r="HZ27" s="780" t="str">
        <f t="shared" si="47"/>
        <v>DEFAULT</v>
      </c>
      <c r="IA27" s="780">
        <f t="array" ref="IA27">IF('Customer Inputs'!$W$13="End",0,IFERROR(IF($HZ27="SEGMENT",INDEX('Margin Guidence Table'!$A$1:$AG$10000,MATCH(1,('Margin Guidence Table'!$A$1:$A$10000=HX27)*('Margin Guidence Table'!$I$1:$I$10000&lt;=ROUND($HP$3,0))*('Margin Guidence Table'!$J$1:$J$10000&gt;=ROUND($HP$3,0)),0),MATCH("SALES_CASE",'Margin Guidence Table'!$A$1:$AG$1,0)),INDEX('Margin Guidence Table'!$A$1:$AG$10000,MATCH(1,('Margin Guidence Table'!$A$1:$A$10000=HX27)*('Margin Guidence Table'!$I$1:$I$10000&lt;=ROUND($HP$3,0))*('Margin Guidence Table'!$J$1:$J$10000&gt;=ROUND($HP$3,0)),0),MATCH("DEFAULT_SALES_CASE",'Margin Guidence Table'!$A$1:$AG$1,0))),0))</f>
        <v>0</v>
      </c>
      <c r="IB27" s="780">
        <f t="array" ref="IB27">IF('Customer Inputs'!$W$13="End",0,IFERROR(IF($HZ27="SEGMENT",INDEX('Margin Guidence Table'!$A$1:$AG$10000,MATCH(1,('Margin Guidence Table'!$A$1:$A$10000=HX27)*('Margin Guidence Table'!$I$1:$I$10000&lt;=ROUND($HP$3,0))*('Margin Guidence Table'!$J$1:$J$10000&gt;=ROUND($HP$3,0)),0),MATCH("SALES_LBS",'Margin Guidence Table'!$A$1:$AG$1,0)),INDEX('Margin Guidence Table'!$A$1:$AG$10000,MATCH(1,('Margin Guidence Table'!$A$1:$A$10000=HX27)*('Margin Guidence Table'!$I$1:$I$10000&lt;=ROUND($HP$3,0))*('Margin Guidence Table'!$J$1:$J$10000&gt;=ROUND($HP$3,0)),0),MATCH("DEFAULT_SALES_LBS",'Margin Guidence Table'!$A$1:$AG$1,0))),0))</f>
        <v>0</v>
      </c>
      <c r="IC27" s="784">
        <f t="array" ref="IC27">IF('Customer Inputs'!$W$13="End",0,IFERROR(IF($HZ27="SEGMENT",INDEX('Margin Guidence Table'!$A$1:$AG$10000,MATCH(1,('Margin Guidence Table'!$A$1:$A$10000=HX27)*('Margin Guidence Table'!$I$1:$I$10000&lt;=ROUND($HP$3,0))*('Margin Guidence Table'!$J$1:$J$10000&gt;=ROUND($HP$3,0)),0),MATCH("MDA_MIN_MARGIN_GUIDENCE",'Margin Guidence Table'!$A$1:$AG$1,0)),INDEX('Margin Guidence Table'!$A$1:$AG$10000,MATCH(1,('Margin Guidence Table'!$A$1:$A$10000=HX27)*('Margin Guidence Table'!$I$1:$I$10000&lt;=ROUND($HP$3,0))*('Margin Guidence Table'!$J$1:$J$10000&gt;=ROUND($HP$3,0)),0),MATCH("DEFAULT_MDA_MIN_MARGIN_GUIDENCE",'Margin Guidence Table'!$A$1:$AG$1,0))),0))</f>
        <v>0</v>
      </c>
      <c r="ID27" s="784">
        <f t="array" ref="ID27">IF('Customer Inputs'!$W$13="End",0,IFERROR(IF($HZ27="SEGMENT",INDEX('Margin Guidence Table'!$A$1:$AG$10000,MATCH(1,('Margin Guidence Table'!$A$1:$A$10000=HX27)*('Margin Guidence Table'!$I$1:$I$10000&lt;=ROUND($HP$3,0))*('Margin Guidence Table'!$J$1:$J$10000&gt;=ROUND($HP$3,0)),0),MATCH("MDA_MEDIAN_MARGIN_GUIDENCE",'Margin Guidence Table'!$A$1:$AG$1,0)),INDEX('Margin Guidence Table'!$A$1:$AG$10000,MATCH(1,('Margin Guidence Table'!$A$1:$A$10000=HX27)*('Margin Guidence Table'!$I$1:$I$10000&lt;=ROUND($HP$3,0))*('Margin Guidence Table'!$J$1:$J$10000&gt;=ROUND($HP$3,0)),0),MATCH("DEFAULT_MDA_MEDIAN_MARGIN_GUIDENCE",'Margin Guidence Table'!$A$1:$AG$1,0))),0))</f>
        <v>0</v>
      </c>
      <c r="IE27" s="784">
        <f t="array" ref="IE27">IF('Customer Inputs'!$W$13="End",0,IFERROR(IF($HZ27="SEGMENT",INDEX('Margin Guidence Table'!$A$1:$AG$10000,MATCH(1,('Margin Guidence Table'!$A$1:$A$10000=HX27)*('Margin Guidence Table'!$I$1:$I$10000&lt;=ROUND($HP$3,0))*('Margin Guidence Table'!$J$1:$J$10000&gt;=ROUND($HP$3,0)),0),MATCH("MDA_MAX_MARGIN_GUIDENCE",'Margin Guidence Table'!$A$1:$AG$1,0)),INDEX('Margin Guidence Table'!$A$1:$AG$10000,MATCH(1,('Margin Guidence Table'!$A$1:$A$10000=HX27)*('Margin Guidence Table'!$I$1:$I$10000&lt;=ROUND($HP$3,0))*('Margin Guidence Table'!$J$1:$J$10000&gt;=ROUND($HP$3,0)),0),MATCH("DEFAULT_MDA_MAX_MARGIN_GUIDENCE",'Margin Guidence Table'!$A$1:$AG$1,0))),0))</f>
        <v>0</v>
      </c>
      <c r="IF27" s="784">
        <f t="array" ref="IF27">IF('Customer Inputs'!$W$13="End",0,IFERROR(IF($HZ27="SEGMENT",INDEX('Margin Guidence Table'!$A$1:$AG$10000,MATCH(1,('Margin Guidence Table'!$A$1:$A$10000=HX27)*('Margin Guidence Table'!$I$1:$I$10000&lt;=ROUND($HP$3,0))*('Margin Guidence Table'!$J$1:$J$10000&gt;=ROUND($HP$3,0)),0),MATCH("PA_PCT_SALES",'Margin Guidence Table'!$A$1:$AG$1,0)),INDEX('Margin Guidence Table'!$A$1:$AG$10000,MATCH(1,('Margin Guidence Table'!$A$1:$A$10000=HX27)*('Margin Guidence Table'!$I$1:$I$10000&lt;=ROUND($HP$3,0))*('Margin Guidence Table'!$J$1:$J$10000&gt;=ROUND($HP$3,0)),0),MATCH("DEFAULT_PA_PCT_SALES",'Margin Guidence Table'!$A$1:$AG$1,0))),0))</f>
        <v>0</v>
      </c>
      <c r="IG27" s="784">
        <f t="array" ref="IG27">IF('Customer Inputs'!$W$13="End",0,IFERROR(IF($HZ27="SEGMENT",INDEX('Margin Guidence Table'!$A$1:$AG$10000,MATCH(1,('Margin Guidence Table'!$A$1:$A$10000=HX27)*('Margin Guidence Table'!$I$1:$I$10000&lt;=ROUND($HP$3,0))*('Margin Guidence Table'!$J$1:$J$10000&gt;=ROUND($HP$3,0)),0),MATCH("SELF_FUND_PCT_SALES",'Margin Guidence Table'!$A$1:$AG$1,0)),INDEX('Margin Guidence Table'!$A$1:$AG$10000,MATCH(1,('Margin Guidence Table'!$A$1:$A$10000=HX27)*('Margin Guidence Table'!$I$1:$I$10000&lt;=ROUND($HP$3,0))*('Margin Guidence Table'!$J$1:$J$10000&gt;=ROUND($HP$3,0)),0),MATCH("DEFAULT_SELF_FUND_PCT_SALES",'Margin Guidence Table'!$A$1:$AG$1,0))),0))</f>
        <v>0</v>
      </c>
      <c r="IH27" s="784">
        <f t="array" ref="IH27">IF('Customer Inputs'!$W$13="End",0,IF($HQ$2="Existing",IFERROR(SUMIFS('Existing Customers'!$V:$V,'Existing Customers'!$H:$H,$HO27,'Existing Customers'!$A:$A,$HP$1)/SUMIFS('Existing Customers'!$Q:$Q,'Existing Customers'!$H:$H,$HO27,'Existing Customers'!$A:$A,$HP$1),0),IFERROR(IF($HZ27="SEGMENT",INDEX('Margin Guidence Table'!$A$1:$AG$10000,MATCH(1,('Margin Guidence Table'!$A$1:$A$10000=HX27)*('Margin Guidence Table'!$I$1:$I$10000&lt;=ROUND($HP$3,0))*('Margin Guidence Table'!$J$1:$J$10000&gt;=ROUND($HP$3,0)),0),MATCH("CIA_MEDIAN_MARGIN_GUIDENCE",'Margin Guidence Table'!$A$1:$AG$1,0)),INDEX('Margin Guidence Table'!$A$1:$AG$10000,MATCH(1,('Margin Guidence Table'!$A$1:$A$10000=HX27)*('Margin Guidence Table'!$I$1:$I$10000&lt;=ROUND($HP$3,0))*('Margin Guidence Table'!$J$1:$J$10000&gt;=ROUND($HP$3,0)),0),MATCH("DEFAULT_CIA_MEDIAN_MARGIN_GUIDENCE",'Margin Guidence Table'!$A$1:$AG$1,0))),0)))</f>
        <v>0</v>
      </c>
      <c r="II27" s="126"/>
      <c r="IJ27" s="18">
        <f t="array" ref="IJ27">IF('Customer Inputs'!$W$14="End",0,IFERROR(IF($IW27="SEGMENT",INDEX('Margin Guidence Table'!$A:$AC,MATCH(1,('Margin Guidence Table'!$A:$A=$IU27)*('Margin Guidence Table'!$H:$H&lt;=ROUND($IM$3,0))*('Margin Guidence Table'!$G:$G&gt;=ROUND($IM$3,0)),0),MATCH("PCT_SALES",'Margin Guidence Table'!$A$1:$AG$1,0)),INDEX('Margin Guidence Table'!$A:$AC,MATCH(1,('Margin Guidence Table'!$A:$A=$IU27)*('Margin Guidence Table'!$H:$H&lt;=ROUND($IM$3,0))*('Margin Guidence Table'!$G:$G&gt;=ROUND($IM$3,0)),0),MATCH("DEFAULT_PCT_SALES",'Margin Guidence Table'!$A$1:$AG$1,0))),0))</f>
        <v>0</v>
      </c>
      <c r="IK27" s="297" t="e">
        <f t="shared" si="48"/>
        <v>#DIV/0!</v>
      </c>
      <c r="IL27" s="99" t="s">
        <v>92</v>
      </c>
      <c r="IM27" s="91">
        <f>IF('Customer Inputs'!$W$14="End",0,IFERROR(IF(AND($IM$2&lt;&gt;"Enter Spend&gt;&gt;&gt;",$IN$2="EXISTING"),SUMIFS('Existing Customers'!$Q:$Q,'Existing Customers'!$A:$A,$IM$1,'Existing Customers'!$H:$H,$IL27)*$IM$4,$IM$3*$IK27),0))</f>
        <v>0</v>
      </c>
      <c r="IN27" s="86">
        <f>IF('Customer Inputs'!$W$14="End",0,IFERROR(IF(AND($IM$2&lt;&gt;"Enter Spend&gt;&gt;&gt;",$IN$2="EXISTING"),SUMIFS('Existing Customers'!$N:$N,'Existing Customers'!$A:$A,$IM$1,'Existing Customers'!$H:$H,$IL27)*$IM$4,$IM27/$IX27),0))</f>
        <v>0</v>
      </c>
      <c r="IO27" s="92">
        <f>IF('Customer Inputs'!$W$14="End",0,IFERROR(IF(AND($IM$2&lt;&gt;"Enter Spend&gt;&gt;&gt;",$IN$2="EXISTING"),SUMIFS('Existing Customers'!$O:$O,'Existing Customers'!$H:$H,$IL27,'Existing Customers'!$A:$A,$IM$1)*$IM$4,$IN27*$IM$8),0))</f>
        <v>0</v>
      </c>
      <c r="IP27" s="92">
        <f>IF('Customer Inputs'!$W$14="End",0,IFERROR(IF(AND($IM$2&lt;&gt;"Enter Spend&gt;&gt;&gt;",$IN$2="EXISTING"),SUMIFS('Existing Customers'!$P:$P,'Existing Customers'!$A:$A,$IM$1,'Existing Customers'!$H:$H,$IL27)*$IM$4,$IM27/$IY27),0))</f>
        <v>0</v>
      </c>
      <c r="IQ27" s="303">
        <f>IF('Customer Inputs'!$W$14="End",0,IFERROR(IF(AND($IM$2&lt;&gt;"Enter Spend&gt;&gt;&gt;",$IN$2="EXISTING"),SUMIFS('Existing Customers'!$V:$V,'Existing Customers'!$H:$H,$IL27,'Existing Customers'!$A:$A,$IM$1)*$IM$4,0),0))</f>
        <v>0</v>
      </c>
      <c r="IR27" s="93">
        <f>IF('Customer Inputs'!$W$14="End",0,IFERROR(IF(AND($IM$2&lt;&gt;"Enter Spend&gt;&gt;&gt;",$IN$2="EXISTING"),SUMIFS('Existing Customers'!$R:$R,'Existing Customers'!$H:$H,$IL27,'Existing Customers'!$A:$A,$IM$1)*$IM$4,0),0))</f>
        <v>0</v>
      </c>
      <c r="IS27" s="780">
        <f>IF('Customer Inputs'!$W$14="End",0,IFERROR(IF(AND($IM$2&lt;&gt;"Enter Spend&gt;&gt;&gt;",$IN$2="EXISTING"),SUMIFS('Existing Customers'!$S:$S,'Existing Customers'!$H:$H,$IL27,'Existing Customers'!$A:$A,$IM$1)/SUMIFS('Existing Customers'!$Q:$Q,'Existing Customers'!$A:$A,$IM$1,'Existing Customers'!$H:$H,$IL27),JC27),0))</f>
        <v>0</v>
      </c>
      <c r="IT27" s="780">
        <f>IF('Customer Inputs'!$W$14="End",0,IFERROR(IF(AND($IM$2&lt;&gt;"Enter Spend&gt;&gt;&gt;",$IN$2="EXISTING"),SUMIFS('Existing Customers'!$U:$U,'Existing Customers'!$H:$H,$IL27,'Existing Customers'!$A:$A,$IM$1)/SUMIFS('Existing Customers'!$Q:$Q,'Existing Customers'!$A:$A,$IM$1,'Existing Customers'!$H:$H,$IL27),JD27),0))</f>
        <v>0</v>
      </c>
      <c r="IU27" s="783" t="e">
        <f>_xlfn.CONCAT('Customer Inputs'!$AH$14,"_",IL27)</f>
        <v>#N/A</v>
      </c>
      <c r="IV27" s="783">
        <f t="array" ref="IV27">IF('Customer Inputs'!$W$14="End",0,IFERROR(INDEX('Margin Guidence Table'!$A$1:$AG$10000,MATCH(1,('Margin Guidence Table'!$A$1:$A$10000=IU27)*('Margin Guidence Table'!$I$1:$I$10000&lt;=ROUND($IM$3,0))*('Margin Guidence Table'!$J$1:$J$10000&gt;=ROUND($IM$3,0)),0),MATCH("DATA_POINTS",'Margin Guidence Table'!$A$1:$AG$1,0)),0))</f>
        <v>0</v>
      </c>
      <c r="IW27" s="780" t="str">
        <f t="shared" si="49"/>
        <v>DEFAULT</v>
      </c>
      <c r="IX27" s="780">
        <f t="array" ref="IX27">IF('Customer Inputs'!$W$14="End",0,IFERROR(IF($IW27="SEGMENT",INDEX('Margin Guidence Table'!$A$1:$AG$10000,MATCH(1,('Margin Guidence Table'!$A$1:$A$10000=IU27)*('Margin Guidence Table'!$I$1:$I$10000&lt;=ROUND($IM$3,0))*('Margin Guidence Table'!$J$1:$J$10000&gt;=ROUND($IM$3,0)),0),MATCH("SALES_CASE",'Margin Guidence Table'!$A$1:$AG$1,0)),INDEX('Margin Guidence Table'!$A$1:$AG$10000,MATCH(1,('Margin Guidence Table'!$A$1:$A$10000=IU27)*('Margin Guidence Table'!$I$1:$I$10000&lt;=ROUND($IM$3,0))*('Margin Guidence Table'!$J$1:$J$10000&gt;=ROUND($IM$3,0)),0),MATCH("DEFAULT_SALES_CASE",'Margin Guidence Table'!$A$1:$AG$1,0))),0))</f>
        <v>0</v>
      </c>
      <c r="IY27" s="780">
        <f t="array" ref="IY27">IF('Customer Inputs'!$W$14="End",0,IFERROR(IF($IW27="SEGMENT",INDEX('Margin Guidence Table'!$A$1:$AG$10000,MATCH(1,('Margin Guidence Table'!$A$1:$A$10000=IU27)*('Margin Guidence Table'!$I$1:$I$10000&lt;=ROUND($IM$3,0))*('Margin Guidence Table'!$J$1:$J$10000&gt;=ROUND($IM$3,0)),0),MATCH("SALES_LBS",'Margin Guidence Table'!$A$1:$AG$1,0)),INDEX('Margin Guidence Table'!$A$1:$AG$10000,MATCH(1,('Margin Guidence Table'!$A$1:$A$10000=IU27)*('Margin Guidence Table'!$I$1:$I$10000&lt;=ROUND($IM$3,0))*('Margin Guidence Table'!$J$1:$J$10000&gt;=ROUND($IM$3,0)),0),MATCH("DEFAULT_SALES_LBS",'Margin Guidence Table'!$A$1:$AG$1,0))),0))</f>
        <v>0</v>
      </c>
      <c r="IZ27" s="784">
        <f t="array" ref="IZ27">IF('Customer Inputs'!$W$14="End",0,IFERROR(IF($IW27="SEGMENT",INDEX('Margin Guidence Table'!$A$1:$AG$10000,MATCH(1,('Margin Guidence Table'!$A$1:$A$10000=IU27)*('Margin Guidence Table'!$I$1:$I$10000&lt;=ROUND($IM$3,0))*('Margin Guidence Table'!$J$1:$J$10000&gt;=ROUND($IM$3,0)),0),MATCH("MDA_MIN_MARGIN_GUIDENCE",'Margin Guidence Table'!$A$1:$AG$1,0)),INDEX('Margin Guidence Table'!$A$1:$AG$10000,MATCH(1,('Margin Guidence Table'!$A$1:$A$10000=IU27)*('Margin Guidence Table'!$I$1:$I$10000&lt;=ROUND($IM$3,0))*('Margin Guidence Table'!$J$1:$J$10000&gt;=ROUND($IM$3,0)),0),MATCH("DEFAULT_MDA_MIN_MARGIN_GUIDENCE",'Margin Guidence Table'!$A$1:$AG$1,0))),0))</f>
        <v>0</v>
      </c>
      <c r="JA27" s="784">
        <f t="array" ref="JA27">IF('Customer Inputs'!$W$14="End",0,IFERROR(IF($IW27="SEGMENT",INDEX('Margin Guidence Table'!$A$1:$AG$10000,MATCH(1,('Margin Guidence Table'!$A$1:$A$10000=IU27)*('Margin Guidence Table'!$I$1:$I$10000&lt;=ROUND($IM$3,0))*('Margin Guidence Table'!$J$1:$J$10000&gt;=ROUND($IM$3,0)),0),MATCH("MDA_MEDIAN_MARGIN_GUIDENCE",'Margin Guidence Table'!$A$1:$AG$1,0)),INDEX('Margin Guidence Table'!$A$1:$AG$10000,MATCH(1,('Margin Guidence Table'!$A$1:$A$10000=IU27)*('Margin Guidence Table'!$I$1:$I$10000&lt;=ROUND($IM$3,0))*('Margin Guidence Table'!$J$1:$J$10000&gt;=ROUND($IM$3,0)),0),MATCH("DEFAULT_MDA_MEDIAN_MARGIN_GUIDENCE",'Margin Guidence Table'!$A$1:$AG$1,0))),0))</f>
        <v>0</v>
      </c>
      <c r="JB27" s="784">
        <f t="array" ref="JB27">IF('Customer Inputs'!$W$14="End",0,IFERROR(IF($IW27="SEGMENT",INDEX('Margin Guidence Table'!$A$1:$AG$10000,MATCH(1,('Margin Guidence Table'!$A$1:$A$10000=IU27)*('Margin Guidence Table'!$I$1:$I$10000&lt;=ROUND($IM$3,0))*('Margin Guidence Table'!$J$1:$J$10000&gt;=ROUND($IM$3,0)),0),MATCH("MDA_MAX_MARGIN_GUIDENCE",'Margin Guidence Table'!$A$1:$AG$1,0)),INDEX('Margin Guidence Table'!$A$1:$AG$10000,MATCH(1,('Margin Guidence Table'!$A$1:$A$10000=IU27)*('Margin Guidence Table'!$I$1:$I$10000&lt;=ROUND($IM$3,0))*('Margin Guidence Table'!$J$1:$J$10000&gt;=ROUND($IM$3,0)),0),MATCH("DEFAULT_MDA_MAX_MARGIN_GUIDENCE",'Margin Guidence Table'!$A$1:$AG$1,0))),0))</f>
        <v>0</v>
      </c>
      <c r="JC27" s="784">
        <f t="array" ref="JC27">IF('Customer Inputs'!$W$14="End",0,IFERROR(IF($IW27="SEGMENT",INDEX('Margin Guidence Table'!$A$1:$AG$10000,MATCH(1,('Margin Guidence Table'!$A$1:$A$10000=IU27)*('Margin Guidence Table'!$I$1:$I$10000&lt;=ROUND($IM$3,0))*('Margin Guidence Table'!$J$1:$J$10000&gt;=ROUND($IM$3,0)),0),MATCH("PA_PCT_SALES",'Margin Guidence Table'!$A$1:$AG$1,0)),INDEX('Margin Guidence Table'!$A$1:$AG$10000,MATCH(1,('Margin Guidence Table'!$A$1:$A$10000=IU27)*('Margin Guidence Table'!$I$1:$I$10000&lt;=ROUND($IM$3,0))*('Margin Guidence Table'!$J$1:$J$10000&gt;=ROUND($IM$3,0)),0),MATCH("DEFAULT_PA_PCT_SALES",'Margin Guidence Table'!$A$1:$AG$1,0))),0))</f>
        <v>0</v>
      </c>
      <c r="JD27" s="784">
        <f t="array" ref="JD27">IF('Customer Inputs'!$W$14="End",0,IFERROR(IF($IW27="SEGMENT",INDEX('Margin Guidence Table'!$A$1:$AG$10000,MATCH(1,('Margin Guidence Table'!$A$1:$A$10000=IU27)*('Margin Guidence Table'!$I$1:$I$10000&lt;=ROUND($IM$3,0))*('Margin Guidence Table'!$J$1:$J$10000&gt;=ROUND($IM$3,0)),0),MATCH("SELF_FUND_PCT_SALES",'Margin Guidence Table'!$A$1:$AG$1,0)),INDEX('Margin Guidence Table'!$A$1:$AG$10000,MATCH(1,('Margin Guidence Table'!$A$1:$A$10000=IU27)*('Margin Guidence Table'!$I$1:$I$10000&lt;=ROUND($IM$3,0))*('Margin Guidence Table'!$J$1:$J$10000&gt;=ROUND($IM$3,0)),0),MATCH("DEFAULT_SELF_FUND_PCT_SALES",'Margin Guidence Table'!$A$1:$AG$1,0))),0))</f>
        <v>0</v>
      </c>
      <c r="JE27" s="784">
        <f t="array" ref="JE27">IF('Customer Inputs'!$W$14="End",0,IF($IN$2="Existing",IFERROR(SUMIFS('Existing Customers'!$V:$V,'Existing Customers'!$H:$H,$IL27,'Existing Customers'!$A:$A,$IM$1)/SUMIFS('Existing Customers'!$Q:$Q,'Existing Customers'!$H:$H,$IL27,'Existing Customers'!$A:$A,$IM$1),0),IFERROR(IF($IW27="SEGMENT",INDEX('Margin Guidence Table'!$A$1:$AG$10000,MATCH(1,('Margin Guidence Table'!$A$1:$A$10000=IU27)*('Margin Guidence Table'!$I$1:$I$10000&lt;=ROUND($IM$3,0))*('Margin Guidence Table'!$J$1:$J$10000&gt;=ROUND($IM$3,0)),0),MATCH("CIA_MEDIAN_MARGIN_GUIDENCE",'Margin Guidence Table'!$A$1:$AG$1,0)),INDEX('Margin Guidence Table'!$A$1:$AG$10000,MATCH(1,('Margin Guidence Table'!$A$1:$A$10000=IU27)*('Margin Guidence Table'!$I$1:$I$10000&lt;=ROUND($IM$3,0))*('Margin Guidence Table'!$J$1:$J$10000&gt;=ROUND($IM$3,0)),0),MATCH("DEFAULT_CIA_MEDIAN_MARGIN_GUIDENCE",'Margin Guidence Table'!$A$1:$AG$1,0))),0)))</f>
        <v>0</v>
      </c>
      <c r="JF27" s="126"/>
      <c r="JG27" s="18">
        <f t="array" ref="JG27">IF('Customer Inputs'!$W$15="End",0,IFERROR(IF($JT27="SEGMENT",INDEX('Margin Guidence Table'!$A$1:$AG$10000,MATCH(1,('Margin Guidence Table'!$A$1:$A$10000=$JR27)*('Margin Guidence Table'!$I$1:$I$10000&lt;=ROUND($JJ$3,0))*('Margin Guidence Table'!$J$1:$J$10000&gt;=ROUND($JJ$3,0)),0),MATCH("PCT_SALES",'Margin Guidence Table'!$A$1:$AG$1,0)),INDEX('Margin Guidence Table'!$A$1:$AG$10000,MATCH(1,('Margin Guidence Table'!$A$1:$A$10000=$JR27)*('Margin Guidence Table'!$I$1:$I$10000&lt;=ROUND($JJ$3,0))*('Margin Guidence Table'!$J$1:$J$10000&gt;=ROUND($JJ$3,0)),0),MATCH("DEFAULT_PCT_SALES",'Margin Guidence Table'!$A$1:$AG$1,0))),0))</f>
        <v>0</v>
      </c>
      <c r="JH27" s="297" t="e">
        <f t="shared" si="50"/>
        <v>#DIV/0!</v>
      </c>
      <c r="JI27" s="99" t="s">
        <v>92</v>
      </c>
      <c r="JJ27" s="91">
        <f>IF('Customer Inputs'!$W$15="End",0,IFERROR(IF(AND($JJ$2&lt;&gt;"Enter Spend&gt;&gt;&gt;",$JK$2="EXISTING"),SUMIFS('Existing Customers'!$Q:$Q,'Existing Customers'!$A:$A,$JJ$1,'Existing Customers'!$H:$H,$JI27)*$JJ$4,$JJ$3*$JH27),0))</f>
        <v>0</v>
      </c>
      <c r="JK27" s="86">
        <f>IF('Customer Inputs'!$W$15="End",0,IFERROR(IF(AND($JJ$2&lt;&gt;"Enter Spend&gt;&gt;&gt;",$JK$2="EXISTING"),SUMIFS('Existing Customers'!$N:$N,'Existing Customers'!$A:$A,$JJ$1,'Existing Customers'!$H:$H,$JI27)*$JJ$4,$JJ27/$JU27),0))</f>
        <v>0</v>
      </c>
      <c r="JL27" s="92">
        <f>IF('Customer Inputs'!$W$15="End",0,IFERROR(IF(AND($JJ$2&lt;&gt;"Enter Spend&gt;&gt;&gt;",$JK$2="EXISTING"),SUMIFS('Existing Customers'!$O:$O,'Existing Customers'!$H:$H,$JI27,'Existing Customers'!$A:$A,$JJ$1)*$JJ$4,$JK27*$JJ$8),0))</f>
        <v>0</v>
      </c>
      <c r="JM27" s="92">
        <f>IF('Customer Inputs'!$W$15="End",0,IFERROR(IF(AND($JJ$2&lt;&gt;"Enter Spend&gt;&gt;&gt;",$JK$2="EXISTING"),SUMIFS('Existing Customers'!$P:$P,'Existing Customers'!$A:$A,$JJ$1,'Existing Customers'!$H:$H,$JI27)*$JJ$4,$JJ27/$JV27),0))</f>
        <v>0</v>
      </c>
      <c r="JN27" s="303">
        <f>IF('Customer Inputs'!$W$15="End",0,IFERROR(IF(AND($JJ$2&lt;&gt;"Enter Spend&gt;&gt;&gt;",$JK$2="EXISTING"),SUMIFS('Existing Customers'!$V:$V,'Existing Customers'!$H:$H,$JI27,'Existing Customers'!$A:$A,$JJ$1)*$JJ$4,0),0))</f>
        <v>0</v>
      </c>
      <c r="JO27" s="93">
        <f>IF('Customer Inputs'!$W$15="End",0,IFERROR(IF(AND($JJ$2&lt;&gt;"Enter Spend&gt;&gt;&gt;",$JK$2="EXISTING"),SUMIFS('Existing Customers'!$R:$R,'Existing Customers'!$H:$H,$JI27,'Existing Customers'!$A:$A,$JJ$1)*$JJ$4,0),0))</f>
        <v>0</v>
      </c>
      <c r="JP27" s="780">
        <f>IF('Customer Inputs'!$W$15="End",0,IFERROR(IF(AND($JJ$2&lt;&gt;"Enter Spend&gt;&gt;&gt;",$JK$2="EXISTING"),SUMIFS('Existing Customers'!$S:$S,'Existing Customers'!$H:$H,$JI27,'Existing Customers'!$A:$A,$JJ$1)/SUMIFS('Existing Customers'!$Q:$Q,'Existing Customers'!$A:$A,$JJ$1,'Existing Customers'!$H:$H,$JI27),JZ27),0))</f>
        <v>0</v>
      </c>
      <c r="JQ27" s="780">
        <f>IF('Customer Inputs'!$W$15="End",0,IFERROR(IF(AND($JJ$2&lt;&gt;"Enter Spend&gt;&gt;&gt;",$JK$2="EXISTING"),SUMIFS('Existing Customers'!$U:$U,'Existing Customers'!$H:$H,$JI27,'Existing Customers'!$A:$A,$JJ$1)/SUMIFS('Existing Customers'!$Q:$Q,'Existing Customers'!$A:$A,$JJ$1,'Existing Customers'!$H:$H,$JI27),KA27),0))</f>
        <v>0</v>
      </c>
      <c r="JR27" s="783" t="e">
        <f>_xlfn.CONCAT('Customer Inputs'!$AH$15,"_",JI27)</f>
        <v>#N/A</v>
      </c>
      <c r="JS27" s="783">
        <f t="array" ref="JS27">IF('Customer Inputs'!$W$15="End",0,IFERROR(INDEX('Margin Guidence Table'!$A$1:$AG$10000,MATCH(1,('Margin Guidence Table'!$A$1:$A$10000=JR27)*('Margin Guidence Table'!$I$1:$I$10000&lt;=ROUND($JJ$3,0))*('Margin Guidence Table'!$J$1:$J$10000&gt;=ROUND($JJ$3,0)),0),MATCH("DATA_POINTS",'Margin Guidence Table'!$A$1:$AG$1,0)),0))</f>
        <v>0</v>
      </c>
      <c r="JT27" s="780" t="str">
        <f t="shared" si="51"/>
        <v>DEFAULT</v>
      </c>
      <c r="JU27" s="780">
        <f t="array" ref="JU27">IF('Customer Inputs'!$W$15="End",0,IFERROR(IF($JT27="SEGMENT",INDEX('Margin Guidence Table'!$A$1:$AG$10000,MATCH(1,('Margin Guidence Table'!$A$1:$A$10000=JR27)*('Margin Guidence Table'!$I$1:$I$10000&lt;=ROUND($JJ$3,0))*('Margin Guidence Table'!$J$1:$J$10000&gt;=ROUND($JJ$3,0)),0),MATCH("SALES_CASE",'Margin Guidence Table'!$A$1:$AG$1,0)),INDEX('Margin Guidence Table'!$A$1:$AG$10000,MATCH(1,('Margin Guidence Table'!$A$1:$A$10000=JR27)*('Margin Guidence Table'!$I$1:$I$10000&lt;=ROUND($JJ$3,0))*('Margin Guidence Table'!$J$1:$J$10000&gt;=ROUND($JJ$3,0)),0),MATCH("DEFAULT_SALES_CASE",'Margin Guidence Table'!$A$1:$AG$1,0))),0))</f>
        <v>0</v>
      </c>
      <c r="JV27" s="780">
        <f t="array" ref="JV27">IF('Customer Inputs'!$W$15="End",0,IFERROR(IF($JT27="SEGMENT",INDEX('Margin Guidence Table'!$A$1:$AG$10000,MATCH(1,('Margin Guidence Table'!$A$1:$A$10000=JR27)*('Margin Guidence Table'!$I$1:$I$10000&lt;=ROUND($JJ$3,0))*('Margin Guidence Table'!$J$1:$J$10000&gt;=ROUND($JJ$3,0)),0),MATCH("SALES_LBS",'Margin Guidence Table'!$A$1:$AG$1,0)),INDEX('Margin Guidence Table'!$A$1:$AG$10000,MATCH(1,('Margin Guidence Table'!$A$1:$A$10000=JR27)*('Margin Guidence Table'!$I$1:$I$10000&lt;=ROUND($JJ$3,0))*('Margin Guidence Table'!$J$1:$J$10000&gt;=ROUND($JJ$3,0)),0),MATCH("DEFAULT_SALES_LBS",'Margin Guidence Table'!$A$1:$AG$1,0))),0))</f>
        <v>0</v>
      </c>
      <c r="JW27" s="784">
        <f t="array" ref="JW27">IF('Customer Inputs'!$W$15="End",0,IFERROR(IF($JT27="SEGMENT",INDEX('Margin Guidence Table'!$A$1:$AG$10000,MATCH(1,('Margin Guidence Table'!$A$1:$A$10000=JR27)*('Margin Guidence Table'!$I$1:$I$10000&lt;=ROUND($JJ$3,0))*('Margin Guidence Table'!$J$1:$J$10000&gt;=ROUND($JJ$3,0)),0),MATCH("MDA_MIN_MARGIN_GUIDENCE",'Margin Guidence Table'!$A$1:$AG$1,0)),INDEX('Margin Guidence Table'!$A$1:$AG$10000,MATCH(1,('Margin Guidence Table'!$A$1:$A$10000=JR27)*('Margin Guidence Table'!$I$1:$I$10000&lt;=ROUND($JJ$3,0))*('Margin Guidence Table'!$J$1:$J$10000&gt;=ROUND($JJ$3,0)),0),MATCH("DEFAULT_MDA_MIN_MARGIN_GUIDENCE",'Margin Guidence Table'!$A$1:$AG$1,0))),0))</f>
        <v>0</v>
      </c>
      <c r="JX27" s="784">
        <f t="array" ref="JX27">IF('Customer Inputs'!$W$15="End",0,IFERROR(IF($JT27="SEGMENT",INDEX('Margin Guidence Table'!$A$1:$AG$10000,MATCH(1,('Margin Guidence Table'!$A$1:$A$10000=JR27)*('Margin Guidence Table'!$I$1:$I$10000&lt;=ROUND($JJ$3,0))*('Margin Guidence Table'!$J$1:$J$10000&gt;=ROUND($JJ$3,0)),0),MATCH("MDA_MEDIAN_MARGIN_GUIDENCE",'Margin Guidence Table'!$A$1:$AG$1,0)),INDEX('Margin Guidence Table'!$A$1:$AG$10000,MATCH(1,('Margin Guidence Table'!$A$1:$A$10000=JR27)*('Margin Guidence Table'!$I$1:$I$10000&lt;=ROUND($JJ$3,0))*('Margin Guidence Table'!$J$1:$J$10000&gt;=ROUND($JJ$3,0)),0),MATCH("DEFAULT_MDA_MEDIAN_MARGIN_GUIDENCE",'Margin Guidence Table'!$A$1:$AG$1,0))),0))</f>
        <v>0</v>
      </c>
      <c r="JY27" s="784">
        <f t="array" ref="JY27">IF('Customer Inputs'!$W$15="End",0,IFERROR(IF($JT27="SEGMENT",INDEX('Margin Guidence Table'!$A$1:$AG$10000,MATCH(1,('Margin Guidence Table'!$A$1:$A$10000=JR27)*('Margin Guidence Table'!$I$1:$I$10000&lt;=ROUND($JJ$3,0))*('Margin Guidence Table'!$J$1:$J$10000&gt;=ROUND($JJ$3,0)),0),MATCH("MDA_MAX_MARGIN_GUIDENCE",'Margin Guidence Table'!$A$1:$AG$1,0)),INDEX('Margin Guidence Table'!$A$1:$AG$10000,MATCH(1,('Margin Guidence Table'!$A$1:$A$10000=JR27)*('Margin Guidence Table'!$I$1:$I$10000&lt;=ROUND($JJ$3,0))*('Margin Guidence Table'!$J$1:$J$10000&gt;=ROUND($JJ$3,0)),0),MATCH("DEFAULT_MDA_MAX_MARGIN_GUIDENCE",'Margin Guidence Table'!$A$1:$AG$1,0))),0))</f>
        <v>0</v>
      </c>
      <c r="JZ27" s="784">
        <f t="array" ref="JZ27">IF('Customer Inputs'!$W$15="End",0,IFERROR(IF($JT27="SEGMENT",INDEX('Margin Guidence Table'!$A$1:$AG$10000,MATCH(1,('Margin Guidence Table'!$A$1:$A$10000=JR27)*('Margin Guidence Table'!$I$1:$I$10000&lt;=ROUND($JJ$3,0))*('Margin Guidence Table'!$J$1:$J$10000&gt;=ROUND($JJ$3,0)),0),MATCH("PA_PCT_SALES",'Margin Guidence Table'!$A$1:$AG$1,0)),INDEX('Margin Guidence Table'!$A$1:$AG$10000,MATCH(1,('Margin Guidence Table'!$A$1:$A$10000=JR27)*('Margin Guidence Table'!$I$1:$I$10000&lt;=ROUND($JJ$3,0))*('Margin Guidence Table'!$J$1:$J$10000&gt;=ROUND($JJ$3,0)),0),MATCH("DEFAULT_PA_PCT_SALES",'Margin Guidence Table'!$A$1:$AG$1,0))),0))</f>
        <v>0</v>
      </c>
      <c r="KA27" s="784" cm="1">
        <f t="array" ref="KA27">IF('Customer Inputs'!$W$15="End",0,IFERROR(IF($JT27="SEGMENT",INDEX('Margin Guidence Table'!$A$1:$AG$10000,MATCH(1,('Margin Guidence Table'!$A$1:$A$10000=JR27)*('Margin Guidence Table'!$I$1:$I$10000&lt;=ROUND($JJ$3,0))*('Margin Guidence Table'!$J$1:$J$10000&gt;=ROUND($JJ$3,0)),0),MATCH("SELF_FUND_PCT_SALES",'Margin Guidence Table'!$A$1:$AG$1,0)),INDEX('Margin Guidence Table'!$A$1:$AG$10000,MATCH(1,('Margin Guidence Table'!$A$1:$A$10000=JR27)*('Margin Guidence Table'!$I$1:$I$10000&lt;=ROUND($JJ$3,0))*('Margin Guidence Table'!$J$1:$J$10000&gt;=ROUND($JJ$3,0)),0),MATCH("DEFAULT_SELF_FUND_PCT_SALES",'Margin Guidence Table'!$A$1:$AG$1,0))),0))</f>
        <v>0</v>
      </c>
      <c r="KB27" s="784">
        <f t="array" ref="KB27">IF('Customer Inputs'!$W$15="End",0,IF($JK$2="Existing",IFERROR(SUMIFS('Existing Customers'!$V:$V,'Existing Customers'!$H:$H,$JI27,'Existing Customers'!$A:$A,$JJ$1)/SUMIFS('Existing Customers'!$Q:$Q,'Existing Customers'!$H:$H,$JI27,'Existing Customers'!$A:$A,$JJ$1),0),IFERROR(IF($JT27="SEGMENT",INDEX('Margin Guidence Table'!$A$1:$AG$10000,MATCH(1,('Margin Guidence Table'!$A$1:$A$10000=JR27)*('Margin Guidence Table'!$I$1:$I$10000&lt;=ROUND($JJ$3,0))*('Margin Guidence Table'!$J$1:$J$10000&gt;=ROUND($JJ$3,0)),0),MATCH("CIA_MEDIAN_MARGIN_GUIDENCE",'Margin Guidence Table'!$A$1:$AG$1,0)),INDEX('Margin Guidence Table'!$A$1:$AG$10000,MATCH(1,('Margin Guidence Table'!$A$1:$A$10000=JR27)*('Margin Guidence Table'!$I$1:$I$10000&lt;=ROUND($JJ$3,0))*('Margin Guidence Table'!$J$1:$J$10000&gt;=ROUND($JJ$3,0)),0),MATCH("DEFAULT_CIA_MEDIAN_MARGIN_GUIDENCE",'Margin Guidence Table'!$A$1:$AG$1,0))),0)))</f>
        <v>0</v>
      </c>
      <c r="KC27" s="784"/>
      <c r="KD27" s="18">
        <f t="array" ref="KD27">IF('Customer Inputs'!$W$16="End",0,IFERROR(IF($KQ27="SEGMENT",INDEX('Margin Guidence Table'!$A$1:$AG$10000,MATCH(1,('Margin Guidence Table'!$A$1:$A$10000=$KO27)*('Margin Guidence Table'!$I$1:$I$10000&lt;=ROUND($KG$3,0))*('Margin Guidence Table'!$J$1:$J$10000&gt;=ROUND($KG$3,0)),0),MATCH("PCT_SALES",'Margin Guidence Table'!$A$1:$AG$1,0)),INDEX('Margin Guidence Table'!$A$1:$AG$10000,MATCH(1,('Margin Guidence Table'!$A$1:$A$10000=$KO27)*('Margin Guidence Table'!$I$1:$I$10000&lt;=ROUND($KG$3,0))*('Margin Guidence Table'!$J$1:$J$10000&gt;=ROUND($KG$3,0)),0),MATCH("DEFAULT_PCT_SALES",'Margin Guidence Table'!$A$1:$AG$1,0))),0))</f>
        <v>0</v>
      </c>
      <c r="KE27" s="1713" t="e">
        <f t="shared" si="52"/>
        <v>#DIV/0!</v>
      </c>
      <c r="KF27" s="99" t="s">
        <v>92</v>
      </c>
      <c r="KG27" s="91">
        <f>IF('Customer Inputs'!$W$16="End",0,IFERROR(IF(AND($KG$2&lt;&gt;"Enter Spend&gt;&gt;&gt;",$KH$2="EXISTING"),SUMIFS('Existing Customers'!$Q:$Q,'Existing Customers'!$A:$A,$KG$1,'Existing Customers'!$H:$H,$KF27)*$KG$4,$KG$3*$KE27),0))</f>
        <v>0</v>
      </c>
      <c r="KH27" s="86">
        <f>IF('Customer Inputs'!$W$16="End",0,IFERROR(IF(AND($KG$2&lt;&gt;"Enter Spend&gt;&gt;&gt;",$KH$2="EXISTING"),SUMIFS('Existing Customers'!$N:$N,'Existing Customers'!$A:$A,$KG$1,'Existing Customers'!$H:$H,$KF27)*$KG$4,$KG27/$KR27),0))</f>
        <v>0</v>
      </c>
      <c r="KI27" s="92">
        <f>IF('Customer Inputs'!$W$16="End",0,IFERROR(IF(AND($KG$2&lt;&gt;"Enter Spend&gt;&gt;&gt;",$KH$2="EXISTING"),SUMIFS('Existing Customers'!$O:$O,'Existing Customers'!$H:$H,$KF27,'Existing Customers'!$A:$A,$KG$1)*$KG$4,$KH27*$KG$8),0))</f>
        <v>0</v>
      </c>
      <c r="KJ27" s="92">
        <f>IF('Customer Inputs'!$W$16="End",0,IFERROR(IF(AND($KG$2&lt;&gt;"Enter Spend&gt;&gt;&gt;",$KH$2="EXISTING"),SUMIFS('Existing Customers'!$P:$P,'Existing Customers'!$A:$A,$KG$1,'Existing Customers'!$H:$H,$KF27)*$KG$4,$KG27/$KS27),0))</f>
        <v>0</v>
      </c>
      <c r="KK27" s="303">
        <f>IF('Customer Inputs'!$W$16="End",0,IFERROR(IF(AND($KG$2&lt;&gt;"Enter Spend&gt;&gt;&gt;",$KH$2="EXISTING"),SUMIFS('Existing Customers'!$V:$V,'Existing Customers'!$H:$H,$KF27,'Existing Customers'!$A:$A,$KG$1)*$KG$4,0),0))</f>
        <v>0</v>
      </c>
      <c r="KL27" s="93">
        <f>IF('Customer Inputs'!$W$16="End",0,IFERROR(IF(AND($KG$2&lt;&gt;"Enter Spend&gt;&gt;&gt;",$KH$2="EXISTING"),SUMIFS('Existing Customers'!$R:$R,'Existing Customers'!$H:$H,$KF27,'Existing Customers'!$A:$A,$KG$1)*$KG$4,0),0))</f>
        <v>0</v>
      </c>
      <c r="KM27" s="780">
        <f>IF('Customer Inputs'!$W$16="End",0,IFERROR(IF(AND($KG$2&lt;&gt;"Enter Spend&gt;&gt;&gt;",$KH$2="EXISTING"),SUMIFS('Existing Customers'!$S:$S,'Existing Customers'!$H:$H,$KF27,'Existing Customers'!$A:$A,$KG$1)/SUMIFS('Existing Customers'!$Q:$Q,'Existing Customers'!$A:$A,$KG$1,'Existing Customers'!$H:$H,$KF27),KW27),0))</f>
        <v>0</v>
      </c>
      <c r="KN27" s="780">
        <f>IF('Customer Inputs'!$W$16="End",0,IFERROR(IF(AND($KG$2&lt;&gt;"Enter Spend&gt;&gt;&gt;",$KH$2="EXISTING"),SUMIFS('Existing Customers'!$U:$U,'Existing Customers'!$H:$H,$KF27,'Existing Customers'!$A:$A,$KG$1)/SUMIFS('Existing Customers'!$Q:$Q,'Existing Customers'!$A:$A,$KG$1,'Existing Customers'!$H:$H,$KF27),KX27),0))</f>
        <v>0</v>
      </c>
      <c r="KO27" s="783" t="e">
        <f>_xlfn.CONCAT('Customer Inputs'!$AH$16,"_",KF27)</f>
        <v>#N/A</v>
      </c>
      <c r="KP27" s="783">
        <f t="array" ref="KP27">IF('Customer Inputs'!$W$16="End",0,IFERROR(INDEX('Margin Guidence Table'!$A$1:$AG$10000,MATCH(1,('Margin Guidence Table'!$A$1:$A$10000=KO27)*('Margin Guidence Table'!$I$1:$I$10000&lt;=ROUND($KG$3,0))*('Margin Guidence Table'!$J$1:$J$10000&gt;=ROUND($KG$3,0)),0),MATCH("DATA_POINTS",'Margin Guidence Table'!$A$1:$AG$1,0)),0))</f>
        <v>0</v>
      </c>
      <c r="KQ27" s="780" t="str">
        <f t="shared" si="53"/>
        <v>DEFAULT</v>
      </c>
      <c r="KR27" s="780">
        <f t="array" ref="KR27">IF('Customer Inputs'!$W$16="End",0,IFERROR(IF($KQ27="SEGMENT",INDEX('Margin Guidence Table'!$A$1:$AG$10000,MATCH(1,('Margin Guidence Table'!$A$1:$A$10000=KO27)*('Margin Guidence Table'!$I$1:$I$10000&lt;=ROUND($KG$3,0))*('Margin Guidence Table'!$J$1:$J$10000&gt;=ROUND($KG$3,0)),0),MATCH("SALES_CASE",'Margin Guidence Table'!$A$1:$AG$1,0)),INDEX('Margin Guidence Table'!$A$1:$AG$10000,MATCH(1,('Margin Guidence Table'!$A$1:$A$10000=KO27)*('Margin Guidence Table'!$I$1:$I$10000&lt;=ROUND($KG$3,0))*('Margin Guidence Table'!$J$1:$J$10000&gt;=ROUND($KG$3,0)),0),MATCH("DEFAULT_SALES_CASE",'Margin Guidence Table'!$A$1:$AG$1,0))),0))</f>
        <v>0</v>
      </c>
      <c r="KS27" s="780">
        <f t="array" ref="KS27">IF('Customer Inputs'!$W$16="End",0,IFERROR(IF($KQ27="SEGMENT",INDEX('Margin Guidence Table'!$A$1:$AG$10000,MATCH(1,('Margin Guidence Table'!$A$1:$A$10000=KO27)*('Margin Guidence Table'!$I$1:$I$10000&lt;=ROUND($KG$3,0))*('Margin Guidence Table'!$J$1:$J$10000&gt;=ROUND($KG$3,0)),0),MATCH("SALES_LBS",'Margin Guidence Table'!$A$1:$AG$1,0)),INDEX('Margin Guidence Table'!$A$1:$AG$10000,MATCH(1,('Margin Guidence Table'!$A$1:$A$10000=KO27)*('Margin Guidence Table'!$I$1:$I$10000&lt;=ROUND($KG$3,0))*('Margin Guidence Table'!$J$1:$J$10000&gt;=ROUND($KG$3,0)),0),MATCH("DEFAULT_SALES_LBS",'Margin Guidence Table'!$A$1:$AG$1,0))),0))</f>
        <v>0</v>
      </c>
      <c r="KT27" s="784">
        <f t="array" ref="KT27">IF('Customer Inputs'!$W$16="End",0,IFERROR(IF($KQ27="SEGMENT",INDEX('Margin Guidence Table'!$A$1:$AG$10000,MATCH(1,('Margin Guidence Table'!$A$1:$A$10000=KO27)*('Margin Guidence Table'!$I$1:$I$10000&lt;=ROUND($KG$3,0))*('Margin Guidence Table'!$J$1:$J$10000&gt;=ROUND($KG$3,0)),0),MATCH("MDA_MIN_MARGIN_GUIDENCE",'Margin Guidence Table'!$A$1:$AG$1,0)),INDEX('Margin Guidence Table'!$A$1:$AG$10000,MATCH(1,('Margin Guidence Table'!$A$1:$A$10000=KO27)*('Margin Guidence Table'!$I$1:$I$10000&lt;=ROUND($KG$3,0))*('Margin Guidence Table'!$J$1:$J$10000&gt;=ROUND($KG$3,0)),0),MATCH("DEFAULT_MDA_MIN_MARGIN_GUIDENCE",'Margin Guidence Table'!$A$1:$AG$1,0))),0))</f>
        <v>0</v>
      </c>
      <c r="KU27" s="784">
        <f t="array" ref="KU27">IF('Customer Inputs'!$W$16="End",0,IFERROR(IF($KQ27="SEGMENT",INDEX('Margin Guidence Table'!$A$1:$AG$10000,MATCH(1,('Margin Guidence Table'!$A$1:$A$10000=KO27)*('Margin Guidence Table'!$I$1:$I$10000&lt;=ROUND($KG$3,0))*('Margin Guidence Table'!$J$1:$J$10000&gt;=ROUND($KG$3,0)),0),MATCH("MDA_MEDIAN_MARGIN_GUIDENCE",'Margin Guidence Table'!$A$1:$AG$1,0)),INDEX('Margin Guidence Table'!$A$1:$AG$10000,MATCH(1,('Margin Guidence Table'!$A$1:$A$10000=KO27)*('Margin Guidence Table'!$I$1:$I$10000&lt;=ROUND($KG$3,0))*('Margin Guidence Table'!$J$1:$J$10000&gt;=ROUND($KG$3,0)),0),MATCH("DEFAULT_MDA_MEDIAN_MARGIN_GUIDENCE",'Margin Guidence Table'!$A$1:$AG$1,0))),0))</f>
        <v>0</v>
      </c>
      <c r="KV27" s="784">
        <f t="array" ref="KV27">IF('Customer Inputs'!$W$16="End",0,IFERROR(IF($KQ27="SEGMENT",INDEX('Margin Guidence Table'!$A$1:$AG$10000,MATCH(1,('Margin Guidence Table'!$A$1:$A$10000=KO27)*('Margin Guidence Table'!$I$1:$I$10000&lt;=ROUND($KG$3,0))*('Margin Guidence Table'!$J$1:$J$10000&gt;=ROUND($KG$3,0)),0),MATCH("MDA_MAX_MARGIN_GUIDENCE",'Margin Guidence Table'!$A$1:$AG$1,0)),INDEX('Margin Guidence Table'!$A$1:$AG$10000,MATCH(1,('Margin Guidence Table'!$A$1:$A$10000=KO27)*('Margin Guidence Table'!$I$1:$I$10000&lt;=ROUND($KG$3,0))*('Margin Guidence Table'!$J$1:$J$10000&gt;=ROUND($KG$3,0)),0),MATCH("DEFAULT_MDA_MAX_MARGIN_GUIDENCE",'Margin Guidence Table'!$A$1:$AG$1,0))),0))</f>
        <v>0</v>
      </c>
      <c r="KW27" s="784">
        <f t="array" ref="KW27">IF('Customer Inputs'!$W$16="End",0,IFERROR(IF($KQ27="SEGMENT",INDEX('Margin Guidence Table'!$A$1:$AG$10000,MATCH(1,('Margin Guidence Table'!$A$1:$A$10000=KO27)*('Margin Guidence Table'!$I$1:$I$10000&lt;=ROUND($KG$3,0))*('Margin Guidence Table'!$J$1:$J$10000&gt;=ROUND($KG$3,0)),0),MATCH("PA_PCT_SALES",'Margin Guidence Table'!$A$1:$AG$1,0)),INDEX('Margin Guidence Table'!$A$1:$AG$10000,MATCH(1,('Margin Guidence Table'!$A$1:$A$10000=KO27)*('Margin Guidence Table'!$I$1:$I$10000&lt;=ROUND($KG$3,0))*('Margin Guidence Table'!$J$1:$J$10000&gt;=ROUND($KG$3,0)),0),MATCH("DEFAULT_PA_PCT_SALES",'Margin Guidence Table'!$A$1:$AG$1,0))),0))</f>
        <v>0</v>
      </c>
      <c r="KX27" s="784">
        <f t="array" ref="KX27">IF('Customer Inputs'!$W$16="End",0,IFERROR(IF($KQ27="SEGMENT",INDEX('Margin Guidence Table'!$A$1:$AG$10000,MATCH(1,('Margin Guidence Table'!$A$1:$A$10000=KO27)*('Margin Guidence Table'!$I$1:$I$10000&lt;=ROUND($KG$3,0))*('Margin Guidence Table'!$J$1:$J$10000&gt;=ROUND($KG$3,0)),0),MATCH("SELF_FUND_PCT_SALES",'Margin Guidence Table'!$A$1:$AG$1,0)),INDEX('Margin Guidence Table'!$A$1:$AG$10000,MATCH(1,('Margin Guidence Table'!$A$1:$A$10000=KO27)*('Margin Guidence Table'!$I$1:$I$10000&lt;=ROUND($KG$3,0))*('Margin Guidence Table'!$J$1:$J$10000&gt;=ROUND($KG$3,0)),0),MATCH("DEFAULT_SELF_FUND_PCT_SALES",'Margin Guidence Table'!$A$1:$AG$1,0))),0))</f>
        <v>0</v>
      </c>
      <c r="KY27" s="784">
        <f t="array" ref="KY27">IF('Customer Inputs'!$W$16="End",0,IF($KH$2="Existing",IFERROR(SUMIFS('Existing Customers'!$V:$V,'Existing Customers'!$H:$H,$KF27,'Existing Customers'!$A:$A,$KG$1)/SUMIFS('Existing Customers'!$Q:$Q,'Existing Customers'!$H:$H,$KF27,'Existing Customers'!$A:$A,$KG$1),0),IFERROR(IF($KQ27="SEGMENT",INDEX('Margin Guidence Table'!$A$1:$AG$10000,MATCH(1,('Margin Guidence Table'!$A$1:$A$10000=KO27)*('Margin Guidence Table'!$I$1:$I$10000&lt;=ROUND($KG$3,0))*('Margin Guidence Table'!$J$1:$J$10000&gt;=ROUND($KG$3,0)),0),MATCH("CIA_MEDIAN_MARGIN_GUIDENCE",'Margin Guidence Table'!$A$1:$AG$1,0)),INDEX('Margin Guidence Table'!$A$1:$AG$10000,MATCH(1,('Margin Guidence Table'!$A$1:$A$10000=KO27)*('Margin Guidence Table'!$I$1:$I$10000&lt;=ROUND($KG$3,0))*('Margin Guidence Table'!$J$1:$J$10000&gt;=ROUND($KG$3,0)),0),MATCH("DEFAULT_CIA_MEDIAN_MARGIN_GUIDENCE",'Margin Guidence Table'!$A$1:$AG$1,0))),0)))</f>
        <v>0</v>
      </c>
      <c r="KZ27" s="784"/>
      <c r="LA27" s="18">
        <f t="array" ref="LA27">IF('Customer Inputs'!$W$17="End",0,IFERROR(IF($LN27="SEGMENT",INDEX('Margin Guidence Table'!$A$1:$AG$10000,MATCH(1,('Margin Guidence Table'!$A$1:$A$10000=$LL27)*('Margin Guidence Table'!$I$1:$I$10000&lt;=ROUND($LD$3,0))*('Margin Guidence Table'!$J$1:$J$10000&gt;=ROUND($LD$3,0)),0),MATCH("PCT_SALES",'Margin Guidence Table'!$A$1:$AG$1,0)),INDEX('Margin Guidence Table'!$A$1:$AG$10000,MATCH(1,('Margin Guidence Table'!$A$1:$A$10000=$LL27)*('Margin Guidence Table'!$I$1:$I$10000&lt;=ROUND($LD$3,0))*('Margin Guidence Table'!$J$1:$J$10000&gt;=ROUND($LD$3,0)),0),MATCH("DEFAULT_PCT_SALES",'Margin Guidence Table'!$A$1:$AG$1,0))),0))</f>
        <v>0</v>
      </c>
      <c r="LB27" s="1713" t="e">
        <f t="shared" si="54"/>
        <v>#DIV/0!</v>
      </c>
      <c r="LC27" s="99" t="s">
        <v>92</v>
      </c>
      <c r="LD27" s="91">
        <f>IF('Customer Inputs'!$W$17="End",0,IFERROR(IF(AND($LD$2&lt;&gt;"Enter Spend&gt;&gt;&gt;",$LE$2="EXISTING"),SUMIFS('Existing Customers'!$Q:$Q,'Existing Customers'!$A:$A,$LD$1,'Existing Customers'!$H:$H,$LC27)*$LD$4,$LD$3*$LB27),0))</f>
        <v>0</v>
      </c>
      <c r="LE27" s="86">
        <f>IF('Customer Inputs'!$W$17="End",0,IFERROR(IF(AND($LD$2&lt;&gt;"Enter Spend&gt;&gt;&gt;",$LE$2="EXISTING"),SUMIFS('Existing Customers'!$N:$N,'Existing Customers'!$A:$A,$LD$1,'Existing Customers'!$H:$H,$LC27)*$LD$4,$LD27/$LO27),0))</f>
        <v>0</v>
      </c>
      <c r="LF27" s="92">
        <f>IF('Customer Inputs'!$W$17="End",0,IFERROR(IF(AND($LD$2&lt;&gt;"Enter Spend&gt;&gt;&gt;",$LE$2="EXISTING"),SUMIFS('Existing Customers'!$O:$O,'Existing Customers'!$H:$H,$LC27,'Existing Customers'!$A:$A,$LD$1)*$LD$4,$LE27*$LD$8),0))</f>
        <v>0</v>
      </c>
      <c r="LG27" s="92">
        <f>IF('Customer Inputs'!$W$17="End",0,IFERROR(IF(AND($LD$2&lt;&gt;"Enter Spend&gt;&gt;&gt;",$LE$2="EXISTING"),SUMIFS('Existing Customers'!$P:$P,'Existing Customers'!$A:$A,$LD$1,'Existing Customers'!$H:$H,$LC27)*$LD$4,$LD27/$LP27),0))</f>
        <v>0</v>
      </c>
      <c r="LH27" s="303">
        <f>IF('Customer Inputs'!$W$17="End",0,IFERROR(IF(AND($LD$2&lt;&gt;"Enter Spend&gt;&gt;&gt;",$LE$2="EXISTING"),SUMIFS('Existing Customers'!$V:$V,'Existing Customers'!$H:$H,$LC27,'Existing Customers'!$A:$A,$LD$1)*$LD$4,0),0))</f>
        <v>0</v>
      </c>
      <c r="LI27" s="93">
        <f>IF('Customer Inputs'!$W$17="End",0,IFERROR(IF(AND($LD$2&lt;&gt;"Enter Spend&gt;&gt;&gt;",$LE$2="EXISTING"),SUMIFS('Existing Customers'!$R:$R,'Existing Customers'!$H:$H,$LC27,'Existing Customers'!$A:$A,$LD$1)*$LD$4,0),0))</f>
        <v>0</v>
      </c>
      <c r="LJ27" s="780">
        <f>IF('Customer Inputs'!$W$17="End",0,IFERROR(IF(AND($LD$2&lt;&gt;"Enter Spend&gt;&gt;&gt;",$LE$2="EXISTING"),SUMIFS('Existing Customers'!$S:$S,'Existing Customers'!$H:$H,$LC27,'Existing Customers'!$A:$A,$LD$1)/SUMIFS('Existing Customers'!$Q:$Q,'Existing Customers'!$A:$A,$LD$1,'Existing Customers'!$H:$H,$LC27),LT27),0))</f>
        <v>0</v>
      </c>
      <c r="LK27" s="780">
        <f>IF('Customer Inputs'!$W$17="End",0,IFERROR(IF(AND($LD$2&lt;&gt;"Enter Spend&gt;&gt;&gt;",$LE$2="EXISTING"),SUMIFS('Existing Customers'!$U:$U,'Existing Customers'!$H:$H,$LC27,'Existing Customers'!$A:$A,$LD$1)/SUMIFS('Existing Customers'!$Q:$Q,'Existing Customers'!$A:$A,$LD$1,'Existing Customers'!$H:$H,$LC27),LU27),0))</f>
        <v>0</v>
      </c>
      <c r="LL27" s="783" t="e">
        <f>_xlfn.CONCAT('Customer Inputs'!$AH$17,"_",LC27)</f>
        <v>#N/A</v>
      </c>
      <c r="LM27" s="783">
        <f t="array" ref="LM27">IF('Customer Inputs'!$W$17="End",0,IFERROR(INDEX('Margin Guidence Table'!$A$1:$AG$10000,MATCH(1,('Margin Guidence Table'!$A$1:$A$10000=LL27)*('Margin Guidence Table'!$I$1:$I$10000&lt;=ROUND($LD$3,0))*('Margin Guidence Table'!$J$1:$J$10000&gt;=ROUND($LD$3,0)),0),MATCH("DATA_POINTS",'Margin Guidence Table'!$A$1:$AG$1,0)),0))</f>
        <v>0</v>
      </c>
      <c r="LN27" s="780" t="str">
        <f t="shared" si="55"/>
        <v>DEFAULT</v>
      </c>
      <c r="LO27" s="780">
        <f t="array" ref="LO27">IF('Customer Inputs'!$W$17="End",0,IFERROR(IF($LN27="SEGMENT",INDEX('Margin Guidence Table'!$A$1:$AG$10000,MATCH(1,('Margin Guidence Table'!$A$1:$A$10000=LL27)*('Margin Guidence Table'!$I$1:$I$10000&lt;=ROUND($LD$3,0))*('Margin Guidence Table'!$J$1:$J$10000&gt;=ROUND($LD$3,0)),0),MATCH("SALES_CASE",'Margin Guidence Table'!$A$1:$AG$1,0)),INDEX('Margin Guidence Table'!$A$1:$AG$10000,MATCH(1,('Margin Guidence Table'!$A$1:$A$10000=LL27)*('Margin Guidence Table'!$I$1:$I$10000&lt;=ROUND($LD$3,0))*('Margin Guidence Table'!$J$1:$J$10000&gt;=ROUND($LD$3,0)),0),MATCH("DEFAULT_SALES_CASE",'Margin Guidence Table'!$A$1:$AG$1,0))),0))</f>
        <v>0</v>
      </c>
      <c r="LP27" s="780">
        <f t="array" ref="LP27">IF('Customer Inputs'!$W$17="End",0,IFERROR(IF($LN27="SEGMENT",INDEX('Margin Guidence Table'!$A$1:$AG$10000,MATCH(1,('Margin Guidence Table'!$A$1:$A$10000=LL27)*('Margin Guidence Table'!$I$1:$I$10000&lt;=ROUND($LD$3,0))*('Margin Guidence Table'!$J$1:$J$10000&gt;=ROUND($LD$3,0)),0),MATCH("SALES_LBS",'Margin Guidence Table'!$A$1:$AG$1,0)),INDEX('Margin Guidence Table'!$A$1:$AG$10000,MATCH(1,('Margin Guidence Table'!$A$1:$A$10000=LL27)*('Margin Guidence Table'!$I$1:$I$10000&lt;=ROUND($LD$3,0))*('Margin Guidence Table'!$J$1:$J$10000&gt;=ROUND($LD$3,0)),0),MATCH("DEFAULT_SALES_LBS",'Margin Guidence Table'!$A$1:$AG$1,0))),0))</f>
        <v>0</v>
      </c>
      <c r="LQ27" s="784">
        <f t="array" ref="LQ27">IF('Customer Inputs'!$W$17="End",0,IFERROR(IF($LN27="SEGMENT",INDEX('Margin Guidence Table'!$A$1:$AG$10000,MATCH(1,('Margin Guidence Table'!$A$1:$A$10000=LL27)*('Margin Guidence Table'!$I$1:$I$10000&lt;=ROUND($LD$3,0))*('Margin Guidence Table'!$J$1:$J$10000&gt;=ROUND($LD$3,0)),0),MATCH("MDA_MIN_MARGIN_GUIDENCE",'Margin Guidence Table'!$A$1:$AG$1,0)),INDEX('Margin Guidence Table'!$A$1:$AG$10000,MATCH(1,('Margin Guidence Table'!$A$1:$A$10000=LL27)*('Margin Guidence Table'!$I$1:$I$10000&lt;=ROUND($LD$3,0))*('Margin Guidence Table'!$J$1:$J$10000&gt;=ROUND($LD$3,0)),0),MATCH("DEFAULT_MDA_MIN_MARGIN_GUIDENCE",'Margin Guidence Table'!$A$1:$AG$1,0))),0))</f>
        <v>0</v>
      </c>
      <c r="LR27" s="784">
        <f t="array" ref="LR27">IF('Customer Inputs'!$W$17="End",0,IFERROR(IF($LN27="SEGMENT",INDEX('Margin Guidence Table'!$A$1:$AG$10000,MATCH(1,('Margin Guidence Table'!$A$1:$A$10000=LL27)*('Margin Guidence Table'!$I$1:$I$10000&lt;=ROUND($LD$3,0))*('Margin Guidence Table'!$J$1:$J$10000&gt;=ROUND($LD$3,0)),0),MATCH("MDA_MEDIAN_MARGIN_GUIDENCE",'Margin Guidence Table'!$A$1:$AG$1,0)),INDEX('Margin Guidence Table'!$A$1:$AG$10000,MATCH(1,('Margin Guidence Table'!$A$1:$A$10000=LL27)*('Margin Guidence Table'!$I$1:$I$10000&lt;=ROUND($LD$3,0))*('Margin Guidence Table'!$J$1:$J$10000&gt;=ROUND($LD$3,0)),0),MATCH("DEFAULT_MDA_MEDIAN_MARGIN_GUIDENCE",'Margin Guidence Table'!$A$1:$AG$1,0))),0))</f>
        <v>0</v>
      </c>
      <c r="LS27" s="784">
        <f t="array" ref="LS27">IF('Customer Inputs'!$W$17="End",0,IFERROR(IF($LN27="SEGMENT",INDEX('Margin Guidence Table'!$A$1:$AG$10000,MATCH(1,('Margin Guidence Table'!$A$1:$A$10000=LL27)*('Margin Guidence Table'!$I$1:$I$10000&lt;=ROUND($LD$3,0))*('Margin Guidence Table'!$J$1:$J$10000&gt;=ROUND($LD$3,0)),0),MATCH("MDA_MAX_MARGIN_GUIDENCE",'Margin Guidence Table'!$A$1:$AG$1,0)),INDEX('Margin Guidence Table'!$A$1:$AG$10000,MATCH(1,('Margin Guidence Table'!$A$1:$A$10000=LL27)*('Margin Guidence Table'!$I$1:$I$10000&lt;=ROUND($LD$3,0))*('Margin Guidence Table'!$J$1:$J$10000&gt;=ROUND($LD$3,0)),0),MATCH("DEFAULT_MDA_MAX_MARGIN_GUIDENCE",'Margin Guidence Table'!$A$1:$AG$1,0))),0))</f>
        <v>0</v>
      </c>
      <c r="LT27" s="784">
        <f t="array" ref="LT27">IF('Customer Inputs'!$W$17="End",0,IFERROR(IF($LN27="SEGMENT",INDEX('Margin Guidence Table'!$A$1:$AG$10000,MATCH(1,('Margin Guidence Table'!$A$1:$A$10000=LL27)*('Margin Guidence Table'!$I$1:$I$10000&lt;=ROUND($LD$3,0))*('Margin Guidence Table'!$J$1:$J$10000&gt;=ROUND($LD$3,0)),0),MATCH("PA_PCT_SALES",'Margin Guidence Table'!$A$1:$AG$1,0)),INDEX('Margin Guidence Table'!$A$1:$AG$10000,MATCH(1,('Margin Guidence Table'!$A$1:$A$10000=LL27)*('Margin Guidence Table'!$I$1:$I$10000&lt;=ROUND($LD$3,0))*('Margin Guidence Table'!$J$1:$J$10000&gt;=ROUND($LD$3,0)),0),MATCH("DEFAULT_PA_PCT_SALES",'Margin Guidence Table'!$A$1:$AG$1,0))),0))</f>
        <v>0</v>
      </c>
      <c r="LU27" s="784">
        <f t="array" ref="LU27">IF('Customer Inputs'!$W$17="End",0,IFERROR(IF($LN27="SEGMENT",INDEX('Margin Guidence Table'!$A$1:$AG$10000,MATCH(1,('Margin Guidence Table'!$A$1:$A$10000=LL27)*('Margin Guidence Table'!$I$1:$I$10000&lt;=ROUND($LD$3,0))*('Margin Guidence Table'!$J$1:$J$10000&gt;=ROUND($LD$3,0)),0),MATCH("SELF_FUND_PCT_SALES",'Margin Guidence Table'!$A$1:$AG$1,0)),INDEX('Margin Guidence Table'!$A$1:$AG$10000,MATCH(1,('Margin Guidence Table'!$A$1:$A$10000=LL27)*('Margin Guidence Table'!$I$1:$I$10000&lt;=ROUND($LD$3,0))*('Margin Guidence Table'!$J$1:$J$10000&gt;=ROUND($LD$3,0)),0),MATCH("DEFAULT_SELF_FUND_PCT_SALES",'Margin Guidence Table'!$A$1:$AG$1,0))),0))</f>
        <v>0</v>
      </c>
      <c r="LV27" s="784">
        <f t="array" ref="LV27">IF('Customer Inputs'!$W$17="End",0,IF($LE$2="Existing",IFERROR(SUMIFS('Existing Customers'!$V:$V,'Existing Customers'!$H:$H,$LC27,'Existing Customers'!$A:$A,$LD$1)/SUMIFS('Existing Customers'!$Q:$Q,'Existing Customers'!$H:$H,$LC27,'Existing Customers'!$A:$A,$LD$1),0),IFERROR(IF($LN27="SEGMENT",INDEX('Margin Guidence Table'!$A$1:$AG$10000,MATCH(1,('Margin Guidence Table'!$A$1:$A$10000=LL27)*('Margin Guidence Table'!$I$1:$I$10000&lt;=ROUND($LD$3,0))*('Margin Guidence Table'!$J$1:$J$10000&gt;=ROUND($LD$3,0)),0),MATCH("CIA_MEDIAN_MARGIN_GUIDENCE",'Margin Guidence Table'!$A$1:$AG$1,0)),INDEX('Margin Guidence Table'!$A$1:$AG$10000,MATCH(1,('Margin Guidence Table'!$A$1:$A$10000=LL27)*('Margin Guidence Table'!$I$1:$I$10000&lt;=ROUND($LD$3,0))*('Margin Guidence Table'!$J$1:$J$10000&gt;=ROUND($LD$3,0)),0),MATCH("DEFAULT_CIA_MEDIAN_MARGIN_GUIDENCE",'Margin Guidence Table'!$A$1:$AG$1,0))),0)))</f>
        <v>0</v>
      </c>
      <c r="LW27" s="784"/>
      <c r="LX27" s="18">
        <f t="array" ref="LX27">IF('Customer Inputs'!$W$18="End",0,IFERROR(IF($MK27="SEGMENT",INDEX('Margin Guidence Table'!$A$1:$AG$10000,MATCH(1,('Margin Guidence Table'!$A$1:$A$10000=$MI27)*('Margin Guidence Table'!$I$1:$I$10000&lt;=ROUND($MA$3,0))*('Margin Guidence Table'!$J$1:$J$10000&gt;=ROUND($MA$3,0)),0),MATCH("PCT_SALES",'Margin Guidence Table'!$A$1:$AG$1,0)),INDEX('Margin Guidence Table'!$A$1:$AG$10000,MATCH(1,('Margin Guidence Table'!$A$1:$A$10000=$MI27)*('Margin Guidence Table'!$I$1:$I$10000&lt;=ROUND($MA$3,0))*('Margin Guidence Table'!$J$1:$J$10000&gt;=ROUND($MA$3,0)),0),MATCH("DEFAULT_PCT_SALES",'Margin Guidence Table'!$A$1:$AG$1,0))),0))</f>
        <v>0</v>
      </c>
      <c r="LY27" s="1713" t="e">
        <f t="shared" si="56"/>
        <v>#DIV/0!</v>
      </c>
      <c r="LZ27" s="99" t="s">
        <v>92</v>
      </c>
      <c r="MA27" s="91">
        <f>IF('Customer Inputs'!$W$18="End",0,IFERROR(IF(AND($MA$2&lt;&gt;"Enter Spend&gt;&gt;&gt;",$MB$2="EXISTING"),SUMIFS('Existing Customers'!$Q:$Q,'Existing Customers'!$A:$A,$MA$1,'Existing Customers'!$H:$H,$LZ27)*$MA$4,$MA$3*$LY27),0))</f>
        <v>0</v>
      </c>
      <c r="MB27" s="86">
        <f>IF('Customer Inputs'!$W$18="End",0,IFERROR(IF(AND($MA$2&lt;&gt;"Enter Spend&gt;&gt;&gt;",$MB$2="EXISTING"),SUMIFS('Existing Customers'!$N:$N,'Existing Customers'!$A:$A,$MA$1,'Existing Customers'!$H:$H,$LZ27)*$MA$4,$MA27/$ML27),0))</f>
        <v>0</v>
      </c>
      <c r="MC27" s="92">
        <f>IF('Customer Inputs'!$W$18="End",0,IFERROR(IF(AND($MA$2&lt;&gt;"Enter Spend&gt;&gt;&gt;",$MB$2="EXISTING"),SUMIFS('Existing Customers'!$O:$O,'Existing Customers'!$H:$H,$LZ27,'Existing Customers'!$A:$A,$MA$1)*$MA$4,$MB27*$MA$8),0))</f>
        <v>0</v>
      </c>
      <c r="MD27" s="92">
        <f>IF('Customer Inputs'!$W$18="End",0,IFERROR(IF(AND($MA$2&lt;&gt;"Enter Spend&gt;&gt;&gt;",$MB$2="EXISTING"),SUMIFS('Existing Customers'!$P:$P,'Existing Customers'!$A:$A,$MA$1,'Existing Customers'!$H:$H,$LZ27)*$MA$4,$MA27/$MM27),0))</f>
        <v>0</v>
      </c>
      <c r="ME27" s="303">
        <f>IF('Customer Inputs'!$W$18="End",0,IFERROR(IF(AND($MA$2&lt;&gt;"Enter Spend&gt;&gt;&gt;",$MB$2="EXISTING"),SUMIFS('Existing Customers'!$V:$V,'Existing Customers'!$H:$H,$LZ27,'Existing Customers'!$A:$A,$MA$1)*$MA$4,0),0))</f>
        <v>0</v>
      </c>
      <c r="MF27" s="93">
        <f>IF('Customer Inputs'!$W$18="End",0,IFERROR(IF(AND($MA$2&lt;&gt;"Enter Spend&gt;&gt;&gt;",$MB$2="EXISTING"),SUMIFS('Existing Customers'!$R:$R,'Existing Customers'!$H:$H,$LZ27,'Existing Customers'!$A:$A,$MA$1)*$MA$4,0),0))</f>
        <v>0</v>
      </c>
      <c r="MG27" s="780">
        <f>IF('Customer Inputs'!$W$18="End",0,IFERROR(IF(AND($MA$2&lt;&gt;"Enter Spend&gt;&gt;&gt;",$MB$2="EXISTING"),SUMIFS('Existing Customers'!$S:$S,'Existing Customers'!$H:$H,$LZ27,'Existing Customers'!$A:$A,$MA$1)/SUMIFS('Existing Customers'!$Q:$Q,'Existing Customers'!$A:$A,$MA$1,'Existing Customers'!$H:$H,$LZ27),MQ27),0))</f>
        <v>0</v>
      </c>
      <c r="MH27" s="780">
        <f>IF('Customer Inputs'!$W$18="End",0,IFERROR(IF(AND($MA$2&lt;&gt;"Enter Spend&gt;&gt;&gt;",$MB$2="EXISTING"),SUMIFS('Existing Customers'!$U:$U,'Existing Customers'!$H:$H,$LZ27,'Existing Customers'!$A:$A,$MA$1)/SUMIFS('Existing Customers'!$Q:$Q,'Existing Customers'!$A:$A,$MA$1,'Existing Customers'!$H:$H,$LZ27),MR27),0))</f>
        <v>0</v>
      </c>
      <c r="MI27" s="783" t="e">
        <f>_xlfn.CONCAT('Customer Inputs'!$AH$18,"_",LZ27)</f>
        <v>#N/A</v>
      </c>
      <c r="MJ27" s="783">
        <f t="array" ref="MJ27">IF('Customer Inputs'!$W$18="End",0,IFERROR(INDEX('Margin Guidence Table'!$A$1:$AG$10000,MATCH(1,('Margin Guidence Table'!$A$1:$A$10000=MI27)*('Margin Guidence Table'!$I$1:$I$10000&lt;=ROUND($MA$3,0))*('Margin Guidence Table'!$J$1:$J$10000&gt;=ROUND($MA$3,0)),0),MATCH("DATA_POINTS",'Margin Guidence Table'!$A$1:$AG$1,0)),0))</f>
        <v>0</v>
      </c>
      <c r="MK27" s="780" t="str">
        <f t="shared" si="57"/>
        <v>DEFAULT</v>
      </c>
      <c r="ML27" s="780">
        <f t="array" ref="ML27">IF('Customer Inputs'!$W$18="End",0,IFERROR(IF($MK27="SEGMENT",INDEX('Margin Guidence Table'!$A$1:$AG$10000,MATCH(1,('Margin Guidence Table'!$A$1:$A$10000=MI27)*('Margin Guidence Table'!$I$1:$I$10000&lt;=ROUND($MA$3,0))*('Margin Guidence Table'!$J$1:$J$10000&gt;=ROUND($MA$3,0)),0),MATCH("SALES_CASE",'Margin Guidence Table'!$A$1:$AG$1,0)),INDEX('Margin Guidence Table'!$A$1:$AG$10000,MATCH(1,('Margin Guidence Table'!$A$1:$A$10000=MI27)*('Margin Guidence Table'!$I$1:$I$10000&lt;=ROUND($MA$3,0))*('Margin Guidence Table'!$J$1:$J$10000&gt;=ROUND($MA$3,0)),0),MATCH("DEFAULT_SALES_CASE",'Margin Guidence Table'!$A$1:$AG$1,0))),0))</f>
        <v>0</v>
      </c>
      <c r="MM27" s="780">
        <f t="array" ref="MM27">IF('Customer Inputs'!$W$18="End",0,IFERROR(IF($MK27="SEGMENT",INDEX('Margin Guidence Table'!$A$1:$AG$10000,MATCH(1,('Margin Guidence Table'!$A$1:$A$10000=MI27)*('Margin Guidence Table'!$I$1:$I$10000&lt;=ROUND($MA$3,0))*('Margin Guidence Table'!$J$1:$J$10000&gt;=ROUND($MA$3,0)),0),MATCH("SALES_LBS",'Margin Guidence Table'!$A$1:$AG$1,0)),INDEX('Margin Guidence Table'!$A$1:$AG$10000,MATCH(1,('Margin Guidence Table'!$A$1:$A$10000=MI27)*('Margin Guidence Table'!$I$1:$I$10000&lt;=ROUND($MA$3,0))*('Margin Guidence Table'!$J$1:$J$10000&gt;=ROUND($MA$3,0)),0),MATCH("DEFAULT_SALES_LBS",'Margin Guidence Table'!$A$1:$AG$1,0))),0))</f>
        <v>0</v>
      </c>
      <c r="MN27" s="784">
        <f t="array" ref="MN27">IF('Customer Inputs'!$W$18="End",0,IFERROR(IF($MK27="SEGMENT",INDEX('Margin Guidence Table'!$A$1:$AG$10000,MATCH(1,('Margin Guidence Table'!$A$1:$A$10000=MI27)*('Margin Guidence Table'!$I$1:$I$10000&lt;=ROUND($MA$3,0))*('Margin Guidence Table'!$J$1:$J$10000&gt;=ROUND($MA$3,0)),0),MATCH("MDA_MIN_MARGIN_GUIDENCE",'Margin Guidence Table'!$A$1:$AG$1,0)),INDEX('Margin Guidence Table'!$A$1:$AG$10000,MATCH(1,('Margin Guidence Table'!$A$1:$A$10000=MI27)*('Margin Guidence Table'!$I$1:$I$10000&lt;=ROUND($MA$3,0))*('Margin Guidence Table'!$J$1:$J$10000&gt;=ROUND($MA$3,0)),0),MATCH("DEFAULT_MDA_MIN_MARGIN_GUIDENCE",'Margin Guidence Table'!$A$1:$AG$1,0))),0))</f>
        <v>0</v>
      </c>
      <c r="MO27" s="784">
        <f t="array" ref="MO27">IF('Customer Inputs'!$W$18="End",0,IFERROR(IF($MK27="SEGMENT",INDEX('Margin Guidence Table'!$A$1:$AG$10000,MATCH(1,('Margin Guidence Table'!$A$1:$A$10000=MI27)*('Margin Guidence Table'!$I$1:$I$10000&lt;=ROUND($MA$3,0))*('Margin Guidence Table'!$J$1:$J$10000&gt;=ROUND($MA$3,0)),0),MATCH("MDA_MEDIAN_MARGIN_GUIDENCE",'Margin Guidence Table'!$A$1:$AG$1,0)),INDEX('Margin Guidence Table'!$A$1:$AG$10000,MATCH(1,('Margin Guidence Table'!$A$1:$A$10000=MI27)*('Margin Guidence Table'!$I$1:$I$10000&lt;=ROUND($MA$3,0))*('Margin Guidence Table'!$J$1:$J$10000&gt;=ROUND($MA$3,0)),0),MATCH("DEFAULT_MDA_MEDIAN_MARGIN_GUIDENCE",'Margin Guidence Table'!$A$1:$AG$1,0))),0))</f>
        <v>0</v>
      </c>
      <c r="MP27" s="784">
        <f t="array" ref="MP27">IF('Customer Inputs'!$W$18="End",0,IFERROR(IF($MK27="SEGMENT",INDEX('Margin Guidence Table'!$A$1:$AG$10000,MATCH(1,('Margin Guidence Table'!$A$1:$A$10000=MI27)*('Margin Guidence Table'!$I$1:$I$10000&lt;=ROUND($MA$3,0))*('Margin Guidence Table'!$J$1:$J$10000&gt;=ROUND($MA$3,0)),0),MATCH("MDA_MAX_MARGIN_GUIDENCE",'Margin Guidence Table'!$A$1:$AG$1,0)),INDEX('Margin Guidence Table'!$A$1:$AG$10000,MATCH(1,('Margin Guidence Table'!$A$1:$A$10000=MI27)*('Margin Guidence Table'!$I$1:$I$10000&lt;=ROUND($MA$3,0))*('Margin Guidence Table'!$J$1:$J$10000&gt;=ROUND($MA$3,0)),0),MATCH("DEFAULT_MDA_MAX_MARGIN_GUIDENCE",'Margin Guidence Table'!$A$1:$AG$1,0))),0))</f>
        <v>0</v>
      </c>
      <c r="MQ27" s="784">
        <f t="array" ref="MQ27">IF('Customer Inputs'!$W$18="End",0,IFERROR(IF($MK27="SEGMENT",INDEX('Margin Guidence Table'!$A$1:$AG$10000,MATCH(1,('Margin Guidence Table'!$A$1:$A$10000=MI27)*('Margin Guidence Table'!$I$1:$I$10000&lt;=ROUND($MA$3,0))*('Margin Guidence Table'!$J$1:$J$10000&gt;=ROUND($MA$3,0)),0),MATCH("PA_PCT_SALES",'Margin Guidence Table'!$A$1:$AG$1,0)),INDEX('Margin Guidence Table'!$A$1:$AG$10000,MATCH(1,('Margin Guidence Table'!$A$1:$A$10000=MI27)*('Margin Guidence Table'!$I$1:$I$10000&lt;=ROUND($MA$3,0))*('Margin Guidence Table'!$J$1:$J$10000&gt;=ROUND($MA$3,0)),0),MATCH("DEFAULT_PA_PCT_SALES",'Margin Guidence Table'!$A$1:$AG$1,0))),0))</f>
        <v>0</v>
      </c>
      <c r="MR27" s="784">
        <f t="array" ref="MR27">IF('Customer Inputs'!$W$18="End",0,IFERROR(IF($MK27="SEGMENT",INDEX('Margin Guidence Table'!$A$1:$AG$10000,MATCH(1,('Margin Guidence Table'!$A$1:$A$10000=MI27)*('Margin Guidence Table'!$I$1:$I$10000&lt;=ROUND($MA$3,0))*('Margin Guidence Table'!$J$1:$J$10000&gt;=ROUND($MA$3,0)),0),MATCH("SELF_FUND_PCT_SALES",'Margin Guidence Table'!$A$1:$AG$1,0)),INDEX('Margin Guidence Table'!$A$1:$AG$10000,MATCH(1,('Margin Guidence Table'!$A$1:$A$10000=MI27)*('Margin Guidence Table'!$I$1:$I$10000&lt;=ROUND($MA$3,0))*('Margin Guidence Table'!$J$1:$J$10000&gt;=ROUND($MA$3,0)),0),MATCH("DEFAULT_SELF_FUND_PCT_SALES",'Margin Guidence Table'!$A$1:$AG$1,0))),0))</f>
        <v>0</v>
      </c>
      <c r="MS27" s="784">
        <f t="array" ref="MS27">IF('Customer Inputs'!$W$18="End",0,IF($MB$2="Existing",IFERROR(SUMIFS('Existing Customers'!$V:$V,'Existing Customers'!$H:$H,$LZ27,'Existing Customers'!$A:$A,$MA$1)/SUMIFS('Existing Customers'!$Q:$Q,'Existing Customers'!$H:$H,$LZ27,'Existing Customers'!$A:$A,$MA$1),0),IFERROR(IF($MK27="SEGMENT",INDEX('Margin Guidence Table'!$A$1:$AG$10000,MATCH(1,('Margin Guidence Table'!$A$1:$A$10000=MI27)*('Margin Guidence Table'!$I$1:$I$10000&lt;=ROUND($MA$3,0))*('Margin Guidence Table'!$J$1:$J$10000&gt;=ROUND($MA$3,0)),0),MATCH("CIA_MEDIAN_MARGIN_GUIDENCE",'Margin Guidence Table'!$A$1:$AG$1,0)),INDEX('Margin Guidence Table'!$A$1:$AG$10000,MATCH(1,('Margin Guidence Table'!$A$1:$A$10000=MI27)*('Margin Guidence Table'!$I$1:$I$10000&lt;=ROUND($MA$3,0))*('Margin Guidence Table'!$J$1:$J$10000&gt;=ROUND($MA$3,0)),0),MATCH("DEFAULT_CIA_MEDIAN_MARGIN_GUIDENCE",'Margin Guidence Table'!$A$1:$AG$1,0))),0)))</f>
        <v>0</v>
      </c>
      <c r="MT27" s="784"/>
      <c r="MU27" s="18">
        <f t="array" ref="MU27">IF('Customer Inputs'!$W$19="End",0,IFERROR(IF($NH27="SEGMENT",INDEX('Margin Guidence Table'!$A$1:$AG$10000,MATCH(1,('Margin Guidence Table'!$A$1:$A$10000=$NF27)*('Margin Guidence Table'!$I$1:$I$10000&lt;=ROUND($MX$3,0))*('Margin Guidence Table'!$J$1:$J$10000&gt;=ROUND($MX$3,0)),0),MATCH("PCT_SALES",'Margin Guidence Table'!$A$1:$AG$1,0)),INDEX('Margin Guidence Table'!$A$1:$AG$10000,MATCH(1,('Margin Guidence Table'!$A$1:$A$10000=$NF27)*('Margin Guidence Table'!$I$1:$I$10000&lt;=ROUND($MX$3,0))*('Margin Guidence Table'!$J$1:$J$10000&gt;=ROUND($MX$3,0)),0),MATCH("DEFAULT_PCT_SALES",'Margin Guidence Table'!$A$1:$AG$1,0))),0))</f>
        <v>0</v>
      </c>
      <c r="MV27" s="1713" t="e">
        <f t="shared" si="58"/>
        <v>#DIV/0!</v>
      </c>
      <c r="MW27" s="99" t="s">
        <v>92</v>
      </c>
      <c r="MX27" s="91">
        <f>IF('Customer Inputs'!$W$19="End",0,IFERROR(IF(AND($MX$2&lt;&gt;"Enter Spend&gt;&gt;&gt;",$MY$2="EXISTING"),SUMIFS('Existing Customers'!$Q:$Q,'Existing Customers'!$A:$A,$MX$1,'Existing Customers'!$H:$H,$MW27)*$MX$4,$MX$3*$MV27),0))</f>
        <v>0</v>
      </c>
      <c r="MY27" s="86">
        <f>IF('Customer Inputs'!$W$19="End",0,IFERROR(IF(AND($MX$2&lt;&gt;"Enter Spend&gt;&gt;&gt;",$MY$2="EXISTING"),SUMIFS('Existing Customers'!$N:$N,'Existing Customers'!$A:$A,$MX$1,'Existing Customers'!$H:$H,$MW27)*$MX$4,$MX27/$NI27),0))</f>
        <v>0</v>
      </c>
      <c r="MZ27" s="92">
        <f>IF('Customer Inputs'!$W$19="End",0,IFERROR(IF(AND($MX$2&lt;&gt;"Enter Spend&gt;&gt;&gt;",$MY$2="EXISTING"),SUMIFS('Existing Customers'!$O:$O,'Existing Customers'!$H:$H,$MW27,'Existing Customers'!$A:$A,$MX$1)*$MX$4,$MY27*$MX$8),0))</f>
        <v>0</v>
      </c>
      <c r="NA27" s="92">
        <f>IF('Customer Inputs'!$W$19="End",0,IFERROR(IF(AND($MX$2&lt;&gt;"Enter Spend&gt;&gt;&gt;",$MY$2="EXISTING"),SUMIFS('Existing Customers'!$P:$P,'Existing Customers'!$A:$A,$MX$1,'Existing Customers'!$H:$H,$MW27)*$MX$4,$MX27/$NJ27),0))</f>
        <v>0</v>
      </c>
      <c r="NB27" s="303">
        <f>IF('Customer Inputs'!$W$19="End",0,IFERROR(IF(AND($MX$2&lt;&gt;"Enter Spend&gt;&gt;&gt;",$MY$2="EXISTING"),SUMIFS('Existing Customers'!$V:$V,'Existing Customers'!$H:$H,$MW27,'Existing Customers'!$A:$A,$MX$1)*$MX$4,0),0))</f>
        <v>0</v>
      </c>
      <c r="NC27" s="93">
        <f>IF('Customer Inputs'!$W$19="End",0,IFERROR(IF(AND($MX$2&lt;&gt;"Enter Spend&gt;&gt;&gt;",$MY$2="EXISTING"),SUMIFS('Existing Customers'!$R:$R,'Existing Customers'!$H:$H,$MW27,'Existing Customers'!$A:$A,$MX$1)*$MX$4,0),0))</f>
        <v>0</v>
      </c>
      <c r="ND27" s="780">
        <f>IF('Customer Inputs'!$W$19="End",0,IFERROR(IF(AND($MX$2&lt;&gt;"Enter Spend&gt;&gt;&gt;",$MY$2="EXISTING"),SUMIFS('Existing Customers'!$S:$S,'Existing Customers'!$H:$H,$MW27,'Existing Customers'!$A:$A,$MX$1)/SUMIFS('Existing Customers'!$Q:$Q,'Existing Customers'!$A:$A,$MX$1,'Existing Customers'!$H:$H,$MW27),NN27),0))</f>
        <v>0</v>
      </c>
      <c r="NE27" s="780">
        <f>IF('Customer Inputs'!$W$19="End",0,IFERROR(IF(AND($MX$2&lt;&gt;"Enter Spend&gt;&gt;&gt;",$MY$2="EXISTING"),SUMIFS('Existing Customers'!$U:$U,'Existing Customers'!$H:$H,$MW27,'Existing Customers'!$A:$A,$MX$1)/SUMIFS('Existing Customers'!$Q:$Q,'Existing Customers'!$A:$A,$MX$1,'Existing Customers'!$H:$H,$MW27),NO27),0))</f>
        <v>0</v>
      </c>
      <c r="NF27" s="783" t="e">
        <f>_xlfn.CONCAT('Customer Inputs'!$AH$19,"_",MW27)</f>
        <v>#N/A</v>
      </c>
      <c r="NG27" s="783">
        <f t="array" ref="NG27">IF('Customer Inputs'!$W$19="End",0,IFERROR(INDEX('Margin Guidence Table'!$A$1:$AG$10000,MATCH(1,('Margin Guidence Table'!$A$1:$A$10000=NF27)*('Margin Guidence Table'!$I$1:$I$10000&lt;=ROUND($MX$3,0))*('Margin Guidence Table'!$J$1:$J$10000&gt;=ROUND($MX$3,0)),0),MATCH("DATA_POINTS",'Margin Guidence Table'!$A$1:$AG$1,0)),0))</f>
        <v>0</v>
      </c>
      <c r="NH27" s="780" t="str">
        <f t="shared" si="59"/>
        <v>DEFAULT</v>
      </c>
      <c r="NI27" s="780">
        <f t="array" ref="NI27">IF('Customer Inputs'!$W$19="End",0,IFERROR(IF($NH27="SEGMENT",INDEX('Margin Guidence Table'!$A$1:$AG$10000,MATCH(1,('Margin Guidence Table'!$A$1:$A$10000=NF27)*('Margin Guidence Table'!$I$1:$I$10000&lt;=ROUND($MX$3,0))*('Margin Guidence Table'!$J$1:$J$10000&gt;=ROUND($MX$3,0)),0),MATCH("SALES_CASE",'Margin Guidence Table'!$A$1:$AG$1,0)),INDEX('Margin Guidence Table'!$A$1:$AG$10000,MATCH(1,('Margin Guidence Table'!$A$1:$A$10000=NF27)*('Margin Guidence Table'!$I$1:$I$10000&lt;=ROUND($MX$3,0))*('Margin Guidence Table'!$J$1:$J$10000&gt;=ROUND($MX$3,0)),0),MATCH("DEFAULT_SALES_CASE",'Margin Guidence Table'!$A$1:$AG$1,0))),0))</f>
        <v>0</v>
      </c>
      <c r="NJ27" s="780">
        <f t="array" ref="NJ27">IF('Customer Inputs'!$W$19="End",0,IFERROR(IF($NH27="SEGMENT",INDEX('Margin Guidence Table'!$A$1:$AG$10000,MATCH(1,('Margin Guidence Table'!$A$1:$A$10000=NF27)*('Margin Guidence Table'!$I$1:$I$10000&lt;=ROUND($MX$3,0))*('Margin Guidence Table'!$J$1:$J$10000&gt;=ROUND($MX$3,0)),0),MATCH("SALES_LBS",'Margin Guidence Table'!$A$1:$AG$1,0)),INDEX('Margin Guidence Table'!$A$1:$AG$10000,MATCH(1,('Margin Guidence Table'!$A$1:$A$10000=NF27)*('Margin Guidence Table'!$I$1:$I$10000&lt;=ROUND($MX$3,0))*('Margin Guidence Table'!$J$1:$J$10000&gt;=ROUND($MX$3,0)),0),MATCH("DEFAULT_SALES_LBS",'Margin Guidence Table'!$A$1:$AG$1,0))),0))</f>
        <v>0</v>
      </c>
      <c r="NK27" s="784">
        <f t="array" ref="NK27">IF('Customer Inputs'!$W$19="End",0,IFERROR(IF($NH27="SEGMENT",INDEX('Margin Guidence Table'!$A$1:$AG$10000,MATCH(1,('Margin Guidence Table'!$A$1:$A$10000=NF27)*('Margin Guidence Table'!$I$1:$I$10000&lt;=ROUND($MX$3,0))*('Margin Guidence Table'!$J$1:$J$10000&gt;=ROUND($MX$3,0)),0),MATCH("MDA_MIN_MARGIN_GUIDENCE",'Margin Guidence Table'!$A$1:$AG$1,0)),INDEX('Margin Guidence Table'!$A$1:$AG$10000,MATCH(1,('Margin Guidence Table'!$A$1:$A$10000=NF27)*('Margin Guidence Table'!$I$1:$I$10000&lt;=ROUND($MX$3,0))*('Margin Guidence Table'!$J$1:$J$10000&gt;=ROUND($MX$3,0)),0),MATCH("DEFAULT_MDA_MIN_MARGIN_GUIDENCE",'Margin Guidence Table'!$A$1:$AG$1,0))),0))</f>
        <v>0</v>
      </c>
      <c r="NL27" s="784">
        <f t="array" ref="NL27">IF('Customer Inputs'!$W$19="End",0,IFERROR(IF($NH27="SEGMENT",INDEX('Margin Guidence Table'!$A$1:$AG$10000,MATCH(1,('Margin Guidence Table'!$A$1:$A$10000=NF27)*('Margin Guidence Table'!$I$1:$I$10000&lt;=ROUND($MX$3,0))*('Margin Guidence Table'!$J$1:$J$10000&gt;=ROUND($MX$3,0)),0),MATCH("MDA_MEDIAN_MARGIN_GUIDENCE",'Margin Guidence Table'!$A$1:$AG$1,0)),INDEX('Margin Guidence Table'!$A$1:$AG$10000,MATCH(1,('Margin Guidence Table'!$A$1:$A$10000=NF27)*('Margin Guidence Table'!$I$1:$I$10000&lt;=ROUND($MX$3,0))*('Margin Guidence Table'!$J$1:$J$10000&gt;=ROUND($MX$3,0)),0),MATCH("DEFAULT_MDA_MEDIAN_MARGIN_GUIDENCE",'Margin Guidence Table'!$A$1:$AG$1,0))),0))</f>
        <v>0</v>
      </c>
      <c r="NM27" s="784">
        <f t="array" ref="NM27">IF('Customer Inputs'!$W$19="End",0,IFERROR(IF($NH27="SEGMENT",INDEX('Margin Guidence Table'!$A$1:$AG$10000,MATCH(1,('Margin Guidence Table'!$A$1:$A$10000=NF27)*('Margin Guidence Table'!$I$1:$I$10000&lt;=ROUND($MX$3,0))*('Margin Guidence Table'!$J$1:$J$10000&gt;=ROUND($MX$3,0)),0),MATCH("MDA_MAX_MARGIN_GUIDENCE",'Margin Guidence Table'!$A$1:$AG$1,0)),INDEX('Margin Guidence Table'!$A$1:$AG$10000,MATCH(1,('Margin Guidence Table'!$A$1:$A$10000=NF27)*('Margin Guidence Table'!$I$1:$I$10000&lt;=ROUND($MX$3,0))*('Margin Guidence Table'!$J$1:$J$10000&gt;=ROUND($MX$3,0)),0),MATCH("DEFAULT_MDA_MAX_MARGIN_GUIDENCE",'Margin Guidence Table'!$A$1:$AG$1,0))),0))</f>
        <v>0</v>
      </c>
      <c r="NN27" s="784">
        <f t="array" ref="NN27">IF('Customer Inputs'!$W$19="End",0,IFERROR(IF($NH27="SEGMENT",INDEX('Margin Guidence Table'!$A$1:$AG$10000,MATCH(1,('Margin Guidence Table'!$A$1:$A$10000=NF27)*('Margin Guidence Table'!$I$1:$I$10000&lt;=ROUND($MX$3,0))*('Margin Guidence Table'!$J$1:$J$10000&gt;=ROUND($MX$3,0)),0),MATCH("PA_PCT_SALES",'Margin Guidence Table'!$A$1:$AG$1,0)),INDEX('Margin Guidence Table'!$A$1:$AG$10000,MATCH(1,('Margin Guidence Table'!$A$1:$A$10000=NF27)*('Margin Guidence Table'!$I$1:$I$10000&lt;=ROUND($MX$3,0))*('Margin Guidence Table'!$J$1:$J$10000&gt;=ROUND($MX$3,0)),0),MATCH("DEFAULT_PA_PCT_SALES",'Margin Guidence Table'!$A$1:$AG$1,0))),0))</f>
        <v>0</v>
      </c>
      <c r="NO27" s="784">
        <f t="array" ref="NO27">IF('Customer Inputs'!$W$19="End",0,IFERROR(IF($NH27="SEGMENT",INDEX('Margin Guidence Table'!$A$1:$AG$10000,MATCH(1,('Margin Guidence Table'!$A$1:$A$10000=NF27)*('Margin Guidence Table'!$I$1:$I$10000&lt;=ROUND($MX$3,0))*('Margin Guidence Table'!$J$1:$J$10000&gt;=ROUND($MX$3,0)),0),MATCH("SELF_FUND_PCT_SALES",'Margin Guidence Table'!$A$1:$AG$1,0)),INDEX('Margin Guidence Table'!$A$1:$AG$10000,MATCH(1,('Margin Guidence Table'!$A$1:$A$10000=NF27)*('Margin Guidence Table'!$I$1:$I$10000&lt;=ROUND($MX$3,0))*('Margin Guidence Table'!$J$1:$J$10000&gt;=ROUND($MX$3,0)),0),MATCH("DEFAULT_SELF_FUND_PCT_SALES",'Margin Guidence Table'!$A$1:$AG$1,0))),0))</f>
        <v>0</v>
      </c>
      <c r="NP27" s="784">
        <f t="array" ref="NP27">IF('Customer Inputs'!$W$19="End",0,IF($MY$2="Existing",IFERROR(SUMIFS('Existing Customers'!$V:$V,'Existing Customers'!$H:$H,$MW27,'Existing Customers'!$A:$A,$MX$1)/SUMIFS('Existing Customers'!$Q:$Q,'Existing Customers'!$H:$H,$MW27,'Existing Customers'!$A:$A,$MX$1),0),IFERROR(IF($NH27="SEGMENT",INDEX('Margin Guidence Table'!$A$1:$AG$10000,MATCH(1,('Margin Guidence Table'!$A$1:$A$10000=NF27)*('Margin Guidence Table'!$I$1:$I$10000&lt;=ROUND($MX$3,0))*('Margin Guidence Table'!$J$1:$J$10000&gt;=ROUND($MX$3,0)),0),MATCH("CIA_MEDIAN_MARGIN_GUIDENCE",'Margin Guidence Table'!$A$1:$AG$1,0)),INDEX('Margin Guidence Table'!$A$1:$AG$10000,MATCH(1,('Margin Guidence Table'!$A$1:$A$10000=NF27)*('Margin Guidence Table'!$I$1:$I$10000&lt;=ROUND($MX$3,0))*('Margin Guidence Table'!$J$1:$J$10000&gt;=ROUND($MX$3,0)),0),MATCH("DEFAULT_CIA_MEDIAN_MARGIN_GUIDENCE",'Margin Guidence Table'!$A$1:$AG$1,0))),0)))</f>
        <v>0</v>
      </c>
      <c r="NQ27" s="784"/>
      <c r="NR27" s="18">
        <f t="array" ref="NR27">IF('Customer Inputs'!$W$20="End",0,IFERROR(IF($OE27="SEGMENT",INDEX('Margin Guidence Table'!$A$1:$AG$10000,MATCH(1,('Margin Guidence Table'!$A$1:$A$10000=$OC27)*('Margin Guidence Table'!$I$1:$I$10000&lt;=ROUND($NU$3,0))*('Margin Guidence Table'!$J$1:$J$10000&gt;=ROUND($NU$3,0)),0),MATCH("PCT_SALES",'Margin Guidence Table'!$A$1:$AG$1,0)),INDEX('Margin Guidence Table'!$A$1:$AG$10000,MATCH(1,('Margin Guidence Table'!$A$1:$A$10000=$OC27)*('Margin Guidence Table'!$I$1:$I$10000&lt;=ROUND($NU$3,0))*('Margin Guidence Table'!$J$1:$J$10000&gt;=ROUND($NU$3,0)),0),MATCH("DEFAULT_PCT_SALES",'Margin Guidence Table'!$A$1:$AG$1,0))),0))</f>
        <v>0</v>
      </c>
      <c r="NS27" s="1713" t="e">
        <f t="shared" si="60"/>
        <v>#DIV/0!</v>
      </c>
      <c r="NT27" s="99" t="s">
        <v>92</v>
      </c>
      <c r="NU27" s="91">
        <f>IF('Customer Inputs'!$W$20="End",0,IFERROR(IF(AND($NU$2&lt;&gt;"Enter Spend&gt;&gt;&gt;",$NV$2="EXISTING"),SUMIFS('Existing Customers'!$Q:$Q,'Existing Customers'!$A:$A,$NU$1,'Existing Customers'!$H:$H,$NT27)*$NU$4,$NU$3*$NS27),0))</f>
        <v>0</v>
      </c>
      <c r="NV27" s="86">
        <f>IF('Customer Inputs'!$W$20="End",0,IFERROR(IF(AND($NU$2&lt;&gt;"Enter Spend&gt;&gt;&gt;",$NV$2="EXISTING"),SUMIFS('Existing Customers'!$N:$N,'Existing Customers'!$A:$A,$NU$1,'Existing Customers'!$H:$H,$NT27)*$NU$4,$NU27/$OF27),0))</f>
        <v>0</v>
      </c>
      <c r="NW27" s="92">
        <f>IF('Customer Inputs'!$W$20="End",0,IFERROR(IF(AND($NU$2&lt;&gt;"Enter Spend&gt;&gt;&gt;",$NV$2="EXISTING"),SUMIFS('Existing Customers'!$O:$O,'Existing Customers'!$H:$H,$NT27,'Existing Customers'!$A:$A,$NU$1)*$NU$4,$NV27*$NU$8),0))</f>
        <v>0</v>
      </c>
      <c r="NX27" s="92">
        <f>IF('Customer Inputs'!$W$20="End",0,IFERROR(IF(AND($NU$2&lt;&gt;"Enter Spend&gt;&gt;&gt;",$NV$2="EXISTING"),SUMIFS('Existing Customers'!$P:$P,'Existing Customers'!$A:$A,$NU$1,'Existing Customers'!$H:$H,$NT27)*$NU$4,$NU27/$OG27),0))</f>
        <v>0</v>
      </c>
      <c r="NY27" s="303">
        <f>IF('Customer Inputs'!$W$20="End",0,IFERROR(IF(AND($NU$2&lt;&gt;"Enter Spend&gt;&gt;&gt;",$NV$2="EXISTING"),SUMIFS('Existing Customers'!$V:$V,'Existing Customers'!$H:$H,$NT27,'Existing Customers'!$A:$A,$NU$1)*$NU$4,0),0))</f>
        <v>0</v>
      </c>
      <c r="NZ27" s="93">
        <f>IF('Customer Inputs'!$W$20="End",0,IFERROR(IF(AND($NU$2&lt;&gt;"Enter Spend&gt;&gt;&gt;",$NV$2="EXISTING"),SUMIFS('Existing Customers'!$R:$R,'Existing Customers'!$H:$H,$NT27,'Existing Customers'!$A:$A,$NU$1)*$NU$4,0),0))</f>
        <v>0</v>
      </c>
      <c r="OA27" s="780">
        <f>IF('Customer Inputs'!$W$20="End",0,IFERROR(IF(AND($NU$2&lt;&gt;"Enter Spend&gt;&gt;&gt;",$NV$2="EXISTING"),SUMIFS('Existing Customers'!$S:$S,'Existing Customers'!$H:$H,$NT27,'Existing Customers'!$A:$A,$NU$1)/SUMIFS('Existing Customers'!$Q:$Q,'Existing Customers'!$A:$A,$NU$1,'Existing Customers'!$H:$H,$NT27),OK27),0))</f>
        <v>0</v>
      </c>
      <c r="OB27" s="780">
        <f>IF('Customer Inputs'!$W$20="End",0,IFERROR(IF(AND($NU$2&lt;&gt;"Enter Spend&gt;&gt;&gt;",$NV$2="EXISTING"),SUMIFS('Existing Customers'!$U:$U,'Existing Customers'!$H:$H,$NT27,'Existing Customers'!$A:$A,$NU$1)/SUMIFS('Existing Customers'!$Q:$Q,'Existing Customers'!$A:$A,$NU$1,'Existing Customers'!$H:$H,$NT27),OL27),0))</f>
        <v>0</v>
      </c>
      <c r="OC27" s="783" t="e">
        <f>_xlfn.CONCAT('Customer Inputs'!$AH$20,"_",NT27)</f>
        <v>#N/A</v>
      </c>
      <c r="OD27" s="783">
        <f t="array" ref="OD27">IF('Customer Inputs'!$W$20="End",0,IFERROR(INDEX('Margin Guidence Table'!$A$1:$AG$10000,MATCH(1,('Margin Guidence Table'!$A$1:$A$10000=OC27)*('Margin Guidence Table'!$I$1:$I$10000&lt;=ROUND($NU$3,0))*('Margin Guidence Table'!$J$1:$J$10000&gt;=ROUND($NU$3,0)),0),MATCH("DATA_POINTS",'Margin Guidence Table'!$A$1:$AG$1,0)),0))</f>
        <v>0</v>
      </c>
      <c r="OE27" s="780" t="str">
        <f t="shared" si="61"/>
        <v>DEFAULT</v>
      </c>
      <c r="OF27" s="780">
        <f t="array" ref="OF27">IF('Customer Inputs'!$W$20="End",0,IFERROR(IF($OE27="SEGMENT",INDEX('Margin Guidence Table'!$A$1:$AG$10000,MATCH(1,('Margin Guidence Table'!$A$1:$A$10000=OC27)*('Margin Guidence Table'!$I$1:$I$10000&lt;=ROUND($NU$3,0))*('Margin Guidence Table'!$J$1:$J$10000&gt;=ROUND($NU$3,0)),0),MATCH("SALES_CASE",'Margin Guidence Table'!$A$1:$AG$1,0)),INDEX('Margin Guidence Table'!$A$1:$AG$10000,MATCH(1,('Margin Guidence Table'!$A$1:$A$10000=OC27)*('Margin Guidence Table'!$I$1:$I$10000&lt;=ROUND($NU$3,0))*('Margin Guidence Table'!$J$1:$J$10000&gt;=ROUND($NU$3,0)),0),MATCH("DEFAULT_SALES_CASE",'Margin Guidence Table'!$A$1:$AG$1,0))),0))</f>
        <v>0</v>
      </c>
      <c r="OG27" s="780">
        <f t="array" ref="OG27">IF('Customer Inputs'!$W$20="End",0,IFERROR(IF($OE27="SEGMENT",INDEX('Margin Guidence Table'!$A$1:$AG$10000,MATCH(1,('Margin Guidence Table'!$A$1:$A$10000=OC27)*('Margin Guidence Table'!$I$1:$I$10000&lt;=ROUND($NU$3,0))*('Margin Guidence Table'!$J$1:$J$10000&gt;=ROUND($NU$3,0)),0),MATCH("SALES_LBS",'Margin Guidence Table'!$A$1:$AG$1,0)),INDEX('Margin Guidence Table'!$A$1:$AG$10000,MATCH(1,('Margin Guidence Table'!$A$1:$A$10000=OC27)*('Margin Guidence Table'!$I$1:$I$10000&lt;=ROUND($NU$3,0))*('Margin Guidence Table'!$J$1:$J$10000&gt;=ROUND($NU$3,0)),0),MATCH("DEFAULT_SALES_LBS",'Margin Guidence Table'!$A$1:$AG$1,0))),0))</f>
        <v>0</v>
      </c>
      <c r="OH27" s="784">
        <f t="array" ref="OH27">IF('Customer Inputs'!$W$20="End",0,IFERROR(IF($OE27="SEGMENT",INDEX('Margin Guidence Table'!$A$1:$AG$10000,MATCH(1,('Margin Guidence Table'!$A$1:$A$10000=OC27)*('Margin Guidence Table'!$I$1:$I$10000&lt;=ROUND($NU$3,0))*('Margin Guidence Table'!$J$1:$J$10000&gt;=ROUND($NU$3,0)),0),MATCH("MDA_MIN_MARGIN_GUIDENCE",'Margin Guidence Table'!$A$1:$AG$1,0)),INDEX('Margin Guidence Table'!$A$1:$AG$10000,MATCH(1,('Margin Guidence Table'!$A$1:$A$10000=OC27)*('Margin Guidence Table'!$I$1:$I$10000&lt;=ROUND($NU$3,0))*('Margin Guidence Table'!$J$1:$J$10000&gt;=ROUND($NU$3,0)),0),MATCH("DEFAULT_MDA_MIN_MARGIN_GUIDENCE",'Margin Guidence Table'!$A$1:$AG$1,0))),0))</f>
        <v>0</v>
      </c>
      <c r="OI27" s="784">
        <f t="array" ref="OI27">IF('Customer Inputs'!$W$20="End",0,IFERROR(IF($OE27="SEGMENT",INDEX('Margin Guidence Table'!$A$1:$AG$10000,MATCH(1,('Margin Guidence Table'!$A$1:$A$10000=OC27)*('Margin Guidence Table'!$I$1:$I$10000&lt;=ROUND($NU$3,0))*('Margin Guidence Table'!$J$1:$J$10000&gt;=ROUND($NU$3,0)),0),MATCH("MDA_MEDIAN_MARGIN_GUIDENCE",'Margin Guidence Table'!$A$1:$AG$1,0)),INDEX('Margin Guidence Table'!$A$1:$AG$10000,MATCH(1,('Margin Guidence Table'!$A$1:$A$10000=OC27)*('Margin Guidence Table'!$I$1:$I$10000&lt;=ROUND($NU$3,0))*('Margin Guidence Table'!$J$1:$J$10000&gt;=ROUND($NU$3,0)),0),MATCH("DEFAULT_MDA_MEDIAN_MARGIN_GUIDENCE",'Margin Guidence Table'!$A$1:$AG$1,0))),0))</f>
        <v>0</v>
      </c>
      <c r="OJ27" s="784">
        <f t="array" ref="OJ27">IF('Customer Inputs'!$W$20="End",0,IFERROR(IF($OE27="SEGMENT",INDEX('Margin Guidence Table'!$A$1:$AG$10000,MATCH(1,('Margin Guidence Table'!$A$1:$A$10000=OC27)*('Margin Guidence Table'!$I$1:$I$10000&lt;=ROUND($NU$3,0))*('Margin Guidence Table'!$J$1:$J$10000&gt;=ROUND($NU$3,0)),0),MATCH("MDA_MAX_MARGIN_GUIDENCE",'Margin Guidence Table'!$A$1:$AG$1,0)),INDEX('Margin Guidence Table'!$A$1:$AG$10000,MATCH(1,('Margin Guidence Table'!$A$1:$A$10000=OC27)*('Margin Guidence Table'!$I$1:$I$10000&lt;=ROUND($NU$3,0))*('Margin Guidence Table'!$J$1:$J$10000&gt;=ROUND($NU$3,0)),0),MATCH("DEFAULT_MDA_MAX_MARGIN_GUIDENCE",'Margin Guidence Table'!$A$1:$AG$1,0))),0))</f>
        <v>0</v>
      </c>
      <c r="OK27" s="784">
        <f t="array" ref="OK27">IF('Customer Inputs'!$W$20="End",0,IFERROR(IF($OE27="SEGMENT",INDEX('Margin Guidence Table'!$A$1:$AG$10000,MATCH(1,('Margin Guidence Table'!$A$1:$A$10000=OC27)*('Margin Guidence Table'!$I$1:$I$10000&lt;=ROUND($NU$3,0))*('Margin Guidence Table'!$J$1:$J$10000&gt;=ROUND($NU$3,0)),0),MATCH("PA_PCT_SALES",'Margin Guidence Table'!$A$1:$AG$1,0)),INDEX('Margin Guidence Table'!$A$1:$AG$10000,MATCH(1,('Margin Guidence Table'!$A$1:$A$10000=OC27)*('Margin Guidence Table'!$I$1:$I$10000&lt;=ROUND($NU$3,0))*('Margin Guidence Table'!$J$1:$J$10000&gt;=ROUND($NU$3,0)),0),MATCH("DEFAULT_PA_PCT_SALES",'Margin Guidence Table'!$A$1:$AG$1,0))),0))</f>
        <v>0</v>
      </c>
      <c r="OL27" s="784">
        <f t="array" ref="OL27">IF('Customer Inputs'!$W$20="End",0,IFERROR(IF($OE27="SEGMENT",INDEX('Margin Guidence Table'!$A$1:$AG$10000,MATCH(1,('Margin Guidence Table'!$A$1:$A$10000=OC27)*('Margin Guidence Table'!$I$1:$I$10000&lt;=ROUND($NU$3,0))*('Margin Guidence Table'!$J$1:$J$10000&gt;=ROUND($NU$3,0)),0),MATCH("SELF_FUND_PCT_SALES",'Margin Guidence Table'!$A$1:$AG$1,0)),INDEX('Margin Guidence Table'!$A$1:$AG$10000,MATCH(1,('Margin Guidence Table'!$A$1:$A$10000=OC27)*('Margin Guidence Table'!$I$1:$I$10000&lt;=ROUND($NU$3,0))*('Margin Guidence Table'!$J$1:$J$10000&gt;=ROUND($NU$3,0)),0),MATCH("DEFAULT_SELF_FUND_PCT_SALES",'Margin Guidence Table'!$A$1:$AG$1,0))),0))</f>
        <v>0</v>
      </c>
      <c r="OM27" s="784">
        <f t="array" ref="OM27">IF('Customer Inputs'!$W$20="End",0,IF($NV$2="Existing",IFERROR(SUMIFS('Existing Customers'!$V:$V,'Existing Customers'!$H:$H,$NT27,'Existing Customers'!$A:$A,$NU$1)/SUMIFS('Existing Customers'!$Q:$Q,'Existing Customers'!$H:$H,$NT27,'Existing Customers'!$A:$A,$NU$1),0),IFERROR(IF($OE27="SEGMENT",INDEX('Margin Guidence Table'!$A$1:$AG$10000,MATCH(1,('Margin Guidence Table'!$A$1:$A$10000=OC27)*('Margin Guidence Table'!$I$1:$I$10000&lt;=ROUND($NU$3,0))*('Margin Guidence Table'!$J$1:$J$10000&gt;=ROUND($NU$3,0)),0),MATCH("CIA_MEDIAN_MARGIN_GUIDENCE",'Margin Guidence Table'!$A$1:$AG$1,0)),INDEX('Margin Guidence Table'!$A$1:$AG$10000,MATCH(1,('Margin Guidence Table'!$A$1:$A$10000=OC27)*('Margin Guidence Table'!$I$1:$I$10000&lt;=ROUND($NU$3,0))*('Margin Guidence Table'!$J$1:$J$10000&gt;=ROUND($NU$3,0)),0),MATCH("DEFAULT_CIA_MEDIAN_MARGIN_GUIDENCE",'Margin Guidence Table'!$A$1:$AG$1,0))),0)))</f>
        <v>0</v>
      </c>
      <c r="ON27" s="784"/>
      <c r="OO27" s="18">
        <f t="array" ref="OO27">IF('Customer Inputs'!$W$21="End",0,IFERROR(IF($PB27="SEGMENT",INDEX('Margin Guidence Table'!$A$1:$AG$10000,MATCH(1,('Margin Guidence Table'!$A$1:$A$10000=$OZ27)*('Margin Guidence Table'!$I$1:$I$10000&lt;=ROUND($OR$3,0))*('Margin Guidence Table'!$J$1:$J$10000&gt;=ROUND($OR$3,0)),0),MATCH("PCT_SALES",'Margin Guidence Table'!$A$1:$AG$1,0)),INDEX('Margin Guidence Table'!$A$1:$AG$10000,MATCH(1,('Margin Guidence Table'!$A$1:$A$10000=$OZ27)*('Margin Guidence Table'!$I$1:$I$10000&lt;=ROUND($OR$3,0))*('Margin Guidence Table'!$J$1:$J$10000&gt;=ROUND($OR$3,0)),0),MATCH("DEFAULT_PCT_SALES",'Margin Guidence Table'!$A$1:$AG$1,0))),0))</f>
        <v>0</v>
      </c>
      <c r="OP27" s="1713" t="e">
        <f t="shared" si="62"/>
        <v>#DIV/0!</v>
      </c>
      <c r="OQ27" s="99" t="s">
        <v>92</v>
      </c>
      <c r="OR27" s="91">
        <f>IF('Customer Inputs'!$W$21="End",0,IFERROR(IF(AND($OR$2&lt;&gt;"Enter Spend&gt;&gt;&gt;",$OS$2="EXISTING"),SUMIFS('Existing Customers'!$Q:$Q,'Existing Customers'!$A:$A,$OR$1,'Existing Customers'!$H:$H,$OQ27)*$OR$4,$OR$3*$OP27),0))</f>
        <v>0</v>
      </c>
      <c r="OS27" s="86">
        <f>IF('Customer Inputs'!$W$21="End",0,IFERROR(IF(AND($OR$2&lt;&gt;"Enter Spend&gt;&gt;&gt;",$OS$2="EXISTING"),SUMIFS('Existing Customers'!$N:$N,'Existing Customers'!$A:$A,$OR$1,'Existing Customers'!$H:$H,$OQ27)*$OR$4,$OR27/$PC27),0))</f>
        <v>0</v>
      </c>
      <c r="OT27" s="92">
        <f>IF('Customer Inputs'!$W$21="End",0,IFERROR(IF(AND($OR$2&lt;&gt;"Enter Spend&gt;&gt;&gt;",$OS$2="EXISTING"),SUMIFS('Existing Customers'!$O:$O,'Existing Customers'!$H:$H,$OQ27,'Existing Customers'!$A:$A,$OR$1)*$OR$4,$OS27*$OR$8),0))</f>
        <v>0</v>
      </c>
      <c r="OU27" s="92">
        <f>IF('Customer Inputs'!$W$21="End",0,IFERROR(IF(AND($OR$2&lt;&gt;"Enter Spend&gt;&gt;&gt;",$OS$2="EXISTING"),SUMIFS('Existing Customers'!$P:$P,'Existing Customers'!$A:$A,$OR$1,'Existing Customers'!$H:$H,$OQ27)*$OR$4,$OR27/$PD27),0))</f>
        <v>0</v>
      </c>
      <c r="OV27" s="303">
        <f>IF('Customer Inputs'!$W$21="End",0,IFERROR(IF(AND($OR$2&lt;&gt;"Enter Spend&gt;&gt;&gt;",$OS$2="EXISTING"),SUMIFS('Existing Customers'!$V:$V,'Existing Customers'!$H:$H,$OQ27,'Existing Customers'!$A:$A,$OR$1)*$OR$4,0),0))</f>
        <v>0</v>
      </c>
      <c r="OW27" s="93">
        <f>IF('Customer Inputs'!$W$21="End",0,IFERROR(IF(AND($OR$2&lt;&gt;"Enter Spend&gt;&gt;&gt;",$OS$2="EXISTING"),SUMIFS('Existing Customers'!$R:$R,'Existing Customers'!$H:$H,$OP27,'Existing Customers'!$A:$A,$OR$1)*$OR$4,0),0))</f>
        <v>0</v>
      </c>
      <c r="OX27" s="780">
        <f>IF('Customer Inputs'!$W$21="End",0,IFERROR(IF(AND($OR$2&lt;&gt;"Enter Spend&gt;&gt;&gt;",$OS$2="EXISTING"),SUMIFS('Existing Customers'!$S:$S,'Existing Customers'!$H:$H,$OQ27,'Existing Customers'!$A:$A,$OR$1)/SUMIFS('Existing Customers'!$Q:$Q,'Existing Customers'!$A:$A,$OR$1,'Existing Customers'!$H:$H,$OQ27),PH27),0))</f>
        <v>0</v>
      </c>
      <c r="OY27" s="780">
        <f>IF('Customer Inputs'!$W$21="End",0,IFERROR(IF(AND($OR$2&lt;&gt;"Enter Spend&gt;&gt;&gt;",$OS$2="EXISTING"),SUMIFS('Existing Customers'!$U:$U,'Existing Customers'!$H:$H,$OQ27,'Existing Customers'!$A:$A,$OR$1)/SUMIFS('Existing Customers'!$Q:$Q,'Existing Customers'!$A:$A,$OR$1,'Existing Customers'!$H:$H,$OQ27),PI27),0))</f>
        <v>0</v>
      </c>
      <c r="OZ27" s="783" t="e">
        <f>_xlfn.CONCAT('Customer Inputs'!$AH$21,"_",OQ27)</f>
        <v>#N/A</v>
      </c>
      <c r="PA27" s="783">
        <f t="array" ref="PA27">IF('Customer Inputs'!$W$22="End",0,IFERROR(INDEX('Margin Guidence Table'!$A$1:$AG$10000,MATCH(1,('Margin Guidence Table'!$A$1:$A$10000=OZ27)*('Margin Guidence Table'!$I$1:$I$10000&lt;=ROUND($OR$3,0))*('Margin Guidence Table'!$J$1:$J$10000&gt;=ROUND($OR$3,0)),0),MATCH("DATA_POINTS",'Margin Guidence Table'!$A$1:$AG$1,0)),0))</f>
        <v>0</v>
      </c>
      <c r="PB27" s="780" t="str">
        <f t="shared" si="63"/>
        <v>DEFAULT</v>
      </c>
      <c r="PC27" s="780">
        <f t="array" ref="PC27">IF('Customer Inputs'!$W$21="End",0,IFERROR(IF($PB27="SEGMENT",INDEX('Margin Guidence Table'!$A$1:$AG$10000,MATCH(1,('Margin Guidence Table'!$A$1:$A$10000=OZ27)*('Margin Guidence Table'!$I$1:$I$10000&lt;=ROUND($OR$3,0))*('Margin Guidence Table'!$J$1:$J$10000&gt;=ROUND($OR$3,0)),0),MATCH("SALES_CASE",'Margin Guidence Table'!$A$1:$AG$1,0)),INDEX('Margin Guidence Table'!$A$1:$AG$10000,MATCH(1,('Margin Guidence Table'!$A$1:$A$10000=OZ27)*('Margin Guidence Table'!$I$1:$I$10000&lt;=ROUND($OR$3,0))*('Margin Guidence Table'!$J$1:$J$10000&gt;=ROUND($OR$3,0)),0),MATCH("DEFAULT_SALES_CASE",'Margin Guidence Table'!$A$1:$AG$1,0))),0))</f>
        <v>0</v>
      </c>
      <c r="PD27" s="780">
        <f t="array" ref="PD27">IF('Customer Inputs'!$W$21="End",0,IFERROR(IF($PB27="SEGMENT",INDEX('Margin Guidence Table'!$A$1:$AG$10000,MATCH(1,('Margin Guidence Table'!$A$1:$A$10000=OZ27)*('Margin Guidence Table'!$I$1:$I$10000&lt;=ROUND($OR$3,0))*('Margin Guidence Table'!$J$1:$J$10000&gt;=ROUND($OR$3,0)),0),MATCH("SALES_LBS",'Margin Guidence Table'!$A$1:$AG$1,0)),INDEX('Margin Guidence Table'!$A$1:$AG$10000,MATCH(1,('Margin Guidence Table'!$A$1:$A$10000=OZ27)*('Margin Guidence Table'!$I$1:$I$10000&lt;=ROUND($OR$3,0))*('Margin Guidence Table'!$J$1:$J$10000&gt;=ROUND($OR$3,0)),0),MATCH("DEFAULT_SALES_LBS",'Margin Guidence Table'!$A$1:$AG$1,0))),0))</f>
        <v>0</v>
      </c>
      <c r="PE27" s="784">
        <f t="array" ref="PE27">IF('Customer Inputs'!$W$21="End",0,IFERROR(IF($PB27="SEGMENT",INDEX('Margin Guidence Table'!$A$1:$AG$10000,MATCH(1,('Margin Guidence Table'!$A$1:$A$10000=OZ27)*('Margin Guidence Table'!$I$1:$I$10000&lt;=ROUND($OR$3,0))*('Margin Guidence Table'!$J$1:$J$10000&gt;=ROUND($OR$3,0)),0),MATCH("MDA_MIN_MARGIN_GUIDENCE",'Margin Guidence Table'!$A$1:$AG$1,0)),INDEX('Margin Guidence Table'!$A$1:$AG$10000,MATCH(1,('Margin Guidence Table'!$A$1:$A$10000=OZ27)*('Margin Guidence Table'!$I$1:$I$10000&lt;=ROUND($OR$3,0))*('Margin Guidence Table'!$J$1:$J$10000&gt;=ROUND($OR$3,0)),0),MATCH("DEFAULT_MDA_MIN_MARGIN_GUIDENCE",'Margin Guidence Table'!$A$1:$AG$1,0))),0))</f>
        <v>0</v>
      </c>
      <c r="PF27" s="784">
        <f t="array" ref="PF27">IF('Customer Inputs'!$W$21="End",0,IFERROR(IF($PB27="SEGMENT",INDEX('Margin Guidence Table'!$A$1:$AG$10000,MATCH(1,('Margin Guidence Table'!$A$1:$A$10000=OZ27)*('Margin Guidence Table'!$I$1:$I$10000&lt;=ROUND($OR$3,0))*('Margin Guidence Table'!$J$1:$J$10000&gt;=ROUND($OR$3,0)),0),MATCH("MDA_MEDIAN_MARGIN_GUIDENCE",'Margin Guidence Table'!$A$1:$AG$1,0)),INDEX('Margin Guidence Table'!$A$1:$AG$10000,MATCH(1,('Margin Guidence Table'!$A$1:$A$10000=OZ27)*('Margin Guidence Table'!$I$1:$I$10000&lt;=ROUND($OR$3,0))*('Margin Guidence Table'!$J$1:$J$10000&gt;=ROUND($OR$3,0)),0),MATCH("DEFAULT_MDA_MEDIAN_MARGIN_GUIDENCE",'Margin Guidence Table'!$A$1:$AG$1,0))),0))</f>
        <v>0</v>
      </c>
      <c r="PG27" s="784">
        <f t="array" ref="PG27">IF('Customer Inputs'!$W$21="End",0,IFERROR(IF($PB27="SEGMENT",INDEX('Margin Guidence Table'!$A$1:$AG$10000,MATCH(1,('Margin Guidence Table'!$A$1:$A$10000=OZ27)*('Margin Guidence Table'!$I$1:$I$10000&lt;=ROUND($OR$3,0))*('Margin Guidence Table'!$J$1:$J$10000&gt;=ROUND($OR$3,0)),0),MATCH("MDA_MAX_MARGIN_GUIDENCE",'Margin Guidence Table'!$A$1:$AG$1,0)),INDEX('Margin Guidence Table'!$A$1:$AG$10000,MATCH(1,('Margin Guidence Table'!$A$1:$A$10000=OZ27)*('Margin Guidence Table'!$I$1:$I$10000&lt;=ROUND($OR$3,0))*('Margin Guidence Table'!$J$1:$J$10000&gt;=ROUND($OR$3,0)),0),MATCH("DEFAULT_MDA_MAX_MARGIN_GUIDENCE",'Margin Guidence Table'!$A$1:$AG$1,0))),0))</f>
        <v>0</v>
      </c>
      <c r="PH27" s="784">
        <f t="array" ref="PH27">IF('Customer Inputs'!$W$21="End",0,IFERROR(IF($PB27="SEGMENT",INDEX('Margin Guidence Table'!$A$1:$AG$10000,MATCH(1,('Margin Guidence Table'!$A$1:$A$10000=OZ27)*('Margin Guidence Table'!$I$1:$I$10000&lt;=ROUND($OR$3,0))*('Margin Guidence Table'!$J$1:$J$10000&gt;=ROUND($OR$3,0)),0),MATCH("PA_PCT_SALES",'Margin Guidence Table'!$A$1:$AG$1,0)),INDEX('Margin Guidence Table'!$A$1:$AG$10000,MATCH(1,('Margin Guidence Table'!$A$1:$A$10000=OZ27)*('Margin Guidence Table'!$I$1:$I$10000&lt;=ROUND($OR$3,0))*('Margin Guidence Table'!$J$1:$J$10000&gt;=ROUND($OR$3,0)),0),MATCH("DEFAULT_PA_PCT_SALES",'Margin Guidence Table'!$A$1:$AG$1,0))),0))</f>
        <v>0</v>
      </c>
      <c r="PI27" s="784">
        <f t="array" ref="PI27">IF('Customer Inputs'!$W$21="End",0,IFERROR(IF($PB27="SEGMENT",INDEX('Margin Guidence Table'!$A$1:$AG$10000,MATCH(1,('Margin Guidence Table'!$A$1:$A$10000=OZ27)*('Margin Guidence Table'!$I$1:$I$10000&lt;=ROUND($OR$3,0))*('Margin Guidence Table'!$J$1:$J$10000&gt;=ROUND($OR$3,0)),0),MATCH("SELF_FUND_PCT_SALES",'Margin Guidence Table'!$A$1:$AG$1,0)),INDEX('Margin Guidence Table'!$A$1:$AG$10000,MATCH(1,('Margin Guidence Table'!$A$1:$A$10000=OZ27)*('Margin Guidence Table'!$I$1:$I$10000&lt;=ROUND($OR$3,0))*('Margin Guidence Table'!$J$1:$J$10000&gt;=ROUND($OR$3,0)),0),MATCH("DEFAULT_SELF_FUND_PCT_SALES",'Margin Guidence Table'!$A$1:$AG$1,0))),0))</f>
        <v>0</v>
      </c>
      <c r="PJ27" s="784">
        <f t="array" ref="PJ27">IF('Customer Inputs'!$W$21="End",0,IF($OS$2="Existing",IFERROR(SUMIFS('Existing Customers'!$V:$V,'Existing Customers'!$H:$H,$OQ27,'Existing Customers'!$A:$A,$OR$1)/SUMIFS('Existing Customers'!$Q:$Q,'Existing Customers'!$H:$H,$OQ27,'Existing Customers'!$A:$A,$OR$1),0),IFERROR(IF($PB27="SEGMENT",INDEX('Margin Guidence Table'!$A$1:$AG$10000,MATCH(1,('Margin Guidence Table'!$A$1:$A$10000=OZ27)*('Margin Guidence Table'!$I$1:$I$10000&lt;=ROUND($OR$3,0))*('Margin Guidence Table'!$J$1:$J$10000&gt;=ROUND($OR$3,0)),0),MATCH("CIA_MEDIAN_MARGIN_GUIDENCE",'Margin Guidence Table'!$A$1:$AG$1,0)),INDEX('Margin Guidence Table'!$A$1:$AG$10000,MATCH(1,('Margin Guidence Table'!$A$1:$A$10000=OZ27)*('Margin Guidence Table'!$I$1:$I$10000&lt;=ROUND($OR$3,0))*('Margin Guidence Table'!$J$1:$J$10000&gt;=ROUND($OR$3,0)),0),MATCH("DEFAULT_CIA_MEDIAN_MARGIN_GUIDENCE",'Margin Guidence Table'!$A$1:$AG$1,0))),0)))</f>
        <v>0</v>
      </c>
      <c r="PK27" s="784"/>
      <c r="PL27" s="18">
        <f t="array" ref="PL27">IF('Customer Inputs'!$W$22="End",0,IFERROR(IF($PY27="SEGMENT",INDEX('Margin Guidence Table'!$A$1:$AG$10000,MATCH(1,('Margin Guidence Table'!$A$1:$A$10000=$PW27)*('Margin Guidence Table'!$I$1:$I$10000&lt;=ROUND($PO$3,0))*('Margin Guidence Table'!$J$1:$J$10000&gt;=ROUND($PO$3,0)),0),MATCH("PCT_SALES",'Margin Guidence Table'!$A$1:$AG$1,0)),INDEX('Margin Guidence Table'!$A$1:$AG$10000,MATCH(1,('Margin Guidence Table'!$A$1:$A$10000=$PW27)*('Margin Guidence Table'!$I$1:$I$10000&lt;=ROUND($PO$3,0))*('Margin Guidence Table'!$J$1:$J$10000&gt;=ROUND($PO$3,0)),0),MATCH("DEFAULT_PCT_SALES",'Margin Guidence Table'!$A$1:$AG$1,0))),0))</f>
        <v>0</v>
      </c>
      <c r="PM27" s="1713" t="e">
        <f t="shared" si="64"/>
        <v>#DIV/0!</v>
      </c>
      <c r="PN27" s="99" t="s">
        <v>92</v>
      </c>
      <c r="PO27" s="91">
        <f>IF('Customer Inputs'!$W$22="End",0,IFERROR(IF(AND($PO$2&lt;&gt;"Enter Spend&gt;&gt;&gt;",$PP$2="EXISTING"),SUMIFS('Existing Customers'!$Q:$Q,'Existing Customers'!$A:$A,$PO$1,'Existing Customers'!$H:$H,$PN27)*$PO$4,$PO$3*$PM27),0))</f>
        <v>0</v>
      </c>
      <c r="PP27" s="86">
        <f>IF('Customer Inputs'!$W$22="End",0,IFERROR(IF(AND($PO$2&lt;&gt;"Enter Spend&gt;&gt;&gt;",$PP$2="EXISTING"),SUMIFS('Existing Customers'!$N:$N,'Existing Customers'!$A:$A,$PO$1,'Existing Customers'!$H:$H,$PN27)*$PO$4,$PO27/$PZ27),0))</f>
        <v>0</v>
      </c>
      <c r="PQ27" s="92">
        <f>IF('Customer Inputs'!$W$22="End",0,IFERROR(IF(AND($PO$2&lt;&gt;"Enter Spend&gt;&gt;&gt;",$PP$2="EXISTING"),SUMIFS('Existing Customers'!$O:$O,'Existing Customers'!$H:$H,$PN27,'Existing Customers'!$A:$A,$PO$1)*$PO$4,$PP27*$PO$8),0))</f>
        <v>0</v>
      </c>
      <c r="PR27" s="92">
        <f>IF('Customer Inputs'!$W$22="End",0,IFERROR(IF(AND($PO$2&lt;&gt;"Enter Spend&gt;&gt;&gt;",$PP$2="EXISTING"),SUMIFS('Existing Customers'!$P:$P,'Existing Customers'!$A:$A,$PO$1,'Existing Customers'!$H:$H,$PN27)*$PO$4,$PO27/$QA27),0))</f>
        <v>0</v>
      </c>
      <c r="PS27" s="303">
        <f>IF('Customer Inputs'!$W$22="End",0,IFERROR(IF(AND($PO$2&lt;&gt;"Enter Spend&gt;&gt;&gt;",$PP$2="EXISTING"),SUMIFS('Existing Customers'!$V:$V,'Existing Customers'!$H:$H,$PN27,'Existing Customers'!$A:$A,$PO$1)*$PO$4,0),0))</f>
        <v>0</v>
      </c>
      <c r="PT27" s="93">
        <f>IF('Customer Inputs'!$W$22="End",0,IFERROR(IF(AND($PO$2&lt;&gt;"Enter Spend&gt;&gt;&gt;",$PP$2="EXISTING"),SUMIFS('Existing Customers'!$R:$R,'Existing Customers'!$H:$H,$PN27,'Existing Customers'!$A:$A,$PO$1)*$PO$4,0),0))</f>
        <v>0</v>
      </c>
      <c r="PU27" s="780">
        <f>IF('Customer Inputs'!$W$22="End",0,IFERROR(IF(AND($PO$2&lt;&gt;"Enter Spend&gt;&gt;&gt;",$PP$2="EXISTING"),SUMIFS('Existing Customers'!$S:$S,'Existing Customers'!$H:$H,$PN27,'Existing Customers'!$A:$A,$PO$1)/SUMIFS('Existing Customers'!$Q:$Q,'Existing Customers'!$A:$A,$PO$1,'Existing Customers'!$H:$H,$PN27),QE27),0))</f>
        <v>0</v>
      </c>
      <c r="PV27" s="780">
        <f>IF('Customer Inputs'!$W$22="End",0,IFERROR(IF(AND($PO$2&lt;&gt;"Enter Spend&gt;&gt;&gt;",$PP$2="EXISTING"),SUMIFS('Existing Customers'!$U:$U,'Existing Customers'!$H:$H,$PN27,'Existing Customers'!$A:$A,$PO$1)/SUMIFS('Existing Customers'!$Q:$Q,'Existing Customers'!$A:$A,$PO$1,'Existing Customers'!$H:$H,$PN27),QF27),0))</f>
        <v>0</v>
      </c>
      <c r="PW27" s="783" t="e">
        <f>_xlfn.CONCAT('Customer Inputs'!$AH$22,"_",PN27)</f>
        <v>#N/A</v>
      </c>
      <c r="PX27" s="783">
        <f t="array" ref="PX27">IF('Customer Inputs'!$W$22="End",0,IFERROR(INDEX('Margin Guidence Table'!$A$1:$AG$10000,MATCH(1,('Margin Guidence Table'!$A$1:$A$10000=PW27)*('Margin Guidence Table'!$I$1:$I$10000&lt;=ROUND($PO$3,0))*('Margin Guidence Table'!$J$1:$J$10000&gt;=ROUND($PO$3,0)),0),MATCH("DATA_POINTS",'Margin Guidence Table'!$A$1:$AG$1,0)),0))</f>
        <v>0</v>
      </c>
      <c r="PY27" s="780" t="str">
        <f t="shared" si="65"/>
        <v>DEFAULT</v>
      </c>
      <c r="PZ27" s="780">
        <f t="array" ref="PZ27">IF('Customer Inputs'!$W$22="End",0,IFERROR(IF($PY27="SEGMENT",INDEX('Margin Guidence Table'!$A$1:$AG$10000,MATCH(1,('Margin Guidence Table'!$A$1:$A$10000=PW27)*('Margin Guidence Table'!$I$1:$I$10000&lt;=ROUND($PO$3,0))*('Margin Guidence Table'!$J$1:$J$10000&gt;=ROUND($PO$3,0)),0),MATCH("SALES_CASE",'Margin Guidence Table'!$A$1:$AG$1,0)),INDEX('Margin Guidence Table'!$A$1:$AG$10000,MATCH(1,('Margin Guidence Table'!$A$1:$A$10000=PW27)*('Margin Guidence Table'!$I$1:$I$10000&lt;=ROUND($PO$3,0))*('Margin Guidence Table'!$J$1:$J$10000&gt;=ROUND($PO$3,0)),0),MATCH("DEFAULT_SALES_CASE",'Margin Guidence Table'!$A$1:$AG$1,0))),0))</f>
        <v>0</v>
      </c>
      <c r="QA27" s="780">
        <f t="array" ref="QA27">IF('Customer Inputs'!$W$22="End",0,IFERROR(IF($PY27="SEGMENT",INDEX('Margin Guidence Table'!$A$1:$AG$10000,MATCH(1,('Margin Guidence Table'!$A$1:$A$10000=PW27)*('Margin Guidence Table'!$I$1:$I$10000&lt;=ROUND($PO$3,0))*('Margin Guidence Table'!$J$1:$J$10000&gt;=ROUND($PO$3,0)),0),MATCH("SALES_LBS",'Margin Guidence Table'!$A$1:$AG$1,0)),INDEX('Margin Guidence Table'!$A$1:$AG$10000,MATCH(1,('Margin Guidence Table'!$A$1:$A$10000=PW27)*('Margin Guidence Table'!$I$1:$I$10000&lt;=ROUND($PO$3,0))*('Margin Guidence Table'!$J$1:$J$10000&gt;=ROUND($PO$3,0)),0),MATCH("DEFAULT_SALES_LBS",'Margin Guidence Table'!$A$1:$AG$1,0))),0))</f>
        <v>0</v>
      </c>
      <c r="QB27" s="784">
        <f t="array" ref="QB27">IF('Customer Inputs'!$W$22="End",0,IFERROR(IF($PY27="SEGMENT",INDEX('Margin Guidence Table'!$A$1:$AG$10000,MATCH(1,('Margin Guidence Table'!$A$1:$A$10000=PW27)*('Margin Guidence Table'!$I$1:$I$10000&lt;=ROUND($PO$3,0))*('Margin Guidence Table'!$J$1:$J$10000&gt;=ROUND($PO$3,0)),0),MATCH("MDA_MIN_MARGIN_GUIDENCE",'Margin Guidence Table'!$A$1:$AG$1,0)),INDEX('Margin Guidence Table'!$A$1:$AG$10000,MATCH(1,('Margin Guidence Table'!$A$1:$A$10000=PW27)*('Margin Guidence Table'!$I$1:$I$10000&lt;=ROUND($PO$3,0))*('Margin Guidence Table'!$J$1:$J$10000&gt;=ROUND($PO$3,0)),0),MATCH("DEFAULT_MDA_MIN_MARGIN_GUIDENCE",'Margin Guidence Table'!$A$1:$AG$1,0))),0))</f>
        <v>0</v>
      </c>
      <c r="QC27" s="784">
        <f t="array" ref="QC27">IF('Customer Inputs'!$W$22="End",0,IFERROR(IF($PY27="SEGMENT",INDEX('Margin Guidence Table'!$A$1:$AG$10000,MATCH(1,('Margin Guidence Table'!$A$1:$A$10000=PW27)*('Margin Guidence Table'!$I$1:$I$10000&lt;=ROUND($PO$3,0))*('Margin Guidence Table'!$J$1:$J$10000&gt;=ROUND($PO$3,0)),0),MATCH("MDA_MEDIAN_MARGIN_GUIDENCE",'Margin Guidence Table'!$A$1:$AG$1,0)),INDEX('Margin Guidence Table'!$A$1:$AG$10000,MATCH(1,('Margin Guidence Table'!$A$1:$A$10000=PW27)*('Margin Guidence Table'!$I$1:$I$10000&lt;=ROUND($PO$3,0))*('Margin Guidence Table'!$J$1:$J$10000&gt;=ROUND($PO$3,0)),0),MATCH("DEFAULT_MDA_MEDIAN_MARGIN_GUIDENCE",'Margin Guidence Table'!$A$1:$AG$1,0))),0))</f>
        <v>0</v>
      </c>
      <c r="QD27" s="784">
        <f t="array" ref="QD27">IF('Customer Inputs'!$W$22="End",0,IFERROR(IF($PY27="SEGMENT",INDEX('Margin Guidence Table'!$A$1:$AG$10000,MATCH(1,('Margin Guidence Table'!$A$1:$A$10000=PW27)*('Margin Guidence Table'!$I$1:$I$10000&lt;=ROUND($PO$3,0))*('Margin Guidence Table'!$J$1:$J$10000&gt;=ROUND($PO$3,0)),0),MATCH("MDA_MAX_MARGIN_GUIDENCE",'Margin Guidence Table'!$A$1:$AG$1,0)),INDEX('Margin Guidence Table'!$A$1:$AG$10000,MATCH(1,('Margin Guidence Table'!$A$1:$A$10000=PW27)*('Margin Guidence Table'!$I$1:$I$10000&lt;=ROUND($PO$3,0))*('Margin Guidence Table'!$J$1:$J$10000&gt;=ROUND($PO$3,0)),0),MATCH("DEFAULT_MDA_MAX_MARGIN_GUIDENCE",'Margin Guidence Table'!$A$1:$AG$1,0))),0))</f>
        <v>0</v>
      </c>
      <c r="QE27" s="784">
        <f t="array" ref="QE27">IF('Customer Inputs'!$W$22="End",0,IFERROR(IF($PY27="SEGMENT",INDEX('Margin Guidence Table'!$A$1:$AG$10000,MATCH(1,('Margin Guidence Table'!$A$1:$A$10000=PW27)*('Margin Guidence Table'!$I$1:$I$10000&lt;=ROUND($PO$3,0))*('Margin Guidence Table'!$J$1:$J$10000&gt;=ROUND($PO$3,0)),0),MATCH("PA_PCT_SALES",'Margin Guidence Table'!$A$1:$AG$1,0)),INDEX('Margin Guidence Table'!$A$1:$AG$10000,MATCH(1,('Margin Guidence Table'!$A$1:$A$10000=PW27)*('Margin Guidence Table'!$I$1:$I$10000&lt;=ROUND($PO$3,0))*('Margin Guidence Table'!$J$1:$J$10000&gt;=ROUND($PO$3,0)),0),MATCH("DEFAULT_PA_PCT_SALES",'Margin Guidence Table'!$A$1:$AG$1,0))),0))</f>
        <v>0</v>
      </c>
      <c r="QF27" s="784">
        <f t="array" ref="QF27">IF('Customer Inputs'!$W$22="End",0,IFERROR(IF($PY27="SEGMENT",INDEX('Margin Guidence Table'!$A$1:$AG$10000,MATCH(1,('Margin Guidence Table'!$A$1:$A$10000=PW27)*('Margin Guidence Table'!$I$1:$I$10000&lt;=ROUND($PO$3,0))*('Margin Guidence Table'!$J$1:$J$10000&gt;=ROUND($PO$3,0)),0),MATCH("SELF_FUND_PCT_SALES",'Margin Guidence Table'!$A$1:$AG$1,0)),INDEX('Margin Guidence Table'!$A$1:$AG$10000,MATCH(1,('Margin Guidence Table'!$A$1:$A$10000=PW27)*('Margin Guidence Table'!$I$1:$I$10000&lt;=ROUND($PO$3,0))*('Margin Guidence Table'!$J$1:$J$10000&gt;=ROUND($PO$3,0)),0),MATCH("DEFAULT_SELF_FUND_PCT_SALES",'Margin Guidence Table'!$A$1:$AG$1,0))),0))</f>
        <v>0</v>
      </c>
      <c r="QG27" s="784">
        <f t="array" ref="QG27">IF('Customer Inputs'!$W$22="End",0,IF($PP$2="Existing",IFERROR(SUMIFS('Existing Customers'!$V:$V,'Existing Customers'!$H:$H,$PN27,'Existing Customers'!$A:$A,$PO$1)/SUMIFS('Existing Customers'!$Q:$Q,'Existing Customers'!$H:$H,$PN27,'Existing Customers'!$A:$A,$PO$1),0),IFERROR(IF($PY27="SEGMENT",INDEX('Margin Guidence Table'!$A$1:$AG$10000,MATCH(1,('Margin Guidence Table'!$A$1:$A$10000=PW27)*('Margin Guidence Table'!$I$1:$I$10000&lt;=ROUND($PO$3,0))*('Margin Guidence Table'!$J$1:$J$10000&gt;=ROUND($PO$3,0)),0),MATCH("CIA_MEDIAN_MARGIN_GUIDENCE",'Margin Guidence Table'!$A$1:$AG$1,0)),INDEX('Margin Guidence Table'!$A$1:$AG$10000,MATCH(1,('Margin Guidence Table'!$A$1:$A$10000=PW27)*('Margin Guidence Table'!$I$1:$I$10000&lt;=ROUND($PO$3,0))*('Margin Guidence Table'!$J$1:$J$10000&gt;=ROUND($PO$3,0)),0),MATCH("DEFAULT_CIA_MEDIAN_MARGIN_GUIDENCE",'Margin Guidence Table'!$A$1:$AG$1,0))),0)))</f>
        <v>0</v>
      </c>
      <c r="QH27" s="784"/>
      <c r="QI27" s="18">
        <f t="array" ref="QI27">IF('Customer Inputs'!$W$23="End",0,IFERROR(IF($QV27="SEGMENT",INDEX('Margin Guidence Table'!$A$1:$AG$10000,MATCH(1,('Margin Guidence Table'!$A$1:$A$10000=$QT27)*('Margin Guidence Table'!$I$1:$I$10000&lt;=ROUND($QL$3,0))*('Margin Guidence Table'!$J$1:$J$10000&gt;=ROUND($QL$3,0)),0),MATCH("PCT_SALES",'Margin Guidence Table'!$A$1:$AG$1,0)),INDEX('Margin Guidence Table'!$A$1:$AG$10000,MATCH(1,('Margin Guidence Table'!$A$1:$A$10000=$QT27)*('Margin Guidence Table'!$I$1:$I$10000&lt;=ROUND($QL$3,0))*('Margin Guidence Table'!$J$1:$J$10000&gt;=ROUND($QL$3,0)),0),MATCH("DEFAULT_PCT_SALES",'Margin Guidence Table'!$A$1:$AG$1,0))),0))</f>
        <v>0</v>
      </c>
      <c r="QJ27" s="1713" t="e">
        <f t="shared" si="66"/>
        <v>#DIV/0!</v>
      </c>
      <c r="QK27" s="99" t="s">
        <v>92</v>
      </c>
      <c r="QL27" s="91">
        <f>IF('Customer Inputs'!$W$23="End",0,IFERROR(IF(AND($QL$2&lt;&gt;"Enter Spend&gt;&gt;&gt;",$QM$2="EXISTING"),SUMIFS('Existing Customers'!$Q:$Q,'Existing Customers'!$A:$A,$QL$1,'Existing Customers'!$H:$H,$QK27)*$QL$4,$QL$3*$QJ27),0))</f>
        <v>0</v>
      </c>
      <c r="QM27" s="86">
        <f>IF('Customer Inputs'!$W$23="End",0,IFERROR(IF(AND($QL$2&lt;&gt;"Enter Spend&gt;&gt;&gt;",$QM$2="EXISTING"),SUMIFS('Existing Customers'!$N:$N,'Existing Customers'!$A:$A,$QL$1,'Existing Customers'!$H:$H,$QK27)*$QL$4,$QL27/$QW27),0))</f>
        <v>0</v>
      </c>
      <c r="QN27" s="92">
        <f>IF('Customer Inputs'!$W$23="End",0,IFERROR(IF(AND($QL$2&lt;&gt;"Enter Spend&gt;&gt;&gt;",$QM$2="EXISTING"),SUMIFS('Existing Customers'!$O:$O,'Existing Customers'!$H:$H,$QK27,'Existing Customers'!$A:$A,$QL$1)*$QL$4,$QM27*$QL$8),0))</f>
        <v>0</v>
      </c>
      <c r="QO27" s="92">
        <f>IF('Customer Inputs'!$W$23="End",0,IFERROR(IF(AND($QL$2&lt;&gt;"Enter Spend&gt;&gt;&gt;",$QM$2="EXISTING"),SUMIFS('Existing Customers'!$P:$P,'Existing Customers'!$A:$A,$QL$1,'Existing Customers'!$H:$H,$QK27)*$QL$4,$QL27/$QX27),0))</f>
        <v>0</v>
      </c>
      <c r="QP27" s="303">
        <f>IF('Customer Inputs'!$W$23="End",0,IFERROR(IF(AND($QL$2&lt;&gt;"Enter Spend&gt;&gt;&gt;",$QM$2="EXISTING"),SUMIFS('Existing Customers'!$V:$V,'Existing Customers'!$H:$H,$QK27,'Existing Customers'!$A:$A,$QL$1)*$QL$4,0),0))</f>
        <v>0</v>
      </c>
      <c r="QQ27" s="93">
        <f>IF('Customer Inputs'!$W$23="End",0,IFERROR(IF(AND($QL$2&lt;&gt;"Enter Spend&gt;&gt;&gt;",$QM$2="EXISTING"),SUMIFS('Existing Customers'!$R:$R,'Existing Customers'!$H:$H,$QK27,'Existing Customers'!$A:$A,$QL$1)*$QL$4,0),0))</f>
        <v>0</v>
      </c>
      <c r="QR27" s="780">
        <f>IF('Customer Inputs'!$W$23="End",0,IFERROR(IF(AND($QL$2&lt;&gt;"Enter Spend&gt;&gt;&gt;",$QM$2="EXISTING"),SUMIFS('Existing Customers'!$S:$S,'Existing Customers'!$H:$H,$QK27,'Existing Customers'!$A:$A,$QL$1)/SUMIFS('Existing Customers'!$Q:$Q,'Existing Customers'!$A:$A,$QL$1,'Existing Customers'!$H:$H,$QK27),RB27),0))</f>
        <v>0</v>
      </c>
      <c r="QS27" s="780">
        <f>IF('Customer Inputs'!$W$23="End",0,IFERROR(IF(AND($QL$2&lt;&gt;"Enter Spend&gt;&gt;&gt;",$QM$2="EXISTING"),SUMIFS('Existing Customers'!$U:$U,'Existing Customers'!$H:$H,$QK27,'Existing Customers'!$A:$A,$QL$1)/SUMIFS('Existing Customers'!$Q:$Q,'Existing Customers'!$A:$A,$QL$1,'Existing Customers'!$H:$H,$QK27),RC27),0))</f>
        <v>0</v>
      </c>
      <c r="QT27" s="783" t="e">
        <f>_xlfn.CONCAT('Customer Inputs'!$AH$23,"_",QK27)</f>
        <v>#N/A</v>
      </c>
      <c r="QU27" s="783">
        <f t="array" ref="QU27">IF('Customer Inputs'!$W$23="End",0,IFERROR(INDEX('Margin Guidence Table'!$A$1:$AG$10000,MATCH(1,('Margin Guidence Table'!$A$1:$A$10000=QT27)*('Margin Guidence Table'!$I$1:$I$10000&lt;=ROUND($QL$3,0))*('Margin Guidence Table'!$J$1:$J$10000&gt;=ROUND($QL$3,0)),0),MATCH("DATA_POINTS",'Margin Guidence Table'!$A$1:$AG$1,0)),0))</f>
        <v>0</v>
      </c>
      <c r="QV27" s="780" t="str">
        <f t="shared" si="67"/>
        <v>DEFAULT</v>
      </c>
      <c r="QW27" s="780">
        <f t="array" ref="QW27">IF('Customer Inputs'!$W$23="End",0,IFERROR(IF($QV27="SEGMENT",INDEX('Margin Guidence Table'!$A$1:$AG$10000,MATCH(1,('Margin Guidence Table'!$A$1:$A$10000=QT27)*('Margin Guidence Table'!$I$1:$I$10000&lt;=ROUND($QL$3,0))*('Margin Guidence Table'!$J$1:$J$10000&gt;=ROUND($QL$3,0)),0),MATCH("SALES_CASE",'Margin Guidence Table'!$A$1:$AG$1,0)),INDEX('Margin Guidence Table'!$A$1:$AG$10000,MATCH(1,('Margin Guidence Table'!$A$1:$A$10000=QT27)*('Margin Guidence Table'!$I$1:$I$10000&lt;=ROUND($QL$3,0))*('Margin Guidence Table'!$J$1:$J$10000&gt;=ROUND($QL$3,0)),0),MATCH("DEFAULT_SALES_CASE",'Margin Guidence Table'!$A$1:$AG$1,0))),0))</f>
        <v>0</v>
      </c>
      <c r="QX27" s="780">
        <f t="array" ref="QX27">IF('Customer Inputs'!$W$23="End",0,IFERROR(IF($QV27="SEGMENT",INDEX('Margin Guidence Table'!$A$1:$AG$10000,MATCH(1,('Margin Guidence Table'!$A$1:$A$10000=QT27)*('Margin Guidence Table'!$I$1:$I$10000&lt;=ROUND($QL$3,0))*('Margin Guidence Table'!$J$1:$J$10000&gt;=ROUND($QL$3,0)),0),MATCH("SALES_LBS",'Margin Guidence Table'!$A$1:$AG$1,0)),INDEX('Margin Guidence Table'!$A$1:$AG$10000,MATCH(1,('Margin Guidence Table'!$A$1:$A$10000=QT27)*('Margin Guidence Table'!$I$1:$I$10000&lt;=ROUND($QL$3,0))*('Margin Guidence Table'!$J$1:$J$10000&gt;=ROUND($QL$3,0)),0),MATCH("DEFAULT_SALES_LBS",'Margin Guidence Table'!$A$1:$AG$1,0))),0))</f>
        <v>0</v>
      </c>
      <c r="QY27" s="784">
        <f t="array" ref="QY27">IF('Customer Inputs'!$W$23="End",0,IFERROR(IF($QV27="SEGMENT",INDEX('Margin Guidence Table'!$A$1:$AG$10000,MATCH(1,('Margin Guidence Table'!$A$1:$A$10000=QT27)*('Margin Guidence Table'!$I$1:$I$10000&lt;=ROUND($QL$3,0))*('Margin Guidence Table'!$J$1:$J$10000&gt;=ROUND($QL$3,0)),0),MATCH("MDA_MIN_MARGIN_GUIDENCE",'Margin Guidence Table'!$A$1:$AG$1,0)),INDEX('Margin Guidence Table'!$A$1:$AG$10000,MATCH(1,('Margin Guidence Table'!$A$1:$A$10000=QT27)*('Margin Guidence Table'!$I$1:$I$10000&lt;=ROUND($QL$3,0))*('Margin Guidence Table'!$J$1:$J$10000&gt;=ROUND($QL$3,0)),0),MATCH("DEFAULT_MDA_MIN_MARGIN_GUIDENCE",'Margin Guidence Table'!$A$1:$AG$1,0))),0))</f>
        <v>0</v>
      </c>
      <c r="QZ27" s="784">
        <f t="array" ref="QZ27">IF('Customer Inputs'!$W$23="End",0,IFERROR(IF($QV27="SEGMENT",INDEX('Margin Guidence Table'!$A$1:$AG$10000,MATCH(1,('Margin Guidence Table'!$A$1:$A$10000=QT27)*('Margin Guidence Table'!$I$1:$I$10000&lt;=ROUND($QL$3,0))*('Margin Guidence Table'!$J$1:$J$10000&gt;=ROUND($QL$3,0)),0),MATCH("MDA_MEDIAN_MARGIN_GUIDENCE",'Margin Guidence Table'!$A$1:$AG$1,0)),INDEX('Margin Guidence Table'!$A$1:$AG$10000,MATCH(1,('Margin Guidence Table'!$A$1:$A$10000=QT27)*('Margin Guidence Table'!$I$1:$I$10000&lt;=ROUND($QL$3,0))*('Margin Guidence Table'!$J$1:$J$10000&gt;=ROUND($QL$3,0)),0),MATCH("DEFAULT_MDA_MEDIAN_MARGIN_GUIDENCE",'Margin Guidence Table'!$A$1:$AG$1,0))),0))</f>
        <v>0</v>
      </c>
      <c r="RA27" s="784">
        <f t="array" ref="RA27">IF('Customer Inputs'!$W$23="End",0,IFERROR(IF($QV27="SEGMENT",INDEX('Margin Guidence Table'!$A$1:$AG$10000,MATCH(1,('Margin Guidence Table'!$A$1:$A$10000=QT27)*('Margin Guidence Table'!$I$1:$I$10000&lt;=ROUND($QL$3,0))*('Margin Guidence Table'!$J$1:$J$10000&gt;=ROUND($QL$3,0)),0),MATCH("MDA_MAX_MARGIN_GUIDENCE",'Margin Guidence Table'!$A$1:$AG$1,0)),INDEX('Margin Guidence Table'!$A$1:$AG$10000,MATCH(1,('Margin Guidence Table'!$A$1:$A$10000=QT27)*('Margin Guidence Table'!$I$1:$I$10000&lt;=ROUND($QL$3,0))*('Margin Guidence Table'!$J$1:$J$10000&gt;=ROUND($QL$3,0)),0),MATCH("DEFAULT_MDA_MAX_MARGIN_GUIDENCE",'Margin Guidence Table'!$A$1:$AG$1,0))),0))</f>
        <v>0</v>
      </c>
      <c r="RB27" s="784">
        <f t="array" ref="RB27">IF('Customer Inputs'!$W$23="End",0,IFERROR(IF($QV27="SEGMENT",INDEX('Margin Guidence Table'!$A$1:$AG$10000,MATCH(1,('Margin Guidence Table'!$A$1:$A$10000=QT27)*('Margin Guidence Table'!$I$1:$I$10000&lt;=ROUND($QL$3,0))*('Margin Guidence Table'!$J$1:$J$10000&gt;=ROUND($QL$3,0)),0),MATCH("PA_PCT_SALES",'Margin Guidence Table'!$A$1:$AG$1,0)),INDEX('Margin Guidence Table'!$A$1:$AG$10000,MATCH(1,('Margin Guidence Table'!$A$1:$A$10000=QT27)*('Margin Guidence Table'!$I$1:$I$10000&lt;=ROUND($QL$3,0))*('Margin Guidence Table'!$J$1:$J$10000&gt;=ROUND($QL$3,0)),0),MATCH("DEFAULT_PA_PCT_SALES",'Margin Guidence Table'!$A$1:$AG$1,0))),0))</f>
        <v>0</v>
      </c>
      <c r="RC27" s="784">
        <f t="array" ref="RC27">IF('Customer Inputs'!$W$23="End",0,IFERROR(IF($QV27="SEGMENT",INDEX('Margin Guidence Table'!$A$1:$AG$10000,MATCH(1,('Margin Guidence Table'!$A$1:$A$10000=QT27)*('Margin Guidence Table'!$I$1:$I$10000&lt;=ROUND($QL$3,0))*('Margin Guidence Table'!$J$1:$J$10000&gt;=ROUND($QL$3,0)),0),MATCH("SELF_FUND_PCT_SALES",'Margin Guidence Table'!$A$1:$AG$1,0)),INDEX('Margin Guidence Table'!$A$1:$AG$10000,MATCH(1,('Margin Guidence Table'!$A$1:$A$10000=QT27)*('Margin Guidence Table'!$I$1:$I$10000&lt;=ROUND($QL$3,0))*('Margin Guidence Table'!$J$1:$J$10000&gt;=ROUND($QL$3,0)),0),MATCH("DEFAULT_SELF_FUND_PCT_SALES",'Margin Guidence Table'!$A$1:$AG$1,0))),0))</f>
        <v>0</v>
      </c>
      <c r="RD27" s="784">
        <f t="array" ref="RD27">IF('Customer Inputs'!$W$23="End",0,IF($QM$2="Existing",IFERROR(SUMIFS('Existing Customers'!$V:$V,'Existing Customers'!$H:$H,$QK27,'Existing Customers'!$A:$A,$QL$1)/SUMIFS('Existing Customers'!$Q:$Q,'Existing Customers'!$H:$H,$QK27,'Existing Customers'!$A:$A,$QL$1),0),IFERROR(IF($QV27="SEGMENT",INDEX('Margin Guidence Table'!$A$1:$AG$10000,MATCH(1,('Margin Guidence Table'!$A$1:$A$10000=QT27)*('Margin Guidence Table'!$I$1:$I$10000&lt;=ROUND($QL$3,0))*('Margin Guidence Table'!$J$1:$J$10000&gt;=ROUND($QL$3,0)),0),MATCH("CIA_MEDIAN_MARGIN_GUIDENCE",'Margin Guidence Table'!$A$1:$AG$1,0)),INDEX('Margin Guidence Table'!$A$1:$AG$10000,MATCH(1,('Margin Guidence Table'!$A$1:$A$10000=QT27)*('Margin Guidence Table'!$I$1:$I$10000&lt;=ROUND($QL$3,0))*('Margin Guidence Table'!$J$1:$J$10000&gt;=ROUND($QL$3,0)),0),MATCH("DEFAULT_CIA_MEDIAN_MARGIN_GUIDENCE",'Margin Guidence Table'!$A$1:$AG$1,0))),0)))</f>
        <v>0</v>
      </c>
      <c r="RE27" s="784"/>
      <c r="RF27" s="18">
        <f t="array" ref="RF27">IF('Customer Inputs'!$W$24="End",0,IFERROR(IF($RS27="SEGMENT",INDEX('Margin Guidence Table'!$A$1:$AG$10000,MATCH(1,('Margin Guidence Table'!$A$1:$A$10000=$RQ27)*('Margin Guidence Table'!$I$1:$I$10000&lt;=ROUND($RI$3,0))*('Margin Guidence Table'!$J$1:$J$10000&gt;=ROUND($RI$3,0)),0),MATCH("PCT_SALES",'Margin Guidence Table'!$A$1:$AG$1,0)),INDEX('Margin Guidence Table'!$A$1:$AG$10000,MATCH(1,('Margin Guidence Table'!$A$1:$A$10000=$RQ27)*('Margin Guidence Table'!$I$1:$I$10000&lt;=ROUND($RI$3,0))*('Margin Guidence Table'!$J$1:$J$10000&gt;=ROUND($RI$3,0)),0),MATCH("DEFAULT_PCT_SALES",'Margin Guidence Table'!$A$1:$AG$1,0))),0))</f>
        <v>0</v>
      </c>
      <c r="RG27" s="1713" t="e">
        <f t="shared" si="68"/>
        <v>#DIV/0!</v>
      </c>
      <c r="RH27" s="99" t="s">
        <v>92</v>
      </c>
      <c r="RI27" s="91">
        <f>IF('Customer Inputs'!$W$24="End",0,IFERROR(IF(AND($RI$2&lt;&gt;"Enter Spend&gt;&gt;&gt;",$RJ$2="EXISTING"),SUMIFS('Existing Customers'!$Q:$Q,'Existing Customers'!$A:$A,$RI$1,'Existing Customers'!$H:$H,$RH27)*$RI$4,$RI$3*$RG27),0))</f>
        <v>0</v>
      </c>
      <c r="RJ27" s="86">
        <f>IF('Customer Inputs'!$W$24="End",0,IFERROR(IF(AND($RI$2&lt;&gt;"Enter Spend&gt;&gt;&gt;",$RJ$2="EXISTING"),SUMIFS('Existing Customers'!$N:$N,'Existing Customers'!$A:$A,$RI$1,'Existing Customers'!$H:$H,$RH27)*$RI$4,$RI27/$RT27),0))</f>
        <v>0</v>
      </c>
      <c r="RK27" s="92">
        <f>IF('Customer Inputs'!$W$24="End",0,IFERROR(IF(AND($RI$2&lt;&gt;"Enter Spend&gt;&gt;&gt;",$RJ$2="EXISTING"),SUMIFS('Existing Customers'!$O:$O,'Existing Customers'!$H:$H,$RH27,'Existing Customers'!$A:$A,$RI$1)*$RI$4,$RJ27*$RI$8),0))</f>
        <v>0</v>
      </c>
      <c r="RL27" s="92">
        <f>IF('Customer Inputs'!$W$24="End",0,IFERROR(IF(AND($RI$2&lt;&gt;"Enter Spend&gt;&gt;&gt;",$RJ$2="EXISTING"),SUMIFS('Existing Customers'!$P:$P,'Existing Customers'!$A:$A,$RI$1,'Existing Customers'!$H:$H,$RH27)*$RI$4,$RI27/$RU27),0))</f>
        <v>0</v>
      </c>
      <c r="RM27" s="303">
        <f>IF('Customer Inputs'!$W$24="End",0,IFERROR(IF(AND($RI$2&lt;&gt;"Enter Spend&gt;&gt;&gt;",$RJ$2="EXISTING"),SUMIFS('Existing Customers'!$V:$V,'Existing Customers'!$H:$H,$RH27,'Existing Customers'!$A:$A,$RI$1)*$RI$4,0),0))</f>
        <v>0</v>
      </c>
      <c r="RN27" s="93">
        <f>IF('Customer Inputs'!$W$24="End",0,IFERROR(IF(AND($RI$2&lt;&gt;"Enter Spend&gt;&gt;&gt;",$RJ$2="EXISTING"),SUMIFS('Existing Customers'!$R:$R,'Existing Customers'!$H:$H,$RH27,'Existing Customers'!$A:$A,$RI$1)*$RI$4,0),0))</f>
        <v>0</v>
      </c>
      <c r="RO27" s="780">
        <f>IF('Customer Inputs'!$W$24="End",0,IFERROR(IF(AND($RI$2&lt;&gt;"Enter Spend&gt;&gt;&gt;",$RJ$2="EXISTING"),SUMIFS('Existing Customers'!$S:$S,'Existing Customers'!$H:$H,$RH27,'Existing Customers'!$A:$A,$RI$1)/SUMIFS('Existing Customers'!$Q:$Q,'Existing Customers'!$A:$A,$RI$1,'Existing Customers'!$H:$H,$RH27),RY27),0))</f>
        <v>0</v>
      </c>
      <c r="RP27" s="780">
        <f>IF('Customer Inputs'!$W$24="End",0,IFERROR(IF(AND($RI$2&lt;&gt;"Enter Spend&gt;&gt;&gt;",$RJ$2="EXISTING"),SUMIFS('Existing Customers'!$U:$U,'Existing Customers'!$H:$H,$RH27,'Existing Customers'!$A:$A,$RI$1)/SUMIFS('Existing Customers'!$Q:$Q,'Existing Customers'!$A:$A,$RI$1,'Existing Customers'!$H:$H,$RH27),RZ27),0))</f>
        <v>0</v>
      </c>
      <c r="RQ27" s="783" t="e">
        <f>_xlfn.CONCAT('Customer Inputs'!$AH$24,"_",RH27)</f>
        <v>#N/A</v>
      </c>
      <c r="RR27" s="783">
        <f t="array" ref="RR27">IF('Customer Inputs'!$W$24="End",0,IFERROR(INDEX('Margin Guidence Table'!$A$1:$AG$10000,MATCH(1,('Margin Guidence Table'!$A$1:$A$10000=RQ27)*('Margin Guidence Table'!$I$1:$I$10000&lt;=ROUND($RI$3,0))*('Margin Guidence Table'!$J$1:$J$10000&gt;=ROUND($RI$3,0)),0),MATCH("DATA_POINTS",'Margin Guidence Table'!$A$1:$AG$1,0)),0))</f>
        <v>0</v>
      </c>
      <c r="RS27" s="780" t="str">
        <f t="shared" si="69"/>
        <v>DEFAULT</v>
      </c>
      <c r="RT27" s="780">
        <f t="array" ref="RT27">IF('Customer Inputs'!$W$24="End",0,IFERROR(IF($RS27="SEGMENT",INDEX('Margin Guidence Table'!$A$1:$AG$10000,MATCH(1,('Margin Guidence Table'!$A$1:$A$10000=RQ27)*('Margin Guidence Table'!$I$1:$I$10000&lt;=ROUND($RI$3,0))*('Margin Guidence Table'!$J$1:$J$10000&gt;=ROUND($RI$3,0)),0),MATCH("SALES_CASE",'Margin Guidence Table'!$A$1:$AG$1,0)),INDEX('Margin Guidence Table'!$A$1:$AG$10000,MATCH(1,('Margin Guidence Table'!$A$1:$A$10000=RQ27)*('Margin Guidence Table'!$I$1:$I$10000&lt;=ROUND($RI$3,0))*('Margin Guidence Table'!$J$1:$J$10000&gt;=ROUND($RI$3,0)),0),MATCH("DEFAULT_SALES_CASE",'Margin Guidence Table'!$A$1:$AG$1,0))),0))</f>
        <v>0</v>
      </c>
      <c r="RU27" s="780">
        <f t="array" ref="RU27">IF('Customer Inputs'!$W$24="End",0,IFERROR(IF($RS27="SEGMENT",INDEX('Margin Guidence Table'!$A$1:$AG$10000,MATCH(1,('Margin Guidence Table'!$A$1:$A$10000=RQ27)*('Margin Guidence Table'!$I$1:$I$10000&lt;=ROUND($RI$3,0))*('Margin Guidence Table'!$J$1:$J$10000&gt;=ROUND($RI$3,0)),0),MATCH("SALES_LBS",'Margin Guidence Table'!$A$1:$AG$1,0)),INDEX('Margin Guidence Table'!$A$1:$AG$10000,MATCH(1,('Margin Guidence Table'!$A$1:$A$10000=RQ27)*('Margin Guidence Table'!$I$1:$I$10000&lt;=ROUND($RI$3,0))*('Margin Guidence Table'!$J$1:$J$10000&gt;=ROUND($RI$3,0)),0),MATCH("DEFAULT_SALES_LBS",'Margin Guidence Table'!$A$1:$AG$1,0))),0))</f>
        <v>0</v>
      </c>
      <c r="RV27" s="784">
        <f t="array" ref="RV27">IF('Customer Inputs'!$W$24="End",0,IFERROR(IF($RS27="SEGMENT",INDEX('Margin Guidence Table'!$A$1:$AG$10000,MATCH(1,('Margin Guidence Table'!$A$1:$A$10000=RQ27)*('Margin Guidence Table'!$I$1:$I$10000&lt;=ROUND($RI$3,0))*('Margin Guidence Table'!$J$1:$J$10000&gt;=ROUND($RI$3,0)),0),MATCH("MDA_MIN_MARGIN_GUIDENCE",'Margin Guidence Table'!$A$1:$AG$1,0)),INDEX('Margin Guidence Table'!$A$1:$AG$10000,MATCH(1,('Margin Guidence Table'!$A$1:$A$10000=RQ27)*('Margin Guidence Table'!$I$1:$I$10000&lt;=ROUND($RI$3,0))*('Margin Guidence Table'!$J$1:$J$10000&gt;=ROUND($RI$3,0)),0),MATCH("DEFAULT_MDA_MIN_MARGIN_GUIDENCE",'Margin Guidence Table'!$A$1:$AG$1,0))),0))</f>
        <v>0</v>
      </c>
      <c r="RW27" s="784">
        <f t="array" ref="RW27">IF('Customer Inputs'!$W$24="End",0,IFERROR(IF($RS27="SEGMENT",INDEX('Margin Guidence Table'!$A$1:$AG$10000,MATCH(1,('Margin Guidence Table'!$A$1:$A$10000=RQ27)*('Margin Guidence Table'!$I$1:$I$10000&lt;=ROUND($RI$3,0))*('Margin Guidence Table'!$J$1:$J$10000&gt;=ROUND($RI$3,0)),0),MATCH("MDA_MEDIAN_MARGIN_GUIDENCE",'Margin Guidence Table'!$A$1:$AG$1,0)),INDEX('Margin Guidence Table'!$A$1:$AG$10000,MATCH(1,('Margin Guidence Table'!$A$1:$A$10000=RQ27)*('Margin Guidence Table'!$I$1:$I$10000&lt;=ROUND($RI$3,0))*('Margin Guidence Table'!$J$1:$J$10000&gt;=ROUND($RI$3,0)),0),MATCH("DEFAULT_MDA_MEDIAN_MARGIN_GUIDENCE",'Margin Guidence Table'!$A$1:$AG$1,0))),0))</f>
        <v>0</v>
      </c>
      <c r="RX27" s="784">
        <f t="array" ref="RX27">IF('Customer Inputs'!$W$24="End",0,IFERROR(IF($RS27="SEGMENT",INDEX('Margin Guidence Table'!$A$1:$AG$10000,MATCH(1,('Margin Guidence Table'!$A$1:$A$10000=RQ27)*('Margin Guidence Table'!$I$1:$I$10000&lt;=ROUND($RI$3,0))*('Margin Guidence Table'!$J$1:$J$10000&gt;=ROUND($RI$3,0)),0),MATCH("MDA_MAX_MARGIN_GUIDENCE",'Margin Guidence Table'!$A$1:$AG$1,0)),INDEX('Margin Guidence Table'!$A$1:$AG$10000,MATCH(1,('Margin Guidence Table'!$A$1:$A$10000=RQ27)*('Margin Guidence Table'!$I$1:$I$10000&lt;=ROUND($RI$3,0))*('Margin Guidence Table'!$J$1:$J$10000&gt;=ROUND($RI$3,0)),0),MATCH("DEFAULT_MDA_MAX_MARGIN_GUIDENCE",'Margin Guidence Table'!$A$1:$AG$1,0))),0))</f>
        <v>0</v>
      </c>
      <c r="RY27" s="784">
        <f t="array" ref="RY27">IF('Customer Inputs'!$W$24="End",0,IFERROR(IF($RS27="SEGMENT",INDEX('Margin Guidence Table'!$A$1:$AG$10000,MATCH(1,('Margin Guidence Table'!$A$1:$A$10000=RQ27)*('Margin Guidence Table'!$I$1:$I$10000&lt;=ROUND($RI$3,0))*('Margin Guidence Table'!$J$1:$J$10000&gt;=ROUND($RI$3,0)),0),MATCH("PA_PCT_SALES",'Margin Guidence Table'!$A$1:$AG$1,0)),INDEX('Margin Guidence Table'!$A$1:$AG$10000,MATCH(1,('Margin Guidence Table'!$A$1:$A$10000=RQ27)*('Margin Guidence Table'!$I$1:$I$10000&lt;=ROUND($RI$3,0))*('Margin Guidence Table'!$J$1:$J$10000&gt;=ROUND($RI$3,0)),0),MATCH("DEFAULT_PA_PCT_SALES",'Margin Guidence Table'!$A$1:$AG$1,0))),0))</f>
        <v>0</v>
      </c>
      <c r="RZ27" s="784">
        <f t="array" ref="RZ27">IF('Customer Inputs'!$W$24="End",0,IFERROR(IF($RS27="SEGMENT",INDEX('Margin Guidence Table'!$A$1:$AG$10000,MATCH(1,('Margin Guidence Table'!$A$1:$A$10000=RQ27)*('Margin Guidence Table'!$I$1:$I$10000&lt;=ROUND($RI$3,0))*('Margin Guidence Table'!$J$1:$J$10000&gt;=ROUND($RI$3,0)),0),MATCH("SELF_FUND_PCT_SALES",'Margin Guidence Table'!$A$1:$AG$1,0)),INDEX('Margin Guidence Table'!$A$1:$AG$10000,MATCH(1,('Margin Guidence Table'!$A$1:$A$10000=RQ27)*('Margin Guidence Table'!$I$1:$I$10000&lt;=ROUND($RI$3,0))*('Margin Guidence Table'!$J$1:$J$10000&gt;=ROUND($RI$3,0)),0),MATCH("DEFAULT_SELF_FUND_PCT_SALES",'Margin Guidence Table'!$A$1:$AG$1,0))),0))</f>
        <v>0</v>
      </c>
      <c r="SA27" s="784">
        <f t="array" ref="SA27">IF('Customer Inputs'!$W$24="End",0,IF($RJ$2="Existing",IFERROR(SUMIFS('Existing Customers'!$V:$V,'Existing Customers'!$H:$H,$RH27,'Existing Customers'!$A:$A,$RI$1)/SUMIFS('Existing Customers'!$Q:$Q,'Existing Customers'!$H:$H,$RH27,'Existing Customers'!$A:$A,$RI$1),0),IFERROR(IF($RS27="SEGMENT",INDEX('Margin Guidence Table'!$A$1:$AG$10000,MATCH(1,('Margin Guidence Table'!$A$1:$A$10000=RQ27)*('Margin Guidence Table'!$I$1:$I$10000&lt;=ROUND($RI$3,0))*('Margin Guidence Table'!$J$1:$J$10000&gt;=ROUND($RI$3,0)),0),MATCH("CIA_MEDIAN_MARGIN_GUIDENCE",'Margin Guidence Table'!$A$1:$AG$1,0)),INDEX('Margin Guidence Table'!$A$1:$AG$10000,MATCH(1,('Margin Guidence Table'!$A$1:$A$10000=RQ27)*('Margin Guidence Table'!$I$1:$I$10000&lt;=ROUND($RI$3,0))*('Margin Guidence Table'!$J$1:$J$10000&gt;=ROUND($RI$3,0)),0),MATCH("DEFAULT_CIA_MEDIAN_MARGIN_GUIDENCE",'Margin Guidence Table'!$A$1:$AG$1,0))),0)))</f>
        <v>0</v>
      </c>
      <c r="SB27" s="784"/>
      <c r="SC27" s="18">
        <f t="array" ref="SC27">IF('Customer Inputs'!$W$25="End",0,IFERROR(IF($SP27="SEGMENT",INDEX('Margin Guidence Table'!$A$1:$AG$10000,MATCH(1,('Margin Guidence Table'!$A$1:$A$10000=$SN27)*('Margin Guidence Table'!$I$1:$I$10000&lt;=ROUND($SF$3,0))*('Margin Guidence Table'!$J$1:$J$10000&gt;=ROUND($SF$3,0)),0),MATCH("PCT_SALES",'Margin Guidence Table'!$A$1:$AG$1,0)),INDEX('Margin Guidence Table'!$A$1:$AG$10000,MATCH(1,('Margin Guidence Table'!$A$1:$A$10000=$SN27)*('Margin Guidence Table'!$I$1:$I$10000&lt;=ROUND($SF$3,0))*('Margin Guidence Table'!$J$1:$J$10000&gt;=ROUND($SF$3,0)),0),MATCH("DEFAULT_PCT_SALES",'Margin Guidence Table'!$A$1:$AG$1,0))),0))</f>
        <v>0</v>
      </c>
      <c r="SD27" s="1713" t="e">
        <f t="shared" si="70"/>
        <v>#DIV/0!</v>
      </c>
      <c r="SE27" s="99" t="s">
        <v>92</v>
      </c>
      <c r="SF27" s="91">
        <f>IF('Customer Inputs'!$W$25="End",0,IFERROR(IF(AND($SF$2&lt;&gt;"Enter Spend&gt;&gt;&gt;",$SG$2="EXISTING"),SUMIFS('Existing Customers'!$Q:$Q,'Existing Customers'!$A:$A,$SF$1,'Existing Customers'!$H:$H,$SE27)*$SF$4,$SF$3*$SD27),0))</f>
        <v>0</v>
      </c>
      <c r="SG27" s="86">
        <f>IF('Customer Inputs'!$W$25="End",0,IFERROR(IF(AND($SF$2&lt;&gt;"Enter Spend&gt;&gt;&gt;",$SG$2="EXISTING"),SUMIFS('Existing Customers'!$N:$N,'Existing Customers'!$A:$A,$SF$1,'Existing Customers'!$H:$H,$SE27)*$SF$4,$SF27/$SQ27),0))</f>
        <v>0</v>
      </c>
      <c r="SH27" s="92">
        <f>IF('Customer Inputs'!$W$25="End",0,IFERROR(IF(AND($SF$2&lt;&gt;"Enter Spend&gt;&gt;&gt;",$SG$2="EXISTING"),SUMIFS('Existing Customers'!$O:$O,'Existing Customers'!$H:$H,$SE27,'Existing Customers'!$A:$A,$SF$1)*$SF$4,$SG27*$SF$8),0))</f>
        <v>0</v>
      </c>
      <c r="SI27" s="92">
        <f>IF('Customer Inputs'!$W$25="End",0,IFERROR(IF(AND($SF$2&lt;&gt;"Enter Spend&gt;&gt;&gt;",$SG$2="EXISTING"),SUMIFS('Existing Customers'!$P:$P,'Existing Customers'!$A:$A,$SF$1,'Existing Customers'!$H:$H,$SE27)*$SF$4,$SF27/$SR27),0))</f>
        <v>0</v>
      </c>
      <c r="SJ27" s="303">
        <f>IF('Customer Inputs'!$W$25="End",0,IFERROR(IF(AND($SF$2&lt;&gt;"Enter Spend&gt;&gt;&gt;",$SG$2="EXISTING"),SUMIFS('Existing Customers'!$V:$V,'Existing Customers'!$H:$H,$SE27,'Existing Customers'!$A:$A,$SF$1)*$SF$4,0),0))</f>
        <v>0</v>
      </c>
      <c r="SK27" s="93">
        <f>IF('Customer Inputs'!$W$25="End",0,IFERROR(IF(AND($SF$2&lt;&gt;"Enter Spend&gt;&gt;&gt;",$SG$2="EXISTING"),SUMIFS('Existing Customers'!$R:$R,'Existing Customers'!$H:$H,$SE27,'Existing Customers'!$A:$A,$SF$1)*$SF$4,0),0))</f>
        <v>0</v>
      </c>
      <c r="SL27" s="780">
        <f>IF('Customer Inputs'!$W$25="End",0,IFERROR(IF(AND($SF$2&lt;&gt;"Enter Spend&gt;&gt;&gt;",$SG$2="EXISTING"),SUMIFS('Existing Customers'!$S:$S,'Existing Customers'!$H:$H,$SE27,'Existing Customers'!$A:$A,$SF$1)/SUMIFS('Existing Customers'!$Q:$Q,'Existing Customers'!$A:$A,$SF$1,'Existing Customers'!$H:$H,$SE27),SV27),0))</f>
        <v>0</v>
      </c>
      <c r="SM27" s="780">
        <f>IF('Customer Inputs'!$W$25="End",0,IFERROR(IF(AND($SF$2&lt;&gt;"Enter Spend&gt;&gt;&gt;",$SG$2="EXISTING"),SUMIFS('Existing Customers'!$U:$U,'Existing Customers'!$H:$H,$SE27,'Existing Customers'!$A:$A,$SF$1)/SUMIFS('Existing Customers'!$Q:$Q,'Existing Customers'!$A:$A,$SF$1,'Existing Customers'!$H:$H,$SE27),SW27),0))</f>
        <v>0</v>
      </c>
      <c r="SN27" s="783" t="e">
        <f>_xlfn.CONCAT('Customer Inputs'!$AH$25,"_",SE27)</f>
        <v>#N/A</v>
      </c>
      <c r="SO27" s="783">
        <f t="array" ref="SO27">IF('Customer Inputs'!$W$25="End",0,IFERROR(INDEX('Margin Guidence Table'!$A$1:$AG$10000,MATCH(1,('Margin Guidence Table'!$A$1:$A$10000=SN27)*('Margin Guidence Table'!$I$1:$I$10000&lt;=ROUND($SF$3,0))*('Margin Guidence Table'!$J$1:$J$10000&gt;=ROUND($SF$3,0)),0),MATCH("DATA_POINTS",'Margin Guidence Table'!$A$1:$AG$1,0)),0))</f>
        <v>0</v>
      </c>
      <c r="SP27" s="780" t="str">
        <f t="shared" si="71"/>
        <v>DEFAULT</v>
      </c>
      <c r="SQ27" s="780">
        <f t="array" ref="SQ27">IF('Customer Inputs'!$W$25="End",0,IFERROR(IF($SP27="SEGMENT",INDEX('Margin Guidence Table'!$A$1:$AG$10000,MATCH(1,('Margin Guidence Table'!$A$1:$A$10000=SN27)*('Margin Guidence Table'!$I$1:$I$10000&lt;=ROUND($SF$3,0))*('Margin Guidence Table'!$J$1:$J$10000&gt;=ROUND($SF$3,0)),0),MATCH("SALES_CASE",'Margin Guidence Table'!$A$1:$AG$1,0)),INDEX('Margin Guidence Table'!$A$1:$AG$10000,MATCH(1,('Margin Guidence Table'!$A$1:$A$10000=SN27)*('Margin Guidence Table'!$I$1:$I$10000&lt;=ROUND($SF$3,0))*('Margin Guidence Table'!$J$1:$J$10000&gt;=ROUND($SF$3,0)),0),MATCH("DEFAULT_SALES_CASE",'Margin Guidence Table'!$A$1:$AG$1,0))),0))</f>
        <v>0</v>
      </c>
      <c r="SR27" s="780">
        <f t="array" ref="SR27">IF('Customer Inputs'!$W$25="End",0,IFERROR(IF($SP27="SEGMENT",INDEX('Margin Guidence Table'!$A$1:$AG$10000,MATCH(1,('Margin Guidence Table'!$A$1:$A$10000=SN27)*('Margin Guidence Table'!$I$1:$I$10000&lt;=ROUND($SF$3,0))*('Margin Guidence Table'!$J$1:$J$10000&gt;=ROUND($SF$3,0)),0),MATCH("SALES_LBS",'Margin Guidence Table'!$A$1:$AG$1,0)),INDEX('Margin Guidence Table'!$A$1:$AG$10000,MATCH(1,('Margin Guidence Table'!$A$1:$A$10000=SN27)*('Margin Guidence Table'!$I$1:$I$10000&lt;=ROUND($SF$3,0))*('Margin Guidence Table'!$J$1:$J$10000&gt;=ROUND($SF$3,0)),0),MATCH("DEFAULT_SALES_LBS",'Margin Guidence Table'!$A$1:$AG$1,0))),0))</f>
        <v>0</v>
      </c>
      <c r="SS27" s="784">
        <f t="array" ref="SS27">IF('Customer Inputs'!$W$25="End",0,IFERROR(IF($SP27="SEGMENT",INDEX('Margin Guidence Table'!$A$1:$AG$10000,MATCH(1,('Margin Guidence Table'!$A$1:$A$10000=SN27)*('Margin Guidence Table'!$I$1:$I$10000&lt;=ROUND($SF$3,0))*('Margin Guidence Table'!$J$1:$J$10000&gt;=ROUND($SF$3,0)),0),MATCH("MDA_MIN_MARGIN_GUIDENCE",'Margin Guidence Table'!$A$1:$AG$1,0)),INDEX('Margin Guidence Table'!$A$1:$AG$10000,MATCH(1,('Margin Guidence Table'!$A$1:$A$10000=SN27)*('Margin Guidence Table'!$I$1:$I$10000&lt;=ROUND($SF$3,0))*('Margin Guidence Table'!$J$1:$J$10000&gt;=ROUND($SF$3,0)),0),MATCH("DEFAULT_MDA_MIN_MARGIN_GUIDENCE",'Margin Guidence Table'!$A$1:$AG$1,0))),0))</f>
        <v>0</v>
      </c>
      <c r="ST27" s="784">
        <f t="array" ref="ST27">IF('Customer Inputs'!$W$25="End",0,IFERROR(IF($SP27="SEGMENT",INDEX('Margin Guidence Table'!$A$1:$AG$10000,MATCH(1,('Margin Guidence Table'!$A$1:$A$10000=SN27)*('Margin Guidence Table'!$I$1:$I$10000&lt;=ROUND($SF$3,0))*('Margin Guidence Table'!$J$1:$J$10000&gt;=ROUND($SF$3,0)),0),MATCH("MDA_MEDIAN_MARGIN_GUIDENCE",'Margin Guidence Table'!$A$1:$AG$1,0)),INDEX('Margin Guidence Table'!$A$1:$AG$10000,MATCH(1,('Margin Guidence Table'!$A$1:$A$10000=SN27)*('Margin Guidence Table'!$I$1:$I$10000&lt;=ROUND($SF$3,0))*('Margin Guidence Table'!$J$1:$J$10000&gt;=ROUND($SF$3,0)),0),MATCH("DEFAULT_MDA_MEDIAN_MARGIN_GUIDENCE",'Margin Guidence Table'!$A$1:$AG$1,0))),0))</f>
        <v>0</v>
      </c>
      <c r="SU27" s="784">
        <f t="array" ref="SU27">IF('Customer Inputs'!$W$25="End",0,IFERROR(IF($SP27="SEGMENT",INDEX('Margin Guidence Table'!$A$1:$AG$10000,MATCH(1,('Margin Guidence Table'!$A$1:$A$10000=SN27)*('Margin Guidence Table'!$I$1:$I$10000&lt;=ROUND($SF$3,0))*('Margin Guidence Table'!$J$1:$J$10000&gt;=ROUND($SF$3,0)),0),MATCH("MDA_MAX_MARGIN_GUIDENCE",'Margin Guidence Table'!$A$1:$AG$1,0)),INDEX('Margin Guidence Table'!$A$1:$AG$10000,MATCH(1,('Margin Guidence Table'!$A$1:$A$10000=SN27)*('Margin Guidence Table'!$I$1:$I$10000&lt;=ROUND($SF$3,0))*('Margin Guidence Table'!$J$1:$J$10000&gt;=ROUND($SF$3,0)),0),MATCH("DEFAULT_MDA_MAX_MARGIN_GUIDENCE",'Margin Guidence Table'!$A$1:$AG$1,0))),0))</f>
        <v>0</v>
      </c>
      <c r="SV27" s="784">
        <f t="array" ref="SV27">IF('Customer Inputs'!$W$25="End",0,IFERROR(IF($SP27="SEGMENT",INDEX('Margin Guidence Table'!$A$1:$AG$10000,MATCH(1,('Margin Guidence Table'!$A$1:$A$10000=SN27)*('Margin Guidence Table'!$I$1:$I$10000&lt;=ROUND($SF$3,0))*('Margin Guidence Table'!$J$1:$J$10000&gt;=ROUND($SF$3,0)),0),MATCH("PA_PCT_SALES",'Margin Guidence Table'!$A$1:$AG$1,0)),INDEX('Margin Guidence Table'!$A$1:$AG$10000,MATCH(1,('Margin Guidence Table'!$A$1:$A$10000=SN27)*('Margin Guidence Table'!$I$1:$I$10000&lt;=ROUND($SF$3,0))*('Margin Guidence Table'!$J$1:$J$10000&gt;=ROUND($SF$3,0)),0),MATCH("DEFAULT_PA_PCT_SALES",'Margin Guidence Table'!$A$1:$AG$1,0))),0))</f>
        <v>0</v>
      </c>
      <c r="SW27" s="784">
        <f t="array" ref="SW27">IF('Customer Inputs'!$W$25="End",0,IFERROR(IF($SP27="SEGMENT",INDEX('Margin Guidence Table'!$A$1:$AG$10000,MATCH(1,('Margin Guidence Table'!$A$1:$A$10000=SN27)*('Margin Guidence Table'!$I$1:$I$10000&lt;=ROUND($SF$3,0))*('Margin Guidence Table'!$J$1:$J$10000&gt;=ROUND($SF$3,0)),0),MATCH("SELF_FUND_PCT_SALES",'Margin Guidence Table'!$A$1:$AG$1,0)),INDEX('Margin Guidence Table'!$A$1:$AG$10000,MATCH(1,('Margin Guidence Table'!$A$1:$A$10000=SN27)*('Margin Guidence Table'!$I$1:$I$10000&lt;=ROUND($SF$3,0))*('Margin Guidence Table'!$J$1:$J$10000&gt;=ROUND($SF$3,0)),0),MATCH("DEFAULT_SELF_FUND_PCT_SALES",'Margin Guidence Table'!$A$1:$AG$1,0))),0))</f>
        <v>0</v>
      </c>
      <c r="SX27" s="784">
        <f t="array" ref="SX27">IF('Customer Inputs'!$W$25="End",0,IF($SG$2="Existing",IFERROR(SUMIFS('Existing Customers'!$V:$V,'Existing Customers'!$H:$H,$SE27,'Existing Customers'!$A:$A,$SF$1)/SUMIFS('Existing Customers'!$Q:$Q,'Existing Customers'!$H:$H,$SE27,'Existing Customers'!$A:$A,$SF$1),0),IFERROR(IF($SP27="SEGMENT",INDEX('Margin Guidence Table'!$A$1:$AG$10000,MATCH(1,('Margin Guidence Table'!$A$1:$A$10000=SN27)*('Margin Guidence Table'!$I$1:$I$10000&lt;=ROUND($SF$3,0))*('Margin Guidence Table'!$J$1:$J$10000&gt;=ROUND($SF$3,0)),0),MATCH("CIA_MEDIAN_MARGIN_GUIDENCE",'Margin Guidence Table'!$A$1:$AG$1,0)),INDEX('Margin Guidence Table'!$A$1:$AG$10000,MATCH(1,('Margin Guidence Table'!$A$1:$A$10000=SN27)*('Margin Guidence Table'!$I$1:$I$10000&lt;=ROUND($SF$3,0))*('Margin Guidence Table'!$J$1:$J$10000&gt;=ROUND($SF$3,0)),0),MATCH("DEFAULT_CIA_MEDIAN_MARGIN_GUIDENCE",'Margin Guidence Table'!$A$1:$AG$1,0))),0)))</f>
        <v>0</v>
      </c>
      <c r="SY27" s="784"/>
      <c r="SZ27" s="1705"/>
      <c r="TA27" s="99" t="s">
        <v>92</v>
      </c>
      <c r="TB27" s="94"/>
      <c r="TC27" s="86"/>
      <c r="TD27" s="86"/>
      <c r="TE27" s="86"/>
      <c r="TF27" s="111"/>
      <c r="TG27" s="95"/>
      <c r="TH27" s="126"/>
      <c r="TI27" s="1705"/>
      <c r="TJ27" s="99" t="s">
        <v>92</v>
      </c>
      <c r="TK27" s="94"/>
      <c r="TL27" s="86"/>
      <c r="TM27" s="86"/>
      <c r="TN27" s="86"/>
      <c r="TO27" s="111"/>
      <c r="TP27" s="95"/>
      <c r="TQ27" s="1705"/>
      <c r="TR27" s="1705"/>
    </row>
    <row r="28" spans="1:538" ht="15.75" thickBot="1" x14ac:dyDescent="0.3">
      <c r="A28" s="1705"/>
      <c r="B28" s="99" t="s">
        <v>91</v>
      </c>
      <c r="C28" s="346">
        <f t="shared" si="0"/>
        <v>0</v>
      </c>
      <c r="D28" s="358">
        <f t="shared" si="1"/>
        <v>0</v>
      </c>
      <c r="E28" s="358">
        <f t="shared" si="2"/>
        <v>0</v>
      </c>
      <c r="F28" s="358">
        <f t="shared" si="3"/>
        <v>0</v>
      </c>
      <c r="G28" s="1428">
        <f t="shared" si="4"/>
        <v>0</v>
      </c>
      <c r="H28" s="1428">
        <f t="shared" si="5"/>
        <v>0</v>
      </c>
      <c r="I28" s="359">
        <f t="shared" si="6"/>
        <v>0</v>
      </c>
      <c r="J28" s="358">
        <f t="shared" si="7"/>
        <v>0</v>
      </c>
      <c r="K28" s="778">
        <f t="shared" si="8"/>
        <v>0</v>
      </c>
      <c r="L28" s="778">
        <f t="shared" si="9"/>
        <v>0</v>
      </c>
      <c r="M28" s="778">
        <f t="shared" si="10"/>
        <v>0</v>
      </c>
      <c r="N28" s="1428">
        <f>IF('PIM Model'!D24="$/CS",IFERROR(ROUND(SUM(BX28*$BV$35+CU28*$CS$35+DR28*$DP$35+EO28*$EM$35+FL28*$FJ$35+GI28*$GG$35+HF28*$HD$35+IC28*$IA$35+IZ28*$IX$35+JW28*$JU$35+KT28*$KR$35+LQ28*$LO$35+MN28*$ML$35+NK28*$NI$35+OH28*$OF$35+PE28*$PC$35+QB28*$PZ$35+QY28*$QW$35+RV28*$RT$35+SS28*$SQ$35)/$G$35,2),0),IF('PIM Model'!D24="$/LB",IFERROR(ROUND(SUM(BX28*$BW$35+CU28*$CT$35+DR28*$DQ$35+EO28*$EN$35+FL28*$FK$35+GI28*$GH$35+HF28*$HE$35+IC28*$IB$35+IZ28*$IY$35+JW28*$JV$35+KT28*$KS$35+LQ28*$LP$35+MN28*$MM$35+NK28*$NJ$35+OH28*$OG$35+PE28*$PD$35+QB28*$QA$35+QY28*$QX$35+RV28*$RU$35+SS28*$SR$35)/$H$35,2),0),0))</f>
        <v>0</v>
      </c>
      <c r="O28" s="1428">
        <f>IF('PIM Model'!D24="$/CS",IFERROR(ROUND(SUM(BY28*$BV$35+CV28*$CS$35+DS28*$DP$35+EP28*$EM$35+FM28*$FJ$35+GJ28*$GG$35+HG28*$HD$35+ID28*$IA$35+JA28*$IX$35+JX28*$JU$35+KU28*$KR$35+LR28*$LO$35+MO28*$ML$35+NL28*$NI$35+OI28*$OF$35+PF28*$PC$35+QC28*$PZ$35+QZ28*$QW$35+RW28*$RT$35+ST28*$SQ$35)/$G$35,2),0),IF('PIM Model'!D24="$/LB",IFERROR(ROUND(SUM(BY28*$BW$35+CV28*$CT$35+DS28*$DQ$35+EP28*$EN$35+FM28*$FK$35+GJ28*$GH$35+HG28*$HE$35+ID28*$IB$35+JA28*$IY$35+JX28*$JV$35+KU28*$KS$35+LR28*$LP$35+MO28*$MM$35+NL28*$NJ$35+OI28*$OG$35+PF28*$PD$35+QC28*$QA$35+QZ28*$QX$35+RW28*$RU$35+ST28*$SR$35)/$H$35,2),0),0))</f>
        <v>0</v>
      </c>
      <c r="P28" s="1428">
        <f>IF('PIM Model'!D24="$/CS",IFERROR(ROUND(SUM(BZ28*$BV$35+CW28*$CS$35+DT28*$DP$35+EQ28*$EM$35+FN28*$FJ$35+GK28*$GG$35+HH28*$HD$35+IE28*$IA$35+JB28*$IX$35+JY28*$JU$35+KV28*$KR$35+LS28*$LO$35+MP28*$ML$35+NM28*$NI$35+OJ28*$OF$35+PG28*$PC$35+QD28*$PZ$35+RA28*$QW$35+RX28*$RT$35+SU28*$SQ$35)/$G$35,2),0),IF('PIM Model'!D24="$/LB",IFERROR(ROUND(SUM(BZ28*$BW$35+CW28*$CT$35+DT28*$DQ$35+EQ28*$EN$35+FN28*$FK$35+GK28*$GH$35+HH28*$HE$35+IE28*$IB$35+JB28*$IY$35+JY28*$JV$35+KV28*$KS$35+LS28*$LP$35+MP28*$MM$35+NM28*$NJ$35+OJ28*$OG$35+PG28*$PD$35+QD28*$QA$35+RA28*$QX$35+RX28*$RU$35+SU28*$SR$35)/$H$35,2),0),0))</f>
        <v>0</v>
      </c>
      <c r="Q28" s="358">
        <f t="shared" si="11"/>
        <v>0</v>
      </c>
      <c r="R28" s="358">
        <f t="shared" si="12"/>
        <v>0</v>
      </c>
      <c r="S28" s="779">
        <f t="shared" si="13"/>
        <v>0</v>
      </c>
      <c r="T28" s="779">
        <f t="shared" si="14"/>
        <v>0</v>
      </c>
      <c r="U28" s="779">
        <f t="shared" si="15"/>
        <v>0</v>
      </c>
      <c r="V28" s="779">
        <f t="shared" si="16"/>
        <v>0</v>
      </c>
      <c r="W28" s="779">
        <f t="shared" si="17"/>
        <v>0</v>
      </c>
      <c r="X28" s="1705"/>
      <c r="Y28" s="1705" t="str">
        <f>'PIM Model'!E24</f>
        <v>INCLUDE</v>
      </c>
      <c r="Z28" s="1705">
        <f t="shared" si="18"/>
        <v>0</v>
      </c>
      <c r="AA28" s="1705">
        <f t="shared" si="19"/>
        <v>0</v>
      </c>
      <c r="AB28" s="99" t="s">
        <v>91</v>
      </c>
      <c r="AC28" s="107">
        <f t="shared" si="20"/>
        <v>0</v>
      </c>
      <c r="AD28" s="108">
        <f t="shared" si="21"/>
        <v>0</v>
      </c>
      <c r="AE28" s="108">
        <f t="shared" si="22"/>
        <v>0</v>
      </c>
      <c r="AF28" s="108">
        <f t="shared" si="23"/>
        <v>0</v>
      </c>
      <c r="AG28" s="110">
        <f t="shared" si="24"/>
        <v>0</v>
      </c>
      <c r="AH28" s="114">
        <f t="shared" si="25"/>
        <v>0</v>
      </c>
      <c r="AI28" s="301"/>
      <c r="AJ28" s="99" t="s">
        <v>91</v>
      </c>
      <c r="AK28" s="346">
        <f t="shared" si="26"/>
        <v>0</v>
      </c>
      <c r="AL28" s="347">
        <f t="shared" si="26"/>
        <v>0</v>
      </c>
      <c r="AM28" s="347">
        <f t="shared" si="26"/>
        <v>0</v>
      </c>
      <c r="AN28" s="350">
        <f t="shared" si="27"/>
        <v>0</v>
      </c>
      <c r="AO28" s="351">
        <f t="shared" si="28"/>
        <v>0</v>
      </c>
      <c r="AP28" s="301"/>
      <c r="AQ28" s="99" t="s">
        <v>91</v>
      </c>
      <c r="AR28" s="346">
        <f t="shared" si="29"/>
        <v>0</v>
      </c>
      <c r="AS28" s="347">
        <f t="shared" si="30"/>
        <v>0</v>
      </c>
      <c r="AT28" s="351"/>
      <c r="AU28" s="301"/>
      <c r="AV28" s="1708" t="str">
        <f>IF('PIM Ranges'!$AK26='PIM Ranges'!$AY$11,IF($AR28&lt;'PIM Ranges'!$AZ$11,"Q1",IF($AR28&lt;'PIM Ranges'!$BA$11,"Q2",IF($AR28&lt;'PIM Ranges'!$BB$11,"Q3",IF($AR28&lt;'PIM Ranges'!$BC$11,"Q4","Q5")))),IF('PIM Ranges'!$AK26='PIM Ranges'!$AY$12,IF($AR28&lt;'PIM Ranges'!$AZ$12,"Q1",IF($AR28&lt;'PIM Ranges'!$BA$12,"Q2",IF($AR28&lt;'PIM Ranges'!$BB$12,"Q3",IF($AR28&lt;'PIM Ranges'!$BC$12,"Q4","Q5")))),IF('PIM Ranges'!$AK26='PIM Ranges'!$AY$13,IF($AR28&lt;'PIM Ranges'!$AZ$13,"Q1",IF($AR28&lt;'PIM Ranges'!$BA$13,"Q2",IF($AR28&lt;'PIM Ranges'!$BB$13,"Q3",IF($AR28&lt;'PIM Ranges'!$BC$13,"Q4","Q5")))),IF('PIM Ranges'!$AK26='PIM Ranges'!$AY$14,IF($AR28&lt;'PIM Ranges'!$AZ$14,"Q1",IF($AR28&lt;'PIM Ranges'!$BA$14,"Q2",IF($AR28&lt;'PIM Ranges'!$BB$14,"Q3",IF($AR28&lt;'PIM Ranges'!$BC$14,"Q4","Q5")))),IF('PIM Ranges'!$AK26='PIM Ranges'!$AY$15,IF($AR28&lt;'PIM Ranges'!$AZ$15,"Q1",IF($AR28&lt;'PIM Ranges'!$BA$15,"Q2",IF($AR28&lt;'PIM Ranges'!$BB$15,"Q3",IF($AR28&lt;'PIM Ranges'!$BC$15,"Q4","Q5")))),IF('PIM Ranges'!$AK26='PIM Ranges'!$AY$16,IF($AR28&lt;'PIM Ranges'!$AZ$16,"Q1",IF($AR28&lt;'PIM Ranges'!$BA$16,"Q2",IF($AR28&lt;'PIM Ranges'!$BB$16,"Q3",IF($AR28&lt;'PIM Ranges'!$BC$16,"Q4","Q5")))),IF('PIM Ranges'!$AK26='PIM Ranges'!$AY$17,IF($AR28&lt;'PIM Ranges'!$AZ$17,"Q1",IF($AR28&lt;'PIM Ranges'!$BA$17,"Q2",IF($AR28&lt;'PIM Ranges'!$BB$17,"Q3",IF($AR28&lt;'PIM Ranges'!$BC$17,"Q4","Q5")))),IF('PIM Ranges'!$AK26='PIM Ranges'!$AY$18,IF($AR28&lt;'PIM Ranges'!$AZ$18,"Q1",IF($AR28&lt;'PIM Ranges'!$BA$18,"Q2",IF($AR28&lt;'PIM Ranges'!$BB$18,"Q3",IF($AR28&lt;'PIM Ranges'!$BC$18,"Q4","Q5")))),IF('PIM Ranges'!$AK26='PIM Ranges'!$AY$19,IF($AR28&lt;'PIM Ranges'!$AZ$19,"Q1",IF($AR28&lt;'PIM Ranges'!$BA$19,"Q2",IF($AR28&lt;'PIM Ranges'!$BB$19,"Q3",IF($AR28&lt;'PIM Ranges'!$BC$19,"Q4","Q5")))),IF('PIM Ranges'!$AK26='PIM Ranges'!$AY$20,IF($AR28&lt;'PIM Ranges'!$AZ$20,"Q1",IF($AR28&lt;'PIM Ranges'!$BA$20,"Q2",IF($AR28&lt;'PIM Ranges'!$BB$20,"Q3",IF($AR28&lt;'PIM Ranges'!$BC$20,"Q4","Q5")))),IF('PIM Ranges'!$AK26='PIM Ranges'!$AY$21,IF($AR28&lt;'PIM Ranges'!$AZ$21,"Q1",IF($AR28&lt;'PIM Ranges'!$BA$21,"Q2",IF($AR28&lt;'PIM Ranges'!$BB$21,"Q3",IF($AR28&lt;'PIM Ranges'!$BC$21,"Q4","Q5")))),IF('PIM Ranges'!$AK26='PIM Ranges'!$AY$22,IF($AR28&lt;'PIM Ranges'!$AZ$22,"Q1",IF($AR28&lt;'PIM Ranges'!$BA$22,"Q2",IF($AR28&lt;'PIM Ranges'!$BB$22,"Q3",IF($AR28&lt;'PIM Ranges'!$BC$22,"Q4","Q5")))),IF('PIM Ranges'!$AK26='PIM Ranges'!$AY$23,IF($AR28&lt;'PIM Ranges'!$AZ$23,"Q1",IF($AR28&lt;'PIM Ranges'!$BA$23,"Q2",IF($AR28&lt;'PIM Ranges'!$BB$23,"Q3",IF($AR28&lt;'PIM Ranges'!$BC$23,"Q4","Q5")))),IF('PIM Ranges'!$AK26='PIM Ranges'!$AY$24,IF($AR28&lt;'PIM Ranges'!$AZ$24,"Q1",IF($AR28&lt;'PIM Ranges'!$BA$24,"Q2",IF($AR28&lt;'PIM Ranges'!$BB$24,"Q3",IF($AR28&lt;'PIM Ranges'!$BC$24,"Q4","Q5")))),IF('PIM Ranges'!$AK26='PIM Ranges'!$AY$25,IF($AR28&lt;'PIM Ranges'!$AZ$25,"Q1",IF($AR28&lt;'PIM Ranges'!$BA$25,"Q2",IF($AR28&lt;'PIM Ranges'!$BB$25,"Q3",IF($AR28&lt;'PIM Ranges'!$BC$25,"Q4","Q5")))),IF('PIM Ranges'!$AK26='PIM Ranges'!$AY$26,IF($AR28&lt;'PIM Ranges'!$AZ$26,"Q1",IF($AR28&lt;'PIM Ranges'!$BA$26,"Q2",IF($AR28&lt;'PIM Ranges'!$BB$26,"Q3",IF($AR28&lt;'PIM Ranges'!$BC$26,"Q4","Q5")))),IF('PIM Ranges'!$AK26='PIM Ranges'!$AY$27,IF($AR28&lt;'PIM Ranges'!$AZ$27,"Q1",IF($AR28&lt;'PIM Ranges'!$BA$27,"Q2",IF($AR28&lt;'PIM Ranges'!$BB$27,"Q3",IF($AR28&lt;'PIM Ranges'!$BC$27,"Q4","Q5")))),IF('PIM Ranges'!$AK26='PIM Ranges'!$AY$28,IF($AR28&lt;'PIM Ranges'!$AZ$28,"Q1",IF($AR28&lt;'PIM Ranges'!$BA$28,"Q2",IF($AR28&lt;'PIM Ranges'!$BB$28,"Q3",IF($AR28&lt;'PIM Ranges'!$BC$28,"Q4","Q5")))),IF('PIM Ranges'!$AK26='PIM Ranges'!$AY$29,IF($AR28&lt;'PIM Ranges'!$AZ$29,"Q1",IF($AR28&lt;'PIM Ranges'!$BA$29,"Q2",IF($AR28&lt;'PIM Ranges'!$BB$29,"Q3",IF($AR28&lt;'PIM Ranges'!$BC$29,"Q4","Q5")))),IF('PIM Ranges'!$AK26='PIM Ranges'!$AY$30,IF($AR28&lt;'PIM Ranges'!$AZ$30,"Q1",IF($AR28&lt;'PIM Ranges'!$BA$30,"Q2",IF($AR28&lt;'PIM Ranges'!$BB$30,"Q3",IF($AR28&lt;'PIM Ranges'!$BC$30,"Q4","Q5")))),IF('PIM Ranges'!$AK26='PIM Ranges'!$AY$31,IF($AR28&lt;'PIM Ranges'!$AZ$31,"Q1",IF($AR28&lt;'PIM Ranges'!$BA$31,"Q2",IF($AR28&lt;'PIM Ranges'!$BB$31,"Q3",IF($AR28&lt;'PIM Ranges'!$BC$31,"Q4","Q5")))),IF('PIM Ranges'!$AK26='PIM Ranges'!$AY$32,IF($AR28&lt;'PIM Ranges'!$AZ$32,"Q1",IF($AR28&lt;'PIM Ranges'!$BA$32,"Q2",IF($AR28&lt;'PIM Ranges'!$BB$32,"Q3",IF($AR28&lt;'PIM Ranges'!$BC$32,"Q4","Q5"))))))))))))))))))))))))))</f>
        <v>Q1</v>
      </c>
      <c r="AW28" s="301">
        <f>VLOOKUP($AQ28&amp;$AV28,'IMargin Quartiles'!$A:$F,6,FALSE)</f>
        <v>0.16</v>
      </c>
      <c r="AX28" s="301"/>
      <c r="AY28" s="1708" t="str">
        <f>IF('PIM Ranges'!$AK26='PIM Ranges'!$AY$11,IF('PIM Ranges'!$AL26&lt;'PIM Ranges'!$AZ$11,"Q1",IF('PIM Ranges'!$AL26&lt;'PIM Ranges'!$BA$11,"Q2",IF('PIM Ranges'!$AL26&lt;'PIM Ranges'!$BB$11,"Q3",IF('PIM Ranges'!$AL26&lt;'PIM Ranges'!$BC$11,"Q4","Q5")))),IF('PIM Ranges'!$AK26='PIM Ranges'!$AY$12,IF('PIM Ranges'!$AL26&lt;'PIM Ranges'!$AZ$12,"Q1",IF('PIM Ranges'!$AL26&lt;'PIM Ranges'!$BA$12,"Q2",IF('PIM Ranges'!$AL26&lt;'PIM Ranges'!$BB$12,"Q3",IF('PIM Ranges'!$AL26&lt;'PIM Ranges'!$BC$12,"Q4","Q5")))),IF('PIM Ranges'!$AK26='PIM Ranges'!$AY$13,IF('PIM Ranges'!$AL26&lt;'PIM Ranges'!$AZ$13,"Q1",IF('PIM Ranges'!$AL26&lt;'PIM Ranges'!$BA$13,"Q2",IF('PIM Ranges'!$AL26&lt;'PIM Ranges'!$BB$13,"Q3",IF('PIM Ranges'!$AL26&lt;'PIM Ranges'!$BC$13,"Q4","Q5")))),IF('PIM Ranges'!$AK26='PIM Ranges'!$AY$14,IF('PIM Ranges'!$AL26&lt;'PIM Ranges'!$AZ$14,"Q1",IF('PIM Ranges'!$AL26&lt;'PIM Ranges'!$BA$14,"Q2",IF('PIM Ranges'!$AL26&lt;'PIM Ranges'!$BB$14,"Q3",IF('PIM Ranges'!$AL26&lt;'PIM Ranges'!$BC$14,"Q4","Q5")))),IF('PIM Ranges'!$AK26='PIM Ranges'!$AY$15,IF('PIM Ranges'!$AL26&lt;'PIM Ranges'!$AZ$15,"Q1",IF('PIM Ranges'!$AL26&lt;'PIM Ranges'!$BA$15,"Q2",IF('PIM Ranges'!$AL26&lt;'PIM Ranges'!$BB$15,"Q3",IF('PIM Ranges'!$AL26&lt;'PIM Ranges'!$BC$15,"Q4","Q5")))),IF('PIM Ranges'!$AK26='PIM Ranges'!$AY$16,IF('PIM Ranges'!$AL26&lt;'PIM Ranges'!$AZ$16,"Q1",IF('PIM Ranges'!$AL26&lt;'PIM Ranges'!$BA$16,"Q2",IF('PIM Ranges'!$AL26&lt;'PIM Ranges'!$BB$16,"Q3",IF('PIM Ranges'!$AL26&lt;'PIM Ranges'!$BC$16,"Q4","Q5")))),IF('PIM Ranges'!$AK26='PIM Ranges'!$AY$17,IF('PIM Ranges'!$AL26&lt;'PIM Ranges'!$AZ$17,"Q1",IF('PIM Ranges'!$AL26&lt;'PIM Ranges'!$BA$17,"Q2",IF('PIM Ranges'!$AL26&lt;'PIM Ranges'!$BB$17,"Q3",IF('PIM Ranges'!$AL26&lt;'PIM Ranges'!$BC$17,"Q4","Q5")))),IF('PIM Ranges'!$AK26='PIM Ranges'!$AY$18,IF('PIM Ranges'!$AL26&lt;'PIM Ranges'!$AZ$18,"Q1",IF('PIM Ranges'!$AL26&lt;'PIM Ranges'!$BA$18,"Q2",IF('PIM Ranges'!$AL26&lt;'PIM Ranges'!$BB$18,"Q3",IF('PIM Ranges'!$AL26&lt;'PIM Ranges'!$BC$18,"Q4","Q5")))),IF('PIM Ranges'!$AK26='PIM Ranges'!$AY$19,IF('PIM Ranges'!$AL26&lt;'PIM Ranges'!$AZ$19,"Q1",IF('PIM Ranges'!$AL26&lt;'PIM Ranges'!$BA$19,"Q2",IF('PIM Ranges'!$AL26&lt;'PIM Ranges'!$BB$19,"Q3",IF('PIM Ranges'!$AL26&lt;'PIM Ranges'!$BC$19,"Q4","Q5")))),IF('PIM Ranges'!$AK26='PIM Ranges'!$AY$20,IF('PIM Ranges'!$AL26&lt;'PIM Ranges'!$AZ$20,"Q1",IF('PIM Ranges'!$AL26&lt;'PIM Ranges'!$BA$20,"Q2",IF('PIM Ranges'!$AL26&lt;'PIM Ranges'!$BB$20,"Q3",IF('PIM Ranges'!$AL26&lt;'PIM Ranges'!$BC$20,"Q4","Q5")))),IF('PIM Ranges'!$AK26='PIM Ranges'!$AY$21,IF('PIM Ranges'!$AL26&lt;'PIM Ranges'!$AZ$21,"Q1",IF('PIM Ranges'!$AL26&lt;'PIM Ranges'!$BA$21,"Q2",IF('PIM Ranges'!$AL26&lt;'PIM Ranges'!$BB$21,"Q3",IF('PIM Ranges'!$AL26&lt;'PIM Ranges'!$BC$21,"Q4","Q5")))),IF('PIM Ranges'!$AK26='PIM Ranges'!$AY$22,IF('PIM Ranges'!$AL26&lt;'PIM Ranges'!$AZ$22,"Q1",IF('PIM Ranges'!$AL26&lt;'PIM Ranges'!$BA$22,"Q2",IF('PIM Ranges'!$AL26&lt;'PIM Ranges'!$BB$22,"Q3",IF('PIM Ranges'!$AL26&lt;'PIM Ranges'!$BC$22,"Q4","Q5")))),IF('PIM Ranges'!$AK26='PIM Ranges'!$AY$23,IF('PIM Ranges'!$AL26&lt;'PIM Ranges'!$AZ$23,"Q1",IF('PIM Ranges'!$AL26&lt;'PIM Ranges'!$BA$23,"Q2",IF('PIM Ranges'!$AL26&lt;'PIM Ranges'!$BB$23,"Q3",IF('PIM Ranges'!$AL26&lt;'PIM Ranges'!$BC$23,"Q4","Q5")))),IF('PIM Ranges'!$AK26='PIM Ranges'!$AY$24,IF('PIM Ranges'!$AL26&lt;'PIM Ranges'!$AZ$24,"Q1",IF('PIM Ranges'!$AL26&lt;'PIM Ranges'!$BA$24,"Q2",IF('PIM Ranges'!$AL26&lt;'PIM Ranges'!$BB$24,"Q3",IF('PIM Ranges'!$AL26&lt;'PIM Ranges'!$BC$24,"Q4","Q5")))),IF('PIM Ranges'!$AK26='PIM Ranges'!$AY$25,IF('PIM Ranges'!$AL26&lt;'PIM Ranges'!$AZ$25,"Q1",IF('PIM Ranges'!$AL26&lt;'PIM Ranges'!$BA$25,"Q2",IF('PIM Ranges'!$AL26&lt;'PIM Ranges'!$BB$25,"Q3",IF('PIM Ranges'!$AL26&lt;'PIM Ranges'!$BC$25,"Q4","Q5")))),IF('PIM Ranges'!$AK26='PIM Ranges'!$AY$26,IF('PIM Ranges'!$AL26&lt;'PIM Ranges'!$AZ$26,"Q1",IF('PIM Ranges'!$AL26&lt;'PIM Ranges'!$BA$26,"Q2",IF('PIM Ranges'!$AL26&lt;'PIM Ranges'!$BB$26,"Q3",IF('PIM Ranges'!$AL26&lt;'PIM Ranges'!$BC$26,"Q4","Q5")))),IF('PIM Ranges'!$AK26='PIM Ranges'!$AY$27,IF('PIM Ranges'!$AL26&lt;'PIM Ranges'!$AZ$27,"Q1",IF('PIM Ranges'!$AL26&lt;'PIM Ranges'!$BA$27,"Q2",IF('PIM Ranges'!$AL26&lt;'PIM Ranges'!$BB$27,"Q3",IF('PIM Ranges'!$AL26&lt;'PIM Ranges'!$BC$27,"Q4","Q5")))),IF('PIM Ranges'!$AK26='PIM Ranges'!$AY$28,IF('PIM Ranges'!$AL26&lt;'PIM Ranges'!$AZ$28,"Q1",IF('PIM Ranges'!$AL26&lt;'PIM Ranges'!$BA$28,"Q2",IF('PIM Ranges'!$AL26&lt;'PIM Ranges'!$BB$28,"Q3",IF('PIM Ranges'!$AL26&lt;'PIM Ranges'!$BC$28,"Q4","Q5")))),IF('PIM Ranges'!$AK26='PIM Ranges'!$AY$29,IF('PIM Ranges'!$AL26&lt;'PIM Ranges'!$AZ$29,"Q1",IF('PIM Ranges'!$AL26&lt;'PIM Ranges'!$BA$29,"Q2",IF('PIM Ranges'!$AL26&lt;'PIM Ranges'!$BB$29,"Q3",IF('PIM Ranges'!$AL26&lt;'PIM Ranges'!$BC$29,"Q4","Q5")))),IF('PIM Ranges'!$AK26='PIM Ranges'!$AY$30,IF('PIM Ranges'!$AL26&lt;'PIM Ranges'!$AZ$30,"Q1",IF('PIM Ranges'!$AL26&lt;'PIM Ranges'!$BA$30,"Q2",IF('PIM Ranges'!$AL26&lt;'PIM Ranges'!$BB$30,"Q3",IF('PIM Ranges'!$AL26&lt;'PIM Ranges'!$BC$30,"Q4","Q5")))),IF('PIM Ranges'!$AK26='PIM Ranges'!$AY$31,IF('PIM Ranges'!$AL26&lt;'PIM Ranges'!$AZ$31,"Q1",IF('PIM Ranges'!$AL26&lt;'PIM Ranges'!$BA$31,"Q2",IF('PIM Ranges'!$AL26&lt;'PIM Ranges'!$BB$31,"Q3",IF('PIM Ranges'!$AL26&lt;'PIM Ranges'!$BC$31,"Q4","Q5")))),IF('PIM Ranges'!$AK26='PIM Ranges'!$AY$32,IF('PIM Ranges'!$AL26&lt;'PIM Ranges'!$AZ$32,"Q1",IF('PIM Ranges'!$AL26&lt;'PIM Ranges'!$BA$32,"Q2",IF('PIM Ranges'!$AL26&lt;'PIM Ranges'!$BB$32,"Q3",IF('PIM Ranges'!$AL26&lt;'PIM Ranges'!$BC$32,"Q4","Q5"))))))))))))))))))))))))))</f>
        <v>Q1</v>
      </c>
      <c r="AZ28" s="301">
        <f t="shared" si="31"/>
        <v>0</v>
      </c>
      <c r="BA28" s="39">
        <f>'PIM Model'!C24</f>
        <v>0</v>
      </c>
      <c r="BB28" s="301"/>
      <c r="BC28" s="301"/>
      <c r="BD28" s="301" t="e">
        <f t="shared" si="72"/>
        <v>#DIV/0!</v>
      </c>
      <c r="BE28" s="301"/>
      <c r="BF28" s="301"/>
      <c r="BG28" s="105">
        <v>17</v>
      </c>
      <c r="BH28" s="18">
        <f t="array" ref="BH28">IF('Customer Inputs'!$W$6="End",0,IFERROR(IF($BU28="SEGMENT",INDEX('Margin Guidence Table'!$A$1:$AG$10000,MATCH(1,('Margin Guidence Table'!$A$1:$A$10000=$BS28)*('Margin Guidence Table'!$I$1:$I$10000&lt;=ROUND($BK$3,0))*('Margin Guidence Table'!$J$1:$J$10000&gt;=ROUND($BK$3,0)),0),MATCH("PCT_SALES",'Margin Guidence Table'!$A$1:$AG$1,0)),INDEX('Margin Guidence Table'!$A$1:$AG$10000,MATCH(1,('Margin Guidence Table'!$A$1:$A$10000=$BS28)*('Margin Guidence Table'!$I$1:$I$10000&lt;=ROUND($BK$3,0))*('Margin Guidence Table'!$J$1:$J$10000&gt;=ROUND($BK$3,0)),0),MATCH("DEFAULT_PCT_SALES",'Margin Guidence Table'!$A$1:$AG$1,0))),0))</f>
        <v>0</v>
      </c>
      <c r="BI28" s="297" t="e">
        <f t="shared" si="32"/>
        <v>#DIV/0!</v>
      </c>
      <c r="BJ28" s="99" t="s">
        <v>91</v>
      </c>
      <c r="BK28" s="91">
        <f>IF('Customer Inputs'!$W$6="End",0,IFERROR(IF(AND($BK$2&lt;&gt;"Enter Spend&gt;&gt;&gt;",$BL$2="EXISTING"),SUMIFS('Existing Customers'!$Q:$Q,'Existing Customers'!$A:$A,$BK$1,'Existing Customers'!$H:$H,$BJ28)*$BK$4,$BK$3*$BI28),0))</f>
        <v>0</v>
      </c>
      <c r="BL28" s="92">
        <f>IF('Customer Inputs'!$W$6="End",0,IFERROR(IF(AND($BK$2&lt;&gt;"Enter Spend&gt;&gt;&gt;",$BL$2="EXISTING"),SUMIFS('Existing Customers'!$N:$N,'Existing Customers'!$A:$A,$BK$1,'Existing Customers'!$H:$H,$BJ28)*$BK$4,$BK28/$BV28),0))</f>
        <v>0</v>
      </c>
      <c r="BM28" s="92">
        <f>IF('Customer Inputs'!$W$6="End",0,IFERROR(IF(AND($BK$2&lt;&gt;"Enter Spend&gt;&gt;&gt;",$BL$2="EXISTING"),SUMIFS('Existing Customers'!$O:$O,'Existing Customers'!$H:$H,$BJ28,'Existing Customers'!$A:$A,$BK$1)*$BK$4,$BL28*$BK$8),0))</f>
        <v>0</v>
      </c>
      <c r="BN28" s="92">
        <f>IF('Customer Inputs'!$W$6="End",0,IFERROR(IF(AND($BK$2&lt;&gt;"Enter Spend&gt;&gt;&gt;",$BL$2="EXISTING"),SUMIFS('Existing Customers'!$P:$P,'Existing Customers'!$A:$A,$BK$1,'Existing Customers'!$H:$H,$BJ28)*$BK$4,$BK28/$BW28),0))</f>
        <v>0</v>
      </c>
      <c r="BO28" s="303">
        <f>IF('Customer Inputs'!$W$6="End",0,IFERROR(IF(AND($BK$2&lt;&gt;"Enter Spend&gt;&gt;&gt;",$BL$2="EXISTING"),SUMIFS('Existing Customers'!$V:$V,'Existing Customers'!$H:$H,$BJ28,'Existing Customers'!$A:$A,$BK$1)*$BK$4,0),0))</f>
        <v>0</v>
      </c>
      <c r="BP28" s="93">
        <f>IF('Customer Inputs'!$W$6="End",0,IFERROR(IF(AND($BK$2&lt;&gt;"Enter Spend&gt;&gt;&gt;",$BL$2="EXISTING"),SUMIFS('Existing Customers'!$R:$R,'Existing Customers'!$H:$H,$BJ28,'Existing Customers'!$A:$A,$BK$1)*$BK$4,0),0))</f>
        <v>0</v>
      </c>
      <c r="BQ28" s="93">
        <f>IF('Customer Inputs'!$W$6="End",0,IFERROR(IF(AND($BK$2&lt;&gt;"Enter Spend&gt;&gt;&gt;",$BL$2="EXISTING"),SUMIFS('Existing Customers'!$S:$S,'Existing Customers'!$H:$H,$BJ28,'Existing Customers'!$A:$A,$BK$1)/SUMIFS('Existing Customers'!$Q:$Q,'Existing Customers'!$A:$A,$BK$1,'Existing Customers'!$H:$H,$BJ28),CA28),0))</f>
        <v>0</v>
      </c>
      <c r="BR28" s="93">
        <f>IF('Customer Inputs'!$W$6="End",0,IFERROR(IF(AND($BK$2&lt;&gt;"Enter Spend&gt;&gt;&gt;",$BL$2="EXISTING"),SUMIFS('Existing Customers'!$U:$U,'Existing Customers'!$H:$H,$BJ28,'Existing Customers'!$A:$A,$BK$1)/SUMIFS('Existing Customers'!$Q:$Q,'Existing Customers'!$A:$A,$BK$1,'Existing Customers'!$H:$H,$BJ28),CB28),0))</f>
        <v>0</v>
      </c>
      <c r="BS28" s="782" t="e">
        <f>_xlfn.CONCAT('Customer Inputs'!$AH$6,"_",BJ28)</f>
        <v>#N/A</v>
      </c>
      <c r="BT28" s="783">
        <f t="array" ref="BT28">IF('Customer Inputs'!$W$6="End",0,IFERROR(INDEX('Margin Guidence Table'!$A$1:$AG$10000,MATCH(1,('Margin Guidence Table'!$A$1:$A$10000=$BS28)*('Margin Guidence Table'!$I$1:$I$10000&lt;=ROUND($BK$3,0))*('Margin Guidence Table'!$J$1:$J$10000&gt;=ROUND($BK$3,0)),0),MATCH("DATA_POINTS",'Margin Guidence Table'!$A$1:$AG$1,0)),0))</f>
        <v>0</v>
      </c>
      <c r="BU28" s="780" t="str">
        <f t="shared" si="33"/>
        <v>DEFAULT</v>
      </c>
      <c r="BV28" s="780">
        <f t="array" ref="BV28">IF('Customer Inputs'!$W$6="End",0,IFERROR(IF($BU28="SEGMENT",INDEX('Margin Guidence Table'!$A$1:$AG$10000,MATCH(1,('Margin Guidence Table'!$A$1:$A$10000=$BS28)*('Margin Guidence Table'!$I$1:$I$10000&lt;=ROUND($BK$3,0))*('Margin Guidence Table'!$J$1:$J$10000&gt;=ROUND($BK$3,0)),0),MATCH("SALES_CASE",'Margin Guidence Table'!$A$1:$AG$1,0)),INDEX('Margin Guidence Table'!$A$1:$AG$10000,MATCH(1,('Margin Guidence Table'!$A$1:$A$10000=$BS28)*('Margin Guidence Table'!$I$1:$I$10000&lt;=ROUND($BK$3,0))*('Margin Guidence Table'!$J$1:$J$10000&gt;=ROUND($BK$3,0)),0),MATCH("DEFAULT_SALES_CASE",'Margin Guidence Table'!$A$1:$AG$1,0))),0))</f>
        <v>0</v>
      </c>
      <c r="BW28" s="780">
        <f t="array" ref="BW28">IF('Customer Inputs'!$W$6="End",0,IFERROR(IF($BU28="SEGMENT",INDEX('Margin Guidence Table'!$A$1:$AG$10000,MATCH(1,('Margin Guidence Table'!$A$1:$A$10000=$BS28)*('Margin Guidence Table'!$I$1:$I$10000&lt;=ROUND($BK$3,0))*('Margin Guidence Table'!$J$1:$J$10000&gt;=ROUND($BK$3,0)),0),MATCH("SALES_LBS",'Margin Guidence Table'!$A$1:$AG$1,0)),INDEX('Margin Guidence Table'!$A$1:$AG$10000,MATCH(1,('Margin Guidence Table'!$A$1:$A$10000=$BS28)*('Margin Guidence Table'!$I$1:$I$10000&lt;=ROUND($BK$3,0))*('Margin Guidence Table'!$J$1:$J$10000&gt;=ROUND($BK$3,0)),0),MATCH("DEFAULT_SALES_LBS",'Margin Guidence Table'!$A$1:$AG$1,0))),0))</f>
        <v>0</v>
      </c>
      <c r="BX28" s="784">
        <f t="array" ref="BX28">IF('Customer Inputs'!$W$6="End",0,IFERROR(IF($BU28="SEGMENT",INDEX('Margin Guidence Table'!$A$1:$AG$10000,MATCH(1,('Margin Guidence Table'!$A$1:$A$10000=$BS28)*('Margin Guidence Table'!$I$1:$I$10000&lt;=ROUND($BK$3,0))*('Margin Guidence Table'!$J$1:$J$10000&gt;=ROUND($BK$3,0)),0),MATCH("MDA_MIN_MARGIN_GUIDENCE",'Margin Guidence Table'!$A$1:$AG$1,0)),INDEX('Margin Guidence Table'!$A$1:$AG$10000,MATCH(1,('Margin Guidence Table'!$A$1:$A$10000=$BS28)*('Margin Guidence Table'!$I$1:$I$10000&lt;=ROUND($BK$3,0))*('Margin Guidence Table'!$J$1:$J$10000&gt;=ROUND($BK$3,0)),0),MATCH("DEFAULT_MDA_MIN_MARGIN_GUIDENCE",'Margin Guidence Table'!$A$1:$AG$1,0))),0))</f>
        <v>0</v>
      </c>
      <c r="BY28" s="784">
        <f t="array" ref="BY28">IF('Customer Inputs'!$W$6="End",0,IFERROR(IF($BU28="SEGMENT",INDEX('Margin Guidence Table'!$A$1:$AG$10000,MATCH(1,('Margin Guidence Table'!$A$1:$A$10000=$BS28)*('Margin Guidence Table'!$I$1:$I$10000&lt;=ROUND($BK$3,0))*('Margin Guidence Table'!$J$1:$J$10000&gt;=ROUND($BK$3,0)),0),MATCH("MDA_MEDIAN_MARGIN_GUIDENCE",'Margin Guidence Table'!$A$1:$AG$1,0)),INDEX('Margin Guidence Table'!$A$1:$AG$10000,MATCH(1,('Margin Guidence Table'!$A$1:$A$10000=$BS28)*('Margin Guidence Table'!$I$1:$I$10000&lt;=ROUND($BK$3,0))*('Margin Guidence Table'!$J$1:$J$10000&gt;=ROUND($BK$3,0)),0),MATCH("DEFAULT_MDA_MEDIAN_MARGIN_GUIDENCE",'Margin Guidence Table'!$A$1:$AG$1,0))),0))</f>
        <v>0</v>
      </c>
      <c r="BZ28" s="784">
        <f t="array" ref="BZ28">IF('Customer Inputs'!$W$6="End",0,IFERROR(IF($BU28="SEGMENT",INDEX('Margin Guidence Table'!$A$1:$AG$10000,MATCH(1,('Margin Guidence Table'!$A$1:$A$10000=$BS28)*('Margin Guidence Table'!$I$1:$I$10000&lt;=ROUND($BK$3,0))*('Margin Guidence Table'!$J$1:$J$10000&gt;=ROUND($BK$3,0)),0),MATCH("MDA_MAX_MARGIN_GUIDENCE",'Margin Guidence Table'!$A$1:$AG$1,0)),INDEX('Margin Guidence Table'!$A$1:$AG$10000,MATCH(1,('Margin Guidence Table'!$A$1:$A$10000=$BS28)*('Margin Guidence Table'!$I$1:$I$10000&lt;=ROUND($BK$3,0))*('Margin Guidence Table'!$J$1:$J$10000&gt;=ROUND($BK$3,0)),0),MATCH("DEFAULT_MDA_MAX_MARGIN_GUIDENCE",'Margin Guidence Table'!$A$1:$AG$1,0))),0))</f>
        <v>0</v>
      </c>
      <c r="CA28" s="784">
        <f t="array" ref="CA28">IF('Customer Inputs'!$W$6="End",0,IFERROR(IF($BU28="SEGMENT",INDEX('Margin Guidence Table'!$A$1:$AG$10000,MATCH(1,('Margin Guidence Table'!$A$1:$A$10000=$BS28)*('Margin Guidence Table'!$I$1:$I$10000&lt;=ROUND($BK$3,0))*('Margin Guidence Table'!$J$1:$J$10000&gt;=ROUND($BK$3,0)),0),MATCH("PA_PCT_SALES",'Margin Guidence Table'!$A$1:$AG$1,0)),INDEX('Margin Guidence Table'!$A$1:$AG$10000,MATCH(1,('Margin Guidence Table'!$A$1:$A$10000=$BS28)*('Margin Guidence Table'!$I$1:$I$10000&lt;=ROUND($BK$3,0))*('Margin Guidence Table'!$J$1:$J$10000&gt;=ROUND($BK$3,0)),0),MATCH("DEFAULT_PA_PCT_SALES",'Margin Guidence Table'!$A$1:$AG$1,0))),0))</f>
        <v>0</v>
      </c>
      <c r="CB28" s="784">
        <f t="array" ref="CB28">IF('Customer Inputs'!$W$6="End",0,IFERROR(IF($BU28="SEGMENT",INDEX('Margin Guidence Table'!$A$1:$AG$10000,MATCH(1,('Margin Guidence Table'!$A$1:$A$10000=$BS28)*('Margin Guidence Table'!$I$1:$I$10000&lt;=ROUND($BK$3,0))*('Margin Guidence Table'!$J$1:$J$10000&gt;=ROUND($BK$3,0)),0),MATCH("SELF_FUND_PCT_SALES",'Margin Guidence Table'!$A$1:$AG$1,0)),INDEX('Margin Guidence Table'!$A$1:$AG$10000,MATCH(1,('Margin Guidence Table'!$A$1:$A$10000=$BS28)*('Margin Guidence Table'!$I$1:$I$10000&lt;=ROUND($BK$3,0))*('Margin Guidence Table'!$J$1:$J$10000&gt;=ROUND($BK$3,0)),0),MATCH("DEFAULT_SELF_FUND_PCT_SALES",'Margin Guidence Table'!$A$1:$AG$1,0))),0))</f>
        <v>0</v>
      </c>
      <c r="CC28" s="784">
        <f t="array" ref="CC28">IF('Customer Inputs'!$W$6="End",0,IF($BL$2="Existing",IFERROR(SUMIFS('Existing Customers'!$V:$V,'Existing Customers'!$H:$H,$BJ28,'Existing Customers'!$A:$A,$BK$1)/SUMIFS('Existing Customers'!$Q:$Q,'Existing Customers'!$H:$H,$BJ28,'Existing Customers'!$A:$A,$BK$1),0),IFERROR(IF($BU28="SEGMENT",INDEX('Margin Guidence Table'!$A$1:$AG$10000,MATCH(1,('Margin Guidence Table'!$A$1:$A$10000=$BS28)*('Margin Guidence Table'!$I$1:$I$10000&lt;=ROUND($BK$3,0))*('Margin Guidence Table'!$J$1:$J$10000&gt;=ROUND($BK$3,0)),0),MATCH("CIA_MEDIAN_MARGIN_GUIDENCE",'Margin Guidence Table'!$A$1:$AG$1,0)),INDEX('Margin Guidence Table'!$A$1:$AG$10000,MATCH(1,('Margin Guidence Table'!$A$1:$A$10000=$BS28)*('Margin Guidence Table'!$I$1:$I$10000&lt;=ROUND($BK$3,0))*('Margin Guidence Table'!$J$1:$J$10000&gt;=ROUND($BK$3,0)),0),MATCH("DEFAULT_CIA_MEDIAN_MARGIN_GUIDENCE",'Margin Guidence Table'!$A$1:$AG$1,0))),0)))</f>
        <v>0</v>
      </c>
      <c r="CD28" s="126"/>
      <c r="CE28" s="18">
        <f t="array" ref="CE28">IF('Customer Inputs'!$W$7="End",0,IFERROR(IF($CR28="SEGMENT",INDEX('Margin Guidence Table'!$A$1:$AG$10000,MATCH(1,('Margin Guidence Table'!$A$1:$A$10000=$CP28)*('Margin Guidence Table'!$I$1:$I$10000&lt;=ROUND($CH$3,0))*('Margin Guidence Table'!$J$1:$J$10000&gt;=ROUND($CH$3,0)),0),MATCH("PCT_SALES",'Margin Guidence Table'!$A$1:$AG$1,0)),INDEX('Margin Guidence Table'!$A$1:$AG$10000,MATCH(1,('Margin Guidence Table'!$A$1:$A$10000=$CP28)*('Margin Guidence Table'!$I$1:$I$10000&lt;=ROUND($CH$3,0))*('Margin Guidence Table'!$J$1:$J$10000&gt;=ROUND($CH$3,0)),0),MATCH("DEFAULT_PCT_SALES",'Margin Guidence Table'!$A$1:$AG$1,0))),0))</f>
        <v>0</v>
      </c>
      <c r="CF28" s="297" t="e">
        <f t="shared" si="34"/>
        <v>#DIV/0!</v>
      </c>
      <c r="CG28" s="99" t="s">
        <v>91</v>
      </c>
      <c r="CH28" s="91">
        <f>IF('Customer Inputs'!$W$7="End",0,IFERROR(IF(AND($CH$2&lt;&gt;"Enter Spend&gt;&gt;&gt;",$CI$2="EXISTING"),SUMIFS('Existing Customers'!$Q:$Q,'Existing Customers'!$A:$A,$CH$1,'Existing Customers'!$H:$H,$CG28)*$CH$4,$CH$3*$CF28),0))</f>
        <v>0</v>
      </c>
      <c r="CI28" s="86">
        <f>IF('Customer Inputs'!$W$7="End",0,IFERROR(IF(AND($CH$2&lt;&gt;"Enter Spend&gt;&gt;&gt;",$CI$2="EXISTING"),SUMIFS('Existing Customers'!$N:$N,'Existing Customers'!$A:$A,$CH$1,'Existing Customers'!$H:$H,$CG28)*$CH$4,$CH28/$CS28),0))</f>
        <v>0</v>
      </c>
      <c r="CJ28" s="92">
        <f>IF('Customer Inputs'!$W$7="End",0,IFERROR(IF(AND($CH$2&lt;&gt;"Enter Spend&gt;&gt;&gt;",$CI$2="EXISTING"),SUMIFS('Existing Customers'!$O:$O,'Existing Customers'!$H:$H,$CG28,'Existing Customers'!$A:$A,$CH$1)*$CH$4,$CI28*$CH$8),0))</f>
        <v>0</v>
      </c>
      <c r="CK28" s="92">
        <f>IF('Customer Inputs'!$W$7="End",0,IFERROR(IF(AND($CH$2&lt;&gt;"Enter Spend&gt;&gt;&gt;",$CI$2="EXISTING"),SUMIFS('Existing Customers'!$P:$P,'Existing Customers'!$A:$A,$CH$1,'Existing Customers'!$H:$H,$CG28)*$CH$4,$CH28/$CT28),0))</f>
        <v>0</v>
      </c>
      <c r="CL28" s="93">
        <f>IF('Customer Inputs'!$W$7="End",0,IFERROR(IF(AND($CH$2&lt;&gt;"Enter Spend&gt;&gt;&gt;",$CI$2="EXISTING"),SUMIFS('Existing Customers'!$V:$V,'Existing Customers'!$H:$H,$CG28,'Existing Customers'!$A:$A,$CH$1)*$CH$4,0),0))</f>
        <v>0</v>
      </c>
      <c r="CM28" s="93">
        <f>IF('Customer Inputs'!$W$7="End",0,IFERROR(IF(AND($CH$2&lt;&gt;"Enter Spend&gt;&gt;&gt;",$CI$2="EXISTING"),SUMIFS('Existing Customers'!$R:$R,'Existing Customers'!$H:$H,$CG28,'Existing Customers'!$A:$A,$CH$1)*$CH$4,0),0))</f>
        <v>0</v>
      </c>
      <c r="CN28" s="780">
        <f>IF('Customer Inputs'!$W$7="End",0,IFERROR(IF(AND($CH$2&lt;&gt;"Enter Spend&gt;&gt;&gt;",$CI$2="EXISTING"),SUMIFS('Existing Customers'!$S:$S,'Existing Customers'!$H:$H,$CG28,'Existing Customers'!$A:$A,$CH$1)/SUMIFS('Existing Customers'!$Q:$Q,'Existing Customers'!$A:$A,$CH$1,'Existing Customers'!$H:$H,$CG28),CX28),0))</f>
        <v>0</v>
      </c>
      <c r="CO28" s="780">
        <f>IF('Customer Inputs'!$W$7="End",0,IFERROR(IF(AND($CH$2&lt;&gt;"Enter Spend&gt;&gt;&gt;",$CI$2="EXISTING"),SUMIFS('Existing Customers'!$U:$U,'Existing Customers'!$H:$H,$CG28,'Existing Customers'!$A:$A,$CH$1)/SUMIFS('Existing Customers'!$Q:$Q,'Existing Customers'!$A:$A,$CH$1,'Existing Customers'!$H:$H,$CG28),CY28),0))</f>
        <v>0</v>
      </c>
      <c r="CP28" s="783" t="e">
        <f>_xlfn.CONCAT('Customer Inputs'!$AH$7,"_",CG28)</f>
        <v>#N/A</v>
      </c>
      <c r="CQ28" s="783">
        <f t="array" ref="CQ28">IFERROR(INDEX('Margin Guidence Table'!$A$1:$AG$10000,MATCH(1,('Margin Guidence Table'!$A$1:$A$10000=$CP28)*('Margin Guidence Table'!$I$1:$I$10000&lt;=ROUND($CH$3,0))*('Margin Guidence Table'!$J$1:$J$10000&gt;=ROUND($CH$3,0)),0),MATCH("DATA_POINTS",'Margin Guidence Table'!$A$1:$AG$1,0)),0)</f>
        <v>0</v>
      </c>
      <c r="CR28" s="780" t="str">
        <f t="shared" si="35"/>
        <v>DEFAULT</v>
      </c>
      <c r="CS28" s="780">
        <f t="array" ref="CS28">IF('Customer Inputs'!$W$7="End",0,IFERROR(IF($CR28="SEGMENT",INDEX('Margin Guidence Table'!$A$1:$AG$10000,MATCH(1,('Margin Guidence Table'!$A$1:$A$10000=$CP28)*('Margin Guidence Table'!$I$1:$I$10000&lt;=ROUND($CH$3,0))*('Margin Guidence Table'!$J$1:$J$10000&gt;=ROUND($CH$3,0)),0),MATCH("SALES_CASE",'Margin Guidence Table'!$A$1:$AG$1,0)),INDEX('Margin Guidence Table'!$A$1:$AG$10000,MATCH(1,('Margin Guidence Table'!$A$1:$A$10000=$CP28)*('Margin Guidence Table'!$I$1:$I$10000&lt;=ROUND($CH$3,0))*('Margin Guidence Table'!$J$1:$J$10000&gt;=ROUND($CH$3,0)),0),MATCH("DEFAULT_SALES_CASE",'Margin Guidence Table'!$A$1:$AG$1,0))),0))</f>
        <v>0</v>
      </c>
      <c r="CT28" s="780">
        <f t="array" ref="CT28">IF('Customer Inputs'!$W$7="End",0,IFERROR(IF($CR28="SEGMENT",INDEX('Margin Guidence Table'!$A$1:$AG$10000,MATCH(1,('Margin Guidence Table'!$A$1:$A$10000=$CP28)*('Margin Guidence Table'!$I$1:$I$10000&lt;=ROUND($CH$3,0))*('Margin Guidence Table'!$J$1:$J$10000&gt;=ROUND($CH$3,0)),0),MATCH("SALES_LBS",'Margin Guidence Table'!$A$1:$AG$1,0)),INDEX('Margin Guidence Table'!$A$1:$AG$10000,MATCH(1,('Margin Guidence Table'!$A$1:$A$10000=$CP28)*('Margin Guidence Table'!$I$1:$I$10000&lt;=ROUND($CH$3,0))*('Margin Guidence Table'!$J$1:$J$10000&gt;=ROUND($CH$3,0)),0),MATCH("DEFAULT_SALES_LBS",'Margin Guidence Table'!$A$1:$AG$1,0))),0))</f>
        <v>0</v>
      </c>
      <c r="CU28" s="784">
        <f t="array" ref="CU28">IF('Customer Inputs'!$W$7="End",0,IFERROR(IF($CR28="SEGMENT",INDEX('Margin Guidence Table'!$A$1:$AG$10000,MATCH(1,('Margin Guidence Table'!$A$1:$A$10000=$CP28)*('Margin Guidence Table'!$I$1:$I$10000&lt;=ROUND($CH$3,0))*('Margin Guidence Table'!$J$1:$J$10000&gt;=ROUND($CH$3,0)),0),MATCH("MDA_MIN_MARGIN_GUIDENCE",'Margin Guidence Table'!$A$1:$AG$1,0)),INDEX('Margin Guidence Table'!$A$1:$AG$10000,MATCH(1,('Margin Guidence Table'!$A$1:$A$10000=$CP28)*('Margin Guidence Table'!$I$1:$I$10000&lt;=ROUND($CH$3,0))*('Margin Guidence Table'!$J$1:$J$10000&gt;=ROUND($CH$3,0)),0),MATCH("DEFAULT_MDA_MIN_MARGIN_GUIDENCE",'Margin Guidence Table'!$A$1:$AG$1,0))),0))</f>
        <v>0</v>
      </c>
      <c r="CV28" s="784">
        <f t="array" ref="CV28">IF('Customer Inputs'!$W$7="End",0,IFERROR(IF($CR28="SEGMENT",INDEX('Margin Guidence Table'!$A$1:$AG$10000,MATCH(1,('Margin Guidence Table'!$A$1:$A$10000=$CP28)*('Margin Guidence Table'!$I$1:$I$10000&lt;=ROUND($CH$3,0))*('Margin Guidence Table'!$J$1:$J$10000&gt;=ROUND($CH$3,0)),0),MATCH("MDA_MEDIAN_MARGIN_GUIDENCE",'Margin Guidence Table'!$A$1:$AG$1,0)),INDEX('Margin Guidence Table'!$A$1:$AG$10000,MATCH(1,('Margin Guidence Table'!$A$1:$A$10000=$CP28)*('Margin Guidence Table'!$I$1:$I$10000&lt;=ROUND($CH$3,0))*('Margin Guidence Table'!$J$1:$J$10000&gt;=ROUND($CH$3,0)),0),MATCH("DEFAULT_MDA_MEDIAN_MARGIN_GUIDENCE",'Margin Guidence Table'!$A$1:$AG$1,0))),0))</f>
        <v>0</v>
      </c>
      <c r="CW28" s="784">
        <f t="array" ref="CW28">IF('Customer Inputs'!$W$7="End",0,IFERROR(IF($CR28="SEGMENT",INDEX('Margin Guidence Table'!$A$1:$AG$10000,MATCH(1,('Margin Guidence Table'!$A$1:$A$10000=$CP28)*('Margin Guidence Table'!$I$1:$I$10000&lt;=ROUND($CH$3,0))*('Margin Guidence Table'!$J$1:$J$10000&gt;=ROUND($CH$3,0)),0),MATCH("MDA_MAX_MARGIN_GUIDENCE",'Margin Guidence Table'!$A$1:$AG$1,0)),INDEX('Margin Guidence Table'!$A$1:$AG$10000,MATCH(1,('Margin Guidence Table'!$A$1:$A$10000=$CP28)*('Margin Guidence Table'!$I$1:$I$10000&lt;=ROUND($CH$3,0))*('Margin Guidence Table'!$J$1:$J$10000&gt;=ROUND($CH$3,0)),0),MATCH("DEFAULT_MDA_MAX_MARGIN_GUIDENCE",'Margin Guidence Table'!$A$1:$AG$1,0))),0))</f>
        <v>0</v>
      </c>
      <c r="CX28" s="784">
        <f t="array" ref="CX28">IF('Customer Inputs'!$W$7="End",0,IFERROR(IF($CR28="SEGMENT",INDEX('Margin Guidence Table'!$A$1:$AG$10000,MATCH(1,('Margin Guidence Table'!$A$1:$A$10000=$CP28)*('Margin Guidence Table'!$I$1:$I$10000&lt;=ROUND($CH$3,0))*('Margin Guidence Table'!$J$1:$J$10000&gt;=ROUND($CH$3,0)),0),MATCH("PA_PCT_SALES",'Margin Guidence Table'!$A$1:$AG$1,0)),INDEX('Margin Guidence Table'!$A$1:$AG$10000,MATCH(1,('Margin Guidence Table'!$A$1:$A$10000=$CP28)*('Margin Guidence Table'!$I$1:$I$10000&lt;=ROUND($CH$3,0))*('Margin Guidence Table'!$J$1:$J$10000&gt;=ROUND($CH$3,0)),0),MATCH("DEFAULT_PA_PCT_SALES",'Margin Guidence Table'!$A$1:$AG$1,0))),0))</f>
        <v>0</v>
      </c>
      <c r="CY28" s="784">
        <f t="array" ref="CY28">IF('Customer Inputs'!$W$7="End",0,IFERROR(IF($CR28="SEGMENT",INDEX('Margin Guidence Table'!$A$1:$AG$10000,MATCH(1,('Margin Guidence Table'!$A$1:$A$10000=$CP28)*('Margin Guidence Table'!$I$1:$I$10000&lt;=ROUND($CH$3,0))*('Margin Guidence Table'!$J$1:$J$10000&gt;=ROUND($CH$3,0)),0),MATCH("SELF_FUND_PCT_SALES",'Margin Guidence Table'!$A$1:$AG$1,0)),INDEX('Margin Guidence Table'!$A$1:$AG$10000,MATCH(1,('Margin Guidence Table'!$A$1:$A$10000=$CP28)*('Margin Guidence Table'!$I$1:$I$10000&lt;=ROUND($CH$3,0))*('Margin Guidence Table'!$J$1:$J$10000&gt;=ROUND($CH$3,0)),0),MATCH("DEFAULT_SELF_FUND_PCT_SALES",'Margin Guidence Table'!$A$1:$AG$1,0))),0))</f>
        <v>0</v>
      </c>
      <c r="CZ28" s="784">
        <f t="array" ref="CZ28">IF('Customer Inputs'!$W$7="End",0,IF($CI$2="Existing",IFERROR(SUMIFS('Existing Customers'!$V:$V,'Existing Customers'!$H:$H,$CG28,'Existing Customers'!$A:$A,$CH$1)/SUMIFS('Existing Customers'!$Q:$Q,'Existing Customers'!$H:$H,$CG28,'Existing Customers'!$A:$A,$CH$1),0),IFERROR(IF($CR28="SEGMENT",INDEX('Margin Guidence Table'!$A$1:$AG$10000,MATCH(1,('Margin Guidence Table'!$A$1:$A$10000=$CP28)*('Margin Guidence Table'!$I$1:$I$10000&lt;=ROUND($CH$3,0))*('Margin Guidence Table'!$J$1:$J$10000&gt;=ROUND($CH$3,0)),0),MATCH("CIA_MEDIAN_MARGIN_GUIDENCE",'Margin Guidence Table'!$A$1:$AG$1,0)),INDEX('Margin Guidence Table'!$A$1:$AG$10000,MATCH(1,('Margin Guidence Table'!$A$1:$A$10000=$CP28)*('Margin Guidence Table'!$I$1:$I$10000&lt;=ROUND($CH$3,0))*('Margin Guidence Table'!$J$1:$J$10000&gt;=ROUND($CH$3,0)),0),MATCH("DEFAULT_CIA_MEDIAN_MARGIN_GUIDENCE",'Margin Guidence Table'!$A$1:$AG$1,0))),0)))</f>
        <v>0</v>
      </c>
      <c r="DA28" s="126"/>
      <c r="DB28" s="18">
        <f t="array" ref="DB28">IF('Customer Inputs'!$W$8="End",0,IFERROR(IF($DO28="SEGMENT",INDEX('Margin Guidence Table'!$A$1:$AG$10000,MATCH(1,('Margin Guidence Table'!$A$1:$A$10000=$DM28)*('Margin Guidence Table'!$I$1:$I$10000&lt;=ROUND($DE$3,0))*('Margin Guidence Table'!$J$1:$J$10000&gt;=ROUND($DE$3,0)),0),MATCH("PCT_SALES",'Margin Guidence Table'!$A$1:$AG$1,0)),INDEX('Margin Guidence Table'!$A$1:$AG$10000,MATCH(1,('Margin Guidence Table'!$A$1:$A$10000=$DM28)*('Margin Guidence Table'!$I$1:$I$10000&lt;=ROUND($DE$3,0))*('Margin Guidence Table'!$J$1:$J$10000&gt;=ROUND($DE$3,0)),0),MATCH("DEFAULT_PCT_SALES",'Margin Guidence Table'!$A$1:$AG$1,0))),0))</f>
        <v>0</v>
      </c>
      <c r="DC28" s="297" t="e">
        <f t="shared" si="36"/>
        <v>#DIV/0!</v>
      </c>
      <c r="DD28" s="99" t="s">
        <v>91</v>
      </c>
      <c r="DE28" s="91">
        <f>IF('Customer Inputs'!$W$8="End",0,IFERROR(IF(AND($DE$2&lt;&gt;"Enter Spend&gt;&gt;&gt;",$DF$2="EXISTING"),SUMIFS('Existing Customers'!$Q:$Q,'Existing Customers'!$A:$A,$DE$1,'Existing Customers'!$H:$H,$DD28)*$DE$4,$DE$3*$DC28),0))</f>
        <v>0</v>
      </c>
      <c r="DF28" s="86">
        <f>IF('Customer Inputs'!$W$8="End",0,IFERROR(IF(AND($DE$2&lt;&gt;"Enter Spend&gt;&gt;&gt;",$DF$2="EXISTING"),SUMIFS('Existing Customers'!$N:$N,'Existing Customers'!$A:$A,$DE$1,'Existing Customers'!$H:$H,$DD28)*$DE$4,$DE28/$DP28),0))</f>
        <v>0</v>
      </c>
      <c r="DG28" s="92">
        <f>IF('Customer Inputs'!$W$8="End",0,IFERROR(IF(AND($DE$2&lt;&gt;"Enter Spend&gt;&gt;&gt;",$DF$2="EXISTING"),SUMIFS('Existing Customers'!$O:$O,'Existing Customers'!$H:$H,$DD28,'Existing Customers'!$A:$A,$DE$1)*$DE$4,$DF28*$DE$8),0))</f>
        <v>0</v>
      </c>
      <c r="DH28" s="92">
        <f>IF('Customer Inputs'!$W$8="End",0,IFERROR(IF(AND($DE$2&lt;&gt;"Enter Spend&gt;&gt;&gt;",$DF$2="EXISTING"),SUMIFS('Existing Customers'!$P:$P,'Existing Customers'!$A:$A,$DE$1,'Existing Customers'!$H:$H,$DD28)*$DE$4,$DE28/$DQ28),0))</f>
        <v>0</v>
      </c>
      <c r="DI28" s="93">
        <f>IF('Customer Inputs'!$W$8="End",0,IFERROR(IF(AND($DE$2&lt;&gt;"Enter Spend&gt;&gt;&gt;",$DF$2="EXISTING"),SUMIFS('Existing Customers'!$V:$V,'Existing Customers'!$H:$H,$DD28,'Existing Customers'!$A:$A,$DE$1)*$DE$4,0),0))</f>
        <v>0</v>
      </c>
      <c r="DJ28" s="93">
        <f>IF('Customer Inputs'!$W$8="End",0,IFERROR(IF(AND($DE$2&lt;&gt;"Enter Spend&gt;&gt;&gt;",$DF$2="EXISTING"),SUMIFS('Existing Customers'!$R:$R,'Existing Customers'!$H:$H,$DD28,'Existing Customers'!$A:$A,$DE$1)*$DE$4,0),0))</f>
        <v>0</v>
      </c>
      <c r="DK28" s="780">
        <f>IF('Customer Inputs'!$W$8="End",0,IFERROR(IF(AND($DE$2&lt;&gt;"Enter Spend&gt;&gt;&gt;",$DF$2="EXISTING"),SUMIFS('Existing Customers'!$S:$S,'Existing Customers'!$H:$H,$DD28,'Existing Customers'!$A:$A,$DE$1)/SUMIFS('Existing Customers'!$Q:$Q,'Existing Customers'!$A:$A,$DE$1,'Existing Customers'!$H:$H,$DD28),DU28),0))</f>
        <v>0</v>
      </c>
      <c r="DL28" s="780">
        <f>IF('Customer Inputs'!$W$8="End",0,IFERROR(IF(AND($DE$2&lt;&gt;"Enter Spend&gt;&gt;&gt;",$DF$2="EXISTING"),SUMIFS('Existing Customers'!$U:$U,'Existing Customers'!$H:$H,$DD28,'Existing Customers'!$A:$A,$DE$1)/SUMIFS('Existing Customers'!$Q:$Q,'Existing Customers'!$A:$A,$DE$1,'Existing Customers'!$H:$H,$DD28),DV28),0))</f>
        <v>0</v>
      </c>
      <c r="DM28" s="783" t="e">
        <f>_xlfn.CONCAT('Customer Inputs'!$AH$8,"_",DD28)</f>
        <v>#N/A</v>
      </c>
      <c r="DN28" s="783">
        <f t="array" ref="DN28">IF('Customer Inputs'!$W$8="End",0,IFERROR(INDEX('Margin Guidence Table'!$A$1:$AG$10000,MATCH(1,('Margin Guidence Table'!$A$1:$A$10000=DM28)*('Margin Guidence Table'!$I$1:$I$10000&lt;=ROUND($DE$3,0))*('Margin Guidence Table'!$J$1:$J$10000&gt;=ROUND($DE$3,0)),0),MATCH("DATA_POINTS",'Margin Guidence Table'!$A$1:$AG$1,0)),0))</f>
        <v>0</v>
      </c>
      <c r="DO28" s="780" t="str">
        <f t="shared" si="37"/>
        <v>DEFAULT</v>
      </c>
      <c r="DP28" s="780">
        <f t="array" ref="DP28">IF('Customer Inputs'!$W$8="End",0,IFERROR(IF($DO28="SEGMENT",INDEX('Margin Guidence Table'!$A$1:$AG$10000,MATCH(1,('Margin Guidence Table'!$A$1:$A$10000=DM28)*('Margin Guidence Table'!$I$1:$I$10000&lt;=ROUND($DE$3,0))*('Margin Guidence Table'!$J$1:$J$10000&gt;=ROUND($DE$3,0)),0),MATCH("SALES_CASE",'Margin Guidence Table'!$A$1:$AG$1,0)),INDEX('Margin Guidence Table'!$A$1:$AG$10000,MATCH(1,('Margin Guidence Table'!$A$1:$A$10000=DM28)*('Margin Guidence Table'!$I$1:$I$10000&lt;=ROUND($DE$3,0))*('Margin Guidence Table'!$J$1:$J$10000&gt;=ROUND($DE$3,0)),0),MATCH("DEFAULT_SALES_CASE",'Margin Guidence Table'!$A$1:$AG$1,0))),0))</f>
        <v>0</v>
      </c>
      <c r="DQ28" s="780">
        <f t="array" ref="DQ28">IF('Customer Inputs'!$W$8="End",0,IFERROR(IF($DO28="SEGMENT",INDEX('Margin Guidence Table'!$A$1:$AG$10000,MATCH(1,('Margin Guidence Table'!$A$1:$A$10000=DM28)*('Margin Guidence Table'!$I$1:$I$10000&lt;=ROUND($DE$3,0))*('Margin Guidence Table'!$J$1:$J$10000&gt;=ROUND($DE$3,0)),0),MATCH("SALES_LBS",'Margin Guidence Table'!$A$1:$AG$1,0)),INDEX('Margin Guidence Table'!$A$1:$AG$10000,MATCH(1,('Margin Guidence Table'!$A$1:$A$10000=DM28)*('Margin Guidence Table'!$I$1:$I$10000&lt;=ROUND($DE$3,0))*('Margin Guidence Table'!$J$1:$J$10000&gt;=ROUND($DE$3,0)),0),MATCH("DEFAULT_SALES_LBS",'Margin Guidence Table'!$A$1:$AG$1,0))),0))</f>
        <v>0</v>
      </c>
      <c r="DR28" s="784">
        <f t="array" ref="DR28">IF('Customer Inputs'!$W$8="End",0,IFERROR(IF($DO28="SEGMENT",INDEX('Margin Guidence Table'!$A$1:$AG$10000,MATCH(1,('Margin Guidence Table'!$A$1:$A$10000=DM28)*('Margin Guidence Table'!$I$1:$I$10000&lt;=ROUND($DE$3,0))*('Margin Guidence Table'!$J$1:$J$10000&gt;=ROUND($DE$3,0)),0),MATCH("MDA_MIN_MARGIN_GUIDENCE",'Margin Guidence Table'!$A$1:$AG$1,0)),INDEX('Margin Guidence Table'!$A$1:$AG$10000,MATCH(1,('Margin Guidence Table'!$A$1:$A$10000=DM28)*('Margin Guidence Table'!$I$1:$I$10000&lt;=ROUND($DE$3,0))*('Margin Guidence Table'!$J$1:$J$10000&gt;=ROUND($DE$3,0)),0),MATCH("DEFAULT_MDA_MIN_MARGIN_GUIDENCE",'Margin Guidence Table'!$A$1:$AG$1,0))),0))</f>
        <v>0</v>
      </c>
      <c r="DS28" s="784">
        <f t="array" ref="DS28">IF('Customer Inputs'!$W$8="End",0,IFERROR(IF($DO28="SEGMENT",INDEX('Margin Guidence Table'!$A$1:$AG$10000,MATCH(1,('Margin Guidence Table'!$A$1:$A$10000=DM28)*('Margin Guidence Table'!$I$1:$I$10000&lt;=ROUND($DE$3,0))*('Margin Guidence Table'!$J$1:$J$10000&gt;=ROUND($DE$3,0)),0),MATCH("MDA_MEDIAN_MARGIN_GUIDENCE",'Margin Guidence Table'!$A$1:$AG$1,0)),INDEX('Margin Guidence Table'!$A$1:$AG$10000,MATCH(1,('Margin Guidence Table'!$A$1:$A$10000=DM28)*('Margin Guidence Table'!$I$1:$I$10000&lt;=ROUND($DE$3,0))*('Margin Guidence Table'!$J$1:$J$10000&gt;=ROUND($DE$3,0)),0),MATCH("DEFAULT_MDA_MEDIAN_MARGIN_GUIDENCE",'Margin Guidence Table'!$A$1:$AG$1,0))),0))</f>
        <v>0</v>
      </c>
      <c r="DT28" s="784">
        <f t="array" ref="DT28">IF('Customer Inputs'!$W$8="End",0,IFERROR(IF($DO28="SEGMENT",INDEX('Margin Guidence Table'!$A$1:$AG$10000,MATCH(1,('Margin Guidence Table'!$A$1:$A$10000=DM28)*('Margin Guidence Table'!$I$1:$I$10000&lt;=ROUND($DE$3,0))*('Margin Guidence Table'!$J$1:$J$10000&gt;=ROUND($DE$3,0)),0),MATCH("MDA_MAX_MARGIN_GUIDENCE",'Margin Guidence Table'!$A$1:$AG$1,0)),INDEX('Margin Guidence Table'!$A$1:$AG$10000,MATCH(1,('Margin Guidence Table'!$A$1:$A$10000=DM28)*('Margin Guidence Table'!$I$1:$I$10000&lt;=ROUND($DE$3,0))*('Margin Guidence Table'!$J$1:$J$10000&gt;=ROUND($DE$3,0)),0),MATCH("DEFAULT_MDA_MAX_MARGIN_GUIDENCE",'Margin Guidence Table'!$A$1:$AG$1,0))),0))</f>
        <v>0</v>
      </c>
      <c r="DU28" s="784">
        <f t="array" ref="DU28">IF('Customer Inputs'!$W$8="End",0,IFERROR(IF($DO28="SEGMENT",INDEX('Margin Guidence Table'!$A$1:$AG$10000,MATCH(1,('Margin Guidence Table'!$A$1:$A$10000=DM28)*('Margin Guidence Table'!$I$1:$I$10000&lt;=ROUND($DE$3,0))*('Margin Guidence Table'!$J$1:$J$10000&gt;=ROUND($DE$3,0)),0),MATCH("PA_PCT_SALES",'Margin Guidence Table'!$A$1:$AG$1,0)),INDEX('Margin Guidence Table'!$A$1:$AG$10000,MATCH(1,('Margin Guidence Table'!$A$1:$A$10000=DM28)*('Margin Guidence Table'!$I$1:$I$10000&lt;=ROUND($DE$3,0))*('Margin Guidence Table'!$J$1:$J$10000&gt;=ROUND($DE$3,0)),0),MATCH("DEFAULT_PA_PCT_SALES",'Margin Guidence Table'!$A$1:$AG$1,0))),0))</f>
        <v>0</v>
      </c>
      <c r="DV28" s="784">
        <f t="array" ref="DV28">IF('Customer Inputs'!$W$8="End",0,IFERROR(IF($DO28="SEGMENT",INDEX('Margin Guidence Table'!$A$1:$AG$10000,MATCH(1,('Margin Guidence Table'!$A$1:$A$10000=DM28)*('Margin Guidence Table'!$I$1:$I$10000&lt;=ROUND($DE$3,0))*('Margin Guidence Table'!$J$1:$J$10000&gt;=ROUND($DE$3,0)),0),MATCH("SELF_FUND_PCT_SALES",'Margin Guidence Table'!$A$1:$AG$1,0)),INDEX('Margin Guidence Table'!$A$1:$AG$10000,MATCH(1,('Margin Guidence Table'!$A$1:$A$10000=DM28)*('Margin Guidence Table'!$I$1:$I$10000&lt;=ROUND($DE$3,0))*('Margin Guidence Table'!$J$1:$J$10000&gt;=ROUND($DE$3,0)),0),MATCH("DEFAULT_SELF_FUND_PCT_SALES",'Margin Guidence Table'!$A$1:$AG$1,0))),0))</f>
        <v>0</v>
      </c>
      <c r="DW28" s="784">
        <f t="array" ref="DW28">IF('Customer Inputs'!$W$8="End",0,IF($DF$2="Existing",IFERROR(SUMIFS('Existing Customers'!$V:$V,'Existing Customers'!$H:$H,$DD28,'Existing Customers'!$A:$A,$DE$1)/SUMIFS('Existing Customers'!$Q:$Q,'Existing Customers'!$H:$H,$DD28,'Existing Customers'!$A:$A,$DE$1),0),IFERROR(IF($DO28="SEGMENT",INDEX('Margin Guidence Table'!$A$1:$AG$10000,MATCH(1,('Margin Guidence Table'!$A$1:$A$10000=DM28)*('Margin Guidence Table'!$I$1:$I$10000&lt;=ROUND($DE$3,0))*('Margin Guidence Table'!$J$1:$J$10000&gt;=ROUND($DE$3,0)),0),MATCH("CIA_MEDIAN_MARGIN_GUIDENCE",'Margin Guidence Table'!$A$1:$AG$1,0)),INDEX('Margin Guidence Table'!$A$1:$AG$10000,MATCH(1,('Margin Guidence Table'!$A$1:$A$10000=DM28)*('Margin Guidence Table'!$I$1:$I$10000&lt;=ROUND($DE$3,0))*('Margin Guidence Table'!$J$1:$J$10000&gt;=ROUND($DE$3,0)),0),MATCH("DEFAULT_CIA_MEDIAN_MARGIN_GUIDENCE",'Margin Guidence Table'!$A$1:$AG$1,0))),0)))</f>
        <v>0</v>
      </c>
      <c r="DX28" s="126"/>
      <c r="DY28" s="18">
        <f t="array" ref="DY28">IF('Customer Inputs'!$W$9="End",0,IFERROR(IF($EL28="SEGMENT",INDEX('Margin Guidence Table'!$A$1:$AG$10000,MATCH(1,('Margin Guidence Table'!$A$1:$A$10000=$EJ28)*('Margin Guidence Table'!$I$1:$I$10000&lt;=ROUND($EB$3,0))*('Margin Guidence Table'!$J$1:$J$10000&gt;=ROUND($EB$3,0)),0),MATCH("PCT_SALES",'Margin Guidence Table'!$A$1:$AG$1,0)),INDEX('Margin Guidence Table'!$A$1:$AG$10000,MATCH(1,('Margin Guidence Table'!$A$1:$A$10000=$EJ28)*('Margin Guidence Table'!$I$1:$I$10000&lt;=ROUND($EB$3,0))*('Margin Guidence Table'!$J$1:$J$10000&gt;=ROUND($EB$3,0)),0),MATCH("DEFAULT_PCT_SALES",'Margin Guidence Table'!$A$1:$AG$1,0))),0))</f>
        <v>0</v>
      </c>
      <c r="DZ28" s="297" t="e">
        <f t="shared" si="38"/>
        <v>#DIV/0!</v>
      </c>
      <c r="EA28" s="99" t="s">
        <v>91</v>
      </c>
      <c r="EB28" s="91">
        <f>IF('Customer Inputs'!$W$9="End",0,IFERROR(IF(AND($EB$2&lt;&gt;"Enter Spend&gt;&gt;&gt;",$EC$2="EXISTING"),SUMIFS('Existing Customers'!$Q:$Q,'Existing Customers'!$A:$A,$EB$1,'Existing Customers'!$H:$H,$EA28)*$EB$4,$EB$3*$DZ28),0))</f>
        <v>0</v>
      </c>
      <c r="EC28" s="86">
        <f>IF('Customer Inputs'!$W$9="End",0,IFERROR(IF(AND($EB$2&lt;&gt;"Enter Spend&gt;&gt;&gt;",$EC$2="EXISTING"),SUMIFS('Existing Customers'!$N:$N,'Existing Customers'!$A:$A,$EB$1,'Existing Customers'!$H:$H,$EA28)*$EB$4,$EB28/$EM28),0))</f>
        <v>0</v>
      </c>
      <c r="ED28" s="92">
        <f>IF('Customer Inputs'!$W$9="End",0,IFERROR(IF(AND($EB$2&lt;&gt;"Enter Spend&gt;&gt;&gt;",$EC$2="EXISTING"),SUMIFS('Existing Customers'!$O:$O,'Existing Customers'!$H:$H,$EA28,'Existing Customers'!$A:$A,$EB$1)*$EB$4,$EC28*$EB$8),0))</f>
        <v>0</v>
      </c>
      <c r="EE28" s="92">
        <f>IF('Customer Inputs'!$W$9="End",0,IFERROR(IF(AND($EB$2&lt;&gt;"Enter Spend&gt;&gt;&gt;",$EC$2="EXISTING"),SUMIFS('Existing Customers'!$P:$P,'Existing Customers'!$A:$A,$EB$1,'Existing Customers'!$H:$H,$EA28)*$EB$4,$EB28/$EN28),0))</f>
        <v>0</v>
      </c>
      <c r="EF28" s="93">
        <f>IF('Customer Inputs'!$W$9="End",0,IFERROR(IF(AND($EB$2&lt;&gt;"Enter Spend&gt;&gt;&gt;",$EC$2="EXISTING"),SUMIFS('Existing Customers'!$V:$V,'Existing Customers'!$H:$H,$EA28,'Existing Customers'!$A:$A,$EB$1)*$EB$4,0),0))</f>
        <v>0</v>
      </c>
      <c r="EG28" s="93">
        <f>IF('Customer Inputs'!$W$9="End",0,IFERROR(IF(AND($EB$2&lt;&gt;"Enter Spend&gt;&gt;&gt;",$EC$2="EXISTING"),SUMIFS('Existing Customers'!$R:$R,'Existing Customers'!$H:$H,$EA28,'Existing Customers'!$A:$A,$EB$1)*$EB$4,0),0))</f>
        <v>0</v>
      </c>
      <c r="EH28" s="780">
        <f>IF('Customer Inputs'!$W$9="End",0,IFERROR(IF(AND($EB$2&lt;&gt;"Enter Spend&gt;&gt;&gt;",$EC$2="EXISTING"),SUMIFS('Existing Customers'!$S:$S,'Existing Customers'!$H:$H,$EA28,'Existing Customers'!$A:$A,$EB$1)/SUMIFS('Existing Customers'!$Q:$Q,'Existing Customers'!$A:$A,$EB$1,'Existing Customers'!$H:$H,$EA28),ER28),0))</f>
        <v>0</v>
      </c>
      <c r="EI28" s="780">
        <f>IF('Customer Inputs'!$W$9="End",0,IFERROR(IF(AND($EB$2&lt;&gt;"Enter Spend&gt;&gt;&gt;",$EC$2="EXISTING"),SUMIFS('Existing Customers'!$U:$U,'Existing Customers'!$H:$H,$EA28,'Existing Customers'!$A:$A,$EB$1)/SUMIFS('Existing Customers'!$Q:$Q,'Existing Customers'!$A:$A,$EB$1,'Existing Customers'!$H:$H,$EA28),ES28),0))</f>
        <v>0</v>
      </c>
      <c r="EJ28" s="783" t="e">
        <f>_xlfn.CONCAT('Customer Inputs'!$AH$9,"_",EA28)</f>
        <v>#N/A</v>
      </c>
      <c r="EK28" s="783">
        <f t="array" ref="EK28">IF('Customer Inputs'!$W$9="End",0,IFERROR(INDEX('Margin Guidence Table'!$A$1:$AG$10000,MATCH(1,('Margin Guidence Table'!$A$1:$A$10000=EJ28)*('Margin Guidence Table'!$I$1:$I$10000&lt;=ROUND($EB$3,0))*('Margin Guidence Table'!$J$1:$J$10000&gt;=ROUND($EB$3,0)),0),MATCH("DATA_POINTS",'Margin Guidence Table'!$A$1:$AG$1,0)),0))</f>
        <v>0</v>
      </c>
      <c r="EL28" s="780" t="str">
        <f t="shared" si="39"/>
        <v>DEFAULT</v>
      </c>
      <c r="EM28" s="780">
        <f t="array" ref="EM28">IF('Customer Inputs'!$W$9="End",0,IFERROR(IF($EL28="SEGMENT",INDEX('Margin Guidence Table'!$A$1:$AG$10000,MATCH(1,('Margin Guidence Table'!$A$1:$A$10000=EJ28)*('Margin Guidence Table'!$I$1:$I$10000&lt;=ROUND($EB$3,0))*('Margin Guidence Table'!$J$1:$J$10000&gt;=ROUND($EB$3,0)),0),MATCH("SALES_CASE",'Margin Guidence Table'!$A$1:$AG$1,0)),INDEX('Margin Guidence Table'!$A$1:$AG$10000,MATCH(1,('Margin Guidence Table'!$A$1:$A$10000=EJ28)*('Margin Guidence Table'!$I$1:$I$10000&lt;=ROUND($EB$3,0))*('Margin Guidence Table'!$J$1:$J$10000&gt;=ROUND($EB$3,0)),0),MATCH("DEFAULT_SALES_CASE",'Margin Guidence Table'!$A$1:$AG$1,0))),0))</f>
        <v>0</v>
      </c>
      <c r="EN28" s="780">
        <f t="array" ref="EN28">IF('Customer Inputs'!$W$9="End",0,IFERROR(IF($EL28="SEGMENT",INDEX('Margin Guidence Table'!$A$1:$AG$10000,MATCH(1,('Margin Guidence Table'!$A$1:$A$10000=EJ28)*('Margin Guidence Table'!$I$1:$I$10000&lt;=ROUND($EB$3,0))*('Margin Guidence Table'!$J$1:$J$10000&gt;=ROUND($EB$3,0)),0),MATCH("SALES_LBS",'Margin Guidence Table'!$A$1:$AG$1,0)),INDEX('Margin Guidence Table'!$A$1:$AG$10000,MATCH(1,('Margin Guidence Table'!$A$1:$A$10000=EJ28)*('Margin Guidence Table'!$I$1:$I$10000&lt;=ROUND($EB$3,0))*('Margin Guidence Table'!$J$1:$J$10000&gt;=ROUND($EB$3,0)),0),MATCH("DEFAULT_SALES_LBS",'Margin Guidence Table'!$A$1:$AG$1,0))),0))</f>
        <v>0</v>
      </c>
      <c r="EO28" s="784">
        <f t="array" ref="EO28">IF('Customer Inputs'!$W$9="End",0,IFERROR(IF($EL28="SEGMENT",INDEX('Margin Guidence Table'!$A$1:$AG$10000,MATCH(1,('Margin Guidence Table'!$A$1:$A$10000=EJ28)*('Margin Guidence Table'!$I$1:$I$10000&lt;=ROUND($EB$3,0))*('Margin Guidence Table'!$J$1:$J$10000&gt;=ROUND($EB$3,0)),0),MATCH("MDA_MIN_MARGIN_GUIDENCE",'Margin Guidence Table'!$A$1:$AG$1,0)),INDEX('Margin Guidence Table'!$A$1:$AG$10000,MATCH(1,('Margin Guidence Table'!$A$1:$A$10000=EJ28)*('Margin Guidence Table'!$I$1:$I$10000&lt;=ROUND($EB$3,0))*('Margin Guidence Table'!$J$1:$J$10000&gt;=ROUND($EB$3,0)),0),MATCH("DEFAULT_MDA_MIN_MARGIN_GUIDENCE",'Margin Guidence Table'!$A$1:$AG$1,0))),0))</f>
        <v>0</v>
      </c>
      <c r="EP28" s="784">
        <f t="array" ref="EP28">IF('Customer Inputs'!$W$9="End",0,IFERROR(IF($EL28="SEGMENT",INDEX('Margin Guidence Table'!$A$1:$AG$10000,MATCH(1,('Margin Guidence Table'!$A$1:$A$10000=EJ28)*('Margin Guidence Table'!$I$1:$I$10000&lt;=ROUND($EB$3,0))*('Margin Guidence Table'!$J$1:$J$10000&gt;=ROUND($EB$3,0)),0),MATCH("MDA_MEDIAN_MARGIN_GUIDENCE",'Margin Guidence Table'!$A$1:$AG$1,0)),INDEX('Margin Guidence Table'!$A$1:$AG$10000,MATCH(1,('Margin Guidence Table'!$A$1:$A$10000=EJ28)*('Margin Guidence Table'!$I$1:$I$10000&lt;=ROUND($EB$3,0))*('Margin Guidence Table'!$J$1:$J$10000&gt;=ROUND($EB$3,0)),0),MATCH("DEFAULT_MDA_MEDIAN_MARGIN_GUIDENCE",'Margin Guidence Table'!$A$1:$AG$1,0))),0))</f>
        <v>0</v>
      </c>
      <c r="EQ28" s="784">
        <f t="array" ref="EQ28">IF('Customer Inputs'!$W$9="End",0,IFERROR(IF($EL28="SEGMENT",INDEX('Margin Guidence Table'!$A$1:$AG$10000,MATCH(1,('Margin Guidence Table'!$A$1:$A$10000=EJ28)*('Margin Guidence Table'!$I$1:$I$10000&lt;=ROUND($EB$3,0))*('Margin Guidence Table'!$J$1:$J$10000&gt;=ROUND($EB$3,0)),0),MATCH("MDA_MAX_MARGIN_GUIDENCE",'Margin Guidence Table'!$A$1:$AG$1,0)),INDEX('Margin Guidence Table'!$A$1:$AG$10000,MATCH(1,('Margin Guidence Table'!$A$1:$A$10000=EJ28)*('Margin Guidence Table'!$I$1:$I$10000&lt;=ROUND($EB$3,0))*('Margin Guidence Table'!$J$1:$J$10000&gt;=ROUND($EB$3,0)),0),MATCH("DEFAULT_MDA_MAX_MARGIN_GUIDENCE",'Margin Guidence Table'!$A$1:$AG$1,0))),0))</f>
        <v>0</v>
      </c>
      <c r="ER28" s="784">
        <f t="array" ref="ER28">IF('Customer Inputs'!$W$9="End",0,IFERROR(IF($EL28="SEGMENT",INDEX('Margin Guidence Table'!$A$1:$AG$10000,MATCH(1,('Margin Guidence Table'!$A$1:$A$10000=EJ28)*('Margin Guidence Table'!$I$1:$I$10000&lt;=ROUND($EB$3,0))*('Margin Guidence Table'!$J$1:$J$10000&gt;=ROUND($EB$3,0)),0),MATCH("PA_PCT_SALES",'Margin Guidence Table'!$A$1:$AG$1,0)),INDEX('Margin Guidence Table'!$A$1:$AG$10000,MATCH(1,('Margin Guidence Table'!$A$1:$A$10000=EJ28)*('Margin Guidence Table'!$I$1:$I$10000&lt;=ROUND($EB$3,0))*('Margin Guidence Table'!$J$1:$J$10000&gt;=ROUND($EB$3,0)),0),MATCH("DEFAULT_PA_PCT_SALES",'Margin Guidence Table'!$A$1:$AG$1,0))),0))</f>
        <v>0</v>
      </c>
      <c r="ES28" s="784">
        <f t="array" ref="ES28">IF('Customer Inputs'!$W$9="End",0,IFERROR(IF($EL28="SEGMENT",INDEX('Margin Guidence Table'!$A$1:$AG$10000,MATCH(1,('Margin Guidence Table'!$A$1:$A$10000=EJ28)*('Margin Guidence Table'!$I$1:$I$10000&lt;=ROUND($EB$3,0))*('Margin Guidence Table'!$J$1:$J$10000&gt;=ROUND($EB$3,0)),0),MATCH("SELF_FUND_PCT_SALES",'Margin Guidence Table'!$A$1:$AG$1,0)),INDEX('Margin Guidence Table'!$A$1:$AG$10000,MATCH(1,('Margin Guidence Table'!$A$1:$A$10000=EJ28)*('Margin Guidence Table'!$I$1:$I$10000&lt;=ROUND($EB$3,0))*('Margin Guidence Table'!$J$1:$J$10000&gt;=ROUND($EB$3,0)),0),MATCH("DEFAULT_SELF_FUND_PCT_SALES",'Margin Guidence Table'!$A$1:$AG$1,0))),0))</f>
        <v>0</v>
      </c>
      <c r="ET28" s="784">
        <f t="array" ref="ET28">IF('Customer Inputs'!$W$9="End",0,IF($EC$2="Existing",IFERROR(SUMIFS('Existing Customers'!$V:$V,'Existing Customers'!$H:$H,$EA28,'Existing Customers'!$A:$A,$EB$1)/SUMIFS('Existing Customers'!$Q:$Q,'Existing Customers'!$H:$H,$EA28,'Existing Customers'!$A:$A,$EB$1),0),IFERROR(IF($EL28="SEGMENT",INDEX('Margin Guidence Table'!$A$1:$AG$10000,MATCH(1,('Margin Guidence Table'!$A$1:$A$10000=EJ28)*('Margin Guidence Table'!$I$1:$I$10000&lt;=ROUND($EB$3,0))*('Margin Guidence Table'!$J$1:$J$10000&gt;=ROUND($EB$3,0)),0),MATCH("CIA_MEDIAN_MARGIN_GUIDENCE",'Margin Guidence Table'!$A$1:$AG$1,0)),INDEX('Margin Guidence Table'!$A$1:$AG$10000,MATCH(1,('Margin Guidence Table'!$A$1:$A$10000=EJ28)*('Margin Guidence Table'!$I$1:$I$10000&lt;=ROUND($EB$3,0))*('Margin Guidence Table'!$J$1:$J$10000&gt;=ROUND($EB$3,0)),0),MATCH("DEFAULT_CIA_MEDIAN_MARGIN_GUIDENCE",'Margin Guidence Table'!$A$1:$AG$1,0))),0)))</f>
        <v>0</v>
      </c>
      <c r="EU28" s="126"/>
      <c r="EV28" s="18">
        <f t="array" ref="EV28">IF('Customer Inputs'!$W$10="End",0,IFERROR(IF($FI28="SEGMENT",INDEX('Margin Guidence Table'!$A$1:$AG$10000,MATCH(1,('Margin Guidence Table'!$A$1:$A$10000=$FG28)*('Margin Guidence Table'!$I$1:$I$10000&lt;=ROUND($EY$3,0))*('Margin Guidence Table'!$J$1:$J$10000&gt;=ROUND($EY$3,0)),0),MATCH("PCT_SALES",'Margin Guidence Table'!$A$1:$AG$1,0)),INDEX('Margin Guidence Table'!$A$1:$AG$10000,MATCH(1,('Margin Guidence Table'!$A$1:$A$10000=$FG28)*('Margin Guidence Table'!$I$1:$I$10000&lt;=ROUND($EY$3,0))*('Margin Guidence Table'!$J$1:$J$10000&gt;=ROUND($EY$3,0)),0),MATCH("DEFAULT_PCT_SALES",'Margin Guidence Table'!$A$1:$AG$1,0))),0))</f>
        <v>0</v>
      </c>
      <c r="EW28" s="297" t="e">
        <f t="shared" si="40"/>
        <v>#DIV/0!</v>
      </c>
      <c r="EX28" s="99" t="s">
        <v>91</v>
      </c>
      <c r="EY28" s="91">
        <f>IF('Customer Inputs'!$W$10="End",0,IFERROR(IF(AND($EY$2&lt;&gt;"Enter Spend&gt;&gt;&gt;",$EZ$2="EXISTING"),SUMIFS('Existing Customers'!$Q:$Q,'Existing Customers'!$A:$A,$EY$1,'Existing Customers'!$H:$H,$EX28)*$EY$4,$EY$3*$EW28),0))</f>
        <v>0</v>
      </c>
      <c r="EZ28" s="86">
        <f>IF('Customer Inputs'!$W$10="End",0,IFERROR(IF(AND($EY$2&lt;&gt;"Enter Spend&gt;&gt;&gt;",$EZ$2="EXISTING"),SUMIFS('Existing Customers'!$N:$N,'Existing Customers'!$A:$A,$EY$1,'Existing Customers'!$H:$H,$EX28)*$EY$4,$EY28/$FJ28),0))</f>
        <v>0</v>
      </c>
      <c r="FA28" s="92">
        <f>IF('Customer Inputs'!$W$10="End",0,IFERROR(IF(AND($EY$2&lt;&gt;"Enter Spend&gt;&gt;&gt;",$EZ$2="EXISTING"),SUMIFS('Existing Customers'!$O:$O,'Existing Customers'!$H:$H,$EX28,'Existing Customers'!$A:$A,$EY$1)*$EY$4,$EZ28*$EY$8),0))</f>
        <v>0</v>
      </c>
      <c r="FB28" s="92">
        <f>IF('Customer Inputs'!$W$10="End",0,IFERROR(IF(AND($EY$2&lt;&gt;"Enter Spend&gt;&gt;&gt;",$EZ$2="EXISTING"),SUMIFS('Existing Customers'!$P:$P,'Existing Customers'!$A:$A,$EY$1,'Existing Customers'!$H:$H,$EX28)*$EY$4,$EY28/$FK28),0))</f>
        <v>0</v>
      </c>
      <c r="FC28" s="93">
        <f>IF('Customer Inputs'!$W$10="End",0,IFERROR(IF(AND($EY$2&lt;&gt;"Enter Spend&gt;&gt;&gt;",$EZ$2="EXISTING"),SUMIFS('Existing Customers'!$V:$V,'Existing Customers'!$H:$H,$EX28,'Existing Customers'!$A:$A,$EY$1)*$EY$4,0),0))</f>
        <v>0</v>
      </c>
      <c r="FD28" s="93">
        <f>IF('Customer Inputs'!$W$10="End",0,IFERROR(IF(AND($EY$2&lt;&gt;"Enter Spend&gt;&gt;&gt;",$EZ$2="EXISTING"),SUMIFS('Existing Customers'!$R:$R,'Existing Customers'!$H:$H,$EX28,'Existing Customers'!$A:$A,$EY$1)*$EY$4,0),0))</f>
        <v>0</v>
      </c>
      <c r="FE28" s="780">
        <f>IF('Customer Inputs'!$W$10="End",0,IFERROR(IF(AND($EY$2&lt;&gt;"Enter Spend&gt;&gt;&gt;",$EZ$2="EXISTING"),SUMIFS('Existing Customers'!$S:$S,'Existing Customers'!$H:$H,$EX28,'Existing Customers'!$A:$A,$EY$1)/SUMIFS('Existing Customers'!$Q:$Q,'Existing Customers'!$A:$A,$EY$1,'Existing Customers'!$H:$H,$EX28),FO28),0))</f>
        <v>0</v>
      </c>
      <c r="FF28" s="780">
        <f>IF('Customer Inputs'!$W$10="End",0,IFERROR(IF(AND($EY$2&lt;&gt;"Enter Spend&gt;&gt;&gt;",$EZ$2="EXISTING"),SUMIFS('Existing Customers'!$U:$U,'Existing Customers'!$H:$H,$EX28,'Existing Customers'!$A:$A,$EY$1)/SUMIFS('Existing Customers'!$Q:$Q,'Existing Customers'!$A:$A,$EY$1,'Existing Customers'!$H:$H,$EX28),FP28),0))</f>
        <v>0</v>
      </c>
      <c r="FG28" s="783" t="e">
        <f>_xlfn.CONCAT('Customer Inputs'!$AH$10,"_",EX28)</f>
        <v>#N/A</v>
      </c>
      <c r="FH28" s="783">
        <f t="array" ref="FH28">IF('Customer Inputs'!$W$10="End",0,IFERROR(INDEX('Margin Guidence Table'!$A$1:$AG$10000,MATCH(1,('Margin Guidence Table'!$A$1:$A$10000=FG28)*('Margin Guidence Table'!$I$1:$I$10000&lt;=ROUND($EY$3,0))*('Margin Guidence Table'!$J$1:$J$10000&gt;=ROUND($EY$3,0)),0),MATCH("DATA_POINTS",'Margin Guidence Table'!$A$1:$AG$1,0)),0))</f>
        <v>0</v>
      </c>
      <c r="FI28" s="780" t="str">
        <f t="shared" si="41"/>
        <v>DEFAULT</v>
      </c>
      <c r="FJ28" s="780">
        <f t="array" ref="FJ28">IF('Customer Inputs'!$W$10="End",0,IFERROR(IF($FI28="SEGMENT",INDEX('Margin Guidence Table'!$A$1:$AG$10000,MATCH(1,('Margin Guidence Table'!$A$1:$A$10000=FG28)*('Margin Guidence Table'!$I$1:$I$10000&lt;=ROUND($EY$3,0))*('Margin Guidence Table'!$J$1:$J$10000&gt;=ROUND($EY$3,0)),0),MATCH("SALES_CASE",'Margin Guidence Table'!$A$1:$AG$1,0)),INDEX('Margin Guidence Table'!$A$1:$AG$10000,MATCH(1,('Margin Guidence Table'!$A$1:$A$10000=FG28)*('Margin Guidence Table'!$I$1:$I$10000&lt;=ROUND($EY$3,0))*('Margin Guidence Table'!$J$1:$J$10000&gt;=ROUND($EY$3,0)),0),MATCH("DEFAULT_SALES_CASE",'Margin Guidence Table'!$A$1:$AG$1,0))),0))</f>
        <v>0</v>
      </c>
      <c r="FK28" s="780">
        <f t="array" ref="FK28">IF('Customer Inputs'!$W$10="End",0,IFERROR(IF($FI28="SEGMENT",INDEX('Margin Guidence Table'!$A$1:$AG$10000,MATCH(1,('Margin Guidence Table'!$A$1:$A$10000=FG28)*('Margin Guidence Table'!$I$1:$I$10000&lt;=ROUND($EY$3,0))*('Margin Guidence Table'!$J$1:$J$10000&gt;=ROUND($EY$3,0)),0),MATCH("SALES_LBS",'Margin Guidence Table'!$A$1:$AG$1,0)),INDEX('Margin Guidence Table'!$A$1:$AG$10000,MATCH(1,('Margin Guidence Table'!$A$1:$A$10000=FG28)*('Margin Guidence Table'!$I$1:$I$10000&lt;=ROUND($EY$3,0))*('Margin Guidence Table'!$J$1:$J$10000&gt;=ROUND($EY$3,0)),0),MATCH("DEFAULT_SALES_LBS",'Margin Guidence Table'!$A$1:$AG$1,0))),0))</f>
        <v>0</v>
      </c>
      <c r="FL28" s="784">
        <f t="array" ref="FL28">IF('Customer Inputs'!$W$10="End",0,IFERROR(IF($FI28="SEGMENT",INDEX('Margin Guidence Table'!$A$1:$AG$10000,MATCH(1,('Margin Guidence Table'!$A$1:$A$10000=FG28)*('Margin Guidence Table'!$I$1:$I$10000&lt;=ROUND($EY$3,0))*('Margin Guidence Table'!$J$1:$J$10000&gt;=ROUND($EY$3,0)),0),MATCH("MDA_MIN_MARGIN_GUIDENCE",'Margin Guidence Table'!$A$1:$AG$1,0)),INDEX('Margin Guidence Table'!$A$1:$AG$10000,MATCH(1,('Margin Guidence Table'!$A$1:$A$10000=FG28)*('Margin Guidence Table'!$I$1:$I$10000&lt;=ROUND($EY$3,0))*('Margin Guidence Table'!$J$1:$J$10000&gt;=ROUND($EY$3,0)),0),MATCH("DEFAULT_MDA_MIN_MARGIN_GUIDENCE",'Margin Guidence Table'!$A$1:$AG$1,0))),0))</f>
        <v>0</v>
      </c>
      <c r="FM28" s="784">
        <f t="array" ref="FM28">IF('Customer Inputs'!$W$10="End",0,IFERROR(IF($FI28="SEGMENT",INDEX('Margin Guidence Table'!$A$1:$AG$10000,MATCH(1,('Margin Guidence Table'!$A$1:$A$10000=FG28)*('Margin Guidence Table'!$I$1:$I$10000&lt;=ROUND($EY$3,0))*('Margin Guidence Table'!$J$1:$J$10000&gt;=ROUND($EY$3,0)),0),MATCH("MDA_MEDIAN_MARGIN_GUIDENCE",'Margin Guidence Table'!$A$1:$AG$1,0)),INDEX('Margin Guidence Table'!$A$1:$AG$10000,MATCH(1,('Margin Guidence Table'!$A$1:$A$10000=FG28)*('Margin Guidence Table'!$I$1:$I$10000&lt;=ROUND($EY$3,0))*('Margin Guidence Table'!$J$1:$J$10000&gt;=ROUND($EY$3,0)),0),MATCH("DEFAULT_MDA_MEDIAN_MARGIN_GUIDENCE",'Margin Guidence Table'!$A$1:$AG$1,0))),0))</f>
        <v>0</v>
      </c>
      <c r="FN28" s="784">
        <f t="array" ref="FN28">IF('Customer Inputs'!$W$10="End",0,IFERROR(IF($FI28="SEGMENT",INDEX('Margin Guidence Table'!$A$1:$AG$10000,MATCH(1,('Margin Guidence Table'!$A$1:$A$10000=FG28)*('Margin Guidence Table'!$I$1:$I$10000&lt;=ROUND($EY$3,0))*('Margin Guidence Table'!$J$1:$J$10000&gt;=ROUND($EY$3,0)),0),MATCH("MDA_MAX_MARGIN_GUIDENCE",'Margin Guidence Table'!$A$1:$AG$1,0)),INDEX('Margin Guidence Table'!$A$1:$AG$10000,MATCH(1,('Margin Guidence Table'!$A$1:$A$10000=FG28)*('Margin Guidence Table'!$I$1:$I$10000&lt;=ROUND($EY$3,0))*('Margin Guidence Table'!$J$1:$J$10000&gt;=ROUND($EY$3,0)),0),MATCH("DEFAULT_MDA_MAX_MARGIN_GUIDENCE",'Margin Guidence Table'!$A$1:$AG$1,0))),0))</f>
        <v>0</v>
      </c>
      <c r="FO28" s="784">
        <f t="array" ref="FO28">IF('Customer Inputs'!$W$10="End",0,IFERROR(IF($FI28="SEGMENT",INDEX('Margin Guidence Table'!$A$1:$AG$10000,MATCH(1,('Margin Guidence Table'!$A$1:$A$10000=FG28)*('Margin Guidence Table'!$I$1:$I$10000&lt;=ROUND($EY$3,0))*('Margin Guidence Table'!$J$1:$J$10000&gt;=ROUND($EY$3,0)),0),MATCH("PA_PCT_SALES",'Margin Guidence Table'!$A$1:$AG$1,0)),INDEX('Margin Guidence Table'!$A$1:$AG$10000,MATCH(1,('Margin Guidence Table'!$A$1:$A$10000=FG28)*('Margin Guidence Table'!$I$1:$I$10000&lt;=ROUND($EY$3,0))*('Margin Guidence Table'!$J$1:$J$10000&gt;=ROUND($EY$3,0)),0),MATCH("DEFAULT_PA_PCT_SALES",'Margin Guidence Table'!$A$1:$AG$1,0))),0))</f>
        <v>0</v>
      </c>
      <c r="FP28" s="784">
        <f t="array" ref="FP28">IF('Customer Inputs'!$W$10="End",0,IFERROR(IF($FI28="SEGMENT",INDEX('Margin Guidence Table'!$A$1:$AG$10000,MATCH(1,('Margin Guidence Table'!$A$1:$A$10000=FG28)*('Margin Guidence Table'!$I$1:$I$10000&lt;=ROUND($EY$3,0))*('Margin Guidence Table'!$J$1:$J$10000&gt;=ROUND($EY$3,0)),0),MATCH("SELF_FUND_PCT_SALES",'Margin Guidence Table'!$A$1:$AG$1,0)),INDEX('Margin Guidence Table'!$A$1:$AG$10000,MATCH(1,('Margin Guidence Table'!$A$1:$A$10000=FG28)*('Margin Guidence Table'!$I$1:$I$10000&lt;=ROUND($EY$3,0))*('Margin Guidence Table'!$J$1:$J$10000&gt;=ROUND($EY$3,0)),0),MATCH("DEFAULT_SELF_FUND_PCT_SALES",'Margin Guidence Table'!$A$1:$AG$1,0))),0))</f>
        <v>0</v>
      </c>
      <c r="FQ28" s="784">
        <f t="array" ref="FQ28">IF('Customer Inputs'!$W$10="End",0,IF($EZ$2="Existing",IFERROR(SUMIFS('Existing Customers'!$V:$V,'Existing Customers'!$H:$H,$EX28,'Existing Customers'!$A:$A,$EY$1)/SUMIFS('Existing Customers'!$Q:$Q,'Existing Customers'!$H:$H,$EX28,'Existing Customers'!$A:$A,$EY$1),0),IFERROR(IF($FI28="SEGMENT",INDEX('Margin Guidence Table'!$A$1:$AG$10000,MATCH(1,('Margin Guidence Table'!$A$1:$A$10000=FG28)*('Margin Guidence Table'!$I$1:$I$10000&lt;=ROUND($EY$3,0))*('Margin Guidence Table'!$J$1:$J$10000&gt;=ROUND($EY$3,0)),0),MATCH("CIA_MEDIAN_MARGIN_GUIDENCE",'Margin Guidence Table'!$A$1:$AG$1,0)),INDEX('Margin Guidence Table'!$A$1:$AG$10000,MATCH(1,('Margin Guidence Table'!$A$1:$A$10000=FG28)*('Margin Guidence Table'!$I$1:$I$10000&lt;=ROUND($EY$3,0))*('Margin Guidence Table'!$J$1:$J$10000&gt;=ROUND($EY$3,0)),0),MATCH("DEFAULT_CIA_MEDIAN_MARGIN_GUIDENCE",'Margin Guidence Table'!$A$1:$AG$1,0))),0)))</f>
        <v>0</v>
      </c>
      <c r="FR28" s="126"/>
      <c r="FS28" s="18">
        <f t="array" ref="FS28">IF('Customer Inputs'!$W$11="End",0,IFERROR(IF($GF28="SEGMENT",INDEX('Margin Guidence Table'!$A$1:$AG$10000,MATCH(1,('Margin Guidence Table'!$A$1:$A$10000=$GD28)*('Margin Guidence Table'!$I$1:$I$10000&lt;=ROUND($FV$3,0))*('Margin Guidence Table'!$J$1:$J$10000&gt;=ROUND($FV$3,0)),0),MATCH("PCT_SALES",'Margin Guidence Table'!$A$1:$AG$1,0)),INDEX('Margin Guidence Table'!$A$1:$AG$10000,MATCH(1,('Margin Guidence Table'!$A$1:$A$10000=$GD28)*('Margin Guidence Table'!$I$1:$I$10000&lt;=ROUND($FV$3,0))*('Margin Guidence Table'!$J$1:$J$10000&gt;=ROUND($FV$3,0)),0),MATCH("DEFAULT_PCT_SALES",'Margin Guidence Table'!$A$1:$AG$1,0))),0))</f>
        <v>0</v>
      </c>
      <c r="FT28" s="297" t="e">
        <f t="shared" si="42"/>
        <v>#DIV/0!</v>
      </c>
      <c r="FU28" s="99" t="s">
        <v>91</v>
      </c>
      <c r="FV28" s="91">
        <f>IF('Customer Inputs'!$W$11="End",0,IFERROR(IF(AND($FV$2&lt;&gt;"Enter Spend&gt;&gt;&gt;",$FW$2="EXISTING"),SUMIFS('Existing Customers'!$Q:$Q,'Existing Customers'!$A:$A,$FV$1,'Existing Customers'!$H:$H,$FU28)*$FV$4,$FV$3*$FT28),0))</f>
        <v>0</v>
      </c>
      <c r="FW28" s="86">
        <f>IF('Customer Inputs'!$W$11="End",0,IFERROR(IF(AND($FV$2&lt;&gt;"Enter Spend&gt;&gt;&gt;",$FW$2="EXISTING"),SUMIFS('Existing Customers'!$N:$N,'Existing Customers'!$A:$A,$FV$1,'Existing Customers'!$H:$H,$FU28)*$FV$4,$FV28/$GG28),0))</f>
        <v>0</v>
      </c>
      <c r="FX28" s="92">
        <f>IF('Customer Inputs'!$W$11="End",0,IFERROR(IF(AND($FV$2&lt;&gt;"Enter Spend&gt;&gt;&gt;",$FW$2="EXISTING"),SUMIFS('Existing Customers'!$O:$O,'Existing Customers'!$H:$H,$FU28,'Existing Customers'!$A:$A,$FV$1)*$FV$4,$FW28*$FV$8),0))</f>
        <v>0</v>
      </c>
      <c r="FY28" s="92">
        <f>IF('Customer Inputs'!$W$11="End",0,IFERROR(IF(AND($FV$2&lt;&gt;"Enter Spend&gt;&gt;&gt;",$FW$2="EXISTING"),SUMIFS('Existing Customers'!$P:$P,'Existing Customers'!$A:$A,$FV$1,'Existing Customers'!$H:$H,$FU28)*$FV$4,$FV28/$GH28),0))</f>
        <v>0</v>
      </c>
      <c r="FZ28" s="93">
        <f>IF('Customer Inputs'!$W$11="End",0,IFERROR(IF(AND($FV$2&lt;&gt;"Enter Spend&gt;&gt;&gt;",$FW$2="EXISTING"),SUMIFS('Existing Customers'!$V:$V,'Existing Customers'!$H:$H,$FU28,'Existing Customers'!$A:$A,$FV$1)*$FV$4,0),0))</f>
        <v>0</v>
      </c>
      <c r="GA28" s="93">
        <f>IF('Customer Inputs'!$W$11="End",0,IFERROR(IF(AND($FV$2&lt;&gt;"Enter Spend&gt;&gt;&gt;",$FW$2="EXISTING"),SUMIFS('Existing Customers'!$R:$R,'Existing Customers'!$H:$H,$FU28,'Existing Customers'!$A:$A,$FV$1)*$FV$4,0),0))</f>
        <v>0</v>
      </c>
      <c r="GB28" s="780">
        <f>IF('Customer Inputs'!$W$11="End",0,IFERROR(IF(AND($FV$2&lt;&gt;"Enter Spend&gt;&gt;&gt;",$FW$2="EXISTING"),SUMIFS('Existing Customers'!$S:$S,'Existing Customers'!$H:$H,$FU28,'Existing Customers'!$A:$A,$FV$1)/SUMIFS('Existing Customers'!$Q:$Q,'Existing Customers'!$A:$A,$FV$1,'Existing Customers'!$H:$H,$FU28),GL28),0))</f>
        <v>0</v>
      </c>
      <c r="GC28" s="780">
        <f>IF('Customer Inputs'!$W$11="End",0,IFERROR(IF(AND($FV$2&lt;&gt;"Enter Spend&gt;&gt;&gt;",$FW$2="EXISTING"),SUMIFS('Existing Customers'!$U:$U,'Existing Customers'!$H:$H,$FU28,'Existing Customers'!$A:$A,$FV$1)/SUMIFS('Existing Customers'!$Q:$Q,'Existing Customers'!$A:$A,$FV$1,'Existing Customers'!$H:$H,$FU28),GM28),0))</f>
        <v>0</v>
      </c>
      <c r="GD28" s="783" t="e">
        <f>_xlfn.CONCAT('Customer Inputs'!$AH$11,"_",FU28)</f>
        <v>#N/A</v>
      </c>
      <c r="GE28" s="783">
        <f t="array" ref="GE28">IF('Customer Inputs'!$W$11="End",0,IFERROR(INDEX('Margin Guidence Table'!$A$1:$AG$10000,MATCH(1,('Margin Guidence Table'!$A$1:$A$10000=GD28)*('Margin Guidence Table'!$I$1:$I$10000&lt;=ROUND($FV$3,0))*('Margin Guidence Table'!$J$1:$J$10000&gt;=ROUND($FV$3,0)),0),MATCH("DATA_POINTS",'Margin Guidence Table'!$A$1:$AG$1,0)),0))</f>
        <v>0</v>
      </c>
      <c r="GF28" s="780" t="str">
        <f t="shared" si="43"/>
        <v>DEFAULT</v>
      </c>
      <c r="GG28" s="780">
        <f t="array" ref="GG28">IF('Customer Inputs'!$W$11="End",0,IFERROR(IF($GF28="SEGMENT",INDEX('Margin Guidence Table'!$A$1:$AG$10000,MATCH(1,('Margin Guidence Table'!$A$1:$A$10000=GD28)*('Margin Guidence Table'!$I$1:$I$10000&lt;=ROUND($FV$3,0))*('Margin Guidence Table'!$J$1:$J$10000&gt;=ROUND($FV$3,0)),0),MATCH("SALES_CASE",'Margin Guidence Table'!$A$1:$AG$1,0)),INDEX('Margin Guidence Table'!$A$1:$AG$10000,MATCH(1,('Margin Guidence Table'!$A$1:$A$10000=GD28)*('Margin Guidence Table'!$I$1:$I$10000&lt;=ROUND($FV$3,0))*('Margin Guidence Table'!$J$1:$J$10000&gt;=ROUND($FV$3,0)),0),MATCH("DEFAULT_SALES_CASE",'Margin Guidence Table'!$A$1:$AG$1,0))),0))</f>
        <v>0</v>
      </c>
      <c r="GH28" s="780">
        <f t="array" ref="GH28">IF('Customer Inputs'!$W$11="End",0,IFERROR(IF($GF28="SEGMENT",INDEX('Margin Guidence Table'!$A$1:$AG$10000,MATCH(1,('Margin Guidence Table'!$A$1:$A$10000=GD28)*('Margin Guidence Table'!$I$1:$I$10000&lt;=ROUND($FV$3,0))*('Margin Guidence Table'!$J$1:$J$10000&gt;=ROUND($FV$3,0)),0),MATCH("SALES_LBS",'Margin Guidence Table'!$A$1:$AG$1,0)),INDEX('Margin Guidence Table'!$A$1:$AG$10000,MATCH(1,('Margin Guidence Table'!$A$1:$A$10000=GD28)*('Margin Guidence Table'!$I$1:$I$10000&lt;=ROUND($FV$3,0))*('Margin Guidence Table'!$J$1:$J$10000&gt;=ROUND($FV$3,0)),0),MATCH("DEFAULT_SALES_LBS",'Margin Guidence Table'!$A$1:$AG$1,0))),0))</f>
        <v>0</v>
      </c>
      <c r="GI28" s="784">
        <f t="array" ref="GI28">IF('Customer Inputs'!$W$11="End",0,IFERROR(IF($GF28="SEGMENT",INDEX('Margin Guidence Table'!$A$1:$AG$10000,MATCH(1,('Margin Guidence Table'!$A$1:$A$10000=GD28)*('Margin Guidence Table'!$I$1:$I$10000&lt;=ROUND($FV$3,0))*('Margin Guidence Table'!$J$1:$J$10000&gt;=ROUND($FV$3,0)),0),MATCH("MDA_MIN_MARGIN_GUIDENCE",'Margin Guidence Table'!$A$1:$AG$1,0)),INDEX('Margin Guidence Table'!$A$1:$AG$10000,MATCH(1,('Margin Guidence Table'!$A$1:$A$10000=GD28)*('Margin Guidence Table'!$I$1:$I$10000&lt;=ROUND($FV$3,0))*('Margin Guidence Table'!$J$1:$J$10000&gt;=ROUND($FV$3,0)),0),MATCH("DEFAULT_MDA_MIN_MARGIN_GUIDENCE",'Margin Guidence Table'!$A$1:$AG$1,0))),0))</f>
        <v>0</v>
      </c>
      <c r="GJ28" s="784">
        <f t="array" ref="GJ28">IF('Customer Inputs'!$W$11="End",0,IFERROR(IF($GF28="SEGMENT",INDEX('Margin Guidence Table'!$A$1:$AG$10000,MATCH(1,('Margin Guidence Table'!$A$1:$A$10000=GD28)*('Margin Guidence Table'!$I$1:$I$10000&lt;=ROUND($FV$3,0))*('Margin Guidence Table'!$J$1:$J$10000&gt;=ROUND($FV$3,0)),0),MATCH("MDA_MEDIAN_MARGIN_GUIDENCE",'Margin Guidence Table'!$A$1:$AG$1,0)),INDEX('Margin Guidence Table'!$A$1:$AG$10000,MATCH(1,('Margin Guidence Table'!$A$1:$A$10000=GD28)*('Margin Guidence Table'!$I$1:$I$10000&lt;=ROUND($FV$3,0))*('Margin Guidence Table'!$J$1:$J$10000&gt;=ROUND($FV$3,0)),0),MATCH("DEFAULT_MDA_MEDIAN_MARGIN_GUIDENCE",'Margin Guidence Table'!$A$1:$AG$1,0))),0))</f>
        <v>0</v>
      </c>
      <c r="GK28" s="784">
        <f t="array" ref="GK28">IF('Customer Inputs'!$W$11="End",0,IFERROR(IF($GF28="SEGMENT",INDEX('Margin Guidence Table'!$A$1:$AG$10000,MATCH(1,('Margin Guidence Table'!$A$1:$A$10000=GD28)*('Margin Guidence Table'!$I$1:$I$10000&lt;=ROUND($FV$3,0))*('Margin Guidence Table'!$J$1:$J$10000&gt;=ROUND($FV$3,0)),0),MATCH("MDA_MAX_MARGIN_GUIDENCE",'Margin Guidence Table'!$A$1:$AG$1,0)),INDEX('Margin Guidence Table'!$A$1:$AG$10000,MATCH(1,('Margin Guidence Table'!$A$1:$A$10000=GD28)*('Margin Guidence Table'!$I$1:$I$10000&lt;=ROUND($FV$3,0))*('Margin Guidence Table'!$J$1:$J$10000&gt;=ROUND($FV$3,0)),0),MATCH("DEFAULT_MDA_MAX_MARGIN_GUIDENCE",'Margin Guidence Table'!$A$1:$AG$1,0))),0))</f>
        <v>0</v>
      </c>
      <c r="GL28" s="784">
        <f t="array" ref="GL28">IF('Customer Inputs'!$W$11="End",0,IFERROR(IF($GF28="SEGMENT",INDEX('Margin Guidence Table'!$A$1:$AG$10000,MATCH(1,('Margin Guidence Table'!$A$1:$A$10000=GD28)*('Margin Guidence Table'!$I$1:$I$10000&lt;=ROUND($FV$3,0))*('Margin Guidence Table'!$J$1:$J$10000&gt;=ROUND($FV$3,0)),0),MATCH("PA_PCT_SALES",'Margin Guidence Table'!$A$1:$AG$1,0)),INDEX('Margin Guidence Table'!$A$1:$AG$10000,MATCH(1,('Margin Guidence Table'!$A$1:$A$10000=GD28)*('Margin Guidence Table'!$I$1:$I$10000&lt;=ROUND($FV$3,0))*('Margin Guidence Table'!$J$1:$J$10000&gt;=ROUND($FV$3,0)),0),MATCH("DEFAULT_PA_PCT_SALES",'Margin Guidence Table'!$A$1:$AG$1,0))),0))</f>
        <v>0</v>
      </c>
      <c r="GM28" s="784">
        <f t="array" ref="GM28">IF('Customer Inputs'!$W$11="End",0,IFERROR(IF($GF28="SEGMENT",INDEX('Margin Guidence Table'!$A$1:$AG$10000,MATCH(1,('Margin Guidence Table'!$A$1:$A$10000=GD28)*('Margin Guidence Table'!$I$1:$I$10000&lt;=ROUND($FV$3,0))*('Margin Guidence Table'!$J$1:$J$10000&gt;=ROUND($FV$3,0)),0),MATCH("SELF_FUND_PCT_SALES",'Margin Guidence Table'!$A$1:$AG$1,0)),INDEX('Margin Guidence Table'!$A$1:$AG$10000,MATCH(1,('Margin Guidence Table'!$A$1:$A$10000=GD28)*('Margin Guidence Table'!$I$1:$I$10000&lt;=ROUND($FV$3,0))*('Margin Guidence Table'!$J$1:$J$10000&gt;=ROUND($FV$3,0)),0),MATCH("DEFAULT_SELF_FUND_PCT_SALES",'Margin Guidence Table'!$A$1:$AG$1,0))),0))</f>
        <v>0</v>
      </c>
      <c r="GN28" s="784">
        <f t="array" ref="GN28">IF('Customer Inputs'!$W$11="End",0,IF($FW$2="Existing",IFERROR(SUMIFS('Existing Customers'!$V:$V,'Existing Customers'!$H:$H,$FU28,'Existing Customers'!$A:$A,$FV$1)/SUMIFS('Existing Customers'!$Q:$Q,'Existing Customers'!$H:$H,$FU28,'Existing Customers'!$A:$A,$FV$1),0),IFERROR(IF($GF28="SEGMENT",INDEX('Margin Guidence Table'!$A$1:$AG$10000,MATCH(1,('Margin Guidence Table'!$A$1:$A$10000=GD28)*('Margin Guidence Table'!$I$1:$I$10000&lt;=ROUND($FV$3,0))*('Margin Guidence Table'!$J$1:$J$10000&gt;=ROUND($FV$3,0)),0),MATCH("CIA_MEDIAN_MARGIN_GUIDENCE",'Margin Guidence Table'!$A$1:$AG$1,0)),INDEX('Margin Guidence Table'!$A$1:$AG$10000,MATCH(1,('Margin Guidence Table'!$A$1:$A$10000=GD28)*('Margin Guidence Table'!$I$1:$I$10000&lt;=ROUND($FV$3,0))*('Margin Guidence Table'!$J$1:$J$10000&gt;=ROUND($FV$3,0)),0),MATCH("DEFAULT_CIA_MEDIAN_MARGIN_GUIDENCE",'Margin Guidence Table'!$A$1:$AG$1,0))),0)))</f>
        <v>0</v>
      </c>
      <c r="GO28" s="126"/>
      <c r="GP28" s="18">
        <f t="array" ref="GP28">IF('Customer Inputs'!$W$12="End",0,IFERROR(IF($HC28="SEGMENT",INDEX('Margin Guidence Table'!$A$1:$AG$10000,MATCH(1,('Margin Guidence Table'!$A$1:$A$10000=$HA28)*('Margin Guidence Table'!$I$1:$I$10000&lt;=ROUND($GS$3,0))*('Margin Guidence Table'!$J$1:$J$10000&gt;=ROUND($GS$3,0)),0),MATCH("PCT_SALES",'Margin Guidence Table'!$A$1:$AG$1,0)),INDEX('Margin Guidence Table'!$A$1:$AG$10000,MATCH(1,('Margin Guidence Table'!$A$1:$A$10000=$HA28)*('Margin Guidence Table'!$I$1:$I$10000&lt;=ROUND($GS$3,0))*('Margin Guidence Table'!$J$1:$J$10000&gt;=ROUND($GS$3,0)),0),MATCH("DEFAULT_PCT_SALES",'Margin Guidence Table'!$A$1:$AG$1,0))),0))</f>
        <v>0</v>
      </c>
      <c r="GQ28" s="297" t="e">
        <f t="shared" si="44"/>
        <v>#DIV/0!</v>
      </c>
      <c r="GR28" s="99" t="s">
        <v>91</v>
      </c>
      <c r="GS28" s="91">
        <f>IF('Customer Inputs'!$W$12="End",0,IFERROR(IF(AND($GS$2&lt;&gt;"Enter Spend&gt;&gt;&gt;",$GT$2="EXISTING"),SUMIFS('Existing Customers'!$Q:$Q,'Existing Customers'!$A:$A,$GS$1,'Existing Customers'!$H:$H,$GR28)*$GS$4,$GS$3*$GQ28),0))</f>
        <v>0</v>
      </c>
      <c r="GT28" s="86">
        <f>IF('Customer Inputs'!$W$12="End",0,IFERROR(IF(AND($GS$2&lt;&gt;"Enter Spend&gt;&gt;&gt;",$GT$2="EXISTING"),SUMIFS('Existing Customers'!$N:$N,'Existing Customers'!$A:$A,$GS$1,'Existing Customers'!$H:$H,$GR28)*$GS$4,$GS28/$HD28),0))</f>
        <v>0</v>
      </c>
      <c r="GU28" s="92">
        <f>IF('Customer Inputs'!$W$12="End",0,IFERROR(IF(AND($GS$2&lt;&gt;"Enter Spend&gt;&gt;&gt;",$GT$2="EXISTING"),SUMIFS('Existing Customers'!$O:$O,'Existing Customers'!$H:$H,$GR28,'Existing Customers'!$A:$A,$GS$1)*$GS$4,$GT28*$GS$8),0))</f>
        <v>0</v>
      </c>
      <c r="GV28" s="92">
        <f>IF('Customer Inputs'!$W$12="End",0,IFERROR(IF(AND($GS$2&lt;&gt;"Enter Spend&gt;&gt;&gt;",$GT$2="EXISTING"),SUMIFS('Existing Customers'!$P:$P,'Existing Customers'!$A:$A,$GS$1,'Existing Customers'!$H:$H,$GR28)*$GS$4,$GS28/$HE28),0))</f>
        <v>0</v>
      </c>
      <c r="GW28" s="93">
        <f>IF('Customer Inputs'!$W$12="End",0,IFERROR(IF(AND($GS$2&lt;&gt;"Enter Spend&gt;&gt;&gt;",$GT$2="EXISTING"),SUMIFS('Existing Customers'!$V:$V,'Existing Customers'!$H:$H,$GR28,'Existing Customers'!$A:$A,$GS$1)*$GS$4,0),0))</f>
        <v>0</v>
      </c>
      <c r="GX28" s="93">
        <f>IF('Customer Inputs'!$W$12="End",0,IFERROR(IF(AND($GS$2&lt;&gt;"Enter Spend&gt;&gt;&gt;",$GT$2="EXISTING"),SUMIFS('Existing Customers'!$R:$R,'Existing Customers'!$H:$H,$GR28,'Existing Customers'!$A:$A,$GS$1)*$GS$4,0),0))</f>
        <v>0</v>
      </c>
      <c r="GY28" s="780">
        <f>IF('Customer Inputs'!$W$12="End",0,IFERROR(IF(AND($GS$2&lt;&gt;"Enter Spend&gt;&gt;&gt;",$GT$2="EXISTING"),SUMIFS('Existing Customers'!$S:$S,'Existing Customers'!$H:$H,$GR28,'Existing Customers'!$A:$A,$GS$1)/SUMIFS('Existing Customers'!$Q:$Q,'Existing Customers'!$A:$A,$GS$1,'Existing Customers'!$H:$H,$GR28),HI28),0))</f>
        <v>0</v>
      </c>
      <c r="GZ28" s="780">
        <f>IF('Customer Inputs'!$W$12="End",0,IFERROR(IF(AND($GS$2&lt;&gt;"Enter Spend&gt;&gt;&gt;",$GT$2="EXISTING"),SUMIFS('Existing Customers'!$U:$U,'Existing Customers'!$H:$H,$GR28,'Existing Customers'!$A:$A,$GS$1)/SUMIFS('Existing Customers'!$Q:$Q,'Existing Customers'!$A:$A,$GS$1,'Existing Customers'!$H:$H,$GR28),HJ28),0))</f>
        <v>0</v>
      </c>
      <c r="HA28" s="783" t="e">
        <f>_xlfn.CONCAT('Customer Inputs'!$AH$12,"_",GR28)</f>
        <v>#N/A</v>
      </c>
      <c r="HB28" s="783">
        <f t="array" ref="HB28">IF('Customer Inputs'!$W$12="End",0,IFERROR(INDEX('Margin Guidence Table'!$A$1:$AG$10000,MATCH(1,('Margin Guidence Table'!$A$1:$A$10000=HA28)*('Margin Guidence Table'!$I$1:$I$10000&lt;=ROUND($GS$3,0))*('Margin Guidence Table'!$J$1:$J$10000&gt;=ROUND($GS$3,0)),0),MATCH("DATA_POINTS",'Margin Guidence Table'!$A$1:$AG$1,0)),0))</f>
        <v>0</v>
      </c>
      <c r="HC28" s="780" t="str">
        <f t="shared" si="45"/>
        <v>DEFAULT</v>
      </c>
      <c r="HD28" s="780">
        <f t="array" ref="HD28">IF('Customer Inputs'!$W$12="End",0,IFERROR(IF($HC28="SEGMENT",INDEX('Margin Guidence Table'!$A$1:$AG$10000,MATCH(1,('Margin Guidence Table'!$A$1:$A$10000=HA28)*('Margin Guidence Table'!$I$1:$I$10000&lt;=ROUND($GS$3,0))*('Margin Guidence Table'!$J$1:$J$10000&gt;=ROUND($GS$3,0)),0),MATCH("SALES_CASE",'Margin Guidence Table'!$A$1:$AG$1,0)),INDEX('Margin Guidence Table'!$A$1:$AG$10000,MATCH(1,('Margin Guidence Table'!$A$1:$A$10000=HA28)*('Margin Guidence Table'!$I$1:$I$10000&lt;=ROUND($GS$3,0))*('Margin Guidence Table'!$J$1:$J$10000&gt;=ROUND($GS$3,0)),0),MATCH("DEFAULT_SALES_CASE",'Margin Guidence Table'!$A$1:$AG$1,0))),0))</f>
        <v>0</v>
      </c>
      <c r="HE28" s="780">
        <f t="array" ref="HE28">IF('Customer Inputs'!$W$12="End",0,IFERROR(IF($HC28="SEGMENT",INDEX('Margin Guidence Table'!$A$1:$AG$10000,MATCH(1,('Margin Guidence Table'!$A$1:$A$10000=HA28)*('Margin Guidence Table'!$I$1:$I$10000&lt;=ROUND($GS$3,0))*('Margin Guidence Table'!$J$1:$J$10000&gt;=ROUND($GS$3,0)),0),MATCH("SALES_LBS",'Margin Guidence Table'!$A$1:$AG$1,0)),INDEX('Margin Guidence Table'!$A$1:$AG$10000,MATCH(1,('Margin Guidence Table'!$A$1:$A$10000=HA28)*('Margin Guidence Table'!$I$1:$I$10000&lt;=ROUND($GS$3,0))*('Margin Guidence Table'!$J$1:$J$10000&gt;=ROUND($GS$3,0)),0),MATCH("DEFAULT_SALES_LBS",'Margin Guidence Table'!$A$1:$AG$1,0))),0))</f>
        <v>0</v>
      </c>
      <c r="HF28" s="784">
        <f t="array" ref="HF28">IF('Customer Inputs'!$W$12="End",0,IFERROR(IF($HC28="SEGMENT",INDEX('Margin Guidence Table'!$A$1:$AG$10000,MATCH(1,('Margin Guidence Table'!$A$1:$A$10000=HA28)*('Margin Guidence Table'!$I$1:$I$10000&lt;=ROUND($GS$3,0))*('Margin Guidence Table'!$J$1:$J$10000&gt;=ROUND($GS$3,0)),0),MATCH("MDA_MIN_MARGIN_GUIDENCE",'Margin Guidence Table'!$A$1:$AG$1,0)),INDEX('Margin Guidence Table'!$A$1:$AG$10000,MATCH(1,('Margin Guidence Table'!$A$1:$A$10000=HA28)*('Margin Guidence Table'!$I$1:$I$10000&lt;=ROUND($GS$3,0))*('Margin Guidence Table'!$J$1:$J$10000&gt;=ROUND($GS$3,0)),0),MATCH("DEFAULT_MDA_MIN_MARGIN_GUIDENCE",'Margin Guidence Table'!$A$1:$AG$1,0))),0))</f>
        <v>0</v>
      </c>
      <c r="HG28" s="784">
        <f t="array" ref="HG28">IF('Customer Inputs'!$W$12="End",0,IFERROR(IF($HC28="SEGMENT",INDEX('Margin Guidence Table'!$A$1:$AG$10000,MATCH(1,('Margin Guidence Table'!$A$1:$A$10000=HA28)*('Margin Guidence Table'!$I$1:$I$10000&lt;=ROUND($GS$3,0))*('Margin Guidence Table'!$J$1:$J$10000&gt;=ROUND($GS$3,0)),0),MATCH("MDA_MEDIAN_MARGIN_GUIDENCE",'Margin Guidence Table'!$A$1:$AG$1,0)),INDEX('Margin Guidence Table'!$A$1:$AG$10000,MATCH(1,('Margin Guidence Table'!$A$1:$A$10000=HA28)*('Margin Guidence Table'!$I$1:$I$10000&lt;=ROUND($GS$3,0))*('Margin Guidence Table'!$J$1:$J$10000&gt;=ROUND($GS$3,0)),0),MATCH("DEFAULT_MDA_MEDIAN_MARGIN_GUIDENCE",'Margin Guidence Table'!$A$1:$AG$1,0))),0))</f>
        <v>0</v>
      </c>
      <c r="HH28" s="784">
        <f t="array" ref="HH28">IF('Customer Inputs'!$W$12="End",0,IFERROR(IF($HC28="SEGMENT",INDEX('Margin Guidence Table'!$A$1:$AG$10000,MATCH(1,('Margin Guidence Table'!$A$1:$A$10000=HA28)*('Margin Guidence Table'!$I$1:$I$10000&lt;=ROUND($GS$3,0))*('Margin Guidence Table'!$J$1:$J$10000&gt;=ROUND($GS$3,0)),0),MATCH("MDA_MAX_MARGIN_GUIDENCE",'Margin Guidence Table'!$A$1:$AG$1,0)),INDEX('Margin Guidence Table'!$A$1:$AG$10000,MATCH(1,('Margin Guidence Table'!$A$1:$A$10000=HA28)*('Margin Guidence Table'!$I$1:$I$10000&lt;=ROUND($GS$3,0))*('Margin Guidence Table'!$J$1:$J$10000&gt;=ROUND($GS$3,0)),0),MATCH("DEFAULT_MDA_MAX_MARGIN_GUIDENCE",'Margin Guidence Table'!$A$1:$AG$1,0))),0))</f>
        <v>0</v>
      </c>
      <c r="HI28" s="784">
        <f t="array" ref="HI28">IF('Customer Inputs'!$W$12="End",0,IFERROR(IF($HC28="SEGMENT",INDEX('Margin Guidence Table'!$A$1:$AG$10000,MATCH(1,('Margin Guidence Table'!$A$1:$A$10000=HA28)*('Margin Guidence Table'!$I$1:$I$10000&lt;=ROUND($GS$3,0))*('Margin Guidence Table'!$J$1:$J$10000&gt;=ROUND($GS$3,0)),0),MATCH("PA_PCT_SALES",'Margin Guidence Table'!$A$1:$AG$1,0)),INDEX('Margin Guidence Table'!$A$1:$AG$10000,MATCH(1,('Margin Guidence Table'!$A$1:$A$10000=HA28)*('Margin Guidence Table'!$I$1:$I$10000&lt;=ROUND($GS$3,0))*('Margin Guidence Table'!$J$1:$J$10000&gt;=ROUND($GS$3,0)),0),MATCH("DEFAULT_PA_PCT_SALES",'Margin Guidence Table'!$A$1:$AG$1,0))),0))</f>
        <v>0</v>
      </c>
      <c r="HJ28" s="784">
        <f t="array" ref="HJ28">IF('Customer Inputs'!$W$12="End",0,IFERROR(IF($HC28="SEGMENT",INDEX('Margin Guidence Table'!$A$1:$AG$10000,MATCH(1,('Margin Guidence Table'!$A$1:$A$10000=HA28)*('Margin Guidence Table'!$I$1:$I$10000&lt;=ROUND($GS$3,0))*('Margin Guidence Table'!$J$1:$J$10000&gt;=ROUND($GS$3,0)),0),MATCH("SELF_FUND_PCT_SALES",'Margin Guidence Table'!$A$1:$AG$1,0)),INDEX('Margin Guidence Table'!$A$1:$AG$10000,MATCH(1,('Margin Guidence Table'!$A$1:$A$10000=HA28)*('Margin Guidence Table'!$I$1:$I$10000&lt;=ROUND($GS$3,0))*('Margin Guidence Table'!$J$1:$J$10000&gt;=ROUND($GS$3,0)),0),MATCH("DEFAULT_SELF_FUND_PCT_SALES",'Margin Guidence Table'!$A$1:$AG$1,0))),0))</f>
        <v>0</v>
      </c>
      <c r="HK28" s="784">
        <f t="array" ref="HK28">IF('Customer Inputs'!$W$12="End",0,IF($GT$2="Existing",IFERROR(SUMIFS('Existing Customers'!$V:$V,'Existing Customers'!$H:$H,$GR28,'Existing Customers'!$A:$A,$GS$1)/SUMIFS('Existing Customers'!$Q:$Q,'Existing Customers'!$H:$H,$GR28,'Existing Customers'!$A:$A,$GS$1),0),IFERROR(IF($HC28="SEGMENT",INDEX('Margin Guidence Table'!$A$1:$AG$10000,MATCH(1,('Margin Guidence Table'!$A$1:$A$10000=HA28)*('Margin Guidence Table'!$I$1:$I$10000&lt;=ROUND($GS$3,0))*('Margin Guidence Table'!$J$1:$J$10000&gt;=ROUND($GS$3,0)),0),MATCH("CIA_MEDIAN_MARGIN_GUIDENCE",'Margin Guidence Table'!$A$1:$AG$1,0)),INDEX('Margin Guidence Table'!$A$1:$AG$10000,MATCH(1,('Margin Guidence Table'!$A$1:$A$10000=HA28)*('Margin Guidence Table'!$I$1:$I$10000&lt;=ROUND($GS$3,0))*('Margin Guidence Table'!$J$1:$J$10000&gt;=ROUND($GS$3,0)),0),MATCH("DEFAULT_CIA_MEDIAN_MARGIN_GUIDENCE",'Margin Guidence Table'!$A$1:$AG$1,0))),0)))</f>
        <v>0</v>
      </c>
      <c r="HL28" s="126"/>
      <c r="HM28" s="18">
        <f t="array" ref="HM28">IF('Customer Inputs'!$W$13="End",0,IFERROR(IF($HZ28="SEGMENT",INDEX('Margin Guidence Table'!$A$1:$AG$10000,MATCH(1,('Margin Guidence Table'!$A$1:$A$10000=$HX28)*('Margin Guidence Table'!$I$1:$I$10000&lt;=ROUND($HP$3,0))*('Margin Guidence Table'!$J$1:$J$10000&gt;=ROUND($HP$3,0)),0),MATCH("PCT_SALES",'Margin Guidence Table'!$A$1:$AG$1,0)),INDEX('Margin Guidence Table'!$A$1:$AG$10000,MATCH(1,('Margin Guidence Table'!$A$1:$A$10000=$HX28)*('Margin Guidence Table'!$I$1:$I$10000&lt;=ROUND($HP$3,0))*('Margin Guidence Table'!$J$1:$J$10000&gt;=ROUND($HP$3,0)),0),MATCH("DEFAULT_PCT_SALES",'Margin Guidence Table'!$A$1:$AG$1,0))),0))</f>
        <v>0</v>
      </c>
      <c r="HN28" s="297" t="e">
        <f t="shared" si="46"/>
        <v>#DIV/0!</v>
      </c>
      <c r="HO28" s="99" t="s">
        <v>91</v>
      </c>
      <c r="HP28" s="91">
        <f>IF('Customer Inputs'!$W$13="End",0,IFERROR(IF(AND($HP$2&lt;&gt;"Enter Spend&gt;&gt;&gt;",$HQ$2="EXISTING"),SUMIFS('Existing Customers'!$Q:$Q,'Existing Customers'!$A:$A,$HP$1,'Existing Customers'!$H:$H,$HO28)*$HP$4,$HP$3*$HN28),0))</f>
        <v>0</v>
      </c>
      <c r="HQ28" s="86">
        <f>IF('Customer Inputs'!$W$13="End",0,IFERROR(IF(AND($HP$2&lt;&gt;"Enter Spend&gt;&gt;&gt;",$HQ$2="EXISTING"),SUMIFS('Existing Customers'!$N:$N,'Existing Customers'!$A:$A,$HP$1,'Existing Customers'!$H:$H,$HO28)*$HP$4,$HP28/$IA28),0))</f>
        <v>0</v>
      </c>
      <c r="HR28" s="92">
        <f>IF('Customer Inputs'!$W$13="End",0,IFERROR(IF(AND($HP$2&lt;&gt;"Enter Spend&gt;&gt;&gt;",$HQ$2="EXISTING"),SUMIFS('Existing Customers'!$O:$O,'Existing Customers'!$H:$H,$HO28,'Existing Customers'!$A:$A,$HP$1)*$HP$4,$HQ28*$HP$8),0))</f>
        <v>0</v>
      </c>
      <c r="HS28" s="92">
        <f>IF('Customer Inputs'!$W$13="End",0,IFERROR(IF(AND($HP$2&lt;&gt;"Enter Spend&gt;&gt;&gt;",$HQ$2="EXISTING"),SUMIFS('Existing Customers'!$P:$P,'Existing Customers'!$A:$A,$HP$1,'Existing Customers'!$H:$H,$HO28)*$HP$4,$HP28/$IB28),0))</f>
        <v>0</v>
      </c>
      <c r="HT28" s="93">
        <f>IF('Customer Inputs'!$W$13="End",0,IFERROR(IF(AND($HP$2&lt;&gt;"Enter Spend&gt;&gt;&gt;",$HQ$2="EXISTING"),SUMIFS('Existing Customers'!$V:$V,'Existing Customers'!$H:$H,$HO28,'Existing Customers'!$A:$A,$HP$1)*$HP$4,0),0))</f>
        <v>0</v>
      </c>
      <c r="HU28" s="93">
        <f>IF('Customer Inputs'!$W$13="End",0,IFERROR(IF(AND($HP$2&lt;&gt;"Enter Spend&gt;&gt;&gt;",$HQ$2="EXISTING"),SUMIFS('Existing Customers'!$R:$R,'Existing Customers'!$H:$H,$HO28,'Existing Customers'!$A:$A,$HP$1)*$HP$4,0),0))</f>
        <v>0</v>
      </c>
      <c r="HV28" s="780">
        <f>IF('Customer Inputs'!$W$13="End",0,IFERROR(IF(AND($HP$2&lt;&gt;"Enter Spend&gt;&gt;&gt;",$HQ$2="EXISTING"),SUMIFS('Existing Customers'!$S:$S,'Existing Customers'!$H:$H,$HO28,'Existing Customers'!$A:$A,$HP$1)/SUMIFS('Existing Customers'!$Q:$Q,'Existing Customers'!$A:$A,$HP$1,'Existing Customers'!$H:$H,$HO28),IF28),0))</f>
        <v>0</v>
      </c>
      <c r="HW28" s="780">
        <f>IF('Customer Inputs'!$W$13="End",0,IFERROR(IF(AND($HP$2&lt;&gt;"Enter Spend&gt;&gt;&gt;",$HQ$2="EXISTING"),SUMIFS('Existing Customers'!$U:$U,'Existing Customers'!$H:$H,$HO28,'Existing Customers'!$A:$A,$HP$1)/SUMIFS('Existing Customers'!$Q:$Q,'Existing Customers'!$A:$A,$HP$1,'Existing Customers'!$H:$H,$HO28),IG28),0))</f>
        <v>0</v>
      </c>
      <c r="HX28" s="783" t="e">
        <f>_xlfn.CONCAT('Customer Inputs'!$AH$13,"_",HO28)</f>
        <v>#N/A</v>
      </c>
      <c r="HY28" s="783">
        <f t="array" ref="HY28">IF('Customer Inputs'!$W$13="End",0,IFERROR(INDEX('Margin Guidence Table'!$A$1:$AG$10000,MATCH(1,('Margin Guidence Table'!$A$1:$A$10000=HX28)*('Margin Guidence Table'!$I$1:$I$10000&lt;=ROUND($HP$3,0))*('Margin Guidence Table'!$J$1:$J$10000&gt;=ROUND($HP$3,0)),0),MATCH("DATA_POINTS",'Margin Guidence Table'!$A$1:$AG$1,0)),0))</f>
        <v>0</v>
      </c>
      <c r="HZ28" s="780" t="str">
        <f t="shared" si="47"/>
        <v>DEFAULT</v>
      </c>
      <c r="IA28" s="780">
        <f t="array" ref="IA28">IF('Customer Inputs'!$W$13="End",0,IFERROR(IF($HZ28="SEGMENT",INDEX('Margin Guidence Table'!$A$1:$AG$10000,MATCH(1,('Margin Guidence Table'!$A$1:$A$10000=HX28)*('Margin Guidence Table'!$I$1:$I$10000&lt;=ROUND($HP$3,0))*('Margin Guidence Table'!$J$1:$J$10000&gt;=ROUND($HP$3,0)),0),MATCH("SALES_CASE",'Margin Guidence Table'!$A$1:$AG$1,0)),INDEX('Margin Guidence Table'!$A$1:$AG$10000,MATCH(1,('Margin Guidence Table'!$A$1:$A$10000=HX28)*('Margin Guidence Table'!$I$1:$I$10000&lt;=ROUND($HP$3,0))*('Margin Guidence Table'!$J$1:$J$10000&gt;=ROUND($HP$3,0)),0),MATCH("DEFAULT_SALES_CASE",'Margin Guidence Table'!$A$1:$AG$1,0))),0))</f>
        <v>0</v>
      </c>
      <c r="IB28" s="780">
        <f t="array" ref="IB28">IF('Customer Inputs'!$W$13="End",0,IFERROR(IF($HZ28="SEGMENT",INDEX('Margin Guidence Table'!$A$1:$AG$10000,MATCH(1,('Margin Guidence Table'!$A$1:$A$10000=HX28)*('Margin Guidence Table'!$I$1:$I$10000&lt;=ROUND($HP$3,0))*('Margin Guidence Table'!$J$1:$J$10000&gt;=ROUND($HP$3,0)),0),MATCH("SALES_LBS",'Margin Guidence Table'!$A$1:$AG$1,0)),INDEX('Margin Guidence Table'!$A$1:$AG$10000,MATCH(1,('Margin Guidence Table'!$A$1:$A$10000=HX28)*('Margin Guidence Table'!$I$1:$I$10000&lt;=ROUND($HP$3,0))*('Margin Guidence Table'!$J$1:$J$10000&gt;=ROUND($HP$3,0)),0),MATCH("DEFAULT_SALES_LBS",'Margin Guidence Table'!$A$1:$AG$1,0))),0))</f>
        <v>0</v>
      </c>
      <c r="IC28" s="784">
        <f t="array" ref="IC28">IF('Customer Inputs'!$W$13="End",0,IFERROR(IF($HZ28="SEGMENT",INDEX('Margin Guidence Table'!$A$1:$AG$10000,MATCH(1,('Margin Guidence Table'!$A$1:$A$10000=HX28)*('Margin Guidence Table'!$I$1:$I$10000&lt;=ROUND($HP$3,0))*('Margin Guidence Table'!$J$1:$J$10000&gt;=ROUND($HP$3,0)),0),MATCH("MDA_MIN_MARGIN_GUIDENCE",'Margin Guidence Table'!$A$1:$AG$1,0)),INDEX('Margin Guidence Table'!$A$1:$AG$10000,MATCH(1,('Margin Guidence Table'!$A$1:$A$10000=HX28)*('Margin Guidence Table'!$I$1:$I$10000&lt;=ROUND($HP$3,0))*('Margin Guidence Table'!$J$1:$J$10000&gt;=ROUND($HP$3,0)),0),MATCH("DEFAULT_MDA_MIN_MARGIN_GUIDENCE",'Margin Guidence Table'!$A$1:$AG$1,0))),0))</f>
        <v>0</v>
      </c>
      <c r="ID28" s="784">
        <f t="array" ref="ID28">IF('Customer Inputs'!$W$13="End",0,IFERROR(IF($HZ28="SEGMENT",INDEX('Margin Guidence Table'!$A$1:$AG$10000,MATCH(1,('Margin Guidence Table'!$A$1:$A$10000=HX28)*('Margin Guidence Table'!$I$1:$I$10000&lt;=ROUND($HP$3,0))*('Margin Guidence Table'!$J$1:$J$10000&gt;=ROUND($HP$3,0)),0),MATCH("MDA_MEDIAN_MARGIN_GUIDENCE",'Margin Guidence Table'!$A$1:$AG$1,0)),INDEX('Margin Guidence Table'!$A$1:$AG$10000,MATCH(1,('Margin Guidence Table'!$A$1:$A$10000=HX28)*('Margin Guidence Table'!$I$1:$I$10000&lt;=ROUND($HP$3,0))*('Margin Guidence Table'!$J$1:$J$10000&gt;=ROUND($HP$3,0)),0),MATCH("DEFAULT_MDA_MEDIAN_MARGIN_GUIDENCE",'Margin Guidence Table'!$A$1:$AG$1,0))),0))</f>
        <v>0</v>
      </c>
      <c r="IE28" s="784">
        <f t="array" ref="IE28">IF('Customer Inputs'!$W$13="End",0,IFERROR(IF($HZ28="SEGMENT",INDEX('Margin Guidence Table'!$A$1:$AG$10000,MATCH(1,('Margin Guidence Table'!$A$1:$A$10000=HX28)*('Margin Guidence Table'!$I$1:$I$10000&lt;=ROUND($HP$3,0))*('Margin Guidence Table'!$J$1:$J$10000&gt;=ROUND($HP$3,0)),0),MATCH("MDA_MAX_MARGIN_GUIDENCE",'Margin Guidence Table'!$A$1:$AG$1,0)),INDEX('Margin Guidence Table'!$A$1:$AG$10000,MATCH(1,('Margin Guidence Table'!$A$1:$A$10000=HX28)*('Margin Guidence Table'!$I$1:$I$10000&lt;=ROUND($HP$3,0))*('Margin Guidence Table'!$J$1:$J$10000&gt;=ROUND($HP$3,0)),0),MATCH("DEFAULT_MDA_MAX_MARGIN_GUIDENCE",'Margin Guidence Table'!$A$1:$AG$1,0))),0))</f>
        <v>0</v>
      </c>
      <c r="IF28" s="784">
        <f t="array" ref="IF28">IF('Customer Inputs'!$W$13="End",0,IFERROR(IF($HZ28="SEGMENT",INDEX('Margin Guidence Table'!$A$1:$AG$10000,MATCH(1,('Margin Guidence Table'!$A$1:$A$10000=HX28)*('Margin Guidence Table'!$I$1:$I$10000&lt;=ROUND($HP$3,0))*('Margin Guidence Table'!$J$1:$J$10000&gt;=ROUND($HP$3,0)),0),MATCH("PA_PCT_SALES",'Margin Guidence Table'!$A$1:$AG$1,0)),INDEX('Margin Guidence Table'!$A$1:$AG$10000,MATCH(1,('Margin Guidence Table'!$A$1:$A$10000=HX28)*('Margin Guidence Table'!$I$1:$I$10000&lt;=ROUND($HP$3,0))*('Margin Guidence Table'!$J$1:$J$10000&gt;=ROUND($HP$3,0)),0),MATCH("DEFAULT_PA_PCT_SALES",'Margin Guidence Table'!$A$1:$AG$1,0))),0))</f>
        <v>0</v>
      </c>
      <c r="IG28" s="784">
        <f t="array" ref="IG28">IF('Customer Inputs'!$W$13="End",0,IFERROR(IF($HZ28="SEGMENT",INDEX('Margin Guidence Table'!$A$1:$AG$10000,MATCH(1,('Margin Guidence Table'!$A$1:$A$10000=HX28)*('Margin Guidence Table'!$I$1:$I$10000&lt;=ROUND($HP$3,0))*('Margin Guidence Table'!$J$1:$J$10000&gt;=ROUND($HP$3,0)),0),MATCH("SELF_FUND_PCT_SALES",'Margin Guidence Table'!$A$1:$AG$1,0)),INDEX('Margin Guidence Table'!$A$1:$AG$10000,MATCH(1,('Margin Guidence Table'!$A$1:$A$10000=HX28)*('Margin Guidence Table'!$I$1:$I$10000&lt;=ROUND($HP$3,0))*('Margin Guidence Table'!$J$1:$J$10000&gt;=ROUND($HP$3,0)),0),MATCH("DEFAULT_SELF_FUND_PCT_SALES",'Margin Guidence Table'!$A$1:$AG$1,0))),0))</f>
        <v>0</v>
      </c>
      <c r="IH28" s="784">
        <f t="array" ref="IH28">IF('Customer Inputs'!$W$13="End",0,IF($HQ$2="Existing",IFERROR(SUMIFS('Existing Customers'!$V:$V,'Existing Customers'!$H:$H,$HO28,'Existing Customers'!$A:$A,$HP$1)/SUMIFS('Existing Customers'!$Q:$Q,'Existing Customers'!$H:$H,$HO28,'Existing Customers'!$A:$A,$HP$1),0),IFERROR(IF($HZ28="SEGMENT",INDEX('Margin Guidence Table'!$A$1:$AG$10000,MATCH(1,('Margin Guidence Table'!$A$1:$A$10000=HX28)*('Margin Guidence Table'!$I$1:$I$10000&lt;=ROUND($HP$3,0))*('Margin Guidence Table'!$J$1:$J$10000&gt;=ROUND($HP$3,0)),0),MATCH("CIA_MEDIAN_MARGIN_GUIDENCE",'Margin Guidence Table'!$A$1:$AG$1,0)),INDEX('Margin Guidence Table'!$A$1:$AG$10000,MATCH(1,('Margin Guidence Table'!$A$1:$A$10000=HX28)*('Margin Guidence Table'!$I$1:$I$10000&lt;=ROUND($HP$3,0))*('Margin Guidence Table'!$J$1:$J$10000&gt;=ROUND($HP$3,0)),0),MATCH("DEFAULT_CIA_MEDIAN_MARGIN_GUIDENCE",'Margin Guidence Table'!$A$1:$AG$1,0))),0)))</f>
        <v>0</v>
      </c>
      <c r="II28" s="126"/>
      <c r="IJ28" s="18">
        <f t="array" ref="IJ28">IF('Customer Inputs'!$W$14="End",0,IFERROR(IF($IW28="SEGMENT",INDEX('Margin Guidence Table'!$A:$AC,MATCH(1,('Margin Guidence Table'!$A:$A=$IU28)*('Margin Guidence Table'!$H:$H&lt;=ROUND($IM$3,0))*('Margin Guidence Table'!$G:$G&gt;=ROUND($IM$3,0)),0),MATCH("PCT_SALES",'Margin Guidence Table'!$A$1:$AG$1,0)),INDEX('Margin Guidence Table'!$A:$AC,MATCH(1,('Margin Guidence Table'!$A:$A=$IU28)*('Margin Guidence Table'!$H:$H&lt;=ROUND($IM$3,0))*('Margin Guidence Table'!$G:$G&gt;=ROUND($IM$3,0)),0),MATCH("DEFAULT_PCT_SALES",'Margin Guidence Table'!$A$1:$AG$1,0))),0))</f>
        <v>0</v>
      </c>
      <c r="IK28" s="297" t="e">
        <f t="shared" si="48"/>
        <v>#DIV/0!</v>
      </c>
      <c r="IL28" s="99" t="s">
        <v>91</v>
      </c>
      <c r="IM28" s="91">
        <f>IF('Customer Inputs'!$W$14="End",0,IFERROR(IF(AND($IM$2&lt;&gt;"Enter Spend&gt;&gt;&gt;",$IN$2="EXISTING"),SUMIFS('Existing Customers'!$Q:$Q,'Existing Customers'!$A:$A,$IM$1,'Existing Customers'!$H:$H,$IL28)*$IM$4,$IM$3*$IK28),0))</f>
        <v>0</v>
      </c>
      <c r="IN28" s="86">
        <f>IF('Customer Inputs'!$W$14="End",0,IFERROR(IF(AND($IM$2&lt;&gt;"Enter Spend&gt;&gt;&gt;",$IN$2="EXISTING"),SUMIFS('Existing Customers'!$N:$N,'Existing Customers'!$A:$A,$IM$1,'Existing Customers'!$H:$H,$IL28)*$IM$4,$IM28/$IX28),0))</f>
        <v>0</v>
      </c>
      <c r="IO28" s="92">
        <f>IF('Customer Inputs'!$W$14="End",0,IFERROR(IF(AND($IM$2&lt;&gt;"Enter Spend&gt;&gt;&gt;",$IN$2="EXISTING"),SUMIFS('Existing Customers'!$O:$O,'Existing Customers'!$H:$H,$IL28,'Existing Customers'!$A:$A,$IM$1)*$IM$4,$IN28*$IM$8),0))</f>
        <v>0</v>
      </c>
      <c r="IP28" s="92">
        <f>IF('Customer Inputs'!$W$14="End",0,IFERROR(IF(AND($IM$2&lt;&gt;"Enter Spend&gt;&gt;&gt;",$IN$2="EXISTING"),SUMIFS('Existing Customers'!$P:$P,'Existing Customers'!$A:$A,$IM$1,'Existing Customers'!$H:$H,$IL28)*$IM$4,$IM28/$IY28),0))</f>
        <v>0</v>
      </c>
      <c r="IQ28" s="303">
        <f>IF('Customer Inputs'!$W$14="End",0,IFERROR(IF(AND($IM$2&lt;&gt;"Enter Spend&gt;&gt;&gt;",$IN$2="EXISTING"),SUMIFS('Existing Customers'!$V:$V,'Existing Customers'!$H:$H,$IL28,'Existing Customers'!$A:$A,$IM$1)*$IM$4,0),0))</f>
        <v>0</v>
      </c>
      <c r="IR28" s="93">
        <f>IF('Customer Inputs'!$W$14="End",0,IFERROR(IF(AND($IM$2&lt;&gt;"Enter Spend&gt;&gt;&gt;",$IN$2="EXISTING"),SUMIFS('Existing Customers'!$R:$R,'Existing Customers'!$H:$H,$IL28,'Existing Customers'!$A:$A,$IM$1)*$IM$4,0),0))</f>
        <v>0</v>
      </c>
      <c r="IS28" s="780">
        <f>IF('Customer Inputs'!$W$14="End",0,IFERROR(IF(AND($IM$2&lt;&gt;"Enter Spend&gt;&gt;&gt;",$IN$2="EXISTING"),SUMIFS('Existing Customers'!$S:$S,'Existing Customers'!$H:$H,$IL28,'Existing Customers'!$A:$A,$IM$1)/SUMIFS('Existing Customers'!$Q:$Q,'Existing Customers'!$A:$A,$IM$1,'Existing Customers'!$H:$H,$IL28),JC28),0))</f>
        <v>0</v>
      </c>
      <c r="IT28" s="780">
        <f>IF('Customer Inputs'!$W$14="End",0,IFERROR(IF(AND($IM$2&lt;&gt;"Enter Spend&gt;&gt;&gt;",$IN$2="EXISTING"),SUMIFS('Existing Customers'!$U:$U,'Existing Customers'!$H:$H,$IL28,'Existing Customers'!$A:$A,$IM$1)/SUMIFS('Existing Customers'!$Q:$Q,'Existing Customers'!$A:$A,$IM$1,'Existing Customers'!$H:$H,$IL28),JD28),0))</f>
        <v>0</v>
      </c>
      <c r="IU28" s="783" t="e">
        <f>_xlfn.CONCAT('Customer Inputs'!$AH$14,"_",IL28)</f>
        <v>#N/A</v>
      </c>
      <c r="IV28" s="783">
        <f t="array" ref="IV28">IF('Customer Inputs'!$W$14="End",0,IFERROR(INDEX('Margin Guidence Table'!$A$1:$AG$10000,MATCH(1,('Margin Guidence Table'!$A$1:$A$10000=IU28)*('Margin Guidence Table'!$I$1:$I$10000&lt;=ROUND($IM$3,0))*('Margin Guidence Table'!$J$1:$J$10000&gt;=ROUND($IM$3,0)),0),MATCH("DATA_POINTS",'Margin Guidence Table'!$A$1:$AG$1,0)),0))</f>
        <v>0</v>
      </c>
      <c r="IW28" s="780" t="str">
        <f t="shared" si="49"/>
        <v>DEFAULT</v>
      </c>
      <c r="IX28" s="780">
        <f t="array" ref="IX28">IF('Customer Inputs'!$W$14="End",0,IFERROR(IF($IW28="SEGMENT",INDEX('Margin Guidence Table'!$A$1:$AG$10000,MATCH(1,('Margin Guidence Table'!$A$1:$A$10000=IU28)*('Margin Guidence Table'!$I$1:$I$10000&lt;=ROUND($IM$3,0))*('Margin Guidence Table'!$J$1:$J$10000&gt;=ROUND($IM$3,0)),0),MATCH("SALES_CASE",'Margin Guidence Table'!$A$1:$AG$1,0)),INDEX('Margin Guidence Table'!$A$1:$AG$10000,MATCH(1,('Margin Guidence Table'!$A$1:$A$10000=IU28)*('Margin Guidence Table'!$I$1:$I$10000&lt;=ROUND($IM$3,0))*('Margin Guidence Table'!$J$1:$J$10000&gt;=ROUND($IM$3,0)),0),MATCH("DEFAULT_SALES_CASE",'Margin Guidence Table'!$A$1:$AG$1,0))),0))</f>
        <v>0</v>
      </c>
      <c r="IY28" s="780">
        <f t="array" ref="IY28">IF('Customer Inputs'!$W$14="End",0,IFERROR(IF($IW28="SEGMENT",INDEX('Margin Guidence Table'!$A$1:$AG$10000,MATCH(1,('Margin Guidence Table'!$A$1:$A$10000=IU28)*('Margin Guidence Table'!$I$1:$I$10000&lt;=ROUND($IM$3,0))*('Margin Guidence Table'!$J$1:$J$10000&gt;=ROUND($IM$3,0)),0),MATCH("SALES_LBS",'Margin Guidence Table'!$A$1:$AG$1,0)),INDEX('Margin Guidence Table'!$A$1:$AG$10000,MATCH(1,('Margin Guidence Table'!$A$1:$A$10000=IU28)*('Margin Guidence Table'!$I$1:$I$10000&lt;=ROUND($IM$3,0))*('Margin Guidence Table'!$J$1:$J$10000&gt;=ROUND($IM$3,0)),0),MATCH("DEFAULT_SALES_LBS",'Margin Guidence Table'!$A$1:$AG$1,0))),0))</f>
        <v>0</v>
      </c>
      <c r="IZ28" s="784">
        <f t="array" ref="IZ28">IF('Customer Inputs'!$W$14="End",0,IFERROR(IF($IW28="SEGMENT",INDEX('Margin Guidence Table'!$A$1:$AG$10000,MATCH(1,('Margin Guidence Table'!$A$1:$A$10000=IU28)*('Margin Guidence Table'!$I$1:$I$10000&lt;=ROUND($IM$3,0))*('Margin Guidence Table'!$J$1:$J$10000&gt;=ROUND($IM$3,0)),0),MATCH("MDA_MIN_MARGIN_GUIDENCE",'Margin Guidence Table'!$A$1:$AG$1,0)),INDEX('Margin Guidence Table'!$A$1:$AG$10000,MATCH(1,('Margin Guidence Table'!$A$1:$A$10000=IU28)*('Margin Guidence Table'!$I$1:$I$10000&lt;=ROUND($IM$3,0))*('Margin Guidence Table'!$J$1:$J$10000&gt;=ROUND($IM$3,0)),0),MATCH("DEFAULT_MDA_MIN_MARGIN_GUIDENCE",'Margin Guidence Table'!$A$1:$AG$1,0))),0))</f>
        <v>0</v>
      </c>
      <c r="JA28" s="784">
        <f t="array" ref="JA28">IF('Customer Inputs'!$W$14="End",0,IFERROR(IF($IW28="SEGMENT",INDEX('Margin Guidence Table'!$A$1:$AG$10000,MATCH(1,('Margin Guidence Table'!$A$1:$A$10000=IU28)*('Margin Guidence Table'!$I$1:$I$10000&lt;=ROUND($IM$3,0))*('Margin Guidence Table'!$J$1:$J$10000&gt;=ROUND($IM$3,0)),0),MATCH("MDA_MEDIAN_MARGIN_GUIDENCE",'Margin Guidence Table'!$A$1:$AG$1,0)),INDEX('Margin Guidence Table'!$A$1:$AG$10000,MATCH(1,('Margin Guidence Table'!$A$1:$A$10000=IU28)*('Margin Guidence Table'!$I$1:$I$10000&lt;=ROUND($IM$3,0))*('Margin Guidence Table'!$J$1:$J$10000&gt;=ROUND($IM$3,0)),0),MATCH("DEFAULT_MDA_MEDIAN_MARGIN_GUIDENCE",'Margin Guidence Table'!$A$1:$AG$1,0))),0))</f>
        <v>0</v>
      </c>
      <c r="JB28" s="784">
        <f t="array" ref="JB28">IF('Customer Inputs'!$W$14="End",0,IFERROR(IF($IW28="SEGMENT",INDEX('Margin Guidence Table'!$A$1:$AG$10000,MATCH(1,('Margin Guidence Table'!$A$1:$A$10000=IU28)*('Margin Guidence Table'!$I$1:$I$10000&lt;=ROUND($IM$3,0))*('Margin Guidence Table'!$J$1:$J$10000&gt;=ROUND($IM$3,0)),0),MATCH("MDA_MAX_MARGIN_GUIDENCE",'Margin Guidence Table'!$A$1:$AG$1,0)),INDEX('Margin Guidence Table'!$A$1:$AG$10000,MATCH(1,('Margin Guidence Table'!$A$1:$A$10000=IU28)*('Margin Guidence Table'!$I$1:$I$10000&lt;=ROUND($IM$3,0))*('Margin Guidence Table'!$J$1:$J$10000&gt;=ROUND($IM$3,0)),0),MATCH("DEFAULT_MDA_MAX_MARGIN_GUIDENCE",'Margin Guidence Table'!$A$1:$AG$1,0))),0))</f>
        <v>0</v>
      </c>
      <c r="JC28" s="784">
        <f t="array" ref="JC28">IF('Customer Inputs'!$W$14="End",0,IFERROR(IF($IW28="SEGMENT",INDEX('Margin Guidence Table'!$A$1:$AG$10000,MATCH(1,('Margin Guidence Table'!$A$1:$A$10000=IU28)*('Margin Guidence Table'!$I$1:$I$10000&lt;=ROUND($IM$3,0))*('Margin Guidence Table'!$J$1:$J$10000&gt;=ROUND($IM$3,0)),0),MATCH("PA_PCT_SALES",'Margin Guidence Table'!$A$1:$AG$1,0)),INDEX('Margin Guidence Table'!$A$1:$AG$10000,MATCH(1,('Margin Guidence Table'!$A$1:$A$10000=IU28)*('Margin Guidence Table'!$I$1:$I$10000&lt;=ROUND($IM$3,0))*('Margin Guidence Table'!$J$1:$J$10000&gt;=ROUND($IM$3,0)),0),MATCH("DEFAULT_PA_PCT_SALES",'Margin Guidence Table'!$A$1:$AG$1,0))),0))</f>
        <v>0</v>
      </c>
      <c r="JD28" s="784">
        <f t="array" ref="JD28">IF('Customer Inputs'!$W$14="End",0,IFERROR(IF($IW28="SEGMENT",INDEX('Margin Guidence Table'!$A$1:$AG$10000,MATCH(1,('Margin Guidence Table'!$A$1:$A$10000=IU28)*('Margin Guidence Table'!$I$1:$I$10000&lt;=ROUND($IM$3,0))*('Margin Guidence Table'!$J$1:$J$10000&gt;=ROUND($IM$3,0)),0),MATCH("SELF_FUND_PCT_SALES",'Margin Guidence Table'!$A$1:$AG$1,0)),INDEX('Margin Guidence Table'!$A$1:$AG$10000,MATCH(1,('Margin Guidence Table'!$A$1:$A$10000=IU28)*('Margin Guidence Table'!$I$1:$I$10000&lt;=ROUND($IM$3,0))*('Margin Guidence Table'!$J$1:$J$10000&gt;=ROUND($IM$3,0)),0),MATCH("DEFAULT_SELF_FUND_PCT_SALES",'Margin Guidence Table'!$A$1:$AG$1,0))),0))</f>
        <v>0</v>
      </c>
      <c r="JE28" s="784">
        <f t="array" ref="JE28">IF('Customer Inputs'!$W$14="End",0,IF($IN$2="Existing",IFERROR(SUMIFS('Existing Customers'!$V:$V,'Existing Customers'!$H:$H,$IL28,'Existing Customers'!$A:$A,$IM$1)/SUMIFS('Existing Customers'!$Q:$Q,'Existing Customers'!$H:$H,$IL28,'Existing Customers'!$A:$A,$IM$1),0),IFERROR(IF($IW28="SEGMENT",INDEX('Margin Guidence Table'!$A$1:$AG$10000,MATCH(1,('Margin Guidence Table'!$A$1:$A$10000=IU28)*('Margin Guidence Table'!$I$1:$I$10000&lt;=ROUND($IM$3,0))*('Margin Guidence Table'!$J$1:$J$10000&gt;=ROUND($IM$3,0)),0),MATCH("CIA_MEDIAN_MARGIN_GUIDENCE",'Margin Guidence Table'!$A$1:$AG$1,0)),INDEX('Margin Guidence Table'!$A$1:$AG$10000,MATCH(1,('Margin Guidence Table'!$A$1:$A$10000=IU28)*('Margin Guidence Table'!$I$1:$I$10000&lt;=ROUND($IM$3,0))*('Margin Guidence Table'!$J$1:$J$10000&gt;=ROUND($IM$3,0)),0),MATCH("DEFAULT_CIA_MEDIAN_MARGIN_GUIDENCE",'Margin Guidence Table'!$A$1:$AG$1,0))),0)))</f>
        <v>0</v>
      </c>
      <c r="JF28" s="126"/>
      <c r="JG28" s="18">
        <f t="array" ref="JG28">IF('Customer Inputs'!$W$15="End",0,IFERROR(IF($JT28="SEGMENT",INDEX('Margin Guidence Table'!$A$1:$AG$10000,MATCH(1,('Margin Guidence Table'!$A$1:$A$10000=$JR28)*('Margin Guidence Table'!$I$1:$I$10000&lt;=ROUND($JJ$3,0))*('Margin Guidence Table'!$J$1:$J$10000&gt;=ROUND($JJ$3,0)),0),MATCH("PCT_SALES",'Margin Guidence Table'!$A$1:$AG$1,0)),INDEX('Margin Guidence Table'!$A$1:$AG$10000,MATCH(1,('Margin Guidence Table'!$A$1:$A$10000=$JR28)*('Margin Guidence Table'!$I$1:$I$10000&lt;=ROUND($JJ$3,0))*('Margin Guidence Table'!$J$1:$J$10000&gt;=ROUND($JJ$3,0)),0),MATCH("DEFAULT_PCT_SALES",'Margin Guidence Table'!$A$1:$AG$1,0))),0))</f>
        <v>0</v>
      </c>
      <c r="JH28" s="297" t="e">
        <f t="shared" si="50"/>
        <v>#DIV/0!</v>
      </c>
      <c r="JI28" s="99" t="s">
        <v>91</v>
      </c>
      <c r="JJ28" s="91">
        <f>IF('Customer Inputs'!$W$15="End",0,IFERROR(IF(AND($JJ$2&lt;&gt;"Enter Spend&gt;&gt;&gt;",$JK$2="EXISTING"),SUMIFS('Existing Customers'!$Q:$Q,'Existing Customers'!$A:$A,$JJ$1,'Existing Customers'!$H:$H,$JI28)*$JJ$4,$JJ$3*$JH28),0))</f>
        <v>0</v>
      </c>
      <c r="JK28" s="86">
        <f>IF('Customer Inputs'!$W$15="End",0,IFERROR(IF(AND($JJ$2&lt;&gt;"Enter Spend&gt;&gt;&gt;",$JK$2="EXISTING"),SUMIFS('Existing Customers'!$N:$N,'Existing Customers'!$A:$A,$JJ$1,'Existing Customers'!$H:$H,$JI28)*$JJ$4,$JJ28/$JU28),0))</f>
        <v>0</v>
      </c>
      <c r="JL28" s="92">
        <f>IF('Customer Inputs'!$W$15="End",0,IFERROR(IF(AND($JJ$2&lt;&gt;"Enter Spend&gt;&gt;&gt;",$JK$2="EXISTING"),SUMIFS('Existing Customers'!$O:$O,'Existing Customers'!$H:$H,$JI28,'Existing Customers'!$A:$A,$JJ$1)*$JJ$4,$JK28*$JJ$8),0))</f>
        <v>0</v>
      </c>
      <c r="JM28" s="92">
        <f>IF('Customer Inputs'!$W$15="End",0,IFERROR(IF(AND($JJ$2&lt;&gt;"Enter Spend&gt;&gt;&gt;",$JK$2="EXISTING"),SUMIFS('Existing Customers'!$P:$P,'Existing Customers'!$A:$A,$JJ$1,'Existing Customers'!$H:$H,$JI28)*$JJ$4,$JJ28/$JV28),0))</f>
        <v>0</v>
      </c>
      <c r="JN28" s="303">
        <f>IF('Customer Inputs'!$W$15="End",0,IFERROR(IF(AND($JJ$2&lt;&gt;"Enter Spend&gt;&gt;&gt;",$JK$2="EXISTING"),SUMIFS('Existing Customers'!$V:$V,'Existing Customers'!$H:$H,$JI28,'Existing Customers'!$A:$A,$JJ$1)*$JJ$4,0),0))</f>
        <v>0</v>
      </c>
      <c r="JO28" s="93">
        <f>IF('Customer Inputs'!$W$15="End",0,IFERROR(IF(AND($JJ$2&lt;&gt;"Enter Spend&gt;&gt;&gt;",$JK$2="EXISTING"),SUMIFS('Existing Customers'!$R:$R,'Existing Customers'!$H:$H,$JI28,'Existing Customers'!$A:$A,$JJ$1)*$JJ$4,0),0))</f>
        <v>0</v>
      </c>
      <c r="JP28" s="780">
        <f>IF('Customer Inputs'!$W$15="End",0,IFERROR(IF(AND($JJ$2&lt;&gt;"Enter Spend&gt;&gt;&gt;",$JK$2="EXISTING"),SUMIFS('Existing Customers'!$S:$S,'Existing Customers'!$H:$H,$JI28,'Existing Customers'!$A:$A,$JJ$1)/SUMIFS('Existing Customers'!$Q:$Q,'Existing Customers'!$A:$A,$JJ$1,'Existing Customers'!$H:$H,$JI28),JZ28),0))</f>
        <v>0</v>
      </c>
      <c r="JQ28" s="780">
        <f>IF('Customer Inputs'!$W$15="End",0,IFERROR(IF(AND($JJ$2&lt;&gt;"Enter Spend&gt;&gt;&gt;",$JK$2="EXISTING"),SUMIFS('Existing Customers'!$U:$U,'Existing Customers'!$H:$H,$JI28,'Existing Customers'!$A:$A,$JJ$1)/SUMIFS('Existing Customers'!$Q:$Q,'Existing Customers'!$A:$A,$JJ$1,'Existing Customers'!$H:$H,$JI28),KA28),0))</f>
        <v>0</v>
      </c>
      <c r="JR28" s="783" t="e">
        <f>_xlfn.CONCAT('Customer Inputs'!$AH$15,"_",JI28)</f>
        <v>#N/A</v>
      </c>
      <c r="JS28" s="783">
        <f t="array" ref="JS28">IF('Customer Inputs'!$W$15="End",0,IFERROR(INDEX('Margin Guidence Table'!$A$1:$AG$10000,MATCH(1,('Margin Guidence Table'!$A$1:$A$10000=JR28)*('Margin Guidence Table'!$I$1:$I$10000&lt;=ROUND($JJ$3,0))*('Margin Guidence Table'!$J$1:$J$10000&gt;=ROUND($JJ$3,0)),0),MATCH("DATA_POINTS",'Margin Guidence Table'!$A$1:$AG$1,0)),0))</f>
        <v>0</v>
      </c>
      <c r="JT28" s="780" t="str">
        <f t="shared" si="51"/>
        <v>DEFAULT</v>
      </c>
      <c r="JU28" s="780">
        <f t="array" ref="JU28">IF('Customer Inputs'!$W$15="End",0,IFERROR(IF($JT28="SEGMENT",INDEX('Margin Guidence Table'!$A$1:$AG$10000,MATCH(1,('Margin Guidence Table'!$A$1:$A$10000=JR28)*('Margin Guidence Table'!$I$1:$I$10000&lt;=ROUND($JJ$3,0))*('Margin Guidence Table'!$J$1:$J$10000&gt;=ROUND($JJ$3,0)),0),MATCH("SALES_CASE",'Margin Guidence Table'!$A$1:$AG$1,0)),INDEX('Margin Guidence Table'!$A$1:$AG$10000,MATCH(1,('Margin Guidence Table'!$A$1:$A$10000=JR28)*('Margin Guidence Table'!$I$1:$I$10000&lt;=ROUND($JJ$3,0))*('Margin Guidence Table'!$J$1:$J$10000&gt;=ROUND($JJ$3,0)),0),MATCH("DEFAULT_SALES_CASE",'Margin Guidence Table'!$A$1:$AG$1,0))),0))</f>
        <v>0</v>
      </c>
      <c r="JV28" s="780">
        <f t="array" ref="JV28">IF('Customer Inputs'!$W$15="End",0,IFERROR(IF($JT28="SEGMENT",INDEX('Margin Guidence Table'!$A$1:$AG$10000,MATCH(1,('Margin Guidence Table'!$A$1:$A$10000=JR28)*('Margin Guidence Table'!$I$1:$I$10000&lt;=ROUND($JJ$3,0))*('Margin Guidence Table'!$J$1:$J$10000&gt;=ROUND($JJ$3,0)),0),MATCH("SALES_LBS",'Margin Guidence Table'!$A$1:$AG$1,0)),INDEX('Margin Guidence Table'!$A$1:$AG$10000,MATCH(1,('Margin Guidence Table'!$A$1:$A$10000=JR28)*('Margin Guidence Table'!$I$1:$I$10000&lt;=ROUND($JJ$3,0))*('Margin Guidence Table'!$J$1:$J$10000&gt;=ROUND($JJ$3,0)),0),MATCH("DEFAULT_SALES_LBS",'Margin Guidence Table'!$A$1:$AG$1,0))),0))</f>
        <v>0</v>
      </c>
      <c r="JW28" s="784">
        <f t="array" ref="JW28">IF('Customer Inputs'!$W$15="End",0,IFERROR(IF($JT28="SEGMENT",INDEX('Margin Guidence Table'!$A$1:$AG$10000,MATCH(1,('Margin Guidence Table'!$A$1:$A$10000=JR28)*('Margin Guidence Table'!$I$1:$I$10000&lt;=ROUND($JJ$3,0))*('Margin Guidence Table'!$J$1:$J$10000&gt;=ROUND($JJ$3,0)),0),MATCH("MDA_MIN_MARGIN_GUIDENCE",'Margin Guidence Table'!$A$1:$AG$1,0)),INDEX('Margin Guidence Table'!$A$1:$AG$10000,MATCH(1,('Margin Guidence Table'!$A$1:$A$10000=JR28)*('Margin Guidence Table'!$I$1:$I$10000&lt;=ROUND($JJ$3,0))*('Margin Guidence Table'!$J$1:$J$10000&gt;=ROUND($JJ$3,0)),0),MATCH("DEFAULT_MDA_MIN_MARGIN_GUIDENCE",'Margin Guidence Table'!$A$1:$AG$1,0))),0))</f>
        <v>0</v>
      </c>
      <c r="JX28" s="784">
        <f t="array" ref="JX28">IF('Customer Inputs'!$W$15="End",0,IFERROR(IF($JT28="SEGMENT",INDEX('Margin Guidence Table'!$A$1:$AG$10000,MATCH(1,('Margin Guidence Table'!$A$1:$A$10000=JR28)*('Margin Guidence Table'!$I$1:$I$10000&lt;=ROUND($JJ$3,0))*('Margin Guidence Table'!$J$1:$J$10000&gt;=ROUND($JJ$3,0)),0),MATCH("MDA_MEDIAN_MARGIN_GUIDENCE",'Margin Guidence Table'!$A$1:$AG$1,0)),INDEX('Margin Guidence Table'!$A$1:$AG$10000,MATCH(1,('Margin Guidence Table'!$A$1:$A$10000=JR28)*('Margin Guidence Table'!$I$1:$I$10000&lt;=ROUND($JJ$3,0))*('Margin Guidence Table'!$J$1:$J$10000&gt;=ROUND($JJ$3,0)),0),MATCH("DEFAULT_MDA_MEDIAN_MARGIN_GUIDENCE",'Margin Guidence Table'!$A$1:$AG$1,0))),0))</f>
        <v>0</v>
      </c>
      <c r="JY28" s="784">
        <f t="array" ref="JY28">IF('Customer Inputs'!$W$15="End",0,IFERROR(IF($JT28="SEGMENT",INDEX('Margin Guidence Table'!$A$1:$AG$10000,MATCH(1,('Margin Guidence Table'!$A$1:$A$10000=JR28)*('Margin Guidence Table'!$I$1:$I$10000&lt;=ROUND($JJ$3,0))*('Margin Guidence Table'!$J$1:$J$10000&gt;=ROUND($JJ$3,0)),0),MATCH("MDA_MAX_MARGIN_GUIDENCE",'Margin Guidence Table'!$A$1:$AG$1,0)),INDEX('Margin Guidence Table'!$A$1:$AG$10000,MATCH(1,('Margin Guidence Table'!$A$1:$A$10000=JR28)*('Margin Guidence Table'!$I$1:$I$10000&lt;=ROUND($JJ$3,0))*('Margin Guidence Table'!$J$1:$J$10000&gt;=ROUND($JJ$3,0)),0),MATCH("DEFAULT_MDA_MAX_MARGIN_GUIDENCE",'Margin Guidence Table'!$A$1:$AG$1,0))),0))</f>
        <v>0</v>
      </c>
      <c r="JZ28" s="784">
        <f t="array" ref="JZ28">IF('Customer Inputs'!$W$15="End",0,IFERROR(IF($JT28="SEGMENT",INDEX('Margin Guidence Table'!$A$1:$AG$10000,MATCH(1,('Margin Guidence Table'!$A$1:$A$10000=JR28)*('Margin Guidence Table'!$I$1:$I$10000&lt;=ROUND($JJ$3,0))*('Margin Guidence Table'!$J$1:$J$10000&gt;=ROUND($JJ$3,0)),0),MATCH("PA_PCT_SALES",'Margin Guidence Table'!$A$1:$AG$1,0)),INDEX('Margin Guidence Table'!$A$1:$AG$10000,MATCH(1,('Margin Guidence Table'!$A$1:$A$10000=JR28)*('Margin Guidence Table'!$I$1:$I$10000&lt;=ROUND($JJ$3,0))*('Margin Guidence Table'!$J$1:$J$10000&gt;=ROUND($JJ$3,0)),0),MATCH("DEFAULT_PA_PCT_SALES",'Margin Guidence Table'!$A$1:$AG$1,0))),0))</f>
        <v>0</v>
      </c>
      <c r="KA28" s="784" cm="1">
        <f t="array" ref="KA28">IF('Customer Inputs'!$W$15="End",0,IFERROR(IF($JT28="SEGMENT",INDEX('Margin Guidence Table'!$A$1:$AG$10000,MATCH(1,('Margin Guidence Table'!$A$1:$A$10000=JR28)*('Margin Guidence Table'!$I$1:$I$10000&lt;=ROUND($JJ$3,0))*('Margin Guidence Table'!$J$1:$J$10000&gt;=ROUND($JJ$3,0)),0),MATCH("SELF_FUND_PCT_SALES",'Margin Guidence Table'!$A$1:$AG$1,0)),INDEX('Margin Guidence Table'!$A$1:$AG$10000,MATCH(1,('Margin Guidence Table'!$A$1:$A$10000=JR28)*('Margin Guidence Table'!$I$1:$I$10000&lt;=ROUND($JJ$3,0))*('Margin Guidence Table'!$J$1:$J$10000&gt;=ROUND($JJ$3,0)),0),MATCH("DEFAULT_SELF_FUND_PCT_SALES",'Margin Guidence Table'!$A$1:$AG$1,0))),0))</f>
        <v>0</v>
      </c>
      <c r="KB28" s="784">
        <f t="array" ref="KB28">IF('Customer Inputs'!$W$15="End",0,IF($JK$2="Existing",IFERROR(SUMIFS('Existing Customers'!$V:$V,'Existing Customers'!$H:$H,$JI28,'Existing Customers'!$A:$A,$JJ$1)/SUMIFS('Existing Customers'!$Q:$Q,'Existing Customers'!$H:$H,$JI28,'Existing Customers'!$A:$A,$JJ$1),0),IFERROR(IF($JT28="SEGMENT",INDEX('Margin Guidence Table'!$A$1:$AG$10000,MATCH(1,('Margin Guidence Table'!$A$1:$A$10000=JR28)*('Margin Guidence Table'!$I$1:$I$10000&lt;=ROUND($JJ$3,0))*('Margin Guidence Table'!$J$1:$J$10000&gt;=ROUND($JJ$3,0)),0),MATCH("CIA_MEDIAN_MARGIN_GUIDENCE",'Margin Guidence Table'!$A$1:$AG$1,0)),INDEX('Margin Guidence Table'!$A$1:$AG$10000,MATCH(1,('Margin Guidence Table'!$A$1:$A$10000=JR28)*('Margin Guidence Table'!$I$1:$I$10000&lt;=ROUND($JJ$3,0))*('Margin Guidence Table'!$J$1:$J$10000&gt;=ROUND($JJ$3,0)),0),MATCH("DEFAULT_CIA_MEDIAN_MARGIN_GUIDENCE",'Margin Guidence Table'!$A$1:$AG$1,0))),0)))</f>
        <v>0</v>
      </c>
      <c r="KC28" s="784"/>
      <c r="KD28" s="18">
        <f t="array" ref="KD28">IF('Customer Inputs'!$W$16="End",0,IFERROR(IF($KQ28="SEGMENT",INDEX('Margin Guidence Table'!$A$1:$AG$10000,MATCH(1,('Margin Guidence Table'!$A$1:$A$10000=$KO28)*('Margin Guidence Table'!$I$1:$I$10000&lt;=ROUND($KG$3,0))*('Margin Guidence Table'!$J$1:$J$10000&gt;=ROUND($KG$3,0)),0),MATCH("PCT_SALES",'Margin Guidence Table'!$A$1:$AG$1,0)),INDEX('Margin Guidence Table'!$A$1:$AG$10000,MATCH(1,('Margin Guidence Table'!$A$1:$A$10000=$KO28)*('Margin Guidence Table'!$I$1:$I$10000&lt;=ROUND($KG$3,0))*('Margin Guidence Table'!$J$1:$J$10000&gt;=ROUND($KG$3,0)),0),MATCH("DEFAULT_PCT_SALES",'Margin Guidence Table'!$A$1:$AG$1,0))),0))</f>
        <v>0</v>
      </c>
      <c r="KE28" s="1713" t="e">
        <f t="shared" si="52"/>
        <v>#DIV/0!</v>
      </c>
      <c r="KF28" s="99" t="s">
        <v>91</v>
      </c>
      <c r="KG28" s="91">
        <f>IF('Customer Inputs'!$W$16="End",0,IFERROR(IF(AND($KG$2&lt;&gt;"Enter Spend&gt;&gt;&gt;",$KH$2="EXISTING"),SUMIFS('Existing Customers'!$Q:$Q,'Existing Customers'!$A:$A,$KG$1,'Existing Customers'!$H:$H,$KF28)*$KG$4,$KG$3*$KE28),0))</f>
        <v>0</v>
      </c>
      <c r="KH28" s="86">
        <f>IF('Customer Inputs'!$W$16="End",0,IFERROR(IF(AND($KG$2&lt;&gt;"Enter Spend&gt;&gt;&gt;",$KH$2="EXISTING"),SUMIFS('Existing Customers'!$N:$N,'Existing Customers'!$A:$A,$KG$1,'Existing Customers'!$H:$H,$KF28)*$KG$4,$KG28/$KR28),0))</f>
        <v>0</v>
      </c>
      <c r="KI28" s="92">
        <f>IF('Customer Inputs'!$W$16="End",0,IFERROR(IF(AND($KG$2&lt;&gt;"Enter Spend&gt;&gt;&gt;",$KH$2="EXISTING"),SUMIFS('Existing Customers'!$O:$O,'Existing Customers'!$H:$H,$KF28,'Existing Customers'!$A:$A,$KG$1)*$KG$4,$KH28*$KG$8),0))</f>
        <v>0</v>
      </c>
      <c r="KJ28" s="92">
        <f>IF('Customer Inputs'!$W$16="End",0,IFERROR(IF(AND($KG$2&lt;&gt;"Enter Spend&gt;&gt;&gt;",$KH$2="EXISTING"),SUMIFS('Existing Customers'!$P:$P,'Existing Customers'!$A:$A,$KG$1,'Existing Customers'!$H:$H,$KF28)*$KG$4,$KG28/$KS28),0))</f>
        <v>0</v>
      </c>
      <c r="KK28" s="303">
        <f>IF('Customer Inputs'!$W$16="End",0,IFERROR(IF(AND($KG$2&lt;&gt;"Enter Spend&gt;&gt;&gt;",$KH$2="EXISTING"),SUMIFS('Existing Customers'!$V:$V,'Existing Customers'!$H:$H,$KF28,'Existing Customers'!$A:$A,$KG$1)*$KG$4,0),0))</f>
        <v>0</v>
      </c>
      <c r="KL28" s="93">
        <f>IF('Customer Inputs'!$W$16="End",0,IFERROR(IF(AND($KG$2&lt;&gt;"Enter Spend&gt;&gt;&gt;",$KH$2="EXISTING"),SUMIFS('Existing Customers'!$R:$R,'Existing Customers'!$H:$H,$KF28,'Existing Customers'!$A:$A,$KG$1)*$KG$4,0),0))</f>
        <v>0</v>
      </c>
      <c r="KM28" s="780">
        <f>IF('Customer Inputs'!$W$16="End",0,IFERROR(IF(AND($KG$2&lt;&gt;"Enter Spend&gt;&gt;&gt;",$KH$2="EXISTING"),SUMIFS('Existing Customers'!$S:$S,'Existing Customers'!$H:$H,$KF28,'Existing Customers'!$A:$A,$KG$1)/SUMIFS('Existing Customers'!$Q:$Q,'Existing Customers'!$A:$A,$KG$1,'Existing Customers'!$H:$H,$KF28),KW28),0))</f>
        <v>0</v>
      </c>
      <c r="KN28" s="780">
        <f>IF('Customer Inputs'!$W$16="End",0,IFERROR(IF(AND($KG$2&lt;&gt;"Enter Spend&gt;&gt;&gt;",$KH$2="EXISTING"),SUMIFS('Existing Customers'!$U:$U,'Existing Customers'!$H:$H,$KF28,'Existing Customers'!$A:$A,$KG$1)/SUMIFS('Existing Customers'!$Q:$Q,'Existing Customers'!$A:$A,$KG$1,'Existing Customers'!$H:$H,$KF28),KX28),0))</f>
        <v>0</v>
      </c>
      <c r="KO28" s="783" t="e">
        <f>_xlfn.CONCAT('Customer Inputs'!$AH$16,"_",KF28)</f>
        <v>#N/A</v>
      </c>
      <c r="KP28" s="783">
        <f t="array" ref="KP28">IF('Customer Inputs'!$W$16="End",0,IFERROR(INDEX('Margin Guidence Table'!$A$1:$AG$10000,MATCH(1,('Margin Guidence Table'!$A$1:$A$10000=KO28)*('Margin Guidence Table'!$I$1:$I$10000&lt;=ROUND($KG$3,0))*('Margin Guidence Table'!$J$1:$J$10000&gt;=ROUND($KG$3,0)),0),MATCH("DATA_POINTS",'Margin Guidence Table'!$A$1:$AG$1,0)),0))</f>
        <v>0</v>
      </c>
      <c r="KQ28" s="780" t="str">
        <f t="shared" si="53"/>
        <v>DEFAULT</v>
      </c>
      <c r="KR28" s="780">
        <f t="array" ref="KR28">IF('Customer Inputs'!$W$16="End",0,IFERROR(IF($KQ28="SEGMENT",INDEX('Margin Guidence Table'!$A$1:$AG$10000,MATCH(1,('Margin Guidence Table'!$A$1:$A$10000=KO28)*('Margin Guidence Table'!$I$1:$I$10000&lt;=ROUND($KG$3,0))*('Margin Guidence Table'!$J$1:$J$10000&gt;=ROUND($KG$3,0)),0),MATCH("SALES_CASE",'Margin Guidence Table'!$A$1:$AG$1,0)),INDEX('Margin Guidence Table'!$A$1:$AG$10000,MATCH(1,('Margin Guidence Table'!$A$1:$A$10000=KO28)*('Margin Guidence Table'!$I$1:$I$10000&lt;=ROUND($KG$3,0))*('Margin Guidence Table'!$J$1:$J$10000&gt;=ROUND($KG$3,0)),0),MATCH("DEFAULT_SALES_CASE",'Margin Guidence Table'!$A$1:$AG$1,0))),0))</f>
        <v>0</v>
      </c>
      <c r="KS28" s="780">
        <f t="array" ref="KS28">IF('Customer Inputs'!$W$16="End",0,IFERROR(IF($KQ28="SEGMENT",INDEX('Margin Guidence Table'!$A$1:$AG$10000,MATCH(1,('Margin Guidence Table'!$A$1:$A$10000=KO28)*('Margin Guidence Table'!$I$1:$I$10000&lt;=ROUND($KG$3,0))*('Margin Guidence Table'!$J$1:$J$10000&gt;=ROUND($KG$3,0)),0),MATCH("SALES_LBS",'Margin Guidence Table'!$A$1:$AG$1,0)),INDEX('Margin Guidence Table'!$A$1:$AG$10000,MATCH(1,('Margin Guidence Table'!$A$1:$A$10000=KO28)*('Margin Guidence Table'!$I$1:$I$10000&lt;=ROUND($KG$3,0))*('Margin Guidence Table'!$J$1:$J$10000&gt;=ROUND($KG$3,0)),0),MATCH("DEFAULT_SALES_LBS",'Margin Guidence Table'!$A$1:$AG$1,0))),0))</f>
        <v>0</v>
      </c>
      <c r="KT28" s="784">
        <f t="array" ref="KT28">IF('Customer Inputs'!$W$16="End",0,IFERROR(IF($KQ28="SEGMENT",INDEX('Margin Guidence Table'!$A$1:$AG$10000,MATCH(1,('Margin Guidence Table'!$A$1:$A$10000=KO28)*('Margin Guidence Table'!$I$1:$I$10000&lt;=ROUND($KG$3,0))*('Margin Guidence Table'!$J$1:$J$10000&gt;=ROUND($KG$3,0)),0),MATCH("MDA_MIN_MARGIN_GUIDENCE",'Margin Guidence Table'!$A$1:$AG$1,0)),INDEX('Margin Guidence Table'!$A$1:$AG$10000,MATCH(1,('Margin Guidence Table'!$A$1:$A$10000=KO28)*('Margin Guidence Table'!$I$1:$I$10000&lt;=ROUND($KG$3,0))*('Margin Guidence Table'!$J$1:$J$10000&gt;=ROUND($KG$3,0)),0),MATCH("DEFAULT_MDA_MIN_MARGIN_GUIDENCE",'Margin Guidence Table'!$A$1:$AG$1,0))),0))</f>
        <v>0</v>
      </c>
      <c r="KU28" s="784">
        <f t="array" ref="KU28">IF('Customer Inputs'!$W$16="End",0,IFERROR(IF($KQ28="SEGMENT",INDEX('Margin Guidence Table'!$A$1:$AG$10000,MATCH(1,('Margin Guidence Table'!$A$1:$A$10000=KO28)*('Margin Guidence Table'!$I$1:$I$10000&lt;=ROUND($KG$3,0))*('Margin Guidence Table'!$J$1:$J$10000&gt;=ROUND($KG$3,0)),0),MATCH("MDA_MEDIAN_MARGIN_GUIDENCE",'Margin Guidence Table'!$A$1:$AG$1,0)),INDEX('Margin Guidence Table'!$A$1:$AG$10000,MATCH(1,('Margin Guidence Table'!$A$1:$A$10000=KO28)*('Margin Guidence Table'!$I$1:$I$10000&lt;=ROUND($KG$3,0))*('Margin Guidence Table'!$J$1:$J$10000&gt;=ROUND($KG$3,0)),0),MATCH("DEFAULT_MDA_MEDIAN_MARGIN_GUIDENCE",'Margin Guidence Table'!$A$1:$AG$1,0))),0))</f>
        <v>0</v>
      </c>
      <c r="KV28" s="784">
        <f t="array" ref="KV28">IF('Customer Inputs'!$W$16="End",0,IFERROR(IF($KQ28="SEGMENT",INDEX('Margin Guidence Table'!$A$1:$AG$10000,MATCH(1,('Margin Guidence Table'!$A$1:$A$10000=KO28)*('Margin Guidence Table'!$I$1:$I$10000&lt;=ROUND($KG$3,0))*('Margin Guidence Table'!$J$1:$J$10000&gt;=ROUND($KG$3,0)),0),MATCH("MDA_MAX_MARGIN_GUIDENCE",'Margin Guidence Table'!$A$1:$AG$1,0)),INDEX('Margin Guidence Table'!$A$1:$AG$10000,MATCH(1,('Margin Guidence Table'!$A$1:$A$10000=KO28)*('Margin Guidence Table'!$I$1:$I$10000&lt;=ROUND($KG$3,0))*('Margin Guidence Table'!$J$1:$J$10000&gt;=ROUND($KG$3,0)),0),MATCH("DEFAULT_MDA_MAX_MARGIN_GUIDENCE",'Margin Guidence Table'!$A$1:$AG$1,0))),0))</f>
        <v>0</v>
      </c>
      <c r="KW28" s="784">
        <f t="array" ref="KW28">IF('Customer Inputs'!$W$16="End",0,IFERROR(IF($KQ28="SEGMENT",INDEX('Margin Guidence Table'!$A$1:$AG$10000,MATCH(1,('Margin Guidence Table'!$A$1:$A$10000=KO28)*('Margin Guidence Table'!$I$1:$I$10000&lt;=ROUND($KG$3,0))*('Margin Guidence Table'!$J$1:$J$10000&gt;=ROUND($KG$3,0)),0),MATCH("PA_PCT_SALES",'Margin Guidence Table'!$A$1:$AG$1,0)),INDEX('Margin Guidence Table'!$A$1:$AG$10000,MATCH(1,('Margin Guidence Table'!$A$1:$A$10000=KO28)*('Margin Guidence Table'!$I$1:$I$10000&lt;=ROUND($KG$3,0))*('Margin Guidence Table'!$J$1:$J$10000&gt;=ROUND($KG$3,0)),0),MATCH("DEFAULT_PA_PCT_SALES",'Margin Guidence Table'!$A$1:$AG$1,0))),0))</f>
        <v>0</v>
      </c>
      <c r="KX28" s="784">
        <f t="array" ref="KX28">IF('Customer Inputs'!$W$16="End",0,IFERROR(IF($KQ28="SEGMENT",INDEX('Margin Guidence Table'!$A$1:$AG$10000,MATCH(1,('Margin Guidence Table'!$A$1:$A$10000=KO28)*('Margin Guidence Table'!$I$1:$I$10000&lt;=ROUND($KG$3,0))*('Margin Guidence Table'!$J$1:$J$10000&gt;=ROUND($KG$3,0)),0),MATCH("SELF_FUND_PCT_SALES",'Margin Guidence Table'!$A$1:$AG$1,0)),INDEX('Margin Guidence Table'!$A$1:$AG$10000,MATCH(1,('Margin Guidence Table'!$A$1:$A$10000=KO28)*('Margin Guidence Table'!$I$1:$I$10000&lt;=ROUND($KG$3,0))*('Margin Guidence Table'!$J$1:$J$10000&gt;=ROUND($KG$3,0)),0),MATCH("DEFAULT_SELF_FUND_PCT_SALES",'Margin Guidence Table'!$A$1:$AG$1,0))),0))</f>
        <v>0</v>
      </c>
      <c r="KY28" s="784">
        <f t="array" ref="KY28">IF('Customer Inputs'!$W$16="End",0,IF($KH$2="Existing",IFERROR(SUMIFS('Existing Customers'!$V:$V,'Existing Customers'!$H:$H,$KF28,'Existing Customers'!$A:$A,$KG$1)/SUMIFS('Existing Customers'!$Q:$Q,'Existing Customers'!$H:$H,$KF28,'Existing Customers'!$A:$A,$KG$1),0),IFERROR(IF($KQ28="SEGMENT",INDEX('Margin Guidence Table'!$A$1:$AG$10000,MATCH(1,('Margin Guidence Table'!$A$1:$A$10000=KO28)*('Margin Guidence Table'!$I$1:$I$10000&lt;=ROUND($KG$3,0))*('Margin Guidence Table'!$J$1:$J$10000&gt;=ROUND($KG$3,0)),0),MATCH("CIA_MEDIAN_MARGIN_GUIDENCE",'Margin Guidence Table'!$A$1:$AG$1,0)),INDEX('Margin Guidence Table'!$A$1:$AG$10000,MATCH(1,('Margin Guidence Table'!$A$1:$A$10000=KO28)*('Margin Guidence Table'!$I$1:$I$10000&lt;=ROUND($KG$3,0))*('Margin Guidence Table'!$J$1:$J$10000&gt;=ROUND($KG$3,0)),0),MATCH("DEFAULT_CIA_MEDIAN_MARGIN_GUIDENCE",'Margin Guidence Table'!$A$1:$AG$1,0))),0)))</f>
        <v>0</v>
      </c>
      <c r="KZ28" s="784"/>
      <c r="LA28" s="18">
        <f t="array" ref="LA28">IF('Customer Inputs'!$W$17="End",0,IFERROR(IF($LN28="SEGMENT",INDEX('Margin Guidence Table'!$A$1:$AG$10000,MATCH(1,('Margin Guidence Table'!$A$1:$A$10000=$LL28)*('Margin Guidence Table'!$I$1:$I$10000&lt;=ROUND($LD$3,0))*('Margin Guidence Table'!$J$1:$J$10000&gt;=ROUND($LD$3,0)),0),MATCH("PCT_SALES",'Margin Guidence Table'!$A$1:$AG$1,0)),INDEX('Margin Guidence Table'!$A$1:$AG$10000,MATCH(1,('Margin Guidence Table'!$A$1:$A$10000=$LL28)*('Margin Guidence Table'!$I$1:$I$10000&lt;=ROUND($LD$3,0))*('Margin Guidence Table'!$J$1:$J$10000&gt;=ROUND($LD$3,0)),0),MATCH("DEFAULT_PCT_SALES",'Margin Guidence Table'!$A$1:$AG$1,0))),0))</f>
        <v>0</v>
      </c>
      <c r="LB28" s="1713" t="e">
        <f t="shared" si="54"/>
        <v>#DIV/0!</v>
      </c>
      <c r="LC28" s="99" t="s">
        <v>91</v>
      </c>
      <c r="LD28" s="91">
        <f>IF('Customer Inputs'!$W$17="End",0,IFERROR(IF(AND($LD$2&lt;&gt;"Enter Spend&gt;&gt;&gt;",$LE$2="EXISTING"),SUMIFS('Existing Customers'!$Q:$Q,'Existing Customers'!$A:$A,$LD$1,'Existing Customers'!$H:$H,$LC28)*$LD$4,$LD$3*$LB28),0))</f>
        <v>0</v>
      </c>
      <c r="LE28" s="86">
        <f>IF('Customer Inputs'!$W$17="End",0,IFERROR(IF(AND($LD$2&lt;&gt;"Enter Spend&gt;&gt;&gt;",$LE$2="EXISTING"),SUMIFS('Existing Customers'!$N:$N,'Existing Customers'!$A:$A,$LD$1,'Existing Customers'!$H:$H,$LC28)*$LD$4,$LD28/$LO28),0))</f>
        <v>0</v>
      </c>
      <c r="LF28" s="92">
        <f>IF('Customer Inputs'!$W$17="End",0,IFERROR(IF(AND($LD$2&lt;&gt;"Enter Spend&gt;&gt;&gt;",$LE$2="EXISTING"),SUMIFS('Existing Customers'!$O:$O,'Existing Customers'!$H:$H,$LC28,'Existing Customers'!$A:$A,$LD$1)*$LD$4,$LE28*$LD$8),0))</f>
        <v>0</v>
      </c>
      <c r="LG28" s="92">
        <f>IF('Customer Inputs'!$W$17="End",0,IFERROR(IF(AND($LD$2&lt;&gt;"Enter Spend&gt;&gt;&gt;",$LE$2="EXISTING"),SUMIFS('Existing Customers'!$P:$P,'Existing Customers'!$A:$A,$LD$1,'Existing Customers'!$H:$H,$LC28)*$LD$4,$LD28/$LP28),0))</f>
        <v>0</v>
      </c>
      <c r="LH28" s="303">
        <f>IF('Customer Inputs'!$W$17="End",0,IFERROR(IF(AND($LD$2&lt;&gt;"Enter Spend&gt;&gt;&gt;",$LE$2="EXISTING"),SUMIFS('Existing Customers'!$V:$V,'Existing Customers'!$H:$H,$LC28,'Existing Customers'!$A:$A,$LD$1)*$LD$4,0),0))</f>
        <v>0</v>
      </c>
      <c r="LI28" s="93">
        <f>IF('Customer Inputs'!$W$17="End",0,IFERROR(IF(AND($LD$2&lt;&gt;"Enter Spend&gt;&gt;&gt;",$LE$2="EXISTING"),SUMIFS('Existing Customers'!$R:$R,'Existing Customers'!$H:$H,$LC28,'Existing Customers'!$A:$A,$LD$1)*$LD$4,0),0))</f>
        <v>0</v>
      </c>
      <c r="LJ28" s="780">
        <f>IF('Customer Inputs'!$W$17="End",0,IFERROR(IF(AND($LD$2&lt;&gt;"Enter Spend&gt;&gt;&gt;",$LE$2="EXISTING"),SUMIFS('Existing Customers'!$S:$S,'Existing Customers'!$H:$H,$LC28,'Existing Customers'!$A:$A,$LD$1)/SUMIFS('Existing Customers'!$Q:$Q,'Existing Customers'!$A:$A,$LD$1,'Existing Customers'!$H:$H,$LC28),LT28),0))</f>
        <v>0</v>
      </c>
      <c r="LK28" s="780">
        <f>IF('Customer Inputs'!$W$17="End",0,IFERROR(IF(AND($LD$2&lt;&gt;"Enter Spend&gt;&gt;&gt;",$LE$2="EXISTING"),SUMIFS('Existing Customers'!$U:$U,'Existing Customers'!$H:$H,$LC28,'Existing Customers'!$A:$A,$LD$1)/SUMIFS('Existing Customers'!$Q:$Q,'Existing Customers'!$A:$A,$LD$1,'Existing Customers'!$H:$H,$LC28),LU28),0))</f>
        <v>0</v>
      </c>
      <c r="LL28" s="783" t="e">
        <f>_xlfn.CONCAT('Customer Inputs'!$AH$17,"_",LC28)</f>
        <v>#N/A</v>
      </c>
      <c r="LM28" s="783">
        <f t="array" ref="LM28">IF('Customer Inputs'!$W$17="End",0,IFERROR(INDEX('Margin Guidence Table'!$A$1:$AG$10000,MATCH(1,('Margin Guidence Table'!$A$1:$A$10000=LL28)*('Margin Guidence Table'!$I$1:$I$10000&lt;=ROUND($LD$3,0))*('Margin Guidence Table'!$J$1:$J$10000&gt;=ROUND($LD$3,0)),0),MATCH("DATA_POINTS",'Margin Guidence Table'!$A$1:$AG$1,0)),0))</f>
        <v>0</v>
      </c>
      <c r="LN28" s="780" t="str">
        <f t="shared" si="55"/>
        <v>DEFAULT</v>
      </c>
      <c r="LO28" s="780">
        <f t="array" ref="LO28">IF('Customer Inputs'!$W$17="End",0,IFERROR(IF($LN28="SEGMENT",INDEX('Margin Guidence Table'!$A$1:$AG$10000,MATCH(1,('Margin Guidence Table'!$A$1:$A$10000=LL28)*('Margin Guidence Table'!$I$1:$I$10000&lt;=ROUND($LD$3,0))*('Margin Guidence Table'!$J$1:$J$10000&gt;=ROUND($LD$3,0)),0),MATCH("SALES_CASE",'Margin Guidence Table'!$A$1:$AG$1,0)),INDEX('Margin Guidence Table'!$A$1:$AG$10000,MATCH(1,('Margin Guidence Table'!$A$1:$A$10000=LL28)*('Margin Guidence Table'!$I$1:$I$10000&lt;=ROUND($LD$3,0))*('Margin Guidence Table'!$J$1:$J$10000&gt;=ROUND($LD$3,0)),0),MATCH("DEFAULT_SALES_CASE",'Margin Guidence Table'!$A$1:$AG$1,0))),0))</f>
        <v>0</v>
      </c>
      <c r="LP28" s="780">
        <f t="array" ref="LP28">IF('Customer Inputs'!$W$17="End",0,IFERROR(IF($LN28="SEGMENT",INDEX('Margin Guidence Table'!$A$1:$AG$10000,MATCH(1,('Margin Guidence Table'!$A$1:$A$10000=LL28)*('Margin Guidence Table'!$I$1:$I$10000&lt;=ROUND($LD$3,0))*('Margin Guidence Table'!$J$1:$J$10000&gt;=ROUND($LD$3,0)),0),MATCH("SALES_LBS",'Margin Guidence Table'!$A$1:$AG$1,0)),INDEX('Margin Guidence Table'!$A$1:$AG$10000,MATCH(1,('Margin Guidence Table'!$A$1:$A$10000=LL28)*('Margin Guidence Table'!$I$1:$I$10000&lt;=ROUND($LD$3,0))*('Margin Guidence Table'!$J$1:$J$10000&gt;=ROUND($LD$3,0)),0),MATCH("DEFAULT_SALES_LBS",'Margin Guidence Table'!$A$1:$AG$1,0))),0))</f>
        <v>0</v>
      </c>
      <c r="LQ28" s="784">
        <f t="array" ref="LQ28">IF('Customer Inputs'!$W$17="End",0,IFERROR(IF($LN28="SEGMENT",INDEX('Margin Guidence Table'!$A$1:$AG$10000,MATCH(1,('Margin Guidence Table'!$A$1:$A$10000=LL28)*('Margin Guidence Table'!$I$1:$I$10000&lt;=ROUND($LD$3,0))*('Margin Guidence Table'!$J$1:$J$10000&gt;=ROUND($LD$3,0)),0),MATCH("MDA_MIN_MARGIN_GUIDENCE",'Margin Guidence Table'!$A$1:$AG$1,0)),INDEX('Margin Guidence Table'!$A$1:$AG$10000,MATCH(1,('Margin Guidence Table'!$A$1:$A$10000=LL28)*('Margin Guidence Table'!$I$1:$I$10000&lt;=ROUND($LD$3,0))*('Margin Guidence Table'!$J$1:$J$10000&gt;=ROUND($LD$3,0)),0),MATCH("DEFAULT_MDA_MIN_MARGIN_GUIDENCE",'Margin Guidence Table'!$A$1:$AG$1,0))),0))</f>
        <v>0</v>
      </c>
      <c r="LR28" s="784">
        <f t="array" ref="LR28">IF('Customer Inputs'!$W$17="End",0,IFERROR(IF($LN28="SEGMENT",INDEX('Margin Guidence Table'!$A$1:$AG$10000,MATCH(1,('Margin Guidence Table'!$A$1:$A$10000=LL28)*('Margin Guidence Table'!$I$1:$I$10000&lt;=ROUND($LD$3,0))*('Margin Guidence Table'!$J$1:$J$10000&gt;=ROUND($LD$3,0)),0),MATCH("MDA_MEDIAN_MARGIN_GUIDENCE",'Margin Guidence Table'!$A$1:$AG$1,0)),INDEX('Margin Guidence Table'!$A$1:$AG$10000,MATCH(1,('Margin Guidence Table'!$A$1:$A$10000=LL28)*('Margin Guidence Table'!$I$1:$I$10000&lt;=ROUND($LD$3,0))*('Margin Guidence Table'!$J$1:$J$10000&gt;=ROUND($LD$3,0)),0),MATCH("DEFAULT_MDA_MEDIAN_MARGIN_GUIDENCE",'Margin Guidence Table'!$A$1:$AG$1,0))),0))</f>
        <v>0</v>
      </c>
      <c r="LS28" s="784">
        <f t="array" ref="LS28">IF('Customer Inputs'!$W$17="End",0,IFERROR(IF($LN28="SEGMENT",INDEX('Margin Guidence Table'!$A$1:$AG$10000,MATCH(1,('Margin Guidence Table'!$A$1:$A$10000=LL28)*('Margin Guidence Table'!$I$1:$I$10000&lt;=ROUND($LD$3,0))*('Margin Guidence Table'!$J$1:$J$10000&gt;=ROUND($LD$3,0)),0),MATCH("MDA_MAX_MARGIN_GUIDENCE",'Margin Guidence Table'!$A$1:$AG$1,0)),INDEX('Margin Guidence Table'!$A$1:$AG$10000,MATCH(1,('Margin Guidence Table'!$A$1:$A$10000=LL28)*('Margin Guidence Table'!$I$1:$I$10000&lt;=ROUND($LD$3,0))*('Margin Guidence Table'!$J$1:$J$10000&gt;=ROUND($LD$3,0)),0),MATCH("DEFAULT_MDA_MAX_MARGIN_GUIDENCE",'Margin Guidence Table'!$A$1:$AG$1,0))),0))</f>
        <v>0</v>
      </c>
      <c r="LT28" s="784">
        <f t="array" ref="LT28">IF('Customer Inputs'!$W$17="End",0,IFERROR(IF($LN28="SEGMENT",INDEX('Margin Guidence Table'!$A$1:$AG$10000,MATCH(1,('Margin Guidence Table'!$A$1:$A$10000=LL28)*('Margin Guidence Table'!$I$1:$I$10000&lt;=ROUND($LD$3,0))*('Margin Guidence Table'!$J$1:$J$10000&gt;=ROUND($LD$3,0)),0),MATCH("PA_PCT_SALES",'Margin Guidence Table'!$A$1:$AG$1,0)),INDEX('Margin Guidence Table'!$A$1:$AG$10000,MATCH(1,('Margin Guidence Table'!$A$1:$A$10000=LL28)*('Margin Guidence Table'!$I$1:$I$10000&lt;=ROUND($LD$3,0))*('Margin Guidence Table'!$J$1:$J$10000&gt;=ROUND($LD$3,0)),0),MATCH("DEFAULT_PA_PCT_SALES",'Margin Guidence Table'!$A$1:$AG$1,0))),0))</f>
        <v>0</v>
      </c>
      <c r="LU28" s="784">
        <f t="array" ref="LU28">IF('Customer Inputs'!$W$17="End",0,IFERROR(IF($LN28="SEGMENT",INDEX('Margin Guidence Table'!$A$1:$AG$10000,MATCH(1,('Margin Guidence Table'!$A$1:$A$10000=LL28)*('Margin Guidence Table'!$I$1:$I$10000&lt;=ROUND($LD$3,0))*('Margin Guidence Table'!$J$1:$J$10000&gt;=ROUND($LD$3,0)),0),MATCH("SELF_FUND_PCT_SALES",'Margin Guidence Table'!$A$1:$AG$1,0)),INDEX('Margin Guidence Table'!$A$1:$AG$10000,MATCH(1,('Margin Guidence Table'!$A$1:$A$10000=LL28)*('Margin Guidence Table'!$I$1:$I$10000&lt;=ROUND($LD$3,0))*('Margin Guidence Table'!$J$1:$J$10000&gt;=ROUND($LD$3,0)),0),MATCH("DEFAULT_SELF_FUND_PCT_SALES",'Margin Guidence Table'!$A$1:$AG$1,0))),0))</f>
        <v>0</v>
      </c>
      <c r="LV28" s="784">
        <f t="array" ref="LV28">IF('Customer Inputs'!$W$17="End",0,IF($LE$2="Existing",IFERROR(SUMIFS('Existing Customers'!$V:$V,'Existing Customers'!$H:$H,$LC28,'Existing Customers'!$A:$A,$LD$1)/SUMIFS('Existing Customers'!$Q:$Q,'Existing Customers'!$H:$H,$LC28,'Existing Customers'!$A:$A,$LD$1),0),IFERROR(IF($LN28="SEGMENT",INDEX('Margin Guidence Table'!$A$1:$AG$10000,MATCH(1,('Margin Guidence Table'!$A$1:$A$10000=LL28)*('Margin Guidence Table'!$I$1:$I$10000&lt;=ROUND($LD$3,0))*('Margin Guidence Table'!$J$1:$J$10000&gt;=ROUND($LD$3,0)),0),MATCH("CIA_MEDIAN_MARGIN_GUIDENCE",'Margin Guidence Table'!$A$1:$AG$1,0)),INDEX('Margin Guidence Table'!$A$1:$AG$10000,MATCH(1,('Margin Guidence Table'!$A$1:$A$10000=LL28)*('Margin Guidence Table'!$I$1:$I$10000&lt;=ROUND($LD$3,0))*('Margin Guidence Table'!$J$1:$J$10000&gt;=ROUND($LD$3,0)),0),MATCH("DEFAULT_CIA_MEDIAN_MARGIN_GUIDENCE",'Margin Guidence Table'!$A$1:$AG$1,0))),0)))</f>
        <v>0</v>
      </c>
      <c r="LW28" s="784"/>
      <c r="LX28" s="18">
        <f t="array" ref="LX28">IF('Customer Inputs'!$W$18="End",0,IFERROR(IF($MK28="SEGMENT",INDEX('Margin Guidence Table'!$A$1:$AG$10000,MATCH(1,('Margin Guidence Table'!$A$1:$A$10000=$MI28)*('Margin Guidence Table'!$I$1:$I$10000&lt;=ROUND($MA$3,0))*('Margin Guidence Table'!$J$1:$J$10000&gt;=ROUND($MA$3,0)),0),MATCH("PCT_SALES",'Margin Guidence Table'!$A$1:$AG$1,0)),INDEX('Margin Guidence Table'!$A$1:$AG$10000,MATCH(1,('Margin Guidence Table'!$A$1:$A$10000=$MI28)*('Margin Guidence Table'!$I$1:$I$10000&lt;=ROUND($MA$3,0))*('Margin Guidence Table'!$J$1:$J$10000&gt;=ROUND($MA$3,0)),0),MATCH("DEFAULT_PCT_SALES",'Margin Guidence Table'!$A$1:$AG$1,0))),0))</f>
        <v>0</v>
      </c>
      <c r="LY28" s="1713" t="e">
        <f t="shared" si="56"/>
        <v>#DIV/0!</v>
      </c>
      <c r="LZ28" s="99" t="s">
        <v>91</v>
      </c>
      <c r="MA28" s="91">
        <f>IF('Customer Inputs'!$W$18="End",0,IFERROR(IF(AND($MA$2&lt;&gt;"Enter Spend&gt;&gt;&gt;",$MB$2="EXISTING"),SUMIFS('Existing Customers'!$Q:$Q,'Existing Customers'!$A:$A,$MA$1,'Existing Customers'!$H:$H,$LZ28)*$MA$4,$MA$3*$LY28),0))</f>
        <v>0</v>
      </c>
      <c r="MB28" s="86">
        <f>IF('Customer Inputs'!$W$18="End",0,IFERROR(IF(AND($MA$2&lt;&gt;"Enter Spend&gt;&gt;&gt;",$MB$2="EXISTING"),SUMIFS('Existing Customers'!$N:$N,'Existing Customers'!$A:$A,$MA$1,'Existing Customers'!$H:$H,$LZ28)*$MA$4,$MA28/$ML28),0))</f>
        <v>0</v>
      </c>
      <c r="MC28" s="92">
        <f>IF('Customer Inputs'!$W$18="End",0,IFERROR(IF(AND($MA$2&lt;&gt;"Enter Spend&gt;&gt;&gt;",$MB$2="EXISTING"),SUMIFS('Existing Customers'!$O:$O,'Existing Customers'!$H:$H,$LZ28,'Existing Customers'!$A:$A,$MA$1)*$MA$4,$MB28*$MA$8),0))</f>
        <v>0</v>
      </c>
      <c r="MD28" s="92">
        <f>IF('Customer Inputs'!$W$18="End",0,IFERROR(IF(AND($MA$2&lt;&gt;"Enter Spend&gt;&gt;&gt;",$MB$2="EXISTING"),SUMIFS('Existing Customers'!$P:$P,'Existing Customers'!$A:$A,$MA$1,'Existing Customers'!$H:$H,$LZ28)*$MA$4,$MA28/$MM28),0))</f>
        <v>0</v>
      </c>
      <c r="ME28" s="303">
        <f>IF('Customer Inputs'!$W$18="End",0,IFERROR(IF(AND($MA$2&lt;&gt;"Enter Spend&gt;&gt;&gt;",$MB$2="EXISTING"),SUMIFS('Existing Customers'!$V:$V,'Existing Customers'!$H:$H,$LZ28,'Existing Customers'!$A:$A,$MA$1)*$MA$4,0),0))</f>
        <v>0</v>
      </c>
      <c r="MF28" s="93">
        <f>IF('Customer Inputs'!$W$18="End",0,IFERROR(IF(AND($MA$2&lt;&gt;"Enter Spend&gt;&gt;&gt;",$MB$2="EXISTING"),SUMIFS('Existing Customers'!$R:$R,'Existing Customers'!$H:$H,$LZ28,'Existing Customers'!$A:$A,$MA$1)*$MA$4,0),0))</f>
        <v>0</v>
      </c>
      <c r="MG28" s="780">
        <f>IF('Customer Inputs'!$W$18="End",0,IFERROR(IF(AND($MA$2&lt;&gt;"Enter Spend&gt;&gt;&gt;",$MB$2="EXISTING"),SUMIFS('Existing Customers'!$S:$S,'Existing Customers'!$H:$H,$LZ28,'Existing Customers'!$A:$A,$MA$1)/SUMIFS('Existing Customers'!$Q:$Q,'Existing Customers'!$A:$A,$MA$1,'Existing Customers'!$H:$H,$LZ28),MQ28),0))</f>
        <v>0</v>
      </c>
      <c r="MH28" s="780">
        <f>IF('Customer Inputs'!$W$18="End",0,IFERROR(IF(AND($MA$2&lt;&gt;"Enter Spend&gt;&gt;&gt;",$MB$2="EXISTING"),SUMIFS('Existing Customers'!$U:$U,'Existing Customers'!$H:$H,$LZ28,'Existing Customers'!$A:$A,$MA$1)/SUMIFS('Existing Customers'!$Q:$Q,'Existing Customers'!$A:$A,$MA$1,'Existing Customers'!$H:$H,$LZ28),MR28),0))</f>
        <v>0</v>
      </c>
      <c r="MI28" s="783" t="e">
        <f>_xlfn.CONCAT('Customer Inputs'!$AH$18,"_",LZ28)</f>
        <v>#N/A</v>
      </c>
      <c r="MJ28" s="783">
        <f t="array" ref="MJ28">IF('Customer Inputs'!$W$18="End",0,IFERROR(INDEX('Margin Guidence Table'!$A$1:$AG$10000,MATCH(1,('Margin Guidence Table'!$A$1:$A$10000=MI28)*('Margin Guidence Table'!$I$1:$I$10000&lt;=ROUND($MA$3,0))*('Margin Guidence Table'!$J$1:$J$10000&gt;=ROUND($MA$3,0)),0),MATCH("DATA_POINTS",'Margin Guidence Table'!$A$1:$AG$1,0)),0))</f>
        <v>0</v>
      </c>
      <c r="MK28" s="780" t="str">
        <f t="shared" si="57"/>
        <v>DEFAULT</v>
      </c>
      <c r="ML28" s="780">
        <f t="array" ref="ML28">IF('Customer Inputs'!$W$18="End",0,IFERROR(IF($MK28="SEGMENT",INDEX('Margin Guidence Table'!$A$1:$AG$10000,MATCH(1,('Margin Guidence Table'!$A$1:$A$10000=MI28)*('Margin Guidence Table'!$I$1:$I$10000&lt;=ROUND($MA$3,0))*('Margin Guidence Table'!$J$1:$J$10000&gt;=ROUND($MA$3,0)),0),MATCH("SALES_CASE",'Margin Guidence Table'!$A$1:$AG$1,0)),INDEX('Margin Guidence Table'!$A$1:$AG$10000,MATCH(1,('Margin Guidence Table'!$A$1:$A$10000=MI28)*('Margin Guidence Table'!$I$1:$I$10000&lt;=ROUND($MA$3,0))*('Margin Guidence Table'!$J$1:$J$10000&gt;=ROUND($MA$3,0)),0),MATCH("DEFAULT_SALES_CASE",'Margin Guidence Table'!$A$1:$AG$1,0))),0))</f>
        <v>0</v>
      </c>
      <c r="MM28" s="780">
        <f t="array" ref="MM28">IF('Customer Inputs'!$W$18="End",0,IFERROR(IF($MK28="SEGMENT",INDEX('Margin Guidence Table'!$A$1:$AG$10000,MATCH(1,('Margin Guidence Table'!$A$1:$A$10000=MI28)*('Margin Guidence Table'!$I$1:$I$10000&lt;=ROUND($MA$3,0))*('Margin Guidence Table'!$J$1:$J$10000&gt;=ROUND($MA$3,0)),0),MATCH("SALES_LBS",'Margin Guidence Table'!$A$1:$AG$1,0)),INDEX('Margin Guidence Table'!$A$1:$AG$10000,MATCH(1,('Margin Guidence Table'!$A$1:$A$10000=MI28)*('Margin Guidence Table'!$I$1:$I$10000&lt;=ROUND($MA$3,0))*('Margin Guidence Table'!$J$1:$J$10000&gt;=ROUND($MA$3,0)),0),MATCH("DEFAULT_SALES_LBS",'Margin Guidence Table'!$A$1:$AG$1,0))),0))</f>
        <v>0</v>
      </c>
      <c r="MN28" s="784">
        <f t="array" ref="MN28">IF('Customer Inputs'!$W$18="End",0,IFERROR(IF($MK28="SEGMENT",INDEX('Margin Guidence Table'!$A$1:$AG$10000,MATCH(1,('Margin Guidence Table'!$A$1:$A$10000=MI28)*('Margin Guidence Table'!$I$1:$I$10000&lt;=ROUND($MA$3,0))*('Margin Guidence Table'!$J$1:$J$10000&gt;=ROUND($MA$3,0)),0),MATCH("MDA_MIN_MARGIN_GUIDENCE",'Margin Guidence Table'!$A$1:$AG$1,0)),INDEX('Margin Guidence Table'!$A$1:$AG$10000,MATCH(1,('Margin Guidence Table'!$A$1:$A$10000=MI28)*('Margin Guidence Table'!$I$1:$I$10000&lt;=ROUND($MA$3,0))*('Margin Guidence Table'!$J$1:$J$10000&gt;=ROUND($MA$3,0)),0),MATCH("DEFAULT_MDA_MIN_MARGIN_GUIDENCE",'Margin Guidence Table'!$A$1:$AG$1,0))),0))</f>
        <v>0</v>
      </c>
      <c r="MO28" s="784">
        <f t="array" ref="MO28">IF('Customer Inputs'!$W$18="End",0,IFERROR(IF($MK28="SEGMENT",INDEX('Margin Guidence Table'!$A$1:$AG$10000,MATCH(1,('Margin Guidence Table'!$A$1:$A$10000=MI28)*('Margin Guidence Table'!$I$1:$I$10000&lt;=ROUND($MA$3,0))*('Margin Guidence Table'!$J$1:$J$10000&gt;=ROUND($MA$3,0)),0),MATCH("MDA_MEDIAN_MARGIN_GUIDENCE",'Margin Guidence Table'!$A$1:$AG$1,0)),INDEX('Margin Guidence Table'!$A$1:$AG$10000,MATCH(1,('Margin Guidence Table'!$A$1:$A$10000=MI28)*('Margin Guidence Table'!$I$1:$I$10000&lt;=ROUND($MA$3,0))*('Margin Guidence Table'!$J$1:$J$10000&gt;=ROUND($MA$3,0)),0),MATCH("DEFAULT_MDA_MEDIAN_MARGIN_GUIDENCE",'Margin Guidence Table'!$A$1:$AG$1,0))),0))</f>
        <v>0</v>
      </c>
      <c r="MP28" s="784">
        <f t="array" ref="MP28">IF('Customer Inputs'!$W$18="End",0,IFERROR(IF($MK28="SEGMENT",INDEX('Margin Guidence Table'!$A$1:$AG$10000,MATCH(1,('Margin Guidence Table'!$A$1:$A$10000=MI28)*('Margin Guidence Table'!$I$1:$I$10000&lt;=ROUND($MA$3,0))*('Margin Guidence Table'!$J$1:$J$10000&gt;=ROUND($MA$3,0)),0),MATCH("MDA_MAX_MARGIN_GUIDENCE",'Margin Guidence Table'!$A$1:$AG$1,0)),INDEX('Margin Guidence Table'!$A$1:$AG$10000,MATCH(1,('Margin Guidence Table'!$A$1:$A$10000=MI28)*('Margin Guidence Table'!$I$1:$I$10000&lt;=ROUND($MA$3,0))*('Margin Guidence Table'!$J$1:$J$10000&gt;=ROUND($MA$3,0)),0),MATCH("DEFAULT_MDA_MAX_MARGIN_GUIDENCE",'Margin Guidence Table'!$A$1:$AG$1,0))),0))</f>
        <v>0</v>
      </c>
      <c r="MQ28" s="784">
        <f t="array" ref="MQ28">IF('Customer Inputs'!$W$18="End",0,IFERROR(IF($MK28="SEGMENT",INDEX('Margin Guidence Table'!$A$1:$AG$10000,MATCH(1,('Margin Guidence Table'!$A$1:$A$10000=MI28)*('Margin Guidence Table'!$I$1:$I$10000&lt;=ROUND($MA$3,0))*('Margin Guidence Table'!$J$1:$J$10000&gt;=ROUND($MA$3,0)),0),MATCH("PA_PCT_SALES",'Margin Guidence Table'!$A$1:$AG$1,0)),INDEX('Margin Guidence Table'!$A$1:$AG$10000,MATCH(1,('Margin Guidence Table'!$A$1:$A$10000=MI28)*('Margin Guidence Table'!$I$1:$I$10000&lt;=ROUND($MA$3,0))*('Margin Guidence Table'!$J$1:$J$10000&gt;=ROUND($MA$3,0)),0),MATCH("DEFAULT_PA_PCT_SALES",'Margin Guidence Table'!$A$1:$AG$1,0))),0))</f>
        <v>0</v>
      </c>
      <c r="MR28" s="784">
        <f t="array" ref="MR28">IF('Customer Inputs'!$W$18="End",0,IFERROR(IF($MK28="SEGMENT",INDEX('Margin Guidence Table'!$A$1:$AG$10000,MATCH(1,('Margin Guidence Table'!$A$1:$A$10000=MI28)*('Margin Guidence Table'!$I$1:$I$10000&lt;=ROUND($MA$3,0))*('Margin Guidence Table'!$J$1:$J$10000&gt;=ROUND($MA$3,0)),0),MATCH("SELF_FUND_PCT_SALES",'Margin Guidence Table'!$A$1:$AG$1,0)),INDEX('Margin Guidence Table'!$A$1:$AG$10000,MATCH(1,('Margin Guidence Table'!$A$1:$A$10000=MI28)*('Margin Guidence Table'!$I$1:$I$10000&lt;=ROUND($MA$3,0))*('Margin Guidence Table'!$J$1:$J$10000&gt;=ROUND($MA$3,0)),0),MATCH("DEFAULT_SELF_FUND_PCT_SALES",'Margin Guidence Table'!$A$1:$AG$1,0))),0))</f>
        <v>0</v>
      </c>
      <c r="MS28" s="784">
        <f t="array" ref="MS28">IF('Customer Inputs'!$W$18="End",0,IF($MB$2="Existing",IFERROR(SUMIFS('Existing Customers'!$V:$V,'Existing Customers'!$H:$H,$LZ28,'Existing Customers'!$A:$A,$MA$1)/SUMIFS('Existing Customers'!$Q:$Q,'Existing Customers'!$H:$H,$LZ28,'Existing Customers'!$A:$A,$MA$1),0),IFERROR(IF($MK28="SEGMENT",INDEX('Margin Guidence Table'!$A$1:$AG$10000,MATCH(1,('Margin Guidence Table'!$A$1:$A$10000=MI28)*('Margin Guidence Table'!$I$1:$I$10000&lt;=ROUND($MA$3,0))*('Margin Guidence Table'!$J$1:$J$10000&gt;=ROUND($MA$3,0)),0),MATCH("CIA_MEDIAN_MARGIN_GUIDENCE",'Margin Guidence Table'!$A$1:$AG$1,0)),INDEX('Margin Guidence Table'!$A$1:$AG$10000,MATCH(1,('Margin Guidence Table'!$A$1:$A$10000=MI28)*('Margin Guidence Table'!$I$1:$I$10000&lt;=ROUND($MA$3,0))*('Margin Guidence Table'!$J$1:$J$10000&gt;=ROUND($MA$3,0)),0),MATCH("DEFAULT_CIA_MEDIAN_MARGIN_GUIDENCE",'Margin Guidence Table'!$A$1:$AG$1,0))),0)))</f>
        <v>0</v>
      </c>
      <c r="MT28" s="784"/>
      <c r="MU28" s="18">
        <f t="array" ref="MU28">IF('Customer Inputs'!$W$19="End",0,IFERROR(IF($NH28="SEGMENT",INDEX('Margin Guidence Table'!$A$1:$AG$10000,MATCH(1,('Margin Guidence Table'!$A$1:$A$10000=$NF28)*('Margin Guidence Table'!$I$1:$I$10000&lt;=ROUND($MX$3,0))*('Margin Guidence Table'!$J$1:$J$10000&gt;=ROUND($MX$3,0)),0),MATCH("PCT_SALES",'Margin Guidence Table'!$A$1:$AG$1,0)),INDEX('Margin Guidence Table'!$A$1:$AG$10000,MATCH(1,('Margin Guidence Table'!$A$1:$A$10000=$NF28)*('Margin Guidence Table'!$I$1:$I$10000&lt;=ROUND($MX$3,0))*('Margin Guidence Table'!$J$1:$J$10000&gt;=ROUND($MX$3,0)),0),MATCH("DEFAULT_PCT_SALES",'Margin Guidence Table'!$A$1:$AG$1,0))),0))</f>
        <v>0</v>
      </c>
      <c r="MV28" s="1713" t="e">
        <f t="shared" si="58"/>
        <v>#DIV/0!</v>
      </c>
      <c r="MW28" s="99" t="s">
        <v>91</v>
      </c>
      <c r="MX28" s="91">
        <f>IF('Customer Inputs'!$W$19="End",0,IFERROR(IF(AND($MX$2&lt;&gt;"Enter Spend&gt;&gt;&gt;",$MY$2="EXISTING"),SUMIFS('Existing Customers'!$Q:$Q,'Existing Customers'!$A:$A,$MX$1,'Existing Customers'!$H:$H,$MW28)*$MX$4,$MX$3*$MV28),0))</f>
        <v>0</v>
      </c>
      <c r="MY28" s="86">
        <f>IF('Customer Inputs'!$W$19="End",0,IFERROR(IF(AND($MX$2&lt;&gt;"Enter Spend&gt;&gt;&gt;",$MY$2="EXISTING"),SUMIFS('Existing Customers'!$N:$N,'Existing Customers'!$A:$A,$MX$1,'Existing Customers'!$H:$H,$MW28)*$MX$4,$MX28/$NI28),0))</f>
        <v>0</v>
      </c>
      <c r="MZ28" s="92">
        <f>IF('Customer Inputs'!$W$19="End",0,IFERROR(IF(AND($MX$2&lt;&gt;"Enter Spend&gt;&gt;&gt;",$MY$2="EXISTING"),SUMIFS('Existing Customers'!$O:$O,'Existing Customers'!$H:$H,$MW28,'Existing Customers'!$A:$A,$MX$1)*$MX$4,$MY28*$MX$8),0))</f>
        <v>0</v>
      </c>
      <c r="NA28" s="92">
        <f>IF('Customer Inputs'!$W$19="End",0,IFERROR(IF(AND($MX$2&lt;&gt;"Enter Spend&gt;&gt;&gt;",$MY$2="EXISTING"),SUMIFS('Existing Customers'!$P:$P,'Existing Customers'!$A:$A,$MX$1,'Existing Customers'!$H:$H,$MW28)*$MX$4,$MX28/$NJ28),0))</f>
        <v>0</v>
      </c>
      <c r="NB28" s="303">
        <f>IF('Customer Inputs'!$W$19="End",0,IFERROR(IF(AND($MX$2&lt;&gt;"Enter Spend&gt;&gt;&gt;",$MY$2="EXISTING"),SUMIFS('Existing Customers'!$V:$V,'Existing Customers'!$H:$H,$MW28,'Existing Customers'!$A:$A,$MX$1)*$MX$4,0),0))</f>
        <v>0</v>
      </c>
      <c r="NC28" s="93">
        <f>IF('Customer Inputs'!$W$19="End",0,IFERROR(IF(AND($MX$2&lt;&gt;"Enter Spend&gt;&gt;&gt;",$MY$2="EXISTING"),SUMIFS('Existing Customers'!$R:$R,'Existing Customers'!$H:$H,$MW28,'Existing Customers'!$A:$A,$MX$1)*$MX$4,0),0))</f>
        <v>0</v>
      </c>
      <c r="ND28" s="780">
        <f>IF('Customer Inputs'!$W$19="End",0,IFERROR(IF(AND($MX$2&lt;&gt;"Enter Spend&gt;&gt;&gt;",$MY$2="EXISTING"),SUMIFS('Existing Customers'!$S:$S,'Existing Customers'!$H:$H,$MW28,'Existing Customers'!$A:$A,$MX$1)/SUMIFS('Existing Customers'!$Q:$Q,'Existing Customers'!$A:$A,$MX$1,'Existing Customers'!$H:$H,$MW28),NN28),0))</f>
        <v>0</v>
      </c>
      <c r="NE28" s="780">
        <f>IF('Customer Inputs'!$W$19="End",0,IFERROR(IF(AND($MX$2&lt;&gt;"Enter Spend&gt;&gt;&gt;",$MY$2="EXISTING"),SUMIFS('Existing Customers'!$U:$U,'Existing Customers'!$H:$H,$MW28,'Existing Customers'!$A:$A,$MX$1)/SUMIFS('Existing Customers'!$Q:$Q,'Existing Customers'!$A:$A,$MX$1,'Existing Customers'!$H:$H,$MW28),NO28),0))</f>
        <v>0</v>
      </c>
      <c r="NF28" s="783" t="e">
        <f>_xlfn.CONCAT('Customer Inputs'!$AH$19,"_",MW28)</f>
        <v>#N/A</v>
      </c>
      <c r="NG28" s="783">
        <f t="array" ref="NG28">IF('Customer Inputs'!$W$19="End",0,IFERROR(INDEX('Margin Guidence Table'!$A$1:$AG$10000,MATCH(1,('Margin Guidence Table'!$A$1:$A$10000=NF28)*('Margin Guidence Table'!$I$1:$I$10000&lt;=ROUND($MX$3,0))*('Margin Guidence Table'!$J$1:$J$10000&gt;=ROUND($MX$3,0)),0),MATCH("DATA_POINTS",'Margin Guidence Table'!$A$1:$AG$1,0)),0))</f>
        <v>0</v>
      </c>
      <c r="NH28" s="780" t="str">
        <f t="shared" si="59"/>
        <v>DEFAULT</v>
      </c>
      <c r="NI28" s="780">
        <f t="array" ref="NI28">IF('Customer Inputs'!$W$19="End",0,IFERROR(IF($NH28="SEGMENT",INDEX('Margin Guidence Table'!$A$1:$AG$10000,MATCH(1,('Margin Guidence Table'!$A$1:$A$10000=NF28)*('Margin Guidence Table'!$I$1:$I$10000&lt;=ROUND($MX$3,0))*('Margin Guidence Table'!$J$1:$J$10000&gt;=ROUND($MX$3,0)),0),MATCH("SALES_CASE",'Margin Guidence Table'!$A$1:$AG$1,0)),INDEX('Margin Guidence Table'!$A$1:$AG$10000,MATCH(1,('Margin Guidence Table'!$A$1:$A$10000=NF28)*('Margin Guidence Table'!$I$1:$I$10000&lt;=ROUND($MX$3,0))*('Margin Guidence Table'!$J$1:$J$10000&gt;=ROUND($MX$3,0)),0),MATCH("DEFAULT_SALES_CASE",'Margin Guidence Table'!$A$1:$AG$1,0))),0))</f>
        <v>0</v>
      </c>
      <c r="NJ28" s="780">
        <f t="array" ref="NJ28">IF('Customer Inputs'!$W$19="End",0,IFERROR(IF($NH28="SEGMENT",INDEX('Margin Guidence Table'!$A$1:$AG$10000,MATCH(1,('Margin Guidence Table'!$A$1:$A$10000=NF28)*('Margin Guidence Table'!$I$1:$I$10000&lt;=ROUND($MX$3,0))*('Margin Guidence Table'!$J$1:$J$10000&gt;=ROUND($MX$3,0)),0),MATCH("SALES_LBS",'Margin Guidence Table'!$A$1:$AG$1,0)),INDEX('Margin Guidence Table'!$A$1:$AG$10000,MATCH(1,('Margin Guidence Table'!$A$1:$A$10000=NF28)*('Margin Guidence Table'!$I$1:$I$10000&lt;=ROUND($MX$3,0))*('Margin Guidence Table'!$J$1:$J$10000&gt;=ROUND($MX$3,0)),0),MATCH("DEFAULT_SALES_LBS",'Margin Guidence Table'!$A$1:$AG$1,0))),0))</f>
        <v>0</v>
      </c>
      <c r="NK28" s="784">
        <f t="array" ref="NK28">IF('Customer Inputs'!$W$19="End",0,IFERROR(IF($NH28="SEGMENT",INDEX('Margin Guidence Table'!$A$1:$AG$10000,MATCH(1,('Margin Guidence Table'!$A$1:$A$10000=NF28)*('Margin Guidence Table'!$I$1:$I$10000&lt;=ROUND($MX$3,0))*('Margin Guidence Table'!$J$1:$J$10000&gt;=ROUND($MX$3,0)),0),MATCH("MDA_MIN_MARGIN_GUIDENCE",'Margin Guidence Table'!$A$1:$AG$1,0)),INDEX('Margin Guidence Table'!$A$1:$AG$10000,MATCH(1,('Margin Guidence Table'!$A$1:$A$10000=NF28)*('Margin Guidence Table'!$I$1:$I$10000&lt;=ROUND($MX$3,0))*('Margin Guidence Table'!$J$1:$J$10000&gt;=ROUND($MX$3,0)),0),MATCH("DEFAULT_MDA_MIN_MARGIN_GUIDENCE",'Margin Guidence Table'!$A$1:$AG$1,0))),0))</f>
        <v>0</v>
      </c>
      <c r="NL28" s="784">
        <f t="array" ref="NL28">IF('Customer Inputs'!$W$19="End",0,IFERROR(IF($NH28="SEGMENT",INDEX('Margin Guidence Table'!$A$1:$AG$10000,MATCH(1,('Margin Guidence Table'!$A$1:$A$10000=NF28)*('Margin Guidence Table'!$I$1:$I$10000&lt;=ROUND($MX$3,0))*('Margin Guidence Table'!$J$1:$J$10000&gt;=ROUND($MX$3,0)),0),MATCH("MDA_MEDIAN_MARGIN_GUIDENCE",'Margin Guidence Table'!$A$1:$AG$1,0)),INDEX('Margin Guidence Table'!$A$1:$AG$10000,MATCH(1,('Margin Guidence Table'!$A$1:$A$10000=NF28)*('Margin Guidence Table'!$I$1:$I$10000&lt;=ROUND($MX$3,0))*('Margin Guidence Table'!$J$1:$J$10000&gt;=ROUND($MX$3,0)),0),MATCH("DEFAULT_MDA_MEDIAN_MARGIN_GUIDENCE",'Margin Guidence Table'!$A$1:$AG$1,0))),0))</f>
        <v>0</v>
      </c>
      <c r="NM28" s="784">
        <f t="array" ref="NM28">IF('Customer Inputs'!$W$19="End",0,IFERROR(IF($NH28="SEGMENT",INDEX('Margin Guidence Table'!$A$1:$AG$10000,MATCH(1,('Margin Guidence Table'!$A$1:$A$10000=NF28)*('Margin Guidence Table'!$I$1:$I$10000&lt;=ROUND($MX$3,0))*('Margin Guidence Table'!$J$1:$J$10000&gt;=ROUND($MX$3,0)),0),MATCH("MDA_MAX_MARGIN_GUIDENCE",'Margin Guidence Table'!$A$1:$AG$1,0)),INDEX('Margin Guidence Table'!$A$1:$AG$10000,MATCH(1,('Margin Guidence Table'!$A$1:$A$10000=NF28)*('Margin Guidence Table'!$I$1:$I$10000&lt;=ROUND($MX$3,0))*('Margin Guidence Table'!$J$1:$J$10000&gt;=ROUND($MX$3,0)),0),MATCH("DEFAULT_MDA_MAX_MARGIN_GUIDENCE",'Margin Guidence Table'!$A$1:$AG$1,0))),0))</f>
        <v>0</v>
      </c>
      <c r="NN28" s="784">
        <f t="array" ref="NN28">IF('Customer Inputs'!$W$19="End",0,IFERROR(IF($NH28="SEGMENT",INDEX('Margin Guidence Table'!$A$1:$AG$10000,MATCH(1,('Margin Guidence Table'!$A$1:$A$10000=NF28)*('Margin Guidence Table'!$I$1:$I$10000&lt;=ROUND($MX$3,0))*('Margin Guidence Table'!$J$1:$J$10000&gt;=ROUND($MX$3,0)),0),MATCH("PA_PCT_SALES",'Margin Guidence Table'!$A$1:$AG$1,0)),INDEX('Margin Guidence Table'!$A$1:$AG$10000,MATCH(1,('Margin Guidence Table'!$A$1:$A$10000=NF28)*('Margin Guidence Table'!$I$1:$I$10000&lt;=ROUND($MX$3,0))*('Margin Guidence Table'!$J$1:$J$10000&gt;=ROUND($MX$3,0)),0),MATCH("DEFAULT_PA_PCT_SALES",'Margin Guidence Table'!$A$1:$AG$1,0))),0))</f>
        <v>0</v>
      </c>
      <c r="NO28" s="784">
        <f t="array" ref="NO28">IF('Customer Inputs'!$W$19="End",0,IFERROR(IF($NH28="SEGMENT",INDEX('Margin Guidence Table'!$A$1:$AG$10000,MATCH(1,('Margin Guidence Table'!$A$1:$A$10000=NF28)*('Margin Guidence Table'!$I$1:$I$10000&lt;=ROUND($MX$3,0))*('Margin Guidence Table'!$J$1:$J$10000&gt;=ROUND($MX$3,0)),0),MATCH("SELF_FUND_PCT_SALES",'Margin Guidence Table'!$A$1:$AG$1,0)),INDEX('Margin Guidence Table'!$A$1:$AG$10000,MATCH(1,('Margin Guidence Table'!$A$1:$A$10000=NF28)*('Margin Guidence Table'!$I$1:$I$10000&lt;=ROUND($MX$3,0))*('Margin Guidence Table'!$J$1:$J$10000&gt;=ROUND($MX$3,0)),0),MATCH("DEFAULT_SELF_FUND_PCT_SALES",'Margin Guidence Table'!$A$1:$AG$1,0))),0))</f>
        <v>0</v>
      </c>
      <c r="NP28" s="784">
        <f t="array" ref="NP28">IF('Customer Inputs'!$W$19="End",0,IF($MY$2="Existing",IFERROR(SUMIFS('Existing Customers'!$V:$V,'Existing Customers'!$H:$H,$MW28,'Existing Customers'!$A:$A,$MX$1)/SUMIFS('Existing Customers'!$Q:$Q,'Existing Customers'!$H:$H,$MW28,'Existing Customers'!$A:$A,$MX$1),0),IFERROR(IF($NH28="SEGMENT",INDEX('Margin Guidence Table'!$A$1:$AG$10000,MATCH(1,('Margin Guidence Table'!$A$1:$A$10000=NF28)*('Margin Guidence Table'!$I$1:$I$10000&lt;=ROUND($MX$3,0))*('Margin Guidence Table'!$J$1:$J$10000&gt;=ROUND($MX$3,0)),0),MATCH("CIA_MEDIAN_MARGIN_GUIDENCE",'Margin Guidence Table'!$A$1:$AG$1,0)),INDEX('Margin Guidence Table'!$A$1:$AG$10000,MATCH(1,('Margin Guidence Table'!$A$1:$A$10000=NF28)*('Margin Guidence Table'!$I$1:$I$10000&lt;=ROUND($MX$3,0))*('Margin Guidence Table'!$J$1:$J$10000&gt;=ROUND($MX$3,0)),0),MATCH("DEFAULT_CIA_MEDIAN_MARGIN_GUIDENCE",'Margin Guidence Table'!$A$1:$AG$1,0))),0)))</f>
        <v>0</v>
      </c>
      <c r="NQ28" s="784"/>
      <c r="NR28" s="18">
        <f t="array" ref="NR28">IF('Customer Inputs'!$W$20="End",0,IFERROR(IF($OE28="SEGMENT",INDEX('Margin Guidence Table'!$A$1:$AG$10000,MATCH(1,('Margin Guidence Table'!$A$1:$A$10000=$OC28)*('Margin Guidence Table'!$I$1:$I$10000&lt;=ROUND($NU$3,0))*('Margin Guidence Table'!$J$1:$J$10000&gt;=ROUND($NU$3,0)),0),MATCH("PCT_SALES",'Margin Guidence Table'!$A$1:$AG$1,0)),INDEX('Margin Guidence Table'!$A$1:$AG$10000,MATCH(1,('Margin Guidence Table'!$A$1:$A$10000=$OC28)*('Margin Guidence Table'!$I$1:$I$10000&lt;=ROUND($NU$3,0))*('Margin Guidence Table'!$J$1:$J$10000&gt;=ROUND($NU$3,0)),0),MATCH("DEFAULT_PCT_SALES",'Margin Guidence Table'!$A$1:$AG$1,0))),0))</f>
        <v>0</v>
      </c>
      <c r="NS28" s="1713" t="e">
        <f t="shared" si="60"/>
        <v>#DIV/0!</v>
      </c>
      <c r="NT28" s="99" t="s">
        <v>91</v>
      </c>
      <c r="NU28" s="91">
        <f>IF('Customer Inputs'!$W$20="End",0,IFERROR(IF(AND($NU$2&lt;&gt;"Enter Spend&gt;&gt;&gt;",$NV$2="EXISTING"),SUMIFS('Existing Customers'!$Q:$Q,'Existing Customers'!$A:$A,$NU$1,'Existing Customers'!$H:$H,$NT28)*$NU$4,$NU$3*$NS28),0))</f>
        <v>0</v>
      </c>
      <c r="NV28" s="86">
        <f>IF('Customer Inputs'!$W$20="End",0,IFERROR(IF(AND($NU$2&lt;&gt;"Enter Spend&gt;&gt;&gt;",$NV$2="EXISTING"),SUMIFS('Existing Customers'!$N:$N,'Existing Customers'!$A:$A,$NU$1,'Existing Customers'!$H:$H,$NT28)*$NU$4,$NU28/$OF28),0))</f>
        <v>0</v>
      </c>
      <c r="NW28" s="92">
        <f>IF('Customer Inputs'!$W$20="End",0,IFERROR(IF(AND($NU$2&lt;&gt;"Enter Spend&gt;&gt;&gt;",$NV$2="EXISTING"),SUMIFS('Existing Customers'!$O:$O,'Existing Customers'!$H:$H,$NT28,'Existing Customers'!$A:$A,$NU$1)*$NU$4,$NV28*$NU$8),0))</f>
        <v>0</v>
      </c>
      <c r="NX28" s="92">
        <f>IF('Customer Inputs'!$W$20="End",0,IFERROR(IF(AND($NU$2&lt;&gt;"Enter Spend&gt;&gt;&gt;",$NV$2="EXISTING"),SUMIFS('Existing Customers'!$P:$P,'Existing Customers'!$A:$A,$NU$1,'Existing Customers'!$H:$H,$NT28)*$NU$4,$NU28/$OG28),0))</f>
        <v>0</v>
      </c>
      <c r="NY28" s="303">
        <f>IF('Customer Inputs'!$W$20="End",0,IFERROR(IF(AND($NU$2&lt;&gt;"Enter Spend&gt;&gt;&gt;",$NV$2="EXISTING"),SUMIFS('Existing Customers'!$V:$V,'Existing Customers'!$H:$H,$NT28,'Existing Customers'!$A:$A,$NU$1)*$NU$4,0),0))</f>
        <v>0</v>
      </c>
      <c r="NZ28" s="93">
        <f>IF('Customer Inputs'!$W$20="End",0,IFERROR(IF(AND($NU$2&lt;&gt;"Enter Spend&gt;&gt;&gt;",$NV$2="EXISTING"),SUMIFS('Existing Customers'!$R:$R,'Existing Customers'!$H:$H,$NT28,'Existing Customers'!$A:$A,$NU$1)*$NU$4,0),0))</f>
        <v>0</v>
      </c>
      <c r="OA28" s="780">
        <f>IF('Customer Inputs'!$W$20="End",0,IFERROR(IF(AND($NU$2&lt;&gt;"Enter Spend&gt;&gt;&gt;",$NV$2="EXISTING"),SUMIFS('Existing Customers'!$S:$S,'Existing Customers'!$H:$H,$NT28,'Existing Customers'!$A:$A,$NU$1)/SUMIFS('Existing Customers'!$Q:$Q,'Existing Customers'!$A:$A,$NU$1,'Existing Customers'!$H:$H,$NT28),OK28),0))</f>
        <v>0</v>
      </c>
      <c r="OB28" s="780">
        <f>IF('Customer Inputs'!$W$20="End",0,IFERROR(IF(AND($NU$2&lt;&gt;"Enter Spend&gt;&gt;&gt;",$NV$2="EXISTING"),SUMIFS('Existing Customers'!$U:$U,'Existing Customers'!$H:$H,$NT28,'Existing Customers'!$A:$A,$NU$1)/SUMIFS('Existing Customers'!$Q:$Q,'Existing Customers'!$A:$A,$NU$1,'Existing Customers'!$H:$H,$NT28),OL28),0))</f>
        <v>0</v>
      </c>
      <c r="OC28" s="783" t="e">
        <f>_xlfn.CONCAT('Customer Inputs'!$AH$20,"_",NT28)</f>
        <v>#N/A</v>
      </c>
      <c r="OD28" s="783">
        <f t="array" ref="OD28">IF('Customer Inputs'!$W$20="End",0,IFERROR(INDEX('Margin Guidence Table'!$A$1:$AG$10000,MATCH(1,('Margin Guidence Table'!$A$1:$A$10000=OC28)*('Margin Guidence Table'!$I$1:$I$10000&lt;=ROUND($NU$3,0))*('Margin Guidence Table'!$J$1:$J$10000&gt;=ROUND($NU$3,0)),0),MATCH("DATA_POINTS",'Margin Guidence Table'!$A$1:$AG$1,0)),0))</f>
        <v>0</v>
      </c>
      <c r="OE28" s="780" t="str">
        <f t="shared" si="61"/>
        <v>DEFAULT</v>
      </c>
      <c r="OF28" s="780">
        <f t="array" ref="OF28">IF('Customer Inputs'!$W$20="End",0,IFERROR(IF($OE28="SEGMENT",INDEX('Margin Guidence Table'!$A$1:$AG$10000,MATCH(1,('Margin Guidence Table'!$A$1:$A$10000=OC28)*('Margin Guidence Table'!$I$1:$I$10000&lt;=ROUND($NU$3,0))*('Margin Guidence Table'!$J$1:$J$10000&gt;=ROUND($NU$3,0)),0),MATCH("SALES_CASE",'Margin Guidence Table'!$A$1:$AG$1,0)),INDEX('Margin Guidence Table'!$A$1:$AG$10000,MATCH(1,('Margin Guidence Table'!$A$1:$A$10000=OC28)*('Margin Guidence Table'!$I$1:$I$10000&lt;=ROUND($NU$3,0))*('Margin Guidence Table'!$J$1:$J$10000&gt;=ROUND($NU$3,0)),0),MATCH("DEFAULT_SALES_CASE",'Margin Guidence Table'!$A$1:$AG$1,0))),0))</f>
        <v>0</v>
      </c>
      <c r="OG28" s="780">
        <f t="array" ref="OG28">IF('Customer Inputs'!$W$20="End",0,IFERROR(IF($OE28="SEGMENT",INDEX('Margin Guidence Table'!$A$1:$AG$10000,MATCH(1,('Margin Guidence Table'!$A$1:$A$10000=OC28)*('Margin Guidence Table'!$I$1:$I$10000&lt;=ROUND($NU$3,0))*('Margin Guidence Table'!$J$1:$J$10000&gt;=ROUND($NU$3,0)),0),MATCH("SALES_LBS",'Margin Guidence Table'!$A$1:$AG$1,0)),INDEX('Margin Guidence Table'!$A$1:$AG$10000,MATCH(1,('Margin Guidence Table'!$A$1:$A$10000=OC28)*('Margin Guidence Table'!$I$1:$I$10000&lt;=ROUND($NU$3,0))*('Margin Guidence Table'!$J$1:$J$10000&gt;=ROUND($NU$3,0)),0),MATCH("DEFAULT_SALES_LBS",'Margin Guidence Table'!$A$1:$AG$1,0))),0))</f>
        <v>0</v>
      </c>
      <c r="OH28" s="784">
        <f t="array" ref="OH28">IF('Customer Inputs'!$W$20="End",0,IFERROR(IF($OE28="SEGMENT",INDEX('Margin Guidence Table'!$A$1:$AG$10000,MATCH(1,('Margin Guidence Table'!$A$1:$A$10000=OC28)*('Margin Guidence Table'!$I$1:$I$10000&lt;=ROUND($NU$3,0))*('Margin Guidence Table'!$J$1:$J$10000&gt;=ROUND($NU$3,0)),0),MATCH("MDA_MIN_MARGIN_GUIDENCE",'Margin Guidence Table'!$A$1:$AG$1,0)),INDEX('Margin Guidence Table'!$A$1:$AG$10000,MATCH(1,('Margin Guidence Table'!$A$1:$A$10000=OC28)*('Margin Guidence Table'!$I$1:$I$10000&lt;=ROUND($NU$3,0))*('Margin Guidence Table'!$J$1:$J$10000&gt;=ROUND($NU$3,0)),0),MATCH("DEFAULT_MDA_MIN_MARGIN_GUIDENCE",'Margin Guidence Table'!$A$1:$AG$1,0))),0))</f>
        <v>0</v>
      </c>
      <c r="OI28" s="784">
        <f t="array" ref="OI28">IF('Customer Inputs'!$W$20="End",0,IFERROR(IF($OE28="SEGMENT",INDEX('Margin Guidence Table'!$A$1:$AG$10000,MATCH(1,('Margin Guidence Table'!$A$1:$A$10000=OC28)*('Margin Guidence Table'!$I$1:$I$10000&lt;=ROUND($NU$3,0))*('Margin Guidence Table'!$J$1:$J$10000&gt;=ROUND($NU$3,0)),0),MATCH("MDA_MEDIAN_MARGIN_GUIDENCE",'Margin Guidence Table'!$A$1:$AG$1,0)),INDEX('Margin Guidence Table'!$A$1:$AG$10000,MATCH(1,('Margin Guidence Table'!$A$1:$A$10000=OC28)*('Margin Guidence Table'!$I$1:$I$10000&lt;=ROUND($NU$3,0))*('Margin Guidence Table'!$J$1:$J$10000&gt;=ROUND($NU$3,0)),0),MATCH("DEFAULT_MDA_MEDIAN_MARGIN_GUIDENCE",'Margin Guidence Table'!$A$1:$AG$1,0))),0))</f>
        <v>0</v>
      </c>
      <c r="OJ28" s="784">
        <f t="array" ref="OJ28">IF('Customer Inputs'!$W$20="End",0,IFERROR(IF($OE28="SEGMENT",INDEX('Margin Guidence Table'!$A$1:$AG$10000,MATCH(1,('Margin Guidence Table'!$A$1:$A$10000=OC28)*('Margin Guidence Table'!$I$1:$I$10000&lt;=ROUND($NU$3,0))*('Margin Guidence Table'!$J$1:$J$10000&gt;=ROUND($NU$3,0)),0),MATCH("MDA_MAX_MARGIN_GUIDENCE",'Margin Guidence Table'!$A$1:$AG$1,0)),INDEX('Margin Guidence Table'!$A$1:$AG$10000,MATCH(1,('Margin Guidence Table'!$A$1:$A$10000=OC28)*('Margin Guidence Table'!$I$1:$I$10000&lt;=ROUND($NU$3,0))*('Margin Guidence Table'!$J$1:$J$10000&gt;=ROUND($NU$3,0)),0),MATCH("DEFAULT_MDA_MAX_MARGIN_GUIDENCE",'Margin Guidence Table'!$A$1:$AG$1,0))),0))</f>
        <v>0</v>
      </c>
      <c r="OK28" s="784">
        <f t="array" ref="OK28">IF('Customer Inputs'!$W$20="End",0,IFERROR(IF($OE28="SEGMENT",INDEX('Margin Guidence Table'!$A$1:$AG$10000,MATCH(1,('Margin Guidence Table'!$A$1:$A$10000=OC28)*('Margin Guidence Table'!$I$1:$I$10000&lt;=ROUND($NU$3,0))*('Margin Guidence Table'!$J$1:$J$10000&gt;=ROUND($NU$3,0)),0),MATCH("PA_PCT_SALES",'Margin Guidence Table'!$A$1:$AG$1,0)),INDEX('Margin Guidence Table'!$A$1:$AG$10000,MATCH(1,('Margin Guidence Table'!$A$1:$A$10000=OC28)*('Margin Guidence Table'!$I$1:$I$10000&lt;=ROUND($NU$3,0))*('Margin Guidence Table'!$J$1:$J$10000&gt;=ROUND($NU$3,0)),0),MATCH("DEFAULT_PA_PCT_SALES",'Margin Guidence Table'!$A$1:$AG$1,0))),0))</f>
        <v>0</v>
      </c>
      <c r="OL28" s="784">
        <f t="array" ref="OL28">IF('Customer Inputs'!$W$20="End",0,IFERROR(IF($OE28="SEGMENT",INDEX('Margin Guidence Table'!$A$1:$AG$10000,MATCH(1,('Margin Guidence Table'!$A$1:$A$10000=OC28)*('Margin Guidence Table'!$I$1:$I$10000&lt;=ROUND($NU$3,0))*('Margin Guidence Table'!$J$1:$J$10000&gt;=ROUND($NU$3,0)),0),MATCH("SELF_FUND_PCT_SALES",'Margin Guidence Table'!$A$1:$AG$1,0)),INDEX('Margin Guidence Table'!$A$1:$AG$10000,MATCH(1,('Margin Guidence Table'!$A$1:$A$10000=OC28)*('Margin Guidence Table'!$I$1:$I$10000&lt;=ROUND($NU$3,0))*('Margin Guidence Table'!$J$1:$J$10000&gt;=ROUND($NU$3,0)),0),MATCH("DEFAULT_SELF_FUND_PCT_SALES",'Margin Guidence Table'!$A$1:$AG$1,0))),0))</f>
        <v>0</v>
      </c>
      <c r="OM28" s="784">
        <f t="array" ref="OM28">IF('Customer Inputs'!$W$20="End",0,IF($NV$2="Existing",IFERROR(SUMIFS('Existing Customers'!$V:$V,'Existing Customers'!$H:$H,$NT28,'Existing Customers'!$A:$A,$NU$1)/SUMIFS('Existing Customers'!$Q:$Q,'Existing Customers'!$H:$H,$NT28,'Existing Customers'!$A:$A,$NU$1),0),IFERROR(IF($OE28="SEGMENT",INDEX('Margin Guidence Table'!$A$1:$AG$10000,MATCH(1,('Margin Guidence Table'!$A$1:$A$10000=OC28)*('Margin Guidence Table'!$I$1:$I$10000&lt;=ROUND($NU$3,0))*('Margin Guidence Table'!$J$1:$J$10000&gt;=ROUND($NU$3,0)),0),MATCH("CIA_MEDIAN_MARGIN_GUIDENCE",'Margin Guidence Table'!$A$1:$AG$1,0)),INDEX('Margin Guidence Table'!$A$1:$AG$10000,MATCH(1,('Margin Guidence Table'!$A$1:$A$10000=OC28)*('Margin Guidence Table'!$I$1:$I$10000&lt;=ROUND($NU$3,0))*('Margin Guidence Table'!$J$1:$J$10000&gt;=ROUND($NU$3,0)),0),MATCH("DEFAULT_CIA_MEDIAN_MARGIN_GUIDENCE",'Margin Guidence Table'!$A$1:$AG$1,0))),0)))</f>
        <v>0</v>
      </c>
      <c r="ON28" s="784"/>
      <c r="OO28" s="18">
        <f t="array" ref="OO28">IF('Customer Inputs'!$W$21="End",0,IFERROR(IF($PB28="SEGMENT",INDEX('Margin Guidence Table'!$A$1:$AG$10000,MATCH(1,('Margin Guidence Table'!$A$1:$A$10000=$OZ28)*('Margin Guidence Table'!$I$1:$I$10000&lt;=ROUND($OR$3,0))*('Margin Guidence Table'!$J$1:$J$10000&gt;=ROUND($OR$3,0)),0),MATCH("PCT_SALES",'Margin Guidence Table'!$A$1:$AG$1,0)),INDEX('Margin Guidence Table'!$A$1:$AG$10000,MATCH(1,('Margin Guidence Table'!$A$1:$A$10000=$OZ28)*('Margin Guidence Table'!$I$1:$I$10000&lt;=ROUND($OR$3,0))*('Margin Guidence Table'!$J$1:$J$10000&gt;=ROUND($OR$3,0)),0),MATCH("DEFAULT_PCT_SALES",'Margin Guidence Table'!$A$1:$AG$1,0))),0))</f>
        <v>0</v>
      </c>
      <c r="OP28" s="1713" t="e">
        <f t="shared" si="62"/>
        <v>#DIV/0!</v>
      </c>
      <c r="OQ28" s="99" t="s">
        <v>91</v>
      </c>
      <c r="OR28" s="91">
        <f>IF('Customer Inputs'!$W$21="End",0,IFERROR(IF(AND($OR$2&lt;&gt;"Enter Spend&gt;&gt;&gt;",$OS$2="EXISTING"),SUMIFS('Existing Customers'!$Q:$Q,'Existing Customers'!$A:$A,$OR$1,'Existing Customers'!$H:$H,$OQ28)*$OR$4,$OR$3*$OP28),0))</f>
        <v>0</v>
      </c>
      <c r="OS28" s="86">
        <f>IF('Customer Inputs'!$W$21="End",0,IFERROR(IF(AND($OR$2&lt;&gt;"Enter Spend&gt;&gt;&gt;",$OS$2="EXISTING"),SUMIFS('Existing Customers'!$N:$N,'Existing Customers'!$A:$A,$OR$1,'Existing Customers'!$H:$H,$OQ28)*$OR$4,$OR28/$PC28),0))</f>
        <v>0</v>
      </c>
      <c r="OT28" s="92">
        <f>IF('Customer Inputs'!$W$21="End",0,IFERROR(IF(AND($OR$2&lt;&gt;"Enter Spend&gt;&gt;&gt;",$OS$2="EXISTING"),SUMIFS('Existing Customers'!$O:$O,'Existing Customers'!$H:$H,$OQ28,'Existing Customers'!$A:$A,$OR$1)*$OR$4,$OS28*$OR$8),0))</f>
        <v>0</v>
      </c>
      <c r="OU28" s="92">
        <f>IF('Customer Inputs'!$W$21="End",0,IFERROR(IF(AND($OR$2&lt;&gt;"Enter Spend&gt;&gt;&gt;",$OS$2="EXISTING"),SUMIFS('Existing Customers'!$P:$P,'Existing Customers'!$A:$A,$OR$1,'Existing Customers'!$H:$H,$OQ28)*$OR$4,$OR28/$PD28),0))</f>
        <v>0</v>
      </c>
      <c r="OV28" s="303">
        <f>IF('Customer Inputs'!$W$21="End",0,IFERROR(IF(AND($OR$2&lt;&gt;"Enter Spend&gt;&gt;&gt;",$OS$2="EXISTING"),SUMIFS('Existing Customers'!$V:$V,'Existing Customers'!$H:$H,$OQ28,'Existing Customers'!$A:$A,$OR$1)*$OR$4,0),0))</f>
        <v>0</v>
      </c>
      <c r="OW28" s="93">
        <f>IF('Customer Inputs'!$W$21="End",0,IFERROR(IF(AND($OR$2&lt;&gt;"Enter Spend&gt;&gt;&gt;",$OS$2="EXISTING"),SUMIFS('Existing Customers'!$R:$R,'Existing Customers'!$H:$H,$OP28,'Existing Customers'!$A:$A,$OR$1)*$OR$4,0),0))</f>
        <v>0</v>
      </c>
      <c r="OX28" s="780">
        <f>IF('Customer Inputs'!$W$21="End",0,IFERROR(IF(AND($OR$2&lt;&gt;"Enter Spend&gt;&gt;&gt;",$OS$2="EXISTING"),SUMIFS('Existing Customers'!$S:$S,'Existing Customers'!$H:$H,$OQ28,'Existing Customers'!$A:$A,$OR$1)/SUMIFS('Existing Customers'!$Q:$Q,'Existing Customers'!$A:$A,$OR$1,'Existing Customers'!$H:$H,$OQ28),PH28),0))</f>
        <v>0</v>
      </c>
      <c r="OY28" s="780">
        <f>IF('Customer Inputs'!$W$21="End",0,IFERROR(IF(AND($OR$2&lt;&gt;"Enter Spend&gt;&gt;&gt;",$OS$2="EXISTING"),SUMIFS('Existing Customers'!$U:$U,'Existing Customers'!$H:$H,$OQ28,'Existing Customers'!$A:$A,$OR$1)/SUMIFS('Existing Customers'!$Q:$Q,'Existing Customers'!$A:$A,$OR$1,'Existing Customers'!$H:$H,$OQ28),PI28),0))</f>
        <v>0</v>
      </c>
      <c r="OZ28" s="783" t="e">
        <f>_xlfn.CONCAT('Customer Inputs'!$AH$21,"_",OQ28)</f>
        <v>#N/A</v>
      </c>
      <c r="PA28" s="783">
        <f t="array" ref="PA28">IF('Customer Inputs'!$W$22="End",0,IFERROR(INDEX('Margin Guidence Table'!$A$1:$AG$10000,MATCH(1,('Margin Guidence Table'!$A$1:$A$10000=OZ28)*('Margin Guidence Table'!$I$1:$I$10000&lt;=ROUND($OR$3,0))*('Margin Guidence Table'!$J$1:$J$10000&gt;=ROUND($OR$3,0)),0),MATCH("DATA_POINTS",'Margin Guidence Table'!$A$1:$AG$1,0)),0))</f>
        <v>0</v>
      </c>
      <c r="PB28" s="780" t="str">
        <f t="shared" si="63"/>
        <v>DEFAULT</v>
      </c>
      <c r="PC28" s="780">
        <f t="array" ref="PC28">IF('Customer Inputs'!$W$21="End",0,IFERROR(IF($PB28="SEGMENT",INDEX('Margin Guidence Table'!$A$1:$AG$10000,MATCH(1,('Margin Guidence Table'!$A$1:$A$10000=OZ28)*('Margin Guidence Table'!$I$1:$I$10000&lt;=ROUND($OR$3,0))*('Margin Guidence Table'!$J$1:$J$10000&gt;=ROUND($OR$3,0)),0),MATCH("SALES_CASE",'Margin Guidence Table'!$A$1:$AG$1,0)),INDEX('Margin Guidence Table'!$A$1:$AG$10000,MATCH(1,('Margin Guidence Table'!$A$1:$A$10000=OZ28)*('Margin Guidence Table'!$I$1:$I$10000&lt;=ROUND($OR$3,0))*('Margin Guidence Table'!$J$1:$J$10000&gt;=ROUND($OR$3,0)),0),MATCH("DEFAULT_SALES_CASE",'Margin Guidence Table'!$A$1:$AG$1,0))),0))</f>
        <v>0</v>
      </c>
      <c r="PD28" s="780">
        <f t="array" ref="PD28">IF('Customer Inputs'!$W$21="End",0,IFERROR(IF($PB28="SEGMENT",INDEX('Margin Guidence Table'!$A$1:$AG$10000,MATCH(1,('Margin Guidence Table'!$A$1:$A$10000=OZ28)*('Margin Guidence Table'!$I$1:$I$10000&lt;=ROUND($OR$3,0))*('Margin Guidence Table'!$J$1:$J$10000&gt;=ROUND($OR$3,0)),0),MATCH("SALES_LBS",'Margin Guidence Table'!$A$1:$AG$1,0)),INDEX('Margin Guidence Table'!$A$1:$AG$10000,MATCH(1,('Margin Guidence Table'!$A$1:$A$10000=OZ28)*('Margin Guidence Table'!$I$1:$I$10000&lt;=ROUND($OR$3,0))*('Margin Guidence Table'!$J$1:$J$10000&gt;=ROUND($OR$3,0)),0),MATCH("DEFAULT_SALES_LBS",'Margin Guidence Table'!$A$1:$AG$1,0))),0))</f>
        <v>0</v>
      </c>
      <c r="PE28" s="784">
        <f t="array" ref="PE28">IF('Customer Inputs'!$W$21="End",0,IFERROR(IF($PB28="SEGMENT",INDEX('Margin Guidence Table'!$A$1:$AG$10000,MATCH(1,('Margin Guidence Table'!$A$1:$A$10000=OZ28)*('Margin Guidence Table'!$I$1:$I$10000&lt;=ROUND($OR$3,0))*('Margin Guidence Table'!$J$1:$J$10000&gt;=ROUND($OR$3,0)),0),MATCH("MDA_MIN_MARGIN_GUIDENCE",'Margin Guidence Table'!$A$1:$AG$1,0)),INDEX('Margin Guidence Table'!$A$1:$AG$10000,MATCH(1,('Margin Guidence Table'!$A$1:$A$10000=OZ28)*('Margin Guidence Table'!$I$1:$I$10000&lt;=ROUND($OR$3,0))*('Margin Guidence Table'!$J$1:$J$10000&gt;=ROUND($OR$3,0)),0),MATCH("DEFAULT_MDA_MIN_MARGIN_GUIDENCE",'Margin Guidence Table'!$A$1:$AG$1,0))),0))</f>
        <v>0</v>
      </c>
      <c r="PF28" s="784">
        <f t="array" ref="PF28">IF('Customer Inputs'!$W$21="End",0,IFERROR(IF($PB28="SEGMENT",INDEX('Margin Guidence Table'!$A$1:$AG$10000,MATCH(1,('Margin Guidence Table'!$A$1:$A$10000=OZ28)*('Margin Guidence Table'!$I$1:$I$10000&lt;=ROUND($OR$3,0))*('Margin Guidence Table'!$J$1:$J$10000&gt;=ROUND($OR$3,0)),0),MATCH("MDA_MEDIAN_MARGIN_GUIDENCE",'Margin Guidence Table'!$A$1:$AG$1,0)),INDEX('Margin Guidence Table'!$A$1:$AG$10000,MATCH(1,('Margin Guidence Table'!$A$1:$A$10000=OZ28)*('Margin Guidence Table'!$I$1:$I$10000&lt;=ROUND($OR$3,0))*('Margin Guidence Table'!$J$1:$J$10000&gt;=ROUND($OR$3,0)),0),MATCH("DEFAULT_MDA_MEDIAN_MARGIN_GUIDENCE",'Margin Guidence Table'!$A$1:$AG$1,0))),0))</f>
        <v>0</v>
      </c>
      <c r="PG28" s="784">
        <f t="array" ref="PG28">IF('Customer Inputs'!$W$21="End",0,IFERROR(IF($PB28="SEGMENT",INDEX('Margin Guidence Table'!$A$1:$AG$10000,MATCH(1,('Margin Guidence Table'!$A$1:$A$10000=OZ28)*('Margin Guidence Table'!$I$1:$I$10000&lt;=ROUND($OR$3,0))*('Margin Guidence Table'!$J$1:$J$10000&gt;=ROUND($OR$3,0)),0),MATCH("MDA_MAX_MARGIN_GUIDENCE",'Margin Guidence Table'!$A$1:$AG$1,0)),INDEX('Margin Guidence Table'!$A$1:$AG$10000,MATCH(1,('Margin Guidence Table'!$A$1:$A$10000=OZ28)*('Margin Guidence Table'!$I$1:$I$10000&lt;=ROUND($OR$3,0))*('Margin Guidence Table'!$J$1:$J$10000&gt;=ROUND($OR$3,0)),0),MATCH("DEFAULT_MDA_MAX_MARGIN_GUIDENCE",'Margin Guidence Table'!$A$1:$AG$1,0))),0))</f>
        <v>0</v>
      </c>
      <c r="PH28" s="784">
        <f t="array" ref="PH28">IF('Customer Inputs'!$W$21="End",0,IFERROR(IF($PB28="SEGMENT",INDEX('Margin Guidence Table'!$A$1:$AG$10000,MATCH(1,('Margin Guidence Table'!$A$1:$A$10000=OZ28)*('Margin Guidence Table'!$I$1:$I$10000&lt;=ROUND($OR$3,0))*('Margin Guidence Table'!$J$1:$J$10000&gt;=ROUND($OR$3,0)),0),MATCH("PA_PCT_SALES",'Margin Guidence Table'!$A$1:$AG$1,0)),INDEX('Margin Guidence Table'!$A$1:$AG$10000,MATCH(1,('Margin Guidence Table'!$A$1:$A$10000=OZ28)*('Margin Guidence Table'!$I$1:$I$10000&lt;=ROUND($OR$3,0))*('Margin Guidence Table'!$J$1:$J$10000&gt;=ROUND($OR$3,0)),0),MATCH("DEFAULT_PA_PCT_SALES",'Margin Guidence Table'!$A$1:$AG$1,0))),0))</f>
        <v>0</v>
      </c>
      <c r="PI28" s="784">
        <f t="array" ref="PI28">IF('Customer Inputs'!$W$21="End",0,IFERROR(IF($PB28="SEGMENT",INDEX('Margin Guidence Table'!$A$1:$AG$10000,MATCH(1,('Margin Guidence Table'!$A$1:$A$10000=OZ28)*('Margin Guidence Table'!$I$1:$I$10000&lt;=ROUND($OR$3,0))*('Margin Guidence Table'!$J$1:$J$10000&gt;=ROUND($OR$3,0)),0),MATCH("SELF_FUND_PCT_SALES",'Margin Guidence Table'!$A$1:$AG$1,0)),INDEX('Margin Guidence Table'!$A$1:$AG$10000,MATCH(1,('Margin Guidence Table'!$A$1:$A$10000=OZ28)*('Margin Guidence Table'!$I$1:$I$10000&lt;=ROUND($OR$3,0))*('Margin Guidence Table'!$J$1:$J$10000&gt;=ROUND($OR$3,0)),0),MATCH("DEFAULT_SELF_FUND_PCT_SALES",'Margin Guidence Table'!$A$1:$AG$1,0))),0))</f>
        <v>0</v>
      </c>
      <c r="PJ28" s="784">
        <f t="array" ref="PJ28">IF('Customer Inputs'!$W$21="End",0,IF($OS$2="Existing",IFERROR(SUMIFS('Existing Customers'!$V:$V,'Existing Customers'!$H:$H,$OQ28,'Existing Customers'!$A:$A,$OR$1)/SUMIFS('Existing Customers'!$Q:$Q,'Existing Customers'!$H:$H,$OQ28,'Existing Customers'!$A:$A,$OR$1),0),IFERROR(IF($PB28="SEGMENT",INDEX('Margin Guidence Table'!$A$1:$AG$10000,MATCH(1,('Margin Guidence Table'!$A$1:$A$10000=OZ28)*('Margin Guidence Table'!$I$1:$I$10000&lt;=ROUND($OR$3,0))*('Margin Guidence Table'!$J$1:$J$10000&gt;=ROUND($OR$3,0)),0),MATCH("CIA_MEDIAN_MARGIN_GUIDENCE",'Margin Guidence Table'!$A$1:$AG$1,0)),INDEX('Margin Guidence Table'!$A$1:$AG$10000,MATCH(1,('Margin Guidence Table'!$A$1:$A$10000=OZ28)*('Margin Guidence Table'!$I$1:$I$10000&lt;=ROUND($OR$3,0))*('Margin Guidence Table'!$J$1:$J$10000&gt;=ROUND($OR$3,0)),0),MATCH("DEFAULT_CIA_MEDIAN_MARGIN_GUIDENCE",'Margin Guidence Table'!$A$1:$AG$1,0))),0)))</f>
        <v>0</v>
      </c>
      <c r="PK28" s="784"/>
      <c r="PL28" s="18">
        <f t="array" ref="PL28">IF('Customer Inputs'!$W$22="End",0,IFERROR(IF($PY28="SEGMENT",INDEX('Margin Guidence Table'!$A$1:$AG$10000,MATCH(1,('Margin Guidence Table'!$A$1:$A$10000=$PW28)*('Margin Guidence Table'!$I$1:$I$10000&lt;=ROUND($PO$3,0))*('Margin Guidence Table'!$J$1:$J$10000&gt;=ROUND($PO$3,0)),0),MATCH("PCT_SALES",'Margin Guidence Table'!$A$1:$AG$1,0)),INDEX('Margin Guidence Table'!$A$1:$AG$10000,MATCH(1,('Margin Guidence Table'!$A$1:$A$10000=$PW28)*('Margin Guidence Table'!$I$1:$I$10000&lt;=ROUND($PO$3,0))*('Margin Guidence Table'!$J$1:$J$10000&gt;=ROUND($PO$3,0)),0),MATCH("DEFAULT_PCT_SALES",'Margin Guidence Table'!$A$1:$AG$1,0))),0))</f>
        <v>0</v>
      </c>
      <c r="PM28" s="1713" t="e">
        <f t="shared" si="64"/>
        <v>#DIV/0!</v>
      </c>
      <c r="PN28" s="99" t="s">
        <v>91</v>
      </c>
      <c r="PO28" s="91">
        <f>IF('Customer Inputs'!$W$22="End",0,IFERROR(IF(AND($PO$2&lt;&gt;"Enter Spend&gt;&gt;&gt;",$PP$2="EXISTING"),SUMIFS('Existing Customers'!$Q:$Q,'Existing Customers'!$A:$A,$PO$1,'Existing Customers'!$H:$H,$PN28)*$PO$4,$PO$3*$PM28),0))</f>
        <v>0</v>
      </c>
      <c r="PP28" s="86">
        <f>IF('Customer Inputs'!$W$22="End",0,IFERROR(IF(AND($PO$2&lt;&gt;"Enter Spend&gt;&gt;&gt;",$PP$2="EXISTING"),SUMIFS('Existing Customers'!$N:$N,'Existing Customers'!$A:$A,$PO$1,'Existing Customers'!$H:$H,$PN28)*$PO$4,$PO28/$PZ28),0))</f>
        <v>0</v>
      </c>
      <c r="PQ28" s="92">
        <f>IF('Customer Inputs'!$W$22="End",0,IFERROR(IF(AND($PO$2&lt;&gt;"Enter Spend&gt;&gt;&gt;",$PP$2="EXISTING"),SUMIFS('Existing Customers'!$O:$O,'Existing Customers'!$H:$H,$PN28,'Existing Customers'!$A:$A,$PO$1)*$PO$4,$PP28*$PO$8),0))</f>
        <v>0</v>
      </c>
      <c r="PR28" s="92">
        <f>IF('Customer Inputs'!$W$22="End",0,IFERROR(IF(AND($PO$2&lt;&gt;"Enter Spend&gt;&gt;&gt;",$PP$2="EXISTING"),SUMIFS('Existing Customers'!$P:$P,'Existing Customers'!$A:$A,$PO$1,'Existing Customers'!$H:$H,$PN28)*$PO$4,$PO28/$QA28),0))</f>
        <v>0</v>
      </c>
      <c r="PS28" s="303">
        <f>IF('Customer Inputs'!$W$22="End",0,IFERROR(IF(AND($PO$2&lt;&gt;"Enter Spend&gt;&gt;&gt;",$PP$2="EXISTING"),SUMIFS('Existing Customers'!$V:$V,'Existing Customers'!$H:$H,$PN28,'Existing Customers'!$A:$A,$PO$1)*$PO$4,0),0))</f>
        <v>0</v>
      </c>
      <c r="PT28" s="93">
        <f>IF('Customer Inputs'!$W$22="End",0,IFERROR(IF(AND($PO$2&lt;&gt;"Enter Spend&gt;&gt;&gt;",$PP$2="EXISTING"),SUMIFS('Existing Customers'!$R:$R,'Existing Customers'!$H:$H,$PN28,'Existing Customers'!$A:$A,$PO$1)*$PO$4,0),0))</f>
        <v>0</v>
      </c>
      <c r="PU28" s="780">
        <f>IF('Customer Inputs'!$W$22="End",0,IFERROR(IF(AND($PO$2&lt;&gt;"Enter Spend&gt;&gt;&gt;",$PP$2="EXISTING"),SUMIFS('Existing Customers'!$S:$S,'Existing Customers'!$H:$H,$PN28,'Existing Customers'!$A:$A,$PO$1)/SUMIFS('Existing Customers'!$Q:$Q,'Existing Customers'!$A:$A,$PO$1,'Existing Customers'!$H:$H,$PN28),QE28),0))</f>
        <v>0</v>
      </c>
      <c r="PV28" s="780">
        <f>IF('Customer Inputs'!$W$22="End",0,IFERROR(IF(AND($PO$2&lt;&gt;"Enter Spend&gt;&gt;&gt;",$PP$2="EXISTING"),SUMIFS('Existing Customers'!$U:$U,'Existing Customers'!$H:$H,$PN28,'Existing Customers'!$A:$A,$PO$1)/SUMIFS('Existing Customers'!$Q:$Q,'Existing Customers'!$A:$A,$PO$1,'Existing Customers'!$H:$H,$PN28),QF28),0))</f>
        <v>0</v>
      </c>
      <c r="PW28" s="783" t="e">
        <f>_xlfn.CONCAT('Customer Inputs'!$AH$22,"_",PN28)</f>
        <v>#N/A</v>
      </c>
      <c r="PX28" s="783">
        <f t="array" ref="PX28">IF('Customer Inputs'!$W$22="End",0,IFERROR(INDEX('Margin Guidence Table'!$A$1:$AG$10000,MATCH(1,('Margin Guidence Table'!$A$1:$A$10000=PW28)*('Margin Guidence Table'!$I$1:$I$10000&lt;=ROUND($PO$3,0))*('Margin Guidence Table'!$J$1:$J$10000&gt;=ROUND($PO$3,0)),0),MATCH("DATA_POINTS",'Margin Guidence Table'!$A$1:$AG$1,0)),0))</f>
        <v>0</v>
      </c>
      <c r="PY28" s="780" t="str">
        <f t="shared" si="65"/>
        <v>DEFAULT</v>
      </c>
      <c r="PZ28" s="780">
        <f t="array" ref="PZ28">IF('Customer Inputs'!$W$22="End",0,IFERROR(IF($PY28="SEGMENT",INDEX('Margin Guidence Table'!$A$1:$AG$10000,MATCH(1,('Margin Guidence Table'!$A$1:$A$10000=PW28)*('Margin Guidence Table'!$I$1:$I$10000&lt;=ROUND($PO$3,0))*('Margin Guidence Table'!$J$1:$J$10000&gt;=ROUND($PO$3,0)),0),MATCH("SALES_CASE",'Margin Guidence Table'!$A$1:$AG$1,0)),INDEX('Margin Guidence Table'!$A$1:$AG$10000,MATCH(1,('Margin Guidence Table'!$A$1:$A$10000=PW28)*('Margin Guidence Table'!$I$1:$I$10000&lt;=ROUND($PO$3,0))*('Margin Guidence Table'!$J$1:$J$10000&gt;=ROUND($PO$3,0)),0),MATCH("DEFAULT_SALES_CASE",'Margin Guidence Table'!$A$1:$AG$1,0))),0))</f>
        <v>0</v>
      </c>
      <c r="QA28" s="780">
        <f t="array" ref="QA28">IF('Customer Inputs'!$W$22="End",0,IFERROR(IF($PY28="SEGMENT",INDEX('Margin Guidence Table'!$A$1:$AG$10000,MATCH(1,('Margin Guidence Table'!$A$1:$A$10000=PW28)*('Margin Guidence Table'!$I$1:$I$10000&lt;=ROUND($PO$3,0))*('Margin Guidence Table'!$J$1:$J$10000&gt;=ROUND($PO$3,0)),0),MATCH("SALES_LBS",'Margin Guidence Table'!$A$1:$AG$1,0)),INDEX('Margin Guidence Table'!$A$1:$AG$10000,MATCH(1,('Margin Guidence Table'!$A$1:$A$10000=PW28)*('Margin Guidence Table'!$I$1:$I$10000&lt;=ROUND($PO$3,0))*('Margin Guidence Table'!$J$1:$J$10000&gt;=ROUND($PO$3,0)),0),MATCH("DEFAULT_SALES_LBS",'Margin Guidence Table'!$A$1:$AG$1,0))),0))</f>
        <v>0</v>
      </c>
      <c r="QB28" s="784">
        <f t="array" ref="QB28">IF('Customer Inputs'!$W$22="End",0,IFERROR(IF($PY28="SEGMENT",INDEX('Margin Guidence Table'!$A$1:$AG$10000,MATCH(1,('Margin Guidence Table'!$A$1:$A$10000=PW28)*('Margin Guidence Table'!$I$1:$I$10000&lt;=ROUND($PO$3,0))*('Margin Guidence Table'!$J$1:$J$10000&gt;=ROUND($PO$3,0)),0),MATCH("MDA_MIN_MARGIN_GUIDENCE",'Margin Guidence Table'!$A$1:$AG$1,0)),INDEX('Margin Guidence Table'!$A$1:$AG$10000,MATCH(1,('Margin Guidence Table'!$A$1:$A$10000=PW28)*('Margin Guidence Table'!$I$1:$I$10000&lt;=ROUND($PO$3,0))*('Margin Guidence Table'!$J$1:$J$10000&gt;=ROUND($PO$3,0)),0),MATCH("DEFAULT_MDA_MIN_MARGIN_GUIDENCE",'Margin Guidence Table'!$A$1:$AG$1,0))),0))</f>
        <v>0</v>
      </c>
      <c r="QC28" s="784">
        <f t="array" ref="QC28">IF('Customer Inputs'!$W$22="End",0,IFERROR(IF($PY28="SEGMENT",INDEX('Margin Guidence Table'!$A$1:$AG$10000,MATCH(1,('Margin Guidence Table'!$A$1:$A$10000=PW28)*('Margin Guidence Table'!$I$1:$I$10000&lt;=ROUND($PO$3,0))*('Margin Guidence Table'!$J$1:$J$10000&gt;=ROUND($PO$3,0)),0),MATCH("MDA_MEDIAN_MARGIN_GUIDENCE",'Margin Guidence Table'!$A$1:$AG$1,0)),INDEX('Margin Guidence Table'!$A$1:$AG$10000,MATCH(1,('Margin Guidence Table'!$A$1:$A$10000=PW28)*('Margin Guidence Table'!$I$1:$I$10000&lt;=ROUND($PO$3,0))*('Margin Guidence Table'!$J$1:$J$10000&gt;=ROUND($PO$3,0)),0),MATCH("DEFAULT_MDA_MEDIAN_MARGIN_GUIDENCE",'Margin Guidence Table'!$A$1:$AG$1,0))),0))</f>
        <v>0</v>
      </c>
      <c r="QD28" s="784">
        <f t="array" ref="QD28">IF('Customer Inputs'!$W$22="End",0,IFERROR(IF($PY28="SEGMENT",INDEX('Margin Guidence Table'!$A$1:$AG$10000,MATCH(1,('Margin Guidence Table'!$A$1:$A$10000=PW28)*('Margin Guidence Table'!$I$1:$I$10000&lt;=ROUND($PO$3,0))*('Margin Guidence Table'!$J$1:$J$10000&gt;=ROUND($PO$3,0)),0),MATCH("MDA_MAX_MARGIN_GUIDENCE",'Margin Guidence Table'!$A$1:$AG$1,0)),INDEX('Margin Guidence Table'!$A$1:$AG$10000,MATCH(1,('Margin Guidence Table'!$A$1:$A$10000=PW28)*('Margin Guidence Table'!$I$1:$I$10000&lt;=ROUND($PO$3,0))*('Margin Guidence Table'!$J$1:$J$10000&gt;=ROUND($PO$3,0)),0),MATCH("DEFAULT_MDA_MAX_MARGIN_GUIDENCE",'Margin Guidence Table'!$A$1:$AG$1,0))),0))</f>
        <v>0</v>
      </c>
      <c r="QE28" s="784">
        <f t="array" ref="QE28">IF('Customer Inputs'!$W$22="End",0,IFERROR(IF($PY28="SEGMENT",INDEX('Margin Guidence Table'!$A$1:$AG$10000,MATCH(1,('Margin Guidence Table'!$A$1:$A$10000=PW28)*('Margin Guidence Table'!$I$1:$I$10000&lt;=ROUND($PO$3,0))*('Margin Guidence Table'!$J$1:$J$10000&gt;=ROUND($PO$3,0)),0),MATCH("PA_PCT_SALES",'Margin Guidence Table'!$A$1:$AG$1,0)),INDEX('Margin Guidence Table'!$A$1:$AG$10000,MATCH(1,('Margin Guidence Table'!$A$1:$A$10000=PW28)*('Margin Guidence Table'!$I$1:$I$10000&lt;=ROUND($PO$3,0))*('Margin Guidence Table'!$J$1:$J$10000&gt;=ROUND($PO$3,0)),0),MATCH("DEFAULT_PA_PCT_SALES",'Margin Guidence Table'!$A$1:$AG$1,0))),0))</f>
        <v>0</v>
      </c>
      <c r="QF28" s="784">
        <f t="array" ref="QF28">IF('Customer Inputs'!$W$22="End",0,IFERROR(IF($PY28="SEGMENT",INDEX('Margin Guidence Table'!$A$1:$AG$10000,MATCH(1,('Margin Guidence Table'!$A$1:$A$10000=PW28)*('Margin Guidence Table'!$I$1:$I$10000&lt;=ROUND($PO$3,0))*('Margin Guidence Table'!$J$1:$J$10000&gt;=ROUND($PO$3,0)),0),MATCH("SELF_FUND_PCT_SALES",'Margin Guidence Table'!$A$1:$AG$1,0)),INDEX('Margin Guidence Table'!$A$1:$AG$10000,MATCH(1,('Margin Guidence Table'!$A$1:$A$10000=PW28)*('Margin Guidence Table'!$I$1:$I$10000&lt;=ROUND($PO$3,0))*('Margin Guidence Table'!$J$1:$J$10000&gt;=ROUND($PO$3,0)),0),MATCH("DEFAULT_SELF_FUND_PCT_SALES",'Margin Guidence Table'!$A$1:$AG$1,0))),0))</f>
        <v>0</v>
      </c>
      <c r="QG28" s="784">
        <f t="array" ref="QG28">IF('Customer Inputs'!$W$22="End",0,IF($PP$2="Existing",IFERROR(SUMIFS('Existing Customers'!$V:$V,'Existing Customers'!$H:$H,$PN28,'Existing Customers'!$A:$A,$PO$1)/SUMIFS('Existing Customers'!$Q:$Q,'Existing Customers'!$H:$H,$PN28,'Existing Customers'!$A:$A,$PO$1),0),IFERROR(IF($PY28="SEGMENT",INDEX('Margin Guidence Table'!$A$1:$AG$10000,MATCH(1,('Margin Guidence Table'!$A$1:$A$10000=PW28)*('Margin Guidence Table'!$I$1:$I$10000&lt;=ROUND($PO$3,0))*('Margin Guidence Table'!$J$1:$J$10000&gt;=ROUND($PO$3,0)),0),MATCH("CIA_MEDIAN_MARGIN_GUIDENCE",'Margin Guidence Table'!$A$1:$AG$1,0)),INDEX('Margin Guidence Table'!$A$1:$AG$10000,MATCH(1,('Margin Guidence Table'!$A$1:$A$10000=PW28)*('Margin Guidence Table'!$I$1:$I$10000&lt;=ROUND($PO$3,0))*('Margin Guidence Table'!$J$1:$J$10000&gt;=ROUND($PO$3,0)),0),MATCH("DEFAULT_CIA_MEDIAN_MARGIN_GUIDENCE",'Margin Guidence Table'!$A$1:$AG$1,0))),0)))</f>
        <v>0</v>
      </c>
      <c r="QH28" s="784"/>
      <c r="QI28" s="18">
        <f t="array" ref="QI28">IF('Customer Inputs'!$W$23="End",0,IFERROR(IF($QV28="SEGMENT",INDEX('Margin Guidence Table'!$A$1:$AG$10000,MATCH(1,('Margin Guidence Table'!$A$1:$A$10000=$QT28)*('Margin Guidence Table'!$I$1:$I$10000&lt;=ROUND($QL$3,0))*('Margin Guidence Table'!$J$1:$J$10000&gt;=ROUND($QL$3,0)),0),MATCH("PCT_SALES",'Margin Guidence Table'!$A$1:$AG$1,0)),INDEX('Margin Guidence Table'!$A$1:$AG$10000,MATCH(1,('Margin Guidence Table'!$A$1:$A$10000=$QT28)*('Margin Guidence Table'!$I$1:$I$10000&lt;=ROUND($QL$3,0))*('Margin Guidence Table'!$J$1:$J$10000&gt;=ROUND($QL$3,0)),0),MATCH("DEFAULT_PCT_SALES",'Margin Guidence Table'!$A$1:$AG$1,0))),0))</f>
        <v>0</v>
      </c>
      <c r="QJ28" s="1713" t="e">
        <f t="shared" si="66"/>
        <v>#DIV/0!</v>
      </c>
      <c r="QK28" s="99" t="s">
        <v>91</v>
      </c>
      <c r="QL28" s="91">
        <f>IF('Customer Inputs'!$W$23="End",0,IFERROR(IF(AND($QL$2&lt;&gt;"Enter Spend&gt;&gt;&gt;",$QM$2="EXISTING"),SUMIFS('Existing Customers'!$Q:$Q,'Existing Customers'!$A:$A,$QL$1,'Existing Customers'!$H:$H,$QK28)*$QL$4,$QL$3*$QJ28),0))</f>
        <v>0</v>
      </c>
      <c r="QM28" s="86">
        <f>IF('Customer Inputs'!$W$23="End",0,IFERROR(IF(AND($QL$2&lt;&gt;"Enter Spend&gt;&gt;&gt;",$QM$2="EXISTING"),SUMIFS('Existing Customers'!$N:$N,'Existing Customers'!$A:$A,$QL$1,'Existing Customers'!$H:$H,$QK28)*$QL$4,$QL28/$QW28),0))</f>
        <v>0</v>
      </c>
      <c r="QN28" s="92">
        <f>IF('Customer Inputs'!$W$23="End",0,IFERROR(IF(AND($QL$2&lt;&gt;"Enter Spend&gt;&gt;&gt;",$QM$2="EXISTING"),SUMIFS('Existing Customers'!$O:$O,'Existing Customers'!$H:$H,$QK28,'Existing Customers'!$A:$A,$QL$1)*$QL$4,$QM28*$QL$8),0))</f>
        <v>0</v>
      </c>
      <c r="QO28" s="92">
        <f>IF('Customer Inputs'!$W$23="End",0,IFERROR(IF(AND($QL$2&lt;&gt;"Enter Spend&gt;&gt;&gt;",$QM$2="EXISTING"),SUMIFS('Existing Customers'!$P:$P,'Existing Customers'!$A:$A,$QL$1,'Existing Customers'!$H:$H,$QK28)*$QL$4,$QL28/$QX28),0))</f>
        <v>0</v>
      </c>
      <c r="QP28" s="303">
        <f>IF('Customer Inputs'!$W$23="End",0,IFERROR(IF(AND($QL$2&lt;&gt;"Enter Spend&gt;&gt;&gt;",$QM$2="EXISTING"),SUMIFS('Existing Customers'!$V:$V,'Existing Customers'!$H:$H,$QK28,'Existing Customers'!$A:$A,$QL$1)*$QL$4,0),0))</f>
        <v>0</v>
      </c>
      <c r="QQ28" s="93">
        <f>IF('Customer Inputs'!$W$23="End",0,IFERROR(IF(AND($QL$2&lt;&gt;"Enter Spend&gt;&gt;&gt;",$QM$2="EXISTING"),SUMIFS('Existing Customers'!$R:$R,'Existing Customers'!$H:$H,$QK28,'Existing Customers'!$A:$A,$QL$1)*$QL$4,0),0))</f>
        <v>0</v>
      </c>
      <c r="QR28" s="780">
        <f>IF('Customer Inputs'!$W$23="End",0,IFERROR(IF(AND($QL$2&lt;&gt;"Enter Spend&gt;&gt;&gt;",$QM$2="EXISTING"),SUMIFS('Existing Customers'!$S:$S,'Existing Customers'!$H:$H,$QK28,'Existing Customers'!$A:$A,$QL$1)/SUMIFS('Existing Customers'!$Q:$Q,'Existing Customers'!$A:$A,$QL$1,'Existing Customers'!$H:$H,$QK28),RB28),0))</f>
        <v>0</v>
      </c>
      <c r="QS28" s="780">
        <f>IF('Customer Inputs'!$W$23="End",0,IFERROR(IF(AND($QL$2&lt;&gt;"Enter Spend&gt;&gt;&gt;",$QM$2="EXISTING"),SUMIFS('Existing Customers'!$U:$U,'Existing Customers'!$H:$H,$QK28,'Existing Customers'!$A:$A,$QL$1)/SUMIFS('Existing Customers'!$Q:$Q,'Existing Customers'!$A:$A,$QL$1,'Existing Customers'!$H:$H,$QK28),RC28),0))</f>
        <v>0</v>
      </c>
      <c r="QT28" s="783" t="e">
        <f>_xlfn.CONCAT('Customer Inputs'!$AH$23,"_",QK28)</f>
        <v>#N/A</v>
      </c>
      <c r="QU28" s="783">
        <f t="array" ref="QU28">IF('Customer Inputs'!$W$23="End",0,IFERROR(INDEX('Margin Guidence Table'!$A$1:$AG$10000,MATCH(1,('Margin Guidence Table'!$A$1:$A$10000=QT28)*('Margin Guidence Table'!$I$1:$I$10000&lt;=ROUND($QL$3,0))*('Margin Guidence Table'!$J$1:$J$10000&gt;=ROUND($QL$3,0)),0),MATCH("DATA_POINTS",'Margin Guidence Table'!$A$1:$AG$1,0)),0))</f>
        <v>0</v>
      </c>
      <c r="QV28" s="780" t="str">
        <f t="shared" si="67"/>
        <v>DEFAULT</v>
      </c>
      <c r="QW28" s="780">
        <f t="array" ref="QW28">IF('Customer Inputs'!$W$23="End",0,IFERROR(IF($QV28="SEGMENT",INDEX('Margin Guidence Table'!$A$1:$AG$10000,MATCH(1,('Margin Guidence Table'!$A$1:$A$10000=QT28)*('Margin Guidence Table'!$I$1:$I$10000&lt;=ROUND($QL$3,0))*('Margin Guidence Table'!$J$1:$J$10000&gt;=ROUND($QL$3,0)),0),MATCH("SALES_CASE",'Margin Guidence Table'!$A$1:$AG$1,0)),INDEX('Margin Guidence Table'!$A$1:$AG$10000,MATCH(1,('Margin Guidence Table'!$A$1:$A$10000=QT28)*('Margin Guidence Table'!$I$1:$I$10000&lt;=ROUND($QL$3,0))*('Margin Guidence Table'!$J$1:$J$10000&gt;=ROUND($QL$3,0)),0),MATCH("DEFAULT_SALES_CASE",'Margin Guidence Table'!$A$1:$AG$1,0))),0))</f>
        <v>0</v>
      </c>
      <c r="QX28" s="780">
        <f t="array" ref="QX28">IF('Customer Inputs'!$W$23="End",0,IFERROR(IF($QV28="SEGMENT",INDEX('Margin Guidence Table'!$A$1:$AG$10000,MATCH(1,('Margin Guidence Table'!$A$1:$A$10000=QT28)*('Margin Guidence Table'!$I$1:$I$10000&lt;=ROUND($QL$3,0))*('Margin Guidence Table'!$J$1:$J$10000&gt;=ROUND($QL$3,0)),0),MATCH("SALES_LBS",'Margin Guidence Table'!$A$1:$AG$1,0)),INDEX('Margin Guidence Table'!$A$1:$AG$10000,MATCH(1,('Margin Guidence Table'!$A$1:$A$10000=QT28)*('Margin Guidence Table'!$I$1:$I$10000&lt;=ROUND($QL$3,0))*('Margin Guidence Table'!$J$1:$J$10000&gt;=ROUND($QL$3,0)),0),MATCH("DEFAULT_SALES_LBS",'Margin Guidence Table'!$A$1:$AG$1,0))),0))</f>
        <v>0</v>
      </c>
      <c r="QY28" s="784">
        <f t="array" ref="QY28">IF('Customer Inputs'!$W$23="End",0,IFERROR(IF($QV28="SEGMENT",INDEX('Margin Guidence Table'!$A$1:$AG$10000,MATCH(1,('Margin Guidence Table'!$A$1:$A$10000=QT28)*('Margin Guidence Table'!$I$1:$I$10000&lt;=ROUND($QL$3,0))*('Margin Guidence Table'!$J$1:$J$10000&gt;=ROUND($QL$3,0)),0),MATCH("MDA_MIN_MARGIN_GUIDENCE",'Margin Guidence Table'!$A$1:$AG$1,0)),INDEX('Margin Guidence Table'!$A$1:$AG$10000,MATCH(1,('Margin Guidence Table'!$A$1:$A$10000=QT28)*('Margin Guidence Table'!$I$1:$I$10000&lt;=ROUND($QL$3,0))*('Margin Guidence Table'!$J$1:$J$10000&gt;=ROUND($QL$3,0)),0),MATCH("DEFAULT_MDA_MIN_MARGIN_GUIDENCE",'Margin Guidence Table'!$A$1:$AG$1,0))),0))</f>
        <v>0</v>
      </c>
      <c r="QZ28" s="784">
        <f t="array" ref="QZ28">IF('Customer Inputs'!$W$23="End",0,IFERROR(IF($QV28="SEGMENT",INDEX('Margin Guidence Table'!$A$1:$AG$10000,MATCH(1,('Margin Guidence Table'!$A$1:$A$10000=QT28)*('Margin Guidence Table'!$I$1:$I$10000&lt;=ROUND($QL$3,0))*('Margin Guidence Table'!$J$1:$J$10000&gt;=ROUND($QL$3,0)),0),MATCH("MDA_MEDIAN_MARGIN_GUIDENCE",'Margin Guidence Table'!$A$1:$AG$1,0)),INDEX('Margin Guidence Table'!$A$1:$AG$10000,MATCH(1,('Margin Guidence Table'!$A$1:$A$10000=QT28)*('Margin Guidence Table'!$I$1:$I$10000&lt;=ROUND($QL$3,0))*('Margin Guidence Table'!$J$1:$J$10000&gt;=ROUND($QL$3,0)),0),MATCH("DEFAULT_MDA_MEDIAN_MARGIN_GUIDENCE",'Margin Guidence Table'!$A$1:$AG$1,0))),0))</f>
        <v>0</v>
      </c>
      <c r="RA28" s="784">
        <f t="array" ref="RA28">IF('Customer Inputs'!$W$23="End",0,IFERROR(IF($QV28="SEGMENT",INDEX('Margin Guidence Table'!$A$1:$AG$10000,MATCH(1,('Margin Guidence Table'!$A$1:$A$10000=QT28)*('Margin Guidence Table'!$I$1:$I$10000&lt;=ROUND($QL$3,0))*('Margin Guidence Table'!$J$1:$J$10000&gt;=ROUND($QL$3,0)),0),MATCH("MDA_MAX_MARGIN_GUIDENCE",'Margin Guidence Table'!$A$1:$AG$1,0)),INDEX('Margin Guidence Table'!$A$1:$AG$10000,MATCH(1,('Margin Guidence Table'!$A$1:$A$10000=QT28)*('Margin Guidence Table'!$I$1:$I$10000&lt;=ROUND($QL$3,0))*('Margin Guidence Table'!$J$1:$J$10000&gt;=ROUND($QL$3,0)),0),MATCH("DEFAULT_MDA_MAX_MARGIN_GUIDENCE",'Margin Guidence Table'!$A$1:$AG$1,0))),0))</f>
        <v>0</v>
      </c>
      <c r="RB28" s="784">
        <f t="array" ref="RB28">IF('Customer Inputs'!$W$23="End",0,IFERROR(IF($QV28="SEGMENT",INDEX('Margin Guidence Table'!$A$1:$AG$10000,MATCH(1,('Margin Guidence Table'!$A$1:$A$10000=QT28)*('Margin Guidence Table'!$I$1:$I$10000&lt;=ROUND($QL$3,0))*('Margin Guidence Table'!$J$1:$J$10000&gt;=ROUND($QL$3,0)),0),MATCH("PA_PCT_SALES",'Margin Guidence Table'!$A$1:$AG$1,0)),INDEX('Margin Guidence Table'!$A$1:$AG$10000,MATCH(1,('Margin Guidence Table'!$A$1:$A$10000=QT28)*('Margin Guidence Table'!$I$1:$I$10000&lt;=ROUND($QL$3,0))*('Margin Guidence Table'!$J$1:$J$10000&gt;=ROUND($QL$3,0)),0),MATCH("DEFAULT_PA_PCT_SALES",'Margin Guidence Table'!$A$1:$AG$1,0))),0))</f>
        <v>0</v>
      </c>
      <c r="RC28" s="784">
        <f t="array" ref="RC28">IF('Customer Inputs'!$W$23="End",0,IFERROR(IF($QV28="SEGMENT",INDEX('Margin Guidence Table'!$A$1:$AG$10000,MATCH(1,('Margin Guidence Table'!$A$1:$A$10000=QT28)*('Margin Guidence Table'!$I$1:$I$10000&lt;=ROUND($QL$3,0))*('Margin Guidence Table'!$J$1:$J$10000&gt;=ROUND($QL$3,0)),0),MATCH("SELF_FUND_PCT_SALES",'Margin Guidence Table'!$A$1:$AG$1,0)),INDEX('Margin Guidence Table'!$A$1:$AG$10000,MATCH(1,('Margin Guidence Table'!$A$1:$A$10000=QT28)*('Margin Guidence Table'!$I$1:$I$10000&lt;=ROUND($QL$3,0))*('Margin Guidence Table'!$J$1:$J$10000&gt;=ROUND($QL$3,0)),0),MATCH("DEFAULT_SELF_FUND_PCT_SALES",'Margin Guidence Table'!$A$1:$AG$1,0))),0))</f>
        <v>0</v>
      </c>
      <c r="RD28" s="784">
        <f t="array" ref="RD28">IF('Customer Inputs'!$W$23="End",0,IF($QM$2="Existing",IFERROR(SUMIFS('Existing Customers'!$V:$V,'Existing Customers'!$H:$H,$QK28,'Existing Customers'!$A:$A,$QL$1)/SUMIFS('Existing Customers'!$Q:$Q,'Existing Customers'!$H:$H,$QK28,'Existing Customers'!$A:$A,$QL$1),0),IFERROR(IF($QV28="SEGMENT",INDEX('Margin Guidence Table'!$A$1:$AG$10000,MATCH(1,('Margin Guidence Table'!$A$1:$A$10000=QT28)*('Margin Guidence Table'!$I$1:$I$10000&lt;=ROUND($QL$3,0))*('Margin Guidence Table'!$J$1:$J$10000&gt;=ROUND($QL$3,0)),0),MATCH("CIA_MEDIAN_MARGIN_GUIDENCE",'Margin Guidence Table'!$A$1:$AG$1,0)),INDEX('Margin Guidence Table'!$A$1:$AG$10000,MATCH(1,('Margin Guidence Table'!$A$1:$A$10000=QT28)*('Margin Guidence Table'!$I$1:$I$10000&lt;=ROUND($QL$3,0))*('Margin Guidence Table'!$J$1:$J$10000&gt;=ROUND($QL$3,0)),0),MATCH("DEFAULT_CIA_MEDIAN_MARGIN_GUIDENCE",'Margin Guidence Table'!$A$1:$AG$1,0))),0)))</f>
        <v>0</v>
      </c>
      <c r="RE28" s="784"/>
      <c r="RF28" s="18">
        <f t="array" ref="RF28">IF('Customer Inputs'!$W$24="End",0,IFERROR(IF($RS28="SEGMENT",INDEX('Margin Guidence Table'!$A$1:$AG$10000,MATCH(1,('Margin Guidence Table'!$A$1:$A$10000=$RQ28)*('Margin Guidence Table'!$I$1:$I$10000&lt;=ROUND($RI$3,0))*('Margin Guidence Table'!$J$1:$J$10000&gt;=ROUND($RI$3,0)),0),MATCH("PCT_SALES",'Margin Guidence Table'!$A$1:$AG$1,0)),INDEX('Margin Guidence Table'!$A$1:$AG$10000,MATCH(1,('Margin Guidence Table'!$A$1:$A$10000=$RQ28)*('Margin Guidence Table'!$I$1:$I$10000&lt;=ROUND($RI$3,0))*('Margin Guidence Table'!$J$1:$J$10000&gt;=ROUND($RI$3,0)),0),MATCH("DEFAULT_PCT_SALES",'Margin Guidence Table'!$A$1:$AG$1,0))),0))</f>
        <v>0</v>
      </c>
      <c r="RG28" s="1713" t="e">
        <f t="shared" si="68"/>
        <v>#DIV/0!</v>
      </c>
      <c r="RH28" s="99" t="s">
        <v>91</v>
      </c>
      <c r="RI28" s="91">
        <f>IF('Customer Inputs'!$W$24="End",0,IFERROR(IF(AND($RI$2&lt;&gt;"Enter Spend&gt;&gt;&gt;",$RJ$2="EXISTING"),SUMIFS('Existing Customers'!$Q:$Q,'Existing Customers'!$A:$A,$RI$1,'Existing Customers'!$H:$H,$RH28)*$RI$4,$RI$3*$RG28),0))</f>
        <v>0</v>
      </c>
      <c r="RJ28" s="86">
        <f>IF('Customer Inputs'!$W$24="End",0,IFERROR(IF(AND($RI$2&lt;&gt;"Enter Spend&gt;&gt;&gt;",$RJ$2="EXISTING"),SUMIFS('Existing Customers'!$N:$N,'Existing Customers'!$A:$A,$RI$1,'Existing Customers'!$H:$H,$RH28)*$RI$4,$RI28/$RT28),0))</f>
        <v>0</v>
      </c>
      <c r="RK28" s="92">
        <f>IF('Customer Inputs'!$W$24="End",0,IFERROR(IF(AND($RI$2&lt;&gt;"Enter Spend&gt;&gt;&gt;",$RJ$2="EXISTING"),SUMIFS('Existing Customers'!$O:$O,'Existing Customers'!$H:$H,$RH28,'Existing Customers'!$A:$A,$RI$1)*$RI$4,$RJ28*$RI$8),0))</f>
        <v>0</v>
      </c>
      <c r="RL28" s="92">
        <f>IF('Customer Inputs'!$W$24="End",0,IFERROR(IF(AND($RI$2&lt;&gt;"Enter Spend&gt;&gt;&gt;",$RJ$2="EXISTING"),SUMIFS('Existing Customers'!$P:$P,'Existing Customers'!$A:$A,$RI$1,'Existing Customers'!$H:$H,$RH28)*$RI$4,$RI28/$RU28),0))</f>
        <v>0</v>
      </c>
      <c r="RM28" s="303">
        <f>IF('Customer Inputs'!$W$24="End",0,IFERROR(IF(AND($RI$2&lt;&gt;"Enter Spend&gt;&gt;&gt;",$RJ$2="EXISTING"),SUMIFS('Existing Customers'!$V:$V,'Existing Customers'!$H:$H,$RH28,'Existing Customers'!$A:$A,$RI$1)*$RI$4,0),0))</f>
        <v>0</v>
      </c>
      <c r="RN28" s="93">
        <f>IF('Customer Inputs'!$W$24="End",0,IFERROR(IF(AND($RI$2&lt;&gt;"Enter Spend&gt;&gt;&gt;",$RJ$2="EXISTING"),SUMIFS('Existing Customers'!$R:$R,'Existing Customers'!$H:$H,$RH28,'Existing Customers'!$A:$A,$RI$1)*$RI$4,0),0))</f>
        <v>0</v>
      </c>
      <c r="RO28" s="780">
        <f>IF('Customer Inputs'!$W$24="End",0,IFERROR(IF(AND($RI$2&lt;&gt;"Enter Spend&gt;&gt;&gt;",$RJ$2="EXISTING"),SUMIFS('Existing Customers'!$S:$S,'Existing Customers'!$H:$H,$RH28,'Existing Customers'!$A:$A,$RI$1)/SUMIFS('Existing Customers'!$Q:$Q,'Existing Customers'!$A:$A,$RI$1,'Existing Customers'!$H:$H,$RH28),RY28),0))</f>
        <v>0</v>
      </c>
      <c r="RP28" s="780">
        <f>IF('Customer Inputs'!$W$24="End",0,IFERROR(IF(AND($RI$2&lt;&gt;"Enter Spend&gt;&gt;&gt;",$RJ$2="EXISTING"),SUMIFS('Existing Customers'!$U:$U,'Existing Customers'!$H:$H,$RH28,'Existing Customers'!$A:$A,$RI$1)/SUMIFS('Existing Customers'!$Q:$Q,'Existing Customers'!$A:$A,$RI$1,'Existing Customers'!$H:$H,$RH28),RZ28),0))</f>
        <v>0</v>
      </c>
      <c r="RQ28" s="783" t="e">
        <f>_xlfn.CONCAT('Customer Inputs'!$AH$24,"_",RH28)</f>
        <v>#N/A</v>
      </c>
      <c r="RR28" s="783">
        <f t="array" ref="RR28">IF('Customer Inputs'!$W$24="End",0,IFERROR(INDEX('Margin Guidence Table'!$A$1:$AG$10000,MATCH(1,('Margin Guidence Table'!$A$1:$A$10000=RQ28)*('Margin Guidence Table'!$I$1:$I$10000&lt;=ROUND($RI$3,0))*('Margin Guidence Table'!$J$1:$J$10000&gt;=ROUND($RI$3,0)),0),MATCH("DATA_POINTS",'Margin Guidence Table'!$A$1:$AG$1,0)),0))</f>
        <v>0</v>
      </c>
      <c r="RS28" s="780" t="str">
        <f t="shared" si="69"/>
        <v>DEFAULT</v>
      </c>
      <c r="RT28" s="780">
        <f t="array" ref="RT28">IF('Customer Inputs'!$W$24="End",0,IFERROR(IF($RS28="SEGMENT",INDEX('Margin Guidence Table'!$A$1:$AG$10000,MATCH(1,('Margin Guidence Table'!$A$1:$A$10000=RQ28)*('Margin Guidence Table'!$I$1:$I$10000&lt;=ROUND($RI$3,0))*('Margin Guidence Table'!$J$1:$J$10000&gt;=ROUND($RI$3,0)),0),MATCH("SALES_CASE",'Margin Guidence Table'!$A$1:$AG$1,0)),INDEX('Margin Guidence Table'!$A$1:$AG$10000,MATCH(1,('Margin Guidence Table'!$A$1:$A$10000=RQ28)*('Margin Guidence Table'!$I$1:$I$10000&lt;=ROUND($RI$3,0))*('Margin Guidence Table'!$J$1:$J$10000&gt;=ROUND($RI$3,0)),0),MATCH("DEFAULT_SALES_CASE",'Margin Guidence Table'!$A$1:$AG$1,0))),0))</f>
        <v>0</v>
      </c>
      <c r="RU28" s="780">
        <f t="array" ref="RU28">IF('Customer Inputs'!$W$24="End",0,IFERROR(IF($RS28="SEGMENT",INDEX('Margin Guidence Table'!$A$1:$AG$10000,MATCH(1,('Margin Guidence Table'!$A$1:$A$10000=RQ28)*('Margin Guidence Table'!$I$1:$I$10000&lt;=ROUND($RI$3,0))*('Margin Guidence Table'!$J$1:$J$10000&gt;=ROUND($RI$3,0)),0),MATCH("SALES_LBS",'Margin Guidence Table'!$A$1:$AG$1,0)),INDEX('Margin Guidence Table'!$A$1:$AG$10000,MATCH(1,('Margin Guidence Table'!$A$1:$A$10000=RQ28)*('Margin Guidence Table'!$I$1:$I$10000&lt;=ROUND($RI$3,0))*('Margin Guidence Table'!$J$1:$J$10000&gt;=ROUND($RI$3,0)),0),MATCH("DEFAULT_SALES_LBS",'Margin Guidence Table'!$A$1:$AG$1,0))),0))</f>
        <v>0</v>
      </c>
      <c r="RV28" s="784">
        <f t="array" ref="RV28">IF('Customer Inputs'!$W$24="End",0,IFERROR(IF($RS28="SEGMENT",INDEX('Margin Guidence Table'!$A$1:$AG$10000,MATCH(1,('Margin Guidence Table'!$A$1:$A$10000=RQ28)*('Margin Guidence Table'!$I$1:$I$10000&lt;=ROUND($RI$3,0))*('Margin Guidence Table'!$J$1:$J$10000&gt;=ROUND($RI$3,0)),0),MATCH("MDA_MIN_MARGIN_GUIDENCE",'Margin Guidence Table'!$A$1:$AG$1,0)),INDEX('Margin Guidence Table'!$A$1:$AG$10000,MATCH(1,('Margin Guidence Table'!$A$1:$A$10000=RQ28)*('Margin Guidence Table'!$I$1:$I$10000&lt;=ROUND($RI$3,0))*('Margin Guidence Table'!$J$1:$J$10000&gt;=ROUND($RI$3,0)),0),MATCH("DEFAULT_MDA_MIN_MARGIN_GUIDENCE",'Margin Guidence Table'!$A$1:$AG$1,0))),0))</f>
        <v>0</v>
      </c>
      <c r="RW28" s="784">
        <f t="array" ref="RW28">IF('Customer Inputs'!$W$24="End",0,IFERROR(IF($RS28="SEGMENT",INDEX('Margin Guidence Table'!$A$1:$AG$10000,MATCH(1,('Margin Guidence Table'!$A$1:$A$10000=RQ28)*('Margin Guidence Table'!$I$1:$I$10000&lt;=ROUND($RI$3,0))*('Margin Guidence Table'!$J$1:$J$10000&gt;=ROUND($RI$3,0)),0),MATCH("MDA_MEDIAN_MARGIN_GUIDENCE",'Margin Guidence Table'!$A$1:$AG$1,0)),INDEX('Margin Guidence Table'!$A$1:$AG$10000,MATCH(1,('Margin Guidence Table'!$A$1:$A$10000=RQ28)*('Margin Guidence Table'!$I$1:$I$10000&lt;=ROUND($RI$3,0))*('Margin Guidence Table'!$J$1:$J$10000&gt;=ROUND($RI$3,0)),0),MATCH("DEFAULT_MDA_MEDIAN_MARGIN_GUIDENCE",'Margin Guidence Table'!$A$1:$AG$1,0))),0))</f>
        <v>0</v>
      </c>
      <c r="RX28" s="784">
        <f t="array" ref="RX28">IF('Customer Inputs'!$W$24="End",0,IFERROR(IF($RS28="SEGMENT",INDEX('Margin Guidence Table'!$A$1:$AG$10000,MATCH(1,('Margin Guidence Table'!$A$1:$A$10000=RQ28)*('Margin Guidence Table'!$I$1:$I$10000&lt;=ROUND($RI$3,0))*('Margin Guidence Table'!$J$1:$J$10000&gt;=ROUND($RI$3,0)),0),MATCH("MDA_MAX_MARGIN_GUIDENCE",'Margin Guidence Table'!$A$1:$AG$1,0)),INDEX('Margin Guidence Table'!$A$1:$AG$10000,MATCH(1,('Margin Guidence Table'!$A$1:$A$10000=RQ28)*('Margin Guidence Table'!$I$1:$I$10000&lt;=ROUND($RI$3,0))*('Margin Guidence Table'!$J$1:$J$10000&gt;=ROUND($RI$3,0)),0),MATCH("DEFAULT_MDA_MAX_MARGIN_GUIDENCE",'Margin Guidence Table'!$A$1:$AG$1,0))),0))</f>
        <v>0</v>
      </c>
      <c r="RY28" s="784">
        <f t="array" ref="RY28">IF('Customer Inputs'!$W$24="End",0,IFERROR(IF($RS28="SEGMENT",INDEX('Margin Guidence Table'!$A$1:$AG$10000,MATCH(1,('Margin Guidence Table'!$A$1:$A$10000=RQ28)*('Margin Guidence Table'!$I$1:$I$10000&lt;=ROUND($RI$3,0))*('Margin Guidence Table'!$J$1:$J$10000&gt;=ROUND($RI$3,0)),0),MATCH("PA_PCT_SALES",'Margin Guidence Table'!$A$1:$AG$1,0)),INDEX('Margin Guidence Table'!$A$1:$AG$10000,MATCH(1,('Margin Guidence Table'!$A$1:$A$10000=RQ28)*('Margin Guidence Table'!$I$1:$I$10000&lt;=ROUND($RI$3,0))*('Margin Guidence Table'!$J$1:$J$10000&gt;=ROUND($RI$3,0)),0),MATCH("DEFAULT_PA_PCT_SALES",'Margin Guidence Table'!$A$1:$AG$1,0))),0))</f>
        <v>0</v>
      </c>
      <c r="RZ28" s="784">
        <f t="array" ref="RZ28">IF('Customer Inputs'!$W$24="End",0,IFERROR(IF($RS28="SEGMENT",INDEX('Margin Guidence Table'!$A$1:$AG$10000,MATCH(1,('Margin Guidence Table'!$A$1:$A$10000=RQ28)*('Margin Guidence Table'!$I$1:$I$10000&lt;=ROUND($RI$3,0))*('Margin Guidence Table'!$J$1:$J$10000&gt;=ROUND($RI$3,0)),0),MATCH("SELF_FUND_PCT_SALES",'Margin Guidence Table'!$A$1:$AG$1,0)),INDEX('Margin Guidence Table'!$A$1:$AG$10000,MATCH(1,('Margin Guidence Table'!$A$1:$A$10000=RQ28)*('Margin Guidence Table'!$I$1:$I$10000&lt;=ROUND($RI$3,0))*('Margin Guidence Table'!$J$1:$J$10000&gt;=ROUND($RI$3,0)),0),MATCH("DEFAULT_SELF_FUND_PCT_SALES",'Margin Guidence Table'!$A$1:$AG$1,0))),0))</f>
        <v>0</v>
      </c>
      <c r="SA28" s="784">
        <f t="array" ref="SA28">IF('Customer Inputs'!$W$24="End",0,IF($RJ$2="Existing",IFERROR(SUMIFS('Existing Customers'!$V:$V,'Existing Customers'!$H:$H,$RH28,'Existing Customers'!$A:$A,$RI$1)/SUMIFS('Existing Customers'!$Q:$Q,'Existing Customers'!$H:$H,$RH28,'Existing Customers'!$A:$A,$RI$1),0),IFERROR(IF($RS28="SEGMENT",INDEX('Margin Guidence Table'!$A$1:$AG$10000,MATCH(1,('Margin Guidence Table'!$A$1:$A$10000=RQ28)*('Margin Guidence Table'!$I$1:$I$10000&lt;=ROUND($RI$3,0))*('Margin Guidence Table'!$J$1:$J$10000&gt;=ROUND($RI$3,0)),0),MATCH("CIA_MEDIAN_MARGIN_GUIDENCE",'Margin Guidence Table'!$A$1:$AG$1,0)),INDEX('Margin Guidence Table'!$A$1:$AG$10000,MATCH(1,('Margin Guidence Table'!$A$1:$A$10000=RQ28)*('Margin Guidence Table'!$I$1:$I$10000&lt;=ROUND($RI$3,0))*('Margin Guidence Table'!$J$1:$J$10000&gt;=ROUND($RI$3,0)),0),MATCH("DEFAULT_CIA_MEDIAN_MARGIN_GUIDENCE",'Margin Guidence Table'!$A$1:$AG$1,0))),0)))</f>
        <v>0</v>
      </c>
      <c r="SB28" s="784"/>
      <c r="SC28" s="18">
        <f t="array" ref="SC28">IF('Customer Inputs'!$W$25="End",0,IFERROR(IF($SP28="SEGMENT",INDEX('Margin Guidence Table'!$A$1:$AG$10000,MATCH(1,('Margin Guidence Table'!$A$1:$A$10000=$SN28)*('Margin Guidence Table'!$I$1:$I$10000&lt;=ROUND($SF$3,0))*('Margin Guidence Table'!$J$1:$J$10000&gt;=ROUND($SF$3,0)),0),MATCH("PCT_SALES",'Margin Guidence Table'!$A$1:$AG$1,0)),INDEX('Margin Guidence Table'!$A$1:$AG$10000,MATCH(1,('Margin Guidence Table'!$A$1:$A$10000=$SN28)*('Margin Guidence Table'!$I$1:$I$10000&lt;=ROUND($SF$3,0))*('Margin Guidence Table'!$J$1:$J$10000&gt;=ROUND($SF$3,0)),0),MATCH("DEFAULT_PCT_SALES",'Margin Guidence Table'!$A$1:$AG$1,0))),0))</f>
        <v>0</v>
      </c>
      <c r="SD28" s="1713" t="e">
        <f t="shared" si="70"/>
        <v>#DIV/0!</v>
      </c>
      <c r="SE28" s="99" t="s">
        <v>91</v>
      </c>
      <c r="SF28" s="91">
        <f>IF('Customer Inputs'!$W$25="End",0,IFERROR(IF(AND($SF$2&lt;&gt;"Enter Spend&gt;&gt;&gt;",$SG$2="EXISTING"),SUMIFS('Existing Customers'!$Q:$Q,'Existing Customers'!$A:$A,$SF$1,'Existing Customers'!$H:$H,$SE28)*$SF$4,$SF$3*$SD28),0))</f>
        <v>0</v>
      </c>
      <c r="SG28" s="86">
        <f>IF('Customer Inputs'!$W$25="End",0,IFERROR(IF(AND($SF$2&lt;&gt;"Enter Spend&gt;&gt;&gt;",$SG$2="EXISTING"),SUMIFS('Existing Customers'!$N:$N,'Existing Customers'!$A:$A,$SF$1,'Existing Customers'!$H:$H,$SE28)*$SF$4,$SF28/$SQ28),0))</f>
        <v>0</v>
      </c>
      <c r="SH28" s="92">
        <f>IF('Customer Inputs'!$W$25="End",0,IFERROR(IF(AND($SF$2&lt;&gt;"Enter Spend&gt;&gt;&gt;",$SG$2="EXISTING"),SUMIFS('Existing Customers'!$O:$O,'Existing Customers'!$H:$H,$SE28,'Existing Customers'!$A:$A,$SF$1)*$SF$4,$SG28*$SF$8),0))</f>
        <v>0</v>
      </c>
      <c r="SI28" s="92">
        <f>IF('Customer Inputs'!$W$25="End",0,IFERROR(IF(AND($SF$2&lt;&gt;"Enter Spend&gt;&gt;&gt;",$SG$2="EXISTING"),SUMIFS('Existing Customers'!$P:$P,'Existing Customers'!$A:$A,$SF$1,'Existing Customers'!$H:$H,$SE28)*$SF$4,$SF28/$SR28),0))</f>
        <v>0</v>
      </c>
      <c r="SJ28" s="303">
        <f>IF('Customer Inputs'!$W$25="End",0,IFERROR(IF(AND($SF$2&lt;&gt;"Enter Spend&gt;&gt;&gt;",$SG$2="EXISTING"),SUMIFS('Existing Customers'!$V:$V,'Existing Customers'!$H:$H,$SE28,'Existing Customers'!$A:$A,$SF$1)*$SF$4,0),0))</f>
        <v>0</v>
      </c>
      <c r="SK28" s="93">
        <f>IF('Customer Inputs'!$W$25="End",0,IFERROR(IF(AND($SF$2&lt;&gt;"Enter Spend&gt;&gt;&gt;",$SG$2="EXISTING"),SUMIFS('Existing Customers'!$R:$R,'Existing Customers'!$H:$H,$SE28,'Existing Customers'!$A:$A,$SF$1)*$SF$4,0),0))</f>
        <v>0</v>
      </c>
      <c r="SL28" s="780">
        <f>IF('Customer Inputs'!$W$25="End",0,IFERROR(IF(AND($SF$2&lt;&gt;"Enter Spend&gt;&gt;&gt;",$SG$2="EXISTING"),SUMIFS('Existing Customers'!$S:$S,'Existing Customers'!$H:$H,$SE28,'Existing Customers'!$A:$A,$SF$1)/SUMIFS('Existing Customers'!$Q:$Q,'Existing Customers'!$A:$A,$SF$1,'Existing Customers'!$H:$H,$SE28),SV28),0))</f>
        <v>0</v>
      </c>
      <c r="SM28" s="780">
        <f>IF('Customer Inputs'!$W$25="End",0,IFERROR(IF(AND($SF$2&lt;&gt;"Enter Spend&gt;&gt;&gt;",$SG$2="EXISTING"),SUMIFS('Existing Customers'!$U:$U,'Existing Customers'!$H:$H,$SE28,'Existing Customers'!$A:$A,$SF$1)/SUMIFS('Existing Customers'!$Q:$Q,'Existing Customers'!$A:$A,$SF$1,'Existing Customers'!$H:$H,$SE28),SW28),0))</f>
        <v>0</v>
      </c>
      <c r="SN28" s="783" t="e">
        <f>_xlfn.CONCAT('Customer Inputs'!$AH$25,"_",SE28)</f>
        <v>#N/A</v>
      </c>
      <c r="SO28" s="783">
        <f t="array" ref="SO28">IF('Customer Inputs'!$W$25="End",0,IFERROR(INDEX('Margin Guidence Table'!$A$1:$AG$10000,MATCH(1,('Margin Guidence Table'!$A$1:$A$10000=SN28)*('Margin Guidence Table'!$I$1:$I$10000&lt;=ROUND($SF$3,0))*('Margin Guidence Table'!$J$1:$J$10000&gt;=ROUND($SF$3,0)),0),MATCH("DATA_POINTS",'Margin Guidence Table'!$A$1:$AG$1,0)),0))</f>
        <v>0</v>
      </c>
      <c r="SP28" s="780" t="str">
        <f t="shared" si="71"/>
        <v>DEFAULT</v>
      </c>
      <c r="SQ28" s="780">
        <f t="array" ref="SQ28">IF('Customer Inputs'!$W$25="End",0,IFERROR(IF($SP28="SEGMENT",INDEX('Margin Guidence Table'!$A$1:$AG$10000,MATCH(1,('Margin Guidence Table'!$A$1:$A$10000=SN28)*('Margin Guidence Table'!$I$1:$I$10000&lt;=ROUND($SF$3,0))*('Margin Guidence Table'!$J$1:$J$10000&gt;=ROUND($SF$3,0)),0),MATCH("SALES_CASE",'Margin Guidence Table'!$A$1:$AG$1,0)),INDEX('Margin Guidence Table'!$A$1:$AG$10000,MATCH(1,('Margin Guidence Table'!$A$1:$A$10000=SN28)*('Margin Guidence Table'!$I$1:$I$10000&lt;=ROUND($SF$3,0))*('Margin Guidence Table'!$J$1:$J$10000&gt;=ROUND($SF$3,0)),0),MATCH("DEFAULT_SALES_CASE",'Margin Guidence Table'!$A$1:$AG$1,0))),0))</f>
        <v>0</v>
      </c>
      <c r="SR28" s="780">
        <f t="array" ref="SR28">IF('Customer Inputs'!$W$25="End",0,IFERROR(IF($SP28="SEGMENT",INDEX('Margin Guidence Table'!$A$1:$AG$10000,MATCH(1,('Margin Guidence Table'!$A$1:$A$10000=SN28)*('Margin Guidence Table'!$I$1:$I$10000&lt;=ROUND($SF$3,0))*('Margin Guidence Table'!$J$1:$J$10000&gt;=ROUND($SF$3,0)),0),MATCH("SALES_LBS",'Margin Guidence Table'!$A$1:$AG$1,0)),INDEX('Margin Guidence Table'!$A$1:$AG$10000,MATCH(1,('Margin Guidence Table'!$A$1:$A$10000=SN28)*('Margin Guidence Table'!$I$1:$I$10000&lt;=ROUND($SF$3,0))*('Margin Guidence Table'!$J$1:$J$10000&gt;=ROUND($SF$3,0)),0),MATCH("DEFAULT_SALES_LBS",'Margin Guidence Table'!$A$1:$AG$1,0))),0))</f>
        <v>0</v>
      </c>
      <c r="SS28" s="784">
        <f t="array" ref="SS28">IF('Customer Inputs'!$W$25="End",0,IFERROR(IF($SP28="SEGMENT",INDEX('Margin Guidence Table'!$A$1:$AG$10000,MATCH(1,('Margin Guidence Table'!$A$1:$A$10000=SN28)*('Margin Guidence Table'!$I$1:$I$10000&lt;=ROUND($SF$3,0))*('Margin Guidence Table'!$J$1:$J$10000&gt;=ROUND($SF$3,0)),0),MATCH("MDA_MIN_MARGIN_GUIDENCE",'Margin Guidence Table'!$A$1:$AG$1,0)),INDEX('Margin Guidence Table'!$A$1:$AG$10000,MATCH(1,('Margin Guidence Table'!$A$1:$A$10000=SN28)*('Margin Guidence Table'!$I$1:$I$10000&lt;=ROUND($SF$3,0))*('Margin Guidence Table'!$J$1:$J$10000&gt;=ROUND($SF$3,0)),0),MATCH("DEFAULT_MDA_MIN_MARGIN_GUIDENCE",'Margin Guidence Table'!$A$1:$AG$1,0))),0))</f>
        <v>0</v>
      </c>
      <c r="ST28" s="784">
        <f t="array" ref="ST28">IF('Customer Inputs'!$W$25="End",0,IFERROR(IF($SP28="SEGMENT",INDEX('Margin Guidence Table'!$A$1:$AG$10000,MATCH(1,('Margin Guidence Table'!$A$1:$A$10000=SN28)*('Margin Guidence Table'!$I$1:$I$10000&lt;=ROUND($SF$3,0))*('Margin Guidence Table'!$J$1:$J$10000&gt;=ROUND($SF$3,0)),0),MATCH("MDA_MEDIAN_MARGIN_GUIDENCE",'Margin Guidence Table'!$A$1:$AG$1,0)),INDEX('Margin Guidence Table'!$A$1:$AG$10000,MATCH(1,('Margin Guidence Table'!$A$1:$A$10000=SN28)*('Margin Guidence Table'!$I$1:$I$10000&lt;=ROUND($SF$3,0))*('Margin Guidence Table'!$J$1:$J$10000&gt;=ROUND($SF$3,0)),0),MATCH("DEFAULT_MDA_MEDIAN_MARGIN_GUIDENCE",'Margin Guidence Table'!$A$1:$AG$1,0))),0))</f>
        <v>0</v>
      </c>
      <c r="SU28" s="784">
        <f t="array" ref="SU28">IF('Customer Inputs'!$W$25="End",0,IFERROR(IF($SP28="SEGMENT",INDEX('Margin Guidence Table'!$A$1:$AG$10000,MATCH(1,('Margin Guidence Table'!$A$1:$A$10000=SN28)*('Margin Guidence Table'!$I$1:$I$10000&lt;=ROUND($SF$3,0))*('Margin Guidence Table'!$J$1:$J$10000&gt;=ROUND($SF$3,0)),0),MATCH("MDA_MAX_MARGIN_GUIDENCE",'Margin Guidence Table'!$A$1:$AG$1,0)),INDEX('Margin Guidence Table'!$A$1:$AG$10000,MATCH(1,('Margin Guidence Table'!$A$1:$A$10000=SN28)*('Margin Guidence Table'!$I$1:$I$10000&lt;=ROUND($SF$3,0))*('Margin Guidence Table'!$J$1:$J$10000&gt;=ROUND($SF$3,0)),0),MATCH("DEFAULT_MDA_MAX_MARGIN_GUIDENCE",'Margin Guidence Table'!$A$1:$AG$1,0))),0))</f>
        <v>0</v>
      </c>
      <c r="SV28" s="784">
        <f t="array" ref="SV28">IF('Customer Inputs'!$W$25="End",0,IFERROR(IF($SP28="SEGMENT",INDEX('Margin Guidence Table'!$A$1:$AG$10000,MATCH(1,('Margin Guidence Table'!$A$1:$A$10000=SN28)*('Margin Guidence Table'!$I$1:$I$10000&lt;=ROUND($SF$3,0))*('Margin Guidence Table'!$J$1:$J$10000&gt;=ROUND($SF$3,0)),0),MATCH("PA_PCT_SALES",'Margin Guidence Table'!$A$1:$AG$1,0)),INDEX('Margin Guidence Table'!$A$1:$AG$10000,MATCH(1,('Margin Guidence Table'!$A$1:$A$10000=SN28)*('Margin Guidence Table'!$I$1:$I$10000&lt;=ROUND($SF$3,0))*('Margin Guidence Table'!$J$1:$J$10000&gt;=ROUND($SF$3,0)),0),MATCH("DEFAULT_PA_PCT_SALES",'Margin Guidence Table'!$A$1:$AG$1,0))),0))</f>
        <v>0</v>
      </c>
      <c r="SW28" s="784">
        <f t="array" ref="SW28">IF('Customer Inputs'!$W$25="End",0,IFERROR(IF($SP28="SEGMENT",INDEX('Margin Guidence Table'!$A$1:$AG$10000,MATCH(1,('Margin Guidence Table'!$A$1:$A$10000=SN28)*('Margin Guidence Table'!$I$1:$I$10000&lt;=ROUND($SF$3,0))*('Margin Guidence Table'!$J$1:$J$10000&gt;=ROUND($SF$3,0)),0),MATCH("SELF_FUND_PCT_SALES",'Margin Guidence Table'!$A$1:$AG$1,0)),INDEX('Margin Guidence Table'!$A$1:$AG$10000,MATCH(1,('Margin Guidence Table'!$A$1:$A$10000=SN28)*('Margin Guidence Table'!$I$1:$I$10000&lt;=ROUND($SF$3,0))*('Margin Guidence Table'!$J$1:$J$10000&gt;=ROUND($SF$3,0)),0),MATCH("DEFAULT_SELF_FUND_PCT_SALES",'Margin Guidence Table'!$A$1:$AG$1,0))),0))</f>
        <v>0</v>
      </c>
      <c r="SX28" s="784">
        <f t="array" ref="SX28">IF('Customer Inputs'!$W$25="End",0,IF($SG$2="Existing",IFERROR(SUMIFS('Existing Customers'!$V:$V,'Existing Customers'!$H:$H,$SE28,'Existing Customers'!$A:$A,$SF$1)/SUMIFS('Existing Customers'!$Q:$Q,'Existing Customers'!$H:$H,$SE28,'Existing Customers'!$A:$A,$SF$1),0),IFERROR(IF($SP28="SEGMENT",INDEX('Margin Guidence Table'!$A$1:$AG$10000,MATCH(1,('Margin Guidence Table'!$A$1:$A$10000=SN28)*('Margin Guidence Table'!$I$1:$I$10000&lt;=ROUND($SF$3,0))*('Margin Guidence Table'!$J$1:$J$10000&gt;=ROUND($SF$3,0)),0),MATCH("CIA_MEDIAN_MARGIN_GUIDENCE",'Margin Guidence Table'!$A$1:$AG$1,0)),INDEX('Margin Guidence Table'!$A$1:$AG$10000,MATCH(1,('Margin Guidence Table'!$A$1:$A$10000=SN28)*('Margin Guidence Table'!$I$1:$I$10000&lt;=ROUND($SF$3,0))*('Margin Guidence Table'!$J$1:$J$10000&gt;=ROUND($SF$3,0)),0),MATCH("DEFAULT_CIA_MEDIAN_MARGIN_GUIDENCE",'Margin Guidence Table'!$A$1:$AG$1,0))),0)))</f>
        <v>0</v>
      </c>
      <c r="SY28" s="784"/>
      <c r="SZ28" s="1705"/>
      <c r="TA28" s="99" t="s">
        <v>91</v>
      </c>
      <c r="TB28" s="94"/>
      <c r="TC28" s="86"/>
      <c r="TD28" s="86"/>
      <c r="TE28" s="86"/>
      <c r="TF28" s="111"/>
      <c r="TG28" s="95"/>
      <c r="TH28" s="126"/>
      <c r="TI28" s="1705"/>
      <c r="TJ28" s="99" t="s">
        <v>91</v>
      </c>
      <c r="TK28" s="94"/>
      <c r="TL28" s="86"/>
      <c r="TM28" s="86"/>
      <c r="TN28" s="86"/>
      <c r="TO28" s="111"/>
      <c r="TP28" s="95"/>
      <c r="TQ28" s="1705"/>
      <c r="TR28" s="1705"/>
    </row>
    <row r="29" spans="1:538" ht="15.75" thickBot="1" x14ac:dyDescent="0.3">
      <c r="A29" s="1705"/>
      <c r="B29" s="99" t="s">
        <v>90</v>
      </c>
      <c r="C29" s="346">
        <f t="shared" si="0"/>
        <v>0</v>
      </c>
      <c r="D29" s="358">
        <f t="shared" si="1"/>
        <v>0</v>
      </c>
      <c r="E29" s="358">
        <f t="shared" si="2"/>
        <v>0</v>
      </c>
      <c r="F29" s="358">
        <f t="shared" si="3"/>
        <v>0</v>
      </c>
      <c r="G29" s="1428">
        <f t="shared" si="4"/>
        <v>0</v>
      </c>
      <c r="H29" s="1428">
        <f t="shared" si="5"/>
        <v>0</v>
      </c>
      <c r="I29" s="359">
        <f t="shared" si="6"/>
        <v>0</v>
      </c>
      <c r="J29" s="358">
        <f t="shared" si="7"/>
        <v>0</v>
      </c>
      <c r="K29" s="778">
        <f t="shared" si="8"/>
        <v>0</v>
      </c>
      <c r="L29" s="778">
        <f t="shared" si="9"/>
        <v>0</v>
      </c>
      <c r="M29" s="778">
        <f t="shared" si="10"/>
        <v>0</v>
      </c>
      <c r="N29" s="1428">
        <f>IF('PIM Model'!D25="$/CS",IFERROR(ROUND(SUM(BX29*$BV$35+CU29*$CS$35+DR29*$DP$35+EO29*$EM$35+FL29*$FJ$35+GI29*$GG$35+HF29*$HD$35+IC29*$IA$35+IZ29*$IX$35+JW29*$JU$35+KT29*$KR$35+LQ29*$LO$35+MN29*$ML$35+NK29*$NI$35+OH29*$OF$35+PE29*$PC$35+QB29*$PZ$35+QY29*$QW$35+RV29*$RT$35+SS29*$SQ$35)/$G$35,2),0),IF('PIM Model'!D25="$/LB",IFERROR(ROUND(SUM(BX29*$BW$35+CU29*$CT$35+DR29*$DQ$35+EO29*$EN$35+FL29*$FK$35+GI29*$GH$35+HF29*$HE$35+IC29*$IB$35+IZ29*$IY$35+JW29*$JV$35+KT29*$KS$35+LQ29*$LP$35+MN29*$MM$35+NK29*$NJ$35+OH29*$OG$35+PE29*$PD$35+QB29*$QA$35+QY29*$QX$35+RV29*$RU$35+SS29*$SR$35)/$H$35,2),0),0))</f>
        <v>0</v>
      </c>
      <c r="O29" s="1428">
        <f>IF('PIM Model'!D25="$/CS",IFERROR(ROUND(SUM(BY29*$BV$35+CV29*$CS$35+DS29*$DP$35+EP29*$EM$35+FM29*$FJ$35+GJ29*$GG$35+HG29*$HD$35+ID29*$IA$35+JA29*$IX$35+JX29*$JU$35+KU29*$KR$35+LR29*$LO$35+MO29*$ML$35+NL29*$NI$35+OI29*$OF$35+PF29*$PC$35+QC29*$PZ$35+QZ29*$QW$35+RW29*$RT$35+ST29*$SQ$35)/$G$35,2),0),IF('PIM Model'!D25="$/LB",IFERROR(ROUND(SUM(BY29*$BW$35+CV29*$CT$35+DS29*$DQ$35+EP29*$EN$35+FM29*$FK$35+GJ29*$GH$35+HG29*$HE$35+ID29*$IB$35+JA29*$IY$35+JX29*$JV$35+KU29*$KS$35+LR29*$LP$35+MO29*$MM$35+NL29*$NJ$35+OI29*$OG$35+PF29*$PD$35+QC29*$QA$35+QZ29*$QX$35+RW29*$RU$35+ST29*$SR$35)/$H$35,2),0),0))</f>
        <v>0</v>
      </c>
      <c r="P29" s="1428">
        <f>IF('PIM Model'!D25="$/CS",IFERROR(ROUND(SUM(BZ29*$BV$35+CW29*$CS$35+DT29*$DP$35+EQ29*$EM$35+FN29*$FJ$35+GK29*$GG$35+HH29*$HD$35+IE29*$IA$35+JB29*$IX$35+JY29*$JU$35+KV29*$KR$35+LS29*$LO$35+MP29*$ML$35+NM29*$NI$35+OJ29*$OF$35+PG29*$PC$35+QD29*$PZ$35+RA29*$QW$35+RX29*$RT$35+SU29*$SQ$35)/$G$35,2),0),IF('PIM Model'!D25="$/LB",IFERROR(ROUND(SUM(BZ29*$BW$35+CW29*$CT$35+DT29*$DQ$35+EQ29*$EN$35+FN29*$FK$35+GK29*$GH$35+HH29*$HE$35+IE29*$IB$35+JB29*$IY$35+JY29*$JV$35+KV29*$KS$35+LS29*$LP$35+MP29*$MM$35+NM29*$NJ$35+OJ29*$OG$35+PG29*$PD$35+QD29*$QA$35+RA29*$QX$35+RX29*$RU$35+SU29*$SR$35)/$H$35,2),0),0))</f>
        <v>0</v>
      </c>
      <c r="Q29" s="358">
        <f t="shared" si="11"/>
        <v>0</v>
      </c>
      <c r="R29" s="358">
        <f t="shared" si="12"/>
        <v>0</v>
      </c>
      <c r="S29" s="779">
        <f t="shared" si="13"/>
        <v>0</v>
      </c>
      <c r="T29" s="779">
        <f t="shared" si="14"/>
        <v>0</v>
      </c>
      <c r="U29" s="779">
        <f t="shared" si="15"/>
        <v>0</v>
      </c>
      <c r="V29" s="779">
        <f t="shared" si="16"/>
        <v>0</v>
      </c>
      <c r="W29" s="779">
        <f t="shared" si="17"/>
        <v>0</v>
      </c>
      <c r="X29" s="1705"/>
      <c r="Y29" s="1705" t="str">
        <f>'PIM Model'!E25</f>
        <v>INCLUDE</v>
      </c>
      <c r="Z29" s="1705">
        <f t="shared" si="18"/>
        <v>0</v>
      </c>
      <c r="AA29" s="1705">
        <f t="shared" si="19"/>
        <v>0</v>
      </c>
      <c r="AB29" s="99" t="s">
        <v>90</v>
      </c>
      <c r="AC29" s="107">
        <f t="shared" si="20"/>
        <v>0</v>
      </c>
      <c r="AD29" s="108">
        <f t="shared" si="21"/>
        <v>0</v>
      </c>
      <c r="AE29" s="108">
        <f t="shared" si="22"/>
        <v>0</v>
      </c>
      <c r="AF29" s="108">
        <f t="shared" si="23"/>
        <v>0</v>
      </c>
      <c r="AG29" s="110">
        <f t="shared" si="24"/>
        <v>0</v>
      </c>
      <c r="AH29" s="114">
        <f t="shared" si="25"/>
        <v>0</v>
      </c>
      <c r="AI29" s="301"/>
      <c r="AJ29" s="99" t="s">
        <v>90</v>
      </c>
      <c r="AK29" s="346">
        <f t="shared" si="26"/>
        <v>0</v>
      </c>
      <c r="AL29" s="347">
        <f t="shared" si="26"/>
        <v>0</v>
      </c>
      <c r="AM29" s="347">
        <f t="shared" si="26"/>
        <v>0</v>
      </c>
      <c r="AN29" s="350">
        <f t="shared" si="27"/>
        <v>0</v>
      </c>
      <c r="AO29" s="351">
        <f t="shared" si="28"/>
        <v>0</v>
      </c>
      <c r="AP29" s="301"/>
      <c r="AQ29" s="99" t="s">
        <v>90</v>
      </c>
      <c r="AR29" s="346">
        <f t="shared" si="29"/>
        <v>0</v>
      </c>
      <c r="AS29" s="347">
        <f t="shared" si="30"/>
        <v>0</v>
      </c>
      <c r="AT29" s="351"/>
      <c r="AU29" s="301"/>
      <c r="AV29" s="1708" t="str">
        <f>IF('PIM Ranges'!$AK27='PIM Ranges'!$AY$11,IF($AR29&lt;'PIM Ranges'!$AZ$11,"Q1",IF($AR29&lt;'PIM Ranges'!$BA$11,"Q2",IF($AR29&lt;'PIM Ranges'!$BB$11,"Q3",IF($AR29&lt;'PIM Ranges'!$BC$11,"Q4","Q5")))),IF('PIM Ranges'!$AK27='PIM Ranges'!$AY$12,IF($AR29&lt;'PIM Ranges'!$AZ$12,"Q1",IF($AR29&lt;'PIM Ranges'!$BA$12,"Q2",IF($AR29&lt;'PIM Ranges'!$BB$12,"Q3",IF($AR29&lt;'PIM Ranges'!$BC$12,"Q4","Q5")))),IF('PIM Ranges'!$AK27='PIM Ranges'!$AY$13,IF($AR29&lt;'PIM Ranges'!$AZ$13,"Q1",IF($AR29&lt;'PIM Ranges'!$BA$13,"Q2",IF($AR29&lt;'PIM Ranges'!$BB$13,"Q3",IF($AR29&lt;'PIM Ranges'!$BC$13,"Q4","Q5")))),IF('PIM Ranges'!$AK27='PIM Ranges'!$AY$14,IF($AR29&lt;'PIM Ranges'!$AZ$14,"Q1",IF($AR29&lt;'PIM Ranges'!$BA$14,"Q2",IF($AR29&lt;'PIM Ranges'!$BB$14,"Q3",IF($AR29&lt;'PIM Ranges'!$BC$14,"Q4","Q5")))),IF('PIM Ranges'!$AK27='PIM Ranges'!$AY$15,IF($AR29&lt;'PIM Ranges'!$AZ$15,"Q1",IF($AR29&lt;'PIM Ranges'!$BA$15,"Q2",IF($AR29&lt;'PIM Ranges'!$BB$15,"Q3",IF($AR29&lt;'PIM Ranges'!$BC$15,"Q4","Q5")))),IF('PIM Ranges'!$AK27='PIM Ranges'!$AY$16,IF($AR29&lt;'PIM Ranges'!$AZ$16,"Q1",IF($AR29&lt;'PIM Ranges'!$BA$16,"Q2",IF($AR29&lt;'PIM Ranges'!$BB$16,"Q3",IF($AR29&lt;'PIM Ranges'!$BC$16,"Q4","Q5")))),IF('PIM Ranges'!$AK27='PIM Ranges'!$AY$17,IF($AR29&lt;'PIM Ranges'!$AZ$17,"Q1",IF($AR29&lt;'PIM Ranges'!$BA$17,"Q2",IF($AR29&lt;'PIM Ranges'!$BB$17,"Q3",IF($AR29&lt;'PIM Ranges'!$BC$17,"Q4","Q5")))),IF('PIM Ranges'!$AK27='PIM Ranges'!$AY$18,IF($AR29&lt;'PIM Ranges'!$AZ$18,"Q1",IF($AR29&lt;'PIM Ranges'!$BA$18,"Q2",IF($AR29&lt;'PIM Ranges'!$BB$18,"Q3",IF($AR29&lt;'PIM Ranges'!$BC$18,"Q4","Q5")))),IF('PIM Ranges'!$AK27='PIM Ranges'!$AY$19,IF($AR29&lt;'PIM Ranges'!$AZ$19,"Q1",IF($AR29&lt;'PIM Ranges'!$BA$19,"Q2",IF($AR29&lt;'PIM Ranges'!$BB$19,"Q3",IF($AR29&lt;'PIM Ranges'!$BC$19,"Q4","Q5")))),IF('PIM Ranges'!$AK27='PIM Ranges'!$AY$20,IF($AR29&lt;'PIM Ranges'!$AZ$20,"Q1",IF($AR29&lt;'PIM Ranges'!$BA$20,"Q2",IF($AR29&lt;'PIM Ranges'!$BB$20,"Q3",IF($AR29&lt;'PIM Ranges'!$BC$20,"Q4","Q5")))),IF('PIM Ranges'!$AK27='PIM Ranges'!$AY$21,IF($AR29&lt;'PIM Ranges'!$AZ$21,"Q1",IF($AR29&lt;'PIM Ranges'!$BA$21,"Q2",IF($AR29&lt;'PIM Ranges'!$BB$21,"Q3",IF($AR29&lt;'PIM Ranges'!$BC$21,"Q4","Q5")))),IF('PIM Ranges'!$AK27='PIM Ranges'!$AY$22,IF($AR29&lt;'PIM Ranges'!$AZ$22,"Q1",IF($AR29&lt;'PIM Ranges'!$BA$22,"Q2",IF($AR29&lt;'PIM Ranges'!$BB$22,"Q3",IF($AR29&lt;'PIM Ranges'!$BC$22,"Q4","Q5")))),IF('PIM Ranges'!$AK27='PIM Ranges'!$AY$23,IF($AR29&lt;'PIM Ranges'!$AZ$23,"Q1",IF($AR29&lt;'PIM Ranges'!$BA$23,"Q2",IF($AR29&lt;'PIM Ranges'!$BB$23,"Q3",IF($AR29&lt;'PIM Ranges'!$BC$23,"Q4","Q5")))),IF('PIM Ranges'!$AK27='PIM Ranges'!$AY$24,IF($AR29&lt;'PIM Ranges'!$AZ$24,"Q1",IF($AR29&lt;'PIM Ranges'!$BA$24,"Q2",IF($AR29&lt;'PIM Ranges'!$BB$24,"Q3",IF($AR29&lt;'PIM Ranges'!$BC$24,"Q4","Q5")))),IF('PIM Ranges'!$AK27='PIM Ranges'!$AY$25,IF($AR29&lt;'PIM Ranges'!$AZ$25,"Q1",IF($AR29&lt;'PIM Ranges'!$BA$25,"Q2",IF($AR29&lt;'PIM Ranges'!$BB$25,"Q3",IF($AR29&lt;'PIM Ranges'!$BC$25,"Q4","Q5")))),IF('PIM Ranges'!$AK27='PIM Ranges'!$AY$26,IF($AR29&lt;'PIM Ranges'!$AZ$26,"Q1",IF($AR29&lt;'PIM Ranges'!$BA$26,"Q2",IF($AR29&lt;'PIM Ranges'!$BB$26,"Q3",IF($AR29&lt;'PIM Ranges'!$BC$26,"Q4","Q5")))),IF('PIM Ranges'!$AK27='PIM Ranges'!$AY$27,IF($AR29&lt;'PIM Ranges'!$AZ$27,"Q1",IF($AR29&lt;'PIM Ranges'!$BA$27,"Q2",IF($AR29&lt;'PIM Ranges'!$BB$27,"Q3",IF($AR29&lt;'PIM Ranges'!$BC$27,"Q4","Q5")))),IF('PIM Ranges'!$AK27='PIM Ranges'!$AY$28,IF($AR29&lt;'PIM Ranges'!$AZ$28,"Q1",IF($AR29&lt;'PIM Ranges'!$BA$28,"Q2",IF($AR29&lt;'PIM Ranges'!$BB$28,"Q3",IF($AR29&lt;'PIM Ranges'!$BC$28,"Q4","Q5")))),IF('PIM Ranges'!$AK27='PIM Ranges'!$AY$29,IF($AR29&lt;'PIM Ranges'!$AZ$29,"Q1",IF($AR29&lt;'PIM Ranges'!$BA$29,"Q2",IF($AR29&lt;'PIM Ranges'!$BB$29,"Q3",IF($AR29&lt;'PIM Ranges'!$BC$29,"Q4","Q5")))),IF('PIM Ranges'!$AK27='PIM Ranges'!$AY$30,IF($AR29&lt;'PIM Ranges'!$AZ$30,"Q1",IF($AR29&lt;'PIM Ranges'!$BA$30,"Q2",IF($AR29&lt;'PIM Ranges'!$BB$30,"Q3",IF($AR29&lt;'PIM Ranges'!$BC$30,"Q4","Q5")))),IF('PIM Ranges'!$AK27='PIM Ranges'!$AY$31,IF($AR29&lt;'PIM Ranges'!$AZ$31,"Q1",IF($AR29&lt;'PIM Ranges'!$BA$31,"Q2",IF($AR29&lt;'PIM Ranges'!$BB$31,"Q3",IF($AR29&lt;'PIM Ranges'!$BC$31,"Q4","Q5")))),IF('PIM Ranges'!$AK27='PIM Ranges'!$AY$32,IF($AR29&lt;'PIM Ranges'!$AZ$32,"Q1",IF($AR29&lt;'PIM Ranges'!$BA$32,"Q2",IF($AR29&lt;'PIM Ranges'!$BB$32,"Q3",IF($AR29&lt;'PIM Ranges'!$BC$32,"Q4","Q5"))))))))))))))))))))))))))</f>
        <v>Q1</v>
      </c>
      <c r="AW29" s="301">
        <f>VLOOKUP($AQ29&amp;$AV29,'IMargin Quartiles'!$A:$F,6,FALSE)</f>
        <v>0.11</v>
      </c>
      <c r="AX29" s="301"/>
      <c r="AY29" s="1708" t="str">
        <f>IF('PIM Ranges'!$AK27='PIM Ranges'!$AY$11,IF('PIM Ranges'!$AL27&lt;'PIM Ranges'!$AZ$11,"Q1",IF('PIM Ranges'!$AL27&lt;'PIM Ranges'!$BA$11,"Q2",IF('PIM Ranges'!$AL27&lt;'PIM Ranges'!$BB$11,"Q3",IF('PIM Ranges'!$AL27&lt;'PIM Ranges'!$BC$11,"Q4","Q5")))),IF('PIM Ranges'!$AK27='PIM Ranges'!$AY$12,IF('PIM Ranges'!$AL27&lt;'PIM Ranges'!$AZ$12,"Q1",IF('PIM Ranges'!$AL27&lt;'PIM Ranges'!$BA$12,"Q2",IF('PIM Ranges'!$AL27&lt;'PIM Ranges'!$BB$12,"Q3",IF('PIM Ranges'!$AL27&lt;'PIM Ranges'!$BC$12,"Q4","Q5")))),IF('PIM Ranges'!$AK27='PIM Ranges'!$AY$13,IF('PIM Ranges'!$AL27&lt;'PIM Ranges'!$AZ$13,"Q1",IF('PIM Ranges'!$AL27&lt;'PIM Ranges'!$BA$13,"Q2",IF('PIM Ranges'!$AL27&lt;'PIM Ranges'!$BB$13,"Q3",IF('PIM Ranges'!$AL27&lt;'PIM Ranges'!$BC$13,"Q4","Q5")))),IF('PIM Ranges'!$AK27='PIM Ranges'!$AY$14,IF('PIM Ranges'!$AL27&lt;'PIM Ranges'!$AZ$14,"Q1",IF('PIM Ranges'!$AL27&lt;'PIM Ranges'!$BA$14,"Q2",IF('PIM Ranges'!$AL27&lt;'PIM Ranges'!$BB$14,"Q3",IF('PIM Ranges'!$AL27&lt;'PIM Ranges'!$BC$14,"Q4","Q5")))),IF('PIM Ranges'!$AK27='PIM Ranges'!$AY$15,IF('PIM Ranges'!$AL27&lt;'PIM Ranges'!$AZ$15,"Q1",IF('PIM Ranges'!$AL27&lt;'PIM Ranges'!$BA$15,"Q2",IF('PIM Ranges'!$AL27&lt;'PIM Ranges'!$BB$15,"Q3",IF('PIM Ranges'!$AL27&lt;'PIM Ranges'!$BC$15,"Q4","Q5")))),IF('PIM Ranges'!$AK27='PIM Ranges'!$AY$16,IF('PIM Ranges'!$AL27&lt;'PIM Ranges'!$AZ$16,"Q1",IF('PIM Ranges'!$AL27&lt;'PIM Ranges'!$BA$16,"Q2",IF('PIM Ranges'!$AL27&lt;'PIM Ranges'!$BB$16,"Q3",IF('PIM Ranges'!$AL27&lt;'PIM Ranges'!$BC$16,"Q4","Q5")))),IF('PIM Ranges'!$AK27='PIM Ranges'!$AY$17,IF('PIM Ranges'!$AL27&lt;'PIM Ranges'!$AZ$17,"Q1",IF('PIM Ranges'!$AL27&lt;'PIM Ranges'!$BA$17,"Q2",IF('PIM Ranges'!$AL27&lt;'PIM Ranges'!$BB$17,"Q3",IF('PIM Ranges'!$AL27&lt;'PIM Ranges'!$BC$17,"Q4","Q5")))),IF('PIM Ranges'!$AK27='PIM Ranges'!$AY$18,IF('PIM Ranges'!$AL27&lt;'PIM Ranges'!$AZ$18,"Q1",IF('PIM Ranges'!$AL27&lt;'PIM Ranges'!$BA$18,"Q2",IF('PIM Ranges'!$AL27&lt;'PIM Ranges'!$BB$18,"Q3",IF('PIM Ranges'!$AL27&lt;'PIM Ranges'!$BC$18,"Q4","Q5")))),IF('PIM Ranges'!$AK27='PIM Ranges'!$AY$19,IF('PIM Ranges'!$AL27&lt;'PIM Ranges'!$AZ$19,"Q1",IF('PIM Ranges'!$AL27&lt;'PIM Ranges'!$BA$19,"Q2",IF('PIM Ranges'!$AL27&lt;'PIM Ranges'!$BB$19,"Q3",IF('PIM Ranges'!$AL27&lt;'PIM Ranges'!$BC$19,"Q4","Q5")))),IF('PIM Ranges'!$AK27='PIM Ranges'!$AY$20,IF('PIM Ranges'!$AL27&lt;'PIM Ranges'!$AZ$20,"Q1",IF('PIM Ranges'!$AL27&lt;'PIM Ranges'!$BA$20,"Q2",IF('PIM Ranges'!$AL27&lt;'PIM Ranges'!$BB$20,"Q3",IF('PIM Ranges'!$AL27&lt;'PIM Ranges'!$BC$20,"Q4","Q5")))),IF('PIM Ranges'!$AK27='PIM Ranges'!$AY$21,IF('PIM Ranges'!$AL27&lt;'PIM Ranges'!$AZ$21,"Q1",IF('PIM Ranges'!$AL27&lt;'PIM Ranges'!$BA$21,"Q2",IF('PIM Ranges'!$AL27&lt;'PIM Ranges'!$BB$21,"Q3",IF('PIM Ranges'!$AL27&lt;'PIM Ranges'!$BC$21,"Q4","Q5")))),IF('PIM Ranges'!$AK27='PIM Ranges'!$AY$22,IF('PIM Ranges'!$AL27&lt;'PIM Ranges'!$AZ$22,"Q1",IF('PIM Ranges'!$AL27&lt;'PIM Ranges'!$BA$22,"Q2",IF('PIM Ranges'!$AL27&lt;'PIM Ranges'!$BB$22,"Q3",IF('PIM Ranges'!$AL27&lt;'PIM Ranges'!$BC$22,"Q4","Q5")))),IF('PIM Ranges'!$AK27='PIM Ranges'!$AY$23,IF('PIM Ranges'!$AL27&lt;'PIM Ranges'!$AZ$23,"Q1",IF('PIM Ranges'!$AL27&lt;'PIM Ranges'!$BA$23,"Q2",IF('PIM Ranges'!$AL27&lt;'PIM Ranges'!$BB$23,"Q3",IF('PIM Ranges'!$AL27&lt;'PIM Ranges'!$BC$23,"Q4","Q5")))),IF('PIM Ranges'!$AK27='PIM Ranges'!$AY$24,IF('PIM Ranges'!$AL27&lt;'PIM Ranges'!$AZ$24,"Q1",IF('PIM Ranges'!$AL27&lt;'PIM Ranges'!$BA$24,"Q2",IF('PIM Ranges'!$AL27&lt;'PIM Ranges'!$BB$24,"Q3",IF('PIM Ranges'!$AL27&lt;'PIM Ranges'!$BC$24,"Q4","Q5")))),IF('PIM Ranges'!$AK27='PIM Ranges'!$AY$25,IF('PIM Ranges'!$AL27&lt;'PIM Ranges'!$AZ$25,"Q1",IF('PIM Ranges'!$AL27&lt;'PIM Ranges'!$BA$25,"Q2",IF('PIM Ranges'!$AL27&lt;'PIM Ranges'!$BB$25,"Q3",IF('PIM Ranges'!$AL27&lt;'PIM Ranges'!$BC$25,"Q4","Q5")))),IF('PIM Ranges'!$AK27='PIM Ranges'!$AY$26,IF('PIM Ranges'!$AL27&lt;'PIM Ranges'!$AZ$26,"Q1",IF('PIM Ranges'!$AL27&lt;'PIM Ranges'!$BA$26,"Q2",IF('PIM Ranges'!$AL27&lt;'PIM Ranges'!$BB$26,"Q3",IF('PIM Ranges'!$AL27&lt;'PIM Ranges'!$BC$26,"Q4","Q5")))),IF('PIM Ranges'!$AK27='PIM Ranges'!$AY$27,IF('PIM Ranges'!$AL27&lt;'PIM Ranges'!$AZ$27,"Q1",IF('PIM Ranges'!$AL27&lt;'PIM Ranges'!$BA$27,"Q2",IF('PIM Ranges'!$AL27&lt;'PIM Ranges'!$BB$27,"Q3",IF('PIM Ranges'!$AL27&lt;'PIM Ranges'!$BC$27,"Q4","Q5")))),IF('PIM Ranges'!$AK27='PIM Ranges'!$AY$28,IF('PIM Ranges'!$AL27&lt;'PIM Ranges'!$AZ$28,"Q1",IF('PIM Ranges'!$AL27&lt;'PIM Ranges'!$BA$28,"Q2",IF('PIM Ranges'!$AL27&lt;'PIM Ranges'!$BB$28,"Q3",IF('PIM Ranges'!$AL27&lt;'PIM Ranges'!$BC$28,"Q4","Q5")))),IF('PIM Ranges'!$AK27='PIM Ranges'!$AY$29,IF('PIM Ranges'!$AL27&lt;'PIM Ranges'!$AZ$29,"Q1",IF('PIM Ranges'!$AL27&lt;'PIM Ranges'!$BA$29,"Q2",IF('PIM Ranges'!$AL27&lt;'PIM Ranges'!$BB$29,"Q3",IF('PIM Ranges'!$AL27&lt;'PIM Ranges'!$BC$29,"Q4","Q5")))),IF('PIM Ranges'!$AK27='PIM Ranges'!$AY$30,IF('PIM Ranges'!$AL27&lt;'PIM Ranges'!$AZ$30,"Q1",IF('PIM Ranges'!$AL27&lt;'PIM Ranges'!$BA$30,"Q2",IF('PIM Ranges'!$AL27&lt;'PIM Ranges'!$BB$30,"Q3",IF('PIM Ranges'!$AL27&lt;'PIM Ranges'!$BC$30,"Q4","Q5")))),IF('PIM Ranges'!$AK27='PIM Ranges'!$AY$31,IF('PIM Ranges'!$AL27&lt;'PIM Ranges'!$AZ$31,"Q1",IF('PIM Ranges'!$AL27&lt;'PIM Ranges'!$BA$31,"Q2",IF('PIM Ranges'!$AL27&lt;'PIM Ranges'!$BB$31,"Q3",IF('PIM Ranges'!$AL27&lt;'PIM Ranges'!$BC$31,"Q4","Q5")))),IF('PIM Ranges'!$AK27='PIM Ranges'!$AY$32,IF('PIM Ranges'!$AL27&lt;'PIM Ranges'!$AZ$32,"Q1",IF('PIM Ranges'!$AL27&lt;'PIM Ranges'!$BA$32,"Q2",IF('PIM Ranges'!$AL27&lt;'PIM Ranges'!$BB$32,"Q3",IF('PIM Ranges'!$AL27&lt;'PIM Ranges'!$BC$32,"Q4","Q5"))))))))))))))))))))))))))</f>
        <v>Q1</v>
      </c>
      <c r="AZ29" s="301">
        <f t="shared" si="31"/>
        <v>0</v>
      </c>
      <c r="BA29" s="39">
        <f>'PIM Model'!C25</f>
        <v>0</v>
      </c>
      <c r="BB29" s="301"/>
      <c r="BC29" s="301"/>
      <c r="BD29" s="301" t="e">
        <f t="shared" si="72"/>
        <v>#DIV/0!</v>
      </c>
      <c r="BE29" s="301"/>
      <c r="BF29" s="301"/>
      <c r="BG29" s="105">
        <v>18</v>
      </c>
      <c r="BH29" s="18">
        <f t="array" ref="BH29">IF('Customer Inputs'!$W$6="End",0,IFERROR(IF($BU29="SEGMENT",INDEX('Margin Guidence Table'!$A$1:$AG$10000,MATCH(1,('Margin Guidence Table'!$A$1:$A$10000=$BS29)*('Margin Guidence Table'!$I$1:$I$10000&lt;=ROUND($BK$3,0))*('Margin Guidence Table'!$J$1:$J$10000&gt;=ROUND($BK$3,0)),0),MATCH("PCT_SALES",'Margin Guidence Table'!$A$1:$AG$1,0)),INDEX('Margin Guidence Table'!$A$1:$AG$10000,MATCH(1,('Margin Guidence Table'!$A$1:$A$10000=$BS29)*('Margin Guidence Table'!$I$1:$I$10000&lt;=ROUND($BK$3,0))*('Margin Guidence Table'!$J$1:$J$10000&gt;=ROUND($BK$3,0)),0),MATCH("DEFAULT_PCT_SALES",'Margin Guidence Table'!$A$1:$AG$1,0))),0))</f>
        <v>0</v>
      </c>
      <c r="BI29" s="297" t="e">
        <f t="shared" si="32"/>
        <v>#DIV/0!</v>
      </c>
      <c r="BJ29" s="99" t="s">
        <v>90</v>
      </c>
      <c r="BK29" s="91">
        <f>IF('Customer Inputs'!$W$6="End",0,IFERROR(IF(AND($BK$2&lt;&gt;"Enter Spend&gt;&gt;&gt;",$BL$2="EXISTING"),SUMIFS('Existing Customers'!$Q:$Q,'Existing Customers'!$A:$A,$BK$1,'Existing Customers'!$H:$H,$BJ29)*$BK$4,$BK$3*$BI29),0))</f>
        <v>0</v>
      </c>
      <c r="BL29" s="92">
        <f>IF('Customer Inputs'!$W$6="End",0,IFERROR(IF(AND($BK$2&lt;&gt;"Enter Spend&gt;&gt;&gt;",$BL$2="EXISTING"),SUMIFS('Existing Customers'!$N:$N,'Existing Customers'!$A:$A,$BK$1,'Existing Customers'!$H:$H,$BJ29)*$BK$4,$BK29/$BV29),0))</f>
        <v>0</v>
      </c>
      <c r="BM29" s="92">
        <f>IF('Customer Inputs'!$W$6="End",0,IFERROR(IF(AND($BK$2&lt;&gt;"Enter Spend&gt;&gt;&gt;",$BL$2="EXISTING"),SUMIFS('Existing Customers'!$O:$O,'Existing Customers'!$H:$H,$BJ29,'Existing Customers'!$A:$A,$BK$1)*$BK$4,$BL29*$BK$8),0))</f>
        <v>0</v>
      </c>
      <c r="BN29" s="92">
        <f>IF('Customer Inputs'!$W$6="End",0,IFERROR(IF(AND($BK$2&lt;&gt;"Enter Spend&gt;&gt;&gt;",$BL$2="EXISTING"),SUMIFS('Existing Customers'!$P:$P,'Existing Customers'!$A:$A,$BK$1,'Existing Customers'!$H:$H,$BJ29)*$BK$4,$BK29/$BW29),0))</f>
        <v>0</v>
      </c>
      <c r="BO29" s="303">
        <f>IF('Customer Inputs'!$W$6="End",0,IFERROR(IF(AND($BK$2&lt;&gt;"Enter Spend&gt;&gt;&gt;",$BL$2="EXISTING"),SUMIFS('Existing Customers'!$V:$V,'Existing Customers'!$H:$H,$BJ29,'Existing Customers'!$A:$A,$BK$1)*$BK$4,0),0))</f>
        <v>0</v>
      </c>
      <c r="BP29" s="93">
        <f>IF('Customer Inputs'!$W$6="End",0,IFERROR(IF(AND($BK$2&lt;&gt;"Enter Spend&gt;&gt;&gt;",$BL$2="EXISTING"),SUMIFS('Existing Customers'!$R:$R,'Existing Customers'!$H:$H,$BJ29,'Existing Customers'!$A:$A,$BK$1)*$BK$4,0),0))</f>
        <v>0</v>
      </c>
      <c r="BQ29" s="93">
        <f>IF('Customer Inputs'!$W$6="End",0,IFERROR(IF(AND($BK$2&lt;&gt;"Enter Spend&gt;&gt;&gt;",$BL$2="EXISTING"),SUMIFS('Existing Customers'!$S:$S,'Existing Customers'!$H:$H,$BJ29,'Existing Customers'!$A:$A,$BK$1)/SUMIFS('Existing Customers'!$Q:$Q,'Existing Customers'!$A:$A,$BK$1,'Existing Customers'!$H:$H,$BJ29),CA29),0))</f>
        <v>0</v>
      </c>
      <c r="BR29" s="93">
        <f>IF('Customer Inputs'!$W$6="End",0,IFERROR(IF(AND($BK$2&lt;&gt;"Enter Spend&gt;&gt;&gt;",$BL$2="EXISTING"),SUMIFS('Existing Customers'!$U:$U,'Existing Customers'!$H:$H,$BJ29,'Existing Customers'!$A:$A,$BK$1)/SUMIFS('Existing Customers'!$Q:$Q,'Existing Customers'!$A:$A,$BK$1,'Existing Customers'!$H:$H,$BJ29),CB29),0))</f>
        <v>0</v>
      </c>
      <c r="BS29" s="782" t="e">
        <f>_xlfn.CONCAT('Customer Inputs'!$AH$6,"_",BJ29)</f>
        <v>#N/A</v>
      </c>
      <c r="BT29" s="783">
        <f t="array" ref="BT29">IF('Customer Inputs'!$W$6="End",0,IFERROR(INDEX('Margin Guidence Table'!$A$1:$AG$10000,MATCH(1,('Margin Guidence Table'!$A$1:$A$10000=$BS29)*('Margin Guidence Table'!$I$1:$I$10000&lt;=ROUND($BK$3,0))*('Margin Guidence Table'!$J$1:$J$10000&gt;=ROUND($BK$3,0)),0),MATCH("DATA_POINTS",'Margin Guidence Table'!$A$1:$AG$1,0)),0))</f>
        <v>0</v>
      </c>
      <c r="BU29" s="780" t="str">
        <f t="shared" si="33"/>
        <v>DEFAULT</v>
      </c>
      <c r="BV29" s="780">
        <f t="array" ref="BV29">IF('Customer Inputs'!$W$6="End",0,IFERROR(IF($BU29="SEGMENT",INDEX('Margin Guidence Table'!$A$1:$AG$10000,MATCH(1,('Margin Guidence Table'!$A$1:$A$10000=$BS29)*('Margin Guidence Table'!$I$1:$I$10000&lt;=ROUND($BK$3,0))*('Margin Guidence Table'!$J$1:$J$10000&gt;=ROUND($BK$3,0)),0),MATCH("SALES_CASE",'Margin Guidence Table'!$A$1:$AG$1,0)),INDEX('Margin Guidence Table'!$A$1:$AG$10000,MATCH(1,('Margin Guidence Table'!$A$1:$A$10000=$BS29)*('Margin Guidence Table'!$I$1:$I$10000&lt;=ROUND($BK$3,0))*('Margin Guidence Table'!$J$1:$J$10000&gt;=ROUND($BK$3,0)),0),MATCH("DEFAULT_SALES_CASE",'Margin Guidence Table'!$A$1:$AG$1,0))),0))</f>
        <v>0</v>
      </c>
      <c r="BW29" s="780">
        <f t="array" ref="BW29">IF('Customer Inputs'!$W$6="End",0,IFERROR(IF($BU29="SEGMENT",INDEX('Margin Guidence Table'!$A$1:$AG$10000,MATCH(1,('Margin Guidence Table'!$A$1:$A$10000=$BS29)*('Margin Guidence Table'!$I$1:$I$10000&lt;=ROUND($BK$3,0))*('Margin Guidence Table'!$J$1:$J$10000&gt;=ROUND($BK$3,0)),0),MATCH("SALES_LBS",'Margin Guidence Table'!$A$1:$AG$1,0)),INDEX('Margin Guidence Table'!$A$1:$AG$10000,MATCH(1,('Margin Guidence Table'!$A$1:$A$10000=$BS29)*('Margin Guidence Table'!$I$1:$I$10000&lt;=ROUND($BK$3,0))*('Margin Guidence Table'!$J$1:$J$10000&gt;=ROUND($BK$3,0)),0),MATCH("DEFAULT_SALES_LBS",'Margin Guidence Table'!$A$1:$AG$1,0))),0))</f>
        <v>0</v>
      </c>
      <c r="BX29" s="784">
        <f t="array" ref="BX29">IF('Customer Inputs'!$W$6="End",0,IFERROR(IF($BU29="SEGMENT",INDEX('Margin Guidence Table'!$A$1:$AG$10000,MATCH(1,('Margin Guidence Table'!$A$1:$A$10000=$BS29)*('Margin Guidence Table'!$I$1:$I$10000&lt;=ROUND($BK$3,0))*('Margin Guidence Table'!$J$1:$J$10000&gt;=ROUND($BK$3,0)),0),MATCH("MDA_MIN_MARGIN_GUIDENCE",'Margin Guidence Table'!$A$1:$AG$1,0)),INDEX('Margin Guidence Table'!$A$1:$AG$10000,MATCH(1,('Margin Guidence Table'!$A$1:$A$10000=$BS29)*('Margin Guidence Table'!$I$1:$I$10000&lt;=ROUND($BK$3,0))*('Margin Guidence Table'!$J$1:$J$10000&gt;=ROUND($BK$3,0)),0),MATCH("DEFAULT_MDA_MIN_MARGIN_GUIDENCE",'Margin Guidence Table'!$A$1:$AG$1,0))),0))</f>
        <v>0</v>
      </c>
      <c r="BY29" s="784">
        <f t="array" ref="BY29">IF('Customer Inputs'!$W$6="End",0,IFERROR(IF($BU29="SEGMENT",INDEX('Margin Guidence Table'!$A$1:$AG$10000,MATCH(1,('Margin Guidence Table'!$A$1:$A$10000=$BS29)*('Margin Guidence Table'!$I$1:$I$10000&lt;=ROUND($BK$3,0))*('Margin Guidence Table'!$J$1:$J$10000&gt;=ROUND($BK$3,0)),0),MATCH("MDA_MEDIAN_MARGIN_GUIDENCE",'Margin Guidence Table'!$A$1:$AG$1,0)),INDEX('Margin Guidence Table'!$A$1:$AG$10000,MATCH(1,('Margin Guidence Table'!$A$1:$A$10000=$BS29)*('Margin Guidence Table'!$I$1:$I$10000&lt;=ROUND($BK$3,0))*('Margin Guidence Table'!$J$1:$J$10000&gt;=ROUND($BK$3,0)),0),MATCH("DEFAULT_MDA_MEDIAN_MARGIN_GUIDENCE",'Margin Guidence Table'!$A$1:$AG$1,0))),0))</f>
        <v>0</v>
      </c>
      <c r="BZ29" s="784">
        <f t="array" ref="BZ29">IF('Customer Inputs'!$W$6="End",0,IFERROR(IF($BU29="SEGMENT",INDEX('Margin Guidence Table'!$A$1:$AG$10000,MATCH(1,('Margin Guidence Table'!$A$1:$A$10000=$BS29)*('Margin Guidence Table'!$I$1:$I$10000&lt;=ROUND($BK$3,0))*('Margin Guidence Table'!$J$1:$J$10000&gt;=ROUND($BK$3,0)),0),MATCH("MDA_MAX_MARGIN_GUIDENCE",'Margin Guidence Table'!$A$1:$AG$1,0)),INDEX('Margin Guidence Table'!$A$1:$AG$10000,MATCH(1,('Margin Guidence Table'!$A$1:$A$10000=$BS29)*('Margin Guidence Table'!$I$1:$I$10000&lt;=ROUND($BK$3,0))*('Margin Guidence Table'!$J$1:$J$10000&gt;=ROUND($BK$3,0)),0),MATCH("DEFAULT_MDA_MAX_MARGIN_GUIDENCE",'Margin Guidence Table'!$A$1:$AG$1,0))),0))</f>
        <v>0</v>
      </c>
      <c r="CA29" s="784">
        <f t="array" ref="CA29">IF('Customer Inputs'!$W$6="End",0,IFERROR(IF($BU29="SEGMENT",INDEX('Margin Guidence Table'!$A$1:$AG$10000,MATCH(1,('Margin Guidence Table'!$A$1:$A$10000=$BS29)*('Margin Guidence Table'!$I$1:$I$10000&lt;=ROUND($BK$3,0))*('Margin Guidence Table'!$J$1:$J$10000&gt;=ROUND($BK$3,0)),0),MATCH("PA_PCT_SALES",'Margin Guidence Table'!$A$1:$AG$1,0)),INDEX('Margin Guidence Table'!$A$1:$AG$10000,MATCH(1,('Margin Guidence Table'!$A$1:$A$10000=$BS29)*('Margin Guidence Table'!$I$1:$I$10000&lt;=ROUND($BK$3,0))*('Margin Guidence Table'!$J$1:$J$10000&gt;=ROUND($BK$3,0)),0),MATCH("DEFAULT_PA_PCT_SALES",'Margin Guidence Table'!$A$1:$AG$1,0))),0))</f>
        <v>0</v>
      </c>
      <c r="CB29" s="784">
        <f t="array" ref="CB29">IF('Customer Inputs'!$W$6="End",0,IFERROR(IF($BU29="SEGMENT",INDEX('Margin Guidence Table'!$A$1:$AG$10000,MATCH(1,('Margin Guidence Table'!$A$1:$A$10000=$BS29)*('Margin Guidence Table'!$I$1:$I$10000&lt;=ROUND($BK$3,0))*('Margin Guidence Table'!$J$1:$J$10000&gt;=ROUND($BK$3,0)),0),MATCH("SELF_FUND_PCT_SALES",'Margin Guidence Table'!$A$1:$AG$1,0)),INDEX('Margin Guidence Table'!$A$1:$AG$10000,MATCH(1,('Margin Guidence Table'!$A$1:$A$10000=$BS29)*('Margin Guidence Table'!$I$1:$I$10000&lt;=ROUND($BK$3,0))*('Margin Guidence Table'!$J$1:$J$10000&gt;=ROUND($BK$3,0)),0),MATCH("DEFAULT_SELF_FUND_PCT_SALES",'Margin Guidence Table'!$A$1:$AG$1,0))),0))</f>
        <v>0</v>
      </c>
      <c r="CC29" s="784">
        <f t="array" ref="CC29">IF('Customer Inputs'!$W$6="End",0,IF($BL$2="Existing",IFERROR(SUMIFS('Existing Customers'!$V:$V,'Existing Customers'!$H:$H,$BJ29,'Existing Customers'!$A:$A,$BK$1)/SUMIFS('Existing Customers'!$Q:$Q,'Existing Customers'!$H:$H,$BJ29,'Existing Customers'!$A:$A,$BK$1),0),IFERROR(IF($BU29="SEGMENT",INDEX('Margin Guidence Table'!$A$1:$AG$10000,MATCH(1,('Margin Guidence Table'!$A$1:$A$10000=$BS29)*('Margin Guidence Table'!$I$1:$I$10000&lt;=ROUND($BK$3,0))*('Margin Guidence Table'!$J$1:$J$10000&gt;=ROUND($BK$3,0)),0),MATCH("CIA_MEDIAN_MARGIN_GUIDENCE",'Margin Guidence Table'!$A$1:$AG$1,0)),INDEX('Margin Guidence Table'!$A$1:$AG$10000,MATCH(1,('Margin Guidence Table'!$A$1:$A$10000=$BS29)*('Margin Guidence Table'!$I$1:$I$10000&lt;=ROUND($BK$3,0))*('Margin Guidence Table'!$J$1:$J$10000&gt;=ROUND($BK$3,0)),0),MATCH("DEFAULT_CIA_MEDIAN_MARGIN_GUIDENCE",'Margin Guidence Table'!$A$1:$AG$1,0))),0)))</f>
        <v>0</v>
      </c>
      <c r="CD29" s="126"/>
      <c r="CE29" s="18">
        <f t="array" ref="CE29">IF('Customer Inputs'!$W$7="End",0,IFERROR(IF($CR29="SEGMENT",INDEX('Margin Guidence Table'!$A$1:$AG$10000,MATCH(1,('Margin Guidence Table'!$A$1:$A$10000=$CP29)*('Margin Guidence Table'!$I$1:$I$10000&lt;=ROUND($CH$3,0))*('Margin Guidence Table'!$J$1:$J$10000&gt;=ROUND($CH$3,0)),0),MATCH("PCT_SALES",'Margin Guidence Table'!$A$1:$AG$1,0)),INDEX('Margin Guidence Table'!$A$1:$AG$10000,MATCH(1,('Margin Guidence Table'!$A$1:$A$10000=$CP29)*('Margin Guidence Table'!$I$1:$I$10000&lt;=ROUND($CH$3,0))*('Margin Guidence Table'!$J$1:$J$10000&gt;=ROUND($CH$3,0)),0),MATCH("DEFAULT_PCT_SALES",'Margin Guidence Table'!$A$1:$AG$1,0))),0))</f>
        <v>0</v>
      </c>
      <c r="CF29" s="297" t="e">
        <f t="shared" si="34"/>
        <v>#DIV/0!</v>
      </c>
      <c r="CG29" s="99" t="s">
        <v>90</v>
      </c>
      <c r="CH29" s="91">
        <f>IF('Customer Inputs'!$W$7="End",0,IFERROR(IF(AND($CH$2&lt;&gt;"Enter Spend&gt;&gt;&gt;",$CI$2="EXISTING"),SUMIFS('Existing Customers'!$Q:$Q,'Existing Customers'!$A:$A,$CH$1,'Existing Customers'!$H:$H,$CG29)*$CH$4,$CH$3*$CF29),0))</f>
        <v>0</v>
      </c>
      <c r="CI29" s="86">
        <f>IF('Customer Inputs'!$W$7="End",0,IFERROR(IF(AND($CH$2&lt;&gt;"Enter Spend&gt;&gt;&gt;",$CI$2="EXISTING"),SUMIFS('Existing Customers'!$N:$N,'Existing Customers'!$A:$A,$CH$1,'Existing Customers'!$H:$H,$CG29)*$CH$4,$CH29/$CS29),0))</f>
        <v>0</v>
      </c>
      <c r="CJ29" s="92">
        <f>IF('Customer Inputs'!$W$7="End",0,IFERROR(IF(AND($CH$2&lt;&gt;"Enter Spend&gt;&gt;&gt;",$CI$2="EXISTING"),SUMIFS('Existing Customers'!$O:$O,'Existing Customers'!$H:$H,$CG29,'Existing Customers'!$A:$A,$CH$1)*$CH$4,$CI29*$CH$8),0))</f>
        <v>0</v>
      </c>
      <c r="CK29" s="92">
        <f>IF('Customer Inputs'!$W$7="End",0,IFERROR(IF(AND($CH$2&lt;&gt;"Enter Spend&gt;&gt;&gt;",$CI$2="EXISTING"),SUMIFS('Existing Customers'!$P:$P,'Existing Customers'!$A:$A,$CH$1,'Existing Customers'!$H:$H,$CG29)*$CH$4,$CH29/$CT29),0))</f>
        <v>0</v>
      </c>
      <c r="CL29" s="93">
        <f>IF('Customer Inputs'!$W$7="End",0,IFERROR(IF(AND($CH$2&lt;&gt;"Enter Spend&gt;&gt;&gt;",$CI$2="EXISTING"),SUMIFS('Existing Customers'!$V:$V,'Existing Customers'!$H:$H,$CG29,'Existing Customers'!$A:$A,$CH$1)*$CH$4,0),0))</f>
        <v>0</v>
      </c>
      <c r="CM29" s="93">
        <f>IF('Customer Inputs'!$W$7="End",0,IFERROR(IF(AND($CH$2&lt;&gt;"Enter Spend&gt;&gt;&gt;",$CI$2="EXISTING"),SUMIFS('Existing Customers'!$R:$R,'Existing Customers'!$H:$H,$CG29,'Existing Customers'!$A:$A,$CH$1)*$CH$4,0),0))</f>
        <v>0</v>
      </c>
      <c r="CN29" s="780">
        <f>IF('Customer Inputs'!$W$7="End",0,IFERROR(IF(AND($CH$2&lt;&gt;"Enter Spend&gt;&gt;&gt;",$CI$2="EXISTING"),SUMIFS('Existing Customers'!$S:$S,'Existing Customers'!$H:$H,$CG29,'Existing Customers'!$A:$A,$CH$1)/SUMIFS('Existing Customers'!$Q:$Q,'Existing Customers'!$A:$A,$CH$1,'Existing Customers'!$H:$H,$CG29),CX29),0))</f>
        <v>0</v>
      </c>
      <c r="CO29" s="780">
        <f>IF('Customer Inputs'!$W$7="End",0,IFERROR(IF(AND($CH$2&lt;&gt;"Enter Spend&gt;&gt;&gt;",$CI$2="EXISTING"),SUMIFS('Existing Customers'!$U:$U,'Existing Customers'!$H:$H,$CG29,'Existing Customers'!$A:$A,$CH$1)/SUMIFS('Existing Customers'!$Q:$Q,'Existing Customers'!$A:$A,$CH$1,'Existing Customers'!$H:$H,$CG29),CY29),0))</f>
        <v>0</v>
      </c>
      <c r="CP29" s="783" t="e">
        <f>_xlfn.CONCAT('Customer Inputs'!$AH$7,"_",CG29)</f>
        <v>#N/A</v>
      </c>
      <c r="CQ29" s="783">
        <f t="array" ref="CQ29">IFERROR(INDEX('Margin Guidence Table'!$A$1:$AG$10000,MATCH(1,('Margin Guidence Table'!$A$1:$A$10000=$CP29)*('Margin Guidence Table'!$I$1:$I$10000&lt;=ROUND($CH$3,0))*('Margin Guidence Table'!$J$1:$J$10000&gt;=ROUND($CH$3,0)),0),MATCH("DATA_POINTS",'Margin Guidence Table'!$A$1:$AG$1,0)),0)</f>
        <v>0</v>
      </c>
      <c r="CR29" s="780" t="str">
        <f t="shared" si="35"/>
        <v>DEFAULT</v>
      </c>
      <c r="CS29" s="780">
        <f t="array" ref="CS29">IF('Customer Inputs'!$W$7="End",0,IFERROR(IF($CR29="SEGMENT",INDEX('Margin Guidence Table'!$A$1:$AG$10000,MATCH(1,('Margin Guidence Table'!$A$1:$A$10000=$CP29)*('Margin Guidence Table'!$I$1:$I$10000&lt;=ROUND($CH$3,0))*('Margin Guidence Table'!$J$1:$J$10000&gt;=ROUND($CH$3,0)),0),MATCH("SALES_CASE",'Margin Guidence Table'!$A$1:$AG$1,0)),INDEX('Margin Guidence Table'!$A$1:$AG$10000,MATCH(1,('Margin Guidence Table'!$A$1:$A$10000=$CP29)*('Margin Guidence Table'!$I$1:$I$10000&lt;=ROUND($CH$3,0))*('Margin Guidence Table'!$J$1:$J$10000&gt;=ROUND($CH$3,0)),0),MATCH("DEFAULT_SALES_CASE",'Margin Guidence Table'!$A$1:$AG$1,0))),0))</f>
        <v>0</v>
      </c>
      <c r="CT29" s="780">
        <f t="array" ref="CT29">IF('Customer Inputs'!$W$7="End",0,IFERROR(IF($CR29="SEGMENT",INDEX('Margin Guidence Table'!$A$1:$AG$10000,MATCH(1,('Margin Guidence Table'!$A$1:$A$10000=$CP29)*('Margin Guidence Table'!$I$1:$I$10000&lt;=ROUND($CH$3,0))*('Margin Guidence Table'!$J$1:$J$10000&gt;=ROUND($CH$3,0)),0),MATCH("SALES_LBS",'Margin Guidence Table'!$A$1:$AG$1,0)),INDEX('Margin Guidence Table'!$A$1:$AG$10000,MATCH(1,('Margin Guidence Table'!$A$1:$A$10000=$CP29)*('Margin Guidence Table'!$I$1:$I$10000&lt;=ROUND($CH$3,0))*('Margin Guidence Table'!$J$1:$J$10000&gt;=ROUND($CH$3,0)),0),MATCH("DEFAULT_SALES_LBS",'Margin Guidence Table'!$A$1:$AG$1,0))),0))</f>
        <v>0</v>
      </c>
      <c r="CU29" s="784">
        <f t="array" ref="CU29">IF('Customer Inputs'!$W$7="End",0,IFERROR(IF($CR29="SEGMENT",INDEX('Margin Guidence Table'!$A$1:$AG$10000,MATCH(1,('Margin Guidence Table'!$A$1:$A$10000=$CP29)*('Margin Guidence Table'!$I$1:$I$10000&lt;=ROUND($CH$3,0))*('Margin Guidence Table'!$J$1:$J$10000&gt;=ROUND($CH$3,0)),0),MATCH("MDA_MIN_MARGIN_GUIDENCE",'Margin Guidence Table'!$A$1:$AG$1,0)),INDEX('Margin Guidence Table'!$A$1:$AG$10000,MATCH(1,('Margin Guidence Table'!$A$1:$A$10000=$CP29)*('Margin Guidence Table'!$I$1:$I$10000&lt;=ROUND($CH$3,0))*('Margin Guidence Table'!$J$1:$J$10000&gt;=ROUND($CH$3,0)),0),MATCH("DEFAULT_MDA_MIN_MARGIN_GUIDENCE",'Margin Guidence Table'!$A$1:$AG$1,0))),0))</f>
        <v>0</v>
      </c>
      <c r="CV29" s="784">
        <f t="array" ref="CV29">IF('Customer Inputs'!$W$7="End",0,IFERROR(IF($CR29="SEGMENT",INDEX('Margin Guidence Table'!$A$1:$AG$10000,MATCH(1,('Margin Guidence Table'!$A$1:$A$10000=$CP29)*('Margin Guidence Table'!$I$1:$I$10000&lt;=ROUND($CH$3,0))*('Margin Guidence Table'!$J$1:$J$10000&gt;=ROUND($CH$3,0)),0),MATCH("MDA_MEDIAN_MARGIN_GUIDENCE",'Margin Guidence Table'!$A$1:$AG$1,0)),INDEX('Margin Guidence Table'!$A$1:$AG$10000,MATCH(1,('Margin Guidence Table'!$A$1:$A$10000=$CP29)*('Margin Guidence Table'!$I$1:$I$10000&lt;=ROUND($CH$3,0))*('Margin Guidence Table'!$J$1:$J$10000&gt;=ROUND($CH$3,0)),0),MATCH("DEFAULT_MDA_MEDIAN_MARGIN_GUIDENCE",'Margin Guidence Table'!$A$1:$AG$1,0))),0))</f>
        <v>0</v>
      </c>
      <c r="CW29" s="784">
        <f t="array" ref="CW29">IF('Customer Inputs'!$W$7="End",0,IFERROR(IF($CR29="SEGMENT",INDEX('Margin Guidence Table'!$A$1:$AG$10000,MATCH(1,('Margin Guidence Table'!$A$1:$A$10000=$CP29)*('Margin Guidence Table'!$I$1:$I$10000&lt;=ROUND($CH$3,0))*('Margin Guidence Table'!$J$1:$J$10000&gt;=ROUND($CH$3,0)),0),MATCH("MDA_MAX_MARGIN_GUIDENCE",'Margin Guidence Table'!$A$1:$AG$1,0)),INDEX('Margin Guidence Table'!$A$1:$AG$10000,MATCH(1,('Margin Guidence Table'!$A$1:$A$10000=$CP29)*('Margin Guidence Table'!$I$1:$I$10000&lt;=ROUND($CH$3,0))*('Margin Guidence Table'!$J$1:$J$10000&gt;=ROUND($CH$3,0)),0),MATCH("DEFAULT_MDA_MAX_MARGIN_GUIDENCE",'Margin Guidence Table'!$A$1:$AG$1,0))),0))</f>
        <v>0</v>
      </c>
      <c r="CX29" s="784">
        <f t="array" ref="CX29">IF('Customer Inputs'!$W$7="End",0,IFERROR(IF($CR29="SEGMENT",INDEX('Margin Guidence Table'!$A$1:$AG$10000,MATCH(1,('Margin Guidence Table'!$A$1:$A$10000=$CP29)*('Margin Guidence Table'!$I$1:$I$10000&lt;=ROUND($CH$3,0))*('Margin Guidence Table'!$J$1:$J$10000&gt;=ROUND($CH$3,0)),0),MATCH("PA_PCT_SALES",'Margin Guidence Table'!$A$1:$AG$1,0)),INDEX('Margin Guidence Table'!$A$1:$AG$10000,MATCH(1,('Margin Guidence Table'!$A$1:$A$10000=$CP29)*('Margin Guidence Table'!$I$1:$I$10000&lt;=ROUND($CH$3,0))*('Margin Guidence Table'!$J$1:$J$10000&gt;=ROUND($CH$3,0)),0),MATCH("DEFAULT_PA_PCT_SALES",'Margin Guidence Table'!$A$1:$AG$1,0))),0))</f>
        <v>0</v>
      </c>
      <c r="CY29" s="784">
        <f t="array" ref="CY29">IF('Customer Inputs'!$W$7="End",0,IFERROR(IF($CR29="SEGMENT",INDEX('Margin Guidence Table'!$A$1:$AG$10000,MATCH(1,('Margin Guidence Table'!$A$1:$A$10000=$CP29)*('Margin Guidence Table'!$I$1:$I$10000&lt;=ROUND($CH$3,0))*('Margin Guidence Table'!$J$1:$J$10000&gt;=ROUND($CH$3,0)),0),MATCH("SELF_FUND_PCT_SALES",'Margin Guidence Table'!$A$1:$AG$1,0)),INDEX('Margin Guidence Table'!$A$1:$AG$10000,MATCH(1,('Margin Guidence Table'!$A$1:$A$10000=$CP29)*('Margin Guidence Table'!$I$1:$I$10000&lt;=ROUND($CH$3,0))*('Margin Guidence Table'!$J$1:$J$10000&gt;=ROUND($CH$3,0)),0),MATCH("DEFAULT_SELF_FUND_PCT_SALES",'Margin Guidence Table'!$A$1:$AG$1,0))),0))</f>
        <v>0</v>
      </c>
      <c r="CZ29" s="784">
        <f t="array" ref="CZ29">IF('Customer Inputs'!$W$7="End",0,IF($CI$2="Existing",IFERROR(SUMIFS('Existing Customers'!$V:$V,'Existing Customers'!$H:$H,$CG29,'Existing Customers'!$A:$A,$CH$1)/SUMIFS('Existing Customers'!$Q:$Q,'Existing Customers'!$H:$H,$CG29,'Existing Customers'!$A:$A,$CH$1),0),IFERROR(IF($CR29="SEGMENT",INDEX('Margin Guidence Table'!$A$1:$AG$10000,MATCH(1,('Margin Guidence Table'!$A$1:$A$10000=$CP29)*('Margin Guidence Table'!$I$1:$I$10000&lt;=ROUND($CH$3,0))*('Margin Guidence Table'!$J$1:$J$10000&gt;=ROUND($CH$3,0)),0),MATCH("CIA_MEDIAN_MARGIN_GUIDENCE",'Margin Guidence Table'!$A$1:$AG$1,0)),INDEX('Margin Guidence Table'!$A$1:$AG$10000,MATCH(1,('Margin Guidence Table'!$A$1:$A$10000=$CP29)*('Margin Guidence Table'!$I$1:$I$10000&lt;=ROUND($CH$3,0))*('Margin Guidence Table'!$J$1:$J$10000&gt;=ROUND($CH$3,0)),0),MATCH("DEFAULT_CIA_MEDIAN_MARGIN_GUIDENCE",'Margin Guidence Table'!$A$1:$AG$1,0))),0)))</f>
        <v>0</v>
      </c>
      <c r="DA29" s="126"/>
      <c r="DB29" s="18">
        <f t="array" ref="DB29">IF('Customer Inputs'!$W$8="End",0,IFERROR(IF($DO29="SEGMENT",INDEX('Margin Guidence Table'!$A$1:$AG$10000,MATCH(1,('Margin Guidence Table'!$A$1:$A$10000=$DM29)*('Margin Guidence Table'!$I$1:$I$10000&lt;=ROUND($DE$3,0))*('Margin Guidence Table'!$J$1:$J$10000&gt;=ROUND($DE$3,0)),0),MATCH("PCT_SALES",'Margin Guidence Table'!$A$1:$AG$1,0)),INDEX('Margin Guidence Table'!$A$1:$AG$10000,MATCH(1,('Margin Guidence Table'!$A$1:$A$10000=$DM29)*('Margin Guidence Table'!$I$1:$I$10000&lt;=ROUND($DE$3,0))*('Margin Guidence Table'!$J$1:$J$10000&gt;=ROUND($DE$3,0)),0),MATCH("DEFAULT_PCT_SALES",'Margin Guidence Table'!$A$1:$AG$1,0))),0))</f>
        <v>0</v>
      </c>
      <c r="DC29" s="297" t="e">
        <f t="shared" si="36"/>
        <v>#DIV/0!</v>
      </c>
      <c r="DD29" s="99" t="s">
        <v>90</v>
      </c>
      <c r="DE29" s="91">
        <f>IF('Customer Inputs'!$W$8="End",0,IFERROR(IF(AND($DE$2&lt;&gt;"Enter Spend&gt;&gt;&gt;",$DF$2="EXISTING"),SUMIFS('Existing Customers'!$Q:$Q,'Existing Customers'!$A:$A,$DE$1,'Existing Customers'!$H:$H,$DD29)*$DE$4,$DE$3*$DC29),0))</f>
        <v>0</v>
      </c>
      <c r="DF29" s="86">
        <f>IF('Customer Inputs'!$W$8="End",0,IFERROR(IF(AND($DE$2&lt;&gt;"Enter Spend&gt;&gt;&gt;",$DF$2="EXISTING"),SUMIFS('Existing Customers'!$N:$N,'Existing Customers'!$A:$A,$DE$1,'Existing Customers'!$H:$H,$DD29)*$DE$4,$DE29/$DP29),0))</f>
        <v>0</v>
      </c>
      <c r="DG29" s="92">
        <f>IF('Customer Inputs'!$W$8="End",0,IFERROR(IF(AND($DE$2&lt;&gt;"Enter Spend&gt;&gt;&gt;",$DF$2="EXISTING"),SUMIFS('Existing Customers'!$O:$O,'Existing Customers'!$H:$H,$DD29,'Existing Customers'!$A:$A,$DE$1)*$DE$4,$DF29*$DE$8),0))</f>
        <v>0</v>
      </c>
      <c r="DH29" s="92">
        <f>IF('Customer Inputs'!$W$8="End",0,IFERROR(IF(AND($DE$2&lt;&gt;"Enter Spend&gt;&gt;&gt;",$DF$2="EXISTING"),SUMIFS('Existing Customers'!$P:$P,'Existing Customers'!$A:$A,$DE$1,'Existing Customers'!$H:$H,$DD29)*$DE$4,$DE29/$DQ29),0))</f>
        <v>0</v>
      </c>
      <c r="DI29" s="93">
        <f>IF('Customer Inputs'!$W$8="End",0,IFERROR(IF(AND($DE$2&lt;&gt;"Enter Spend&gt;&gt;&gt;",$DF$2="EXISTING"),SUMIFS('Existing Customers'!$V:$V,'Existing Customers'!$H:$H,$DD29,'Existing Customers'!$A:$A,$DE$1)*$DE$4,0),0))</f>
        <v>0</v>
      </c>
      <c r="DJ29" s="93">
        <f>IF('Customer Inputs'!$W$8="End",0,IFERROR(IF(AND($DE$2&lt;&gt;"Enter Spend&gt;&gt;&gt;",$DF$2="EXISTING"),SUMIFS('Existing Customers'!$R:$R,'Existing Customers'!$H:$H,$DD29,'Existing Customers'!$A:$A,$DE$1)*$DE$4,0),0))</f>
        <v>0</v>
      </c>
      <c r="DK29" s="780">
        <f>IF('Customer Inputs'!$W$8="End",0,IFERROR(IF(AND($DE$2&lt;&gt;"Enter Spend&gt;&gt;&gt;",$DF$2="EXISTING"),SUMIFS('Existing Customers'!$S:$S,'Existing Customers'!$H:$H,$DD29,'Existing Customers'!$A:$A,$DE$1)/SUMIFS('Existing Customers'!$Q:$Q,'Existing Customers'!$A:$A,$DE$1,'Existing Customers'!$H:$H,$DD29),DU29),0))</f>
        <v>0</v>
      </c>
      <c r="DL29" s="780">
        <f>IF('Customer Inputs'!$W$8="End",0,IFERROR(IF(AND($DE$2&lt;&gt;"Enter Spend&gt;&gt;&gt;",$DF$2="EXISTING"),SUMIFS('Existing Customers'!$U:$U,'Existing Customers'!$H:$H,$DD29,'Existing Customers'!$A:$A,$DE$1)/SUMIFS('Existing Customers'!$Q:$Q,'Existing Customers'!$A:$A,$DE$1,'Existing Customers'!$H:$H,$DD29),DV29),0))</f>
        <v>0</v>
      </c>
      <c r="DM29" s="783" t="e">
        <f>_xlfn.CONCAT('Customer Inputs'!$AH$8,"_",DD29)</f>
        <v>#N/A</v>
      </c>
      <c r="DN29" s="783">
        <f t="array" ref="DN29">IF('Customer Inputs'!$W$8="End",0,IFERROR(INDEX('Margin Guidence Table'!$A$1:$AG$10000,MATCH(1,('Margin Guidence Table'!$A$1:$A$10000=DM29)*('Margin Guidence Table'!$I$1:$I$10000&lt;=ROUND($DE$3,0))*('Margin Guidence Table'!$J$1:$J$10000&gt;=ROUND($DE$3,0)),0),MATCH("DATA_POINTS",'Margin Guidence Table'!$A$1:$AG$1,0)),0))</f>
        <v>0</v>
      </c>
      <c r="DO29" s="780" t="str">
        <f t="shared" si="37"/>
        <v>DEFAULT</v>
      </c>
      <c r="DP29" s="780">
        <f t="array" ref="DP29">IF('Customer Inputs'!$W$8="End",0,IFERROR(IF($DO29="SEGMENT",INDEX('Margin Guidence Table'!$A$1:$AG$10000,MATCH(1,('Margin Guidence Table'!$A$1:$A$10000=DM29)*('Margin Guidence Table'!$I$1:$I$10000&lt;=ROUND($DE$3,0))*('Margin Guidence Table'!$J$1:$J$10000&gt;=ROUND($DE$3,0)),0),MATCH("SALES_CASE",'Margin Guidence Table'!$A$1:$AG$1,0)),INDEX('Margin Guidence Table'!$A$1:$AG$10000,MATCH(1,('Margin Guidence Table'!$A$1:$A$10000=DM29)*('Margin Guidence Table'!$I$1:$I$10000&lt;=ROUND($DE$3,0))*('Margin Guidence Table'!$J$1:$J$10000&gt;=ROUND($DE$3,0)),0),MATCH("DEFAULT_SALES_CASE",'Margin Guidence Table'!$A$1:$AG$1,0))),0))</f>
        <v>0</v>
      </c>
      <c r="DQ29" s="780">
        <f t="array" ref="DQ29">IF('Customer Inputs'!$W$8="End",0,IFERROR(IF($DO29="SEGMENT",INDEX('Margin Guidence Table'!$A$1:$AG$10000,MATCH(1,('Margin Guidence Table'!$A$1:$A$10000=DM29)*('Margin Guidence Table'!$I$1:$I$10000&lt;=ROUND($DE$3,0))*('Margin Guidence Table'!$J$1:$J$10000&gt;=ROUND($DE$3,0)),0),MATCH("SALES_LBS",'Margin Guidence Table'!$A$1:$AG$1,0)),INDEX('Margin Guidence Table'!$A$1:$AG$10000,MATCH(1,('Margin Guidence Table'!$A$1:$A$10000=DM29)*('Margin Guidence Table'!$I$1:$I$10000&lt;=ROUND($DE$3,0))*('Margin Guidence Table'!$J$1:$J$10000&gt;=ROUND($DE$3,0)),0),MATCH("DEFAULT_SALES_LBS",'Margin Guidence Table'!$A$1:$AG$1,0))),0))</f>
        <v>0</v>
      </c>
      <c r="DR29" s="784">
        <f t="array" ref="DR29">IF('Customer Inputs'!$W$8="End",0,IFERROR(IF($DO29="SEGMENT",INDEX('Margin Guidence Table'!$A$1:$AG$10000,MATCH(1,('Margin Guidence Table'!$A$1:$A$10000=DM29)*('Margin Guidence Table'!$I$1:$I$10000&lt;=ROUND($DE$3,0))*('Margin Guidence Table'!$J$1:$J$10000&gt;=ROUND($DE$3,0)),0),MATCH("MDA_MIN_MARGIN_GUIDENCE",'Margin Guidence Table'!$A$1:$AG$1,0)),INDEX('Margin Guidence Table'!$A$1:$AG$10000,MATCH(1,('Margin Guidence Table'!$A$1:$A$10000=DM29)*('Margin Guidence Table'!$I$1:$I$10000&lt;=ROUND($DE$3,0))*('Margin Guidence Table'!$J$1:$J$10000&gt;=ROUND($DE$3,0)),0),MATCH("DEFAULT_MDA_MIN_MARGIN_GUIDENCE",'Margin Guidence Table'!$A$1:$AG$1,0))),0))</f>
        <v>0</v>
      </c>
      <c r="DS29" s="784">
        <f t="array" ref="DS29">IF('Customer Inputs'!$W$8="End",0,IFERROR(IF($DO29="SEGMENT",INDEX('Margin Guidence Table'!$A$1:$AG$10000,MATCH(1,('Margin Guidence Table'!$A$1:$A$10000=DM29)*('Margin Guidence Table'!$I$1:$I$10000&lt;=ROUND($DE$3,0))*('Margin Guidence Table'!$J$1:$J$10000&gt;=ROUND($DE$3,0)),0),MATCH("MDA_MEDIAN_MARGIN_GUIDENCE",'Margin Guidence Table'!$A$1:$AG$1,0)),INDEX('Margin Guidence Table'!$A$1:$AG$10000,MATCH(1,('Margin Guidence Table'!$A$1:$A$10000=DM29)*('Margin Guidence Table'!$I$1:$I$10000&lt;=ROUND($DE$3,0))*('Margin Guidence Table'!$J$1:$J$10000&gt;=ROUND($DE$3,0)),0),MATCH("DEFAULT_MDA_MEDIAN_MARGIN_GUIDENCE",'Margin Guidence Table'!$A$1:$AG$1,0))),0))</f>
        <v>0</v>
      </c>
      <c r="DT29" s="784">
        <f t="array" ref="DT29">IF('Customer Inputs'!$W$8="End",0,IFERROR(IF($DO29="SEGMENT",INDEX('Margin Guidence Table'!$A$1:$AG$10000,MATCH(1,('Margin Guidence Table'!$A$1:$A$10000=DM29)*('Margin Guidence Table'!$I$1:$I$10000&lt;=ROUND($DE$3,0))*('Margin Guidence Table'!$J$1:$J$10000&gt;=ROUND($DE$3,0)),0),MATCH("MDA_MAX_MARGIN_GUIDENCE",'Margin Guidence Table'!$A$1:$AG$1,0)),INDEX('Margin Guidence Table'!$A$1:$AG$10000,MATCH(1,('Margin Guidence Table'!$A$1:$A$10000=DM29)*('Margin Guidence Table'!$I$1:$I$10000&lt;=ROUND($DE$3,0))*('Margin Guidence Table'!$J$1:$J$10000&gt;=ROUND($DE$3,0)),0),MATCH("DEFAULT_MDA_MAX_MARGIN_GUIDENCE",'Margin Guidence Table'!$A$1:$AG$1,0))),0))</f>
        <v>0</v>
      </c>
      <c r="DU29" s="784">
        <f t="array" ref="DU29">IF('Customer Inputs'!$W$8="End",0,IFERROR(IF($DO29="SEGMENT",INDEX('Margin Guidence Table'!$A$1:$AG$10000,MATCH(1,('Margin Guidence Table'!$A$1:$A$10000=DM29)*('Margin Guidence Table'!$I$1:$I$10000&lt;=ROUND($DE$3,0))*('Margin Guidence Table'!$J$1:$J$10000&gt;=ROUND($DE$3,0)),0),MATCH("PA_PCT_SALES",'Margin Guidence Table'!$A$1:$AG$1,0)),INDEX('Margin Guidence Table'!$A$1:$AG$10000,MATCH(1,('Margin Guidence Table'!$A$1:$A$10000=DM29)*('Margin Guidence Table'!$I$1:$I$10000&lt;=ROUND($DE$3,0))*('Margin Guidence Table'!$J$1:$J$10000&gt;=ROUND($DE$3,0)),0),MATCH("DEFAULT_PA_PCT_SALES",'Margin Guidence Table'!$A$1:$AG$1,0))),0))</f>
        <v>0</v>
      </c>
      <c r="DV29" s="784">
        <f t="array" ref="DV29">IF('Customer Inputs'!$W$8="End",0,IFERROR(IF($DO29="SEGMENT",INDEX('Margin Guidence Table'!$A$1:$AG$10000,MATCH(1,('Margin Guidence Table'!$A$1:$A$10000=DM29)*('Margin Guidence Table'!$I$1:$I$10000&lt;=ROUND($DE$3,0))*('Margin Guidence Table'!$J$1:$J$10000&gt;=ROUND($DE$3,0)),0),MATCH("SELF_FUND_PCT_SALES",'Margin Guidence Table'!$A$1:$AG$1,0)),INDEX('Margin Guidence Table'!$A$1:$AG$10000,MATCH(1,('Margin Guidence Table'!$A$1:$A$10000=DM29)*('Margin Guidence Table'!$I$1:$I$10000&lt;=ROUND($DE$3,0))*('Margin Guidence Table'!$J$1:$J$10000&gt;=ROUND($DE$3,0)),0),MATCH("DEFAULT_SELF_FUND_PCT_SALES",'Margin Guidence Table'!$A$1:$AG$1,0))),0))</f>
        <v>0</v>
      </c>
      <c r="DW29" s="784">
        <f t="array" ref="DW29">IF('Customer Inputs'!$W$8="End",0,IF($DF$2="Existing",IFERROR(SUMIFS('Existing Customers'!$V:$V,'Existing Customers'!$H:$H,$DD29,'Existing Customers'!$A:$A,$DE$1)/SUMIFS('Existing Customers'!$Q:$Q,'Existing Customers'!$H:$H,$DD29,'Existing Customers'!$A:$A,$DE$1),0),IFERROR(IF($DO29="SEGMENT",INDEX('Margin Guidence Table'!$A$1:$AG$10000,MATCH(1,('Margin Guidence Table'!$A$1:$A$10000=DM29)*('Margin Guidence Table'!$I$1:$I$10000&lt;=ROUND($DE$3,0))*('Margin Guidence Table'!$J$1:$J$10000&gt;=ROUND($DE$3,0)),0),MATCH("CIA_MEDIAN_MARGIN_GUIDENCE",'Margin Guidence Table'!$A$1:$AG$1,0)),INDEX('Margin Guidence Table'!$A$1:$AG$10000,MATCH(1,('Margin Guidence Table'!$A$1:$A$10000=DM29)*('Margin Guidence Table'!$I$1:$I$10000&lt;=ROUND($DE$3,0))*('Margin Guidence Table'!$J$1:$J$10000&gt;=ROUND($DE$3,0)),0),MATCH("DEFAULT_CIA_MEDIAN_MARGIN_GUIDENCE",'Margin Guidence Table'!$A$1:$AG$1,0))),0)))</f>
        <v>0</v>
      </c>
      <c r="DX29" s="126"/>
      <c r="DY29" s="18">
        <f t="array" ref="DY29">IF('Customer Inputs'!$W$9="End",0,IFERROR(IF($EL29="SEGMENT",INDEX('Margin Guidence Table'!$A$1:$AG$10000,MATCH(1,('Margin Guidence Table'!$A$1:$A$10000=$EJ29)*('Margin Guidence Table'!$I$1:$I$10000&lt;=ROUND($EB$3,0))*('Margin Guidence Table'!$J$1:$J$10000&gt;=ROUND($EB$3,0)),0),MATCH("PCT_SALES",'Margin Guidence Table'!$A$1:$AG$1,0)),INDEX('Margin Guidence Table'!$A$1:$AG$10000,MATCH(1,('Margin Guidence Table'!$A$1:$A$10000=$EJ29)*('Margin Guidence Table'!$I$1:$I$10000&lt;=ROUND($EB$3,0))*('Margin Guidence Table'!$J$1:$J$10000&gt;=ROUND($EB$3,0)),0),MATCH("DEFAULT_PCT_SALES",'Margin Guidence Table'!$A$1:$AG$1,0))),0))</f>
        <v>0</v>
      </c>
      <c r="DZ29" s="297" t="e">
        <f t="shared" si="38"/>
        <v>#DIV/0!</v>
      </c>
      <c r="EA29" s="99" t="s">
        <v>90</v>
      </c>
      <c r="EB29" s="91">
        <f>IF('Customer Inputs'!$W$9="End",0,IFERROR(IF(AND($EB$2&lt;&gt;"Enter Spend&gt;&gt;&gt;",$EC$2="EXISTING"),SUMIFS('Existing Customers'!$Q:$Q,'Existing Customers'!$A:$A,$EB$1,'Existing Customers'!$H:$H,$EA29)*$EB$4,$EB$3*$DZ29),0))</f>
        <v>0</v>
      </c>
      <c r="EC29" s="86">
        <f>IF('Customer Inputs'!$W$9="End",0,IFERROR(IF(AND($EB$2&lt;&gt;"Enter Spend&gt;&gt;&gt;",$EC$2="EXISTING"),SUMIFS('Existing Customers'!$N:$N,'Existing Customers'!$A:$A,$EB$1,'Existing Customers'!$H:$H,$EA29)*$EB$4,$EB29/$EM29),0))</f>
        <v>0</v>
      </c>
      <c r="ED29" s="92">
        <f>IF('Customer Inputs'!$W$9="End",0,IFERROR(IF(AND($EB$2&lt;&gt;"Enter Spend&gt;&gt;&gt;",$EC$2="EXISTING"),SUMIFS('Existing Customers'!$O:$O,'Existing Customers'!$H:$H,$EA29,'Existing Customers'!$A:$A,$EB$1)*$EB$4,$EC29*$EB$8),0))</f>
        <v>0</v>
      </c>
      <c r="EE29" s="92">
        <f>IF('Customer Inputs'!$W$9="End",0,IFERROR(IF(AND($EB$2&lt;&gt;"Enter Spend&gt;&gt;&gt;",$EC$2="EXISTING"),SUMIFS('Existing Customers'!$P:$P,'Existing Customers'!$A:$A,$EB$1,'Existing Customers'!$H:$H,$EA29)*$EB$4,$EB29/$EN29),0))</f>
        <v>0</v>
      </c>
      <c r="EF29" s="93">
        <f>IF('Customer Inputs'!$W$9="End",0,IFERROR(IF(AND($EB$2&lt;&gt;"Enter Spend&gt;&gt;&gt;",$EC$2="EXISTING"),SUMIFS('Existing Customers'!$V:$V,'Existing Customers'!$H:$H,$EA29,'Existing Customers'!$A:$A,$EB$1)*$EB$4,0),0))</f>
        <v>0</v>
      </c>
      <c r="EG29" s="93">
        <f>IF('Customer Inputs'!$W$9="End",0,IFERROR(IF(AND($EB$2&lt;&gt;"Enter Spend&gt;&gt;&gt;",$EC$2="EXISTING"),SUMIFS('Existing Customers'!$R:$R,'Existing Customers'!$H:$H,$EA29,'Existing Customers'!$A:$A,$EB$1)*$EB$4,0),0))</f>
        <v>0</v>
      </c>
      <c r="EH29" s="780">
        <f>IF('Customer Inputs'!$W$9="End",0,IFERROR(IF(AND($EB$2&lt;&gt;"Enter Spend&gt;&gt;&gt;",$EC$2="EXISTING"),SUMIFS('Existing Customers'!$S:$S,'Existing Customers'!$H:$H,$EA29,'Existing Customers'!$A:$A,$EB$1)/SUMIFS('Existing Customers'!$Q:$Q,'Existing Customers'!$A:$A,$EB$1,'Existing Customers'!$H:$H,$EA29),ER29),0))</f>
        <v>0</v>
      </c>
      <c r="EI29" s="780">
        <f>IF('Customer Inputs'!$W$9="End",0,IFERROR(IF(AND($EB$2&lt;&gt;"Enter Spend&gt;&gt;&gt;",$EC$2="EXISTING"),SUMIFS('Existing Customers'!$U:$U,'Existing Customers'!$H:$H,$EA29,'Existing Customers'!$A:$A,$EB$1)/SUMIFS('Existing Customers'!$Q:$Q,'Existing Customers'!$A:$A,$EB$1,'Existing Customers'!$H:$H,$EA29),ES29),0))</f>
        <v>0</v>
      </c>
      <c r="EJ29" s="783" t="e">
        <f>_xlfn.CONCAT('Customer Inputs'!$AH$9,"_",EA29)</f>
        <v>#N/A</v>
      </c>
      <c r="EK29" s="783">
        <f t="array" ref="EK29">IF('Customer Inputs'!$W$9="End",0,IFERROR(INDEX('Margin Guidence Table'!$A$1:$AG$10000,MATCH(1,('Margin Guidence Table'!$A$1:$A$10000=EJ29)*('Margin Guidence Table'!$I$1:$I$10000&lt;=ROUND($EB$3,0))*('Margin Guidence Table'!$J$1:$J$10000&gt;=ROUND($EB$3,0)),0),MATCH("DATA_POINTS",'Margin Guidence Table'!$A$1:$AG$1,0)),0))</f>
        <v>0</v>
      </c>
      <c r="EL29" s="780" t="str">
        <f t="shared" si="39"/>
        <v>DEFAULT</v>
      </c>
      <c r="EM29" s="780">
        <f t="array" ref="EM29">IF('Customer Inputs'!$W$9="End",0,IFERROR(IF($EL29="SEGMENT",INDEX('Margin Guidence Table'!$A$1:$AG$10000,MATCH(1,('Margin Guidence Table'!$A$1:$A$10000=EJ29)*('Margin Guidence Table'!$I$1:$I$10000&lt;=ROUND($EB$3,0))*('Margin Guidence Table'!$J$1:$J$10000&gt;=ROUND($EB$3,0)),0),MATCH("SALES_CASE",'Margin Guidence Table'!$A$1:$AG$1,0)),INDEX('Margin Guidence Table'!$A$1:$AG$10000,MATCH(1,('Margin Guidence Table'!$A$1:$A$10000=EJ29)*('Margin Guidence Table'!$I$1:$I$10000&lt;=ROUND($EB$3,0))*('Margin Guidence Table'!$J$1:$J$10000&gt;=ROUND($EB$3,0)),0),MATCH("DEFAULT_SALES_CASE",'Margin Guidence Table'!$A$1:$AG$1,0))),0))</f>
        <v>0</v>
      </c>
      <c r="EN29" s="780">
        <f t="array" ref="EN29">IF('Customer Inputs'!$W$9="End",0,IFERROR(IF($EL29="SEGMENT",INDEX('Margin Guidence Table'!$A$1:$AG$10000,MATCH(1,('Margin Guidence Table'!$A$1:$A$10000=EJ29)*('Margin Guidence Table'!$I$1:$I$10000&lt;=ROUND($EB$3,0))*('Margin Guidence Table'!$J$1:$J$10000&gt;=ROUND($EB$3,0)),0),MATCH("SALES_LBS",'Margin Guidence Table'!$A$1:$AG$1,0)),INDEX('Margin Guidence Table'!$A$1:$AG$10000,MATCH(1,('Margin Guidence Table'!$A$1:$A$10000=EJ29)*('Margin Guidence Table'!$I$1:$I$10000&lt;=ROUND($EB$3,0))*('Margin Guidence Table'!$J$1:$J$10000&gt;=ROUND($EB$3,0)),0),MATCH("DEFAULT_SALES_LBS",'Margin Guidence Table'!$A$1:$AG$1,0))),0))</f>
        <v>0</v>
      </c>
      <c r="EO29" s="784">
        <f t="array" ref="EO29">IF('Customer Inputs'!$W$9="End",0,IFERROR(IF($EL29="SEGMENT",INDEX('Margin Guidence Table'!$A$1:$AG$10000,MATCH(1,('Margin Guidence Table'!$A$1:$A$10000=EJ29)*('Margin Guidence Table'!$I$1:$I$10000&lt;=ROUND($EB$3,0))*('Margin Guidence Table'!$J$1:$J$10000&gt;=ROUND($EB$3,0)),0),MATCH("MDA_MIN_MARGIN_GUIDENCE",'Margin Guidence Table'!$A$1:$AG$1,0)),INDEX('Margin Guidence Table'!$A$1:$AG$10000,MATCH(1,('Margin Guidence Table'!$A$1:$A$10000=EJ29)*('Margin Guidence Table'!$I$1:$I$10000&lt;=ROUND($EB$3,0))*('Margin Guidence Table'!$J$1:$J$10000&gt;=ROUND($EB$3,0)),0),MATCH("DEFAULT_MDA_MIN_MARGIN_GUIDENCE",'Margin Guidence Table'!$A$1:$AG$1,0))),0))</f>
        <v>0</v>
      </c>
      <c r="EP29" s="784">
        <f t="array" ref="EP29">IF('Customer Inputs'!$W$9="End",0,IFERROR(IF($EL29="SEGMENT",INDEX('Margin Guidence Table'!$A$1:$AG$10000,MATCH(1,('Margin Guidence Table'!$A$1:$A$10000=EJ29)*('Margin Guidence Table'!$I$1:$I$10000&lt;=ROUND($EB$3,0))*('Margin Guidence Table'!$J$1:$J$10000&gt;=ROUND($EB$3,0)),0),MATCH("MDA_MEDIAN_MARGIN_GUIDENCE",'Margin Guidence Table'!$A$1:$AG$1,0)),INDEX('Margin Guidence Table'!$A$1:$AG$10000,MATCH(1,('Margin Guidence Table'!$A$1:$A$10000=EJ29)*('Margin Guidence Table'!$I$1:$I$10000&lt;=ROUND($EB$3,0))*('Margin Guidence Table'!$J$1:$J$10000&gt;=ROUND($EB$3,0)),0),MATCH("DEFAULT_MDA_MEDIAN_MARGIN_GUIDENCE",'Margin Guidence Table'!$A$1:$AG$1,0))),0))</f>
        <v>0</v>
      </c>
      <c r="EQ29" s="784">
        <f t="array" ref="EQ29">IF('Customer Inputs'!$W$9="End",0,IFERROR(IF($EL29="SEGMENT",INDEX('Margin Guidence Table'!$A$1:$AG$10000,MATCH(1,('Margin Guidence Table'!$A$1:$A$10000=EJ29)*('Margin Guidence Table'!$I$1:$I$10000&lt;=ROUND($EB$3,0))*('Margin Guidence Table'!$J$1:$J$10000&gt;=ROUND($EB$3,0)),0),MATCH("MDA_MAX_MARGIN_GUIDENCE",'Margin Guidence Table'!$A$1:$AG$1,0)),INDEX('Margin Guidence Table'!$A$1:$AG$10000,MATCH(1,('Margin Guidence Table'!$A$1:$A$10000=EJ29)*('Margin Guidence Table'!$I$1:$I$10000&lt;=ROUND($EB$3,0))*('Margin Guidence Table'!$J$1:$J$10000&gt;=ROUND($EB$3,0)),0),MATCH("DEFAULT_MDA_MAX_MARGIN_GUIDENCE",'Margin Guidence Table'!$A$1:$AG$1,0))),0))</f>
        <v>0</v>
      </c>
      <c r="ER29" s="784">
        <f t="array" ref="ER29">IF('Customer Inputs'!$W$9="End",0,IFERROR(IF($EL29="SEGMENT",INDEX('Margin Guidence Table'!$A$1:$AG$10000,MATCH(1,('Margin Guidence Table'!$A$1:$A$10000=EJ29)*('Margin Guidence Table'!$I$1:$I$10000&lt;=ROUND($EB$3,0))*('Margin Guidence Table'!$J$1:$J$10000&gt;=ROUND($EB$3,0)),0),MATCH("PA_PCT_SALES",'Margin Guidence Table'!$A$1:$AG$1,0)),INDEX('Margin Guidence Table'!$A$1:$AG$10000,MATCH(1,('Margin Guidence Table'!$A$1:$A$10000=EJ29)*('Margin Guidence Table'!$I$1:$I$10000&lt;=ROUND($EB$3,0))*('Margin Guidence Table'!$J$1:$J$10000&gt;=ROUND($EB$3,0)),0),MATCH("DEFAULT_PA_PCT_SALES",'Margin Guidence Table'!$A$1:$AG$1,0))),0))</f>
        <v>0</v>
      </c>
      <c r="ES29" s="784">
        <f t="array" ref="ES29">IF('Customer Inputs'!$W$9="End",0,IFERROR(IF($EL29="SEGMENT",INDEX('Margin Guidence Table'!$A$1:$AG$10000,MATCH(1,('Margin Guidence Table'!$A$1:$A$10000=EJ29)*('Margin Guidence Table'!$I$1:$I$10000&lt;=ROUND($EB$3,0))*('Margin Guidence Table'!$J$1:$J$10000&gt;=ROUND($EB$3,0)),0),MATCH("SELF_FUND_PCT_SALES",'Margin Guidence Table'!$A$1:$AG$1,0)),INDEX('Margin Guidence Table'!$A$1:$AG$10000,MATCH(1,('Margin Guidence Table'!$A$1:$A$10000=EJ29)*('Margin Guidence Table'!$I$1:$I$10000&lt;=ROUND($EB$3,0))*('Margin Guidence Table'!$J$1:$J$10000&gt;=ROUND($EB$3,0)),0),MATCH("DEFAULT_SELF_FUND_PCT_SALES",'Margin Guidence Table'!$A$1:$AG$1,0))),0))</f>
        <v>0</v>
      </c>
      <c r="ET29" s="784">
        <f t="array" ref="ET29">IF('Customer Inputs'!$W$9="End",0,IF($EC$2="Existing",IFERROR(SUMIFS('Existing Customers'!$V:$V,'Existing Customers'!$H:$H,$EA29,'Existing Customers'!$A:$A,$EB$1)/SUMIFS('Existing Customers'!$Q:$Q,'Existing Customers'!$H:$H,$EA29,'Existing Customers'!$A:$A,$EB$1),0),IFERROR(IF($EL29="SEGMENT",INDEX('Margin Guidence Table'!$A$1:$AG$10000,MATCH(1,('Margin Guidence Table'!$A$1:$A$10000=EJ29)*('Margin Guidence Table'!$I$1:$I$10000&lt;=ROUND($EB$3,0))*('Margin Guidence Table'!$J$1:$J$10000&gt;=ROUND($EB$3,0)),0),MATCH("CIA_MEDIAN_MARGIN_GUIDENCE",'Margin Guidence Table'!$A$1:$AG$1,0)),INDEX('Margin Guidence Table'!$A$1:$AG$10000,MATCH(1,('Margin Guidence Table'!$A$1:$A$10000=EJ29)*('Margin Guidence Table'!$I$1:$I$10000&lt;=ROUND($EB$3,0))*('Margin Guidence Table'!$J$1:$J$10000&gt;=ROUND($EB$3,0)),0),MATCH("DEFAULT_CIA_MEDIAN_MARGIN_GUIDENCE",'Margin Guidence Table'!$A$1:$AG$1,0))),0)))</f>
        <v>0</v>
      </c>
      <c r="EU29" s="126"/>
      <c r="EV29" s="18">
        <f t="array" ref="EV29">IF('Customer Inputs'!$W$10="End",0,IFERROR(IF($FI29="SEGMENT",INDEX('Margin Guidence Table'!$A$1:$AG$10000,MATCH(1,('Margin Guidence Table'!$A$1:$A$10000=$FG29)*('Margin Guidence Table'!$I$1:$I$10000&lt;=ROUND($EY$3,0))*('Margin Guidence Table'!$J$1:$J$10000&gt;=ROUND($EY$3,0)),0),MATCH("PCT_SALES",'Margin Guidence Table'!$A$1:$AG$1,0)),INDEX('Margin Guidence Table'!$A$1:$AG$10000,MATCH(1,('Margin Guidence Table'!$A$1:$A$10000=$FG29)*('Margin Guidence Table'!$I$1:$I$10000&lt;=ROUND($EY$3,0))*('Margin Guidence Table'!$J$1:$J$10000&gt;=ROUND($EY$3,0)),0),MATCH("DEFAULT_PCT_SALES",'Margin Guidence Table'!$A$1:$AG$1,0))),0))</f>
        <v>0</v>
      </c>
      <c r="EW29" s="297" t="e">
        <f t="shared" si="40"/>
        <v>#DIV/0!</v>
      </c>
      <c r="EX29" s="99" t="s">
        <v>90</v>
      </c>
      <c r="EY29" s="91">
        <f>IF('Customer Inputs'!$W$10="End",0,IFERROR(IF(AND($EY$2&lt;&gt;"Enter Spend&gt;&gt;&gt;",$EZ$2="EXISTING"),SUMIFS('Existing Customers'!$Q:$Q,'Existing Customers'!$A:$A,$EY$1,'Existing Customers'!$H:$H,$EX29)*$EY$4,$EY$3*$EW29),0))</f>
        <v>0</v>
      </c>
      <c r="EZ29" s="86">
        <f>IF('Customer Inputs'!$W$10="End",0,IFERROR(IF(AND($EY$2&lt;&gt;"Enter Spend&gt;&gt;&gt;",$EZ$2="EXISTING"),SUMIFS('Existing Customers'!$N:$N,'Existing Customers'!$A:$A,$EY$1,'Existing Customers'!$H:$H,$EX29)*$EY$4,$EY29/$FJ29),0))</f>
        <v>0</v>
      </c>
      <c r="FA29" s="92">
        <f>IF('Customer Inputs'!$W$10="End",0,IFERROR(IF(AND($EY$2&lt;&gt;"Enter Spend&gt;&gt;&gt;",$EZ$2="EXISTING"),SUMIFS('Existing Customers'!$O:$O,'Existing Customers'!$H:$H,$EX29,'Existing Customers'!$A:$A,$EY$1)*$EY$4,$EZ29*$EY$8),0))</f>
        <v>0</v>
      </c>
      <c r="FB29" s="92">
        <f>IF('Customer Inputs'!$W$10="End",0,IFERROR(IF(AND($EY$2&lt;&gt;"Enter Spend&gt;&gt;&gt;",$EZ$2="EXISTING"),SUMIFS('Existing Customers'!$P:$P,'Existing Customers'!$A:$A,$EY$1,'Existing Customers'!$H:$H,$EX29)*$EY$4,$EY29/$FK29),0))</f>
        <v>0</v>
      </c>
      <c r="FC29" s="93">
        <f>IF('Customer Inputs'!$W$10="End",0,IFERROR(IF(AND($EY$2&lt;&gt;"Enter Spend&gt;&gt;&gt;",$EZ$2="EXISTING"),SUMIFS('Existing Customers'!$V:$V,'Existing Customers'!$H:$H,$EX29,'Existing Customers'!$A:$A,$EY$1)*$EY$4,0),0))</f>
        <v>0</v>
      </c>
      <c r="FD29" s="93">
        <f>IF('Customer Inputs'!$W$10="End",0,IFERROR(IF(AND($EY$2&lt;&gt;"Enter Spend&gt;&gt;&gt;",$EZ$2="EXISTING"),SUMIFS('Existing Customers'!$R:$R,'Existing Customers'!$H:$H,$EX29,'Existing Customers'!$A:$A,$EY$1)*$EY$4,0),0))</f>
        <v>0</v>
      </c>
      <c r="FE29" s="780">
        <f>IF('Customer Inputs'!$W$10="End",0,IFERROR(IF(AND($EY$2&lt;&gt;"Enter Spend&gt;&gt;&gt;",$EZ$2="EXISTING"),SUMIFS('Existing Customers'!$S:$S,'Existing Customers'!$H:$H,$EX29,'Existing Customers'!$A:$A,$EY$1)/SUMIFS('Existing Customers'!$Q:$Q,'Existing Customers'!$A:$A,$EY$1,'Existing Customers'!$H:$H,$EX29),FO29),0))</f>
        <v>0</v>
      </c>
      <c r="FF29" s="780">
        <f>IF('Customer Inputs'!$W$10="End",0,IFERROR(IF(AND($EY$2&lt;&gt;"Enter Spend&gt;&gt;&gt;",$EZ$2="EXISTING"),SUMIFS('Existing Customers'!$U:$U,'Existing Customers'!$H:$H,$EX29,'Existing Customers'!$A:$A,$EY$1)/SUMIFS('Existing Customers'!$Q:$Q,'Existing Customers'!$A:$A,$EY$1,'Existing Customers'!$H:$H,$EX29),FP29),0))</f>
        <v>0</v>
      </c>
      <c r="FG29" s="783" t="e">
        <f>_xlfn.CONCAT('Customer Inputs'!$AH$10,"_",EX29)</f>
        <v>#N/A</v>
      </c>
      <c r="FH29" s="783">
        <f t="array" ref="FH29">IF('Customer Inputs'!$W$10="End",0,IFERROR(INDEX('Margin Guidence Table'!$A$1:$AG$10000,MATCH(1,('Margin Guidence Table'!$A$1:$A$10000=FG29)*('Margin Guidence Table'!$I$1:$I$10000&lt;=ROUND($EY$3,0))*('Margin Guidence Table'!$J$1:$J$10000&gt;=ROUND($EY$3,0)),0),MATCH("DATA_POINTS",'Margin Guidence Table'!$A$1:$AG$1,0)),0))</f>
        <v>0</v>
      </c>
      <c r="FI29" s="780" t="str">
        <f t="shared" si="41"/>
        <v>DEFAULT</v>
      </c>
      <c r="FJ29" s="780">
        <f t="array" ref="FJ29">IF('Customer Inputs'!$W$10="End",0,IFERROR(IF($FI29="SEGMENT",INDEX('Margin Guidence Table'!$A$1:$AG$10000,MATCH(1,('Margin Guidence Table'!$A$1:$A$10000=FG29)*('Margin Guidence Table'!$I$1:$I$10000&lt;=ROUND($EY$3,0))*('Margin Guidence Table'!$J$1:$J$10000&gt;=ROUND($EY$3,0)),0),MATCH("SALES_CASE",'Margin Guidence Table'!$A$1:$AG$1,0)),INDEX('Margin Guidence Table'!$A$1:$AG$10000,MATCH(1,('Margin Guidence Table'!$A$1:$A$10000=FG29)*('Margin Guidence Table'!$I$1:$I$10000&lt;=ROUND($EY$3,0))*('Margin Guidence Table'!$J$1:$J$10000&gt;=ROUND($EY$3,0)),0),MATCH("DEFAULT_SALES_CASE",'Margin Guidence Table'!$A$1:$AG$1,0))),0))</f>
        <v>0</v>
      </c>
      <c r="FK29" s="780">
        <f t="array" ref="FK29">IF('Customer Inputs'!$W$10="End",0,IFERROR(IF($FI29="SEGMENT",INDEX('Margin Guidence Table'!$A$1:$AG$10000,MATCH(1,('Margin Guidence Table'!$A$1:$A$10000=FG29)*('Margin Guidence Table'!$I$1:$I$10000&lt;=ROUND($EY$3,0))*('Margin Guidence Table'!$J$1:$J$10000&gt;=ROUND($EY$3,0)),0),MATCH("SALES_LBS",'Margin Guidence Table'!$A$1:$AG$1,0)),INDEX('Margin Guidence Table'!$A$1:$AG$10000,MATCH(1,('Margin Guidence Table'!$A$1:$A$10000=FG29)*('Margin Guidence Table'!$I$1:$I$10000&lt;=ROUND($EY$3,0))*('Margin Guidence Table'!$J$1:$J$10000&gt;=ROUND($EY$3,0)),0),MATCH("DEFAULT_SALES_LBS",'Margin Guidence Table'!$A$1:$AG$1,0))),0))</f>
        <v>0</v>
      </c>
      <c r="FL29" s="784">
        <f t="array" ref="FL29">IF('Customer Inputs'!$W$10="End",0,IFERROR(IF($FI29="SEGMENT",INDEX('Margin Guidence Table'!$A$1:$AG$10000,MATCH(1,('Margin Guidence Table'!$A$1:$A$10000=FG29)*('Margin Guidence Table'!$I$1:$I$10000&lt;=ROUND($EY$3,0))*('Margin Guidence Table'!$J$1:$J$10000&gt;=ROUND($EY$3,0)),0),MATCH("MDA_MIN_MARGIN_GUIDENCE",'Margin Guidence Table'!$A$1:$AG$1,0)),INDEX('Margin Guidence Table'!$A$1:$AG$10000,MATCH(1,('Margin Guidence Table'!$A$1:$A$10000=FG29)*('Margin Guidence Table'!$I$1:$I$10000&lt;=ROUND($EY$3,0))*('Margin Guidence Table'!$J$1:$J$10000&gt;=ROUND($EY$3,0)),0),MATCH("DEFAULT_MDA_MIN_MARGIN_GUIDENCE",'Margin Guidence Table'!$A$1:$AG$1,0))),0))</f>
        <v>0</v>
      </c>
      <c r="FM29" s="784">
        <f t="array" ref="FM29">IF('Customer Inputs'!$W$10="End",0,IFERROR(IF($FI29="SEGMENT",INDEX('Margin Guidence Table'!$A$1:$AG$10000,MATCH(1,('Margin Guidence Table'!$A$1:$A$10000=FG29)*('Margin Guidence Table'!$I$1:$I$10000&lt;=ROUND($EY$3,0))*('Margin Guidence Table'!$J$1:$J$10000&gt;=ROUND($EY$3,0)),0),MATCH("MDA_MEDIAN_MARGIN_GUIDENCE",'Margin Guidence Table'!$A$1:$AG$1,0)),INDEX('Margin Guidence Table'!$A$1:$AG$10000,MATCH(1,('Margin Guidence Table'!$A$1:$A$10000=FG29)*('Margin Guidence Table'!$I$1:$I$10000&lt;=ROUND($EY$3,0))*('Margin Guidence Table'!$J$1:$J$10000&gt;=ROUND($EY$3,0)),0),MATCH("DEFAULT_MDA_MEDIAN_MARGIN_GUIDENCE",'Margin Guidence Table'!$A$1:$AG$1,0))),0))</f>
        <v>0</v>
      </c>
      <c r="FN29" s="784">
        <f t="array" ref="FN29">IF('Customer Inputs'!$W$10="End",0,IFERROR(IF($FI29="SEGMENT",INDEX('Margin Guidence Table'!$A$1:$AG$10000,MATCH(1,('Margin Guidence Table'!$A$1:$A$10000=FG29)*('Margin Guidence Table'!$I$1:$I$10000&lt;=ROUND($EY$3,0))*('Margin Guidence Table'!$J$1:$J$10000&gt;=ROUND($EY$3,0)),0),MATCH("MDA_MAX_MARGIN_GUIDENCE",'Margin Guidence Table'!$A$1:$AG$1,0)),INDEX('Margin Guidence Table'!$A$1:$AG$10000,MATCH(1,('Margin Guidence Table'!$A$1:$A$10000=FG29)*('Margin Guidence Table'!$I$1:$I$10000&lt;=ROUND($EY$3,0))*('Margin Guidence Table'!$J$1:$J$10000&gt;=ROUND($EY$3,0)),0),MATCH("DEFAULT_MDA_MAX_MARGIN_GUIDENCE",'Margin Guidence Table'!$A$1:$AG$1,0))),0))</f>
        <v>0</v>
      </c>
      <c r="FO29" s="784">
        <f t="array" ref="FO29">IF('Customer Inputs'!$W$10="End",0,IFERROR(IF($FI29="SEGMENT",INDEX('Margin Guidence Table'!$A$1:$AG$10000,MATCH(1,('Margin Guidence Table'!$A$1:$A$10000=FG29)*('Margin Guidence Table'!$I$1:$I$10000&lt;=ROUND($EY$3,0))*('Margin Guidence Table'!$J$1:$J$10000&gt;=ROUND($EY$3,0)),0),MATCH("PA_PCT_SALES",'Margin Guidence Table'!$A$1:$AG$1,0)),INDEX('Margin Guidence Table'!$A$1:$AG$10000,MATCH(1,('Margin Guidence Table'!$A$1:$A$10000=FG29)*('Margin Guidence Table'!$I$1:$I$10000&lt;=ROUND($EY$3,0))*('Margin Guidence Table'!$J$1:$J$10000&gt;=ROUND($EY$3,0)),0),MATCH("DEFAULT_PA_PCT_SALES",'Margin Guidence Table'!$A$1:$AG$1,0))),0))</f>
        <v>0</v>
      </c>
      <c r="FP29" s="784">
        <f t="array" ref="FP29">IF('Customer Inputs'!$W$10="End",0,IFERROR(IF($FI29="SEGMENT",INDEX('Margin Guidence Table'!$A$1:$AG$10000,MATCH(1,('Margin Guidence Table'!$A$1:$A$10000=FG29)*('Margin Guidence Table'!$I$1:$I$10000&lt;=ROUND($EY$3,0))*('Margin Guidence Table'!$J$1:$J$10000&gt;=ROUND($EY$3,0)),0),MATCH("SELF_FUND_PCT_SALES",'Margin Guidence Table'!$A$1:$AG$1,0)),INDEX('Margin Guidence Table'!$A$1:$AG$10000,MATCH(1,('Margin Guidence Table'!$A$1:$A$10000=FG29)*('Margin Guidence Table'!$I$1:$I$10000&lt;=ROUND($EY$3,0))*('Margin Guidence Table'!$J$1:$J$10000&gt;=ROUND($EY$3,0)),0),MATCH("DEFAULT_SELF_FUND_PCT_SALES",'Margin Guidence Table'!$A$1:$AG$1,0))),0))</f>
        <v>0</v>
      </c>
      <c r="FQ29" s="784">
        <f t="array" ref="FQ29">IF('Customer Inputs'!$W$10="End",0,IF($EZ$2="Existing",IFERROR(SUMIFS('Existing Customers'!$V:$V,'Existing Customers'!$H:$H,$EX29,'Existing Customers'!$A:$A,$EY$1)/SUMIFS('Existing Customers'!$Q:$Q,'Existing Customers'!$H:$H,$EX29,'Existing Customers'!$A:$A,$EY$1),0),IFERROR(IF($FI29="SEGMENT",INDEX('Margin Guidence Table'!$A$1:$AG$10000,MATCH(1,('Margin Guidence Table'!$A$1:$A$10000=FG29)*('Margin Guidence Table'!$I$1:$I$10000&lt;=ROUND($EY$3,0))*('Margin Guidence Table'!$J$1:$J$10000&gt;=ROUND($EY$3,0)),0),MATCH("CIA_MEDIAN_MARGIN_GUIDENCE",'Margin Guidence Table'!$A$1:$AG$1,0)),INDEX('Margin Guidence Table'!$A$1:$AG$10000,MATCH(1,('Margin Guidence Table'!$A$1:$A$10000=FG29)*('Margin Guidence Table'!$I$1:$I$10000&lt;=ROUND($EY$3,0))*('Margin Guidence Table'!$J$1:$J$10000&gt;=ROUND($EY$3,0)),0),MATCH("DEFAULT_CIA_MEDIAN_MARGIN_GUIDENCE",'Margin Guidence Table'!$A$1:$AG$1,0))),0)))</f>
        <v>0</v>
      </c>
      <c r="FR29" s="126"/>
      <c r="FS29" s="18">
        <f t="array" ref="FS29">IF('Customer Inputs'!$W$11="End",0,IFERROR(IF($GF29="SEGMENT",INDEX('Margin Guidence Table'!$A$1:$AG$10000,MATCH(1,('Margin Guidence Table'!$A$1:$A$10000=$GD29)*('Margin Guidence Table'!$I$1:$I$10000&lt;=ROUND($FV$3,0))*('Margin Guidence Table'!$J$1:$J$10000&gt;=ROUND($FV$3,0)),0),MATCH("PCT_SALES",'Margin Guidence Table'!$A$1:$AG$1,0)),INDEX('Margin Guidence Table'!$A$1:$AG$10000,MATCH(1,('Margin Guidence Table'!$A$1:$A$10000=$GD29)*('Margin Guidence Table'!$I$1:$I$10000&lt;=ROUND($FV$3,0))*('Margin Guidence Table'!$J$1:$J$10000&gt;=ROUND($FV$3,0)),0),MATCH("DEFAULT_PCT_SALES",'Margin Guidence Table'!$A$1:$AG$1,0))),0))</f>
        <v>0</v>
      </c>
      <c r="FT29" s="297" t="e">
        <f t="shared" si="42"/>
        <v>#DIV/0!</v>
      </c>
      <c r="FU29" s="99" t="s">
        <v>90</v>
      </c>
      <c r="FV29" s="91">
        <f>IF('Customer Inputs'!$W$11="End",0,IFERROR(IF(AND($FV$2&lt;&gt;"Enter Spend&gt;&gt;&gt;",$FW$2="EXISTING"),SUMIFS('Existing Customers'!$Q:$Q,'Existing Customers'!$A:$A,$FV$1,'Existing Customers'!$H:$H,$FU29)*$FV$4,$FV$3*$FT29),0))</f>
        <v>0</v>
      </c>
      <c r="FW29" s="86">
        <f>IF('Customer Inputs'!$W$11="End",0,IFERROR(IF(AND($FV$2&lt;&gt;"Enter Spend&gt;&gt;&gt;",$FW$2="EXISTING"),SUMIFS('Existing Customers'!$N:$N,'Existing Customers'!$A:$A,$FV$1,'Existing Customers'!$H:$H,$FU29)*$FV$4,$FV29/$GG29),0))</f>
        <v>0</v>
      </c>
      <c r="FX29" s="92">
        <f>IF('Customer Inputs'!$W$11="End",0,IFERROR(IF(AND($FV$2&lt;&gt;"Enter Spend&gt;&gt;&gt;",$FW$2="EXISTING"),SUMIFS('Existing Customers'!$O:$O,'Existing Customers'!$H:$H,$FU29,'Existing Customers'!$A:$A,$FV$1)*$FV$4,$FW29*$FV$8),0))</f>
        <v>0</v>
      </c>
      <c r="FY29" s="92">
        <f>IF('Customer Inputs'!$W$11="End",0,IFERROR(IF(AND($FV$2&lt;&gt;"Enter Spend&gt;&gt;&gt;",$FW$2="EXISTING"),SUMIFS('Existing Customers'!$P:$P,'Existing Customers'!$A:$A,$FV$1,'Existing Customers'!$H:$H,$FU29)*$FV$4,$FV29/$GH29),0))</f>
        <v>0</v>
      </c>
      <c r="FZ29" s="93">
        <f>IF('Customer Inputs'!$W$11="End",0,IFERROR(IF(AND($FV$2&lt;&gt;"Enter Spend&gt;&gt;&gt;",$FW$2="EXISTING"),SUMIFS('Existing Customers'!$V:$V,'Existing Customers'!$H:$H,$FU29,'Existing Customers'!$A:$A,$FV$1)*$FV$4,0),0))</f>
        <v>0</v>
      </c>
      <c r="GA29" s="93">
        <f>IF('Customer Inputs'!$W$11="End",0,IFERROR(IF(AND($FV$2&lt;&gt;"Enter Spend&gt;&gt;&gt;",$FW$2="EXISTING"),SUMIFS('Existing Customers'!$R:$R,'Existing Customers'!$H:$H,$FU29,'Existing Customers'!$A:$A,$FV$1)*$FV$4,0),0))</f>
        <v>0</v>
      </c>
      <c r="GB29" s="780">
        <f>IF('Customer Inputs'!$W$11="End",0,IFERROR(IF(AND($FV$2&lt;&gt;"Enter Spend&gt;&gt;&gt;",$FW$2="EXISTING"),SUMIFS('Existing Customers'!$S:$S,'Existing Customers'!$H:$H,$FU29,'Existing Customers'!$A:$A,$FV$1)/SUMIFS('Existing Customers'!$Q:$Q,'Existing Customers'!$A:$A,$FV$1,'Existing Customers'!$H:$H,$FU29),GL29),0))</f>
        <v>0</v>
      </c>
      <c r="GC29" s="780">
        <f>IF('Customer Inputs'!$W$11="End",0,IFERROR(IF(AND($FV$2&lt;&gt;"Enter Spend&gt;&gt;&gt;",$FW$2="EXISTING"),SUMIFS('Existing Customers'!$U:$U,'Existing Customers'!$H:$H,$FU29,'Existing Customers'!$A:$A,$FV$1)/SUMIFS('Existing Customers'!$Q:$Q,'Existing Customers'!$A:$A,$FV$1,'Existing Customers'!$H:$H,$FU29),GM29),0))</f>
        <v>0</v>
      </c>
      <c r="GD29" s="783" t="e">
        <f>_xlfn.CONCAT('Customer Inputs'!$AH$11,"_",FU29)</f>
        <v>#N/A</v>
      </c>
      <c r="GE29" s="783">
        <f t="array" ref="GE29">IF('Customer Inputs'!$W$11="End",0,IFERROR(INDEX('Margin Guidence Table'!$A$1:$AG$10000,MATCH(1,('Margin Guidence Table'!$A$1:$A$10000=GD29)*('Margin Guidence Table'!$I$1:$I$10000&lt;=ROUND($FV$3,0))*('Margin Guidence Table'!$J$1:$J$10000&gt;=ROUND($FV$3,0)),0),MATCH("DATA_POINTS",'Margin Guidence Table'!$A$1:$AG$1,0)),0))</f>
        <v>0</v>
      </c>
      <c r="GF29" s="780" t="str">
        <f t="shared" si="43"/>
        <v>DEFAULT</v>
      </c>
      <c r="GG29" s="780">
        <f t="array" ref="GG29">IF('Customer Inputs'!$W$11="End",0,IFERROR(IF($GF29="SEGMENT",INDEX('Margin Guidence Table'!$A$1:$AG$10000,MATCH(1,('Margin Guidence Table'!$A$1:$A$10000=GD29)*('Margin Guidence Table'!$I$1:$I$10000&lt;=ROUND($FV$3,0))*('Margin Guidence Table'!$J$1:$J$10000&gt;=ROUND($FV$3,0)),0),MATCH("SALES_CASE",'Margin Guidence Table'!$A$1:$AG$1,0)),INDEX('Margin Guidence Table'!$A$1:$AG$10000,MATCH(1,('Margin Guidence Table'!$A$1:$A$10000=GD29)*('Margin Guidence Table'!$I$1:$I$10000&lt;=ROUND($FV$3,0))*('Margin Guidence Table'!$J$1:$J$10000&gt;=ROUND($FV$3,0)),0),MATCH("DEFAULT_SALES_CASE",'Margin Guidence Table'!$A$1:$AG$1,0))),0))</f>
        <v>0</v>
      </c>
      <c r="GH29" s="780">
        <f t="array" ref="GH29">IF('Customer Inputs'!$W$11="End",0,IFERROR(IF($GF29="SEGMENT",INDEX('Margin Guidence Table'!$A$1:$AG$10000,MATCH(1,('Margin Guidence Table'!$A$1:$A$10000=GD29)*('Margin Guidence Table'!$I$1:$I$10000&lt;=ROUND($FV$3,0))*('Margin Guidence Table'!$J$1:$J$10000&gt;=ROUND($FV$3,0)),0),MATCH("SALES_LBS",'Margin Guidence Table'!$A$1:$AG$1,0)),INDEX('Margin Guidence Table'!$A$1:$AG$10000,MATCH(1,('Margin Guidence Table'!$A$1:$A$10000=GD29)*('Margin Guidence Table'!$I$1:$I$10000&lt;=ROUND($FV$3,0))*('Margin Guidence Table'!$J$1:$J$10000&gt;=ROUND($FV$3,0)),0),MATCH("DEFAULT_SALES_LBS",'Margin Guidence Table'!$A$1:$AG$1,0))),0))</f>
        <v>0</v>
      </c>
      <c r="GI29" s="784">
        <f t="array" ref="GI29">IF('Customer Inputs'!$W$11="End",0,IFERROR(IF($GF29="SEGMENT",INDEX('Margin Guidence Table'!$A$1:$AG$10000,MATCH(1,('Margin Guidence Table'!$A$1:$A$10000=GD29)*('Margin Guidence Table'!$I$1:$I$10000&lt;=ROUND($FV$3,0))*('Margin Guidence Table'!$J$1:$J$10000&gt;=ROUND($FV$3,0)),0),MATCH("MDA_MIN_MARGIN_GUIDENCE",'Margin Guidence Table'!$A$1:$AG$1,0)),INDEX('Margin Guidence Table'!$A$1:$AG$10000,MATCH(1,('Margin Guidence Table'!$A$1:$A$10000=GD29)*('Margin Guidence Table'!$I$1:$I$10000&lt;=ROUND($FV$3,0))*('Margin Guidence Table'!$J$1:$J$10000&gt;=ROUND($FV$3,0)),0),MATCH("DEFAULT_MDA_MIN_MARGIN_GUIDENCE",'Margin Guidence Table'!$A$1:$AG$1,0))),0))</f>
        <v>0</v>
      </c>
      <c r="GJ29" s="784">
        <f t="array" ref="GJ29">IF('Customer Inputs'!$W$11="End",0,IFERROR(IF($GF29="SEGMENT",INDEX('Margin Guidence Table'!$A$1:$AG$10000,MATCH(1,('Margin Guidence Table'!$A$1:$A$10000=GD29)*('Margin Guidence Table'!$I$1:$I$10000&lt;=ROUND($FV$3,0))*('Margin Guidence Table'!$J$1:$J$10000&gt;=ROUND($FV$3,0)),0),MATCH("MDA_MEDIAN_MARGIN_GUIDENCE",'Margin Guidence Table'!$A$1:$AG$1,0)),INDEX('Margin Guidence Table'!$A$1:$AG$10000,MATCH(1,('Margin Guidence Table'!$A$1:$A$10000=GD29)*('Margin Guidence Table'!$I$1:$I$10000&lt;=ROUND($FV$3,0))*('Margin Guidence Table'!$J$1:$J$10000&gt;=ROUND($FV$3,0)),0),MATCH("DEFAULT_MDA_MEDIAN_MARGIN_GUIDENCE",'Margin Guidence Table'!$A$1:$AG$1,0))),0))</f>
        <v>0</v>
      </c>
      <c r="GK29" s="784">
        <f t="array" ref="GK29">IF('Customer Inputs'!$W$11="End",0,IFERROR(IF($GF29="SEGMENT",INDEX('Margin Guidence Table'!$A$1:$AG$10000,MATCH(1,('Margin Guidence Table'!$A$1:$A$10000=GD29)*('Margin Guidence Table'!$I$1:$I$10000&lt;=ROUND($FV$3,0))*('Margin Guidence Table'!$J$1:$J$10000&gt;=ROUND($FV$3,0)),0),MATCH("MDA_MAX_MARGIN_GUIDENCE",'Margin Guidence Table'!$A$1:$AG$1,0)),INDEX('Margin Guidence Table'!$A$1:$AG$10000,MATCH(1,('Margin Guidence Table'!$A$1:$A$10000=GD29)*('Margin Guidence Table'!$I$1:$I$10000&lt;=ROUND($FV$3,0))*('Margin Guidence Table'!$J$1:$J$10000&gt;=ROUND($FV$3,0)),0),MATCH("DEFAULT_MDA_MAX_MARGIN_GUIDENCE",'Margin Guidence Table'!$A$1:$AG$1,0))),0))</f>
        <v>0</v>
      </c>
      <c r="GL29" s="784">
        <f t="array" ref="GL29">IF('Customer Inputs'!$W$11="End",0,IFERROR(IF($GF29="SEGMENT",INDEX('Margin Guidence Table'!$A$1:$AG$10000,MATCH(1,('Margin Guidence Table'!$A$1:$A$10000=GD29)*('Margin Guidence Table'!$I$1:$I$10000&lt;=ROUND($FV$3,0))*('Margin Guidence Table'!$J$1:$J$10000&gt;=ROUND($FV$3,0)),0),MATCH("PA_PCT_SALES",'Margin Guidence Table'!$A$1:$AG$1,0)),INDEX('Margin Guidence Table'!$A$1:$AG$10000,MATCH(1,('Margin Guidence Table'!$A$1:$A$10000=GD29)*('Margin Guidence Table'!$I$1:$I$10000&lt;=ROUND($FV$3,0))*('Margin Guidence Table'!$J$1:$J$10000&gt;=ROUND($FV$3,0)),0),MATCH("DEFAULT_PA_PCT_SALES",'Margin Guidence Table'!$A$1:$AG$1,0))),0))</f>
        <v>0</v>
      </c>
      <c r="GM29" s="784">
        <f t="array" ref="GM29">IF('Customer Inputs'!$W$11="End",0,IFERROR(IF($GF29="SEGMENT",INDEX('Margin Guidence Table'!$A$1:$AG$10000,MATCH(1,('Margin Guidence Table'!$A$1:$A$10000=GD29)*('Margin Guidence Table'!$I$1:$I$10000&lt;=ROUND($FV$3,0))*('Margin Guidence Table'!$J$1:$J$10000&gt;=ROUND($FV$3,0)),0),MATCH("SELF_FUND_PCT_SALES",'Margin Guidence Table'!$A$1:$AG$1,0)),INDEX('Margin Guidence Table'!$A$1:$AG$10000,MATCH(1,('Margin Guidence Table'!$A$1:$A$10000=GD29)*('Margin Guidence Table'!$I$1:$I$10000&lt;=ROUND($FV$3,0))*('Margin Guidence Table'!$J$1:$J$10000&gt;=ROUND($FV$3,0)),0),MATCH("DEFAULT_SELF_FUND_PCT_SALES",'Margin Guidence Table'!$A$1:$AG$1,0))),0))</f>
        <v>0</v>
      </c>
      <c r="GN29" s="784">
        <f t="array" ref="GN29">IF('Customer Inputs'!$W$11="End",0,IF($FW$2="Existing",IFERROR(SUMIFS('Existing Customers'!$V:$V,'Existing Customers'!$H:$H,$FU29,'Existing Customers'!$A:$A,$FV$1)/SUMIFS('Existing Customers'!$Q:$Q,'Existing Customers'!$H:$H,$FU29,'Existing Customers'!$A:$A,$FV$1),0),IFERROR(IF($GF29="SEGMENT",INDEX('Margin Guidence Table'!$A$1:$AG$10000,MATCH(1,('Margin Guidence Table'!$A$1:$A$10000=GD29)*('Margin Guidence Table'!$I$1:$I$10000&lt;=ROUND($FV$3,0))*('Margin Guidence Table'!$J$1:$J$10000&gt;=ROUND($FV$3,0)),0),MATCH("CIA_MEDIAN_MARGIN_GUIDENCE",'Margin Guidence Table'!$A$1:$AG$1,0)),INDEX('Margin Guidence Table'!$A$1:$AG$10000,MATCH(1,('Margin Guidence Table'!$A$1:$A$10000=GD29)*('Margin Guidence Table'!$I$1:$I$10000&lt;=ROUND($FV$3,0))*('Margin Guidence Table'!$J$1:$J$10000&gt;=ROUND($FV$3,0)),0),MATCH("DEFAULT_CIA_MEDIAN_MARGIN_GUIDENCE",'Margin Guidence Table'!$A$1:$AG$1,0))),0)))</f>
        <v>0</v>
      </c>
      <c r="GO29" s="126"/>
      <c r="GP29" s="18">
        <f t="array" ref="GP29">IF('Customer Inputs'!$W$12="End",0,IFERROR(IF($HC29="SEGMENT",INDEX('Margin Guidence Table'!$A$1:$AG$10000,MATCH(1,('Margin Guidence Table'!$A$1:$A$10000=$HA29)*('Margin Guidence Table'!$I$1:$I$10000&lt;=ROUND($GS$3,0))*('Margin Guidence Table'!$J$1:$J$10000&gt;=ROUND($GS$3,0)),0),MATCH("PCT_SALES",'Margin Guidence Table'!$A$1:$AG$1,0)),INDEX('Margin Guidence Table'!$A$1:$AG$10000,MATCH(1,('Margin Guidence Table'!$A$1:$A$10000=$HA29)*('Margin Guidence Table'!$I$1:$I$10000&lt;=ROUND($GS$3,0))*('Margin Guidence Table'!$J$1:$J$10000&gt;=ROUND($GS$3,0)),0),MATCH("DEFAULT_PCT_SALES",'Margin Guidence Table'!$A$1:$AG$1,0))),0))</f>
        <v>0</v>
      </c>
      <c r="GQ29" s="297" t="e">
        <f t="shared" si="44"/>
        <v>#DIV/0!</v>
      </c>
      <c r="GR29" s="99" t="s">
        <v>90</v>
      </c>
      <c r="GS29" s="91">
        <f>IF('Customer Inputs'!$W$12="End",0,IFERROR(IF(AND($GS$2&lt;&gt;"Enter Spend&gt;&gt;&gt;",$GT$2="EXISTING"),SUMIFS('Existing Customers'!$Q:$Q,'Existing Customers'!$A:$A,$GS$1,'Existing Customers'!$H:$H,$GR29)*$GS$4,$GS$3*$GQ29),0))</f>
        <v>0</v>
      </c>
      <c r="GT29" s="86">
        <f>IF('Customer Inputs'!$W$12="End",0,IFERROR(IF(AND($GS$2&lt;&gt;"Enter Spend&gt;&gt;&gt;",$GT$2="EXISTING"),SUMIFS('Existing Customers'!$N:$N,'Existing Customers'!$A:$A,$GS$1,'Existing Customers'!$H:$H,$GR29)*$GS$4,$GS29/$HD29),0))</f>
        <v>0</v>
      </c>
      <c r="GU29" s="92">
        <f>IF('Customer Inputs'!$W$12="End",0,IFERROR(IF(AND($GS$2&lt;&gt;"Enter Spend&gt;&gt;&gt;",$GT$2="EXISTING"),SUMIFS('Existing Customers'!$O:$O,'Existing Customers'!$H:$H,$GR29,'Existing Customers'!$A:$A,$GS$1)*$GS$4,$GT29*$GS$8),0))</f>
        <v>0</v>
      </c>
      <c r="GV29" s="92">
        <f>IF('Customer Inputs'!$W$12="End",0,IFERROR(IF(AND($GS$2&lt;&gt;"Enter Spend&gt;&gt;&gt;",$GT$2="EXISTING"),SUMIFS('Existing Customers'!$P:$P,'Existing Customers'!$A:$A,$GS$1,'Existing Customers'!$H:$H,$GR29)*$GS$4,$GS29/$HE29),0))</f>
        <v>0</v>
      </c>
      <c r="GW29" s="93">
        <f>IF('Customer Inputs'!$W$12="End",0,IFERROR(IF(AND($GS$2&lt;&gt;"Enter Spend&gt;&gt;&gt;",$GT$2="EXISTING"),SUMIFS('Existing Customers'!$V:$V,'Existing Customers'!$H:$H,$GR29,'Existing Customers'!$A:$A,$GS$1)*$GS$4,0),0))</f>
        <v>0</v>
      </c>
      <c r="GX29" s="93">
        <f>IF('Customer Inputs'!$W$12="End",0,IFERROR(IF(AND($GS$2&lt;&gt;"Enter Spend&gt;&gt;&gt;",$GT$2="EXISTING"),SUMIFS('Existing Customers'!$R:$R,'Existing Customers'!$H:$H,$GR29,'Existing Customers'!$A:$A,$GS$1)*$GS$4,0),0))</f>
        <v>0</v>
      </c>
      <c r="GY29" s="780">
        <f>IF('Customer Inputs'!$W$12="End",0,IFERROR(IF(AND($GS$2&lt;&gt;"Enter Spend&gt;&gt;&gt;",$GT$2="EXISTING"),SUMIFS('Existing Customers'!$S:$S,'Existing Customers'!$H:$H,$GR29,'Existing Customers'!$A:$A,$GS$1)/SUMIFS('Existing Customers'!$Q:$Q,'Existing Customers'!$A:$A,$GS$1,'Existing Customers'!$H:$H,$GR29),HI29),0))</f>
        <v>0</v>
      </c>
      <c r="GZ29" s="780">
        <f>IF('Customer Inputs'!$W$12="End",0,IFERROR(IF(AND($GS$2&lt;&gt;"Enter Spend&gt;&gt;&gt;",$GT$2="EXISTING"),SUMIFS('Existing Customers'!$U:$U,'Existing Customers'!$H:$H,$GR29,'Existing Customers'!$A:$A,$GS$1)/SUMIFS('Existing Customers'!$Q:$Q,'Existing Customers'!$A:$A,$GS$1,'Existing Customers'!$H:$H,$GR29),HJ29),0))</f>
        <v>0</v>
      </c>
      <c r="HA29" s="783" t="e">
        <f>_xlfn.CONCAT('Customer Inputs'!$AH$12,"_",GR29)</f>
        <v>#N/A</v>
      </c>
      <c r="HB29" s="783">
        <f t="array" ref="HB29">IF('Customer Inputs'!$W$12="End",0,IFERROR(INDEX('Margin Guidence Table'!$A$1:$AG$10000,MATCH(1,('Margin Guidence Table'!$A$1:$A$10000=HA29)*('Margin Guidence Table'!$I$1:$I$10000&lt;=ROUND($GS$3,0))*('Margin Guidence Table'!$J$1:$J$10000&gt;=ROUND($GS$3,0)),0),MATCH("DATA_POINTS",'Margin Guidence Table'!$A$1:$AG$1,0)),0))</f>
        <v>0</v>
      </c>
      <c r="HC29" s="780" t="str">
        <f t="shared" si="45"/>
        <v>DEFAULT</v>
      </c>
      <c r="HD29" s="780">
        <f t="array" ref="HD29">IF('Customer Inputs'!$W$12="End",0,IFERROR(IF($HC29="SEGMENT",INDEX('Margin Guidence Table'!$A$1:$AG$10000,MATCH(1,('Margin Guidence Table'!$A$1:$A$10000=HA29)*('Margin Guidence Table'!$I$1:$I$10000&lt;=ROUND($GS$3,0))*('Margin Guidence Table'!$J$1:$J$10000&gt;=ROUND($GS$3,0)),0),MATCH("SALES_CASE",'Margin Guidence Table'!$A$1:$AG$1,0)),INDEX('Margin Guidence Table'!$A$1:$AG$10000,MATCH(1,('Margin Guidence Table'!$A$1:$A$10000=HA29)*('Margin Guidence Table'!$I$1:$I$10000&lt;=ROUND($GS$3,0))*('Margin Guidence Table'!$J$1:$J$10000&gt;=ROUND($GS$3,0)),0),MATCH("DEFAULT_SALES_CASE",'Margin Guidence Table'!$A$1:$AG$1,0))),0))</f>
        <v>0</v>
      </c>
      <c r="HE29" s="780">
        <f t="array" ref="HE29">IF('Customer Inputs'!$W$12="End",0,IFERROR(IF($HC29="SEGMENT",INDEX('Margin Guidence Table'!$A$1:$AG$10000,MATCH(1,('Margin Guidence Table'!$A$1:$A$10000=HA29)*('Margin Guidence Table'!$I$1:$I$10000&lt;=ROUND($GS$3,0))*('Margin Guidence Table'!$J$1:$J$10000&gt;=ROUND($GS$3,0)),0),MATCH("SALES_LBS",'Margin Guidence Table'!$A$1:$AG$1,0)),INDEX('Margin Guidence Table'!$A$1:$AG$10000,MATCH(1,('Margin Guidence Table'!$A$1:$A$10000=HA29)*('Margin Guidence Table'!$I$1:$I$10000&lt;=ROUND($GS$3,0))*('Margin Guidence Table'!$J$1:$J$10000&gt;=ROUND($GS$3,0)),0),MATCH("DEFAULT_SALES_LBS",'Margin Guidence Table'!$A$1:$AG$1,0))),0))</f>
        <v>0</v>
      </c>
      <c r="HF29" s="784">
        <f t="array" ref="HF29">IF('Customer Inputs'!$W$12="End",0,IFERROR(IF($HC29="SEGMENT",INDEX('Margin Guidence Table'!$A$1:$AG$10000,MATCH(1,('Margin Guidence Table'!$A$1:$A$10000=HA29)*('Margin Guidence Table'!$I$1:$I$10000&lt;=ROUND($GS$3,0))*('Margin Guidence Table'!$J$1:$J$10000&gt;=ROUND($GS$3,0)),0),MATCH("MDA_MIN_MARGIN_GUIDENCE",'Margin Guidence Table'!$A$1:$AG$1,0)),INDEX('Margin Guidence Table'!$A$1:$AG$10000,MATCH(1,('Margin Guidence Table'!$A$1:$A$10000=HA29)*('Margin Guidence Table'!$I$1:$I$10000&lt;=ROUND($GS$3,0))*('Margin Guidence Table'!$J$1:$J$10000&gt;=ROUND($GS$3,0)),0),MATCH("DEFAULT_MDA_MIN_MARGIN_GUIDENCE",'Margin Guidence Table'!$A$1:$AG$1,0))),0))</f>
        <v>0</v>
      </c>
      <c r="HG29" s="784">
        <f t="array" ref="HG29">IF('Customer Inputs'!$W$12="End",0,IFERROR(IF($HC29="SEGMENT",INDEX('Margin Guidence Table'!$A$1:$AG$10000,MATCH(1,('Margin Guidence Table'!$A$1:$A$10000=HA29)*('Margin Guidence Table'!$I$1:$I$10000&lt;=ROUND($GS$3,0))*('Margin Guidence Table'!$J$1:$J$10000&gt;=ROUND($GS$3,0)),0),MATCH("MDA_MEDIAN_MARGIN_GUIDENCE",'Margin Guidence Table'!$A$1:$AG$1,0)),INDEX('Margin Guidence Table'!$A$1:$AG$10000,MATCH(1,('Margin Guidence Table'!$A$1:$A$10000=HA29)*('Margin Guidence Table'!$I$1:$I$10000&lt;=ROUND($GS$3,0))*('Margin Guidence Table'!$J$1:$J$10000&gt;=ROUND($GS$3,0)),0),MATCH("DEFAULT_MDA_MEDIAN_MARGIN_GUIDENCE",'Margin Guidence Table'!$A$1:$AG$1,0))),0))</f>
        <v>0</v>
      </c>
      <c r="HH29" s="784">
        <f t="array" ref="HH29">IF('Customer Inputs'!$W$12="End",0,IFERROR(IF($HC29="SEGMENT",INDEX('Margin Guidence Table'!$A$1:$AG$10000,MATCH(1,('Margin Guidence Table'!$A$1:$A$10000=HA29)*('Margin Guidence Table'!$I$1:$I$10000&lt;=ROUND($GS$3,0))*('Margin Guidence Table'!$J$1:$J$10000&gt;=ROUND($GS$3,0)),0),MATCH("MDA_MAX_MARGIN_GUIDENCE",'Margin Guidence Table'!$A$1:$AG$1,0)),INDEX('Margin Guidence Table'!$A$1:$AG$10000,MATCH(1,('Margin Guidence Table'!$A$1:$A$10000=HA29)*('Margin Guidence Table'!$I$1:$I$10000&lt;=ROUND($GS$3,0))*('Margin Guidence Table'!$J$1:$J$10000&gt;=ROUND($GS$3,0)),0),MATCH("DEFAULT_MDA_MAX_MARGIN_GUIDENCE",'Margin Guidence Table'!$A$1:$AG$1,0))),0))</f>
        <v>0</v>
      </c>
      <c r="HI29" s="784">
        <f t="array" ref="HI29">IF('Customer Inputs'!$W$12="End",0,IFERROR(IF($HC29="SEGMENT",INDEX('Margin Guidence Table'!$A$1:$AG$10000,MATCH(1,('Margin Guidence Table'!$A$1:$A$10000=HA29)*('Margin Guidence Table'!$I$1:$I$10000&lt;=ROUND($GS$3,0))*('Margin Guidence Table'!$J$1:$J$10000&gt;=ROUND($GS$3,0)),0),MATCH("PA_PCT_SALES",'Margin Guidence Table'!$A$1:$AG$1,0)),INDEX('Margin Guidence Table'!$A$1:$AG$10000,MATCH(1,('Margin Guidence Table'!$A$1:$A$10000=HA29)*('Margin Guidence Table'!$I$1:$I$10000&lt;=ROUND($GS$3,0))*('Margin Guidence Table'!$J$1:$J$10000&gt;=ROUND($GS$3,0)),0),MATCH("DEFAULT_PA_PCT_SALES",'Margin Guidence Table'!$A$1:$AG$1,0))),0))</f>
        <v>0</v>
      </c>
      <c r="HJ29" s="784">
        <f t="array" ref="HJ29">IF('Customer Inputs'!$W$12="End",0,IFERROR(IF($HC29="SEGMENT",INDEX('Margin Guidence Table'!$A$1:$AG$10000,MATCH(1,('Margin Guidence Table'!$A$1:$A$10000=HA29)*('Margin Guidence Table'!$I$1:$I$10000&lt;=ROUND($GS$3,0))*('Margin Guidence Table'!$J$1:$J$10000&gt;=ROUND($GS$3,0)),0),MATCH("SELF_FUND_PCT_SALES",'Margin Guidence Table'!$A$1:$AG$1,0)),INDEX('Margin Guidence Table'!$A$1:$AG$10000,MATCH(1,('Margin Guidence Table'!$A$1:$A$10000=HA29)*('Margin Guidence Table'!$I$1:$I$10000&lt;=ROUND($GS$3,0))*('Margin Guidence Table'!$J$1:$J$10000&gt;=ROUND($GS$3,0)),0),MATCH("DEFAULT_SELF_FUND_PCT_SALES",'Margin Guidence Table'!$A$1:$AG$1,0))),0))</f>
        <v>0</v>
      </c>
      <c r="HK29" s="784">
        <f t="array" ref="HK29">IF('Customer Inputs'!$W$12="End",0,IF($GT$2="Existing",IFERROR(SUMIFS('Existing Customers'!$V:$V,'Existing Customers'!$H:$H,$GR29,'Existing Customers'!$A:$A,$GS$1)/SUMIFS('Existing Customers'!$Q:$Q,'Existing Customers'!$H:$H,$GR29,'Existing Customers'!$A:$A,$GS$1),0),IFERROR(IF($HC29="SEGMENT",INDEX('Margin Guidence Table'!$A$1:$AG$10000,MATCH(1,('Margin Guidence Table'!$A$1:$A$10000=HA29)*('Margin Guidence Table'!$I$1:$I$10000&lt;=ROUND($GS$3,0))*('Margin Guidence Table'!$J$1:$J$10000&gt;=ROUND($GS$3,0)),0),MATCH("CIA_MEDIAN_MARGIN_GUIDENCE",'Margin Guidence Table'!$A$1:$AG$1,0)),INDEX('Margin Guidence Table'!$A$1:$AG$10000,MATCH(1,('Margin Guidence Table'!$A$1:$A$10000=HA29)*('Margin Guidence Table'!$I$1:$I$10000&lt;=ROUND($GS$3,0))*('Margin Guidence Table'!$J$1:$J$10000&gt;=ROUND($GS$3,0)),0),MATCH("DEFAULT_CIA_MEDIAN_MARGIN_GUIDENCE",'Margin Guidence Table'!$A$1:$AG$1,0))),0)))</f>
        <v>0</v>
      </c>
      <c r="HL29" s="126"/>
      <c r="HM29" s="18">
        <f t="array" ref="HM29">IF('Customer Inputs'!$W$13="End",0,IFERROR(IF($HZ29="SEGMENT",INDEX('Margin Guidence Table'!$A$1:$AG$10000,MATCH(1,('Margin Guidence Table'!$A$1:$A$10000=$HX29)*('Margin Guidence Table'!$I$1:$I$10000&lt;=ROUND($HP$3,0))*('Margin Guidence Table'!$J$1:$J$10000&gt;=ROUND($HP$3,0)),0),MATCH("PCT_SALES",'Margin Guidence Table'!$A$1:$AG$1,0)),INDEX('Margin Guidence Table'!$A$1:$AG$10000,MATCH(1,('Margin Guidence Table'!$A$1:$A$10000=$HX29)*('Margin Guidence Table'!$I$1:$I$10000&lt;=ROUND($HP$3,0))*('Margin Guidence Table'!$J$1:$J$10000&gt;=ROUND($HP$3,0)),0),MATCH("DEFAULT_PCT_SALES",'Margin Guidence Table'!$A$1:$AG$1,0))),0))</f>
        <v>0</v>
      </c>
      <c r="HN29" s="297" t="e">
        <f t="shared" si="46"/>
        <v>#DIV/0!</v>
      </c>
      <c r="HO29" s="99" t="s">
        <v>90</v>
      </c>
      <c r="HP29" s="91">
        <f>IF('Customer Inputs'!$W$13="End",0,IFERROR(IF(AND($HP$2&lt;&gt;"Enter Spend&gt;&gt;&gt;",$HQ$2="EXISTING"),SUMIFS('Existing Customers'!$Q:$Q,'Existing Customers'!$A:$A,$HP$1,'Existing Customers'!$H:$H,$HO29)*$HP$4,$HP$3*$HN29),0))</f>
        <v>0</v>
      </c>
      <c r="HQ29" s="86">
        <f>IF('Customer Inputs'!$W$13="End",0,IFERROR(IF(AND($HP$2&lt;&gt;"Enter Spend&gt;&gt;&gt;",$HQ$2="EXISTING"),SUMIFS('Existing Customers'!$N:$N,'Existing Customers'!$A:$A,$HP$1,'Existing Customers'!$H:$H,$HO29)*$HP$4,$HP29/$IA29),0))</f>
        <v>0</v>
      </c>
      <c r="HR29" s="92">
        <f>IF('Customer Inputs'!$W$13="End",0,IFERROR(IF(AND($HP$2&lt;&gt;"Enter Spend&gt;&gt;&gt;",$HQ$2="EXISTING"),SUMIFS('Existing Customers'!$O:$O,'Existing Customers'!$H:$H,$HO29,'Existing Customers'!$A:$A,$HP$1)*$HP$4,$HQ29*$HP$8),0))</f>
        <v>0</v>
      </c>
      <c r="HS29" s="92">
        <f>IF('Customer Inputs'!$W$13="End",0,IFERROR(IF(AND($HP$2&lt;&gt;"Enter Spend&gt;&gt;&gt;",$HQ$2="EXISTING"),SUMIFS('Existing Customers'!$P:$P,'Existing Customers'!$A:$A,$HP$1,'Existing Customers'!$H:$H,$HO29)*$HP$4,$HP29/$IB29),0))</f>
        <v>0</v>
      </c>
      <c r="HT29" s="93">
        <f>IF('Customer Inputs'!$W$13="End",0,IFERROR(IF(AND($HP$2&lt;&gt;"Enter Spend&gt;&gt;&gt;",$HQ$2="EXISTING"),SUMIFS('Existing Customers'!$V:$V,'Existing Customers'!$H:$H,$HO29,'Existing Customers'!$A:$A,$HP$1)*$HP$4,0),0))</f>
        <v>0</v>
      </c>
      <c r="HU29" s="93">
        <f>IF('Customer Inputs'!$W$13="End",0,IFERROR(IF(AND($HP$2&lt;&gt;"Enter Spend&gt;&gt;&gt;",$HQ$2="EXISTING"),SUMIFS('Existing Customers'!$R:$R,'Existing Customers'!$H:$H,$HO29,'Existing Customers'!$A:$A,$HP$1)*$HP$4,0),0))</f>
        <v>0</v>
      </c>
      <c r="HV29" s="780">
        <f>IF('Customer Inputs'!$W$13="End",0,IFERROR(IF(AND($HP$2&lt;&gt;"Enter Spend&gt;&gt;&gt;",$HQ$2="EXISTING"),SUMIFS('Existing Customers'!$S:$S,'Existing Customers'!$H:$H,$HO29,'Existing Customers'!$A:$A,$HP$1)/SUMIFS('Existing Customers'!$Q:$Q,'Existing Customers'!$A:$A,$HP$1,'Existing Customers'!$H:$H,$HO29),IF29),0))</f>
        <v>0</v>
      </c>
      <c r="HW29" s="780">
        <f>IF('Customer Inputs'!$W$13="End",0,IFERROR(IF(AND($HP$2&lt;&gt;"Enter Spend&gt;&gt;&gt;",$HQ$2="EXISTING"),SUMIFS('Existing Customers'!$U:$U,'Existing Customers'!$H:$H,$HO29,'Existing Customers'!$A:$A,$HP$1)/SUMIFS('Existing Customers'!$Q:$Q,'Existing Customers'!$A:$A,$HP$1,'Existing Customers'!$H:$H,$HO29),IG29),0))</f>
        <v>0</v>
      </c>
      <c r="HX29" s="783" t="e">
        <f>_xlfn.CONCAT('Customer Inputs'!$AH$13,"_",HO29)</f>
        <v>#N/A</v>
      </c>
      <c r="HY29" s="783">
        <f t="array" ref="HY29">IF('Customer Inputs'!$W$13="End",0,IFERROR(INDEX('Margin Guidence Table'!$A$1:$AG$10000,MATCH(1,('Margin Guidence Table'!$A$1:$A$10000=HX29)*('Margin Guidence Table'!$I$1:$I$10000&lt;=ROUND($HP$3,0))*('Margin Guidence Table'!$J$1:$J$10000&gt;=ROUND($HP$3,0)),0),MATCH("DATA_POINTS",'Margin Guidence Table'!$A$1:$AG$1,0)),0))</f>
        <v>0</v>
      </c>
      <c r="HZ29" s="780" t="str">
        <f t="shared" si="47"/>
        <v>DEFAULT</v>
      </c>
      <c r="IA29" s="780">
        <f t="array" ref="IA29">IF('Customer Inputs'!$W$13="End",0,IFERROR(IF($HZ29="SEGMENT",INDEX('Margin Guidence Table'!$A$1:$AG$10000,MATCH(1,('Margin Guidence Table'!$A$1:$A$10000=HX29)*('Margin Guidence Table'!$I$1:$I$10000&lt;=ROUND($HP$3,0))*('Margin Guidence Table'!$J$1:$J$10000&gt;=ROUND($HP$3,0)),0),MATCH("SALES_CASE",'Margin Guidence Table'!$A$1:$AG$1,0)),INDEX('Margin Guidence Table'!$A$1:$AG$10000,MATCH(1,('Margin Guidence Table'!$A$1:$A$10000=HX29)*('Margin Guidence Table'!$I$1:$I$10000&lt;=ROUND($HP$3,0))*('Margin Guidence Table'!$J$1:$J$10000&gt;=ROUND($HP$3,0)),0),MATCH("DEFAULT_SALES_CASE",'Margin Guidence Table'!$A$1:$AG$1,0))),0))</f>
        <v>0</v>
      </c>
      <c r="IB29" s="780">
        <f t="array" ref="IB29">IF('Customer Inputs'!$W$13="End",0,IFERROR(IF($HZ29="SEGMENT",INDEX('Margin Guidence Table'!$A$1:$AG$10000,MATCH(1,('Margin Guidence Table'!$A$1:$A$10000=HX29)*('Margin Guidence Table'!$I$1:$I$10000&lt;=ROUND($HP$3,0))*('Margin Guidence Table'!$J$1:$J$10000&gt;=ROUND($HP$3,0)),0),MATCH("SALES_LBS",'Margin Guidence Table'!$A$1:$AG$1,0)),INDEX('Margin Guidence Table'!$A$1:$AG$10000,MATCH(1,('Margin Guidence Table'!$A$1:$A$10000=HX29)*('Margin Guidence Table'!$I$1:$I$10000&lt;=ROUND($HP$3,0))*('Margin Guidence Table'!$J$1:$J$10000&gt;=ROUND($HP$3,0)),0),MATCH("DEFAULT_SALES_LBS",'Margin Guidence Table'!$A$1:$AG$1,0))),0))</f>
        <v>0</v>
      </c>
      <c r="IC29" s="784">
        <f t="array" ref="IC29">IF('Customer Inputs'!$W$13="End",0,IFERROR(IF($HZ29="SEGMENT",INDEX('Margin Guidence Table'!$A$1:$AG$10000,MATCH(1,('Margin Guidence Table'!$A$1:$A$10000=HX29)*('Margin Guidence Table'!$I$1:$I$10000&lt;=ROUND($HP$3,0))*('Margin Guidence Table'!$J$1:$J$10000&gt;=ROUND($HP$3,0)),0),MATCH("MDA_MIN_MARGIN_GUIDENCE",'Margin Guidence Table'!$A$1:$AG$1,0)),INDEX('Margin Guidence Table'!$A$1:$AG$10000,MATCH(1,('Margin Guidence Table'!$A$1:$A$10000=HX29)*('Margin Guidence Table'!$I$1:$I$10000&lt;=ROUND($HP$3,0))*('Margin Guidence Table'!$J$1:$J$10000&gt;=ROUND($HP$3,0)),0),MATCH("DEFAULT_MDA_MIN_MARGIN_GUIDENCE",'Margin Guidence Table'!$A$1:$AG$1,0))),0))</f>
        <v>0</v>
      </c>
      <c r="ID29" s="784">
        <f t="array" ref="ID29">IF('Customer Inputs'!$W$13="End",0,IFERROR(IF($HZ29="SEGMENT",INDEX('Margin Guidence Table'!$A$1:$AG$10000,MATCH(1,('Margin Guidence Table'!$A$1:$A$10000=HX29)*('Margin Guidence Table'!$I$1:$I$10000&lt;=ROUND($HP$3,0))*('Margin Guidence Table'!$J$1:$J$10000&gt;=ROUND($HP$3,0)),0),MATCH("MDA_MEDIAN_MARGIN_GUIDENCE",'Margin Guidence Table'!$A$1:$AG$1,0)),INDEX('Margin Guidence Table'!$A$1:$AG$10000,MATCH(1,('Margin Guidence Table'!$A$1:$A$10000=HX29)*('Margin Guidence Table'!$I$1:$I$10000&lt;=ROUND($HP$3,0))*('Margin Guidence Table'!$J$1:$J$10000&gt;=ROUND($HP$3,0)),0),MATCH("DEFAULT_MDA_MEDIAN_MARGIN_GUIDENCE",'Margin Guidence Table'!$A$1:$AG$1,0))),0))</f>
        <v>0</v>
      </c>
      <c r="IE29" s="784">
        <f t="array" ref="IE29">IF('Customer Inputs'!$W$13="End",0,IFERROR(IF($HZ29="SEGMENT",INDEX('Margin Guidence Table'!$A$1:$AG$10000,MATCH(1,('Margin Guidence Table'!$A$1:$A$10000=HX29)*('Margin Guidence Table'!$I$1:$I$10000&lt;=ROUND($HP$3,0))*('Margin Guidence Table'!$J$1:$J$10000&gt;=ROUND($HP$3,0)),0),MATCH("MDA_MAX_MARGIN_GUIDENCE",'Margin Guidence Table'!$A$1:$AG$1,0)),INDEX('Margin Guidence Table'!$A$1:$AG$10000,MATCH(1,('Margin Guidence Table'!$A$1:$A$10000=HX29)*('Margin Guidence Table'!$I$1:$I$10000&lt;=ROUND($HP$3,0))*('Margin Guidence Table'!$J$1:$J$10000&gt;=ROUND($HP$3,0)),0),MATCH("DEFAULT_MDA_MAX_MARGIN_GUIDENCE",'Margin Guidence Table'!$A$1:$AG$1,0))),0))</f>
        <v>0</v>
      </c>
      <c r="IF29" s="784">
        <f t="array" ref="IF29">IF('Customer Inputs'!$W$13="End",0,IFERROR(IF($HZ29="SEGMENT",INDEX('Margin Guidence Table'!$A$1:$AG$10000,MATCH(1,('Margin Guidence Table'!$A$1:$A$10000=HX29)*('Margin Guidence Table'!$I$1:$I$10000&lt;=ROUND($HP$3,0))*('Margin Guidence Table'!$J$1:$J$10000&gt;=ROUND($HP$3,0)),0),MATCH("PA_PCT_SALES",'Margin Guidence Table'!$A$1:$AG$1,0)),INDEX('Margin Guidence Table'!$A$1:$AG$10000,MATCH(1,('Margin Guidence Table'!$A$1:$A$10000=HX29)*('Margin Guidence Table'!$I$1:$I$10000&lt;=ROUND($HP$3,0))*('Margin Guidence Table'!$J$1:$J$10000&gt;=ROUND($HP$3,0)),0),MATCH("DEFAULT_PA_PCT_SALES",'Margin Guidence Table'!$A$1:$AG$1,0))),0))</f>
        <v>0</v>
      </c>
      <c r="IG29" s="784">
        <f t="array" ref="IG29">IF('Customer Inputs'!$W$13="End",0,IFERROR(IF($HZ29="SEGMENT",INDEX('Margin Guidence Table'!$A$1:$AG$10000,MATCH(1,('Margin Guidence Table'!$A$1:$A$10000=HX29)*('Margin Guidence Table'!$I$1:$I$10000&lt;=ROUND($HP$3,0))*('Margin Guidence Table'!$J$1:$J$10000&gt;=ROUND($HP$3,0)),0),MATCH("SELF_FUND_PCT_SALES",'Margin Guidence Table'!$A$1:$AG$1,0)),INDEX('Margin Guidence Table'!$A$1:$AG$10000,MATCH(1,('Margin Guidence Table'!$A$1:$A$10000=HX29)*('Margin Guidence Table'!$I$1:$I$10000&lt;=ROUND($HP$3,0))*('Margin Guidence Table'!$J$1:$J$10000&gt;=ROUND($HP$3,0)),0),MATCH("DEFAULT_SELF_FUND_PCT_SALES",'Margin Guidence Table'!$A$1:$AG$1,0))),0))</f>
        <v>0</v>
      </c>
      <c r="IH29" s="784">
        <f t="array" ref="IH29">IF('Customer Inputs'!$W$13="End",0,IF($HQ$2="Existing",IFERROR(SUMIFS('Existing Customers'!$V:$V,'Existing Customers'!$H:$H,$HO29,'Existing Customers'!$A:$A,$HP$1)/SUMIFS('Existing Customers'!$Q:$Q,'Existing Customers'!$H:$H,$HO29,'Existing Customers'!$A:$A,$HP$1),0),IFERROR(IF($HZ29="SEGMENT",INDEX('Margin Guidence Table'!$A$1:$AG$10000,MATCH(1,('Margin Guidence Table'!$A$1:$A$10000=HX29)*('Margin Guidence Table'!$I$1:$I$10000&lt;=ROUND($HP$3,0))*('Margin Guidence Table'!$J$1:$J$10000&gt;=ROUND($HP$3,0)),0),MATCH("CIA_MEDIAN_MARGIN_GUIDENCE",'Margin Guidence Table'!$A$1:$AG$1,0)),INDEX('Margin Guidence Table'!$A$1:$AG$10000,MATCH(1,('Margin Guidence Table'!$A$1:$A$10000=HX29)*('Margin Guidence Table'!$I$1:$I$10000&lt;=ROUND($HP$3,0))*('Margin Guidence Table'!$J$1:$J$10000&gt;=ROUND($HP$3,0)),0),MATCH("DEFAULT_CIA_MEDIAN_MARGIN_GUIDENCE",'Margin Guidence Table'!$A$1:$AG$1,0))),0)))</f>
        <v>0</v>
      </c>
      <c r="II29" s="126"/>
      <c r="IJ29" s="18">
        <f t="array" ref="IJ29">IF('Customer Inputs'!$W$14="End",0,IFERROR(IF($IW29="SEGMENT",INDEX('Margin Guidence Table'!$A:$AC,MATCH(1,('Margin Guidence Table'!$A:$A=$IU29)*('Margin Guidence Table'!$H:$H&lt;=ROUND($IM$3,0))*('Margin Guidence Table'!$G:$G&gt;=ROUND($IM$3,0)),0),MATCH("PCT_SALES",'Margin Guidence Table'!$A$1:$AG$1,0)),INDEX('Margin Guidence Table'!$A:$AC,MATCH(1,('Margin Guidence Table'!$A:$A=$IU29)*('Margin Guidence Table'!$H:$H&lt;=ROUND($IM$3,0))*('Margin Guidence Table'!$G:$G&gt;=ROUND($IM$3,0)),0),MATCH("DEFAULT_PCT_SALES",'Margin Guidence Table'!$A$1:$AG$1,0))),0))</f>
        <v>0</v>
      </c>
      <c r="IK29" s="297" t="e">
        <f t="shared" si="48"/>
        <v>#DIV/0!</v>
      </c>
      <c r="IL29" s="99" t="s">
        <v>90</v>
      </c>
      <c r="IM29" s="91">
        <f>IF('Customer Inputs'!$W$14="End",0,IFERROR(IF(AND($IM$2&lt;&gt;"Enter Spend&gt;&gt;&gt;",$IN$2="EXISTING"),SUMIFS('Existing Customers'!$Q:$Q,'Existing Customers'!$A:$A,$IM$1,'Existing Customers'!$H:$H,$IL29)*$IM$4,$IM$3*$IK29),0))</f>
        <v>0</v>
      </c>
      <c r="IN29" s="86">
        <f>IF('Customer Inputs'!$W$14="End",0,IFERROR(IF(AND($IM$2&lt;&gt;"Enter Spend&gt;&gt;&gt;",$IN$2="EXISTING"),SUMIFS('Existing Customers'!$N:$N,'Existing Customers'!$A:$A,$IM$1,'Existing Customers'!$H:$H,$IL29)*$IM$4,$IM29/$IX29),0))</f>
        <v>0</v>
      </c>
      <c r="IO29" s="92">
        <f>IF('Customer Inputs'!$W$14="End",0,IFERROR(IF(AND($IM$2&lt;&gt;"Enter Spend&gt;&gt;&gt;",$IN$2="EXISTING"),SUMIFS('Existing Customers'!$O:$O,'Existing Customers'!$H:$H,$IL29,'Existing Customers'!$A:$A,$IM$1)*$IM$4,$IN29*$IM$8),0))</f>
        <v>0</v>
      </c>
      <c r="IP29" s="92">
        <f>IF('Customer Inputs'!$W$14="End",0,IFERROR(IF(AND($IM$2&lt;&gt;"Enter Spend&gt;&gt;&gt;",$IN$2="EXISTING"),SUMIFS('Existing Customers'!$P:$P,'Existing Customers'!$A:$A,$IM$1,'Existing Customers'!$H:$H,$IL29)*$IM$4,$IM29/$IY29),0))</f>
        <v>0</v>
      </c>
      <c r="IQ29" s="303">
        <f>IF('Customer Inputs'!$W$14="End",0,IFERROR(IF(AND($IM$2&lt;&gt;"Enter Spend&gt;&gt;&gt;",$IN$2="EXISTING"),SUMIFS('Existing Customers'!$V:$V,'Existing Customers'!$H:$H,$IL29,'Existing Customers'!$A:$A,$IM$1)*$IM$4,0),0))</f>
        <v>0</v>
      </c>
      <c r="IR29" s="93">
        <f>IF('Customer Inputs'!$W$14="End",0,IFERROR(IF(AND($IM$2&lt;&gt;"Enter Spend&gt;&gt;&gt;",$IN$2="EXISTING"),SUMIFS('Existing Customers'!$R:$R,'Existing Customers'!$H:$H,$IL29,'Existing Customers'!$A:$A,$IM$1)*$IM$4,0),0))</f>
        <v>0</v>
      </c>
      <c r="IS29" s="780">
        <f>IF('Customer Inputs'!$W$14="End",0,IFERROR(IF(AND($IM$2&lt;&gt;"Enter Spend&gt;&gt;&gt;",$IN$2="EXISTING"),SUMIFS('Existing Customers'!$S:$S,'Existing Customers'!$H:$H,$IL29,'Existing Customers'!$A:$A,$IM$1)/SUMIFS('Existing Customers'!$Q:$Q,'Existing Customers'!$A:$A,$IM$1,'Existing Customers'!$H:$H,$IL29),JC29),0))</f>
        <v>0</v>
      </c>
      <c r="IT29" s="780">
        <f>IF('Customer Inputs'!$W$14="End",0,IFERROR(IF(AND($IM$2&lt;&gt;"Enter Spend&gt;&gt;&gt;",$IN$2="EXISTING"),SUMIFS('Existing Customers'!$U:$U,'Existing Customers'!$H:$H,$IL29,'Existing Customers'!$A:$A,$IM$1)/SUMIFS('Existing Customers'!$Q:$Q,'Existing Customers'!$A:$A,$IM$1,'Existing Customers'!$H:$H,$IL29),JD29),0))</f>
        <v>0</v>
      </c>
      <c r="IU29" s="783" t="e">
        <f>_xlfn.CONCAT('Customer Inputs'!$AH$14,"_",IL29)</f>
        <v>#N/A</v>
      </c>
      <c r="IV29" s="783">
        <f t="array" ref="IV29">IF('Customer Inputs'!$W$14="End",0,IFERROR(INDEX('Margin Guidence Table'!$A$1:$AG$10000,MATCH(1,('Margin Guidence Table'!$A$1:$A$10000=IU29)*('Margin Guidence Table'!$I$1:$I$10000&lt;=ROUND($IM$3,0))*('Margin Guidence Table'!$J$1:$J$10000&gt;=ROUND($IM$3,0)),0),MATCH("DATA_POINTS",'Margin Guidence Table'!$A$1:$AG$1,0)),0))</f>
        <v>0</v>
      </c>
      <c r="IW29" s="780" t="str">
        <f t="shared" si="49"/>
        <v>DEFAULT</v>
      </c>
      <c r="IX29" s="780">
        <f t="array" ref="IX29">IF('Customer Inputs'!$W$14="End",0,IFERROR(IF($IW29="SEGMENT",INDEX('Margin Guidence Table'!$A$1:$AG$10000,MATCH(1,('Margin Guidence Table'!$A$1:$A$10000=IU29)*('Margin Guidence Table'!$I$1:$I$10000&lt;=ROUND($IM$3,0))*('Margin Guidence Table'!$J$1:$J$10000&gt;=ROUND($IM$3,0)),0),MATCH("SALES_CASE",'Margin Guidence Table'!$A$1:$AG$1,0)),INDEX('Margin Guidence Table'!$A$1:$AG$10000,MATCH(1,('Margin Guidence Table'!$A$1:$A$10000=IU29)*('Margin Guidence Table'!$I$1:$I$10000&lt;=ROUND($IM$3,0))*('Margin Guidence Table'!$J$1:$J$10000&gt;=ROUND($IM$3,0)),0),MATCH("DEFAULT_SALES_CASE",'Margin Guidence Table'!$A$1:$AG$1,0))),0))</f>
        <v>0</v>
      </c>
      <c r="IY29" s="780">
        <f t="array" ref="IY29">IF('Customer Inputs'!$W$14="End",0,IFERROR(IF($IW29="SEGMENT",INDEX('Margin Guidence Table'!$A$1:$AG$10000,MATCH(1,('Margin Guidence Table'!$A$1:$A$10000=IU29)*('Margin Guidence Table'!$I$1:$I$10000&lt;=ROUND($IM$3,0))*('Margin Guidence Table'!$J$1:$J$10000&gt;=ROUND($IM$3,0)),0),MATCH("SALES_LBS",'Margin Guidence Table'!$A$1:$AG$1,0)),INDEX('Margin Guidence Table'!$A$1:$AG$10000,MATCH(1,('Margin Guidence Table'!$A$1:$A$10000=IU29)*('Margin Guidence Table'!$I$1:$I$10000&lt;=ROUND($IM$3,0))*('Margin Guidence Table'!$J$1:$J$10000&gt;=ROUND($IM$3,0)),0),MATCH("DEFAULT_SALES_LBS",'Margin Guidence Table'!$A$1:$AG$1,0))),0))</f>
        <v>0</v>
      </c>
      <c r="IZ29" s="784">
        <f t="array" ref="IZ29">IF('Customer Inputs'!$W$14="End",0,IFERROR(IF($IW29="SEGMENT",INDEX('Margin Guidence Table'!$A$1:$AG$10000,MATCH(1,('Margin Guidence Table'!$A$1:$A$10000=IU29)*('Margin Guidence Table'!$I$1:$I$10000&lt;=ROUND($IM$3,0))*('Margin Guidence Table'!$J$1:$J$10000&gt;=ROUND($IM$3,0)),0),MATCH("MDA_MIN_MARGIN_GUIDENCE",'Margin Guidence Table'!$A$1:$AG$1,0)),INDEX('Margin Guidence Table'!$A$1:$AG$10000,MATCH(1,('Margin Guidence Table'!$A$1:$A$10000=IU29)*('Margin Guidence Table'!$I$1:$I$10000&lt;=ROUND($IM$3,0))*('Margin Guidence Table'!$J$1:$J$10000&gt;=ROUND($IM$3,0)),0),MATCH("DEFAULT_MDA_MIN_MARGIN_GUIDENCE",'Margin Guidence Table'!$A$1:$AG$1,0))),0))</f>
        <v>0</v>
      </c>
      <c r="JA29" s="784">
        <f t="array" ref="JA29">IF('Customer Inputs'!$W$14="End",0,IFERROR(IF($IW29="SEGMENT",INDEX('Margin Guidence Table'!$A$1:$AG$10000,MATCH(1,('Margin Guidence Table'!$A$1:$A$10000=IU29)*('Margin Guidence Table'!$I$1:$I$10000&lt;=ROUND($IM$3,0))*('Margin Guidence Table'!$J$1:$J$10000&gt;=ROUND($IM$3,0)),0),MATCH("MDA_MEDIAN_MARGIN_GUIDENCE",'Margin Guidence Table'!$A$1:$AG$1,0)),INDEX('Margin Guidence Table'!$A$1:$AG$10000,MATCH(1,('Margin Guidence Table'!$A$1:$A$10000=IU29)*('Margin Guidence Table'!$I$1:$I$10000&lt;=ROUND($IM$3,0))*('Margin Guidence Table'!$J$1:$J$10000&gt;=ROUND($IM$3,0)),0),MATCH("DEFAULT_MDA_MEDIAN_MARGIN_GUIDENCE",'Margin Guidence Table'!$A$1:$AG$1,0))),0))</f>
        <v>0</v>
      </c>
      <c r="JB29" s="784">
        <f t="array" ref="JB29">IF('Customer Inputs'!$W$14="End",0,IFERROR(IF($IW29="SEGMENT",INDEX('Margin Guidence Table'!$A$1:$AG$10000,MATCH(1,('Margin Guidence Table'!$A$1:$A$10000=IU29)*('Margin Guidence Table'!$I$1:$I$10000&lt;=ROUND($IM$3,0))*('Margin Guidence Table'!$J$1:$J$10000&gt;=ROUND($IM$3,0)),0),MATCH("MDA_MAX_MARGIN_GUIDENCE",'Margin Guidence Table'!$A$1:$AG$1,0)),INDEX('Margin Guidence Table'!$A$1:$AG$10000,MATCH(1,('Margin Guidence Table'!$A$1:$A$10000=IU29)*('Margin Guidence Table'!$I$1:$I$10000&lt;=ROUND($IM$3,0))*('Margin Guidence Table'!$J$1:$J$10000&gt;=ROUND($IM$3,0)),0),MATCH("DEFAULT_MDA_MAX_MARGIN_GUIDENCE",'Margin Guidence Table'!$A$1:$AG$1,0))),0))</f>
        <v>0</v>
      </c>
      <c r="JC29" s="784">
        <f t="array" ref="JC29">IF('Customer Inputs'!$W$14="End",0,IFERROR(IF($IW29="SEGMENT",INDEX('Margin Guidence Table'!$A$1:$AG$10000,MATCH(1,('Margin Guidence Table'!$A$1:$A$10000=IU29)*('Margin Guidence Table'!$I$1:$I$10000&lt;=ROUND($IM$3,0))*('Margin Guidence Table'!$J$1:$J$10000&gt;=ROUND($IM$3,0)),0),MATCH("PA_PCT_SALES",'Margin Guidence Table'!$A$1:$AG$1,0)),INDEX('Margin Guidence Table'!$A$1:$AG$10000,MATCH(1,('Margin Guidence Table'!$A$1:$A$10000=IU29)*('Margin Guidence Table'!$I$1:$I$10000&lt;=ROUND($IM$3,0))*('Margin Guidence Table'!$J$1:$J$10000&gt;=ROUND($IM$3,0)),0),MATCH("DEFAULT_PA_PCT_SALES",'Margin Guidence Table'!$A$1:$AG$1,0))),0))</f>
        <v>0</v>
      </c>
      <c r="JD29" s="784">
        <f t="array" ref="JD29">IF('Customer Inputs'!$W$14="End",0,IFERROR(IF($IW29="SEGMENT",INDEX('Margin Guidence Table'!$A$1:$AG$10000,MATCH(1,('Margin Guidence Table'!$A$1:$A$10000=IU29)*('Margin Guidence Table'!$I$1:$I$10000&lt;=ROUND($IM$3,0))*('Margin Guidence Table'!$J$1:$J$10000&gt;=ROUND($IM$3,0)),0),MATCH("SELF_FUND_PCT_SALES",'Margin Guidence Table'!$A$1:$AG$1,0)),INDEX('Margin Guidence Table'!$A$1:$AG$10000,MATCH(1,('Margin Guidence Table'!$A$1:$A$10000=IU29)*('Margin Guidence Table'!$I$1:$I$10000&lt;=ROUND($IM$3,0))*('Margin Guidence Table'!$J$1:$J$10000&gt;=ROUND($IM$3,0)),0),MATCH("DEFAULT_SELF_FUND_PCT_SALES",'Margin Guidence Table'!$A$1:$AG$1,0))),0))</f>
        <v>0</v>
      </c>
      <c r="JE29" s="784">
        <f t="array" ref="JE29">IF('Customer Inputs'!$W$14="End",0,IF($IN$2="Existing",IFERROR(SUMIFS('Existing Customers'!$V:$V,'Existing Customers'!$H:$H,$IL29,'Existing Customers'!$A:$A,$IM$1)/SUMIFS('Existing Customers'!$Q:$Q,'Existing Customers'!$H:$H,$IL29,'Existing Customers'!$A:$A,$IM$1),0),IFERROR(IF($IW29="SEGMENT",INDEX('Margin Guidence Table'!$A$1:$AG$10000,MATCH(1,('Margin Guidence Table'!$A$1:$A$10000=IU29)*('Margin Guidence Table'!$I$1:$I$10000&lt;=ROUND($IM$3,0))*('Margin Guidence Table'!$J$1:$J$10000&gt;=ROUND($IM$3,0)),0),MATCH("CIA_MEDIAN_MARGIN_GUIDENCE",'Margin Guidence Table'!$A$1:$AG$1,0)),INDEX('Margin Guidence Table'!$A$1:$AG$10000,MATCH(1,('Margin Guidence Table'!$A$1:$A$10000=IU29)*('Margin Guidence Table'!$I$1:$I$10000&lt;=ROUND($IM$3,0))*('Margin Guidence Table'!$J$1:$J$10000&gt;=ROUND($IM$3,0)),0),MATCH("DEFAULT_CIA_MEDIAN_MARGIN_GUIDENCE",'Margin Guidence Table'!$A$1:$AG$1,0))),0)))</f>
        <v>0</v>
      </c>
      <c r="JF29" s="126"/>
      <c r="JG29" s="18">
        <f t="array" ref="JG29">IF('Customer Inputs'!$W$15="End",0,IFERROR(IF($JT29="SEGMENT",INDEX('Margin Guidence Table'!$A$1:$AG$10000,MATCH(1,('Margin Guidence Table'!$A$1:$A$10000=$JR29)*('Margin Guidence Table'!$I$1:$I$10000&lt;=ROUND($JJ$3,0))*('Margin Guidence Table'!$J$1:$J$10000&gt;=ROUND($JJ$3,0)),0),MATCH("PCT_SALES",'Margin Guidence Table'!$A$1:$AG$1,0)),INDEX('Margin Guidence Table'!$A$1:$AG$10000,MATCH(1,('Margin Guidence Table'!$A$1:$A$10000=$JR29)*('Margin Guidence Table'!$I$1:$I$10000&lt;=ROUND($JJ$3,0))*('Margin Guidence Table'!$J$1:$J$10000&gt;=ROUND($JJ$3,0)),0),MATCH("DEFAULT_PCT_SALES",'Margin Guidence Table'!$A$1:$AG$1,0))),0))</f>
        <v>0</v>
      </c>
      <c r="JH29" s="297" t="e">
        <f t="shared" si="50"/>
        <v>#DIV/0!</v>
      </c>
      <c r="JI29" s="99" t="s">
        <v>90</v>
      </c>
      <c r="JJ29" s="91">
        <f>IF('Customer Inputs'!$W$15="End",0,IFERROR(IF(AND($JJ$2&lt;&gt;"Enter Spend&gt;&gt;&gt;",$JK$2="EXISTING"),SUMIFS('Existing Customers'!$Q:$Q,'Existing Customers'!$A:$A,$JJ$1,'Existing Customers'!$H:$H,$JI29)*$JJ$4,$JJ$3*$JH29),0))</f>
        <v>0</v>
      </c>
      <c r="JK29" s="86">
        <f>IF('Customer Inputs'!$W$15="End",0,IFERROR(IF(AND($JJ$2&lt;&gt;"Enter Spend&gt;&gt;&gt;",$JK$2="EXISTING"),SUMIFS('Existing Customers'!$N:$N,'Existing Customers'!$A:$A,$JJ$1,'Existing Customers'!$H:$H,$JI29)*$JJ$4,$JJ29/$JU29),0))</f>
        <v>0</v>
      </c>
      <c r="JL29" s="92">
        <f>IF('Customer Inputs'!$W$15="End",0,IFERROR(IF(AND($JJ$2&lt;&gt;"Enter Spend&gt;&gt;&gt;",$JK$2="EXISTING"),SUMIFS('Existing Customers'!$O:$O,'Existing Customers'!$H:$H,$JI29,'Existing Customers'!$A:$A,$JJ$1)*$JJ$4,$JK29*$JJ$8),0))</f>
        <v>0</v>
      </c>
      <c r="JM29" s="92">
        <f>IF('Customer Inputs'!$W$15="End",0,IFERROR(IF(AND($JJ$2&lt;&gt;"Enter Spend&gt;&gt;&gt;",$JK$2="EXISTING"),SUMIFS('Existing Customers'!$P:$P,'Existing Customers'!$A:$A,$JJ$1,'Existing Customers'!$H:$H,$JI29)*$JJ$4,$JJ29/$JV29),0))</f>
        <v>0</v>
      </c>
      <c r="JN29" s="303">
        <f>IF('Customer Inputs'!$W$15="End",0,IFERROR(IF(AND($JJ$2&lt;&gt;"Enter Spend&gt;&gt;&gt;",$JK$2="EXISTING"),SUMIFS('Existing Customers'!$V:$V,'Existing Customers'!$H:$H,$JI29,'Existing Customers'!$A:$A,$JJ$1)*$JJ$4,0),0))</f>
        <v>0</v>
      </c>
      <c r="JO29" s="93">
        <f>IF('Customer Inputs'!$W$15="End",0,IFERROR(IF(AND($JJ$2&lt;&gt;"Enter Spend&gt;&gt;&gt;",$JK$2="EXISTING"),SUMIFS('Existing Customers'!$R:$R,'Existing Customers'!$H:$H,$JI29,'Existing Customers'!$A:$A,$JJ$1)*$JJ$4,0),0))</f>
        <v>0</v>
      </c>
      <c r="JP29" s="780">
        <f>IF('Customer Inputs'!$W$15="End",0,IFERROR(IF(AND($JJ$2&lt;&gt;"Enter Spend&gt;&gt;&gt;",$JK$2="EXISTING"),SUMIFS('Existing Customers'!$S:$S,'Existing Customers'!$H:$H,$JI29,'Existing Customers'!$A:$A,$JJ$1)/SUMIFS('Existing Customers'!$Q:$Q,'Existing Customers'!$A:$A,$JJ$1,'Existing Customers'!$H:$H,$JI29),JZ29),0))</f>
        <v>0</v>
      </c>
      <c r="JQ29" s="780">
        <f>IF('Customer Inputs'!$W$15="End",0,IFERROR(IF(AND($JJ$2&lt;&gt;"Enter Spend&gt;&gt;&gt;",$JK$2="EXISTING"),SUMIFS('Existing Customers'!$U:$U,'Existing Customers'!$H:$H,$JI29,'Existing Customers'!$A:$A,$JJ$1)/SUMIFS('Existing Customers'!$Q:$Q,'Existing Customers'!$A:$A,$JJ$1,'Existing Customers'!$H:$H,$JI29),KA29),0))</f>
        <v>0</v>
      </c>
      <c r="JR29" s="783" t="e">
        <f>_xlfn.CONCAT('Customer Inputs'!$AH$15,"_",JI29)</f>
        <v>#N/A</v>
      </c>
      <c r="JS29" s="783">
        <f t="array" ref="JS29">IF('Customer Inputs'!$W$15="End",0,IFERROR(INDEX('Margin Guidence Table'!$A$1:$AG$10000,MATCH(1,('Margin Guidence Table'!$A$1:$A$10000=JR29)*('Margin Guidence Table'!$I$1:$I$10000&lt;=ROUND($JJ$3,0))*('Margin Guidence Table'!$J$1:$J$10000&gt;=ROUND($JJ$3,0)),0),MATCH("DATA_POINTS",'Margin Guidence Table'!$A$1:$AG$1,0)),0))</f>
        <v>0</v>
      </c>
      <c r="JT29" s="780" t="str">
        <f t="shared" si="51"/>
        <v>DEFAULT</v>
      </c>
      <c r="JU29" s="780">
        <f t="array" ref="JU29">IF('Customer Inputs'!$W$15="End",0,IFERROR(IF($JT29="SEGMENT",INDEX('Margin Guidence Table'!$A$1:$AG$10000,MATCH(1,('Margin Guidence Table'!$A$1:$A$10000=JR29)*('Margin Guidence Table'!$I$1:$I$10000&lt;=ROUND($JJ$3,0))*('Margin Guidence Table'!$J$1:$J$10000&gt;=ROUND($JJ$3,0)),0),MATCH("SALES_CASE",'Margin Guidence Table'!$A$1:$AG$1,0)),INDEX('Margin Guidence Table'!$A$1:$AG$10000,MATCH(1,('Margin Guidence Table'!$A$1:$A$10000=JR29)*('Margin Guidence Table'!$I$1:$I$10000&lt;=ROUND($JJ$3,0))*('Margin Guidence Table'!$J$1:$J$10000&gt;=ROUND($JJ$3,0)),0),MATCH("DEFAULT_SALES_CASE",'Margin Guidence Table'!$A$1:$AG$1,0))),0))</f>
        <v>0</v>
      </c>
      <c r="JV29" s="780">
        <f t="array" ref="JV29">IF('Customer Inputs'!$W$15="End",0,IFERROR(IF($JT29="SEGMENT",INDEX('Margin Guidence Table'!$A$1:$AG$10000,MATCH(1,('Margin Guidence Table'!$A$1:$A$10000=JR29)*('Margin Guidence Table'!$I$1:$I$10000&lt;=ROUND($JJ$3,0))*('Margin Guidence Table'!$J$1:$J$10000&gt;=ROUND($JJ$3,0)),0),MATCH("SALES_LBS",'Margin Guidence Table'!$A$1:$AG$1,0)),INDEX('Margin Guidence Table'!$A$1:$AG$10000,MATCH(1,('Margin Guidence Table'!$A$1:$A$10000=JR29)*('Margin Guidence Table'!$I$1:$I$10000&lt;=ROUND($JJ$3,0))*('Margin Guidence Table'!$J$1:$J$10000&gt;=ROUND($JJ$3,0)),0),MATCH("DEFAULT_SALES_LBS",'Margin Guidence Table'!$A$1:$AG$1,0))),0))</f>
        <v>0</v>
      </c>
      <c r="JW29" s="784">
        <f t="array" ref="JW29">IF('Customer Inputs'!$W$15="End",0,IFERROR(IF($JT29="SEGMENT",INDEX('Margin Guidence Table'!$A$1:$AG$10000,MATCH(1,('Margin Guidence Table'!$A$1:$A$10000=JR29)*('Margin Guidence Table'!$I$1:$I$10000&lt;=ROUND($JJ$3,0))*('Margin Guidence Table'!$J$1:$J$10000&gt;=ROUND($JJ$3,0)),0),MATCH("MDA_MIN_MARGIN_GUIDENCE",'Margin Guidence Table'!$A$1:$AG$1,0)),INDEX('Margin Guidence Table'!$A$1:$AG$10000,MATCH(1,('Margin Guidence Table'!$A$1:$A$10000=JR29)*('Margin Guidence Table'!$I$1:$I$10000&lt;=ROUND($JJ$3,0))*('Margin Guidence Table'!$J$1:$J$10000&gt;=ROUND($JJ$3,0)),0),MATCH("DEFAULT_MDA_MIN_MARGIN_GUIDENCE",'Margin Guidence Table'!$A$1:$AG$1,0))),0))</f>
        <v>0</v>
      </c>
      <c r="JX29" s="784">
        <f t="array" ref="JX29">IF('Customer Inputs'!$W$15="End",0,IFERROR(IF($JT29="SEGMENT",INDEX('Margin Guidence Table'!$A$1:$AG$10000,MATCH(1,('Margin Guidence Table'!$A$1:$A$10000=JR29)*('Margin Guidence Table'!$I$1:$I$10000&lt;=ROUND($JJ$3,0))*('Margin Guidence Table'!$J$1:$J$10000&gt;=ROUND($JJ$3,0)),0),MATCH("MDA_MEDIAN_MARGIN_GUIDENCE",'Margin Guidence Table'!$A$1:$AG$1,0)),INDEX('Margin Guidence Table'!$A$1:$AG$10000,MATCH(1,('Margin Guidence Table'!$A$1:$A$10000=JR29)*('Margin Guidence Table'!$I$1:$I$10000&lt;=ROUND($JJ$3,0))*('Margin Guidence Table'!$J$1:$J$10000&gt;=ROUND($JJ$3,0)),0),MATCH("DEFAULT_MDA_MEDIAN_MARGIN_GUIDENCE",'Margin Guidence Table'!$A$1:$AG$1,0))),0))</f>
        <v>0</v>
      </c>
      <c r="JY29" s="784">
        <f t="array" ref="JY29">IF('Customer Inputs'!$W$15="End",0,IFERROR(IF($JT29="SEGMENT",INDEX('Margin Guidence Table'!$A$1:$AG$10000,MATCH(1,('Margin Guidence Table'!$A$1:$A$10000=JR29)*('Margin Guidence Table'!$I$1:$I$10000&lt;=ROUND($JJ$3,0))*('Margin Guidence Table'!$J$1:$J$10000&gt;=ROUND($JJ$3,0)),0),MATCH("MDA_MAX_MARGIN_GUIDENCE",'Margin Guidence Table'!$A$1:$AG$1,0)),INDEX('Margin Guidence Table'!$A$1:$AG$10000,MATCH(1,('Margin Guidence Table'!$A$1:$A$10000=JR29)*('Margin Guidence Table'!$I$1:$I$10000&lt;=ROUND($JJ$3,0))*('Margin Guidence Table'!$J$1:$J$10000&gt;=ROUND($JJ$3,0)),0),MATCH("DEFAULT_MDA_MAX_MARGIN_GUIDENCE",'Margin Guidence Table'!$A$1:$AG$1,0))),0))</f>
        <v>0</v>
      </c>
      <c r="JZ29" s="784">
        <f t="array" ref="JZ29">IF('Customer Inputs'!$W$15="End",0,IFERROR(IF($JT29="SEGMENT",INDEX('Margin Guidence Table'!$A$1:$AG$10000,MATCH(1,('Margin Guidence Table'!$A$1:$A$10000=JR29)*('Margin Guidence Table'!$I$1:$I$10000&lt;=ROUND($JJ$3,0))*('Margin Guidence Table'!$J$1:$J$10000&gt;=ROUND($JJ$3,0)),0),MATCH("PA_PCT_SALES",'Margin Guidence Table'!$A$1:$AG$1,0)),INDEX('Margin Guidence Table'!$A$1:$AG$10000,MATCH(1,('Margin Guidence Table'!$A$1:$A$10000=JR29)*('Margin Guidence Table'!$I$1:$I$10000&lt;=ROUND($JJ$3,0))*('Margin Guidence Table'!$J$1:$J$10000&gt;=ROUND($JJ$3,0)),0),MATCH("DEFAULT_PA_PCT_SALES",'Margin Guidence Table'!$A$1:$AG$1,0))),0))</f>
        <v>0</v>
      </c>
      <c r="KA29" s="784" cm="1">
        <f t="array" ref="KA29">IF('Customer Inputs'!$W$15="End",0,IFERROR(IF($JT29="SEGMENT",INDEX('Margin Guidence Table'!$A$1:$AG$10000,MATCH(1,('Margin Guidence Table'!$A$1:$A$10000=JR29)*('Margin Guidence Table'!$I$1:$I$10000&lt;=ROUND($JJ$3,0))*('Margin Guidence Table'!$J$1:$J$10000&gt;=ROUND($JJ$3,0)),0),MATCH("SELF_FUND_PCT_SALES",'Margin Guidence Table'!$A$1:$AG$1,0)),INDEX('Margin Guidence Table'!$A$1:$AG$10000,MATCH(1,('Margin Guidence Table'!$A$1:$A$10000=JR29)*('Margin Guidence Table'!$I$1:$I$10000&lt;=ROUND($JJ$3,0))*('Margin Guidence Table'!$J$1:$J$10000&gt;=ROUND($JJ$3,0)),0),MATCH("DEFAULT_SELF_FUND_PCT_SALES",'Margin Guidence Table'!$A$1:$AG$1,0))),0))</f>
        <v>0</v>
      </c>
      <c r="KB29" s="784">
        <f t="array" ref="KB29">IF('Customer Inputs'!$W$15="End",0,IF($JK$2="Existing",IFERROR(SUMIFS('Existing Customers'!$V:$V,'Existing Customers'!$H:$H,$JI29,'Existing Customers'!$A:$A,$JJ$1)/SUMIFS('Existing Customers'!$Q:$Q,'Existing Customers'!$H:$H,$JI29,'Existing Customers'!$A:$A,$JJ$1),0),IFERROR(IF($JT29="SEGMENT",INDEX('Margin Guidence Table'!$A$1:$AG$10000,MATCH(1,('Margin Guidence Table'!$A$1:$A$10000=JR29)*('Margin Guidence Table'!$I$1:$I$10000&lt;=ROUND($JJ$3,0))*('Margin Guidence Table'!$J$1:$J$10000&gt;=ROUND($JJ$3,0)),0),MATCH("CIA_MEDIAN_MARGIN_GUIDENCE",'Margin Guidence Table'!$A$1:$AG$1,0)),INDEX('Margin Guidence Table'!$A$1:$AG$10000,MATCH(1,('Margin Guidence Table'!$A$1:$A$10000=JR29)*('Margin Guidence Table'!$I$1:$I$10000&lt;=ROUND($JJ$3,0))*('Margin Guidence Table'!$J$1:$J$10000&gt;=ROUND($JJ$3,0)),0),MATCH("DEFAULT_CIA_MEDIAN_MARGIN_GUIDENCE",'Margin Guidence Table'!$A$1:$AG$1,0))),0)))</f>
        <v>0</v>
      </c>
      <c r="KC29" s="784"/>
      <c r="KD29" s="18">
        <f t="array" ref="KD29">IF('Customer Inputs'!$W$16="End",0,IFERROR(IF($KQ29="SEGMENT",INDEX('Margin Guidence Table'!$A$1:$AG$10000,MATCH(1,('Margin Guidence Table'!$A$1:$A$10000=$KO29)*('Margin Guidence Table'!$I$1:$I$10000&lt;=ROUND($KG$3,0))*('Margin Guidence Table'!$J$1:$J$10000&gt;=ROUND($KG$3,0)),0),MATCH("PCT_SALES",'Margin Guidence Table'!$A$1:$AG$1,0)),INDEX('Margin Guidence Table'!$A$1:$AG$10000,MATCH(1,('Margin Guidence Table'!$A$1:$A$10000=$KO29)*('Margin Guidence Table'!$I$1:$I$10000&lt;=ROUND($KG$3,0))*('Margin Guidence Table'!$J$1:$J$10000&gt;=ROUND($KG$3,0)),0),MATCH("DEFAULT_PCT_SALES",'Margin Guidence Table'!$A$1:$AG$1,0))),0))</f>
        <v>0</v>
      </c>
      <c r="KE29" s="1713" t="e">
        <f t="shared" si="52"/>
        <v>#DIV/0!</v>
      </c>
      <c r="KF29" s="99" t="s">
        <v>90</v>
      </c>
      <c r="KG29" s="91">
        <f>IF('Customer Inputs'!$W$16="End",0,IFERROR(IF(AND($KG$2&lt;&gt;"Enter Spend&gt;&gt;&gt;",$KH$2="EXISTING"),SUMIFS('Existing Customers'!$Q:$Q,'Existing Customers'!$A:$A,$KG$1,'Existing Customers'!$H:$H,$KF29)*$KG$4,$KG$3*$KE29),0))</f>
        <v>0</v>
      </c>
      <c r="KH29" s="86">
        <f>IF('Customer Inputs'!$W$16="End",0,IFERROR(IF(AND($KG$2&lt;&gt;"Enter Spend&gt;&gt;&gt;",$KH$2="EXISTING"),SUMIFS('Existing Customers'!$N:$N,'Existing Customers'!$A:$A,$KG$1,'Existing Customers'!$H:$H,$KF29)*$KG$4,$KG29/$KR29),0))</f>
        <v>0</v>
      </c>
      <c r="KI29" s="92">
        <f>IF('Customer Inputs'!$W$16="End",0,IFERROR(IF(AND($KG$2&lt;&gt;"Enter Spend&gt;&gt;&gt;",$KH$2="EXISTING"),SUMIFS('Existing Customers'!$O:$O,'Existing Customers'!$H:$H,$KF29,'Existing Customers'!$A:$A,$KG$1)*$KG$4,$KH29*$KG$8),0))</f>
        <v>0</v>
      </c>
      <c r="KJ29" s="92">
        <f>IF('Customer Inputs'!$W$16="End",0,IFERROR(IF(AND($KG$2&lt;&gt;"Enter Spend&gt;&gt;&gt;",$KH$2="EXISTING"),SUMIFS('Existing Customers'!$P:$P,'Existing Customers'!$A:$A,$KG$1,'Existing Customers'!$H:$H,$KF29)*$KG$4,$KG29/$KS29),0))</f>
        <v>0</v>
      </c>
      <c r="KK29" s="303">
        <f>IF('Customer Inputs'!$W$16="End",0,IFERROR(IF(AND($KG$2&lt;&gt;"Enter Spend&gt;&gt;&gt;",$KH$2="EXISTING"),SUMIFS('Existing Customers'!$V:$V,'Existing Customers'!$H:$H,$KF29,'Existing Customers'!$A:$A,$KG$1)*$KG$4,0),0))</f>
        <v>0</v>
      </c>
      <c r="KL29" s="93">
        <f>IF('Customer Inputs'!$W$16="End",0,IFERROR(IF(AND($KG$2&lt;&gt;"Enter Spend&gt;&gt;&gt;",$KH$2="EXISTING"),SUMIFS('Existing Customers'!$R:$R,'Existing Customers'!$H:$H,$KF29,'Existing Customers'!$A:$A,$KG$1)*$KG$4,0),0))</f>
        <v>0</v>
      </c>
      <c r="KM29" s="780">
        <f>IF('Customer Inputs'!$W$16="End",0,IFERROR(IF(AND($KG$2&lt;&gt;"Enter Spend&gt;&gt;&gt;",$KH$2="EXISTING"),SUMIFS('Existing Customers'!$S:$S,'Existing Customers'!$H:$H,$KF29,'Existing Customers'!$A:$A,$KG$1)/SUMIFS('Existing Customers'!$Q:$Q,'Existing Customers'!$A:$A,$KG$1,'Existing Customers'!$H:$H,$KF29),KW29),0))</f>
        <v>0</v>
      </c>
      <c r="KN29" s="780">
        <f>IF('Customer Inputs'!$W$16="End",0,IFERROR(IF(AND($KG$2&lt;&gt;"Enter Spend&gt;&gt;&gt;",$KH$2="EXISTING"),SUMIFS('Existing Customers'!$U:$U,'Existing Customers'!$H:$H,$KF29,'Existing Customers'!$A:$A,$KG$1)/SUMIFS('Existing Customers'!$Q:$Q,'Existing Customers'!$A:$A,$KG$1,'Existing Customers'!$H:$H,$KF29),KX29),0))</f>
        <v>0</v>
      </c>
      <c r="KO29" s="783" t="e">
        <f>_xlfn.CONCAT('Customer Inputs'!$AH$16,"_",KF29)</f>
        <v>#N/A</v>
      </c>
      <c r="KP29" s="783">
        <f t="array" ref="KP29">IF('Customer Inputs'!$W$16="End",0,IFERROR(INDEX('Margin Guidence Table'!$A$1:$AG$10000,MATCH(1,('Margin Guidence Table'!$A$1:$A$10000=KO29)*('Margin Guidence Table'!$I$1:$I$10000&lt;=ROUND($KG$3,0))*('Margin Guidence Table'!$J$1:$J$10000&gt;=ROUND($KG$3,0)),0),MATCH("DATA_POINTS",'Margin Guidence Table'!$A$1:$AG$1,0)),0))</f>
        <v>0</v>
      </c>
      <c r="KQ29" s="780" t="str">
        <f t="shared" si="53"/>
        <v>DEFAULT</v>
      </c>
      <c r="KR29" s="780">
        <f t="array" ref="KR29">IF('Customer Inputs'!$W$16="End",0,IFERROR(IF($KQ29="SEGMENT",INDEX('Margin Guidence Table'!$A$1:$AG$10000,MATCH(1,('Margin Guidence Table'!$A$1:$A$10000=KO29)*('Margin Guidence Table'!$I$1:$I$10000&lt;=ROUND($KG$3,0))*('Margin Guidence Table'!$J$1:$J$10000&gt;=ROUND($KG$3,0)),0),MATCH("SALES_CASE",'Margin Guidence Table'!$A$1:$AG$1,0)),INDEX('Margin Guidence Table'!$A$1:$AG$10000,MATCH(1,('Margin Guidence Table'!$A$1:$A$10000=KO29)*('Margin Guidence Table'!$I$1:$I$10000&lt;=ROUND($KG$3,0))*('Margin Guidence Table'!$J$1:$J$10000&gt;=ROUND($KG$3,0)),0),MATCH("DEFAULT_SALES_CASE",'Margin Guidence Table'!$A$1:$AG$1,0))),0))</f>
        <v>0</v>
      </c>
      <c r="KS29" s="780">
        <f t="array" ref="KS29">IF('Customer Inputs'!$W$16="End",0,IFERROR(IF($KQ29="SEGMENT",INDEX('Margin Guidence Table'!$A$1:$AG$10000,MATCH(1,('Margin Guidence Table'!$A$1:$A$10000=KO29)*('Margin Guidence Table'!$I$1:$I$10000&lt;=ROUND($KG$3,0))*('Margin Guidence Table'!$J$1:$J$10000&gt;=ROUND($KG$3,0)),0),MATCH("SALES_LBS",'Margin Guidence Table'!$A$1:$AG$1,0)),INDEX('Margin Guidence Table'!$A$1:$AG$10000,MATCH(1,('Margin Guidence Table'!$A$1:$A$10000=KO29)*('Margin Guidence Table'!$I$1:$I$10000&lt;=ROUND($KG$3,0))*('Margin Guidence Table'!$J$1:$J$10000&gt;=ROUND($KG$3,0)),0),MATCH("DEFAULT_SALES_LBS",'Margin Guidence Table'!$A$1:$AG$1,0))),0))</f>
        <v>0</v>
      </c>
      <c r="KT29" s="784">
        <f t="array" ref="KT29">IF('Customer Inputs'!$W$16="End",0,IFERROR(IF($KQ29="SEGMENT",INDEX('Margin Guidence Table'!$A$1:$AG$10000,MATCH(1,('Margin Guidence Table'!$A$1:$A$10000=KO29)*('Margin Guidence Table'!$I$1:$I$10000&lt;=ROUND($KG$3,0))*('Margin Guidence Table'!$J$1:$J$10000&gt;=ROUND($KG$3,0)),0),MATCH("MDA_MIN_MARGIN_GUIDENCE",'Margin Guidence Table'!$A$1:$AG$1,0)),INDEX('Margin Guidence Table'!$A$1:$AG$10000,MATCH(1,('Margin Guidence Table'!$A$1:$A$10000=KO29)*('Margin Guidence Table'!$I$1:$I$10000&lt;=ROUND($KG$3,0))*('Margin Guidence Table'!$J$1:$J$10000&gt;=ROUND($KG$3,0)),0),MATCH("DEFAULT_MDA_MIN_MARGIN_GUIDENCE",'Margin Guidence Table'!$A$1:$AG$1,0))),0))</f>
        <v>0</v>
      </c>
      <c r="KU29" s="784">
        <f t="array" ref="KU29">IF('Customer Inputs'!$W$16="End",0,IFERROR(IF($KQ29="SEGMENT",INDEX('Margin Guidence Table'!$A$1:$AG$10000,MATCH(1,('Margin Guidence Table'!$A$1:$A$10000=KO29)*('Margin Guidence Table'!$I$1:$I$10000&lt;=ROUND($KG$3,0))*('Margin Guidence Table'!$J$1:$J$10000&gt;=ROUND($KG$3,0)),0),MATCH("MDA_MEDIAN_MARGIN_GUIDENCE",'Margin Guidence Table'!$A$1:$AG$1,0)),INDEX('Margin Guidence Table'!$A$1:$AG$10000,MATCH(1,('Margin Guidence Table'!$A$1:$A$10000=KO29)*('Margin Guidence Table'!$I$1:$I$10000&lt;=ROUND($KG$3,0))*('Margin Guidence Table'!$J$1:$J$10000&gt;=ROUND($KG$3,0)),0),MATCH("DEFAULT_MDA_MEDIAN_MARGIN_GUIDENCE",'Margin Guidence Table'!$A$1:$AG$1,0))),0))</f>
        <v>0</v>
      </c>
      <c r="KV29" s="784">
        <f t="array" ref="KV29">IF('Customer Inputs'!$W$16="End",0,IFERROR(IF($KQ29="SEGMENT",INDEX('Margin Guidence Table'!$A$1:$AG$10000,MATCH(1,('Margin Guidence Table'!$A$1:$A$10000=KO29)*('Margin Guidence Table'!$I$1:$I$10000&lt;=ROUND($KG$3,0))*('Margin Guidence Table'!$J$1:$J$10000&gt;=ROUND($KG$3,0)),0),MATCH("MDA_MAX_MARGIN_GUIDENCE",'Margin Guidence Table'!$A$1:$AG$1,0)),INDEX('Margin Guidence Table'!$A$1:$AG$10000,MATCH(1,('Margin Guidence Table'!$A$1:$A$10000=KO29)*('Margin Guidence Table'!$I$1:$I$10000&lt;=ROUND($KG$3,0))*('Margin Guidence Table'!$J$1:$J$10000&gt;=ROUND($KG$3,0)),0),MATCH("DEFAULT_MDA_MAX_MARGIN_GUIDENCE",'Margin Guidence Table'!$A$1:$AG$1,0))),0))</f>
        <v>0</v>
      </c>
      <c r="KW29" s="784">
        <f t="array" ref="KW29">IF('Customer Inputs'!$W$16="End",0,IFERROR(IF($KQ29="SEGMENT",INDEX('Margin Guidence Table'!$A$1:$AG$10000,MATCH(1,('Margin Guidence Table'!$A$1:$A$10000=KO29)*('Margin Guidence Table'!$I$1:$I$10000&lt;=ROUND($KG$3,0))*('Margin Guidence Table'!$J$1:$J$10000&gt;=ROUND($KG$3,0)),0),MATCH("PA_PCT_SALES",'Margin Guidence Table'!$A$1:$AG$1,0)),INDEX('Margin Guidence Table'!$A$1:$AG$10000,MATCH(1,('Margin Guidence Table'!$A$1:$A$10000=KO29)*('Margin Guidence Table'!$I$1:$I$10000&lt;=ROUND($KG$3,0))*('Margin Guidence Table'!$J$1:$J$10000&gt;=ROUND($KG$3,0)),0),MATCH("DEFAULT_PA_PCT_SALES",'Margin Guidence Table'!$A$1:$AG$1,0))),0))</f>
        <v>0</v>
      </c>
      <c r="KX29" s="784">
        <f t="array" ref="KX29">IF('Customer Inputs'!$W$16="End",0,IFERROR(IF($KQ29="SEGMENT",INDEX('Margin Guidence Table'!$A$1:$AG$10000,MATCH(1,('Margin Guidence Table'!$A$1:$A$10000=KO29)*('Margin Guidence Table'!$I$1:$I$10000&lt;=ROUND($KG$3,0))*('Margin Guidence Table'!$J$1:$J$10000&gt;=ROUND($KG$3,0)),0),MATCH("SELF_FUND_PCT_SALES",'Margin Guidence Table'!$A$1:$AG$1,0)),INDEX('Margin Guidence Table'!$A$1:$AG$10000,MATCH(1,('Margin Guidence Table'!$A$1:$A$10000=KO29)*('Margin Guidence Table'!$I$1:$I$10000&lt;=ROUND($KG$3,0))*('Margin Guidence Table'!$J$1:$J$10000&gt;=ROUND($KG$3,0)),0),MATCH("DEFAULT_SELF_FUND_PCT_SALES",'Margin Guidence Table'!$A$1:$AG$1,0))),0))</f>
        <v>0</v>
      </c>
      <c r="KY29" s="784">
        <f t="array" ref="KY29">IF('Customer Inputs'!$W$16="End",0,IF($KH$2="Existing",IFERROR(SUMIFS('Existing Customers'!$V:$V,'Existing Customers'!$H:$H,$KF29,'Existing Customers'!$A:$A,$KG$1)/SUMIFS('Existing Customers'!$Q:$Q,'Existing Customers'!$H:$H,$KF29,'Existing Customers'!$A:$A,$KG$1),0),IFERROR(IF($KQ29="SEGMENT",INDEX('Margin Guidence Table'!$A$1:$AG$10000,MATCH(1,('Margin Guidence Table'!$A$1:$A$10000=KO29)*('Margin Guidence Table'!$I$1:$I$10000&lt;=ROUND($KG$3,0))*('Margin Guidence Table'!$J$1:$J$10000&gt;=ROUND($KG$3,0)),0),MATCH("CIA_MEDIAN_MARGIN_GUIDENCE",'Margin Guidence Table'!$A$1:$AG$1,0)),INDEX('Margin Guidence Table'!$A$1:$AG$10000,MATCH(1,('Margin Guidence Table'!$A$1:$A$10000=KO29)*('Margin Guidence Table'!$I$1:$I$10000&lt;=ROUND($KG$3,0))*('Margin Guidence Table'!$J$1:$J$10000&gt;=ROUND($KG$3,0)),0),MATCH("DEFAULT_CIA_MEDIAN_MARGIN_GUIDENCE",'Margin Guidence Table'!$A$1:$AG$1,0))),0)))</f>
        <v>0</v>
      </c>
      <c r="KZ29" s="784"/>
      <c r="LA29" s="18">
        <f t="array" ref="LA29">IF('Customer Inputs'!$W$17="End",0,IFERROR(IF($LN29="SEGMENT",INDEX('Margin Guidence Table'!$A$1:$AG$10000,MATCH(1,('Margin Guidence Table'!$A$1:$A$10000=$LL29)*('Margin Guidence Table'!$I$1:$I$10000&lt;=ROUND($LD$3,0))*('Margin Guidence Table'!$J$1:$J$10000&gt;=ROUND($LD$3,0)),0),MATCH("PCT_SALES",'Margin Guidence Table'!$A$1:$AG$1,0)),INDEX('Margin Guidence Table'!$A$1:$AG$10000,MATCH(1,('Margin Guidence Table'!$A$1:$A$10000=$LL29)*('Margin Guidence Table'!$I$1:$I$10000&lt;=ROUND($LD$3,0))*('Margin Guidence Table'!$J$1:$J$10000&gt;=ROUND($LD$3,0)),0),MATCH("DEFAULT_PCT_SALES",'Margin Guidence Table'!$A$1:$AG$1,0))),0))</f>
        <v>0</v>
      </c>
      <c r="LB29" s="1713" t="e">
        <f t="shared" si="54"/>
        <v>#DIV/0!</v>
      </c>
      <c r="LC29" s="99" t="s">
        <v>90</v>
      </c>
      <c r="LD29" s="91">
        <f>IF('Customer Inputs'!$W$17="End",0,IFERROR(IF(AND($LD$2&lt;&gt;"Enter Spend&gt;&gt;&gt;",$LE$2="EXISTING"),SUMIFS('Existing Customers'!$Q:$Q,'Existing Customers'!$A:$A,$LD$1,'Existing Customers'!$H:$H,$LC29)*$LD$4,$LD$3*$LB29),0))</f>
        <v>0</v>
      </c>
      <c r="LE29" s="86">
        <f>IF('Customer Inputs'!$W$17="End",0,IFERROR(IF(AND($LD$2&lt;&gt;"Enter Spend&gt;&gt;&gt;",$LE$2="EXISTING"),SUMIFS('Existing Customers'!$N:$N,'Existing Customers'!$A:$A,$LD$1,'Existing Customers'!$H:$H,$LC29)*$LD$4,$LD29/$LO29),0))</f>
        <v>0</v>
      </c>
      <c r="LF29" s="92">
        <f>IF('Customer Inputs'!$W$17="End",0,IFERROR(IF(AND($LD$2&lt;&gt;"Enter Spend&gt;&gt;&gt;",$LE$2="EXISTING"),SUMIFS('Existing Customers'!$O:$O,'Existing Customers'!$H:$H,$LC29,'Existing Customers'!$A:$A,$LD$1)*$LD$4,$LE29*$LD$8),0))</f>
        <v>0</v>
      </c>
      <c r="LG29" s="92">
        <f>IF('Customer Inputs'!$W$17="End",0,IFERROR(IF(AND($LD$2&lt;&gt;"Enter Spend&gt;&gt;&gt;",$LE$2="EXISTING"),SUMIFS('Existing Customers'!$P:$P,'Existing Customers'!$A:$A,$LD$1,'Existing Customers'!$H:$H,$LC29)*$LD$4,$LD29/$LP29),0))</f>
        <v>0</v>
      </c>
      <c r="LH29" s="303">
        <f>IF('Customer Inputs'!$W$17="End",0,IFERROR(IF(AND($LD$2&lt;&gt;"Enter Spend&gt;&gt;&gt;",$LE$2="EXISTING"),SUMIFS('Existing Customers'!$V:$V,'Existing Customers'!$H:$H,$LC29,'Existing Customers'!$A:$A,$LD$1)*$LD$4,0),0))</f>
        <v>0</v>
      </c>
      <c r="LI29" s="93">
        <f>IF('Customer Inputs'!$W$17="End",0,IFERROR(IF(AND($LD$2&lt;&gt;"Enter Spend&gt;&gt;&gt;",$LE$2="EXISTING"),SUMIFS('Existing Customers'!$R:$R,'Existing Customers'!$H:$H,$LC29,'Existing Customers'!$A:$A,$LD$1)*$LD$4,0),0))</f>
        <v>0</v>
      </c>
      <c r="LJ29" s="780">
        <f>IF('Customer Inputs'!$W$17="End",0,IFERROR(IF(AND($LD$2&lt;&gt;"Enter Spend&gt;&gt;&gt;",$LE$2="EXISTING"),SUMIFS('Existing Customers'!$S:$S,'Existing Customers'!$H:$H,$LC29,'Existing Customers'!$A:$A,$LD$1)/SUMIFS('Existing Customers'!$Q:$Q,'Existing Customers'!$A:$A,$LD$1,'Existing Customers'!$H:$H,$LC29),LT29),0))</f>
        <v>0</v>
      </c>
      <c r="LK29" s="780">
        <f>IF('Customer Inputs'!$W$17="End",0,IFERROR(IF(AND($LD$2&lt;&gt;"Enter Spend&gt;&gt;&gt;",$LE$2="EXISTING"),SUMIFS('Existing Customers'!$U:$U,'Existing Customers'!$H:$H,$LC29,'Existing Customers'!$A:$A,$LD$1)/SUMIFS('Existing Customers'!$Q:$Q,'Existing Customers'!$A:$A,$LD$1,'Existing Customers'!$H:$H,$LC29),LU29),0))</f>
        <v>0</v>
      </c>
      <c r="LL29" s="783" t="e">
        <f>_xlfn.CONCAT('Customer Inputs'!$AH$17,"_",LC29)</f>
        <v>#N/A</v>
      </c>
      <c r="LM29" s="783">
        <f t="array" ref="LM29">IF('Customer Inputs'!$W$17="End",0,IFERROR(INDEX('Margin Guidence Table'!$A$1:$AG$10000,MATCH(1,('Margin Guidence Table'!$A$1:$A$10000=LL29)*('Margin Guidence Table'!$I$1:$I$10000&lt;=ROUND($LD$3,0))*('Margin Guidence Table'!$J$1:$J$10000&gt;=ROUND($LD$3,0)),0),MATCH("DATA_POINTS",'Margin Guidence Table'!$A$1:$AG$1,0)),0))</f>
        <v>0</v>
      </c>
      <c r="LN29" s="780" t="str">
        <f t="shared" si="55"/>
        <v>DEFAULT</v>
      </c>
      <c r="LO29" s="780">
        <f t="array" ref="LO29">IF('Customer Inputs'!$W$17="End",0,IFERROR(IF($LN29="SEGMENT",INDEX('Margin Guidence Table'!$A$1:$AG$10000,MATCH(1,('Margin Guidence Table'!$A$1:$A$10000=LL29)*('Margin Guidence Table'!$I$1:$I$10000&lt;=ROUND($LD$3,0))*('Margin Guidence Table'!$J$1:$J$10000&gt;=ROUND($LD$3,0)),0),MATCH("SALES_CASE",'Margin Guidence Table'!$A$1:$AG$1,0)),INDEX('Margin Guidence Table'!$A$1:$AG$10000,MATCH(1,('Margin Guidence Table'!$A$1:$A$10000=LL29)*('Margin Guidence Table'!$I$1:$I$10000&lt;=ROUND($LD$3,0))*('Margin Guidence Table'!$J$1:$J$10000&gt;=ROUND($LD$3,0)),0),MATCH("DEFAULT_SALES_CASE",'Margin Guidence Table'!$A$1:$AG$1,0))),0))</f>
        <v>0</v>
      </c>
      <c r="LP29" s="780">
        <f t="array" ref="LP29">IF('Customer Inputs'!$W$17="End",0,IFERROR(IF($LN29="SEGMENT",INDEX('Margin Guidence Table'!$A$1:$AG$10000,MATCH(1,('Margin Guidence Table'!$A$1:$A$10000=LL29)*('Margin Guidence Table'!$I$1:$I$10000&lt;=ROUND($LD$3,0))*('Margin Guidence Table'!$J$1:$J$10000&gt;=ROUND($LD$3,0)),0),MATCH("SALES_LBS",'Margin Guidence Table'!$A$1:$AG$1,0)),INDEX('Margin Guidence Table'!$A$1:$AG$10000,MATCH(1,('Margin Guidence Table'!$A$1:$A$10000=LL29)*('Margin Guidence Table'!$I$1:$I$10000&lt;=ROUND($LD$3,0))*('Margin Guidence Table'!$J$1:$J$10000&gt;=ROUND($LD$3,0)),0),MATCH("DEFAULT_SALES_LBS",'Margin Guidence Table'!$A$1:$AG$1,0))),0))</f>
        <v>0</v>
      </c>
      <c r="LQ29" s="784">
        <f t="array" ref="LQ29">IF('Customer Inputs'!$W$17="End",0,IFERROR(IF($LN29="SEGMENT",INDEX('Margin Guidence Table'!$A$1:$AG$10000,MATCH(1,('Margin Guidence Table'!$A$1:$A$10000=LL29)*('Margin Guidence Table'!$I$1:$I$10000&lt;=ROUND($LD$3,0))*('Margin Guidence Table'!$J$1:$J$10000&gt;=ROUND($LD$3,0)),0),MATCH("MDA_MIN_MARGIN_GUIDENCE",'Margin Guidence Table'!$A$1:$AG$1,0)),INDEX('Margin Guidence Table'!$A$1:$AG$10000,MATCH(1,('Margin Guidence Table'!$A$1:$A$10000=LL29)*('Margin Guidence Table'!$I$1:$I$10000&lt;=ROUND($LD$3,0))*('Margin Guidence Table'!$J$1:$J$10000&gt;=ROUND($LD$3,0)),0),MATCH("DEFAULT_MDA_MIN_MARGIN_GUIDENCE",'Margin Guidence Table'!$A$1:$AG$1,0))),0))</f>
        <v>0</v>
      </c>
      <c r="LR29" s="784">
        <f t="array" ref="LR29">IF('Customer Inputs'!$W$17="End",0,IFERROR(IF($LN29="SEGMENT",INDEX('Margin Guidence Table'!$A$1:$AG$10000,MATCH(1,('Margin Guidence Table'!$A$1:$A$10000=LL29)*('Margin Guidence Table'!$I$1:$I$10000&lt;=ROUND($LD$3,0))*('Margin Guidence Table'!$J$1:$J$10000&gt;=ROUND($LD$3,0)),0),MATCH("MDA_MEDIAN_MARGIN_GUIDENCE",'Margin Guidence Table'!$A$1:$AG$1,0)),INDEX('Margin Guidence Table'!$A$1:$AG$10000,MATCH(1,('Margin Guidence Table'!$A$1:$A$10000=LL29)*('Margin Guidence Table'!$I$1:$I$10000&lt;=ROUND($LD$3,0))*('Margin Guidence Table'!$J$1:$J$10000&gt;=ROUND($LD$3,0)),0),MATCH("DEFAULT_MDA_MEDIAN_MARGIN_GUIDENCE",'Margin Guidence Table'!$A$1:$AG$1,0))),0))</f>
        <v>0</v>
      </c>
      <c r="LS29" s="784">
        <f t="array" ref="LS29">IF('Customer Inputs'!$W$17="End",0,IFERROR(IF($LN29="SEGMENT",INDEX('Margin Guidence Table'!$A$1:$AG$10000,MATCH(1,('Margin Guidence Table'!$A$1:$A$10000=LL29)*('Margin Guidence Table'!$I$1:$I$10000&lt;=ROUND($LD$3,0))*('Margin Guidence Table'!$J$1:$J$10000&gt;=ROUND($LD$3,0)),0),MATCH("MDA_MAX_MARGIN_GUIDENCE",'Margin Guidence Table'!$A$1:$AG$1,0)),INDEX('Margin Guidence Table'!$A$1:$AG$10000,MATCH(1,('Margin Guidence Table'!$A$1:$A$10000=LL29)*('Margin Guidence Table'!$I$1:$I$10000&lt;=ROUND($LD$3,0))*('Margin Guidence Table'!$J$1:$J$10000&gt;=ROUND($LD$3,0)),0),MATCH("DEFAULT_MDA_MAX_MARGIN_GUIDENCE",'Margin Guidence Table'!$A$1:$AG$1,0))),0))</f>
        <v>0</v>
      </c>
      <c r="LT29" s="784">
        <f t="array" ref="LT29">IF('Customer Inputs'!$W$17="End",0,IFERROR(IF($LN29="SEGMENT",INDEX('Margin Guidence Table'!$A$1:$AG$10000,MATCH(1,('Margin Guidence Table'!$A$1:$A$10000=LL29)*('Margin Guidence Table'!$I$1:$I$10000&lt;=ROUND($LD$3,0))*('Margin Guidence Table'!$J$1:$J$10000&gt;=ROUND($LD$3,0)),0),MATCH("PA_PCT_SALES",'Margin Guidence Table'!$A$1:$AG$1,0)),INDEX('Margin Guidence Table'!$A$1:$AG$10000,MATCH(1,('Margin Guidence Table'!$A$1:$A$10000=LL29)*('Margin Guidence Table'!$I$1:$I$10000&lt;=ROUND($LD$3,0))*('Margin Guidence Table'!$J$1:$J$10000&gt;=ROUND($LD$3,0)),0),MATCH("DEFAULT_PA_PCT_SALES",'Margin Guidence Table'!$A$1:$AG$1,0))),0))</f>
        <v>0</v>
      </c>
      <c r="LU29" s="784">
        <f t="array" ref="LU29">IF('Customer Inputs'!$W$17="End",0,IFERROR(IF($LN29="SEGMENT",INDEX('Margin Guidence Table'!$A$1:$AG$10000,MATCH(1,('Margin Guidence Table'!$A$1:$A$10000=LL29)*('Margin Guidence Table'!$I$1:$I$10000&lt;=ROUND($LD$3,0))*('Margin Guidence Table'!$J$1:$J$10000&gt;=ROUND($LD$3,0)),0),MATCH("SELF_FUND_PCT_SALES",'Margin Guidence Table'!$A$1:$AG$1,0)),INDEX('Margin Guidence Table'!$A$1:$AG$10000,MATCH(1,('Margin Guidence Table'!$A$1:$A$10000=LL29)*('Margin Guidence Table'!$I$1:$I$10000&lt;=ROUND($LD$3,0))*('Margin Guidence Table'!$J$1:$J$10000&gt;=ROUND($LD$3,0)),0),MATCH("DEFAULT_SELF_FUND_PCT_SALES",'Margin Guidence Table'!$A$1:$AG$1,0))),0))</f>
        <v>0</v>
      </c>
      <c r="LV29" s="784">
        <f t="array" ref="LV29">IF('Customer Inputs'!$W$17="End",0,IF($LE$2="Existing",IFERROR(SUMIFS('Existing Customers'!$V:$V,'Existing Customers'!$H:$H,$LC29,'Existing Customers'!$A:$A,$LD$1)/SUMIFS('Existing Customers'!$Q:$Q,'Existing Customers'!$H:$H,$LC29,'Existing Customers'!$A:$A,$LD$1),0),IFERROR(IF($LN29="SEGMENT",INDEX('Margin Guidence Table'!$A$1:$AG$10000,MATCH(1,('Margin Guidence Table'!$A$1:$A$10000=LL29)*('Margin Guidence Table'!$I$1:$I$10000&lt;=ROUND($LD$3,0))*('Margin Guidence Table'!$J$1:$J$10000&gt;=ROUND($LD$3,0)),0),MATCH("CIA_MEDIAN_MARGIN_GUIDENCE",'Margin Guidence Table'!$A$1:$AG$1,0)),INDEX('Margin Guidence Table'!$A$1:$AG$10000,MATCH(1,('Margin Guidence Table'!$A$1:$A$10000=LL29)*('Margin Guidence Table'!$I$1:$I$10000&lt;=ROUND($LD$3,0))*('Margin Guidence Table'!$J$1:$J$10000&gt;=ROUND($LD$3,0)),0),MATCH("DEFAULT_CIA_MEDIAN_MARGIN_GUIDENCE",'Margin Guidence Table'!$A$1:$AG$1,0))),0)))</f>
        <v>0</v>
      </c>
      <c r="LW29" s="784"/>
      <c r="LX29" s="18">
        <f t="array" ref="LX29">IF('Customer Inputs'!$W$18="End",0,IFERROR(IF($MK29="SEGMENT",INDEX('Margin Guidence Table'!$A$1:$AG$10000,MATCH(1,('Margin Guidence Table'!$A$1:$A$10000=$MI29)*('Margin Guidence Table'!$I$1:$I$10000&lt;=ROUND($MA$3,0))*('Margin Guidence Table'!$J$1:$J$10000&gt;=ROUND($MA$3,0)),0),MATCH("PCT_SALES",'Margin Guidence Table'!$A$1:$AG$1,0)),INDEX('Margin Guidence Table'!$A$1:$AG$10000,MATCH(1,('Margin Guidence Table'!$A$1:$A$10000=$MI29)*('Margin Guidence Table'!$I$1:$I$10000&lt;=ROUND($MA$3,0))*('Margin Guidence Table'!$J$1:$J$10000&gt;=ROUND($MA$3,0)),0),MATCH("DEFAULT_PCT_SALES",'Margin Guidence Table'!$A$1:$AG$1,0))),0))</f>
        <v>0</v>
      </c>
      <c r="LY29" s="1713" t="e">
        <f t="shared" si="56"/>
        <v>#DIV/0!</v>
      </c>
      <c r="LZ29" s="99" t="s">
        <v>90</v>
      </c>
      <c r="MA29" s="91">
        <f>IF('Customer Inputs'!$W$18="End",0,IFERROR(IF(AND($MA$2&lt;&gt;"Enter Spend&gt;&gt;&gt;",$MB$2="EXISTING"),SUMIFS('Existing Customers'!$Q:$Q,'Existing Customers'!$A:$A,$MA$1,'Existing Customers'!$H:$H,$LZ29)*$MA$4,$MA$3*$LY29),0))</f>
        <v>0</v>
      </c>
      <c r="MB29" s="86">
        <f>IF('Customer Inputs'!$W$18="End",0,IFERROR(IF(AND($MA$2&lt;&gt;"Enter Spend&gt;&gt;&gt;",$MB$2="EXISTING"),SUMIFS('Existing Customers'!$N:$N,'Existing Customers'!$A:$A,$MA$1,'Existing Customers'!$H:$H,$LZ29)*$MA$4,$MA29/$ML29),0))</f>
        <v>0</v>
      </c>
      <c r="MC29" s="92">
        <f>IF('Customer Inputs'!$W$18="End",0,IFERROR(IF(AND($MA$2&lt;&gt;"Enter Spend&gt;&gt;&gt;",$MB$2="EXISTING"),SUMIFS('Existing Customers'!$O:$O,'Existing Customers'!$H:$H,$LZ29,'Existing Customers'!$A:$A,$MA$1)*$MA$4,$MB29*$MA$8),0))</f>
        <v>0</v>
      </c>
      <c r="MD29" s="92">
        <f>IF('Customer Inputs'!$W$18="End",0,IFERROR(IF(AND($MA$2&lt;&gt;"Enter Spend&gt;&gt;&gt;",$MB$2="EXISTING"),SUMIFS('Existing Customers'!$P:$P,'Existing Customers'!$A:$A,$MA$1,'Existing Customers'!$H:$H,$LZ29)*$MA$4,$MA29/$MM29),0))</f>
        <v>0</v>
      </c>
      <c r="ME29" s="303">
        <f>IF('Customer Inputs'!$W$18="End",0,IFERROR(IF(AND($MA$2&lt;&gt;"Enter Spend&gt;&gt;&gt;",$MB$2="EXISTING"),SUMIFS('Existing Customers'!$V:$V,'Existing Customers'!$H:$H,$LZ29,'Existing Customers'!$A:$A,$MA$1)*$MA$4,0),0))</f>
        <v>0</v>
      </c>
      <c r="MF29" s="93">
        <f>IF('Customer Inputs'!$W$18="End",0,IFERROR(IF(AND($MA$2&lt;&gt;"Enter Spend&gt;&gt;&gt;",$MB$2="EXISTING"),SUMIFS('Existing Customers'!$R:$R,'Existing Customers'!$H:$H,$LZ29,'Existing Customers'!$A:$A,$MA$1)*$MA$4,0),0))</f>
        <v>0</v>
      </c>
      <c r="MG29" s="780">
        <f>IF('Customer Inputs'!$W$18="End",0,IFERROR(IF(AND($MA$2&lt;&gt;"Enter Spend&gt;&gt;&gt;",$MB$2="EXISTING"),SUMIFS('Existing Customers'!$S:$S,'Existing Customers'!$H:$H,$LZ29,'Existing Customers'!$A:$A,$MA$1)/SUMIFS('Existing Customers'!$Q:$Q,'Existing Customers'!$A:$A,$MA$1,'Existing Customers'!$H:$H,$LZ29),MQ29),0))</f>
        <v>0</v>
      </c>
      <c r="MH29" s="780">
        <f>IF('Customer Inputs'!$W$18="End",0,IFERROR(IF(AND($MA$2&lt;&gt;"Enter Spend&gt;&gt;&gt;",$MB$2="EXISTING"),SUMIFS('Existing Customers'!$U:$U,'Existing Customers'!$H:$H,$LZ29,'Existing Customers'!$A:$A,$MA$1)/SUMIFS('Existing Customers'!$Q:$Q,'Existing Customers'!$A:$A,$MA$1,'Existing Customers'!$H:$H,$LZ29),MR29),0))</f>
        <v>0</v>
      </c>
      <c r="MI29" s="783" t="e">
        <f>_xlfn.CONCAT('Customer Inputs'!$AH$18,"_",LZ29)</f>
        <v>#N/A</v>
      </c>
      <c r="MJ29" s="783">
        <f t="array" ref="MJ29">IF('Customer Inputs'!$W$18="End",0,IFERROR(INDEX('Margin Guidence Table'!$A$1:$AG$10000,MATCH(1,('Margin Guidence Table'!$A$1:$A$10000=MI29)*('Margin Guidence Table'!$I$1:$I$10000&lt;=ROUND($MA$3,0))*('Margin Guidence Table'!$J$1:$J$10000&gt;=ROUND($MA$3,0)),0),MATCH("DATA_POINTS",'Margin Guidence Table'!$A$1:$AG$1,0)),0))</f>
        <v>0</v>
      </c>
      <c r="MK29" s="780" t="str">
        <f t="shared" si="57"/>
        <v>DEFAULT</v>
      </c>
      <c r="ML29" s="780">
        <f t="array" ref="ML29">IF('Customer Inputs'!$W$18="End",0,IFERROR(IF($MK29="SEGMENT",INDEX('Margin Guidence Table'!$A$1:$AG$10000,MATCH(1,('Margin Guidence Table'!$A$1:$A$10000=MI29)*('Margin Guidence Table'!$I$1:$I$10000&lt;=ROUND($MA$3,0))*('Margin Guidence Table'!$J$1:$J$10000&gt;=ROUND($MA$3,0)),0),MATCH("SALES_CASE",'Margin Guidence Table'!$A$1:$AG$1,0)),INDEX('Margin Guidence Table'!$A$1:$AG$10000,MATCH(1,('Margin Guidence Table'!$A$1:$A$10000=MI29)*('Margin Guidence Table'!$I$1:$I$10000&lt;=ROUND($MA$3,0))*('Margin Guidence Table'!$J$1:$J$10000&gt;=ROUND($MA$3,0)),0),MATCH("DEFAULT_SALES_CASE",'Margin Guidence Table'!$A$1:$AG$1,0))),0))</f>
        <v>0</v>
      </c>
      <c r="MM29" s="780">
        <f t="array" ref="MM29">IF('Customer Inputs'!$W$18="End",0,IFERROR(IF($MK29="SEGMENT",INDEX('Margin Guidence Table'!$A$1:$AG$10000,MATCH(1,('Margin Guidence Table'!$A$1:$A$10000=MI29)*('Margin Guidence Table'!$I$1:$I$10000&lt;=ROUND($MA$3,0))*('Margin Guidence Table'!$J$1:$J$10000&gt;=ROUND($MA$3,0)),0),MATCH("SALES_LBS",'Margin Guidence Table'!$A$1:$AG$1,0)),INDEX('Margin Guidence Table'!$A$1:$AG$10000,MATCH(1,('Margin Guidence Table'!$A$1:$A$10000=MI29)*('Margin Guidence Table'!$I$1:$I$10000&lt;=ROUND($MA$3,0))*('Margin Guidence Table'!$J$1:$J$10000&gt;=ROUND($MA$3,0)),0),MATCH("DEFAULT_SALES_LBS",'Margin Guidence Table'!$A$1:$AG$1,0))),0))</f>
        <v>0</v>
      </c>
      <c r="MN29" s="784">
        <f t="array" ref="MN29">IF('Customer Inputs'!$W$18="End",0,IFERROR(IF($MK29="SEGMENT",INDEX('Margin Guidence Table'!$A$1:$AG$10000,MATCH(1,('Margin Guidence Table'!$A$1:$A$10000=MI29)*('Margin Guidence Table'!$I$1:$I$10000&lt;=ROUND($MA$3,0))*('Margin Guidence Table'!$J$1:$J$10000&gt;=ROUND($MA$3,0)),0),MATCH("MDA_MIN_MARGIN_GUIDENCE",'Margin Guidence Table'!$A$1:$AG$1,0)),INDEX('Margin Guidence Table'!$A$1:$AG$10000,MATCH(1,('Margin Guidence Table'!$A$1:$A$10000=MI29)*('Margin Guidence Table'!$I$1:$I$10000&lt;=ROUND($MA$3,0))*('Margin Guidence Table'!$J$1:$J$10000&gt;=ROUND($MA$3,0)),0),MATCH("DEFAULT_MDA_MIN_MARGIN_GUIDENCE",'Margin Guidence Table'!$A$1:$AG$1,0))),0))</f>
        <v>0</v>
      </c>
      <c r="MO29" s="784">
        <f t="array" ref="MO29">IF('Customer Inputs'!$W$18="End",0,IFERROR(IF($MK29="SEGMENT",INDEX('Margin Guidence Table'!$A$1:$AG$10000,MATCH(1,('Margin Guidence Table'!$A$1:$A$10000=MI29)*('Margin Guidence Table'!$I$1:$I$10000&lt;=ROUND($MA$3,0))*('Margin Guidence Table'!$J$1:$J$10000&gt;=ROUND($MA$3,0)),0),MATCH("MDA_MEDIAN_MARGIN_GUIDENCE",'Margin Guidence Table'!$A$1:$AG$1,0)),INDEX('Margin Guidence Table'!$A$1:$AG$10000,MATCH(1,('Margin Guidence Table'!$A$1:$A$10000=MI29)*('Margin Guidence Table'!$I$1:$I$10000&lt;=ROUND($MA$3,0))*('Margin Guidence Table'!$J$1:$J$10000&gt;=ROUND($MA$3,0)),0),MATCH("DEFAULT_MDA_MEDIAN_MARGIN_GUIDENCE",'Margin Guidence Table'!$A$1:$AG$1,0))),0))</f>
        <v>0</v>
      </c>
      <c r="MP29" s="784">
        <f t="array" ref="MP29">IF('Customer Inputs'!$W$18="End",0,IFERROR(IF($MK29="SEGMENT",INDEX('Margin Guidence Table'!$A$1:$AG$10000,MATCH(1,('Margin Guidence Table'!$A$1:$A$10000=MI29)*('Margin Guidence Table'!$I$1:$I$10000&lt;=ROUND($MA$3,0))*('Margin Guidence Table'!$J$1:$J$10000&gt;=ROUND($MA$3,0)),0),MATCH("MDA_MAX_MARGIN_GUIDENCE",'Margin Guidence Table'!$A$1:$AG$1,0)),INDEX('Margin Guidence Table'!$A$1:$AG$10000,MATCH(1,('Margin Guidence Table'!$A$1:$A$10000=MI29)*('Margin Guidence Table'!$I$1:$I$10000&lt;=ROUND($MA$3,0))*('Margin Guidence Table'!$J$1:$J$10000&gt;=ROUND($MA$3,0)),0),MATCH("DEFAULT_MDA_MAX_MARGIN_GUIDENCE",'Margin Guidence Table'!$A$1:$AG$1,0))),0))</f>
        <v>0</v>
      </c>
      <c r="MQ29" s="784">
        <f t="array" ref="MQ29">IF('Customer Inputs'!$W$18="End",0,IFERROR(IF($MK29="SEGMENT",INDEX('Margin Guidence Table'!$A$1:$AG$10000,MATCH(1,('Margin Guidence Table'!$A$1:$A$10000=MI29)*('Margin Guidence Table'!$I$1:$I$10000&lt;=ROUND($MA$3,0))*('Margin Guidence Table'!$J$1:$J$10000&gt;=ROUND($MA$3,0)),0),MATCH("PA_PCT_SALES",'Margin Guidence Table'!$A$1:$AG$1,0)),INDEX('Margin Guidence Table'!$A$1:$AG$10000,MATCH(1,('Margin Guidence Table'!$A$1:$A$10000=MI29)*('Margin Guidence Table'!$I$1:$I$10000&lt;=ROUND($MA$3,0))*('Margin Guidence Table'!$J$1:$J$10000&gt;=ROUND($MA$3,0)),0),MATCH("DEFAULT_PA_PCT_SALES",'Margin Guidence Table'!$A$1:$AG$1,0))),0))</f>
        <v>0</v>
      </c>
      <c r="MR29" s="784">
        <f t="array" ref="MR29">IF('Customer Inputs'!$W$18="End",0,IFERROR(IF($MK29="SEGMENT",INDEX('Margin Guidence Table'!$A$1:$AG$10000,MATCH(1,('Margin Guidence Table'!$A$1:$A$10000=MI29)*('Margin Guidence Table'!$I$1:$I$10000&lt;=ROUND($MA$3,0))*('Margin Guidence Table'!$J$1:$J$10000&gt;=ROUND($MA$3,0)),0),MATCH("SELF_FUND_PCT_SALES",'Margin Guidence Table'!$A$1:$AG$1,0)),INDEX('Margin Guidence Table'!$A$1:$AG$10000,MATCH(1,('Margin Guidence Table'!$A$1:$A$10000=MI29)*('Margin Guidence Table'!$I$1:$I$10000&lt;=ROUND($MA$3,0))*('Margin Guidence Table'!$J$1:$J$10000&gt;=ROUND($MA$3,0)),0),MATCH("DEFAULT_SELF_FUND_PCT_SALES",'Margin Guidence Table'!$A$1:$AG$1,0))),0))</f>
        <v>0</v>
      </c>
      <c r="MS29" s="784">
        <f t="array" ref="MS29">IF('Customer Inputs'!$W$18="End",0,IF($MB$2="Existing",IFERROR(SUMIFS('Existing Customers'!$V:$V,'Existing Customers'!$H:$H,$LZ29,'Existing Customers'!$A:$A,$MA$1)/SUMIFS('Existing Customers'!$Q:$Q,'Existing Customers'!$H:$H,$LZ29,'Existing Customers'!$A:$A,$MA$1),0),IFERROR(IF($MK29="SEGMENT",INDEX('Margin Guidence Table'!$A$1:$AG$10000,MATCH(1,('Margin Guidence Table'!$A$1:$A$10000=MI29)*('Margin Guidence Table'!$I$1:$I$10000&lt;=ROUND($MA$3,0))*('Margin Guidence Table'!$J$1:$J$10000&gt;=ROUND($MA$3,0)),0),MATCH("CIA_MEDIAN_MARGIN_GUIDENCE",'Margin Guidence Table'!$A$1:$AG$1,0)),INDEX('Margin Guidence Table'!$A$1:$AG$10000,MATCH(1,('Margin Guidence Table'!$A$1:$A$10000=MI29)*('Margin Guidence Table'!$I$1:$I$10000&lt;=ROUND($MA$3,0))*('Margin Guidence Table'!$J$1:$J$10000&gt;=ROUND($MA$3,0)),0),MATCH("DEFAULT_CIA_MEDIAN_MARGIN_GUIDENCE",'Margin Guidence Table'!$A$1:$AG$1,0))),0)))</f>
        <v>0</v>
      </c>
      <c r="MT29" s="784"/>
      <c r="MU29" s="18">
        <f t="array" ref="MU29">IF('Customer Inputs'!$W$19="End",0,IFERROR(IF($NH29="SEGMENT",INDEX('Margin Guidence Table'!$A$1:$AG$10000,MATCH(1,('Margin Guidence Table'!$A$1:$A$10000=$NF29)*('Margin Guidence Table'!$I$1:$I$10000&lt;=ROUND($MX$3,0))*('Margin Guidence Table'!$J$1:$J$10000&gt;=ROUND($MX$3,0)),0),MATCH("PCT_SALES",'Margin Guidence Table'!$A$1:$AG$1,0)),INDEX('Margin Guidence Table'!$A$1:$AG$10000,MATCH(1,('Margin Guidence Table'!$A$1:$A$10000=$NF29)*('Margin Guidence Table'!$I$1:$I$10000&lt;=ROUND($MX$3,0))*('Margin Guidence Table'!$J$1:$J$10000&gt;=ROUND($MX$3,0)),0),MATCH("DEFAULT_PCT_SALES",'Margin Guidence Table'!$A$1:$AG$1,0))),0))</f>
        <v>0</v>
      </c>
      <c r="MV29" s="1713" t="e">
        <f t="shared" si="58"/>
        <v>#DIV/0!</v>
      </c>
      <c r="MW29" s="99" t="s">
        <v>90</v>
      </c>
      <c r="MX29" s="91">
        <f>IF('Customer Inputs'!$W$19="End",0,IFERROR(IF(AND($MX$2&lt;&gt;"Enter Spend&gt;&gt;&gt;",$MY$2="EXISTING"),SUMIFS('Existing Customers'!$Q:$Q,'Existing Customers'!$A:$A,$MX$1,'Existing Customers'!$H:$H,$MW29)*$MX$4,$MX$3*$MV29),0))</f>
        <v>0</v>
      </c>
      <c r="MY29" s="86">
        <f>IF('Customer Inputs'!$W$19="End",0,IFERROR(IF(AND($MX$2&lt;&gt;"Enter Spend&gt;&gt;&gt;",$MY$2="EXISTING"),SUMIFS('Existing Customers'!$N:$N,'Existing Customers'!$A:$A,$MX$1,'Existing Customers'!$H:$H,$MW29)*$MX$4,$MX29/$NI29),0))</f>
        <v>0</v>
      </c>
      <c r="MZ29" s="92">
        <f>IF('Customer Inputs'!$W$19="End",0,IFERROR(IF(AND($MX$2&lt;&gt;"Enter Spend&gt;&gt;&gt;",$MY$2="EXISTING"),SUMIFS('Existing Customers'!$O:$O,'Existing Customers'!$H:$H,$MW29,'Existing Customers'!$A:$A,$MX$1)*$MX$4,$MY29*$MX$8),0))</f>
        <v>0</v>
      </c>
      <c r="NA29" s="92">
        <f>IF('Customer Inputs'!$W$19="End",0,IFERROR(IF(AND($MX$2&lt;&gt;"Enter Spend&gt;&gt;&gt;",$MY$2="EXISTING"),SUMIFS('Existing Customers'!$P:$P,'Existing Customers'!$A:$A,$MX$1,'Existing Customers'!$H:$H,$MW29)*$MX$4,$MX29/$NJ29),0))</f>
        <v>0</v>
      </c>
      <c r="NB29" s="303">
        <f>IF('Customer Inputs'!$W$19="End",0,IFERROR(IF(AND($MX$2&lt;&gt;"Enter Spend&gt;&gt;&gt;",$MY$2="EXISTING"),SUMIFS('Existing Customers'!$V:$V,'Existing Customers'!$H:$H,$MW29,'Existing Customers'!$A:$A,$MX$1)*$MX$4,0),0))</f>
        <v>0</v>
      </c>
      <c r="NC29" s="93">
        <f>IF('Customer Inputs'!$W$19="End",0,IFERROR(IF(AND($MX$2&lt;&gt;"Enter Spend&gt;&gt;&gt;",$MY$2="EXISTING"),SUMIFS('Existing Customers'!$R:$R,'Existing Customers'!$H:$H,$MW29,'Existing Customers'!$A:$A,$MX$1)*$MX$4,0),0))</f>
        <v>0</v>
      </c>
      <c r="ND29" s="780">
        <f>IF('Customer Inputs'!$W$19="End",0,IFERROR(IF(AND($MX$2&lt;&gt;"Enter Spend&gt;&gt;&gt;",$MY$2="EXISTING"),SUMIFS('Existing Customers'!$S:$S,'Existing Customers'!$H:$H,$MW29,'Existing Customers'!$A:$A,$MX$1)/SUMIFS('Existing Customers'!$Q:$Q,'Existing Customers'!$A:$A,$MX$1,'Existing Customers'!$H:$H,$MW29),NN29),0))</f>
        <v>0</v>
      </c>
      <c r="NE29" s="780">
        <f>IF('Customer Inputs'!$W$19="End",0,IFERROR(IF(AND($MX$2&lt;&gt;"Enter Spend&gt;&gt;&gt;",$MY$2="EXISTING"),SUMIFS('Existing Customers'!$U:$U,'Existing Customers'!$H:$H,$MW29,'Existing Customers'!$A:$A,$MX$1)/SUMIFS('Existing Customers'!$Q:$Q,'Existing Customers'!$A:$A,$MX$1,'Existing Customers'!$H:$H,$MW29),NO29),0))</f>
        <v>0</v>
      </c>
      <c r="NF29" s="783" t="e">
        <f>_xlfn.CONCAT('Customer Inputs'!$AH$19,"_",MW29)</f>
        <v>#N/A</v>
      </c>
      <c r="NG29" s="783">
        <f t="array" ref="NG29">IF('Customer Inputs'!$W$19="End",0,IFERROR(INDEX('Margin Guidence Table'!$A$1:$AG$10000,MATCH(1,('Margin Guidence Table'!$A$1:$A$10000=NF29)*('Margin Guidence Table'!$I$1:$I$10000&lt;=ROUND($MX$3,0))*('Margin Guidence Table'!$J$1:$J$10000&gt;=ROUND($MX$3,0)),0),MATCH("DATA_POINTS",'Margin Guidence Table'!$A$1:$AG$1,0)),0))</f>
        <v>0</v>
      </c>
      <c r="NH29" s="780" t="str">
        <f t="shared" si="59"/>
        <v>DEFAULT</v>
      </c>
      <c r="NI29" s="780">
        <f t="array" ref="NI29">IF('Customer Inputs'!$W$19="End",0,IFERROR(IF($NH29="SEGMENT",INDEX('Margin Guidence Table'!$A$1:$AG$10000,MATCH(1,('Margin Guidence Table'!$A$1:$A$10000=NF29)*('Margin Guidence Table'!$I$1:$I$10000&lt;=ROUND($MX$3,0))*('Margin Guidence Table'!$J$1:$J$10000&gt;=ROUND($MX$3,0)),0),MATCH("SALES_CASE",'Margin Guidence Table'!$A$1:$AG$1,0)),INDEX('Margin Guidence Table'!$A$1:$AG$10000,MATCH(1,('Margin Guidence Table'!$A$1:$A$10000=NF29)*('Margin Guidence Table'!$I$1:$I$10000&lt;=ROUND($MX$3,0))*('Margin Guidence Table'!$J$1:$J$10000&gt;=ROUND($MX$3,0)),0),MATCH("DEFAULT_SALES_CASE",'Margin Guidence Table'!$A$1:$AG$1,0))),0))</f>
        <v>0</v>
      </c>
      <c r="NJ29" s="780">
        <f t="array" ref="NJ29">IF('Customer Inputs'!$W$19="End",0,IFERROR(IF($NH29="SEGMENT",INDEX('Margin Guidence Table'!$A$1:$AG$10000,MATCH(1,('Margin Guidence Table'!$A$1:$A$10000=NF29)*('Margin Guidence Table'!$I$1:$I$10000&lt;=ROUND($MX$3,0))*('Margin Guidence Table'!$J$1:$J$10000&gt;=ROUND($MX$3,0)),0),MATCH("SALES_LBS",'Margin Guidence Table'!$A$1:$AG$1,0)),INDEX('Margin Guidence Table'!$A$1:$AG$10000,MATCH(1,('Margin Guidence Table'!$A$1:$A$10000=NF29)*('Margin Guidence Table'!$I$1:$I$10000&lt;=ROUND($MX$3,0))*('Margin Guidence Table'!$J$1:$J$10000&gt;=ROUND($MX$3,0)),0),MATCH("DEFAULT_SALES_LBS",'Margin Guidence Table'!$A$1:$AG$1,0))),0))</f>
        <v>0</v>
      </c>
      <c r="NK29" s="784">
        <f t="array" ref="NK29">IF('Customer Inputs'!$W$19="End",0,IFERROR(IF($NH29="SEGMENT",INDEX('Margin Guidence Table'!$A$1:$AG$10000,MATCH(1,('Margin Guidence Table'!$A$1:$A$10000=NF29)*('Margin Guidence Table'!$I$1:$I$10000&lt;=ROUND($MX$3,0))*('Margin Guidence Table'!$J$1:$J$10000&gt;=ROUND($MX$3,0)),0),MATCH("MDA_MIN_MARGIN_GUIDENCE",'Margin Guidence Table'!$A$1:$AG$1,0)),INDEX('Margin Guidence Table'!$A$1:$AG$10000,MATCH(1,('Margin Guidence Table'!$A$1:$A$10000=NF29)*('Margin Guidence Table'!$I$1:$I$10000&lt;=ROUND($MX$3,0))*('Margin Guidence Table'!$J$1:$J$10000&gt;=ROUND($MX$3,0)),0),MATCH("DEFAULT_MDA_MIN_MARGIN_GUIDENCE",'Margin Guidence Table'!$A$1:$AG$1,0))),0))</f>
        <v>0</v>
      </c>
      <c r="NL29" s="784">
        <f t="array" ref="NL29">IF('Customer Inputs'!$W$19="End",0,IFERROR(IF($NH29="SEGMENT",INDEX('Margin Guidence Table'!$A$1:$AG$10000,MATCH(1,('Margin Guidence Table'!$A$1:$A$10000=NF29)*('Margin Guidence Table'!$I$1:$I$10000&lt;=ROUND($MX$3,0))*('Margin Guidence Table'!$J$1:$J$10000&gt;=ROUND($MX$3,0)),0),MATCH("MDA_MEDIAN_MARGIN_GUIDENCE",'Margin Guidence Table'!$A$1:$AG$1,0)),INDEX('Margin Guidence Table'!$A$1:$AG$10000,MATCH(1,('Margin Guidence Table'!$A$1:$A$10000=NF29)*('Margin Guidence Table'!$I$1:$I$10000&lt;=ROUND($MX$3,0))*('Margin Guidence Table'!$J$1:$J$10000&gt;=ROUND($MX$3,0)),0),MATCH("DEFAULT_MDA_MEDIAN_MARGIN_GUIDENCE",'Margin Guidence Table'!$A$1:$AG$1,0))),0))</f>
        <v>0</v>
      </c>
      <c r="NM29" s="784">
        <f t="array" ref="NM29">IF('Customer Inputs'!$W$19="End",0,IFERROR(IF($NH29="SEGMENT",INDEX('Margin Guidence Table'!$A$1:$AG$10000,MATCH(1,('Margin Guidence Table'!$A$1:$A$10000=NF29)*('Margin Guidence Table'!$I$1:$I$10000&lt;=ROUND($MX$3,0))*('Margin Guidence Table'!$J$1:$J$10000&gt;=ROUND($MX$3,0)),0),MATCH("MDA_MAX_MARGIN_GUIDENCE",'Margin Guidence Table'!$A$1:$AG$1,0)),INDEX('Margin Guidence Table'!$A$1:$AG$10000,MATCH(1,('Margin Guidence Table'!$A$1:$A$10000=NF29)*('Margin Guidence Table'!$I$1:$I$10000&lt;=ROUND($MX$3,0))*('Margin Guidence Table'!$J$1:$J$10000&gt;=ROUND($MX$3,0)),0),MATCH("DEFAULT_MDA_MAX_MARGIN_GUIDENCE",'Margin Guidence Table'!$A$1:$AG$1,0))),0))</f>
        <v>0</v>
      </c>
      <c r="NN29" s="784">
        <f t="array" ref="NN29">IF('Customer Inputs'!$W$19="End",0,IFERROR(IF($NH29="SEGMENT",INDEX('Margin Guidence Table'!$A$1:$AG$10000,MATCH(1,('Margin Guidence Table'!$A$1:$A$10000=NF29)*('Margin Guidence Table'!$I$1:$I$10000&lt;=ROUND($MX$3,0))*('Margin Guidence Table'!$J$1:$J$10000&gt;=ROUND($MX$3,0)),0),MATCH("PA_PCT_SALES",'Margin Guidence Table'!$A$1:$AG$1,0)),INDEX('Margin Guidence Table'!$A$1:$AG$10000,MATCH(1,('Margin Guidence Table'!$A$1:$A$10000=NF29)*('Margin Guidence Table'!$I$1:$I$10000&lt;=ROUND($MX$3,0))*('Margin Guidence Table'!$J$1:$J$10000&gt;=ROUND($MX$3,0)),0),MATCH("DEFAULT_PA_PCT_SALES",'Margin Guidence Table'!$A$1:$AG$1,0))),0))</f>
        <v>0</v>
      </c>
      <c r="NO29" s="784">
        <f t="array" ref="NO29">IF('Customer Inputs'!$W$19="End",0,IFERROR(IF($NH29="SEGMENT",INDEX('Margin Guidence Table'!$A$1:$AG$10000,MATCH(1,('Margin Guidence Table'!$A$1:$A$10000=NF29)*('Margin Guidence Table'!$I$1:$I$10000&lt;=ROUND($MX$3,0))*('Margin Guidence Table'!$J$1:$J$10000&gt;=ROUND($MX$3,0)),0),MATCH("SELF_FUND_PCT_SALES",'Margin Guidence Table'!$A$1:$AG$1,0)),INDEX('Margin Guidence Table'!$A$1:$AG$10000,MATCH(1,('Margin Guidence Table'!$A$1:$A$10000=NF29)*('Margin Guidence Table'!$I$1:$I$10000&lt;=ROUND($MX$3,0))*('Margin Guidence Table'!$J$1:$J$10000&gt;=ROUND($MX$3,0)),0),MATCH("DEFAULT_SELF_FUND_PCT_SALES",'Margin Guidence Table'!$A$1:$AG$1,0))),0))</f>
        <v>0</v>
      </c>
      <c r="NP29" s="784">
        <f t="array" ref="NP29">IF('Customer Inputs'!$W$19="End",0,IF($MY$2="Existing",IFERROR(SUMIFS('Existing Customers'!$V:$V,'Existing Customers'!$H:$H,$MW29,'Existing Customers'!$A:$A,$MX$1)/SUMIFS('Existing Customers'!$Q:$Q,'Existing Customers'!$H:$H,$MW29,'Existing Customers'!$A:$A,$MX$1),0),IFERROR(IF($NH29="SEGMENT",INDEX('Margin Guidence Table'!$A$1:$AG$10000,MATCH(1,('Margin Guidence Table'!$A$1:$A$10000=NF29)*('Margin Guidence Table'!$I$1:$I$10000&lt;=ROUND($MX$3,0))*('Margin Guidence Table'!$J$1:$J$10000&gt;=ROUND($MX$3,0)),0),MATCH("CIA_MEDIAN_MARGIN_GUIDENCE",'Margin Guidence Table'!$A$1:$AG$1,0)),INDEX('Margin Guidence Table'!$A$1:$AG$10000,MATCH(1,('Margin Guidence Table'!$A$1:$A$10000=NF29)*('Margin Guidence Table'!$I$1:$I$10000&lt;=ROUND($MX$3,0))*('Margin Guidence Table'!$J$1:$J$10000&gt;=ROUND($MX$3,0)),0),MATCH("DEFAULT_CIA_MEDIAN_MARGIN_GUIDENCE",'Margin Guidence Table'!$A$1:$AG$1,0))),0)))</f>
        <v>0</v>
      </c>
      <c r="NQ29" s="784"/>
      <c r="NR29" s="18">
        <f t="array" ref="NR29">IF('Customer Inputs'!$W$20="End",0,IFERROR(IF($OE29="SEGMENT",INDEX('Margin Guidence Table'!$A$1:$AG$10000,MATCH(1,('Margin Guidence Table'!$A$1:$A$10000=$OC29)*('Margin Guidence Table'!$I$1:$I$10000&lt;=ROUND($NU$3,0))*('Margin Guidence Table'!$J$1:$J$10000&gt;=ROUND($NU$3,0)),0),MATCH("PCT_SALES",'Margin Guidence Table'!$A$1:$AG$1,0)),INDEX('Margin Guidence Table'!$A$1:$AG$10000,MATCH(1,('Margin Guidence Table'!$A$1:$A$10000=$OC29)*('Margin Guidence Table'!$I$1:$I$10000&lt;=ROUND($NU$3,0))*('Margin Guidence Table'!$J$1:$J$10000&gt;=ROUND($NU$3,0)),0),MATCH("DEFAULT_PCT_SALES",'Margin Guidence Table'!$A$1:$AG$1,0))),0))</f>
        <v>0</v>
      </c>
      <c r="NS29" s="1713" t="e">
        <f t="shared" si="60"/>
        <v>#DIV/0!</v>
      </c>
      <c r="NT29" s="99" t="s">
        <v>90</v>
      </c>
      <c r="NU29" s="91">
        <f>IF('Customer Inputs'!$W$20="End",0,IFERROR(IF(AND($NU$2&lt;&gt;"Enter Spend&gt;&gt;&gt;",$NV$2="EXISTING"),SUMIFS('Existing Customers'!$Q:$Q,'Existing Customers'!$A:$A,$NU$1,'Existing Customers'!$H:$H,$NT29)*$NU$4,$NU$3*$NS29),0))</f>
        <v>0</v>
      </c>
      <c r="NV29" s="86">
        <f>IF('Customer Inputs'!$W$20="End",0,IFERROR(IF(AND($NU$2&lt;&gt;"Enter Spend&gt;&gt;&gt;",$NV$2="EXISTING"),SUMIFS('Existing Customers'!$N:$N,'Existing Customers'!$A:$A,$NU$1,'Existing Customers'!$H:$H,$NT29)*$NU$4,$NU29/$OF29),0))</f>
        <v>0</v>
      </c>
      <c r="NW29" s="92">
        <f>IF('Customer Inputs'!$W$20="End",0,IFERROR(IF(AND($NU$2&lt;&gt;"Enter Spend&gt;&gt;&gt;",$NV$2="EXISTING"),SUMIFS('Existing Customers'!$O:$O,'Existing Customers'!$H:$H,$NT29,'Existing Customers'!$A:$A,$NU$1)*$NU$4,$NV29*$NU$8),0))</f>
        <v>0</v>
      </c>
      <c r="NX29" s="92">
        <f>IF('Customer Inputs'!$W$20="End",0,IFERROR(IF(AND($NU$2&lt;&gt;"Enter Spend&gt;&gt;&gt;",$NV$2="EXISTING"),SUMIFS('Existing Customers'!$P:$P,'Existing Customers'!$A:$A,$NU$1,'Existing Customers'!$H:$H,$NT29)*$NU$4,$NU29/$OG29),0))</f>
        <v>0</v>
      </c>
      <c r="NY29" s="303">
        <f>IF('Customer Inputs'!$W$20="End",0,IFERROR(IF(AND($NU$2&lt;&gt;"Enter Spend&gt;&gt;&gt;",$NV$2="EXISTING"),SUMIFS('Existing Customers'!$V:$V,'Existing Customers'!$H:$H,$NT29,'Existing Customers'!$A:$A,$NU$1)*$NU$4,0),0))</f>
        <v>0</v>
      </c>
      <c r="NZ29" s="93">
        <f>IF('Customer Inputs'!$W$20="End",0,IFERROR(IF(AND($NU$2&lt;&gt;"Enter Spend&gt;&gt;&gt;",$NV$2="EXISTING"),SUMIFS('Existing Customers'!$R:$R,'Existing Customers'!$H:$H,$NT29,'Existing Customers'!$A:$A,$NU$1)*$NU$4,0),0))</f>
        <v>0</v>
      </c>
      <c r="OA29" s="780">
        <f>IF('Customer Inputs'!$W$20="End",0,IFERROR(IF(AND($NU$2&lt;&gt;"Enter Spend&gt;&gt;&gt;",$NV$2="EXISTING"),SUMIFS('Existing Customers'!$S:$S,'Existing Customers'!$H:$H,$NT29,'Existing Customers'!$A:$A,$NU$1)/SUMIFS('Existing Customers'!$Q:$Q,'Existing Customers'!$A:$A,$NU$1,'Existing Customers'!$H:$H,$NT29),OK29),0))</f>
        <v>0</v>
      </c>
      <c r="OB29" s="780">
        <f>IF('Customer Inputs'!$W$20="End",0,IFERROR(IF(AND($NU$2&lt;&gt;"Enter Spend&gt;&gt;&gt;",$NV$2="EXISTING"),SUMIFS('Existing Customers'!$U:$U,'Existing Customers'!$H:$H,$NT29,'Existing Customers'!$A:$A,$NU$1)/SUMIFS('Existing Customers'!$Q:$Q,'Existing Customers'!$A:$A,$NU$1,'Existing Customers'!$H:$H,$NT29),OL29),0))</f>
        <v>0</v>
      </c>
      <c r="OC29" s="783" t="e">
        <f>_xlfn.CONCAT('Customer Inputs'!$AH$20,"_",NT29)</f>
        <v>#N/A</v>
      </c>
      <c r="OD29" s="783">
        <f t="array" ref="OD29">IF('Customer Inputs'!$W$20="End",0,IFERROR(INDEX('Margin Guidence Table'!$A$1:$AG$10000,MATCH(1,('Margin Guidence Table'!$A$1:$A$10000=OC29)*('Margin Guidence Table'!$I$1:$I$10000&lt;=ROUND($NU$3,0))*('Margin Guidence Table'!$J$1:$J$10000&gt;=ROUND($NU$3,0)),0),MATCH("DATA_POINTS",'Margin Guidence Table'!$A$1:$AG$1,0)),0))</f>
        <v>0</v>
      </c>
      <c r="OE29" s="780" t="str">
        <f t="shared" si="61"/>
        <v>DEFAULT</v>
      </c>
      <c r="OF29" s="780">
        <f t="array" ref="OF29">IF('Customer Inputs'!$W$20="End",0,IFERROR(IF($OE29="SEGMENT",INDEX('Margin Guidence Table'!$A$1:$AG$10000,MATCH(1,('Margin Guidence Table'!$A$1:$A$10000=OC29)*('Margin Guidence Table'!$I$1:$I$10000&lt;=ROUND($NU$3,0))*('Margin Guidence Table'!$J$1:$J$10000&gt;=ROUND($NU$3,0)),0),MATCH("SALES_CASE",'Margin Guidence Table'!$A$1:$AG$1,0)),INDEX('Margin Guidence Table'!$A$1:$AG$10000,MATCH(1,('Margin Guidence Table'!$A$1:$A$10000=OC29)*('Margin Guidence Table'!$I$1:$I$10000&lt;=ROUND($NU$3,0))*('Margin Guidence Table'!$J$1:$J$10000&gt;=ROUND($NU$3,0)),0),MATCH("DEFAULT_SALES_CASE",'Margin Guidence Table'!$A$1:$AG$1,0))),0))</f>
        <v>0</v>
      </c>
      <c r="OG29" s="780">
        <f t="array" ref="OG29">IF('Customer Inputs'!$W$20="End",0,IFERROR(IF($OE29="SEGMENT",INDEX('Margin Guidence Table'!$A$1:$AG$10000,MATCH(1,('Margin Guidence Table'!$A$1:$A$10000=OC29)*('Margin Guidence Table'!$I$1:$I$10000&lt;=ROUND($NU$3,0))*('Margin Guidence Table'!$J$1:$J$10000&gt;=ROUND($NU$3,0)),0),MATCH("SALES_LBS",'Margin Guidence Table'!$A$1:$AG$1,0)),INDEX('Margin Guidence Table'!$A$1:$AG$10000,MATCH(1,('Margin Guidence Table'!$A$1:$A$10000=OC29)*('Margin Guidence Table'!$I$1:$I$10000&lt;=ROUND($NU$3,0))*('Margin Guidence Table'!$J$1:$J$10000&gt;=ROUND($NU$3,0)),0),MATCH("DEFAULT_SALES_LBS",'Margin Guidence Table'!$A$1:$AG$1,0))),0))</f>
        <v>0</v>
      </c>
      <c r="OH29" s="784">
        <f t="array" ref="OH29">IF('Customer Inputs'!$W$20="End",0,IFERROR(IF($OE29="SEGMENT",INDEX('Margin Guidence Table'!$A$1:$AG$10000,MATCH(1,('Margin Guidence Table'!$A$1:$A$10000=OC29)*('Margin Guidence Table'!$I$1:$I$10000&lt;=ROUND($NU$3,0))*('Margin Guidence Table'!$J$1:$J$10000&gt;=ROUND($NU$3,0)),0),MATCH("MDA_MIN_MARGIN_GUIDENCE",'Margin Guidence Table'!$A$1:$AG$1,0)),INDEX('Margin Guidence Table'!$A$1:$AG$10000,MATCH(1,('Margin Guidence Table'!$A$1:$A$10000=OC29)*('Margin Guidence Table'!$I$1:$I$10000&lt;=ROUND($NU$3,0))*('Margin Guidence Table'!$J$1:$J$10000&gt;=ROUND($NU$3,0)),0),MATCH("DEFAULT_MDA_MIN_MARGIN_GUIDENCE",'Margin Guidence Table'!$A$1:$AG$1,0))),0))</f>
        <v>0</v>
      </c>
      <c r="OI29" s="784">
        <f t="array" ref="OI29">IF('Customer Inputs'!$W$20="End",0,IFERROR(IF($OE29="SEGMENT",INDEX('Margin Guidence Table'!$A$1:$AG$10000,MATCH(1,('Margin Guidence Table'!$A$1:$A$10000=OC29)*('Margin Guidence Table'!$I$1:$I$10000&lt;=ROUND($NU$3,0))*('Margin Guidence Table'!$J$1:$J$10000&gt;=ROUND($NU$3,0)),0),MATCH("MDA_MEDIAN_MARGIN_GUIDENCE",'Margin Guidence Table'!$A$1:$AG$1,0)),INDEX('Margin Guidence Table'!$A$1:$AG$10000,MATCH(1,('Margin Guidence Table'!$A$1:$A$10000=OC29)*('Margin Guidence Table'!$I$1:$I$10000&lt;=ROUND($NU$3,0))*('Margin Guidence Table'!$J$1:$J$10000&gt;=ROUND($NU$3,0)),0),MATCH("DEFAULT_MDA_MEDIAN_MARGIN_GUIDENCE",'Margin Guidence Table'!$A$1:$AG$1,0))),0))</f>
        <v>0</v>
      </c>
      <c r="OJ29" s="784">
        <f t="array" ref="OJ29">IF('Customer Inputs'!$W$20="End",0,IFERROR(IF($OE29="SEGMENT",INDEX('Margin Guidence Table'!$A$1:$AG$10000,MATCH(1,('Margin Guidence Table'!$A$1:$A$10000=OC29)*('Margin Guidence Table'!$I$1:$I$10000&lt;=ROUND($NU$3,0))*('Margin Guidence Table'!$J$1:$J$10000&gt;=ROUND($NU$3,0)),0),MATCH("MDA_MAX_MARGIN_GUIDENCE",'Margin Guidence Table'!$A$1:$AG$1,0)),INDEX('Margin Guidence Table'!$A$1:$AG$10000,MATCH(1,('Margin Guidence Table'!$A$1:$A$10000=OC29)*('Margin Guidence Table'!$I$1:$I$10000&lt;=ROUND($NU$3,0))*('Margin Guidence Table'!$J$1:$J$10000&gt;=ROUND($NU$3,0)),0),MATCH("DEFAULT_MDA_MAX_MARGIN_GUIDENCE",'Margin Guidence Table'!$A$1:$AG$1,0))),0))</f>
        <v>0</v>
      </c>
      <c r="OK29" s="784">
        <f t="array" ref="OK29">IF('Customer Inputs'!$W$20="End",0,IFERROR(IF($OE29="SEGMENT",INDEX('Margin Guidence Table'!$A$1:$AG$10000,MATCH(1,('Margin Guidence Table'!$A$1:$A$10000=OC29)*('Margin Guidence Table'!$I$1:$I$10000&lt;=ROUND($NU$3,0))*('Margin Guidence Table'!$J$1:$J$10000&gt;=ROUND($NU$3,0)),0),MATCH("PA_PCT_SALES",'Margin Guidence Table'!$A$1:$AG$1,0)),INDEX('Margin Guidence Table'!$A$1:$AG$10000,MATCH(1,('Margin Guidence Table'!$A$1:$A$10000=OC29)*('Margin Guidence Table'!$I$1:$I$10000&lt;=ROUND($NU$3,0))*('Margin Guidence Table'!$J$1:$J$10000&gt;=ROUND($NU$3,0)),0),MATCH("DEFAULT_PA_PCT_SALES",'Margin Guidence Table'!$A$1:$AG$1,0))),0))</f>
        <v>0</v>
      </c>
      <c r="OL29" s="784">
        <f t="array" ref="OL29">IF('Customer Inputs'!$W$20="End",0,IFERROR(IF($OE29="SEGMENT",INDEX('Margin Guidence Table'!$A$1:$AG$10000,MATCH(1,('Margin Guidence Table'!$A$1:$A$10000=OC29)*('Margin Guidence Table'!$I$1:$I$10000&lt;=ROUND($NU$3,0))*('Margin Guidence Table'!$J$1:$J$10000&gt;=ROUND($NU$3,0)),0),MATCH("SELF_FUND_PCT_SALES",'Margin Guidence Table'!$A$1:$AG$1,0)),INDEX('Margin Guidence Table'!$A$1:$AG$10000,MATCH(1,('Margin Guidence Table'!$A$1:$A$10000=OC29)*('Margin Guidence Table'!$I$1:$I$10000&lt;=ROUND($NU$3,0))*('Margin Guidence Table'!$J$1:$J$10000&gt;=ROUND($NU$3,0)),0),MATCH("DEFAULT_SELF_FUND_PCT_SALES",'Margin Guidence Table'!$A$1:$AG$1,0))),0))</f>
        <v>0</v>
      </c>
      <c r="OM29" s="784">
        <f t="array" ref="OM29">IF('Customer Inputs'!$W$20="End",0,IF($NV$2="Existing",IFERROR(SUMIFS('Existing Customers'!$V:$V,'Existing Customers'!$H:$H,$NT29,'Existing Customers'!$A:$A,$NU$1)/SUMIFS('Existing Customers'!$Q:$Q,'Existing Customers'!$H:$H,$NT29,'Existing Customers'!$A:$A,$NU$1),0),IFERROR(IF($OE29="SEGMENT",INDEX('Margin Guidence Table'!$A$1:$AG$10000,MATCH(1,('Margin Guidence Table'!$A$1:$A$10000=OC29)*('Margin Guidence Table'!$I$1:$I$10000&lt;=ROUND($NU$3,0))*('Margin Guidence Table'!$J$1:$J$10000&gt;=ROUND($NU$3,0)),0),MATCH("CIA_MEDIAN_MARGIN_GUIDENCE",'Margin Guidence Table'!$A$1:$AG$1,0)),INDEX('Margin Guidence Table'!$A$1:$AG$10000,MATCH(1,('Margin Guidence Table'!$A$1:$A$10000=OC29)*('Margin Guidence Table'!$I$1:$I$10000&lt;=ROUND($NU$3,0))*('Margin Guidence Table'!$J$1:$J$10000&gt;=ROUND($NU$3,0)),0),MATCH("DEFAULT_CIA_MEDIAN_MARGIN_GUIDENCE",'Margin Guidence Table'!$A$1:$AG$1,0))),0)))</f>
        <v>0</v>
      </c>
      <c r="ON29" s="784"/>
      <c r="OO29" s="18">
        <f t="array" ref="OO29">IF('Customer Inputs'!$W$21="End",0,IFERROR(IF($PB29="SEGMENT",INDEX('Margin Guidence Table'!$A$1:$AG$10000,MATCH(1,('Margin Guidence Table'!$A$1:$A$10000=$OZ29)*('Margin Guidence Table'!$I$1:$I$10000&lt;=ROUND($OR$3,0))*('Margin Guidence Table'!$J$1:$J$10000&gt;=ROUND($OR$3,0)),0),MATCH("PCT_SALES",'Margin Guidence Table'!$A$1:$AG$1,0)),INDEX('Margin Guidence Table'!$A$1:$AG$10000,MATCH(1,('Margin Guidence Table'!$A$1:$A$10000=$OZ29)*('Margin Guidence Table'!$I$1:$I$10000&lt;=ROUND($OR$3,0))*('Margin Guidence Table'!$J$1:$J$10000&gt;=ROUND($OR$3,0)),0),MATCH("DEFAULT_PCT_SALES",'Margin Guidence Table'!$A$1:$AG$1,0))),0))</f>
        <v>0</v>
      </c>
      <c r="OP29" s="1713" t="e">
        <f t="shared" si="62"/>
        <v>#DIV/0!</v>
      </c>
      <c r="OQ29" s="99" t="s">
        <v>90</v>
      </c>
      <c r="OR29" s="91">
        <f>IF('Customer Inputs'!$W$21="End",0,IFERROR(IF(AND($OR$2&lt;&gt;"Enter Spend&gt;&gt;&gt;",$OS$2="EXISTING"),SUMIFS('Existing Customers'!$Q:$Q,'Existing Customers'!$A:$A,$OR$1,'Existing Customers'!$H:$H,$OQ29)*$OR$4,$OR$3*$OP29),0))</f>
        <v>0</v>
      </c>
      <c r="OS29" s="86">
        <f>IF('Customer Inputs'!$W$21="End",0,IFERROR(IF(AND($OR$2&lt;&gt;"Enter Spend&gt;&gt;&gt;",$OS$2="EXISTING"),SUMIFS('Existing Customers'!$N:$N,'Existing Customers'!$A:$A,$OR$1,'Existing Customers'!$H:$H,$OQ29)*$OR$4,$OR29/$PC29),0))</f>
        <v>0</v>
      </c>
      <c r="OT29" s="92">
        <f>IF('Customer Inputs'!$W$21="End",0,IFERROR(IF(AND($OR$2&lt;&gt;"Enter Spend&gt;&gt;&gt;",$OS$2="EXISTING"),SUMIFS('Existing Customers'!$O:$O,'Existing Customers'!$H:$H,$OQ29,'Existing Customers'!$A:$A,$OR$1)*$OR$4,$OS29*$OR$8),0))</f>
        <v>0</v>
      </c>
      <c r="OU29" s="92">
        <f>IF('Customer Inputs'!$W$21="End",0,IFERROR(IF(AND($OR$2&lt;&gt;"Enter Spend&gt;&gt;&gt;",$OS$2="EXISTING"),SUMIFS('Existing Customers'!$P:$P,'Existing Customers'!$A:$A,$OR$1,'Existing Customers'!$H:$H,$OQ29)*$OR$4,$OR29/$PD29),0))</f>
        <v>0</v>
      </c>
      <c r="OV29" s="303">
        <f>IF('Customer Inputs'!$W$21="End",0,IFERROR(IF(AND($OR$2&lt;&gt;"Enter Spend&gt;&gt;&gt;",$OS$2="EXISTING"),SUMIFS('Existing Customers'!$V:$V,'Existing Customers'!$H:$H,$OQ29,'Existing Customers'!$A:$A,$OR$1)*$OR$4,0),0))</f>
        <v>0</v>
      </c>
      <c r="OW29" s="93">
        <f>IF('Customer Inputs'!$W$21="End",0,IFERROR(IF(AND($OR$2&lt;&gt;"Enter Spend&gt;&gt;&gt;",$OS$2="EXISTING"),SUMIFS('Existing Customers'!$R:$R,'Existing Customers'!$H:$H,$OP29,'Existing Customers'!$A:$A,$OR$1)*$OR$4,0),0))</f>
        <v>0</v>
      </c>
      <c r="OX29" s="780">
        <f>IF('Customer Inputs'!$W$21="End",0,IFERROR(IF(AND($OR$2&lt;&gt;"Enter Spend&gt;&gt;&gt;",$OS$2="EXISTING"),SUMIFS('Existing Customers'!$S:$S,'Existing Customers'!$H:$H,$OQ29,'Existing Customers'!$A:$A,$OR$1)/SUMIFS('Existing Customers'!$Q:$Q,'Existing Customers'!$A:$A,$OR$1,'Existing Customers'!$H:$H,$OQ29),PH29),0))</f>
        <v>0</v>
      </c>
      <c r="OY29" s="780">
        <f>IF('Customer Inputs'!$W$21="End",0,IFERROR(IF(AND($OR$2&lt;&gt;"Enter Spend&gt;&gt;&gt;",$OS$2="EXISTING"),SUMIFS('Existing Customers'!$U:$U,'Existing Customers'!$H:$H,$OQ29,'Existing Customers'!$A:$A,$OR$1)/SUMIFS('Existing Customers'!$Q:$Q,'Existing Customers'!$A:$A,$OR$1,'Existing Customers'!$H:$H,$OQ29),PI29),0))</f>
        <v>0</v>
      </c>
      <c r="OZ29" s="783" t="e">
        <f>_xlfn.CONCAT('Customer Inputs'!$AH$21,"_",OQ29)</f>
        <v>#N/A</v>
      </c>
      <c r="PA29" s="783">
        <f t="array" ref="PA29">IF('Customer Inputs'!$W$22="End",0,IFERROR(INDEX('Margin Guidence Table'!$A$1:$AG$10000,MATCH(1,('Margin Guidence Table'!$A$1:$A$10000=OZ29)*('Margin Guidence Table'!$I$1:$I$10000&lt;=ROUND($OR$3,0))*('Margin Guidence Table'!$J$1:$J$10000&gt;=ROUND($OR$3,0)),0),MATCH("DATA_POINTS",'Margin Guidence Table'!$A$1:$AG$1,0)),0))</f>
        <v>0</v>
      </c>
      <c r="PB29" s="780" t="str">
        <f t="shared" si="63"/>
        <v>DEFAULT</v>
      </c>
      <c r="PC29" s="780">
        <f t="array" ref="PC29">IF('Customer Inputs'!$W$21="End",0,IFERROR(IF($PB29="SEGMENT",INDEX('Margin Guidence Table'!$A$1:$AG$10000,MATCH(1,('Margin Guidence Table'!$A$1:$A$10000=OZ29)*('Margin Guidence Table'!$I$1:$I$10000&lt;=ROUND($OR$3,0))*('Margin Guidence Table'!$J$1:$J$10000&gt;=ROUND($OR$3,0)),0),MATCH("SALES_CASE",'Margin Guidence Table'!$A$1:$AG$1,0)),INDEX('Margin Guidence Table'!$A$1:$AG$10000,MATCH(1,('Margin Guidence Table'!$A$1:$A$10000=OZ29)*('Margin Guidence Table'!$I$1:$I$10000&lt;=ROUND($OR$3,0))*('Margin Guidence Table'!$J$1:$J$10000&gt;=ROUND($OR$3,0)),0),MATCH("DEFAULT_SALES_CASE",'Margin Guidence Table'!$A$1:$AG$1,0))),0))</f>
        <v>0</v>
      </c>
      <c r="PD29" s="780">
        <f t="array" ref="PD29">IF('Customer Inputs'!$W$21="End",0,IFERROR(IF($PB29="SEGMENT",INDEX('Margin Guidence Table'!$A$1:$AG$10000,MATCH(1,('Margin Guidence Table'!$A$1:$A$10000=OZ29)*('Margin Guidence Table'!$I$1:$I$10000&lt;=ROUND($OR$3,0))*('Margin Guidence Table'!$J$1:$J$10000&gt;=ROUND($OR$3,0)),0),MATCH("SALES_LBS",'Margin Guidence Table'!$A$1:$AG$1,0)),INDEX('Margin Guidence Table'!$A$1:$AG$10000,MATCH(1,('Margin Guidence Table'!$A$1:$A$10000=OZ29)*('Margin Guidence Table'!$I$1:$I$10000&lt;=ROUND($OR$3,0))*('Margin Guidence Table'!$J$1:$J$10000&gt;=ROUND($OR$3,0)),0),MATCH("DEFAULT_SALES_LBS",'Margin Guidence Table'!$A$1:$AG$1,0))),0))</f>
        <v>0</v>
      </c>
      <c r="PE29" s="784">
        <f t="array" ref="PE29">IF('Customer Inputs'!$W$21="End",0,IFERROR(IF($PB29="SEGMENT",INDEX('Margin Guidence Table'!$A$1:$AG$10000,MATCH(1,('Margin Guidence Table'!$A$1:$A$10000=OZ29)*('Margin Guidence Table'!$I$1:$I$10000&lt;=ROUND($OR$3,0))*('Margin Guidence Table'!$J$1:$J$10000&gt;=ROUND($OR$3,0)),0),MATCH("MDA_MIN_MARGIN_GUIDENCE",'Margin Guidence Table'!$A$1:$AG$1,0)),INDEX('Margin Guidence Table'!$A$1:$AG$10000,MATCH(1,('Margin Guidence Table'!$A$1:$A$10000=OZ29)*('Margin Guidence Table'!$I$1:$I$10000&lt;=ROUND($OR$3,0))*('Margin Guidence Table'!$J$1:$J$10000&gt;=ROUND($OR$3,0)),0),MATCH("DEFAULT_MDA_MIN_MARGIN_GUIDENCE",'Margin Guidence Table'!$A$1:$AG$1,0))),0))</f>
        <v>0</v>
      </c>
      <c r="PF29" s="784">
        <f t="array" ref="PF29">IF('Customer Inputs'!$W$21="End",0,IFERROR(IF($PB29="SEGMENT",INDEX('Margin Guidence Table'!$A$1:$AG$10000,MATCH(1,('Margin Guidence Table'!$A$1:$A$10000=OZ29)*('Margin Guidence Table'!$I$1:$I$10000&lt;=ROUND($OR$3,0))*('Margin Guidence Table'!$J$1:$J$10000&gt;=ROUND($OR$3,0)),0),MATCH("MDA_MEDIAN_MARGIN_GUIDENCE",'Margin Guidence Table'!$A$1:$AG$1,0)),INDEX('Margin Guidence Table'!$A$1:$AG$10000,MATCH(1,('Margin Guidence Table'!$A$1:$A$10000=OZ29)*('Margin Guidence Table'!$I$1:$I$10000&lt;=ROUND($OR$3,0))*('Margin Guidence Table'!$J$1:$J$10000&gt;=ROUND($OR$3,0)),0),MATCH("DEFAULT_MDA_MEDIAN_MARGIN_GUIDENCE",'Margin Guidence Table'!$A$1:$AG$1,0))),0))</f>
        <v>0</v>
      </c>
      <c r="PG29" s="784">
        <f t="array" ref="PG29">IF('Customer Inputs'!$W$21="End",0,IFERROR(IF($PB29="SEGMENT",INDEX('Margin Guidence Table'!$A$1:$AG$10000,MATCH(1,('Margin Guidence Table'!$A$1:$A$10000=OZ29)*('Margin Guidence Table'!$I$1:$I$10000&lt;=ROUND($OR$3,0))*('Margin Guidence Table'!$J$1:$J$10000&gt;=ROUND($OR$3,0)),0),MATCH("MDA_MAX_MARGIN_GUIDENCE",'Margin Guidence Table'!$A$1:$AG$1,0)),INDEX('Margin Guidence Table'!$A$1:$AG$10000,MATCH(1,('Margin Guidence Table'!$A$1:$A$10000=OZ29)*('Margin Guidence Table'!$I$1:$I$10000&lt;=ROUND($OR$3,0))*('Margin Guidence Table'!$J$1:$J$10000&gt;=ROUND($OR$3,0)),0),MATCH("DEFAULT_MDA_MAX_MARGIN_GUIDENCE",'Margin Guidence Table'!$A$1:$AG$1,0))),0))</f>
        <v>0</v>
      </c>
      <c r="PH29" s="784">
        <f t="array" ref="PH29">IF('Customer Inputs'!$W$21="End",0,IFERROR(IF($PB29="SEGMENT",INDEX('Margin Guidence Table'!$A$1:$AG$10000,MATCH(1,('Margin Guidence Table'!$A$1:$A$10000=OZ29)*('Margin Guidence Table'!$I$1:$I$10000&lt;=ROUND($OR$3,0))*('Margin Guidence Table'!$J$1:$J$10000&gt;=ROUND($OR$3,0)),0),MATCH("PA_PCT_SALES",'Margin Guidence Table'!$A$1:$AG$1,0)),INDEX('Margin Guidence Table'!$A$1:$AG$10000,MATCH(1,('Margin Guidence Table'!$A$1:$A$10000=OZ29)*('Margin Guidence Table'!$I$1:$I$10000&lt;=ROUND($OR$3,0))*('Margin Guidence Table'!$J$1:$J$10000&gt;=ROUND($OR$3,0)),0),MATCH("DEFAULT_PA_PCT_SALES",'Margin Guidence Table'!$A$1:$AG$1,0))),0))</f>
        <v>0</v>
      </c>
      <c r="PI29" s="784">
        <f t="array" ref="PI29">IF('Customer Inputs'!$W$21="End",0,IFERROR(IF($PB29="SEGMENT",INDEX('Margin Guidence Table'!$A$1:$AG$10000,MATCH(1,('Margin Guidence Table'!$A$1:$A$10000=OZ29)*('Margin Guidence Table'!$I$1:$I$10000&lt;=ROUND($OR$3,0))*('Margin Guidence Table'!$J$1:$J$10000&gt;=ROUND($OR$3,0)),0),MATCH("SELF_FUND_PCT_SALES",'Margin Guidence Table'!$A$1:$AG$1,0)),INDEX('Margin Guidence Table'!$A$1:$AG$10000,MATCH(1,('Margin Guidence Table'!$A$1:$A$10000=OZ29)*('Margin Guidence Table'!$I$1:$I$10000&lt;=ROUND($OR$3,0))*('Margin Guidence Table'!$J$1:$J$10000&gt;=ROUND($OR$3,0)),0),MATCH("DEFAULT_SELF_FUND_PCT_SALES",'Margin Guidence Table'!$A$1:$AG$1,0))),0))</f>
        <v>0</v>
      </c>
      <c r="PJ29" s="784">
        <f t="array" ref="PJ29">IF('Customer Inputs'!$W$21="End",0,IF($OS$2="Existing",IFERROR(SUMIFS('Existing Customers'!$V:$V,'Existing Customers'!$H:$H,$OQ29,'Existing Customers'!$A:$A,$OR$1)/SUMIFS('Existing Customers'!$Q:$Q,'Existing Customers'!$H:$H,$OQ29,'Existing Customers'!$A:$A,$OR$1),0),IFERROR(IF($PB29="SEGMENT",INDEX('Margin Guidence Table'!$A$1:$AG$10000,MATCH(1,('Margin Guidence Table'!$A$1:$A$10000=OZ29)*('Margin Guidence Table'!$I$1:$I$10000&lt;=ROUND($OR$3,0))*('Margin Guidence Table'!$J$1:$J$10000&gt;=ROUND($OR$3,0)),0),MATCH("CIA_MEDIAN_MARGIN_GUIDENCE",'Margin Guidence Table'!$A$1:$AG$1,0)),INDEX('Margin Guidence Table'!$A$1:$AG$10000,MATCH(1,('Margin Guidence Table'!$A$1:$A$10000=OZ29)*('Margin Guidence Table'!$I$1:$I$10000&lt;=ROUND($OR$3,0))*('Margin Guidence Table'!$J$1:$J$10000&gt;=ROUND($OR$3,0)),0),MATCH("DEFAULT_CIA_MEDIAN_MARGIN_GUIDENCE",'Margin Guidence Table'!$A$1:$AG$1,0))),0)))</f>
        <v>0</v>
      </c>
      <c r="PK29" s="784"/>
      <c r="PL29" s="18">
        <f t="array" ref="PL29">IF('Customer Inputs'!$W$22="End",0,IFERROR(IF($PY29="SEGMENT",INDEX('Margin Guidence Table'!$A$1:$AG$10000,MATCH(1,('Margin Guidence Table'!$A$1:$A$10000=$PW29)*('Margin Guidence Table'!$I$1:$I$10000&lt;=ROUND($PO$3,0))*('Margin Guidence Table'!$J$1:$J$10000&gt;=ROUND($PO$3,0)),0),MATCH("PCT_SALES",'Margin Guidence Table'!$A$1:$AG$1,0)),INDEX('Margin Guidence Table'!$A$1:$AG$10000,MATCH(1,('Margin Guidence Table'!$A$1:$A$10000=$PW29)*('Margin Guidence Table'!$I$1:$I$10000&lt;=ROUND($PO$3,0))*('Margin Guidence Table'!$J$1:$J$10000&gt;=ROUND($PO$3,0)),0),MATCH("DEFAULT_PCT_SALES",'Margin Guidence Table'!$A$1:$AG$1,0))),0))</f>
        <v>0</v>
      </c>
      <c r="PM29" s="1713" t="e">
        <f t="shared" si="64"/>
        <v>#DIV/0!</v>
      </c>
      <c r="PN29" s="99" t="s">
        <v>90</v>
      </c>
      <c r="PO29" s="91">
        <f>IF('Customer Inputs'!$W$22="End",0,IFERROR(IF(AND($PO$2&lt;&gt;"Enter Spend&gt;&gt;&gt;",$PP$2="EXISTING"),SUMIFS('Existing Customers'!$Q:$Q,'Existing Customers'!$A:$A,$PO$1,'Existing Customers'!$H:$H,$PN29)*$PO$4,$PO$3*$PM29),0))</f>
        <v>0</v>
      </c>
      <c r="PP29" s="86">
        <f>IF('Customer Inputs'!$W$22="End",0,IFERROR(IF(AND($PO$2&lt;&gt;"Enter Spend&gt;&gt;&gt;",$PP$2="EXISTING"),SUMIFS('Existing Customers'!$N:$N,'Existing Customers'!$A:$A,$PO$1,'Existing Customers'!$H:$H,$PN29)*$PO$4,$PO29/$PZ29),0))</f>
        <v>0</v>
      </c>
      <c r="PQ29" s="92">
        <f>IF('Customer Inputs'!$W$22="End",0,IFERROR(IF(AND($PO$2&lt;&gt;"Enter Spend&gt;&gt;&gt;",$PP$2="EXISTING"),SUMIFS('Existing Customers'!$O:$O,'Existing Customers'!$H:$H,$PN29,'Existing Customers'!$A:$A,$PO$1)*$PO$4,$PP29*$PO$8),0))</f>
        <v>0</v>
      </c>
      <c r="PR29" s="92">
        <f>IF('Customer Inputs'!$W$22="End",0,IFERROR(IF(AND($PO$2&lt;&gt;"Enter Spend&gt;&gt;&gt;",$PP$2="EXISTING"),SUMIFS('Existing Customers'!$P:$P,'Existing Customers'!$A:$A,$PO$1,'Existing Customers'!$H:$H,$PN29)*$PO$4,$PO29/$QA29),0))</f>
        <v>0</v>
      </c>
      <c r="PS29" s="303">
        <f>IF('Customer Inputs'!$W$22="End",0,IFERROR(IF(AND($PO$2&lt;&gt;"Enter Spend&gt;&gt;&gt;",$PP$2="EXISTING"),SUMIFS('Existing Customers'!$V:$V,'Existing Customers'!$H:$H,$PN29,'Existing Customers'!$A:$A,$PO$1)*$PO$4,0),0))</f>
        <v>0</v>
      </c>
      <c r="PT29" s="93">
        <f>IF('Customer Inputs'!$W$22="End",0,IFERROR(IF(AND($PO$2&lt;&gt;"Enter Spend&gt;&gt;&gt;",$PP$2="EXISTING"),SUMIFS('Existing Customers'!$R:$R,'Existing Customers'!$H:$H,$PN29,'Existing Customers'!$A:$A,$PO$1)*$PO$4,0),0))</f>
        <v>0</v>
      </c>
      <c r="PU29" s="780">
        <f>IF('Customer Inputs'!$W$22="End",0,IFERROR(IF(AND($PO$2&lt;&gt;"Enter Spend&gt;&gt;&gt;",$PP$2="EXISTING"),SUMIFS('Existing Customers'!$S:$S,'Existing Customers'!$H:$H,$PN29,'Existing Customers'!$A:$A,$PO$1)/SUMIFS('Existing Customers'!$Q:$Q,'Existing Customers'!$A:$A,$PO$1,'Existing Customers'!$H:$H,$PN29),QE29),0))</f>
        <v>0</v>
      </c>
      <c r="PV29" s="780">
        <f>IF('Customer Inputs'!$W$22="End",0,IFERROR(IF(AND($PO$2&lt;&gt;"Enter Spend&gt;&gt;&gt;",$PP$2="EXISTING"),SUMIFS('Existing Customers'!$U:$U,'Existing Customers'!$H:$H,$PN29,'Existing Customers'!$A:$A,$PO$1)/SUMIFS('Existing Customers'!$Q:$Q,'Existing Customers'!$A:$A,$PO$1,'Existing Customers'!$H:$H,$PN29),QF29),0))</f>
        <v>0</v>
      </c>
      <c r="PW29" s="783" t="e">
        <f>_xlfn.CONCAT('Customer Inputs'!$AH$22,"_",PN29)</f>
        <v>#N/A</v>
      </c>
      <c r="PX29" s="783">
        <f t="array" ref="PX29">IF('Customer Inputs'!$W$22="End",0,IFERROR(INDEX('Margin Guidence Table'!$A$1:$AG$10000,MATCH(1,('Margin Guidence Table'!$A$1:$A$10000=PW29)*('Margin Guidence Table'!$I$1:$I$10000&lt;=ROUND($PO$3,0))*('Margin Guidence Table'!$J$1:$J$10000&gt;=ROUND($PO$3,0)),0),MATCH("DATA_POINTS",'Margin Guidence Table'!$A$1:$AG$1,0)),0))</f>
        <v>0</v>
      </c>
      <c r="PY29" s="780" t="str">
        <f t="shared" si="65"/>
        <v>DEFAULT</v>
      </c>
      <c r="PZ29" s="780">
        <f t="array" ref="PZ29">IF('Customer Inputs'!$W$22="End",0,IFERROR(IF($PY29="SEGMENT",INDEX('Margin Guidence Table'!$A$1:$AG$10000,MATCH(1,('Margin Guidence Table'!$A$1:$A$10000=PW29)*('Margin Guidence Table'!$I$1:$I$10000&lt;=ROUND($PO$3,0))*('Margin Guidence Table'!$J$1:$J$10000&gt;=ROUND($PO$3,0)),0),MATCH("SALES_CASE",'Margin Guidence Table'!$A$1:$AG$1,0)),INDEX('Margin Guidence Table'!$A$1:$AG$10000,MATCH(1,('Margin Guidence Table'!$A$1:$A$10000=PW29)*('Margin Guidence Table'!$I$1:$I$10000&lt;=ROUND($PO$3,0))*('Margin Guidence Table'!$J$1:$J$10000&gt;=ROUND($PO$3,0)),0),MATCH("DEFAULT_SALES_CASE",'Margin Guidence Table'!$A$1:$AG$1,0))),0))</f>
        <v>0</v>
      </c>
      <c r="QA29" s="780">
        <f t="array" ref="QA29">IF('Customer Inputs'!$W$22="End",0,IFERROR(IF($PY29="SEGMENT",INDEX('Margin Guidence Table'!$A$1:$AG$10000,MATCH(1,('Margin Guidence Table'!$A$1:$A$10000=PW29)*('Margin Guidence Table'!$I$1:$I$10000&lt;=ROUND($PO$3,0))*('Margin Guidence Table'!$J$1:$J$10000&gt;=ROUND($PO$3,0)),0),MATCH("SALES_LBS",'Margin Guidence Table'!$A$1:$AG$1,0)),INDEX('Margin Guidence Table'!$A$1:$AG$10000,MATCH(1,('Margin Guidence Table'!$A$1:$A$10000=PW29)*('Margin Guidence Table'!$I$1:$I$10000&lt;=ROUND($PO$3,0))*('Margin Guidence Table'!$J$1:$J$10000&gt;=ROUND($PO$3,0)),0),MATCH("DEFAULT_SALES_LBS",'Margin Guidence Table'!$A$1:$AG$1,0))),0))</f>
        <v>0</v>
      </c>
      <c r="QB29" s="784">
        <f t="array" ref="QB29">IF('Customer Inputs'!$W$22="End",0,IFERROR(IF($PY29="SEGMENT",INDEX('Margin Guidence Table'!$A$1:$AG$10000,MATCH(1,('Margin Guidence Table'!$A$1:$A$10000=PW29)*('Margin Guidence Table'!$I$1:$I$10000&lt;=ROUND($PO$3,0))*('Margin Guidence Table'!$J$1:$J$10000&gt;=ROUND($PO$3,0)),0),MATCH("MDA_MIN_MARGIN_GUIDENCE",'Margin Guidence Table'!$A$1:$AG$1,0)),INDEX('Margin Guidence Table'!$A$1:$AG$10000,MATCH(1,('Margin Guidence Table'!$A$1:$A$10000=PW29)*('Margin Guidence Table'!$I$1:$I$10000&lt;=ROUND($PO$3,0))*('Margin Guidence Table'!$J$1:$J$10000&gt;=ROUND($PO$3,0)),0),MATCH("DEFAULT_MDA_MIN_MARGIN_GUIDENCE",'Margin Guidence Table'!$A$1:$AG$1,0))),0))</f>
        <v>0</v>
      </c>
      <c r="QC29" s="784">
        <f t="array" ref="QC29">IF('Customer Inputs'!$W$22="End",0,IFERROR(IF($PY29="SEGMENT",INDEX('Margin Guidence Table'!$A$1:$AG$10000,MATCH(1,('Margin Guidence Table'!$A$1:$A$10000=PW29)*('Margin Guidence Table'!$I$1:$I$10000&lt;=ROUND($PO$3,0))*('Margin Guidence Table'!$J$1:$J$10000&gt;=ROUND($PO$3,0)),0),MATCH("MDA_MEDIAN_MARGIN_GUIDENCE",'Margin Guidence Table'!$A$1:$AG$1,0)),INDEX('Margin Guidence Table'!$A$1:$AG$10000,MATCH(1,('Margin Guidence Table'!$A$1:$A$10000=PW29)*('Margin Guidence Table'!$I$1:$I$10000&lt;=ROUND($PO$3,0))*('Margin Guidence Table'!$J$1:$J$10000&gt;=ROUND($PO$3,0)),0),MATCH("DEFAULT_MDA_MEDIAN_MARGIN_GUIDENCE",'Margin Guidence Table'!$A$1:$AG$1,0))),0))</f>
        <v>0</v>
      </c>
      <c r="QD29" s="784">
        <f t="array" ref="QD29">IF('Customer Inputs'!$W$22="End",0,IFERROR(IF($PY29="SEGMENT",INDEX('Margin Guidence Table'!$A$1:$AG$10000,MATCH(1,('Margin Guidence Table'!$A$1:$A$10000=PW29)*('Margin Guidence Table'!$I$1:$I$10000&lt;=ROUND($PO$3,0))*('Margin Guidence Table'!$J$1:$J$10000&gt;=ROUND($PO$3,0)),0),MATCH("MDA_MAX_MARGIN_GUIDENCE",'Margin Guidence Table'!$A$1:$AG$1,0)),INDEX('Margin Guidence Table'!$A$1:$AG$10000,MATCH(1,('Margin Guidence Table'!$A$1:$A$10000=PW29)*('Margin Guidence Table'!$I$1:$I$10000&lt;=ROUND($PO$3,0))*('Margin Guidence Table'!$J$1:$J$10000&gt;=ROUND($PO$3,0)),0),MATCH("DEFAULT_MDA_MAX_MARGIN_GUIDENCE",'Margin Guidence Table'!$A$1:$AG$1,0))),0))</f>
        <v>0</v>
      </c>
      <c r="QE29" s="784">
        <f t="array" ref="QE29">IF('Customer Inputs'!$W$22="End",0,IFERROR(IF($PY29="SEGMENT",INDEX('Margin Guidence Table'!$A$1:$AG$10000,MATCH(1,('Margin Guidence Table'!$A$1:$A$10000=PW29)*('Margin Guidence Table'!$I$1:$I$10000&lt;=ROUND($PO$3,0))*('Margin Guidence Table'!$J$1:$J$10000&gt;=ROUND($PO$3,0)),0),MATCH("PA_PCT_SALES",'Margin Guidence Table'!$A$1:$AG$1,0)),INDEX('Margin Guidence Table'!$A$1:$AG$10000,MATCH(1,('Margin Guidence Table'!$A$1:$A$10000=PW29)*('Margin Guidence Table'!$I$1:$I$10000&lt;=ROUND($PO$3,0))*('Margin Guidence Table'!$J$1:$J$10000&gt;=ROUND($PO$3,0)),0),MATCH("DEFAULT_PA_PCT_SALES",'Margin Guidence Table'!$A$1:$AG$1,0))),0))</f>
        <v>0</v>
      </c>
      <c r="QF29" s="784">
        <f t="array" ref="QF29">IF('Customer Inputs'!$W$22="End",0,IFERROR(IF($PY29="SEGMENT",INDEX('Margin Guidence Table'!$A$1:$AG$10000,MATCH(1,('Margin Guidence Table'!$A$1:$A$10000=PW29)*('Margin Guidence Table'!$I$1:$I$10000&lt;=ROUND($PO$3,0))*('Margin Guidence Table'!$J$1:$J$10000&gt;=ROUND($PO$3,0)),0),MATCH("SELF_FUND_PCT_SALES",'Margin Guidence Table'!$A$1:$AG$1,0)),INDEX('Margin Guidence Table'!$A$1:$AG$10000,MATCH(1,('Margin Guidence Table'!$A$1:$A$10000=PW29)*('Margin Guidence Table'!$I$1:$I$10000&lt;=ROUND($PO$3,0))*('Margin Guidence Table'!$J$1:$J$10000&gt;=ROUND($PO$3,0)),0),MATCH("DEFAULT_SELF_FUND_PCT_SALES",'Margin Guidence Table'!$A$1:$AG$1,0))),0))</f>
        <v>0</v>
      </c>
      <c r="QG29" s="784">
        <f t="array" ref="QG29">IF('Customer Inputs'!$W$22="End",0,IF($PP$2="Existing",IFERROR(SUMIFS('Existing Customers'!$V:$V,'Existing Customers'!$H:$H,$PN29,'Existing Customers'!$A:$A,$PO$1)/SUMIFS('Existing Customers'!$Q:$Q,'Existing Customers'!$H:$H,$PN29,'Existing Customers'!$A:$A,$PO$1),0),IFERROR(IF($PY29="SEGMENT",INDEX('Margin Guidence Table'!$A$1:$AG$10000,MATCH(1,('Margin Guidence Table'!$A$1:$A$10000=PW29)*('Margin Guidence Table'!$I$1:$I$10000&lt;=ROUND($PO$3,0))*('Margin Guidence Table'!$J$1:$J$10000&gt;=ROUND($PO$3,0)),0),MATCH("CIA_MEDIAN_MARGIN_GUIDENCE",'Margin Guidence Table'!$A$1:$AG$1,0)),INDEX('Margin Guidence Table'!$A$1:$AG$10000,MATCH(1,('Margin Guidence Table'!$A$1:$A$10000=PW29)*('Margin Guidence Table'!$I$1:$I$10000&lt;=ROUND($PO$3,0))*('Margin Guidence Table'!$J$1:$J$10000&gt;=ROUND($PO$3,0)),0),MATCH("DEFAULT_CIA_MEDIAN_MARGIN_GUIDENCE",'Margin Guidence Table'!$A$1:$AG$1,0))),0)))</f>
        <v>0</v>
      </c>
      <c r="QH29" s="784"/>
      <c r="QI29" s="18">
        <f t="array" ref="QI29">IF('Customer Inputs'!$W$23="End",0,IFERROR(IF($QV29="SEGMENT",INDEX('Margin Guidence Table'!$A$1:$AG$10000,MATCH(1,('Margin Guidence Table'!$A$1:$A$10000=$QT29)*('Margin Guidence Table'!$I$1:$I$10000&lt;=ROUND($QL$3,0))*('Margin Guidence Table'!$J$1:$J$10000&gt;=ROUND($QL$3,0)),0),MATCH("PCT_SALES",'Margin Guidence Table'!$A$1:$AG$1,0)),INDEX('Margin Guidence Table'!$A$1:$AG$10000,MATCH(1,('Margin Guidence Table'!$A$1:$A$10000=$QT29)*('Margin Guidence Table'!$I$1:$I$10000&lt;=ROUND($QL$3,0))*('Margin Guidence Table'!$J$1:$J$10000&gt;=ROUND($QL$3,0)),0),MATCH("DEFAULT_PCT_SALES",'Margin Guidence Table'!$A$1:$AG$1,0))),0))</f>
        <v>0</v>
      </c>
      <c r="QJ29" s="1713" t="e">
        <f t="shared" si="66"/>
        <v>#DIV/0!</v>
      </c>
      <c r="QK29" s="99" t="s">
        <v>90</v>
      </c>
      <c r="QL29" s="91">
        <f>IF('Customer Inputs'!$W$23="End",0,IFERROR(IF(AND($QL$2&lt;&gt;"Enter Spend&gt;&gt;&gt;",$QM$2="EXISTING"),SUMIFS('Existing Customers'!$Q:$Q,'Existing Customers'!$A:$A,$QL$1,'Existing Customers'!$H:$H,$QK29)*$QL$4,$QL$3*$QJ29),0))</f>
        <v>0</v>
      </c>
      <c r="QM29" s="86">
        <f>IF('Customer Inputs'!$W$23="End",0,IFERROR(IF(AND($QL$2&lt;&gt;"Enter Spend&gt;&gt;&gt;",$QM$2="EXISTING"),SUMIFS('Existing Customers'!$N:$N,'Existing Customers'!$A:$A,$QL$1,'Existing Customers'!$H:$H,$QK29)*$QL$4,$QL29/$QW29),0))</f>
        <v>0</v>
      </c>
      <c r="QN29" s="92">
        <f>IF('Customer Inputs'!$W$23="End",0,IFERROR(IF(AND($QL$2&lt;&gt;"Enter Spend&gt;&gt;&gt;",$QM$2="EXISTING"),SUMIFS('Existing Customers'!$O:$O,'Existing Customers'!$H:$H,$QK29,'Existing Customers'!$A:$A,$QL$1)*$QL$4,$QM29*$QL$8),0))</f>
        <v>0</v>
      </c>
      <c r="QO29" s="92">
        <f>IF('Customer Inputs'!$W$23="End",0,IFERROR(IF(AND($QL$2&lt;&gt;"Enter Spend&gt;&gt;&gt;",$QM$2="EXISTING"),SUMIFS('Existing Customers'!$P:$P,'Existing Customers'!$A:$A,$QL$1,'Existing Customers'!$H:$H,$QK29)*$QL$4,$QL29/$QX29),0))</f>
        <v>0</v>
      </c>
      <c r="QP29" s="303">
        <f>IF('Customer Inputs'!$W$23="End",0,IFERROR(IF(AND($QL$2&lt;&gt;"Enter Spend&gt;&gt;&gt;",$QM$2="EXISTING"),SUMIFS('Existing Customers'!$V:$V,'Existing Customers'!$H:$H,$QK29,'Existing Customers'!$A:$A,$QL$1)*$QL$4,0),0))</f>
        <v>0</v>
      </c>
      <c r="QQ29" s="93">
        <f>IF('Customer Inputs'!$W$23="End",0,IFERROR(IF(AND($QL$2&lt;&gt;"Enter Spend&gt;&gt;&gt;",$QM$2="EXISTING"),SUMIFS('Existing Customers'!$R:$R,'Existing Customers'!$H:$H,$QK29,'Existing Customers'!$A:$A,$QL$1)*$QL$4,0),0))</f>
        <v>0</v>
      </c>
      <c r="QR29" s="780">
        <f>IF('Customer Inputs'!$W$23="End",0,IFERROR(IF(AND($QL$2&lt;&gt;"Enter Spend&gt;&gt;&gt;",$QM$2="EXISTING"),SUMIFS('Existing Customers'!$S:$S,'Existing Customers'!$H:$H,$QK29,'Existing Customers'!$A:$A,$QL$1)/SUMIFS('Existing Customers'!$Q:$Q,'Existing Customers'!$A:$A,$QL$1,'Existing Customers'!$H:$H,$QK29),RB29),0))</f>
        <v>0</v>
      </c>
      <c r="QS29" s="780">
        <f>IF('Customer Inputs'!$W$23="End",0,IFERROR(IF(AND($QL$2&lt;&gt;"Enter Spend&gt;&gt;&gt;",$QM$2="EXISTING"),SUMIFS('Existing Customers'!$U:$U,'Existing Customers'!$H:$H,$QK29,'Existing Customers'!$A:$A,$QL$1)/SUMIFS('Existing Customers'!$Q:$Q,'Existing Customers'!$A:$A,$QL$1,'Existing Customers'!$H:$H,$QK29),RC29),0))</f>
        <v>0</v>
      </c>
      <c r="QT29" s="783" t="e">
        <f>_xlfn.CONCAT('Customer Inputs'!$AH$23,"_",QK29)</f>
        <v>#N/A</v>
      </c>
      <c r="QU29" s="783">
        <f t="array" ref="QU29">IF('Customer Inputs'!$W$23="End",0,IFERROR(INDEX('Margin Guidence Table'!$A$1:$AG$10000,MATCH(1,('Margin Guidence Table'!$A$1:$A$10000=QT29)*('Margin Guidence Table'!$I$1:$I$10000&lt;=ROUND($QL$3,0))*('Margin Guidence Table'!$J$1:$J$10000&gt;=ROUND($QL$3,0)),0),MATCH("DATA_POINTS",'Margin Guidence Table'!$A$1:$AG$1,0)),0))</f>
        <v>0</v>
      </c>
      <c r="QV29" s="780" t="str">
        <f t="shared" si="67"/>
        <v>DEFAULT</v>
      </c>
      <c r="QW29" s="780">
        <f t="array" ref="QW29">IF('Customer Inputs'!$W$23="End",0,IFERROR(IF($QV29="SEGMENT",INDEX('Margin Guidence Table'!$A$1:$AG$10000,MATCH(1,('Margin Guidence Table'!$A$1:$A$10000=QT29)*('Margin Guidence Table'!$I$1:$I$10000&lt;=ROUND($QL$3,0))*('Margin Guidence Table'!$J$1:$J$10000&gt;=ROUND($QL$3,0)),0),MATCH("SALES_CASE",'Margin Guidence Table'!$A$1:$AG$1,0)),INDEX('Margin Guidence Table'!$A$1:$AG$10000,MATCH(1,('Margin Guidence Table'!$A$1:$A$10000=QT29)*('Margin Guidence Table'!$I$1:$I$10000&lt;=ROUND($QL$3,0))*('Margin Guidence Table'!$J$1:$J$10000&gt;=ROUND($QL$3,0)),0),MATCH("DEFAULT_SALES_CASE",'Margin Guidence Table'!$A$1:$AG$1,0))),0))</f>
        <v>0</v>
      </c>
      <c r="QX29" s="780">
        <f t="array" ref="QX29">IF('Customer Inputs'!$W$23="End",0,IFERROR(IF($QV29="SEGMENT",INDEX('Margin Guidence Table'!$A$1:$AG$10000,MATCH(1,('Margin Guidence Table'!$A$1:$A$10000=QT29)*('Margin Guidence Table'!$I$1:$I$10000&lt;=ROUND($QL$3,0))*('Margin Guidence Table'!$J$1:$J$10000&gt;=ROUND($QL$3,0)),0),MATCH("SALES_LBS",'Margin Guidence Table'!$A$1:$AG$1,0)),INDEX('Margin Guidence Table'!$A$1:$AG$10000,MATCH(1,('Margin Guidence Table'!$A$1:$A$10000=QT29)*('Margin Guidence Table'!$I$1:$I$10000&lt;=ROUND($QL$3,0))*('Margin Guidence Table'!$J$1:$J$10000&gt;=ROUND($QL$3,0)),0),MATCH("DEFAULT_SALES_LBS",'Margin Guidence Table'!$A$1:$AG$1,0))),0))</f>
        <v>0</v>
      </c>
      <c r="QY29" s="784">
        <f t="array" ref="QY29">IF('Customer Inputs'!$W$23="End",0,IFERROR(IF($QV29="SEGMENT",INDEX('Margin Guidence Table'!$A$1:$AG$10000,MATCH(1,('Margin Guidence Table'!$A$1:$A$10000=QT29)*('Margin Guidence Table'!$I$1:$I$10000&lt;=ROUND($QL$3,0))*('Margin Guidence Table'!$J$1:$J$10000&gt;=ROUND($QL$3,0)),0),MATCH("MDA_MIN_MARGIN_GUIDENCE",'Margin Guidence Table'!$A$1:$AG$1,0)),INDEX('Margin Guidence Table'!$A$1:$AG$10000,MATCH(1,('Margin Guidence Table'!$A$1:$A$10000=QT29)*('Margin Guidence Table'!$I$1:$I$10000&lt;=ROUND($QL$3,0))*('Margin Guidence Table'!$J$1:$J$10000&gt;=ROUND($QL$3,0)),0),MATCH("DEFAULT_MDA_MIN_MARGIN_GUIDENCE",'Margin Guidence Table'!$A$1:$AG$1,0))),0))</f>
        <v>0</v>
      </c>
      <c r="QZ29" s="784">
        <f t="array" ref="QZ29">IF('Customer Inputs'!$W$23="End",0,IFERROR(IF($QV29="SEGMENT",INDEX('Margin Guidence Table'!$A$1:$AG$10000,MATCH(1,('Margin Guidence Table'!$A$1:$A$10000=QT29)*('Margin Guidence Table'!$I$1:$I$10000&lt;=ROUND($QL$3,0))*('Margin Guidence Table'!$J$1:$J$10000&gt;=ROUND($QL$3,0)),0),MATCH("MDA_MEDIAN_MARGIN_GUIDENCE",'Margin Guidence Table'!$A$1:$AG$1,0)),INDEX('Margin Guidence Table'!$A$1:$AG$10000,MATCH(1,('Margin Guidence Table'!$A$1:$A$10000=QT29)*('Margin Guidence Table'!$I$1:$I$10000&lt;=ROUND($QL$3,0))*('Margin Guidence Table'!$J$1:$J$10000&gt;=ROUND($QL$3,0)),0),MATCH("DEFAULT_MDA_MEDIAN_MARGIN_GUIDENCE",'Margin Guidence Table'!$A$1:$AG$1,0))),0))</f>
        <v>0</v>
      </c>
      <c r="RA29" s="784">
        <f t="array" ref="RA29">IF('Customer Inputs'!$W$23="End",0,IFERROR(IF($QV29="SEGMENT",INDEX('Margin Guidence Table'!$A$1:$AG$10000,MATCH(1,('Margin Guidence Table'!$A$1:$A$10000=QT29)*('Margin Guidence Table'!$I$1:$I$10000&lt;=ROUND($QL$3,0))*('Margin Guidence Table'!$J$1:$J$10000&gt;=ROUND($QL$3,0)),0),MATCH("MDA_MAX_MARGIN_GUIDENCE",'Margin Guidence Table'!$A$1:$AG$1,0)),INDEX('Margin Guidence Table'!$A$1:$AG$10000,MATCH(1,('Margin Guidence Table'!$A$1:$A$10000=QT29)*('Margin Guidence Table'!$I$1:$I$10000&lt;=ROUND($QL$3,0))*('Margin Guidence Table'!$J$1:$J$10000&gt;=ROUND($QL$3,0)),0),MATCH("DEFAULT_MDA_MAX_MARGIN_GUIDENCE",'Margin Guidence Table'!$A$1:$AG$1,0))),0))</f>
        <v>0</v>
      </c>
      <c r="RB29" s="784">
        <f t="array" ref="RB29">IF('Customer Inputs'!$W$23="End",0,IFERROR(IF($QV29="SEGMENT",INDEX('Margin Guidence Table'!$A$1:$AG$10000,MATCH(1,('Margin Guidence Table'!$A$1:$A$10000=QT29)*('Margin Guidence Table'!$I$1:$I$10000&lt;=ROUND($QL$3,0))*('Margin Guidence Table'!$J$1:$J$10000&gt;=ROUND($QL$3,0)),0),MATCH("PA_PCT_SALES",'Margin Guidence Table'!$A$1:$AG$1,0)),INDEX('Margin Guidence Table'!$A$1:$AG$10000,MATCH(1,('Margin Guidence Table'!$A$1:$A$10000=QT29)*('Margin Guidence Table'!$I$1:$I$10000&lt;=ROUND($QL$3,0))*('Margin Guidence Table'!$J$1:$J$10000&gt;=ROUND($QL$3,0)),0),MATCH("DEFAULT_PA_PCT_SALES",'Margin Guidence Table'!$A$1:$AG$1,0))),0))</f>
        <v>0</v>
      </c>
      <c r="RC29" s="784">
        <f t="array" ref="RC29">IF('Customer Inputs'!$W$23="End",0,IFERROR(IF($QV29="SEGMENT",INDEX('Margin Guidence Table'!$A$1:$AG$10000,MATCH(1,('Margin Guidence Table'!$A$1:$A$10000=QT29)*('Margin Guidence Table'!$I$1:$I$10000&lt;=ROUND($QL$3,0))*('Margin Guidence Table'!$J$1:$J$10000&gt;=ROUND($QL$3,0)),0),MATCH("SELF_FUND_PCT_SALES",'Margin Guidence Table'!$A$1:$AG$1,0)),INDEX('Margin Guidence Table'!$A$1:$AG$10000,MATCH(1,('Margin Guidence Table'!$A$1:$A$10000=QT29)*('Margin Guidence Table'!$I$1:$I$10000&lt;=ROUND($QL$3,0))*('Margin Guidence Table'!$J$1:$J$10000&gt;=ROUND($QL$3,0)),0),MATCH("DEFAULT_SELF_FUND_PCT_SALES",'Margin Guidence Table'!$A$1:$AG$1,0))),0))</f>
        <v>0</v>
      </c>
      <c r="RD29" s="784">
        <f t="array" ref="RD29">IF('Customer Inputs'!$W$23="End",0,IF($QM$2="Existing",IFERROR(SUMIFS('Existing Customers'!$V:$V,'Existing Customers'!$H:$H,$QK29,'Existing Customers'!$A:$A,$QL$1)/SUMIFS('Existing Customers'!$Q:$Q,'Existing Customers'!$H:$H,$QK29,'Existing Customers'!$A:$A,$QL$1),0),IFERROR(IF($QV29="SEGMENT",INDEX('Margin Guidence Table'!$A$1:$AG$10000,MATCH(1,('Margin Guidence Table'!$A$1:$A$10000=QT29)*('Margin Guidence Table'!$I$1:$I$10000&lt;=ROUND($QL$3,0))*('Margin Guidence Table'!$J$1:$J$10000&gt;=ROUND($QL$3,0)),0),MATCH("CIA_MEDIAN_MARGIN_GUIDENCE",'Margin Guidence Table'!$A$1:$AG$1,0)),INDEX('Margin Guidence Table'!$A$1:$AG$10000,MATCH(1,('Margin Guidence Table'!$A$1:$A$10000=QT29)*('Margin Guidence Table'!$I$1:$I$10000&lt;=ROUND($QL$3,0))*('Margin Guidence Table'!$J$1:$J$10000&gt;=ROUND($QL$3,0)),0),MATCH("DEFAULT_CIA_MEDIAN_MARGIN_GUIDENCE",'Margin Guidence Table'!$A$1:$AG$1,0))),0)))</f>
        <v>0</v>
      </c>
      <c r="RE29" s="784"/>
      <c r="RF29" s="18">
        <f t="array" ref="RF29">IF('Customer Inputs'!$W$24="End",0,IFERROR(IF($RS29="SEGMENT",INDEX('Margin Guidence Table'!$A$1:$AG$10000,MATCH(1,('Margin Guidence Table'!$A$1:$A$10000=$RQ29)*('Margin Guidence Table'!$I$1:$I$10000&lt;=ROUND($RI$3,0))*('Margin Guidence Table'!$J$1:$J$10000&gt;=ROUND($RI$3,0)),0),MATCH("PCT_SALES",'Margin Guidence Table'!$A$1:$AG$1,0)),INDEX('Margin Guidence Table'!$A$1:$AG$10000,MATCH(1,('Margin Guidence Table'!$A$1:$A$10000=$RQ29)*('Margin Guidence Table'!$I$1:$I$10000&lt;=ROUND($RI$3,0))*('Margin Guidence Table'!$J$1:$J$10000&gt;=ROUND($RI$3,0)),0),MATCH("DEFAULT_PCT_SALES",'Margin Guidence Table'!$A$1:$AG$1,0))),0))</f>
        <v>0</v>
      </c>
      <c r="RG29" s="1713" t="e">
        <f t="shared" si="68"/>
        <v>#DIV/0!</v>
      </c>
      <c r="RH29" s="99" t="s">
        <v>90</v>
      </c>
      <c r="RI29" s="91">
        <f>IF('Customer Inputs'!$W$24="End",0,IFERROR(IF(AND($RI$2&lt;&gt;"Enter Spend&gt;&gt;&gt;",$RJ$2="EXISTING"),SUMIFS('Existing Customers'!$Q:$Q,'Existing Customers'!$A:$A,$RI$1,'Existing Customers'!$H:$H,$RH29)*$RI$4,$RI$3*$RG29),0))</f>
        <v>0</v>
      </c>
      <c r="RJ29" s="86">
        <f>IF('Customer Inputs'!$W$24="End",0,IFERROR(IF(AND($RI$2&lt;&gt;"Enter Spend&gt;&gt;&gt;",$RJ$2="EXISTING"),SUMIFS('Existing Customers'!$N:$N,'Existing Customers'!$A:$A,$RI$1,'Existing Customers'!$H:$H,$RH29)*$RI$4,$RI29/$RT29),0))</f>
        <v>0</v>
      </c>
      <c r="RK29" s="92">
        <f>IF('Customer Inputs'!$W$24="End",0,IFERROR(IF(AND($RI$2&lt;&gt;"Enter Spend&gt;&gt;&gt;",$RJ$2="EXISTING"),SUMIFS('Existing Customers'!$O:$O,'Existing Customers'!$H:$H,$RH29,'Existing Customers'!$A:$A,$RI$1)*$RI$4,$RJ29*$RI$8),0))</f>
        <v>0</v>
      </c>
      <c r="RL29" s="92">
        <f>IF('Customer Inputs'!$W$24="End",0,IFERROR(IF(AND($RI$2&lt;&gt;"Enter Spend&gt;&gt;&gt;",$RJ$2="EXISTING"),SUMIFS('Existing Customers'!$P:$P,'Existing Customers'!$A:$A,$RI$1,'Existing Customers'!$H:$H,$RH29)*$RI$4,$RI29/$RU29),0))</f>
        <v>0</v>
      </c>
      <c r="RM29" s="303">
        <f>IF('Customer Inputs'!$W$24="End",0,IFERROR(IF(AND($RI$2&lt;&gt;"Enter Spend&gt;&gt;&gt;",$RJ$2="EXISTING"),SUMIFS('Existing Customers'!$V:$V,'Existing Customers'!$H:$H,$RH29,'Existing Customers'!$A:$A,$RI$1)*$RI$4,0),0))</f>
        <v>0</v>
      </c>
      <c r="RN29" s="93">
        <f>IF('Customer Inputs'!$W$24="End",0,IFERROR(IF(AND($RI$2&lt;&gt;"Enter Spend&gt;&gt;&gt;",$RJ$2="EXISTING"),SUMIFS('Existing Customers'!$R:$R,'Existing Customers'!$H:$H,$RH29,'Existing Customers'!$A:$A,$RI$1)*$RI$4,0),0))</f>
        <v>0</v>
      </c>
      <c r="RO29" s="780">
        <f>IF('Customer Inputs'!$W$24="End",0,IFERROR(IF(AND($RI$2&lt;&gt;"Enter Spend&gt;&gt;&gt;",$RJ$2="EXISTING"),SUMIFS('Existing Customers'!$S:$S,'Existing Customers'!$H:$H,$RH29,'Existing Customers'!$A:$A,$RI$1)/SUMIFS('Existing Customers'!$Q:$Q,'Existing Customers'!$A:$A,$RI$1,'Existing Customers'!$H:$H,$RH29),RY29),0))</f>
        <v>0</v>
      </c>
      <c r="RP29" s="780">
        <f>IF('Customer Inputs'!$W$24="End",0,IFERROR(IF(AND($RI$2&lt;&gt;"Enter Spend&gt;&gt;&gt;",$RJ$2="EXISTING"),SUMIFS('Existing Customers'!$U:$U,'Existing Customers'!$H:$H,$RH29,'Existing Customers'!$A:$A,$RI$1)/SUMIFS('Existing Customers'!$Q:$Q,'Existing Customers'!$A:$A,$RI$1,'Existing Customers'!$H:$H,$RH29),RZ29),0))</f>
        <v>0</v>
      </c>
      <c r="RQ29" s="783" t="e">
        <f>_xlfn.CONCAT('Customer Inputs'!$AH$24,"_",RH29)</f>
        <v>#N/A</v>
      </c>
      <c r="RR29" s="783">
        <f t="array" ref="RR29">IF('Customer Inputs'!$W$24="End",0,IFERROR(INDEX('Margin Guidence Table'!$A$1:$AG$10000,MATCH(1,('Margin Guidence Table'!$A$1:$A$10000=RQ29)*('Margin Guidence Table'!$I$1:$I$10000&lt;=ROUND($RI$3,0))*('Margin Guidence Table'!$J$1:$J$10000&gt;=ROUND($RI$3,0)),0),MATCH("DATA_POINTS",'Margin Guidence Table'!$A$1:$AG$1,0)),0))</f>
        <v>0</v>
      </c>
      <c r="RS29" s="780" t="str">
        <f t="shared" si="69"/>
        <v>DEFAULT</v>
      </c>
      <c r="RT29" s="780">
        <f t="array" ref="RT29">IF('Customer Inputs'!$W$24="End",0,IFERROR(IF($RS29="SEGMENT",INDEX('Margin Guidence Table'!$A$1:$AG$10000,MATCH(1,('Margin Guidence Table'!$A$1:$A$10000=RQ29)*('Margin Guidence Table'!$I$1:$I$10000&lt;=ROUND($RI$3,0))*('Margin Guidence Table'!$J$1:$J$10000&gt;=ROUND($RI$3,0)),0),MATCH("SALES_CASE",'Margin Guidence Table'!$A$1:$AG$1,0)),INDEX('Margin Guidence Table'!$A$1:$AG$10000,MATCH(1,('Margin Guidence Table'!$A$1:$A$10000=RQ29)*('Margin Guidence Table'!$I$1:$I$10000&lt;=ROUND($RI$3,0))*('Margin Guidence Table'!$J$1:$J$10000&gt;=ROUND($RI$3,0)),0),MATCH("DEFAULT_SALES_CASE",'Margin Guidence Table'!$A$1:$AG$1,0))),0))</f>
        <v>0</v>
      </c>
      <c r="RU29" s="780">
        <f t="array" ref="RU29">IF('Customer Inputs'!$W$24="End",0,IFERROR(IF($RS29="SEGMENT",INDEX('Margin Guidence Table'!$A$1:$AG$10000,MATCH(1,('Margin Guidence Table'!$A$1:$A$10000=RQ29)*('Margin Guidence Table'!$I$1:$I$10000&lt;=ROUND($RI$3,0))*('Margin Guidence Table'!$J$1:$J$10000&gt;=ROUND($RI$3,0)),0),MATCH("SALES_LBS",'Margin Guidence Table'!$A$1:$AG$1,0)),INDEX('Margin Guidence Table'!$A$1:$AG$10000,MATCH(1,('Margin Guidence Table'!$A$1:$A$10000=RQ29)*('Margin Guidence Table'!$I$1:$I$10000&lt;=ROUND($RI$3,0))*('Margin Guidence Table'!$J$1:$J$10000&gt;=ROUND($RI$3,0)),0),MATCH("DEFAULT_SALES_LBS",'Margin Guidence Table'!$A$1:$AG$1,0))),0))</f>
        <v>0</v>
      </c>
      <c r="RV29" s="784">
        <f t="array" ref="RV29">IF('Customer Inputs'!$W$24="End",0,IFERROR(IF($RS29="SEGMENT",INDEX('Margin Guidence Table'!$A$1:$AG$10000,MATCH(1,('Margin Guidence Table'!$A$1:$A$10000=RQ29)*('Margin Guidence Table'!$I$1:$I$10000&lt;=ROUND($RI$3,0))*('Margin Guidence Table'!$J$1:$J$10000&gt;=ROUND($RI$3,0)),0),MATCH("MDA_MIN_MARGIN_GUIDENCE",'Margin Guidence Table'!$A$1:$AG$1,0)),INDEX('Margin Guidence Table'!$A$1:$AG$10000,MATCH(1,('Margin Guidence Table'!$A$1:$A$10000=RQ29)*('Margin Guidence Table'!$I$1:$I$10000&lt;=ROUND($RI$3,0))*('Margin Guidence Table'!$J$1:$J$10000&gt;=ROUND($RI$3,0)),0),MATCH("DEFAULT_MDA_MIN_MARGIN_GUIDENCE",'Margin Guidence Table'!$A$1:$AG$1,0))),0))</f>
        <v>0</v>
      </c>
      <c r="RW29" s="784">
        <f t="array" ref="RW29">IF('Customer Inputs'!$W$24="End",0,IFERROR(IF($RS29="SEGMENT",INDEX('Margin Guidence Table'!$A$1:$AG$10000,MATCH(1,('Margin Guidence Table'!$A$1:$A$10000=RQ29)*('Margin Guidence Table'!$I$1:$I$10000&lt;=ROUND($RI$3,0))*('Margin Guidence Table'!$J$1:$J$10000&gt;=ROUND($RI$3,0)),0),MATCH("MDA_MEDIAN_MARGIN_GUIDENCE",'Margin Guidence Table'!$A$1:$AG$1,0)),INDEX('Margin Guidence Table'!$A$1:$AG$10000,MATCH(1,('Margin Guidence Table'!$A$1:$A$10000=RQ29)*('Margin Guidence Table'!$I$1:$I$10000&lt;=ROUND($RI$3,0))*('Margin Guidence Table'!$J$1:$J$10000&gt;=ROUND($RI$3,0)),0),MATCH("DEFAULT_MDA_MEDIAN_MARGIN_GUIDENCE",'Margin Guidence Table'!$A$1:$AG$1,0))),0))</f>
        <v>0</v>
      </c>
      <c r="RX29" s="784">
        <f t="array" ref="RX29">IF('Customer Inputs'!$W$24="End",0,IFERROR(IF($RS29="SEGMENT",INDEX('Margin Guidence Table'!$A$1:$AG$10000,MATCH(1,('Margin Guidence Table'!$A$1:$A$10000=RQ29)*('Margin Guidence Table'!$I$1:$I$10000&lt;=ROUND($RI$3,0))*('Margin Guidence Table'!$J$1:$J$10000&gt;=ROUND($RI$3,0)),0),MATCH("MDA_MAX_MARGIN_GUIDENCE",'Margin Guidence Table'!$A$1:$AG$1,0)),INDEX('Margin Guidence Table'!$A$1:$AG$10000,MATCH(1,('Margin Guidence Table'!$A$1:$A$10000=RQ29)*('Margin Guidence Table'!$I$1:$I$10000&lt;=ROUND($RI$3,0))*('Margin Guidence Table'!$J$1:$J$10000&gt;=ROUND($RI$3,0)),0),MATCH("DEFAULT_MDA_MAX_MARGIN_GUIDENCE",'Margin Guidence Table'!$A$1:$AG$1,0))),0))</f>
        <v>0</v>
      </c>
      <c r="RY29" s="784">
        <f t="array" ref="RY29">IF('Customer Inputs'!$W$24="End",0,IFERROR(IF($RS29="SEGMENT",INDEX('Margin Guidence Table'!$A$1:$AG$10000,MATCH(1,('Margin Guidence Table'!$A$1:$A$10000=RQ29)*('Margin Guidence Table'!$I$1:$I$10000&lt;=ROUND($RI$3,0))*('Margin Guidence Table'!$J$1:$J$10000&gt;=ROUND($RI$3,0)),0),MATCH("PA_PCT_SALES",'Margin Guidence Table'!$A$1:$AG$1,0)),INDEX('Margin Guidence Table'!$A$1:$AG$10000,MATCH(1,('Margin Guidence Table'!$A$1:$A$10000=RQ29)*('Margin Guidence Table'!$I$1:$I$10000&lt;=ROUND($RI$3,0))*('Margin Guidence Table'!$J$1:$J$10000&gt;=ROUND($RI$3,0)),0),MATCH("DEFAULT_PA_PCT_SALES",'Margin Guidence Table'!$A$1:$AG$1,0))),0))</f>
        <v>0</v>
      </c>
      <c r="RZ29" s="784">
        <f t="array" ref="RZ29">IF('Customer Inputs'!$W$24="End",0,IFERROR(IF($RS29="SEGMENT",INDEX('Margin Guidence Table'!$A$1:$AG$10000,MATCH(1,('Margin Guidence Table'!$A$1:$A$10000=RQ29)*('Margin Guidence Table'!$I$1:$I$10000&lt;=ROUND($RI$3,0))*('Margin Guidence Table'!$J$1:$J$10000&gt;=ROUND($RI$3,0)),0),MATCH("SELF_FUND_PCT_SALES",'Margin Guidence Table'!$A$1:$AG$1,0)),INDEX('Margin Guidence Table'!$A$1:$AG$10000,MATCH(1,('Margin Guidence Table'!$A$1:$A$10000=RQ29)*('Margin Guidence Table'!$I$1:$I$10000&lt;=ROUND($RI$3,0))*('Margin Guidence Table'!$J$1:$J$10000&gt;=ROUND($RI$3,0)),0),MATCH("DEFAULT_SELF_FUND_PCT_SALES",'Margin Guidence Table'!$A$1:$AG$1,0))),0))</f>
        <v>0</v>
      </c>
      <c r="SA29" s="784">
        <f t="array" ref="SA29">IF('Customer Inputs'!$W$24="End",0,IF($RJ$2="Existing",IFERROR(SUMIFS('Existing Customers'!$V:$V,'Existing Customers'!$H:$H,$RH29,'Existing Customers'!$A:$A,$RI$1)/SUMIFS('Existing Customers'!$Q:$Q,'Existing Customers'!$H:$H,$RH29,'Existing Customers'!$A:$A,$RI$1),0),IFERROR(IF($RS29="SEGMENT",INDEX('Margin Guidence Table'!$A$1:$AG$10000,MATCH(1,('Margin Guidence Table'!$A$1:$A$10000=RQ29)*('Margin Guidence Table'!$I$1:$I$10000&lt;=ROUND($RI$3,0))*('Margin Guidence Table'!$J$1:$J$10000&gt;=ROUND($RI$3,0)),0),MATCH("CIA_MEDIAN_MARGIN_GUIDENCE",'Margin Guidence Table'!$A$1:$AG$1,0)),INDEX('Margin Guidence Table'!$A$1:$AG$10000,MATCH(1,('Margin Guidence Table'!$A$1:$A$10000=RQ29)*('Margin Guidence Table'!$I$1:$I$10000&lt;=ROUND($RI$3,0))*('Margin Guidence Table'!$J$1:$J$10000&gt;=ROUND($RI$3,0)),0),MATCH("DEFAULT_CIA_MEDIAN_MARGIN_GUIDENCE",'Margin Guidence Table'!$A$1:$AG$1,0))),0)))</f>
        <v>0</v>
      </c>
      <c r="SB29" s="784"/>
      <c r="SC29" s="18">
        <f t="array" ref="SC29">IF('Customer Inputs'!$W$25="End",0,IFERROR(IF($SP29="SEGMENT",INDEX('Margin Guidence Table'!$A$1:$AG$10000,MATCH(1,('Margin Guidence Table'!$A$1:$A$10000=$SN29)*('Margin Guidence Table'!$I$1:$I$10000&lt;=ROUND($SF$3,0))*('Margin Guidence Table'!$J$1:$J$10000&gt;=ROUND($SF$3,0)),0),MATCH("PCT_SALES",'Margin Guidence Table'!$A$1:$AG$1,0)),INDEX('Margin Guidence Table'!$A$1:$AG$10000,MATCH(1,('Margin Guidence Table'!$A$1:$A$10000=$SN29)*('Margin Guidence Table'!$I$1:$I$10000&lt;=ROUND($SF$3,0))*('Margin Guidence Table'!$J$1:$J$10000&gt;=ROUND($SF$3,0)),0),MATCH("DEFAULT_PCT_SALES",'Margin Guidence Table'!$A$1:$AG$1,0))),0))</f>
        <v>0</v>
      </c>
      <c r="SD29" s="1713" t="e">
        <f t="shared" si="70"/>
        <v>#DIV/0!</v>
      </c>
      <c r="SE29" s="99" t="s">
        <v>90</v>
      </c>
      <c r="SF29" s="91">
        <f>IF('Customer Inputs'!$W$25="End",0,IFERROR(IF(AND($SF$2&lt;&gt;"Enter Spend&gt;&gt;&gt;",$SG$2="EXISTING"),SUMIFS('Existing Customers'!$Q:$Q,'Existing Customers'!$A:$A,$SF$1,'Existing Customers'!$H:$H,$SE29)*$SF$4,$SF$3*$SD29),0))</f>
        <v>0</v>
      </c>
      <c r="SG29" s="86">
        <f>IF('Customer Inputs'!$W$25="End",0,IFERROR(IF(AND($SF$2&lt;&gt;"Enter Spend&gt;&gt;&gt;",$SG$2="EXISTING"),SUMIFS('Existing Customers'!$N:$N,'Existing Customers'!$A:$A,$SF$1,'Existing Customers'!$H:$H,$SE29)*$SF$4,$SF29/$SQ29),0))</f>
        <v>0</v>
      </c>
      <c r="SH29" s="92">
        <f>IF('Customer Inputs'!$W$25="End",0,IFERROR(IF(AND($SF$2&lt;&gt;"Enter Spend&gt;&gt;&gt;",$SG$2="EXISTING"),SUMIFS('Existing Customers'!$O:$O,'Existing Customers'!$H:$H,$SE29,'Existing Customers'!$A:$A,$SF$1)*$SF$4,$SG29*$SF$8),0))</f>
        <v>0</v>
      </c>
      <c r="SI29" s="92">
        <f>IF('Customer Inputs'!$W$25="End",0,IFERROR(IF(AND($SF$2&lt;&gt;"Enter Spend&gt;&gt;&gt;",$SG$2="EXISTING"),SUMIFS('Existing Customers'!$P:$P,'Existing Customers'!$A:$A,$SF$1,'Existing Customers'!$H:$H,$SE29)*$SF$4,$SF29/$SR29),0))</f>
        <v>0</v>
      </c>
      <c r="SJ29" s="303">
        <f>IF('Customer Inputs'!$W$25="End",0,IFERROR(IF(AND($SF$2&lt;&gt;"Enter Spend&gt;&gt;&gt;",$SG$2="EXISTING"),SUMIFS('Existing Customers'!$V:$V,'Existing Customers'!$H:$H,$SE29,'Existing Customers'!$A:$A,$SF$1)*$SF$4,0),0))</f>
        <v>0</v>
      </c>
      <c r="SK29" s="93">
        <f>IF('Customer Inputs'!$W$25="End",0,IFERROR(IF(AND($SF$2&lt;&gt;"Enter Spend&gt;&gt;&gt;",$SG$2="EXISTING"),SUMIFS('Existing Customers'!$R:$R,'Existing Customers'!$H:$H,$SE29,'Existing Customers'!$A:$A,$SF$1)*$SF$4,0),0))</f>
        <v>0</v>
      </c>
      <c r="SL29" s="780">
        <f>IF('Customer Inputs'!$W$25="End",0,IFERROR(IF(AND($SF$2&lt;&gt;"Enter Spend&gt;&gt;&gt;",$SG$2="EXISTING"),SUMIFS('Existing Customers'!$S:$S,'Existing Customers'!$H:$H,$SE29,'Existing Customers'!$A:$A,$SF$1)/SUMIFS('Existing Customers'!$Q:$Q,'Existing Customers'!$A:$A,$SF$1,'Existing Customers'!$H:$H,$SE29),SV29),0))</f>
        <v>0</v>
      </c>
      <c r="SM29" s="780">
        <f>IF('Customer Inputs'!$W$25="End",0,IFERROR(IF(AND($SF$2&lt;&gt;"Enter Spend&gt;&gt;&gt;",$SG$2="EXISTING"),SUMIFS('Existing Customers'!$U:$U,'Existing Customers'!$H:$H,$SE29,'Existing Customers'!$A:$A,$SF$1)/SUMIFS('Existing Customers'!$Q:$Q,'Existing Customers'!$A:$A,$SF$1,'Existing Customers'!$H:$H,$SE29),SW29),0))</f>
        <v>0</v>
      </c>
      <c r="SN29" s="783" t="e">
        <f>_xlfn.CONCAT('Customer Inputs'!$AH$25,"_",SE29)</f>
        <v>#N/A</v>
      </c>
      <c r="SO29" s="783">
        <f t="array" ref="SO29">IF('Customer Inputs'!$W$25="End",0,IFERROR(INDEX('Margin Guidence Table'!$A$1:$AG$10000,MATCH(1,('Margin Guidence Table'!$A$1:$A$10000=SN29)*('Margin Guidence Table'!$I$1:$I$10000&lt;=ROUND($SF$3,0))*('Margin Guidence Table'!$J$1:$J$10000&gt;=ROUND($SF$3,0)),0),MATCH("DATA_POINTS",'Margin Guidence Table'!$A$1:$AG$1,0)),0))</f>
        <v>0</v>
      </c>
      <c r="SP29" s="780" t="str">
        <f t="shared" si="71"/>
        <v>DEFAULT</v>
      </c>
      <c r="SQ29" s="780">
        <f t="array" ref="SQ29">IF('Customer Inputs'!$W$25="End",0,IFERROR(IF($SP29="SEGMENT",INDEX('Margin Guidence Table'!$A$1:$AG$10000,MATCH(1,('Margin Guidence Table'!$A$1:$A$10000=SN29)*('Margin Guidence Table'!$I$1:$I$10000&lt;=ROUND($SF$3,0))*('Margin Guidence Table'!$J$1:$J$10000&gt;=ROUND($SF$3,0)),0),MATCH("SALES_CASE",'Margin Guidence Table'!$A$1:$AG$1,0)),INDEX('Margin Guidence Table'!$A$1:$AG$10000,MATCH(1,('Margin Guidence Table'!$A$1:$A$10000=SN29)*('Margin Guidence Table'!$I$1:$I$10000&lt;=ROUND($SF$3,0))*('Margin Guidence Table'!$J$1:$J$10000&gt;=ROUND($SF$3,0)),0),MATCH("DEFAULT_SALES_CASE",'Margin Guidence Table'!$A$1:$AG$1,0))),0))</f>
        <v>0</v>
      </c>
      <c r="SR29" s="780">
        <f t="array" ref="SR29">IF('Customer Inputs'!$W$25="End",0,IFERROR(IF($SP29="SEGMENT",INDEX('Margin Guidence Table'!$A$1:$AG$10000,MATCH(1,('Margin Guidence Table'!$A$1:$A$10000=SN29)*('Margin Guidence Table'!$I$1:$I$10000&lt;=ROUND($SF$3,0))*('Margin Guidence Table'!$J$1:$J$10000&gt;=ROUND($SF$3,0)),0),MATCH("SALES_LBS",'Margin Guidence Table'!$A$1:$AG$1,0)),INDEX('Margin Guidence Table'!$A$1:$AG$10000,MATCH(1,('Margin Guidence Table'!$A$1:$A$10000=SN29)*('Margin Guidence Table'!$I$1:$I$10000&lt;=ROUND($SF$3,0))*('Margin Guidence Table'!$J$1:$J$10000&gt;=ROUND($SF$3,0)),0),MATCH("DEFAULT_SALES_LBS",'Margin Guidence Table'!$A$1:$AG$1,0))),0))</f>
        <v>0</v>
      </c>
      <c r="SS29" s="784">
        <f t="array" ref="SS29">IF('Customer Inputs'!$W$25="End",0,IFERROR(IF($SP29="SEGMENT",INDEX('Margin Guidence Table'!$A$1:$AG$10000,MATCH(1,('Margin Guidence Table'!$A$1:$A$10000=SN29)*('Margin Guidence Table'!$I$1:$I$10000&lt;=ROUND($SF$3,0))*('Margin Guidence Table'!$J$1:$J$10000&gt;=ROUND($SF$3,0)),0),MATCH("MDA_MIN_MARGIN_GUIDENCE",'Margin Guidence Table'!$A$1:$AG$1,0)),INDEX('Margin Guidence Table'!$A$1:$AG$10000,MATCH(1,('Margin Guidence Table'!$A$1:$A$10000=SN29)*('Margin Guidence Table'!$I$1:$I$10000&lt;=ROUND($SF$3,0))*('Margin Guidence Table'!$J$1:$J$10000&gt;=ROUND($SF$3,0)),0),MATCH("DEFAULT_MDA_MIN_MARGIN_GUIDENCE",'Margin Guidence Table'!$A$1:$AG$1,0))),0))</f>
        <v>0</v>
      </c>
      <c r="ST29" s="784">
        <f t="array" ref="ST29">IF('Customer Inputs'!$W$25="End",0,IFERROR(IF($SP29="SEGMENT",INDEX('Margin Guidence Table'!$A$1:$AG$10000,MATCH(1,('Margin Guidence Table'!$A$1:$A$10000=SN29)*('Margin Guidence Table'!$I$1:$I$10000&lt;=ROUND($SF$3,0))*('Margin Guidence Table'!$J$1:$J$10000&gt;=ROUND($SF$3,0)),0),MATCH("MDA_MEDIAN_MARGIN_GUIDENCE",'Margin Guidence Table'!$A$1:$AG$1,0)),INDEX('Margin Guidence Table'!$A$1:$AG$10000,MATCH(1,('Margin Guidence Table'!$A$1:$A$10000=SN29)*('Margin Guidence Table'!$I$1:$I$10000&lt;=ROUND($SF$3,0))*('Margin Guidence Table'!$J$1:$J$10000&gt;=ROUND($SF$3,0)),0),MATCH("DEFAULT_MDA_MEDIAN_MARGIN_GUIDENCE",'Margin Guidence Table'!$A$1:$AG$1,0))),0))</f>
        <v>0</v>
      </c>
      <c r="SU29" s="784">
        <f t="array" ref="SU29">IF('Customer Inputs'!$W$25="End",0,IFERROR(IF($SP29="SEGMENT",INDEX('Margin Guidence Table'!$A$1:$AG$10000,MATCH(1,('Margin Guidence Table'!$A$1:$A$10000=SN29)*('Margin Guidence Table'!$I$1:$I$10000&lt;=ROUND($SF$3,0))*('Margin Guidence Table'!$J$1:$J$10000&gt;=ROUND($SF$3,0)),0),MATCH("MDA_MAX_MARGIN_GUIDENCE",'Margin Guidence Table'!$A$1:$AG$1,0)),INDEX('Margin Guidence Table'!$A$1:$AG$10000,MATCH(1,('Margin Guidence Table'!$A$1:$A$10000=SN29)*('Margin Guidence Table'!$I$1:$I$10000&lt;=ROUND($SF$3,0))*('Margin Guidence Table'!$J$1:$J$10000&gt;=ROUND($SF$3,0)),0),MATCH("DEFAULT_MDA_MAX_MARGIN_GUIDENCE",'Margin Guidence Table'!$A$1:$AG$1,0))),0))</f>
        <v>0</v>
      </c>
      <c r="SV29" s="784">
        <f t="array" ref="SV29">IF('Customer Inputs'!$W$25="End",0,IFERROR(IF($SP29="SEGMENT",INDEX('Margin Guidence Table'!$A$1:$AG$10000,MATCH(1,('Margin Guidence Table'!$A$1:$A$10000=SN29)*('Margin Guidence Table'!$I$1:$I$10000&lt;=ROUND($SF$3,0))*('Margin Guidence Table'!$J$1:$J$10000&gt;=ROUND($SF$3,0)),0),MATCH("PA_PCT_SALES",'Margin Guidence Table'!$A$1:$AG$1,0)),INDEX('Margin Guidence Table'!$A$1:$AG$10000,MATCH(1,('Margin Guidence Table'!$A$1:$A$10000=SN29)*('Margin Guidence Table'!$I$1:$I$10000&lt;=ROUND($SF$3,0))*('Margin Guidence Table'!$J$1:$J$10000&gt;=ROUND($SF$3,0)),0),MATCH("DEFAULT_PA_PCT_SALES",'Margin Guidence Table'!$A$1:$AG$1,0))),0))</f>
        <v>0</v>
      </c>
      <c r="SW29" s="784">
        <f t="array" ref="SW29">IF('Customer Inputs'!$W$25="End",0,IFERROR(IF($SP29="SEGMENT",INDEX('Margin Guidence Table'!$A$1:$AG$10000,MATCH(1,('Margin Guidence Table'!$A$1:$A$10000=SN29)*('Margin Guidence Table'!$I$1:$I$10000&lt;=ROUND($SF$3,0))*('Margin Guidence Table'!$J$1:$J$10000&gt;=ROUND($SF$3,0)),0),MATCH("SELF_FUND_PCT_SALES",'Margin Guidence Table'!$A$1:$AG$1,0)),INDEX('Margin Guidence Table'!$A$1:$AG$10000,MATCH(1,('Margin Guidence Table'!$A$1:$A$10000=SN29)*('Margin Guidence Table'!$I$1:$I$10000&lt;=ROUND($SF$3,0))*('Margin Guidence Table'!$J$1:$J$10000&gt;=ROUND($SF$3,0)),0),MATCH("DEFAULT_SELF_FUND_PCT_SALES",'Margin Guidence Table'!$A$1:$AG$1,0))),0))</f>
        <v>0</v>
      </c>
      <c r="SX29" s="784">
        <f t="array" ref="SX29">IF('Customer Inputs'!$W$25="End",0,IF($SG$2="Existing",IFERROR(SUMIFS('Existing Customers'!$V:$V,'Existing Customers'!$H:$H,$SE29,'Existing Customers'!$A:$A,$SF$1)/SUMIFS('Existing Customers'!$Q:$Q,'Existing Customers'!$H:$H,$SE29,'Existing Customers'!$A:$A,$SF$1),0),IFERROR(IF($SP29="SEGMENT",INDEX('Margin Guidence Table'!$A$1:$AG$10000,MATCH(1,('Margin Guidence Table'!$A$1:$A$10000=SN29)*('Margin Guidence Table'!$I$1:$I$10000&lt;=ROUND($SF$3,0))*('Margin Guidence Table'!$J$1:$J$10000&gt;=ROUND($SF$3,0)),0),MATCH("CIA_MEDIAN_MARGIN_GUIDENCE",'Margin Guidence Table'!$A$1:$AG$1,0)),INDEX('Margin Guidence Table'!$A$1:$AG$10000,MATCH(1,('Margin Guidence Table'!$A$1:$A$10000=SN29)*('Margin Guidence Table'!$I$1:$I$10000&lt;=ROUND($SF$3,0))*('Margin Guidence Table'!$J$1:$J$10000&gt;=ROUND($SF$3,0)),0),MATCH("DEFAULT_CIA_MEDIAN_MARGIN_GUIDENCE",'Margin Guidence Table'!$A$1:$AG$1,0))),0)))</f>
        <v>0</v>
      </c>
      <c r="SY29" s="784"/>
      <c r="SZ29" s="1705"/>
      <c r="TA29" s="99" t="s">
        <v>90</v>
      </c>
      <c r="TB29" s="94"/>
      <c r="TC29" s="86"/>
      <c r="TD29" s="86"/>
      <c r="TE29" s="86"/>
      <c r="TF29" s="111"/>
      <c r="TG29" s="95"/>
      <c r="TH29" s="126"/>
      <c r="TI29" s="1705"/>
      <c r="TJ29" s="99" t="s">
        <v>90</v>
      </c>
      <c r="TK29" s="94"/>
      <c r="TL29" s="86"/>
      <c r="TM29" s="86"/>
      <c r="TN29" s="86"/>
      <c r="TO29" s="111"/>
      <c r="TP29" s="95"/>
      <c r="TQ29" s="1705"/>
      <c r="TR29" s="1705"/>
    </row>
    <row r="30" spans="1:538" ht="15.75" thickBot="1" x14ac:dyDescent="0.3">
      <c r="A30" s="1705"/>
      <c r="B30" s="99" t="s">
        <v>89</v>
      </c>
      <c r="C30" s="346">
        <f t="shared" si="0"/>
        <v>0</v>
      </c>
      <c r="D30" s="358">
        <f t="shared" si="1"/>
        <v>0</v>
      </c>
      <c r="E30" s="358">
        <f t="shared" si="2"/>
        <v>0</v>
      </c>
      <c r="F30" s="358">
        <f t="shared" si="3"/>
        <v>0</v>
      </c>
      <c r="G30" s="1428">
        <f t="shared" si="4"/>
        <v>0</v>
      </c>
      <c r="H30" s="1428">
        <f t="shared" si="5"/>
        <v>0</v>
      </c>
      <c r="I30" s="359">
        <f t="shared" si="6"/>
        <v>0</v>
      </c>
      <c r="J30" s="358">
        <f t="shared" si="7"/>
        <v>0</v>
      </c>
      <c r="K30" s="778">
        <f t="shared" si="8"/>
        <v>0</v>
      </c>
      <c r="L30" s="778">
        <f t="shared" si="9"/>
        <v>0</v>
      </c>
      <c r="M30" s="778">
        <f t="shared" si="10"/>
        <v>0</v>
      </c>
      <c r="N30" s="1428">
        <f>IF('PIM Model'!D26="$/CS",IFERROR(ROUND(SUM(BX30*$BV$35+CU30*$CS$35+DR30*$DP$35+EO30*$EM$35+FL30*$FJ$35+GI30*$GG$35+HF30*$HD$35+IC30*$IA$35+IZ30*$IX$35+JW30*$JU$35+KT30*$KR$35+LQ30*$LO$35+MN30*$ML$35+NK30*$NI$35+OH30*$OF$35+PE30*$PC$35+QB30*$PZ$35+QY30*$QW$35+RV30*$RT$35+SS30*$SQ$35)/$G$35,2),0),IF('PIM Model'!D26="$/LB",IFERROR(ROUND(SUM(BX30*$BW$35+CU30*$CT$35+DR30*$DQ$35+EO30*$EN$35+FL30*$FK$35+GI30*$GH$35+HF30*$HE$35+IC30*$IB$35+IZ30*$IY$35+JW30*$JV$35+KT30*$KS$35+LQ30*$LP$35+MN30*$MM$35+NK30*$NJ$35+OH30*$OG$35+PE30*$PD$35+QB30*$QA$35+QY30*$QX$35+RV30*$RU$35+SS30*$SR$35)/$H$35,2),0),0))</f>
        <v>0</v>
      </c>
      <c r="O30" s="1428">
        <f>IF('PIM Model'!D26="$/CS",IFERROR(ROUND(SUM(BY30*$BV$35+CV30*$CS$35+DS30*$DP$35+EP30*$EM$35+FM30*$FJ$35+GJ30*$GG$35+HG30*$HD$35+ID30*$IA$35+JA30*$IX$35+JX30*$JU$35+KU30*$KR$35+LR30*$LO$35+MO30*$ML$35+NL30*$NI$35+OI30*$OF$35+PF30*$PC$35+QC30*$PZ$35+QZ30*$QW$35+RW30*$RT$35+ST30*$SQ$35)/$G$35,2),0),IF('PIM Model'!D26="$/LB",IFERROR(ROUND(SUM(BY30*$BW$35+CV30*$CT$35+DS30*$DQ$35+EP30*$EN$35+FM30*$FK$35+GJ30*$GH$35+HG30*$HE$35+ID30*$IB$35+JA30*$IY$35+JX30*$JV$35+KU30*$KS$35+LR30*$LP$35+MO30*$MM$35+NL30*$NJ$35+OI30*$OG$35+PF30*$PD$35+QC30*$QA$35+QZ30*$QX$35+RW30*$RU$35+ST30*$SR$35)/$H$35,2),0),0))</f>
        <v>0</v>
      </c>
      <c r="P30" s="1428">
        <f>IF('PIM Model'!D26="$/CS",IFERROR(ROUND(SUM(BZ30*$BV$35+CW30*$CS$35+DT30*$DP$35+EQ30*$EM$35+FN30*$FJ$35+GK30*$GG$35+HH30*$HD$35+IE30*$IA$35+JB30*$IX$35+JY30*$JU$35+KV30*$KR$35+LS30*$LO$35+MP30*$ML$35+NM30*$NI$35+OJ30*$OF$35+PG30*$PC$35+QD30*$PZ$35+RA30*$QW$35+RX30*$RT$35+SU30*$SQ$35)/$G$35,2),0),IF('PIM Model'!D26="$/LB",IFERROR(ROUND(SUM(BZ30*$BW$35+CW30*$CT$35+DT30*$DQ$35+EQ30*$EN$35+FN30*$FK$35+GK30*$GH$35+HH30*$HE$35+IE30*$IB$35+JB30*$IY$35+JY30*$JV$35+KV30*$KS$35+LS30*$LP$35+MP30*$MM$35+NM30*$NJ$35+OJ30*$OG$35+PG30*$PD$35+QD30*$QA$35+RA30*$QX$35+RX30*$RU$35+SU30*$SR$35)/$H$35,2),0),0))</f>
        <v>0</v>
      </c>
      <c r="Q30" s="358">
        <f t="shared" si="11"/>
        <v>0</v>
      </c>
      <c r="R30" s="358">
        <f t="shared" si="12"/>
        <v>0</v>
      </c>
      <c r="S30" s="779">
        <f t="shared" si="13"/>
        <v>0</v>
      </c>
      <c r="T30" s="779">
        <f t="shared" si="14"/>
        <v>0</v>
      </c>
      <c r="U30" s="779">
        <f t="shared" si="15"/>
        <v>0</v>
      </c>
      <c r="V30" s="779">
        <f t="shared" si="16"/>
        <v>0</v>
      </c>
      <c r="W30" s="779">
        <f t="shared" si="17"/>
        <v>0</v>
      </c>
      <c r="X30" s="1705"/>
      <c r="Y30" s="1705" t="str">
        <f>'PIM Model'!E26</f>
        <v>INCLUDE</v>
      </c>
      <c r="Z30" s="1705">
        <f t="shared" si="18"/>
        <v>0</v>
      </c>
      <c r="AA30" s="1705">
        <f t="shared" si="19"/>
        <v>0</v>
      </c>
      <c r="AB30" s="99" t="s">
        <v>89</v>
      </c>
      <c r="AC30" s="107">
        <f t="shared" si="20"/>
        <v>0</v>
      </c>
      <c r="AD30" s="108">
        <f t="shared" si="21"/>
        <v>0</v>
      </c>
      <c r="AE30" s="108">
        <f t="shared" si="22"/>
        <v>0</v>
      </c>
      <c r="AF30" s="108">
        <f t="shared" si="23"/>
        <v>0</v>
      </c>
      <c r="AG30" s="110">
        <f t="shared" si="24"/>
        <v>0</v>
      </c>
      <c r="AH30" s="114">
        <f t="shared" si="25"/>
        <v>0</v>
      </c>
      <c r="AI30" s="301"/>
      <c r="AJ30" s="99" t="s">
        <v>89</v>
      </c>
      <c r="AK30" s="346">
        <f t="shared" si="26"/>
        <v>0</v>
      </c>
      <c r="AL30" s="347">
        <f t="shared" si="26"/>
        <v>0</v>
      </c>
      <c r="AM30" s="347">
        <f t="shared" si="26"/>
        <v>0</v>
      </c>
      <c r="AN30" s="350">
        <f t="shared" si="27"/>
        <v>0</v>
      </c>
      <c r="AO30" s="351">
        <f t="shared" si="28"/>
        <v>0</v>
      </c>
      <c r="AP30" s="301"/>
      <c r="AQ30" s="99" t="s">
        <v>89</v>
      </c>
      <c r="AR30" s="346">
        <f t="shared" si="29"/>
        <v>0</v>
      </c>
      <c r="AS30" s="347">
        <f t="shared" si="30"/>
        <v>0</v>
      </c>
      <c r="AT30" s="351"/>
      <c r="AU30" s="301"/>
      <c r="AV30" s="1708" t="str">
        <f>IF('PIM Ranges'!$AK28='PIM Ranges'!$AY$11,IF($AR30&lt;'PIM Ranges'!$AZ$11,"Q1",IF($AR30&lt;'PIM Ranges'!$BA$11,"Q2",IF($AR30&lt;'PIM Ranges'!$BB$11,"Q3",IF($AR30&lt;'PIM Ranges'!$BC$11,"Q4","Q5")))),IF('PIM Ranges'!$AK28='PIM Ranges'!$AY$12,IF($AR30&lt;'PIM Ranges'!$AZ$12,"Q1",IF($AR30&lt;'PIM Ranges'!$BA$12,"Q2",IF($AR30&lt;'PIM Ranges'!$BB$12,"Q3",IF($AR30&lt;'PIM Ranges'!$BC$12,"Q4","Q5")))),IF('PIM Ranges'!$AK28='PIM Ranges'!$AY$13,IF($AR30&lt;'PIM Ranges'!$AZ$13,"Q1",IF($AR30&lt;'PIM Ranges'!$BA$13,"Q2",IF($AR30&lt;'PIM Ranges'!$BB$13,"Q3",IF($AR30&lt;'PIM Ranges'!$BC$13,"Q4","Q5")))),IF('PIM Ranges'!$AK28='PIM Ranges'!$AY$14,IF($AR30&lt;'PIM Ranges'!$AZ$14,"Q1",IF($AR30&lt;'PIM Ranges'!$BA$14,"Q2",IF($AR30&lt;'PIM Ranges'!$BB$14,"Q3",IF($AR30&lt;'PIM Ranges'!$BC$14,"Q4","Q5")))),IF('PIM Ranges'!$AK28='PIM Ranges'!$AY$15,IF($AR30&lt;'PIM Ranges'!$AZ$15,"Q1",IF($AR30&lt;'PIM Ranges'!$BA$15,"Q2",IF($AR30&lt;'PIM Ranges'!$BB$15,"Q3",IF($AR30&lt;'PIM Ranges'!$BC$15,"Q4","Q5")))),IF('PIM Ranges'!$AK28='PIM Ranges'!$AY$16,IF($AR30&lt;'PIM Ranges'!$AZ$16,"Q1",IF($AR30&lt;'PIM Ranges'!$BA$16,"Q2",IF($AR30&lt;'PIM Ranges'!$BB$16,"Q3",IF($AR30&lt;'PIM Ranges'!$BC$16,"Q4","Q5")))),IF('PIM Ranges'!$AK28='PIM Ranges'!$AY$17,IF($AR30&lt;'PIM Ranges'!$AZ$17,"Q1",IF($AR30&lt;'PIM Ranges'!$BA$17,"Q2",IF($AR30&lt;'PIM Ranges'!$BB$17,"Q3",IF($AR30&lt;'PIM Ranges'!$BC$17,"Q4","Q5")))),IF('PIM Ranges'!$AK28='PIM Ranges'!$AY$18,IF($AR30&lt;'PIM Ranges'!$AZ$18,"Q1",IF($AR30&lt;'PIM Ranges'!$BA$18,"Q2",IF($AR30&lt;'PIM Ranges'!$BB$18,"Q3",IF($AR30&lt;'PIM Ranges'!$BC$18,"Q4","Q5")))),IF('PIM Ranges'!$AK28='PIM Ranges'!$AY$19,IF($AR30&lt;'PIM Ranges'!$AZ$19,"Q1",IF($AR30&lt;'PIM Ranges'!$BA$19,"Q2",IF($AR30&lt;'PIM Ranges'!$BB$19,"Q3",IF($AR30&lt;'PIM Ranges'!$BC$19,"Q4","Q5")))),IF('PIM Ranges'!$AK28='PIM Ranges'!$AY$20,IF($AR30&lt;'PIM Ranges'!$AZ$20,"Q1",IF($AR30&lt;'PIM Ranges'!$BA$20,"Q2",IF($AR30&lt;'PIM Ranges'!$BB$20,"Q3",IF($AR30&lt;'PIM Ranges'!$BC$20,"Q4","Q5")))),IF('PIM Ranges'!$AK28='PIM Ranges'!$AY$21,IF($AR30&lt;'PIM Ranges'!$AZ$21,"Q1",IF($AR30&lt;'PIM Ranges'!$BA$21,"Q2",IF($AR30&lt;'PIM Ranges'!$BB$21,"Q3",IF($AR30&lt;'PIM Ranges'!$BC$21,"Q4","Q5")))),IF('PIM Ranges'!$AK28='PIM Ranges'!$AY$22,IF($AR30&lt;'PIM Ranges'!$AZ$22,"Q1",IF($AR30&lt;'PIM Ranges'!$BA$22,"Q2",IF($AR30&lt;'PIM Ranges'!$BB$22,"Q3",IF($AR30&lt;'PIM Ranges'!$BC$22,"Q4","Q5")))),IF('PIM Ranges'!$AK28='PIM Ranges'!$AY$23,IF($AR30&lt;'PIM Ranges'!$AZ$23,"Q1",IF($AR30&lt;'PIM Ranges'!$BA$23,"Q2",IF($AR30&lt;'PIM Ranges'!$BB$23,"Q3",IF($AR30&lt;'PIM Ranges'!$BC$23,"Q4","Q5")))),IF('PIM Ranges'!$AK28='PIM Ranges'!$AY$24,IF($AR30&lt;'PIM Ranges'!$AZ$24,"Q1",IF($AR30&lt;'PIM Ranges'!$BA$24,"Q2",IF($AR30&lt;'PIM Ranges'!$BB$24,"Q3",IF($AR30&lt;'PIM Ranges'!$BC$24,"Q4","Q5")))),IF('PIM Ranges'!$AK28='PIM Ranges'!$AY$25,IF($AR30&lt;'PIM Ranges'!$AZ$25,"Q1",IF($AR30&lt;'PIM Ranges'!$BA$25,"Q2",IF($AR30&lt;'PIM Ranges'!$BB$25,"Q3",IF($AR30&lt;'PIM Ranges'!$BC$25,"Q4","Q5")))),IF('PIM Ranges'!$AK28='PIM Ranges'!$AY$26,IF($AR30&lt;'PIM Ranges'!$AZ$26,"Q1",IF($AR30&lt;'PIM Ranges'!$BA$26,"Q2",IF($AR30&lt;'PIM Ranges'!$BB$26,"Q3",IF($AR30&lt;'PIM Ranges'!$BC$26,"Q4","Q5")))),IF('PIM Ranges'!$AK28='PIM Ranges'!$AY$27,IF($AR30&lt;'PIM Ranges'!$AZ$27,"Q1",IF($AR30&lt;'PIM Ranges'!$BA$27,"Q2",IF($AR30&lt;'PIM Ranges'!$BB$27,"Q3",IF($AR30&lt;'PIM Ranges'!$BC$27,"Q4","Q5")))),IF('PIM Ranges'!$AK28='PIM Ranges'!$AY$28,IF($AR30&lt;'PIM Ranges'!$AZ$28,"Q1",IF($AR30&lt;'PIM Ranges'!$BA$28,"Q2",IF($AR30&lt;'PIM Ranges'!$BB$28,"Q3",IF($AR30&lt;'PIM Ranges'!$BC$28,"Q4","Q5")))),IF('PIM Ranges'!$AK28='PIM Ranges'!$AY$29,IF($AR30&lt;'PIM Ranges'!$AZ$29,"Q1",IF($AR30&lt;'PIM Ranges'!$BA$29,"Q2",IF($AR30&lt;'PIM Ranges'!$BB$29,"Q3",IF($AR30&lt;'PIM Ranges'!$BC$29,"Q4","Q5")))),IF('PIM Ranges'!$AK28='PIM Ranges'!$AY$30,IF($AR30&lt;'PIM Ranges'!$AZ$30,"Q1",IF($AR30&lt;'PIM Ranges'!$BA$30,"Q2",IF($AR30&lt;'PIM Ranges'!$BB$30,"Q3",IF($AR30&lt;'PIM Ranges'!$BC$30,"Q4","Q5")))),IF('PIM Ranges'!$AK28='PIM Ranges'!$AY$31,IF($AR30&lt;'PIM Ranges'!$AZ$31,"Q1",IF($AR30&lt;'PIM Ranges'!$BA$31,"Q2",IF($AR30&lt;'PIM Ranges'!$BB$31,"Q3",IF($AR30&lt;'PIM Ranges'!$BC$31,"Q4","Q5")))),IF('PIM Ranges'!$AK28='PIM Ranges'!$AY$32,IF($AR30&lt;'PIM Ranges'!$AZ$32,"Q1",IF($AR30&lt;'PIM Ranges'!$BA$32,"Q2",IF($AR30&lt;'PIM Ranges'!$BB$32,"Q3",IF($AR30&lt;'PIM Ranges'!$BC$32,"Q4","Q5"))))))))))))))))))))))))))</f>
        <v>Q1</v>
      </c>
      <c r="AW30" s="301">
        <f>VLOOKUP($AQ30&amp;$AV30,'IMargin Quartiles'!$A:$F,6,FALSE)</f>
        <v>0.17</v>
      </c>
      <c r="AX30" s="301"/>
      <c r="AY30" s="1708" t="str">
        <f>IF('PIM Ranges'!$AK28='PIM Ranges'!$AY$11,IF('PIM Ranges'!$AL28&lt;'PIM Ranges'!$AZ$11,"Q1",IF('PIM Ranges'!$AL28&lt;'PIM Ranges'!$BA$11,"Q2",IF('PIM Ranges'!$AL28&lt;'PIM Ranges'!$BB$11,"Q3",IF('PIM Ranges'!$AL28&lt;'PIM Ranges'!$BC$11,"Q4","Q5")))),IF('PIM Ranges'!$AK28='PIM Ranges'!$AY$12,IF('PIM Ranges'!$AL28&lt;'PIM Ranges'!$AZ$12,"Q1",IF('PIM Ranges'!$AL28&lt;'PIM Ranges'!$BA$12,"Q2",IF('PIM Ranges'!$AL28&lt;'PIM Ranges'!$BB$12,"Q3",IF('PIM Ranges'!$AL28&lt;'PIM Ranges'!$BC$12,"Q4","Q5")))),IF('PIM Ranges'!$AK28='PIM Ranges'!$AY$13,IF('PIM Ranges'!$AL28&lt;'PIM Ranges'!$AZ$13,"Q1",IF('PIM Ranges'!$AL28&lt;'PIM Ranges'!$BA$13,"Q2",IF('PIM Ranges'!$AL28&lt;'PIM Ranges'!$BB$13,"Q3",IF('PIM Ranges'!$AL28&lt;'PIM Ranges'!$BC$13,"Q4","Q5")))),IF('PIM Ranges'!$AK28='PIM Ranges'!$AY$14,IF('PIM Ranges'!$AL28&lt;'PIM Ranges'!$AZ$14,"Q1",IF('PIM Ranges'!$AL28&lt;'PIM Ranges'!$BA$14,"Q2",IF('PIM Ranges'!$AL28&lt;'PIM Ranges'!$BB$14,"Q3",IF('PIM Ranges'!$AL28&lt;'PIM Ranges'!$BC$14,"Q4","Q5")))),IF('PIM Ranges'!$AK28='PIM Ranges'!$AY$15,IF('PIM Ranges'!$AL28&lt;'PIM Ranges'!$AZ$15,"Q1",IF('PIM Ranges'!$AL28&lt;'PIM Ranges'!$BA$15,"Q2",IF('PIM Ranges'!$AL28&lt;'PIM Ranges'!$BB$15,"Q3",IF('PIM Ranges'!$AL28&lt;'PIM Ranges'!$BC$15,"Q4","Q5")))),IF('PIM Ranges'!$AK28='PIM Ranges'!$AY$16,IF('PIM Ranges'!$AL28&lt;'PIM Ranges'!$AZ$16,"Q1",IF('PIM Ranges'!$AL28&lt;'PIM Ranges'!$BA$16,"Q2",IF('PIM Ranges'!$AL28&lt;'PIM Ranges'!$BB$16,"Q3",IF('PIM Ranges'!$AL28&lt;'PIM Ranges'!$BC$16,"Q4","Q5")))),IF('PIM Ranges'!$AK28='PIM Ranges'!$AY$17,IF('PIM Ranges'!$AL28&lt;'PIM Ranges'!$AZ$17,"Q1",IF('PIM Ranges'!$AL28&lt;'PIM Ranges'!$BA$17,"Q2",IF('PIM Ranges'!$AL28&lt;'PIM Ranges'!$BB$17,"Q3",IF('PIM Ranges'!$AL28&lt;'PIM Ranges'!$BC$17,"Q4","Q5")))),IF('PIM Ranges'!$AK28='PIM Ranges'!$AY$18,IF('PIM Ranges'!$AL28&lt;'PIM Ranges'!$AZ$18,"Q1",IF('PIM Ranges'!$AL28&lt;'PIM Ranges'!$BA$18,"Q2",IF('PIM Ranges'!$AL28&lt;'PIM Ranges'!$BB$18,"Q3",IF('PIM Ranges'!$AL28&lt;'PIM Ranges'!$BC$18,"Q4","Q5")))),IF('PIM Ranges'!$AK28='PIM Ranges'!$AY$19,IF('PIM Ranges'!$AL28&lt;'PIM Ranges'!$AZ$19,"Q1",IF('PIM Ranges'!$AL28&lt;'PIM Ranges'!$BA$19,"Q2",IF('PIM Ranges'!$AL28&lt;'PIM Ranges'!$BB$19,"Q3",IF('PIM Ranges'!$AL28&lt;'PIM Ranges'!$BC$19,"Q4","Q5")))),IF('PIM Ranges'!$AK28='PIM Ranges'!$AY$20,IF('PIM Ranges'!$AL28&lt;'PIM Ranges'!$AZ$20,"Q1",IF('PIM Ranges'!$AL28&lt;'PIM Ranges'!$BA$20,"Q2",IF('PIM Ranges'!$AL28&lt;'PIM Ranges'!$BB$20,"Q3",IF('PIM Ranges'!$AL28&lt;'PIM Ranges'!$BC$20,"Q4","Q5")))),IF('PIM Ranges'!$AK28='PIM Ranges'!$AY$21,IF('PIM Ranges'!$AL28&lt;'PIM Ranges'!$AZ$21,"Q1",IF('PIM Ranges'!$AL28&lt;'PIM Ranges'!$BA$21,"Q2",IF('PIM Ranges'!$AL28&lt;'PIM Ranges'!$BB$21,"Q3",IF('PIM Ranges'!$AL28&lt;'PIM Ranges'!$BC$21,"Q4","Q5")))),IF('PIM Ranges'!$AK28='PIM Ranges'!$AY$22,IF('PIM Ranges'!$AL28&lt;'PIM Ranges'!$AZ$22,"Q1",IF('PIM Ranges'!$AL28&lt;'PIM Ranges'!$BA$22,"Q2",IF('PIM Ranges'!$AL28&lt;'PIM Ranges'!$BB$22,"Q3",IF('PIM Ranges'!$AL28&lt;'PIM Ranges'!$BC$22,"Q4","Q5")))),IF('PIM Ranges'!$AK28='PIM Ranges'!$AY$23,IF('PIM Ranges'!$AL28&lt;'PIM Ranges'!$AZ$23,"Q1",IF('PIM Ranges'!$AL28&lt;'PIM Ranges'!$BA$23,"Q2",IF('PIM Ranges'!$AL28&lt;'PIM Ranges'!$BB$23,"Q3",IF('PIM Ranges'!$AL28&lt;'PIM Ranges'!$BC$23,"Q4","Q5")))),IF('PIM Ranges'!$AK28='PIM Ranges'!$AY$24,IF('PIM Ranges'!$AL28&lt;'PIM Ranges'!$AZ$24,"Q1",IF('PIM Ranges'!$AL28&lt;'PIM Ranges'!$BA$24,"Q2",IF('PIM Ranges'!$AL28&lt;'PIM Ranges'!$BB$24,"Q3",IF('PIM Ranges'!$AL28&lt;'PIM Ranges'!$BC$24,"Q4","Q5")))),IF('PIM Ranges'!$AK28='PIM Ranges'!$AY$25,IF('PIM Ranges'!$AL28&lt;'PIM Ranges'!$AZ$25,"Q1",IF('PIM Ranges'!$AL28&lt;'PIM Ranges'!$BA$25,"Q2",IF('PIM Ranges'!$AL28&lt;'PIM Ranges'!$BB$25,"Q3",IF('PIM Ranges'!$AL28&lt;'PIM Ranges'!$BC$25,"Q4","Q5")))),IF('PIM Ranges'!$AK28='PIM Ranges'!$AY$26,IF('PIM Ranges'!$AL28&lt;'PIM Ranges'!$AZ$26,"Q1",IF('PIM Ranges'!$AL28&lt;'PIM Ranges'!$BA$26,"Q2",IF('PIM Ranges'!$AL28&lt;'PIM Ranges'!$BB$26,"Q3",IF('PIM Ranges'!$AL28&lt;'PIM Ranges'!$BC$26,"Q4","Q5")))),IF('PIM Ranges'!$AK28='PIM Ranges'!$AY$27,IF('PIM Ranges'!$AL28&lt;'PIM Ranges'!$AZ$27,"Q1",IF('PIM Ranges'!$AL28&lt;'PIM Ranges'!$BA$27,"Q2",IF('PIM Ranges'!$AL28&lt;'PIM Ranges'!$BB$27,"Q3",IF('PIM Ranges'!$AL28&lt;'PIM Ranges'!$BC$27,"Q4","Q5")))),IF('PIM Ranges'!$AK28='PIM Ranges'!$AY$28,IF('PIM Ranges'!$AL28&lt;'PIM Ranges'!$AZ$28,"Q1",IF('PIM Ranges'!$AL28&lt;'PIM Ranges'!$BA$28,"Q2",IF('PIM Ranges'!$AL28&lt;'PIM Ranges'!$BB$28,"Q3",IF('PIM Ranges'!$AL28&lt;'PIM Ranges'!$BC$28,"Q4","Q5")))),IF('PIM Ranges'!$AK28='PIM Ranges'!$AY$29,IF('PIM Ranges'!$AL28&lt;'PIM Ranges'!$AZ$29,"Q1",IF('PIM Ranges'!$AL28&lt;'PIM Ranges'!$BA$29,"Q2",IF('PIM Ranges'!$AL28&lt;'PIM Ranges'!$BB$29,"Q3",IF('PIM Ranges'!$AL28&lt;'PIM Ranges'!$BC$29,"Q4","Q5")))),IF('PIM Ranges'!$AK28='PIM Ranges'!$AY$30,IF('PIM Ranges'!$AL28&lt;'PIM Ranges'!$AZ$30,"Q1",IF('PIM Ranges'!$AL28&lt;'PIM Ranges'!$BA$30,"Q2",IF('PIM Ranges'!$AL28&lt;'PIM Ranges'!$BB$30,"Q3",IF('PIM Ranges'!$AL28&lt;'PIM Ranges'!$BC$30,"Q4","Q5")))),IF('PIM Ranges'!$AK28='PIM Ranges'!$AY$31,IF('PIM Ranges'!$AL28&lt;'PIM Ranges'!$AZ$31,"Q1",IF('PIM Ranges'!$AL28&lt;'PIM Ranges'!$BA$31,"Q2",IF('PIM Ranges'!$AL28&lt;'PIM Ranges'!$BB$31,"Q3",IF('PIM Ranges'!$AL28&lt;'PIM Ranges'!$BC$31,"Q4","Q5")))),IF('PIM Ranges'!$AK28='PIM Ranges'!$AY$32,IF('PIM Ranges'!$AL28&lt;'PIM Ranges'!$AZ$32,"Q1",IF('PIM Ranges'!$AL28&lt;'PIM Ranges'!$BA$32,"Q2",IF('PIM Ranges'!$AL28&lt;'PIM Ranges'!$BB$32,"Q3",IF('PIM Ranges'!$AL28&lt;'PIM Ranges'!$BC$32,"Q4","Q5"))))))))))))))))))))))))))</f>
        <v>Q1</v>
      </c>
      <c r="AZ30" s="301">
        <f t="shared" si="31"/>
        <v>0</v>
      </c>
      <c r="BA30" s="39">
        <f>'PIM Model'!C26</f>
        <v>0</v>
      </c>
      <c r="BB30" s="301"/>
      <c r="BC30" s="301"/>
      <c r="BD30" s="301" t="e">
        <f t="shared" si="72"/>
        <v>#DIV/0!</v>
      </c>
      <c r="BE30" s="301"/>
      <c r="BF30" s="301"/>
      <c r="BG30" s="105">
        <v>19</v>
      </c>
      <c r="BH30" s="18">
        <f t="array" ref="BH30">IF('Customer Inputs'!$W$6="End",0,IFERROR(IF($BU30="SEGMENT",INDEX('Margin Guidence Table'!$A$1:$AG$10000,MATCH(1,('Margin Guidence Table'!$A$1:$A$10000=$BS30)*('Margin Guidence Table'!$I$1:$I$10000&lt;=ROUND($BK$3,0))*('Margin Guidence Table'!$J$1:$J$10000&gt;=ROUND($BK$3,0)),0),MATCH("PCT_SALES",'Margin Guidence Table'!$A$1:$AG$1,0)),INDEX('Margin Guidence Table'!$A$1:$AG$10000,MATCH(1,('Margin Guidence Table'!$A$1:$A$10000=$BS30)*('Margin Guidence Table'!$I$1:$I$10000&lt;=ROUND($BK$3,0))*('Margin Guidence Table'!$J$1:$J$10000&gt;=ROUND($BK$3,0)),0),MATCH("DEFAULT_PCT_SALES",'Margin Guidence Table'!$A$1:$AG$1,0))),0))</f>
        <v>0</v>
      </c>
      <c r="BI30" s="297" t="e">
        <f t="shared" si="32"/>
        <v>#DIV/0!</v>
      </c>
      <c r="BJ30" s="99" t="s">
        <v>89</v>
      </c>
      <c r="BK30" s="91">
        <f>IF('Customer Inputs'!$W$6="End",0,IFERROR(IF(AND($BK$2&lt;&gt;"Enter Spend&gt;&gt;&gt;",$BL$2="EXISTING"),SUMIFS('Existing Customers'!$Q:$Q,'Existing Customers'!$A:$A,$BK$1,'Existing Customers'!$H:$H,$BJ30)*$BK$4,$BK$3*$BI30),0))</f>
        <v>0</v>
      </c>
      <c r="BL30" s="92">
        <f>IF('Customer Inputs'!$W$6="End",0,IFERROR(IF(AND($BK$2&lt;&gt;"Enter Spend&gt;&gt;&gt;",$BL$2="EXISTING"),SUMIFS('Existing Customers'!$N:$N,'Existing Customers'!$A:$A,$BK$1,'Existing Customers'!$H:$H,$BJ30)*$BK$4,$BK30/$BV30),0))</f>
        <v>0</v>
      </c>
      <c r="BM30" s="92">
        <f>IF('Customer Inputs'!$W$6="End",0,IFERROR(IF(AND($BK$2&lt;&gt;"Enter Spend&gt;&gt;&gt;",$BL$2="EXISTING"),SUMIFS('Existing Customers'!$O:$O,'Existing Customers'!$H:$H,$BJ30,'Existing Customers'!$A:$A,$BK$1)*$BK$4,$BL30*$BK$8),0))</f>
        <v>0</v>
      </c>
      <c r="BN30" s="92">
        <f>IF('Customer Inputs'!$W$6="End",0,IFERROR(IF(AND($BK$2&lt;&gt;"Enter Spend&gt;&gt;&gt;",$BL$2="EXISTING"),SUMIFS('Existing Customers'!$P:$P,'Existing Customers'!$A:$A,$BK$1,'Existing Customers'!$H:$H,$BJ30)*$BK$4,$BK30/$BW30),0))</f>
        <v>0</v>
      </c>
      <c r="BO30" s="303">
        <f>IF('Customer Inputs'!$W$6="End",0,IFERROR(IF(AND($BK$2&lt;&gt;"Enter Spend&gt;&gt;&gt;",$BL$2="EXISTING"),SUMIFS('Existing Customers'!$V:$V,'Existing Customers'!$H:$H,$BJ30,'Existing Customers'!$A:$A,$BK$1)*$BK$4,0),0))</f>
        <v>0</v>
      </c>
      <c r="BP30" s="93">
        <f>IF('Customer Inputs'!$W$6="End",0,IFERROR(IF(AND($BK$2&lt;&gt;"Enter Spend&gt;&gt;&gt;",$BL$2="EXISTING"),SUMIFS('Existing Customers'!$R:$R,'Existing Customers'!$H:$H,$BJ30,'Existing Customers'!$A:$A,$BK$1)*$BK$4,0),0))</f>
        <v>0</v>
      </c>
      <c r="BQ30" s="93">
        <f>IF('Customer Inputs'!$W$6="End",0,IFERROR(IF(AND($BK$2&lt;&gt;"Enter Spend&gt;&gt;&gt;",$BL$2="EXISTING"),SUMIFS('Existing Customers'!$S:$S,'Existing Customers'!$H:$H,$BJ30,'Existing Customers'!$A:$A,$BK$1)/SUMIFS('Existing Customers'!$Q:$Q,'Existing Customers'!$A:$A,$BK$1,'Existing Customers'!$H:$H,$BJ30),CA30),0))</f>
        <v>0</v>
      </c>
      <c r="BR30" s="93">
        <f>IF('Customer Inputs'!$W$6="End",0,IFERROR(IF(AND($BK$2&lt;&gt;"Enter Spend&gt;&gt;&gt;",$BL$2="EXISTING"),SUMIFS('Existing Customers'!$U:$U,'Existing Customers'!$H:$H,$BJ30,'Existing Customers'!$A:$A,$BK$1)/SUMIFS('Existing Customers'!$Q:$Q,'Existing Customers'!$A:$A,$BK$1,'Existing Customers'!$H:$H,$BJ30),CB30),0))</f>
        <v>0</v>
      </c>
      <c r="BS30" s="782" t="e">
        <f>_xlfn.CONCAT('Customer Inputs'!$AH$6,"_",BJ30)</f>
        <v>#N/A</v>
      </c>
      <c r="BT30" s="783">
        <f t="array" ref="BT30">IF('Customer Inputs'!$W$6="End",0,IFERROR(INDEX('Margin Guidence Table'!$A$1:$AG$10000,MATCH(1,('Margin Guidence Table'!$A$1:$A$10000=$BS30)*('Margin Guidence Table'!$I$1:$I$10000&lt;=ROUND($BK$3,0))*('Margin Guidence Table'!$J$1:$J$10000&gt;=ROUND($BK$3,0)),0),MATCH("DATA_POINTS",'Margin Guidence Table'!$A$1:$AG$1,0)),0))</f>
        <v>0</v>
      </c>
      <c r="BU30" s="780" t="str">
        <f t="shared" si="33"/>
        <v>DEFAULT</v>
      </c>
      <c r="BV30" s="780">
        <f t="array" ref="BV30">IF('Customer Inputs'!$W$6="End",0,IFERROR(IF($BU30="SEGMENT",INDEX('Margin Guidence Table'!$A$1:$AG$10000,MATCH(1,('Margin Guidence Table'!$A$1:$A$10000=$BS30)*('Margin Guidence Table'!$I$1:$I$10000&lt;=ROUND($BK$3,0))*('Margin Guidence Table'!$J$1:$J$10000&gt;=ROUND($BK$3,0)),0),MATCH("SALES_CASE",'Margin Guidence Table'!$A$1:$AG$1,0)),INDEX('Margin Guidence Table'!$A$1:$AG$10000,MATCH(1,('Margin Guidence Table'!$A$1:$A$10000=$BS30)*('Margin Guidence Table'!$I$1:$I$10000&lt;=ROUND($BK$3,0))*('Margin Guidence Table'!$J$1:$J$10000&gt;=ROUND($BK$3,0)),0),MATCH("DEFAULT_SALES_CASE",'Margin Guidence Table'!$A$1:$AG$1,0))),0))</f>
        <v>0</v>
      </c>
      <c r="BW30" s="780">
        <f t="array" ref="BW30">IF('Customer Inputs'!$W$6="End",0,IFERROR(IF($BU30="SEGMENT",INDEX('Margin Guidence Table'!$A$1:$AG$10000,MATCH(1,('Margin Guidence Table'!$A$1:$A$10000=$BS30)*('Margin Guidence Table'!$I$1:$I$10000&lt;=ROUND($BK$3,0))*('Margin Guidence Table'!$J$1:$J$10000&gt;=ROUND($BK$3,0)),0),MATCH("SALES_LBS",'Margin Guidence Table'!$A$1:$AG$1,0)),INDEX('Margin Guidence Table'!$A$1:$AG$10000,MATCH(1,('Margin Guidence Table'!$A$1:$A$10000=$BS30)*('Margin Guidence Table'!$I$1:$I$10000&lt;=ROUND($BK$3,0))*('Margin Guidence Table'!$J$1:$J$10000&gt;=ROUND($BK$3,0)),0),MATCH("DEFAULT_SALES_LBS",'Margin Guidence Table'!$A$1:$AG$1,0))),0))</f>
        <v>0</v>
      </c>
      <c r="BX30" s="784">
        <f t="array" ref="BX30">IF('Customer Inputs'!$W$6="End",0,IFERROR(IF($BU30="SEGMENT",INDEX('Margin Guidence Table'!$A$1:$AG$10000,MATCH(1,('Margin Guidence Table'!$A$1:$A$10000=$BS30)*('Margin Guidence Table'!$I$1:$I$10000&lt;=ROUND($BK$3,0))*('Margin Guidence Table'!$J$1:$J$10000&gt;=ROUND($BK$3,0)),0),MATCH("MDA_MIN_MARGIN_GUIDENCE",'Margin Guidence Table'!$A$1:$AG$1,0)),INDEX('Margin Guidence Table'!$A$1:$AG$10000,MATCH(1,('Margin Guidence Table'!$A$1:$A$10000=$BS30)*('Margin Guidence Table'!$I$1:$I$10000&lt;=ROUND($BK$3,0))*('Margin Guidence Table'!$J$1:$J$10000&gt;=ROUND($BK$3,0)),0),MATCH("DEFAULT_MDA_MIN_MARGIN_GUIDENCE",'Margin Guidence Table'!$A$1:$AG$1,0))),0))</f>
        <v>0</v>
      </c>
      <c r="BY30" s="784">
        <f t="array" ref="BY30">IF('Customer Inputs'!$W$6="End",0,IFERROR(IF($BU30="SEGMENT",INDEX('Margin Guidence Table'!$A$1:$AG$10000,MATCH(1,('Margin Guidence Table'!$A$1:$A$10000=$BS30)*('Margin Guidence Table'!$I$1:$I$10000&lt;=ROUND($BK$3,0))*('Margin Guidence Table'!$J$1:$J$10000&gt;=ROUND($BK$3,0)),0),MATCH("MDA_MEDIAN_MARGIN_GUIDENCE",'Margin Guidence Table'!$A$1:$AG$1,0)),INDEX('Margin Guidence Table'!$A$1:$AG$10000,MATCH(1,('Margin Guidence Table'!$A$1:$A$10000=$BS30)*('Margin Guidence Table'!$I$1:$I$10000&lt;=ROUND($BK$3,0))*('Margin Guidence Table'!$J$1:$J$10000&gt;=ROUND($BK$3,0)),0),MATCH("DEFAULT_MDA_MEDIAN_MARGIN_GUIDENCE",'Margin Guidence Table'!$A$1:$AG$1,0))),0))</f>
        <v>0</v>
      </c>
      <c r="BZ30" s="784">
        <f t="array" ref="BZ30">IF('Customer Inputs'!$W$6="End",0,IFERROR(IF($BU30="SEGMENT",INDEX('Margin Guidence Table'!$A$1:$AG$10000,MATCH(1,('Margin Guidence Table'!$A$1:$A$10000=$BS30)*('Margin Guidence Table'!$I$1:$I$10000&lt;=ROUND($BK$3,0))*('Margin Guidence Table'!$J$1:$J$10000&gt;=ROUND($BK$3,0)),0),MATCH("MDA_MAX_MARGIN_GUIDENCE",'Margin Guidence Table'!$A$1:$AG$1,0)),INDEX('Margin Guidence Table'!$A$1:$AG$10000,MATCH(1,('Margin Guidence Table'!$A$1:$A$10000=$BS30)*('Margin Guidence Table'!$I$1:$I$10000&lt;=ROUND($BK$3,0))*('Margin Guidence Table'!$J$1:$J$10000&gt;=ROUND($BK$3,0)),0),MATCH("DEFAULT_MDA_MAX_MARGIN_GUIDENCE",'Margin Guidence Table'!$A$1:$AG$1,0))),0))</f>
        <v>0</v>
      </c>
      <c r="CA30" s="784">
        <f t="array" ref="CA30">IF('Customer Inputs'!$W$6="End",0,IFERROR(IF($BU30="SEGMENT",INDEX('Margin Guidence Table'!$A$1:$AG$10000,MATCH(1,('Margin Guidence Table'!$A$1:$A$10000=$BS30)*('Margin Guidence Table'!$I$1:$I$10000&lt;=ROUND($BK$3,0))*('Margin Guidence Table'!$J$1:$J$10000&gt;=ROUND($BK$3,0)),0),MATCH("PA_PCT_SALES",'Margin Guidence Table'!$A$1:$AG$1,0)),INDEX('Margin Guidence Table'!$A$1:$AG$10000,MATCH(1,('Margin Guidence Table'!$A$1:$A$10000=$BS30)*('Margin Guidence Table'!$I$1:$I$10000&lt;=ROUND($BK$3,0))*('Margin Guidence Table'!$J$1:$J$10000&gt;=ROUND($BK$3,0)),0),MATCH("DEFAULT_PA_PCT_SALES",'Margin Guidence Table'!$A$1:$AG$1,0))),0))</f>
        <v>0</v>
      </c>
      <c r="CB30" s="784">
        <f t="array" ref="CB30">IF('Customer Inputs'!$W$6="End",0,IFERROR(IF($BU30="SEGMENT",INDEX('Margin Guidence Table'!$A$1:$AG$10000,MATCH(1,('Margin Guidence Table'!$A$1:$A$10000=$BS30)*('Margin Guidence Table'!$I$1:$I$10000&lt;=ROUND($BK$3,0))*('Margin Guidence Table'!$J$1:$J$10000&gt;=ROUND($BK$3,0)),0),MATCH("SELF_FUND_PCT_SALES",'Margin Guidence Table'!$A$1:$AG$1,0)),INDEX('Margin Guidence Table'!$A$1:$AG$10000,MATCH(1,('Margin Guidence Table'!$A$1:$A$10000=$BS30)*('Margin Guidence Table'!$I$1:$I$10000&lt;=ROUND($BK$3,0))*('Margin Guidence Table'!$J$1:$J$10000&gt;=ROUND($BK$3,0)),0),MATCH("DEFAULT_SELF_FUND_PCT_SALES",'Margin Guidence Table'!$A$1:$AG$1,0))),0))</f>
        <v>0</v>
      </c>
      <c r="CC30" s="784">
        <f t="array" ref="CC30">IF('Customer Inputs'!$W$6="End",0,IF($BL$2="Existing",IFERROR(SUMIFS('Existing Customers'!$V:$V,'Existing Customers'!$H:$H,$BJ30,'Existing Customers'!$A:$A,$BK$1)/SUMIFS('Existing Customers'!$Q:$Q,'Existing Customers'!$H:$H,$BJ30,'Existing Customers'!$A:$A,$BK$1),0),IFERROR(IF($BU30="SEGMENT",INDEX('Margin Guidence Table'!$A$1:$AG$10000,MATCH(1,('Margin Guidence Table'!$A$1:$A$10000=$BS30)*('Margin Guidence Table'!$I$1:$I$10000&lt;=ROUND($BK$3,0))*('Margin Guidence Table'!$J$1:$J$10000&gt;=ROUND($BK$3,0)),0),MATCH("CIA_MEDIAN_MARGIN_GUIDENCE",'Margin Guidence Table'!$A$1:$AG$1,0)),INDEX('Margin Guidence Table'!$A$1:$AG$10000,MATCH(1,('Margin Guidence Table'!$A$1:$A$10000=$BS30)*('Margin Guidence Table'!$I$1:$I$10000&lt;=ROUND($BK$3,0))*('Margin Guidence Table'!$J$1:$J$10000&gt;=ROUND($BK$3,0)),0),MATCH("DEFAULT_CIA_MEDIAN_MARGIN_GUIDENCE",'Margin Guidence Table'!$A$1:$AG$1,0))),0)))</f>
        <v>0</v>
      </c>
      <c r="CD30" s="126"/>
      <c r="CE30" s="18">
        <f t="array" ref="CE30">IF('Customer Inputs'!$W$7="End",0,IFERROR(IF($CR30="SEGMENT",INDEX('Margin Guidence Table'!$A$1:$AG$10000,MATCH(1,('Margin Guidence Table'!$A$1:$A$10000=$CP30)*('Margin Guidence Table'!$I$1:$I$10000&lt;=ROUND($CH$3,0))*('Margin Guidence Table'!$J$1:$J$10000&gt;=ROUND($CH$3,0)),0),MATCH("PCT_SALES",'Margin Guidence Table'!$A$1:$AG$1,0)),INDEX('Margin Guidence Table'!$A$1:$AG$10000,MATCH(1,('Margin Guidence Table'!$A$1:$A$10000=$CP30)*('Margin Guidence Table'!$I$1:$I$10000&lt;=ROUND($CH$3,0))*('Margin Guidence Table'!$J$1:$J$10000&gt;=ROUND($CH$3,0)),0),MATCH("DEFAULT_PCT_SALES",'Margin Guidence Table'!$A$1:$AG$1,0))),0))</f>
        <v>0</v>
      </c>
      <c r="CF30" s="297" t="e">
        <f t="shared" si="34"/>
        <v>#DIV/0!</v>
      </c>
      <c r="CG30" s="99" t="s">
        <v>89</v>
      </c>
      <c r="CH30" s="91">
        <f>IF('Customer Inputs'!$W$7="End",0,IFERROR(IF(AND($CH$2&lt;&gt;"Enter Spend&gt;&gt;&gt;",$CI$2="EXISTING"),SUMIFS('Existing Customers'!$Q:$Q,'Existing Customers'!$A:$A,$CH$1,'Existing Customers'!$H:$H,$CG30)*$CH$4,$CH$3*$CF30),0))</f>
        <v>0</v>
      </c>
      <c r="CI30" s="86">
        <f>IF('Customer Inputs'!$W$7="End",0,IFERROR(IF(AND($CH$2&lt;&gt;"Enter Spend&gt;&gt;&gt;",$CI$2="EXISTING"),SUMIFS('Existing Customers'!$N:$N,'Existing Customers'!$A:$A,$CH$1,'Existing Customers'!$H:$H,$CG30)*$CH$4,$CH30/$CS30),0))</f>
        <v>0</v>
      </c>
      <c r="CJ30" s="92">
        <f>IF('Customer Inputs'!$W$7="End",0,IFERROR(IF(AND($CH$2&lt;&gt;"Enter Spend&gt;&gt;&gt;",$CI$2="EXISTING"),SUMIFS('Existing Customers'!$O:$O,'Existing Customers'!$H:$H,$CG30,'Existing Customers'!$A:$A,$CH$1)*$CH$4,$CI30*$CH$8),0))</f>
        <v>0</v>
      </c>
      <c r="CK30" s="92">
        <f>IF('Customer Inputs'!$W$7="End",0,IFERROR(IF(AND($CH$2&lt;&gt;"Enter Spend&gt;&gt;&gt;",$CI$2="EXISTING"),SUMIFS('Existing Customers'!$P:$P,'Existing Customers'!$A:$A,$CH$1,'Existing Customers'!$H:$H,$CG30)*$CH$4,$CH30/$CT30),0))</f>
        <v>0</v>
      </c>
      <c r="CL30" s="93">
        <f>IF('Customer Inputs'!$W$7="End",0,IFERROR(IF(AND($CH$2&lt;&gt;"Enter Spend&gt;&gt;&gt;",$CI$2="EXISTING"),SUMIFS('Existing Customers'!$V:$V,'Existing Customers'!$H:$H,$CG30,'Existing Customers'!$A:$A,$CH$1)*$CH$4,0),0))</f>
        <v>0</v>
      </c>
      <c r="CM30" s="93">
        <f>IF('Customer Inputs'!$W$7="End",0,IFERROR(IF(AND($CH$2&lt;&gt;"Enter Spend&gt;&gt;&gt;",$CI$2="EXISTING"),SUMIFS('Existing Customers'!$R:$R,'Existing Customers'!$H:$H,$CG30,'Existing Customers'!$A:$A,$CH$1)*$CH$4,0),0))</f>
        <v>0</v>
      </c>
      <c r="CN30" s="780">
        <f>IF('Customer Inputs'!$W$7="End",0,IFERROR(IF(AND($CH$2&lt;&gt;"Enter Spend&gt;&gt;&gt;",$CI$2="EXISTING"),SUMIFS('Existing Customers'!$S:$S,'Existing Customers'!$H:$H,$CG30,'Existing Customers'!$A:$A,$CH$1)/SUMIFS('Existing Customers'!$Q:$Q,'Existing Customers'!$A:$A,$CH$1,'Existing Customers'!$H:$H,$CG30),CX30),0))</f>
        <v>0</v>
      </c>
      <c r="CO30" s="780">
        <f>IF('Customer Inputs'!$W$7="End",0,IFERROR(IF(AND($CH$2&lt;&gt;"Enter Spend&gt;&gt;&gt;",$CI$2="EXISTING"),SUMIFS('Existing Customers'!$U:$U,'Existing Customers'!$H:$H,$CG30,'Existing Customers'!$A:$A,$CH$1)/SUMIFS('Existing Customers'!$Q:$Q,'Existing Customers'!$A:$A,$CH$1,'Existing Customers'!$H:$H,$CG30),CY30),0))</f>
        <v>0</v>
      </c>
      <c r="CP30" s="783" t="e">
        <f>_xlfn.CONCAT('Customer Inputs'!$AH$7,"_",CG30)</f>
        <v>#N/A</v>
      </c>
      <c r="CQ30" s="783">
        <f t="array" ref="CQ30">IFERROR(INDEX('Margin Guidence Table'!$A$1:$AG$10000,MATCH(1,('Margin Guidence Table'!$A$1:$A$10000=$CP30)*('Margin Guidence Table'!$I$1:$I$10000&lt;=ROUND($CH$3,0))*('Margin Guidence Table'!$J$1:$J$10000&gt;=ROUND($CH$3,0)),0),MATCH("DATA_POINTS",'Margin Guidence Table'!$A$1:$AG$1,0)),0)</f>
        <v>0</v>
      </c>
      <c r="CR30" s="780" t="str">
        <f t="shared" si="35"/>
        <v>DEFAULT</v>
      </c>
      <c r="CS30" s="780">
        <f t="array" ref="CS30">IF('Customer Inputs'!$W$7="End",0,IFERROR(IF($CR30="SEGMENT",INDEX('Margin Guidence Table'!$A$1:$AG$10000,MATCH(1,('Margin Guidence Table'!$A$1:$A$10000=$CP30)*('Margin Guidence Table'!$I$1:$I$10000&lt;=ROUND($CH$3,0))*('Margin Guidence Table'!$J$1:$J$10000&gt;=ROUND($CH$3,0)),0),MATCH("SALES_CASE",'Margin Guidence Table'!$A$1:$AG$1,0)),INDEX('Margin Guidence Table'!$A$1:$AG$10000,MATCH(1,('Margin Guidence Table'!$A$1:$A$10000=$CP30)*('Margin Guidence Table'!$I$1:$I$10000&lt;=ROUND($CH$3,0))*('Margin Guidence Table'!$J$1:$J$10000&gt;=ROUND($CH$3,0)),0),MATCH("DEFAULT_SALES_CASE",'Margin Guidence Table'!$A$1:$AG$1,0))),0))</f>
        <v>0</v>
      </c>
      <c r="CT30" s="780">
        <f t="array" ref="CT30">IF('Customer Inputs'!$W$7="End",0,IFERROR(IF($CR30="SEGMENT",INDEX('Margin Guidence Table'!$A$1:$AG$10000,MATCH(1,('Margin Guidence Table'!$A$1:$A$10000=$CP30)*('Margin Guidence Table'!$I$1:$I$10000&lt;=ROUND($CH$3,0))*('Margin Guidence Table'!$J$1:$J$10000&gt;=ROUND($CH$3,0)),0),MATCH("SALES_LBS",'Margin Guidence Table'!$A$1:$AG$1,0)),INDEX('Margin Guidence Table'!$A$1:$AG$10000,MATCH(1,('Margin Guidence Table'!$A$1:$A$10000=$CP30)*('Margin Guidence Table'!$I$1:$I$10000&lt;=ROUND($CH$3,0))*('Margin Guidence Table'!$J$1:$J$10000&gt;=ROUND($CH$3,0)),0),MATCH("DEFAULT_SALES_LBS",'Margin Guidence Table'!$A$1:$AG$1,0))),0))</f>
        <v>0</v>
      </c>
      <c r="CU30" s="784">
        <f t="array" ref="CU30">IF('Customer Inputs'!$W$7="End",0,IFERROR(IF($CR30="SEGMENT",INDEX('Margin Guidence Table'!$A$1:$AG$10000,MATCH(1,('Margin Guidence Table'!$A$1:$A$10000=$CP30)*('Margin Guidence Table'!$I$1:$I$10000&lt;=ROUND($CH$3,0))*('Margin Guidence Table'!$J$1:$J$10000&gt;=ROUND($CH$3,0)),0),MATCH("MDA_MIN_MARGIN_GUIDENCE",'Margin Guidence Table'!$A$1:$AG$1,0)),INDEX('Margin Guidence Table'!$A$1:$AG$10000,MATCH(1,('Margin Guidence Table'!$A$1:$A$10000=$CP30)*('Margin Guidence Table'!$I$1:$I$10000&lt;=ROUND($CH$3,0))*('Margin Guidence Table'!$J$1:$J$10000&gt;=ROUND($CH$3,0)),0),MATCH("DEFAULT_MDA_MIN_MARGIN_GUIDENCE",'Margin Guidence Table'!$A$1:$AG$1,0))),0))</f>
        <v>0</v>
      </c>
      <c r="CV30" s="784">
        <f t="array" ref="CV30">IF('Customer Inputs'!$W$7="End",0,IFERROR(IF($CR30="SEGMENT",INDEX('Margin Guidence Table'!$A$1:$AG$10000,MATCH(1,('Margin Guidence Table'!$A$1:$A$10000=$CP30)*('Margin Guidence Table'!$I$1:$I$10000&lt;=ROUND($CH$3,0))*('Margin Guidence Table'!$J$1:$J$10000&gt;=ROUND($CH$3,0)),0),MATCH("MDA_MEDIAN_MARGIN_GUIDENCE",'Margin Guidence Table'!$A$1:$AG$1,0)),INDEX('Margin Guidence Table'!$A$1:$AG$10000,MATCH(1,('Margin Guidence Table'!$A$1:$A$10000=$CP30)*('Margin Guidence Table'!$I$1:$I$10000&lt;=ROUND($CH$3,0))*('Margin Guidence Table'!$J$1:$J$10000&gt;=ROUND($CH$3,0)),0),MATCH("DEFAULT_MDA_MEDIAN_MARGIN_GUIDENCE",'Margin Guidence Table'!$A$1:$AG$1,0))),0))</f>
        <v>0</v>
      </c>
      <c r="CW30" s="784">
        <f t="array" ref="CW30">IF('Customer Inputs'!$W$7="End",0,IFERROR(IF($CR30="SEGMENT",INDEX('Margin Guidence Table'!$A$1:$AG$10000,MATCH(1,('Margin Guidence Table'!$A$1:$A$10000=$CP30)*('Margin Guidence Table'!$I$1:$I$10000&lt;=ROUND($CH$3,0))*('Margin Guidence Table'!$J$1:$J$10000&gt;=ROUND($CH$3,0)),0),MATCH("MDA_MAX_MARGIN_GUIDENCE",'Margin Guidence Table'!$A$1:$AG$1,0)),INDEX('Margin Guidence Table'!$A$1:$AG$10000,MATCH(1,('Margin Guidence Table'!$A$1:$A$10000=$CP30)*('Margin Guidence Table'!$I$1:$I$10000&lt;=ROUND($CH$3,0))*('Margin Guidence Table'!$J$1:$J$10000&gt;=ROUND($CH$3,0)),0),MATCH("DEFAULT_MDA_MAX_MARGIN_GUIDENCE",'Margin Guidence Table'!$A$1:$AG$1,0))),0))</f>
        <v>0</v>
      </c>
      <c r="CX30" s="784">
        <f t="array" ref="CX30">IF('Customer Inputs'!$W$7="End",0,IFERROR(IF($CR30="SEGMENT",INDEX('Margin Guidence Table'!$A$1:$AG$10000,MATCH(1,('Margin Guidence Table'!$A$1:$A$10000=$CP30)*('Margin Guidence Table'!$I$1:$I$10000&lt;=ROUND($CH$3,0))*('Margin Guidence Table'!$J$1:$J$10000&gt;=ROUND($CH$3,0)),0),MATCH("PA_PCT_SALES",'Margin Guidence Table'!$A$1:$AG$1,0)),INDEX('Margin Guidence Table'!$A$1:$AG$10000,MATCH(1,('Margin Guidence Table'!$A$1:$A$10000=$CP30)*('Margin Guidence Table'!$I$1:$I$10000&lt;=ROUND($CH$3,0))*('Margin Guidence Table'!$J$1:$J$10000&gt;=ROUND($CH$3,0)),0),MATCH("DEFAULT_PA_PCT_SALES",'Margin Guidence Table'!$A$1:$AG$1,0))),0))</f>
        <v>0</v>
      </c>
      <c r="CY30" s="784">
        <f t="array" ref="CY30">IF('Customer Inputs'!$W$7="End",0,IFERROR(IF($CR30="SEGMENT",INDEX('Margin Guidence Table'!$A$1:$AG$10000,MATCH(1,('Margin Guidence Table'!$A$1:$A$10000=$CP30)*('Margin Guidence Table'!$I$1:$I$10000&lt;=ROUND($CH$3,0))*('Margin Guidence Table'!$J$1:$J$10000&gt;=ROUND($CH$3,0)),0),MATCH("SELF_FUND_PCT_SALES",'Margin Guidence Table'!$A$1:$AG$1,0)),INDEX('Margin Guidence Table'!$A$1:$AG$10000,MATCH(1,('Margin Guidence Table'!$A$1:$A$10000=$CP30)*('Margin Guidence Table'!$I$1:$I$10000&lt;=ROUND($CH$3,0))*('Margin Guidence Table'!$J$1:$J$10000&gt;=ROUND($CH$3,0)),0),MATCH("DEFAULT_SELF_FUND_PCT_SALES",'Margin Guidence Table'!$A$1:$AG$1,0))),0))</f>
        <v>0</v>
      </c>
      <c r="CZ30" s="784">
        <f t="array" ref="CZ30">IF('Customer Inputs'!$W$7="End",0,IF($CI$2="Existing",IFERROR(SUMIFS('Existing Customers'!$V:$V,'Existing Customers'!$H:$H,$CG30,'Existing Customers'!$A:$A,$CH$1)/SUMIFS('Existing Customers'!$Q:$Q,'Existing Customers'!$H:$H,$CG30,'Existing Customers'!$A:$A,$CH$1),0),IFERROR(IF($CR30="SEGMENT",INDEX('Margin Guidence Table'!$A$1:$AG$10000,MATCH(1,('Margin Guidence Table'!$A$1:$A$10000=$CP30)*('Margin Guidence Table'!$I$1:$I$10000&lt;=ROUND($CH$3,0))*('Margin Guidence Table'!$J$1:$J$10000&gt;=ROUND($CH$3,0)),0),MATCH("CIA_MEDIAN_MARGIN_GUIDENCE",'Margin Guidence Table'!$A$1:$AG$1,0)),INDEX('Margin Guidence Table'!$A$1:$AG$10000,MATCH(1,('Margin Guidence Table'!$A$1:$A$10000=$CP30)*('Margin Guidence Table'!$I$1:$I$10000&lt;=ROUND($CH$3,0))*('Margin Guidence Table'!$J$1:$J$10000&gt;=ROUND($CH$3,0)),0),MATCH("DEFAULT_CIA_MEDIAN_MARGIN_GUIDENCE",'Margin Guidence Table'!$A$1:$AG$1,0))),0)))</f>
        <v>0</v>
      </c>
      <c r="DA30" s="126"/>
      <c r="DB30" s="18">
        <f t="array" ref="DB30">IF('Customer Inputs'!$W$8="End",0,IFERROR(IF($DO30="SEGMENT",INDEX('Margin Guidence Table'!$A$1:$AG$10000,MATCH(1,('Margin Guidence Table'!$A$1:$A$10000=$DM30)*('Margin Guidence Table'!$I$1:$I$10000&lt;=ROUND($DE$3,0))*('Margin Guidence Table'!$J$1:$J$10000&gt;=ROUND($DE$3,0)),0),MATCH("PCT_SALES",'Margin Guidence Table'!$A$1:$AG$1,0)),INDEX('Margin Guidence Table'!$A$1:$AG$10000,MATCH(1,('Margin Guidence Table'!$A$1:$A$10000=$DM30)*('Margin Guidence Table'!$I$1:$I$10000&lt;=ROUND($DE$3,0))*('Margin Guidence Table'!$J$1:$J$10000&gt;=ROUND($DE$3,0)),0),MATCH("DEFAULT_PCT_SALES",'Margin Guidence Table'!$A$1:$AG$1,0))),0))</f>
        <v>0</v>
      </c>
      <c r="DC30" s="297" t="e">
        <f t="shared" si="36"/>
        <v>#DIV/0!</v>
      </c>
      <c r="DD30" s="99" t="s">
        <v>89</v>
      </c>
      <c r="DE30" s="91">
        <f>IF('Customer Inputs'!$W$8="End",0,IFERROR(IF(AND($DE$2&lt;&gt;"Enter Spend&gt;&gt;&gt;",$DF$2="EXISTING"),SUMIFS('Existing Customers'!$Q:$Q,'Existing Customers'!$A:$A,$DE$1,'Existing Customers'!$H:$H,$DD30)*$DE$4,$DE$3*$DC30),0))</f>
        <v>0</v>
      </c>
      <c r="DF30" s="86">
        <f>IF('Customer Inputs'!$W$8="End",0,IFERROR(IF(AND($DE$2&lt;&gt;"Enter Spend&gt;&gt;&gt;",$DF$2="EXISTING"),SUMIFS('Existing Customers'!$N:$N,'Existing Customers'!$A:$A,$DE$1,'Existing Customers'!$H:$H,$DD30)*$DE$4,$DE30/$DP30),0))</f>
        <v>0</v>
      </c>
      <c r="DG30" s="92">
        <f>IF('Customer Inputs'!$W$8="End",0,IFERROR(IF(AND($DE$2&lt;&gt;"Enter Spend&gt;&gt;&gt;",$DF$2="EXISTING"),SUMIFS('Existing Customers'!$O:$O,'Existing Customers'!$H:$H,$DD30,'Existing Customers'!$A:$A,$DE$1)*$DE$4,$DF30*$DE$8),0))</f>
        <v>0</v>
      </c>
      <c r="DH30" s="92">
        <f>IF('Customer Inputs'!$W$8="End",0,IFERROR(IF(AND($DE$2&lt;&gt;"Enter Spend&gt;&gt;&gt;",$DF$2="EXISTING"),SUMIFS('Existing Customers'!$P:$P,'Existing Customers'!$A:$A,$DE$1,'Existing Customers'!$H:$H,$DD30)*$DE$4,$DE30/$DQ30),0))</f>
        <v>0</v>
      </c>
      <c r="DI30" s="93">
        <f>IF('Customer Inputs'!$W$8="End",0,IFERROR(IF(AND($DE$2&lt;&gt;"Enter Spend&gt;&gt;&gt;",$DF$2="EXISTING"),SUMIFS('Existing Customers'!$V:$V,'Existing Customers'!$H:$H,$DD30,'Existing Customers'!$A:$A,$DE$1)*$DE$4,0),0))</f>
        <v>0</v>
      </c>
      <c r="DJ30" s="93">
        <f>IF('Customer Inputs'!$W$8="End",0,IFERROR(IF(AND($DE$2&lt;&gt;"Enter Spend&gt;&gt;&gt;",$DF$2="EXISTING"),SUMIFS('Existing Customers'!$R:$R,'Existing Customers'!$H:$H,$DD30,'Existing Customers'!$A:$A,$DE$1)*$DE$4,0),0))</f>
        <v>0</v>
      </c>
      <c r="DK30" s="780">
        <f>IF('Customer Inputs'!$W$8="End",0,IFERROR(IF(AND($DE$2&lt;&gt;"Enter Spend&gt;&gt;&gt;",$DF$2="EXISTING"),SUMIFS('Existing Customers'!$S:$S,'Existing Customers'!$H:$H,$DD30,'Existing Customers'!$A:$A,$DE$1)/SUMIFS('Existing Customers'!$Q:$Q,'Existing Customers'!$A:$A,$DE$1,'Existing Customers'!$H:$H,$DD30),DU30),0))</f>
        <v>0</v>
      </c>
      <c r="DL30" s="780">
        <f>IF('Customer Inputs'!$W$8="End",0,IFERROR(IF(AND($DE$2&lt;&gt;"Enter Spend&gt;&gt;&gt;",$DF$2="EXISTING"),SUMIFS('Existing Customers'!$U:$U,'Existing Customers'!$H:$H,$DD30,'Existing Customers'!$A:$A,$DE$1)/SUMIFS('Existing Customers'!$Q:$Q,'Existing Customers'!$A:$A,$DE$1,'Existing Customers'!$H:$H,$DD30),DV30),0))</f>
        <v>0</v>
      </c>
      <c r="DM30" s="783" t="e">
        <f>_xlfn.CONCAT('Customer Inputs'!$AH$8,"_",DD30)</f>
        <v>#N/A</v>
      </c>
      <c r="DN30" s="783">
        <f t="array" ref="DN30">IF('Customer Inputs'!$W$8="End",0,IFERROR(INDEX('Margin Guidence Table'!$A$1:$AG$10000,MATCH(1,('Margin Guidence Table'!$A$1:$A$10000=DM30)*('Margin Guidence Table'!$I$1:$I$10000&lt;=ROUND($DE$3,0))*('Margin Guidence Table'!$J$1:$J$10000&gt;=ROUND($DE$3,0)),0),MATCH("DATA_POINTS",'Margin Guidence Table'!$A$1:$AG$1,0)),0))</f>
        <v>0</v>
      </c>
      <c r="DO30" s="780" t="str">
        <f t="shared" si="37"/>
        <v>DEFAULT</v>
      </c>
      <c r="DP30" s="780">
        <f t="array" ref="DP30">IF('Customer Inputs'!$W$8="End",0,IFERROR(IF($DO30="SEGMENT",INDEX('Margin Guidence Table'!$A$1:$AG$10000,MATCH(1,('Margin Guidence Table'!$A$1:$A$10000=DM30)*('Margin Guidence Table'!$I$1:$I$10000&lt;=ROUND($DE$3,0))*('Margin Guidence Table'!$J$1:$J$10000&gt;=ROUND($DE$3,0)),0),MATCH("SALES_CASE",'Margin Guidence Table'!$A$1:$AG$1,0)),INDEX('Margin Guidence Table'!$A$1:$AG$10000,MATCH(1,('Margin Guidence Table'!$A$1:$A$10000=DM30)*('Margin Guidence Table'!$I$1:$I$10000&lt;=ROUND($DE$3,0))*('Margin Guidence Table'!$J$1:$J$10000&gt;=ROUND($DE$3,0)),0),MATCH("DEFAULT_SALES_CASE",'Margin Guidence Table'!$A$1:$AG$1,0))),0))</f>
        <v>0</v>
      </c>
      <c r="DQ30" s="780">
        <f t="array" ref="DQ30">IF('Customer Inputs'!$W$8="End",0,IFERROR(IF($DO30="SEGMENT",INDEX('Margin Guidence Table'!$A$1:$AG$10000,MATCH(1,('Margin Guidence Table'!$A$1:$A$10000=DM30)*('Margin Guidence Table'!$I$1:$I$10000&lt;=ROUND($DE$3,0))*('Margin Guidence Table'!$J$1:$J$10000&gt;=ROUND($DE$3,0)),0),MATCH("SALES_LBS",'Margin Guidence Table'!$A$1:$AG$1,0)),INDEX('Margin Guidence Table'!$A$1:$AG$10000,MATCH(1,('Margin Guidence Table'!$A$1:$A$10000=DM30)*('Margin Guidence Table'!$I$1:$I$10000&lt;=ROUND($DE$3,0))*('Margin Guidence Table'!$J$1:$J$10000&gt;=ROUND($DE$3,0)),0),MATCH("DEFAULT_SALES_LBS",'Margin Guidence Table'!$A$1:$AG$1,0))),0))</f>
        <v>0</v>
      </c>
      <c r="DR30" s="784">
        <f t="array" ref="DR30">IF('Customer Inputs'!$W$8="End",0,IFERROR(IF($DO30="SEGMENT",INDEX('Margin Guidence Table'!$A$1:$AG$10000,MATCH(1,('Margin Guidence Table'!$A$1:$A$10000=DM30)*('Margin Guidence Table'!$I$1:$I$10000&lt;=ROUND($DE$3,0))*('Margin Guidence Table'!$J$1:$J$10000&gt;=ROUND($DE$3,0)),0),MATCH("MDA_MIN_MARGIN_GUIDENCE",'Margin Guidence Table'!$A$1:$AG$1,0)),INDEX('Margin Guidence Table'!$A$1:$AG$10000,MATCH(1,('Margin Guidence Table'!$A$1:$A$10000=DM30)*('Margin Guidence Table'!$I$1:$I$10000&lt;=ROUND($DE$3,0))*('Margin Guidence Table'!$J$1:$J$10000&gt;=ROUND($DE$3,0)),0),MATCH("DEFAULT_MDA_MIN_MARGIN_GUIDENCE",'Margin Guidence Table'!$A$1:$AG$1,0))),0))</f>
        <v>0</v>
      </c>
      <c r="DS30" s="784">
        <f t="array" ref="DS30">IF('Customer Inputs'!$W$8="End",0,IFERROR(IF($DO30="SEGMENT",INDEX('Margin Guidence Table'!$A$1:$AG$10000,MATCH(1,('Margin Guidence Table'!$A$1:$A$10000=DM30)*('Margin Guidence Table'!$I$1:$I$10000&lt;=ROUND($DE$3,0))*('Margin Guidence Table'!$J$1:$J$10000&gt;=ROUND($DE$3,0)),0),MATCH("MDA_MEDIAN_MARGIN_GUIDENCE",'Margin Guidence Table'!$A$1:$AG$1,0)),INDEX('Margin Guidence Table'!$A$1:$AG$10000,MATCH(1,('Margin Guidence Table'!$A$1:$A$10000=DM30)*('Margin Guidence Table'!$I$1:$I$10000&lt;=ROUND($DE$3,0))*('Margin Guidence Table'!$J$1:$J$10000&gt;=ROUND($DE$3,0)),0),MATCH("DEFAULT_MDA_MEDIAN_MARGIN_GUIDENCE",'Margin Guidence Table'!$A$1:$AG$1,0))),0))</f>
        <v>0</v>
      </c>
      <c r="DT30" s="784">
        <f t="array" ref="DT30">IF('Customer Inputs'!$W$8="End",0,IFERROR(IF($DO30="SEGMENT",INDEX('Margin Guidence Table'!$A$1:$AG$10000,MATCH(1,('Margin Guidence Table'!$A$1:$A$10000=DM30)*('Margin Guidence Table'!$I$1:$I$10000&lt;=ROUND($DE$3,0))*('Margin Guidence Table'!$J$1:$J$10000&gt;=ROUND($DE$3,0)),0),MATCH("MDA_MAX_MARGIN_GUIDENCE",'Margin Guidence Table'!$A$1:$AG$1,0)),INDEX('Margin Guidence Table'!$A$1:$AG$10000,MATCH(1,('Margin Guidence Table'!$A$1:$A$10000=DM30)*('Margin Guidence Table'!$I$1:$I$10000&lt;=ROUND($DE$3,0))*('Margin Guidence Table'!$J$1:$J$10000&gt;=ROUND($DE$3,0)),0),MATCH("DEFAULT_MDA_MAX_MARGIN_GUIDENCE",'Margin Guidence Table'!$A$1:$AG$1,0))),0))</f>
        <v>0</v>
      </c>
      <c r="DU30" s="784">
        <f t="array" ref="DU30">IF('Customer Inputs'!$W$8="End",0,IFERROR(IF($DO30="SEGMENT",INDEX('Margin Guidence Table'!$A$1:$AG$10000,MATCH(1,('Margin Guidence Table'!$A$1:$A$10000=DM30)*('Margin Guidence Table'!$I$1:$I$10000&lt;=ROUND($DE$3,0))*('Margin Guidence Table'!$J$1:$J$10000&gt;=ROUND($DE$3,0)),0),MATCH("PA_PCT_SALES",'Margin Guidence Table'!$A$1:$AG$1,0)),INDEX('Margin Guidence Table'!$A$1:$AG$10000,MATCH(1,('Margin Guidence Table'!$A$1:$A$10000=DM30)*('Margin Guidence Table'!$I$1:$I$10000&lt;=ROUND($DE$3,0))*('Margin Guidence Table'!$J$1:$J$10000&gt;=ROUND($DE$3,0)),0),MATCH("DEFAULT_PA_PCT_SALES",'Margin Guidence Table'!$A$1:$AG$1,0))),0))</f>
        <v>0</v>
      </c>
      <c r="DV30" s="784">
        <f t="array" ref="DV30">IF('Customer Inputs'!$W$8="End",0,IFERROR(IF($DO30="SEGMENT",INDEX('Margin Guidence Table'!$A$1:$AG$10000,MATCH(1,('Margin Guidence Table'!$A$1:$A$10000=DM30)*('Margin Guidence Table'!$I$1:$I$10000&lt;=ROUND($DE$3,0))*('Margin Guidence Table'!$J$1:$J$10000&gt;=ROUND($DE$3,0)),0),MATCH("SELF_FUND_PCT_SALES",'Margin Guidence Table'!$A$1:$AG$1,0)),INDEX('Margin Guidence Table'!$A$1:$AG$10000,MATCH(1,('Margin Guidence Table'!$A$1:$A$10000=DM30)*('Margin Guidence Table'!$I$1:$I$10000&lt;=ROUND($DE$3,0))*('Margin Guidence Table'!$J$1:$J$10000&gt;=ROUND($DE$3,0)),0),MATCH("DEFAULT_SELF_FUND_PCT_SALES",'Margin Guidence Table'!$A$1:$AG$1,0))),0))</f>
        <v>0</v>
      </c>
      <c r="DW30" s="784">
        <f t="array" ref="DW30">IF('Customer Inputs'!$W$8="End",0,IF($DF$2="Existing",IFERROR(SUMIFS('Existing Customers'!$V:$V,'Existing Customers'!$H:$H,$DD30,'Existing Customers'!$A:$A,$DE$1)/SUMIFS('Existing Customers'!$Q:$Q,'Existing Customers'!$H:$H,$DD30,'Existing Customers'!$A:$A,$DE$1),0),IFERROR(IF($DO30="SEGMENT",INDEX('Margin Guidence Table'!$A$1:$AG$10000,MATCH(1,('Margin Guidence Table'!$A$1:$A$10000=DM30)*('Margin Guidence Table'!$I$1:$I$10000&lt;=ROUND($DE$3,0))*('Margin Guidence Table'!$J$1:$J$10000&gt;=ROUND($DE$3,0)),0),MATCH("CIA_MEDIAN_MARGIN_GUIDENCE",'Margin Guidence Table'!$A$1:$AG$1,0)),INDEX('Margin Guidence Table'!$A$1:$AG$10000,MATCH(1,('Margin Guidence Table'!$A$1:$A$10000=DM30)*('Margin Guidence Table'!$I$1:$I$10000&lt;=ROUND($DE$3,0))*('Margin Guidence Table'!$J$1:$J$10000&gt;=ROUND($DE$3,0)),0),MATCH("DEFAULT_CIA_MEDIAN_MARGIN_GUIDENCE",'Margin Guidence Table'!$A$1:$AG$1,0))),0)))</f>
        <v>0</v>
      </c>
      <c r="DX30" s="126"/>
      <c r="DY30" s="18">
        <f t="array" ref="DY30">IF('Customer Inputs'!$W$9="End",0,IFERROR(IF($EL30="SEGMENT",INDEX('Margin Guidence Table'!$A$1:$AG$10000,MATCH(1,('Margin Guidence Table'!$A$1:$A$10000=$EJ30)*('Margin Guidence Table'!$I$1:$I$10000&lt;=ROUND($EB$3,0))*('Margin Guidence Table'!$J$1:$J$10000&gt;=ROUND($EB$3,0)),0),MATCH("PCT_SALES",'Margin Guidence Table'!$A$1:$AG$1,0)),INDEX('Margin Guidence Table'!$A$1:$AG$10000,MATCH(1,('Margin Guidence Table'!$A$1:$A$10000=$EJ30)*('Margin Guidence Table'!$I$1:$I$10000&lt;=ROUND($EB$3,0))*('Margin Guidence Table'!$J$1:$J$10000&gt;=ROUND($EB$3,0)),0),MATCH("DEFAULT_PCT_SALES",'Margin Guidence Table'!$A$1:$AG$1,0))),0))</f>
        <v>0</v>
      </c>
      <c r="DZ30" s="297" t="e">
        <f t="shared" si="38"/>
        <v>#DIV/0!</v>
      </c>
      <c r="EA30" s="99" t="s">
        <v>89</v>
      </c>
      <c r="EB30" s="91">
        <f>IF('Customer Inputs'!$W$9="End",0,IFERROR(IF(AND($EB$2&lt;&gt;"Enter Spend&gt;&gt;&gt;",$EC$2="EXISTING"),SUMIFS('Existing Customers'!$Q:$Q,'Existing Customers'!$A:$A,$EB$1,'Existing Customers'!$H:$H,$EA30)*$EB$4,$EB$3*$DZ30),0))</f>
        <v>0</v>
      </c>
      <c r="EC30" s="86">
        <f>IF('Customer Inputs'!$W$9="End",0,IFERROR(IF(AND($EB$2&lt;&gt;"Enter Spend&gt;&gt;&gt;",$EC$2="EXISTING"),SUMIFS('Existing Customers'!$N:$N,'Existing Customers'!$A:$A,$EB$1,'Existing Customers'!$H:$H,$EA30)*$EB$4,$EB30/$EM30),0))</f>
        <v>0</v>
      </c>
      <c r="ED30" s="92">
        <f>IF('Customer Inputs'!$W$9="End",0,IFERROR(IF(AND($EB$2&lt;&gt;"Enter Spend&gt;&gt;&gt;",$EC$2="EXISTING"),SUMIFS('Existing Customers'!$O:$O,'Existing Customers'!$H:$H,$EA30,'Existing Customers'!$A:$A,$EB$1)*$EB$4,$EC30*$EB$8),0))</f>
        <v>0</v>
      </c>
      <c r="EE30" s="92">
        <f>IF('Customer Inputs'!$W$9="End",0,IFERROR(IF(AND($EB$2&lt;&gt;"Enter Spend&gt;&gt;&gt;",$EC$2="EXISTING"),SUMIFS('Existing Customers'!$P:$P,'Existing Customers'!$A:$A,$EB$1,'Existing Customers'!$H:$H,$EA30)*$EB$4,$EB30/$EN30),0))</f>
        <v>0</v>
      </c>
      <c r="EF30" s="93">
        <f>IF('Customer Inputs'!$W$9="End",0,IFERROR(IF(AND($EB$2&lt;&gt;"Enter Spend&gt;&gt;&gt;",$EC$2="EXISTING"),SUMIFS('Existing Customers'!$V:$V,'Existing Customers'!$H:$H,$EA30,'Existing Customers'!$A:$A,$EB$1)*$EB$4,0),0))</f>
        <v>0</v>
      </c>
      <c r="EG30" s="93">
        <f>IF('Customer Inputs'!$W$9="End",0,IFERROR(IF(AND($EB$2&lt;&gt;"Enter Spend&gt;&gt;&gt;",$EC$2="EXISTING"),SUMIFS('Existing Customers'!$R:$R,'Existing Customers'!$H:$H,$EA30,'Existing Customers'!$A:$A,$EB$1)*$EB$4,0),0))</f>
        <v>0</v>
      </c>
      <c r="EH30" s="780">
        <f>IF('Customer Inputs'!$W$9="End",0,IFERROR(IF(AND($EB$2&lt;&gt;"Enter Spend&gt;&gt;&gt;",$EC$2="EXISTING"),SUMIFS('Existing Customers'!$S:$S,'Existing Customers'!$H:$H,$EA30,'Existing Customers'!$A:$A,$EB$1)/SUMIFS('Existing Customers'!$Q:$Q,'Existing Customers'!$A:$A,$EB$1,'Existing Customers'!$H:$H,$EA30),ER30),0))</f>
        <v>0</v>
      </c>
      <c r="EI30" s="780">
        <f>IF('Customer Inputs'!$W$9="End",0,IFERROR(IF(AND($EB$2&lt;&gt;"Enter Spend&gt;&gt;&gt;",$EC$2="EXISTING"),SUMIFS('Existing Customers'!$U:$U,'Existing Customers'!$H:$H,$EA30,'Existing Customers'!$A:$A,$EB$1)/SUMIFS('Existing Customers'!$Q:$Q,'Existing Customers'!$A:$A,$EB$1,'Existing Customers'!$H:$H,$EA30),ES30),0))</f>
        <v>0</v>
      </c>
      <c r="EJ30" s="783" t="e">
        <f>_xlfn.CONCAT('Customer Inputs'!$AH$9,"_",EA30)</f>
        <v>#N/A</v>
      </c>
      <c r="EK30" s="783">
        <f t="array" ref="EK30">IF('Customer Inputs'!$W$9="End",0,IFERROR(INDEX('Margin Guidence Table'!$A$1:$AG$10000,MATCH(1,('Margin Guidence Table'!$A$1:$A$10000=EJ30)*('Margin Guidence Table'!$I$1:$I$10000&lt;=ROUND($EB$3,0))*('Margin Guidence Table'!$J$1:$J$10000&gt;=ROUND($EB$3,0)),0),MATCH("DATA_POINTS",'Margin Guidence Table'!$A$1:$AG$1,0)),0))</f>
        <v>0</v>
      </c>
      <c r="EL30" s="780" t="str">
        <f t="shared" si="39"/>
        <v>DEFAULT</v>
      </c>
      <c r="EM30" s="780">
        <f t="array" ref="EM30">IF('Customer Inputs'!$W$9="End",0,IFERROR(IF($EL30="SEGMENT",INDEX('Margin Guidence Table'!$A$1:$AG$10000,MATCH(1,('Margin Guidence Table'!$A$1:$A$10000=EJ30)*('Margin Guidence Table'!$I$1:$I$10000&lt;=ROUND($EB$3,0))*('Margin Guidence Table'!$J$1:$J$10000&gt;=ROUND($EB$3,0)),0),MATCH("SALES_CASE",'Margin Guidence Table'!$A$1:$AG$1,0)),INDEX('Margin Guidence Table'!$A$1:$AG$10000,MATCH(1,('Margin Guidence Table'!$A$1:$A$10000=EJ30)*('Margin Guidence Table'!$I$1:$I$10000&lt;=ROUND($EB$3,0))*('Margin Guidence Table'!$J$1:$J$10000&gt;=ROUND($EB$3,0)),0),MATCH("DEFAULT_SALES_CASE",'Margin Guidence Table'!$A$1:$AG$1,0))),0))</f>
        <v>0</v>
      </c>
      <c r="EN30" s="780">
        <f t="array" ref="EN30">IF('Customer Inputs'!$W$9="End",0,IFERROR(IF($EL30="SEGMENT",INDEX('Margin Guidence Table'!$A$1:$AG$10000,MATCH(1,('Margin Guidence Table'!$A$1:$A$10000=EJ30)*('Margin Guidence Table'!$I$1:$I$10000&lt;=ROUND($EB$3,0))*('Margin Guidence Table'!$J$1:$J$10000&gt;=ROUND($EB$3,0)),0),MATCH("SALES_LBS",'Margin Guidence Table'!$A$1:$AG$1,0)),INDEX('Margin Guidence Table'!$A$1:$AG$10000,MATCH(1,('Margin Guidence Table'!$A$1:$A$10000=EJ30)*('Margin Guidence Table'!$I$1:$I$10000&lt;=ROUND($EB$3,0))*('Margin Guidence Table'!$J$1:$J$10000&gt;=ROUND($EB$3,0)),0),MATCH("DEFAULT_SALES_LBS",'Margin Guidence Table'!$A$1:$AG$1,0))),0))</f>
        <v>0</v>
      </c>
      <c r="EO30" s="784">
        <f t="array" ref="EO30">IF('Customer Inputs'!$W$9="End",0,IFERROR(IF($EL30="SEGMENT",INDEX('Margin Guidence Table'!$A$1:$AG$10000,MATCH(1,('Margin Guidence Table'!$A$1:$A$10000=EJ30)*('Margin Guidence Table'!$I$1:$I$10000&lt;=ROUND($EB$3,0))*('Margin Guidence Table'!$J$1:$J$10000&gt;=ROUND($EB$3,0)),0),MATCH("MDA_MIN_MARGIN_GUIDENCE",'Margin Guidence Table'!$A$1:$AG$1,0)),INDEX('Margin Guidence Table'!$A$1:$AG$10000,MATCH(1,('Margin Guidence Table'!$A$1:$A$10000=EJ30)*('Margin Guidence Table'!$I$1:$I$10000&lt;=ROUND($EB$3,0))*('Margin Guidence Table'!$J$1:$J$10000&gt;=ROUND($EB$3,0)),0),MATCH("DEFAULT_MDA_MIN_MARGIN_GUIDENCE",'Margin Guidence Table'!$A$1:$AG$1,0))),0))</f>
        <v>0</v>
      </c>
      <c r="EP30" s="784">
        <f t="array" ref="EP30">IF('Customer Inputs'!$W$9="End",0,IFERROR(IF($EL30="SEGMENT",INDEX('Margin Guidence Table'!$A$1:$AG$10000,MATCH(1,('Margin Guidence Table'!$A$1:$A$10000=EJ30)*('Margin Guidence Table'!$I$1:$I$10000&lt;=ROUND($EB$3,0))*('Margin Guidence Table'!$J$1:$J$10000&gt;=ROUND($EB$3,0)),0),MATCH("MDA_MEDIAN_MARGIN_GUIDENCE",'Margin Guidence Table'!$A$1:$AG$1,0)),INDEX('Margin Guidence Table'!$A$1:$AG$10000,MATCH(1,('Margin Guidence Table'!$A$1:$A$10000=EJ30)*('Margin Guidence Table'!$I$1:$I$10000&lt;=ROUND($EB$3,0))*('Margin Guidence Table'!$J$1:$J$10000&gt;=ROUND($EB$3,0)),0),MATCH("DEFAULT_MDA_MEDIAN_MARGIN_GUIDENCE",'Margin Guidence Table'!$A$1:$AG$1,0))),0))</f>
        <v>0</v>
      </c>
      <c r="EQ30" s="784">
        <f t="array" ref="EQ30">IF('Customer Inputs'!$W$9="End",0,IFERROR(IF($EL30="SEGMENT",INDEX('Margin Guidence Table'!$A$1:$AG$10000,MATCH(1,('Margin Guidence Table'!$A$1:$A$10000=EJ30)*('Margin Guidence Table'!$I$1:$I$10000&lt;=ROUND($EB$3,0))*('Margin Guidence Table'!$J$1:$J$10000&gt;=ROUND($EB$3,0)),0),MATCH("MDA_MAX_MARGIN_GUIDENCE",'Margin Guidence Table'!$A$1:$AG$1,0)),INDEX('Margin Guidence Table'!$A$1:$AG$10000,MATCH(1,('Margin Guidence Table'!$A$1:$A$10000=EJ30)*('Margin Guidence Table'!$I$1:$I$10000&lt;=ROUND($EB$3,0))*('Margin Guidence Table'!$J$1:$J$10000&gt;=ROUND($EB$3,0)),0),MATCH("DEFAULT_MDA_MAX_MARGIN_GUIDENCE",'Margin Guidence Table'!$A$1:$AG$1,0))),0))</f>
        <v>0</v>
      </c>
      <c r="ER30" s="784">
        <f t="array" ref="ER30">IF('Customer Inputs'!$W$9="End",0,IFERROR(IF($EL30="SEGMENT",INDEX('Margin Guidence Table'!$A$1:$AG$10000,MATCH(1,('Margin Guidence Table'!$A$1:$A$10000=EJ30)*('Margin Guidence Table'!$I$1:$I$10000&lt;=ROUND($EB$3,0))*('Margin Guidence Table'!$J$1:$J$10000&gt;=ROUND($EB$3,0)),0),MATCH("PA_PCT_SALES",'Margin Guidence Table'!$A$1:$AG$1,0)),INDEX('Margin Guidence Table'!$A$1:$AG$10000,MATCH(1,('Margin Guidence Table'!$A$1:$A$10000=EJ30)*('Margin Guidence Table'!$I$1:$I$10000&lt;=ROUND($EB$3,0))*('Margin Guidence Table'!$J$1:$J$10000&gt;=ROUND($EB$3,0)),0),MATCH("DEFAULT_PA_PCT_SALES",'Margin Guidence Table'!$A$1:$AG$1,0))),0))</f>
        <v>0</v>
      </c>
      <c r="ES30" s="784">
        <f t="array" ref="ES30">IF('Customer Inputs'!$W$9="End",0,IFERROR(IF($EL30="SEGMENT",INDEX('Margin Guidence Table'!$A$1:$AG$10000,MATCH(1,('Margin Guidence Table'!$A$1:$A$10000=EJ30)*('Margin Guidence Table'!$I$1:$I$10000&lt;=ROUND($EB$3,0))*('Margin Guidence Table'!$J$1:$J$10000&gt;=ROUND($EB$3,0)),0),MATCH("SELF_FUND_PCT_SALES",'Margin Guidence Table'!$A$1:$AG$1,0)),INDEX('Margin Guidence Table'!$A$1:$AG$10000,MATCH(1,('Margin Guidence Table'!$A$1:$A$10000=EJ30)*('Margin Guidence Table'!$I$1:$I$10000&lt;=ROUND($EB$3,0))*('Margin Guidence Table'!$J$1:$J$10000&gt;=ROUND($EB$3,0)),0),MATCH("DEFAULT_SELF_FUND_PCT_SALES",'Margin Guidence Table'!$A$1:$AG$1,0))),0))</f>
        <v>0</v>
      </c>
      <c r="ET30" s="784">
        <f t="array" ref="ET30">IF('Customer Inputs'!$W$9="End",0,IF($EC$2="Existing",IFERROR(SUMIFS('Existing Customers'!$V:$V,'Existing Customers'!$H:$H,$EA30,'Existing Customers'!$A:$A,$EB$1)/SUMIFS('Existing Customers'!$Q:$Q,'Existing Customers'!$H:$H,$EA30,'Existing Customers'!$A:$A,$EB$1),0),IFERROR(IF($EL30="SEGMENT",INDEX('Margin Guidence Table'!$A$1:$AG$10000,MATCH(1,('Margin Guidence Table'!$A$1:$A$10000=EJ30)*('Margin Guidence Table'!$I$1:$I$10000&lt;=ROUND($EB$3,0))*('Margin Guidence Table'!$J$1:$J$10000&gt;=ROUND($EB$3,0)),0),MATCH("CIA_MEDIAN_MARGIN_GUIDENCE",'Margin Guidence Table'!$A$1:$AG$1,0)),INDEX('Margin Guidence Table'!$A$1:$AG$10000,MATCH(1,('Margin Guidence Table'!$A$1:$A$10000=EJ30)*('Margin Guidence Table'!$I$1:$I$10000&lt;=ROUND($EB$3,0))*('Margin Guidence Table'!$J$1:$J$10000&gt;=ROUND($EB$3,0)),0),MATCH("DEFAULT_CIA_MEDIAN_MARGIN_GUIDENCE",'Margin Guidence Table'!$A$1:$AG$1,0))),0)))</f>
        <v>0</v>
      </c>
      <c r="EU30" s="126"/>
      <c r="EV30" s="18">
        <f t="array" ref="EV30">IF('Customer Inputs'!$W$10="End",0,IFERROR(IF($FI30="SEGMENT",INDEX('Margin Guidence Table'!$A$1:$AG$10000,MATCH(1,('Margin Guidence Table'!$A$1:$A$10000=$FG30)*('Margin Guidence Table'!$I$1:$I$10000&lt;=ROUND($EY$3,0))*('Margin Guidence Table'!$J$1:$J$10000&gt;=ROUND($EY$3,0)),0),MATCH("PCT_SALES",'Margin Guidence Table'!$A$1:$AG$1,0)),INDEX('Margin Guidence Table'!$A$1:$AG$10000,MATCH(1,('Margin Guidence Table'!$A$1:$A$10000=$FG30)*('Margin Guidence Table'!$I$1:$I$10000&lt;=ROUND($EY$3,0))*('Margin Guidence Table'!$J$1:$J$10000&gt;=ROUND($EY$3,0)),0),MATCH("DEFAULT_PCT_SALES",'Margin Guidence Table'!$A$1:$AG$1,0))),0))</f>
        <v>0</v>
      </c>
      <c r="EW30" s="297" t="e">
        <f t="shared" si="40"/>
        <v>#DIV/0!</v>
      </c>
      <c r="EX30" s="99" t="s">
        <v>89</v>
      </c>
      <c r="EY30" s="91">
        <f>IF('Customer Inputs'!$W$10="End",0,IFERROR(IF(AND($EY$2&lt;&gt;"Enter Spend&gt;&gt;&gt;",$EZ$2="EXISTING"),SUMIFS('Existing Customers'!$Q:$Q,'Existing Customers'!$A:$A,$EY$1,'Existing Customers'!$H:$H,$EX30)*$EY$4,$EY$3*$EW30),0))</f>
        <v>0</v>
      </c>
      <c r="EZ30" s="86">
        <f>IF('Customer Inputs'!$W$10="End",0,IFERROR(IF(AND($EY$2&lt;&gt;"Enter Spend&gt;&gt;&gt;",$EZ$2="EXISTING"),SUMIFS('Existing Customers'!$N:$N,'Existing Customers'!$A:$A,$EY$1,'Existing Customers'!$H:$H,$EX30)*$EY$4,$EY30/$FJ30),0))</f>
        <v>0</v>
      </c>
      <c r="FA30" s="92">
        <f>IF('Customer Inputs'!$W$10="End",0,IFERROR(IF(AND($EY$2&lt;&gt;"Enter Spend&gt;&gt;&gt;",$EZ$2="EXISTING"),SUMIFS('Existing Customers'!$O:$O,'Existing Customers'!$H:$H,$EX30,'Existing Customers'!$A:$A,$EY$1)*$EY$4,$EZ30*$EY$8),0))</f>
        <v>0</v>
      </c>
      <c r="FB30" s="92">
        <f>IF('Customer Inputs'!$W$10="End",0,IFERROR(IF(AND($EY$2&lt;&gt;"Enter Spend&gt;&gt;&gt;",$EZ$2="EXISTING"),SUMIFS('Existing Customers'!$P:$P,'Existing Customers'!$A:$A,$EY$1,'Existing Customers'!$H:$H,$EX30)*$EY$4,$EY30/$FK30),0))</f>
        <v>0</v>
      </c>
      <c r="FC30" s="93">
        <f>IF('Customer Inputs'!$W$10="End",0,IFERROR(IF(AND($EY$2&lt;&gt;"Enter Spend&gt;&gt;&gt;",$EZ$2="EXISTING"),SUMIFS('Existing Customers'!$V:$V,'Existing Customers'!$H:$H,$EX30,'Existing Customers'!$A:$A,$EY$1)*$EY$4,0),0))</f>
        <v>0</v>
      </c>
      <c r="FD30" s="93">
        <f>IF('Customer Inputs'!$W$10="End",0,IFERROR(IF(AND($EY$2&lt;&gt;"Enter Spend&gt;&gt;&gt;",$EZ$2="EXISTING"),SUMIFS('Existing Customers'!$R:$R,'Existing Customers'!$H:$H,$EX30,'Existing Customers'!$A:$A,$EY$1)*$EY$4,0),0))</f>
        <v>0</v>
      </c>
      <c r="FE30" s="780">
        <f>IF('Customer Inputs'!$W$10="End",0,IFERROR(IF(AND($EY$2&lt;&gt;"Enter Spend&gt;&gt;&gt;",$EZ$2="EXISTING"),SUMIFS('Existing Customers'!$S:$S,'Existing Customers'!$H:$H,$EX30,'Existing Customers'!$A:$A,$EY$1)/SUMIFS('Existing Customers'!$Q:$Q,'Existing Customers'!$A:$A,$EY$1,'Existing Customers'!$H:$H,$EX30),FO30),0))</f>
        <v>0</v>
      </c>
      <c r="FF30" s="780">
        <f>IF('Customer Inputs'!$W$10="End",0,IFERROR(IF(AND($EY$2&lt;&gt;"Enter Spend&gt;&gt;&gt;",$EZ$2="EXISTING"),SUMIFS('Existing Customers'!$U:$U,'Existing Customers'!$H:$H,$EX30,'Existing Customers'!$A:$A,$EY$1)/SUMIFS('Existing Customers'!$Q:$Q,'Existing Customers'!$A:$A,$EY$1,'Existing Customers'!$H:$H,$EX30),FP30),0))</f>
        <v>0</v>
      </c>
      <c r="FG30" s="783" t="e">
        <f>_xlfn.CONCAT('Customer Inputs'!$AH$10,"_",EX30)</f>
        <v>#N/A</v>
      </c>
      <c r="FH30" s="783">
        <f t="array" ref="FH30">IF('Customer Inputs'!$W$10="End",0,IFERROR(INDEX('Margin Guidence Table'!$A$1:$AG$10000,MATCH(1,('Margin Guidence Table'!$A$1:$A$10000=FG30)*('Margin Guidence Table'!$I$1:$I$10000&lt;=ROUND($EY$3,0))*('Margin Guidence Table'!$J$1:$J$10000&gt;=ROUND($EY$3,0)),0),MATCH("DATA_POINTS",'Margin Guidence Table'!$A$1:$AG$1,0)),0))</f>
        <v>0</v>
      </c>
      <c r="FI30" s="780" t="str">
        <f t="shared" si="41"/>
        <v>DEFAULT</v>
      </c>
      <c r="FJ30" s="780">
        <f t="array" ref="FJ30">IF('Customer Inputs'!$W$10="End",0,IFERROR(IF($FI30="SEGMENT",INDEX('Margin Guidence Table'!$A$1:$AG$10000,MATCH(1,('Margin Guidence Table'!$A$1:$A$10000=FG30)*('Margin Guidence Table'!$I$1:$I$10000&lt;=ROUND($EY$3,0))*('Margin Guidence Table'!$J$1:$J$10000&gt;=ROUND($EY$3,0)),0),MATCH("SALES_CASE",'Margin Guidence Table'!$A$1:$AG$1,0)),INDEX('Margin Guidence Table'!$A$1:$AG$10000,MATCH(1,('Margin Guidence Table'!$A$1:$A$10000=FG30)*('Margin Guidence Table'!$I$1:$I$10000&lt;=ROUND($EY$3,0))*('Margin Guidence Table'!$J$1:$J$10000&gt;=ROUND($EY$3,0)),0),MATCH("DEFAULT_SALES_CASE",'Margin Guidence Table'!$A$1:$AG$1,0))),0))</f>
        <v>0</v>
      </c>
      <c r="FK30" s="780">
        <f t="array" ref="FK30">IF('Customer Inputs'!$W$10="End",0,IFERROR(IF($FI30="SEGMENT",INDEX('Margin Guidence Table'!$A$1:$AG$10000,MATCH(1,('Margin Guidence Table'!$A$1:$A$10000=FG30)*('Margin Guidence Table'!$I$1:$I$10000&lt;=ROUND($EY$3,0))*('Margin Guidence Table'!$J$1:$J$10000&gt;=ROUND($EY$3,0)),0),MATCH("SALES_LBS",'Margin Guidence Table'!$A$1:$AG$1,0)),INDEX('Margin Guidence Table'!$A$1:$AG$10000,MATCH(1,('Margin Guidence Table'!$A$1:$A$10000=FG30)*('Margin Guidence Table'!$I$1:$I$10000&lt;=ROUND($EY$3,0))*('Margin Guidence Table'!$J$1:$J$10000&gt;=ROUND($EY$3,0)),0),MATCH("DEFAULT_SALES_LBS",'Margin Guidence Table'!$A$1:$AG$1,0))),0))</f>
        <v>0</v>
      </c>
      <c r="FL30" s="784">
        <f t="array" ref="FL30">IF('Customer Inputs'!$W$10="End",0,IFERROR(IF($FI30="SEGMENT",INDEX('Margin Guidence Table'!$A$1:$AG$10000,MATCH(1,('Margin Guidence Table'!$A$1:$A$10000=FG30)*('Margin Guidence Table'!$I$1:$I$10000&lt;=ROUND($EY$3,0))*('Margin Guidence Table'!$J$1:$J$10000&gt;=ROUND($EY$3,0)),0),MATCH("MDA_MIN_MARGIN_GUIDENCE",'Margin Guidence Table'!$A$1:$AG$1,0)),INDEX('Margin Guidence Table'!$A$1:$AG$10000,MATCH(1,('Margin Guidence Table'!$A$1:$A$10000=FG30)*('Margin Guidence Table'!$I$1:$I$10000&lt;=ROUND($EY$3,0))*('Margin Guidence Table'!$J$1:$J$10000&gt;=ROUND($EY$3,0)),0),MATCH("DEFAULT_MDA_MIN_MARGIN_GUIDENCE",'Margin Guidence Table'!$A$1:$AG$1,0))),0))</f>
        <v>0</v>
      </c>
      <c r="FM30" s="784">
        <f t="array" ref="FM30">IF('Customer Inputs'!$W$10="End",0,IFERROR(IF($FI30="SEGMENT",INDEX('Margin Guidence Table'!$A$1:$AG$10000,MATCH(1,('Margin Guidence Table'!$A$1:$A$10000=FG30)*('Margin Guidence Table'!$I$1:$I$10000&lt;=ROUND($EY$3,0))*('Margin Guidence Table'!$J$1:$J$10000&gt;=ROUND($EY$3,0)),0),MATCH("MDA_MEDIAN_MARGIN_GUIDENCE",'Margin Guidence Table'!$A$1:$AG$1,0)),INDEX('Margin Guidence Table'!$A$1:$AG$10000,MATCH(1,('Margin Guidence Table'!$A$1:$A$10000=FG30)*('Margin Guidence Table'!$I$1:$I$10000&lt;=ROUND($EY$3,0))*('Margin Guidence Table'!$J$1:$J$10000&gt;=ROUND($EY$3,0)),0),MATCH("DEFAULT_MDA_MEDIAN_MARGIN_GUIDENCE",'Margin Guidence Table'!$A$1:$AG$1,0))),0))</f>
        <v>0</v>
      </c>
      <c r="FN30" s="784">
        <f t="array" ref="FN30">IF('Customer Inputs'!$W$10="End",0,IFERROR(IF($FI30="SEGMENT",INDEX('Margin Guidence Table'!$A$1:$AG$10000,MATCH(1,('Margin Guidence Table'!$A$1:$A$10000=FG30)*('Margin Guidence Table'!$I$1:$I$10000&lt;=ROUND($EY$3,0))*('Margin Guidence Table'!$J$1:$J$10000&gt;=ROUND($EY$3,0)),0),MATCH("MDA_MAX_MARGIN_GUIDENCE",'Margin Guidence Table'!$A$1:$AG$1,0)),INDEX('Margin Guidence Table'!$A$1:$AG$10000,MATCH(1,('Margin Guidence Table'!$A$1:$A$10000=FG30)*('Margin Guidence Table'!$I$1:$I$10000&lt;=ROUND($EY$3,0))*('Margin Guidence Table'!$J$1:$J$10000&gt;=ROUND($EY$3,0)),0),MATCH("DEFAULT_MDA_MAX_MARGIN_GUIDENCE",'Margin Guidence Table'!$A$1:$AG$1,0))),0))</f>
        <v>0</v>
      </c>
      <c r="FO30" s="784">
        <f t="array" ref="FO30">IF('Customer Inputs'!$W$10="End",0,IFERROR(IF($FI30="SEGMENT",INDEX('Margin Guidence Table'!$A$1:$AG$10000,MATCH(1,('Margin Guidence Table'!$A$1:$A$10000=FG30)*('Margin Guidence Table'!$I$1:$I$10000&lt;=ROUND($EY$3,0))*('Margin Guidence Table'!$J$1:$J$10000&gt;=ROUND($EY$3,0)),0),MATCH("PA_PCT_SALES",'Margin Guidence Table'!$A$1:$AG$1,0)),INDEX('Margin Guidence Table'!$A$1:$AG$10000,MATCH(1,('Margin Guidence Table'!$A$1:$A$10000=FG30)*('Margin Guidence Table'!$I$1:$I$10000&lt;=ROUND($EY$3,0))*('Margin Guidence Table'!$J$1:$J$10000&gt;=ROUND($EY$3,0)),0),MATCH("DEFAULT_PA_PCT_SALES",'Margin Guidence Table'!$A$1:$AG$1,0))),0))</f>
        <v>0</v>
      </c>
      <c r="FP30" s="784">
        <f t="array" ref="FP30">IF('Customer Inputs'!$W$10="End",0,IFERROR(IF($FI30="SEGMENT",INDEX('Margin Guidence Table'!$A$1:$AG$10000,MATCH(1,('Margin Guidence Table'!$A$1:$A$10000=FG30)*('Margin Guidence Table'!$I$1:$I$10000&lt;=ROUND($EY$3,0))*('Margin Guidence Table'!$J$1:$J$10000&gt;=ROUND($EY$3,0)),0),MATCH("SELF_FUND_PCT_SALES",'Margin Guidence Table'!$A$1:$AG$1,0)),INDEX('Margin Guidence Table'!$A$1:$AG$10000,MATCH(1,('Margin Guidence Table'!$A$1:$A$10000=FG30)*('Margin Guidence Table'!$I$1:$I$10000&lt;=ROUND($EY$3,0))*('Margin Guidence Table'!$J$1:$J$10000&gt;=ROUND($EY$3,0)),0),MATCH("DEFAULT_SELF_FUND_PCT_SALES",'Margin Guidence Table'!$A$1:$AG$1,0))),0))</f>
        <v>0</v>
      </c>
      <c r="FQ30" s="784">
        <f t="array" ref="FQ30">IF('Customer Inputs'!$W$10="End",0,IF($EZ$2="Existing",IFERROR(SUMIFS('Existing Customers'!$V:$V,'Existing Customers'!$H:$H,$EX30,'Existing Customers'!$A:$A,$EY$1)/SUMIFS('Existing Customers'!$Q:$Q,'Existing Customers'!$H:$H,$EX30,'Existing Customers'!$A:$A,$EY$1),0),IFERROR(IF($FI30="SEGMENT",INDEX('Margin Guidence Table'!$A$1:$AG$10000,MATCH(1,('Margin Guidence Table'!$A$1:$A$10000=FG30)*('Margin Guidence Table'!$I$1:$I$10000&lt;=ROUND($EY$3,0))*('Margin Guidence Table'!$J$1:$J$10000&gt;=ROUND($EY$3,0)),0),MATCH("CIA_MEDIAN_MARGIN_GUIDENCE",'Margin Guidence Table'!$A$1:$AG$1,0)),INDEX('Margin Guidence Table'!$A$1:$AG$10000,MATCH(1,('Margin Guidence Table'!$A$1:$A$10000=FG30)*('Margin Guidence Table'!$I$1:$I$10000&lt;=ROUND($EY$3,0))*('Margin Guidence Table'!$J$1:$J$10000&gt;=ROUND($EY$3,0)),0),MATCH("DEFAULT_CIA_MEDIAN_MARGIN_GUIDENCE",'Margin Guidence Table'!$A$1:$AG$1,0))),0)))</f>
        <v>0</v>
      </c>
      <c r="FR30" s="126"/>
      <c r="FS30" s="18">
        <f t="array" ref="FS30">IF('Customer Inputs'!$W$11="End",0,IFERROR(IF($GF30="SEGMENT",INDEX('Margin Guidence Table'!$A$1:$AG$10000,MATCH(1,('Margin Guidence Table'!$A$1:$A$10000=$GD30)*('Margin Guidence Table'!$I$1:$I$10000&lt;=ROUND($FV$3,0))*('Margin Guidence Table'!$J$1:$J$10000&gt;=ROUND($FV$3,0)),0),MATCH("PCT_SALES",'Margin Guidence Table'!$A$1:$AG$1,0)),INDEX('Margin Guidence Table'!$A$1:$AG$10000,MATCH(1,('Margin Guidence Table'!$A$1:$A$10000=$GD30)*('Margin Guidence Table'!$I$1:$I$10000&lt;=ROUND($FV$3,0))*('Margin Guidence Table'!$J$1:$J$10000&gt;=ROUND($FV$3,0)),0),MATCH("DEFAULT_PCT_SALES",'Margin Guidence Table'!$A$1:$AG$1,0))),0))</f>
        <v>0</v>
      </c>
      <c r="FT30" s="297" t="e">
        <f t="shared" si="42"/>
        <v>#DIV/0!</v>
      </c>
      <c r="FU30" s="99" t="s">
        <v>89</v>
      </c>
      <c r="FV30" s="91">
        <f>IF('Customer Inputs'!$W$11="End",0,IFERROR(IF(AND($FV$2&lt;&gt;"Enter Spend&gt;&gt;&gt;",$FW$2="EXISTING"),SUMIFS('Existing Customers'!$Q:$Q,'Existing Customers'!$A:$A,$FV$1,'Existing Customers'!$H:$H,$FU30)*$FV$4,$FV$3*$FT30),0))</f>
        <v>0</v>
      </c>
      <c r="FW30" s="86">
        <f>IF('Customer Inputs'!$W$11="End",0,IFERROR(IF(AND($FV$2&lt;&gt;"Enter Spend&gt;&gt;&gt;",$FW$2="EXISTING"),SUMIFS('Existing Customers'!$N:$N,'Existing Customers'!$A:$A,$FV$1,'Existing Customers'!$H:$H,$FU30)*$FV$4,$FV30/$GG30),0))</f>
        <v>0</v>
      </c>
      <c r="FX30" s="92">
        <f>IF('Customer Inputs'!$W$11="End",0,IFERROR(IF(AND($FV$2&lt;&gt;"Enter Spend&gt;&gt;&gt;",$FW$2="EXISTING"),SUMIFS('Existing Customers'!$O:$O,'Existing Customers'!$H:$H,$FU30,'Existing Customers'!$A:$A,$FV$1)*$FV$4,$FW30*$FV$8),0))</f>
        <v>0</v>
      </c>
      <c r="FY30" s="92">
        <f>IF('Customer Inputs'!$W$11="End",0,IFERROR(IF(AND($FV$2&lt;&gt;"Enter Spend&gt;&gt;&gt;",$FW$2="EXISTING"),SUMIFS('Existing Customers'!$P:$P,'Existing Customers'!$A:$A,$FV$1,'Existing Customers'!$H:$H,$FU30)*$FV$4,$FV30/$GH30),0))</f>
        <v>0</v>
      </c>
      <c r="FZ30" s="93">
        <f>IF('Customer Inputs'!$W$11="End",0,IFERROR(IF(AND($FV$2&lt;&gt;"Enter Spend&gt;&gt;&gt;",$FW$2="EXISTING"),SUMIFS('Existing Customers'!$V:$V,'Existing Customers'!$H:$H,$FU30,'Existing Customers'!$A:$A,$FV$1)*$FV$4,0),0))</f>
        <v>0</v>
      </c>
      <c r="GA30" s="93">
        <f>IF('Customer Inputs'!$W$11="End",0,IFERROR(IF(AND($FV$2&lt;&gt;"Enter Spend&gt;&gt;&gt;",$FW$2="EXISTING"),SUMIFS('Existing Customers'!$R:$R,'Existing Customers'!$H:$H,$FU30,'Existing Customers'!$A:$A,$FV$1)*$FV$4,0),0))</f>
        <v>0</v>
      </c>
      <c r="GB30" s="780">
        <f>IF('Customer Inputs'!$W$11="End",0,IFERROR(IF(AND($FV$2&lt;&gt;"Enter Spend&gt;&gt;&gt;",$FW$2="EXISTING"),SUMIFS('Existing Customers'!$S:$S,'Existing Customers'!$H:$H,$FU30,'Existing Customers'!$A:$A,$FV$1)/SUMIFS('Existing Customers'!$Q:$Q,'Existing Customers'!$A:$A,$FV$1,'Existing Customers'!$H:$H,$FU30),GL30),0))</f>
        <v>0</v>
      </c>
      <c r="GC30" s="780">
        <f>IF('Customer Inputs'!$W$11="End",0,IFERROR(IF(AND($FV$2&lt;&gt;"Enter Spend&gt;&gt;&gt;",$FW$2="EXISTING"),SUMIFS('Existing Customers'!$U:$U,'Existing Customers'!$H:$H,$FU30,'Existing Customers'!$A:$A,$FV$1)/SUMIFS('Existing Customers'!$Q:$Q,'Existing Customers'!$A:$A,$FV$1,'Existing Customers'!$H:$H,$FU30),GM30),0))</f>
        <v>0</v>
      </c>
      <c r="GD30" s="783" t="e">
        <f>_xlfn.CONCAT('Customer Inputs'!$AH$11,"_",FU30)</f>
        <v>#N/A</v>
      </c>
      <c r="GE30" s="783">
        <f t="array" ref="GE30">IF('Customer Inputs'!$W$11="End",0,IFERROR(INDEX('Margin Guidence Table'!$A$1:$AG$10000,MATCH(1,('Margin Guidence Table'!$A$1:$A$10000=GD30)*('Margin Guidence Table'!$I$1:$I$10000&lt;=ROUND($FV$3,0))*('Margin Guidence Table'!$J$1:$J$10000&gt;=ROUND($FV$3,0)),0),MATCH("DATA_POINTS",'Margin Guidence Table'!$A$1:$AG$1,0)),0))</f>
        <v>0</v>
      </c>
      <c r="GF30" s="780" t="str">
        <f t="shared" si="43"/>
        <v>DEFAULT</v>
      </c>
      <c r="GG30" s="780">
        <f t="array" ref="GG30">IF('Customer Inputs'!$W$11="End",0,IFERROR(IF($GF30="SEGMENT",INDEX('Margin Guidence Table'!$A$1:$AG$10000,MATCH(1,('Margin Guidence Table'!$A$1:$A$10000=GD30)*('Margin Guidence Table'!$I$1:$I$10000&lt;=ROUND($FV$3,0))*('Margin Guidence Table'!$J$1:$J$10000&gt;=ROUND($FV$3,0)),0),MATCH("SALES_CASE",'Margin Guidence Table'!$A$1:$AG$1,0)),INDEX('Margin Guidence Table'!$A$1:$AG$10000,MATCH(1,('Margin Guidence Table'!$A$1:$A$10000=GD30)*('Margin Guidence Table'!$I$1:$I$10000&lt;=ROUND($FV$3,0))*('Margin Guidence Table'!$J$1:$J$10000&gt;=ROUND($FV$3,0)),0),MATCH("DEFAULT_SALES_CASE",'Margin Guidence Table'!$A$1:$AG$1,0))),0))</f>
        <v>0</v>
      </c>
      <c r="GH30" s="780">
        <f t="array" ref="GH30">IF('Customer Inputs'!$W$11="End",0,IFERROR(IF($GF30="SEGMENT",INDEX('Margin Guidence Table'!$A$1:$AG$10000,MATCH(1,('Margin Guidence Table'!$A$1:$A$10000=GD30)*('Margin Guidence Table'!$I$1:$I$10000&lt;=ROUND($FV$3,0))*('Margin Guidence Table'!$J$1:$J$10000&gt;=ROUND($FV$3,0)),0),MATCH("SALES_LBS",'Margin Guidence Table'!$A$1:$AG$1,0)),INDEX('Margin Guidence Table'!$A$1:$AG$10000,MATCH(1,('Margin Guidence Table'!$A$1:$A$10000=GD30)*('Margin Guidence Table'!$I$1:$I$10000&lt;=ROUND($FV$3,0))*('Margin Guidence Table'!$J$1:$J$10000&gt;=ROUND($FV$3,0)),0),MATCH("DEFAULT_SALES_LBS",'Margin Guidence Table'!$A$1:$AG$1,0))),0))</f>
        <v>0</v>
      </c>
      <c r="GI30" s="784">
        <f t="array" ref="GI30">IF('Customer Inputs'!$W$11="End",0,IFERROR(IF($GF30="SEGMENT",INDEX('Margin Guidence Table'!$A$1:$AG$10000,MATCH(1,('Margin Guidence Table'!$A$1:$A$10000=GD30)*('Margin Guidence Table'!$I$1:$I$10000&lt;=ROUND($FV$3,0))*('Margin Guidence Table'!$J$1:$J$10000&gt;=ROUND($FV$3,0)),0),MATCH("MDA_MIN_MARGIN_GUIDENCE",'Margin Guidence Table'!$A$1:$AG$1,0)),INDEX('Margin Guidence Table'!$A$1:$AG$10000,MATCH(1,('Margin Guidence Table'!$A$1:$A$10000=GD30)*('Margin Guidence Table'!$I$1:$I$10000&lt;=ROUND($FV$3,0))*('Margin Guidence Table'!$J$1:$J$10000&gt;=ROUND($FV$3,0)),0),MATCH("DEFAULT_MDA_MIN_MARGIN_GUIDENCE",'Margin Guidence Table'!$A$1:$AG$1,0))),0))</f>
        <v>0</v>
      </c>
      <c r="GJ30" s="784">
        <f t="array" ref="GJ30">IF('Customer Inputs'!$W$11="End",0,IFERROR(IF($GF30="SEGMENT",INDEX('Margin Guidence Table'!$A$1:$AG$10000,MATCH(1,('Margin Guidence Table'!$A$1:$A$10000=GD30)*('Margin Guidence Table'!$I$1:$I$10000&lt;=ROUND($FV$3,0))*('Margin Guidence Table'!$J$1:$J$10000&gt;=ROUND($FV$3,0)),0),MATCH("MDA_MEDIAN_MARGIN_GUIDENCE",'Margin Guidence Table'!$A$1:$AG$1,0)),INDEX('Margin Guidence Table'!$A$1:$AG$10000,MATCH(1,('Margin Guidence Table'!$A$1:$A$10000=GD30)*('Margin Guidence Table'!$I$1:$I$10000&lt;=ROUND($FV$3,0))*('Margin Guidence Table'!$J$1:$J$10000&gt;=ROUND($FV$3,0)),0),MATCH("DEFAULT_MDA_MEDIAN_MARGIN_GUIDENCE",'Margin Guidence Table'!$A$1:$AG$1,0))),0))</f>
        <v>0</v>
      </c>
      <c r="GK30" s="784">
        <f t="array" ref="GK30">IF('Customer Inputs'!$W$11="End",0,IFERROR(IF($GF30="SEGMENT",INDEX('Margin Guidence Table'!$A$1:$AG$10000,MATCH(1,('Margin Guidence Table'!$A$1:$A$10000=GD30)*('Margin Guidence Table'!$I$1:$I$10000&lt;=ROUND($FV$3,0))*('Margin Guidence Table'!$J$1:$J$10000&gt;=ROUND($FV$3,0)),0),MATCH("MDA_MAX_MARGIN_GUIDENCE",'Margin Guidence Table'!$A$1:$AG$1,0)),INDEX('Margin Guidence Table'!$A$1:$AG$10000,MATCH(1,('Margin Guidence Table'!$A$1:$A$10000=GD30)*('Margin Guidence Table'!$I$1:$I$10000&lt;=ROUND($FV$3,0))*('Margin Guidence Table'!$J$1:$J$10000&gt;=ROUND($FV$3,0)),0),MATCH("DEFAULT_MDA_MAX_MARGIN_GUIDENCE",'Margin Guidence Table'!$A$1:$AG$1,0))),0))</f>
        <v>0</v>
      </c>
      <c r="GL30" s="784">
        <f t="array" ref="GL30">IF('Customer Inputs'!$W$11="End",0,IFERROR(IF($GF30="SEGMENT",INDEX('Margin Guidence Table'!$A$1:$AG$10000,MATCH(1,('Margin Guidence Table'!$A$1:$A$10000=GD30)*('Margin Guidence Table'!$I$1:$I$10000&lt;=ROUND($FV$3,0))*('Margin Guidence Table'!$J$1:$J$10000&gt;=ROUND($FV$3,0)),0),MATCH("PA_PCT_SALES",'Margin Guidence Table'!$A$1:$AG$1,0)),INDEX('Margin Guidence Table'!$A$1:$AG$10000,MATCH(1,('Margin Guidence Table'!$A$1:$A$10000=GD30)*('Margin Guidence Table'!$I$1:$I$10000&lt;=ROUND($FV$3,0))*('Margin Guidence Table'!$J$1:$J$10000&gt;=ROUND($FV$3,0)),0),MATCH("DEFAULT_PA_PCT_SALES",'Margin Guidence Table'!$A$1:$AG$1,0))),0))</f>
        <v>0</v>
      </c>
      <c r="GM30" s="784">
        <f t="array" ref="GM30">IF('Customer Inputs'!$W$11="End",0,IFERROR(IF($GF30="SEGMENT",INDEX('Margin Guidence Table'!$A$1:$AG$10000,MATCH(1,('Margin Guidence Table'!$A$1:$A$10000=GD30)*('Margin Guidence Table'!$I$1:$I$10000&lt;=ROUND($FV$3,0))*('Margin Guidence Table'!$J$1:$J$10000&gt;=ROUND($FV$3,0)),0),MATCH("SELF_FUND_PCT_SALES",'Margin Guidence Table'!$A$1:$AG$1,0)),INDEX('Margin Guidence Table'!$A$1:$AG$10000,MATCH(1,('Margin Guidence Table'!$A$1:$A$10000=GD30)*('Margin Guidence Table'!$I$1:$I$10000&lt;=ROUND($FV$3,0))*('Margin Guidence Table'!$J$1:$J$10000&gt;=ROUND($FV$3,0)),0),MATCH("DEFAULT_SELF_FUND_PCT_SALES",'Margin Guidence Table'!$A$1:$AG$1,0))),0))</f>
        <v>0</v>
      </c>
      <c r="GN30" s="784">
        <f t="array" ref="GN30">IF('Customer Inputs'!$W$11="End",0,IF($FW$2="Existing",IFERROR(SUMIFS('Existing Customers'!$V:$V,'Existing Customers'!$H:$H,$FU30,'Existing Customers'!$A:$A,$FV$1)/SUMIFS('Existing Customers'!$Q:$Q,'Existing Customers'!$H:$H,$FU30,'Existing Customers'!$A:$A,$FV$1),0),IFERROR(IF($GF30="SEGMENT",INDEX('Margin Guidence Table'!$A$1:$AG$10000,MATCH(1,('Margin Guidence Table'!$A$1:$A$10000=GD30)*('Margin Guidence Table'!$I$1:$I$10000&lt;=ROUND($FV$3,0))*('Margin Guidence Table'!$J$1:$J$10000&gt;=ROUND($FV$3,0)),0),MATCH("CIA_MEDIAN_MARGIN_GUIDENCE",'Margin Guidence Table'!$A$1:$AG$1,0)),INDEX('Margin Guidence Table'!$A$1:$AG$10000,MATCH(1,('Margin Guidence Table'!$A$1:$A$10000=GD30)*('Margin Guidence Table'!$I$1:$I$10000&lt;=ROUND($FV$3,0))*('Margin Guidence Table'!$J$1:$J$10000&gt;=ROUND($FV$3,0)),0),MATCH("DEFAULT_CIA_MEDIAN_MARGIN_GUIDENCE",'Margin Guidence Table'!$A$1:$AG$1,0))),0)))</f>
        <v>0</v>
      </c>
      <c r="GO30" s="126"/>
      <c r="GP30" s="18">
        <f t="array" ref="GP30">IF('Customer Inputs'!$W$12="End",0,IFERROR(IF($HC30="SEGMENT",INDEX('Margin Guidence Table'!$A$1:$AG$10000,MATCH(1,('Margin Guidence Table'!$A$1:$A$10000=$HA30)*('Margin Guidence Table'!$I$1:$I$10000&lt;=ROUND($GS$3,0))*('Margin Guidence Table'!$J$1:$J$10000&gt;=ROUND($GS$3,0)),0),MATCH("PCT_SALES",'Margin Guidence Table'!$A$1:$AG$1,0)),INDEX('Margin Guidence Table'!$A$1:$AG$10000,MATCH(1,('Margin Guidence Table'!$A$1:$A$10000=$HA30)*('Margin Guidence Table'!$I$1:$I$10000&lt;=ROUND($GS$3,0))*('Margin Guidence Table'!$J$1:$J$10000&gt;=ROUND($GS$3,0)),0),MATCH("DEFAULT_PCT_SALES",'Margin Guidence Table'!$A$1:$AG$1,0))),0))</f>
        <v>0</v>
      </c>
      <c r="GQ30" s="297" t="e">
        <f t="shared" si="44"/>
        <v>#DIV/0!</v>
      </c>
      <c r="GR30" s="99" t="s">
        <v>89</v>
      </c>
      <c r="GS30" s="91">
        <f>IF('Customer Inputs'!$W$12="End",0,IFERROR(IF(AND($GS$2&lt;&gt;"Enter Spend&gt;&gt;&gt;",$GT$2="EXISTING"),SUMIFS('Existing Customers'!$Q:$Q,'Existing Customers'!$A:$A,$GS$1,'Existing Customers'!$H:$H,$GR30)*$GS$4,$GS$3*$GQ30),0))</f>
        <v>0</v>
      </c>
      <c r="GT30" s="86">
        <f>IF('Customer Inputs'!$W$12="End",0,IFERROR(IF(AND($GS$2&lt;&gt;"Enter Spend&gt;&gt;&gt;",$GT$2="EXISTING"),SUMIFS('Existing Customers'!$N:$N,'Existing Customers'!$A:$A,$GS$1,'Existing Customers'!$H:$H,$GR30)*$GS$4,$GS30/$HD30),0))</f>
        <v>0</v>
      </c>
      <c r="GU30" s="92">
        <f>IF('Customer Inputs'!$W$12="End",0,IFERROR(IF(AND($GS$2&lt;&gt;"Enter Spend&gt;&gt;&gt;",$GT$2="EXISTING"),SUMIFS('Existing Customers'!$O:$O,'Existing Customers'!$H:$H,$GR30,'Existing Customers'!$A:$A,$GS$1)*$GS$4,$GT30*$GS$8),0))</f>
        <v>0</v>
      </c>
      <c r="GV30" s="92">
        <f>IF('Customer Inputs'!$W$12="End",0,IFERROR(IF(AND($GS$2&lt;&gt;"Enter Spend&gt;&gt;&gt;",$GT$2="EXISTING"),SUMIFS('Existing Customers'!$P:$P,'Existing Customers'!$A:$A,$GS$1,'Existing Customers'!$H:$H,$GR30)*$GS$4,$GS30/$HE30),0))</f>
        <v>0</v>
      </c>
      <c r="GW30" s="93">
        <f>IF('Customer Inputs'!$W$12="End",0,IFERROR(IF(AND($GS$2&lt;&gt;"Enter Spend&gt;&gt;&gt;",$GT$2="EXISTING"),SUMIFS('Existing Customers'!$V:$V,'Existing Customers'!$H:$H,$GR30,'Existing Customers'!$A:$A,$GS$1)*$GS$4,0),0))</f>
        <v>0</v>
      </c>
      <c r="GX30" s="93">
        <f>IF('Customer Inputs'!$W$12="End",0,IFERROR(IF(AND($GS$2&lt;&gt;"Enter Spend&gt;&gt;&gt;",$GT$2="EXISTING"),SUMIFS('Existing Customers'!$R:$R,'Existing Customers'!$H:$H,$GR30,'Existing Customers'!$A:$A,$GS$1)*$GS$4,0),0))</f>
        <v>0</v>
      </c>
      <c r="GY30" s="780">
        <f>IF('Customer Inputs'!$W$12="End",0,IFERROR(IF(AND($GS$2&lt;&gt;"Enter Spend&gt;&gt;&gt;",$GT$2="EXISTING"),SUMIFS('Existing Customers'!$S:$S,'Existing Customers'!$H:$H,$GR30,'Existing Customers'!$A:$A,$GS$1)/SUMIFS('Existing Customers'!$Q:$Q,'Existing Customers'!$A:$A,$GS$1,'Existing Customers'!$H:$H,$GR30),HI30),0))</f>
        <v>0</v>
      </c>
      <c r="GZ30" s="780">
        <f>IF('Customer Inputs'!$W$12="End",0,IFERROR(IF(AND($GS$2&lt;&gt;"Enter Spend&gt;&gt;&gt;",$GT$2="EXISTING"),SUMIFS('Existing Customers'!$U:$U,'Existing Customers'!$H:$H,$GR30,'Existing Customers'!$A:$A,$GS$1)/SUMIFS('Existing Customers'!$Q:$Q,'Existing Customers'!$A:$A,$GS$1,'Existing Customers'!$H:$H,$GR30),HJ30),0))</f>
        <v>0</v>
      </c>
      <c r="HA30" s="783" t="e">
        <f>_xlfn.CONCAT('Customer Inputs'!$AH$12,"_",GR30)</f>
        <v>#N/A</v>
      </c>
      <c r="HB30" s="783">
        <f t="array" ref="HB30">IF('Customer Inputs'!$W$12="End",0,IFERROR(INDEX('Margin Guidence Table'!$A$1:$AG$10000,MATCH(1,('Margin Guidence Table'!$A$1:$A$10000=HA30)*('Margin Guidence Table'!$I$1:$I$10000&lt;=ROUND($GS$3,0))*('Margin Guidence Table'!$J$1:$J$10000&gt;=ROUND($GS$3,0)),0),MATCH("DATA_POINTS",'Margin Guidence Table'!$A$1:$AG$1,0)),0))</f>
        <v>0</v>
      </c>
      <c r="HC30" s="780" t="str">
        <f t="shared" si="45"/>
        <v>DEFAULT</v>
      </c>
      <c r="HD30" s="780">
        <f t="array" ref="HD30">IF('Customer Inputs'!$W$12="End",0,IFERROR(IF($HC30="SEGMENT",INDEX('Margin Guidence Table'!$A$1:$AG$10000,MATCH(1,('Margin Guidence Table'!$A$1:$A$10000=HA30)*('Margin Guidence Table'!$I$1:$I$10000&lt;=ROUND($GS$3,0))*('Margin Guidence Table'!$J$1:$J$10000&gt;=ROUND($GS$3,0)),0),MATCH("SALES_CASE",'Margin Guidence Table'!$A$1:$AG$1,0)),INDEX('Margin Guidence Table'!$A$1:$AG$10000,MATCH(1,('Margin Guidence Table'!$A$1:$A$10000=HA30)*('Margin Guidence Table'!$I$1:$I$10000&lt;=ROUND($GS$3,0))*('Margin Guidence Table'!$J$1:$J$10000&gt;=ROUND($GS$3,0)),0),MATCH("DEFAULT_SALES_CASE",'Margin Guidence Table'!$A$1:$AG$1,0))),0))</f>
        <v>0</v>
      </c>
      <c r="HE30" s="780">
        <f t="array" ref="HE30">IF('Customer Inputs'!$W$12="End",0,IFERROR(IF($HC30="SEGMENT",INDEX('Margin Guidence Table'!$A$1:$AG$10000,MATCH(1,('Margin Guidence Table'!$A$1:$A$10000=HA30)*('Margin Guidence Table'!$I$1:$I$10000&lt;=ROUND($GS$3,0))*('Margin Guidence Table'!$J$1:$J$10000&gt;=ROUND($GS$3,0)),0),MATCH("SALES_LBS",'Margin Guidence Table'!$A$1:$AG$1,0)),INDEX('Margin Guidence Table'!$A$1:$AG$10000,MATCH(1,('Margin Guidence Table'!$A$1:$A$10000=HA30)*('Margin Guidence Table'!$I$1:$I$10000&lt;=ROUND($GS$3,0))*('Margin Guidence Table'!$J$1:$J$10000&gt;=ROUND($GS$3,0)),0),MATCH("DEFAULT_SALES_LBS",'Margin Guidence Table'!$A$1:$AG$1,0))),0))</f>
        <v>0</v>
      </c>
      <c r="HF30" s="784">
        <f t="array" ref="HF30">IF('Customer Inputs'!$W$12="End",0,IFERROR(IF($HC30="SEGMENT",INDEX('Margin Guidence Table'!$A$1:$AG$10000,MATCH(1,('Margin Guidence Table'!$A$1:$A$10000=HA30)*('Margin Guidence Table'!$I$1:$I$10000&lt;=ROUND($GS$3,0))*('Margin Guidence Table'!$J$1:$J$10000&gt;=ROUND($GS$3,0)),0),MATCH("MDA_MIN_MARGIN_GUIDENCE",'Margin Guidence Table'!$A$1:$AG$1,0)),INDEX('Margin Guidence Table'!$A$1:$AG$10000,MATCH(1,('Margin Guidence Table'!$A$1:$A$10000=HA30)*('Margin Guidence Table'!$I$1:$I$10000&lt;=ROUND($GS$3,0))*('Margin Guidence Table'!$J$1:$J$10000&gt;=ROUND($GS$3,0)),0),MATCH("DEFAULT_MDA_MIN_MARGIN_GUIDENCE",'Margin Guidence Table'!$A$1:$AG$1,0))),0))</f>
        <v>0</v>
      </c>
      <c r="HG30" s="784">
        <f t="array" ref="HG30">IF('Customer Inputs'!$W$12="End",0,IFERROR(IF($HC30="SEGMENT",INDEX('Margin Guidence Table'!$A$1:$AG$10000,MATCH(1,('Margin Guidence Table'!$A$1:$A$10000=HA30)*('Margin Guidence Table'!$I$1:$I$10000&lt;=ROUND($GS$3,0))*('Margin Guidence Table'!$J$1:$J$10000&gt;=ROUND($GS$3,0)),0),MATCH("MDA_MEDIAN_MARGIN_GUIDENCE",'Margin Guidence Table'!$A$1:$AG$1,0)),INDEX('Margin Guidence Table'!$A$1:$AG$10000,MATCH(1,('Margin Guidence Table'!$A$1:$A$10000=HA30)*('Margin Guidence Table'!$I$1:$I$10000&lt;=ROUND($GS$3,0))*('Margin Guidence Table'!$J$1:$J$10000&gt;=ROUND($GS$3,0)),0),MATCH("DEFAULT_MDA_MEDIAN_MARGIN_GUIDENCE",'Margin Guidence Table'!$A$1:$AG$1,0))),0))</f>
        <v>0</v>
      </c>
      <c r="HH30" s="784">
        <f t="array" ref="HH30">IF('Customer Inputs'!$W$12="End",0,IFERROR(IF($HC30="SEGMENT",INDEX('Margin Guidence Table'!$A$1:$AG$10000,MATCH(1,('Margin Guidence Table'!$A$1:$A$10000=HA30)*('Margin Guidence Table'!$I$1:$I$10000&lt;=ROUND($GS$3,0))*('Margin Guidence Table'!$J$1:$J$10000&gt;=ROUND($GS$3,0)),0),MATCH("MDA_MAX_MARGIN_GUIDENCE",'Margin Guidence Table'!$A$1:$AG$1,0)),INDEX('Margin Guidence Table'!$A$1:$AG$10000,MATCH(1,('Margin Guidence Table'!$A$1:$A$10000=HA30)*('Margin Guidence Table'!$I$1:$I$10000&lt;=ROUND($GS$3,0))*('Margin Guidence Table'!$J$1:$J$10000&gt;=ROUND($GS$3,0)),0),MATCH("DEFAULT_MDA_MAX_MARGIN_GUIDENCE",'Margin Guidence Table'!$A$1:$AG$1,0))),0))</f>
        <v>0</v>
      </c>
      <c r="HI30" s="784">
        <f t="array" ref="HI30">IF('Customer Inputs'!$W$12="End",0,IFERROR(IF($HC30="SEGMENT",INDEX('Margin Guidence Table'!$A$1:$AG$10000,MATCH(1,('Margin Guidence Table'!$A$1:$A$10000=HA30)*('Margin Guidence Table'!$I$1:$I$10000&lt;=ROUND($GS$3,0))*('Margin Guidence Table'!$J$1:$J$10000&gt;=ROUND($GS$3,0)),0),MATCH("PA_PCT_SALES",'Margin Guidence Table'!$A$1:$AG$1,0)),INDEX('Margin Guidence Table'!$A$1:$AG$10000,MATCH(1,('Margin Guidence Table'!$A$1:$A$10000=HA30)*('Margin Guidence Table'!$I$1:$I$10000&lt;=ROUND($GS$3,0))*('Margin Guidence Table'!$J$1:$J$10000&gt;=ROUND($GS$3,0)),0),MATCH("DEFAULT_PA_PCT_SALES",'Margin Guidence Table'!$A$1:$AG$1,0))),0))</f>
        <v>0</v>
      </c>
      <c r="HJ30" s="784">
        <f t="array" ref="HJ30">IF('Customer Inputs'!$W$12="End",0,IFERROR(IF($HC30="SEGMENT",INDEX('Margin Guidence Table'!$A$1:$AG$10000,MATCH(1,('Margin Guidence Table'!$A$1:$A$10000=HA30)*('Margin Guidence Table'!$I$1:$I$10000&lt;=ROUND($GS$3,0))*('Margin Guidence Table'!$J$1:$J$10000&gt;=ROUND($GS$3,0)),0),MATCH("SELF_FUND_PCT_SALES",'Margin Guidence Table'!$A$1:$AG$1,0)),INDEX('Margin Guidence Table'!$A$1:$AG$10000,MATCH(1,('Margin Guidence Table'!$A$1:$A$10000=HA30)*('Margin Guidence Table'!$I$1:$I$10000&lt;=ROUND($GS$3,0))*('Margin Guidence Table'!$J$1:$J$10000&gt;=ROUND($GS$3,0)),0),MATCH("DEFAULT_SELF_FUND_PCT_SALES",'Margin Guidence Table'!$A$1:$AG$1,0))),0))</f>
        <v>0</v>
      </c>
      <c r="HK30" s="784">
        <f t="array" ref="HK30">IF('Customer Inputs'!$W$12="End",0,IF($GT$2="Existing",IFERROR(SUMIFS('Existing Customers'!$V:$V,'Existing Customers'!$H:$H,$GR30,'Existing Customers'!$A:$A,$GS$1)/SUMIFS('Existing Customers'!$Q:$Q,'Existing Customers'!$H:$H,$GR30,'Existing Customers'!$A:$A,$GS$1),0),IFERROR(IF($HC30="SEGMENT",INDEX('Margin Guidence Table'!$A$1:$AG$10000,MATCH(1,('Margin Guidence Table'!$A$1:$A$10000=HA30)*('Margin Guidence Table'!$I$1:$I$10000&lt;=ROUND($GS$3,0))*('Margin Guidence Table'!$J$1:$J$10000&gt;=ROUND($GS$3,0)),0),MATCH("CIA_MEDIAN_MARGIN_GUIDENCE",'Margin Guidence Table'!$A$1:$AG$1,0)),INDEX('Margin Guidence Table'!$A$1:$AG$10000,MATCH(1,('Margin Guidence Table'!$A$1:$A$10000=HA30)*('Margin Guidence Table'!$I$1:$I$10000&lt;=ROUND($GS$3,0))*('Margin Guidence Table'!$J$1:$J$10000&gt;=ROUND($GS$3,0)),0),MATCH("DEFAULT_CIA_MEDIAN_MARGIN_GUIDENCE",'Margin Guidence Table'!$A$1:$AG$1,0))),0)))</f>
        <v>0</v>
      </c>
      <c r="HL30" s="126"/>
      <c r="HM30" s="18">
        <f t="array" ref="HM30">IF('Customer Inputs'!$W$13="End",0,IFERROR(IF($HZ30="SEGMENT",INDEX('Margin Guidence Table'!$A$1:$AG$10000,MATCH(1,('Margin Guidence Table'!$A$1:$A$10000=$HX30)*('Margin Guidence Table'!$I$1:$I$10000&lt;=ROUND($HP$3,0))*('Margin Guidence Table'!$J$1:$J$10000&gt;=ROUND($HP$3,0)),0),MATCH("PCT_SALES",'Margin Guidence Table'!$A$1:$AG$1,0)),INDEX('Margin Guidence Table'!$A$1:$AG$10000,MATCH(1,('Margin Guidence Table'!$A$1:$A$10000=$HX30)*('Margin Guidence Table'!$I$1:$I$10000&lt;=ROUND($HP$3,0))*('Margin Guidence Table'!$J$1:$J$10000&gt;=ROUND($HP$3,0)),0),MATCH("DEFAULT_PCT_SALES",'Margin Guidence Table'!$A$1:$AG$1,0))),0))</f>
        <v>0</v>
      </c>
      <c r="HN30" s="297" t="e">
        <f t="shared" si="46"/>
        <v>#DIV/0!</v>
      </c>
      <c r="HO30" s="99" t="s">
        <v>89</v>
      </c>
      <c r="HP30" s="91">
        <f>IF('Customer Inputs'!$W$13="End",0,IFERROR(IF(AND($HP$2&lt;&gt;"Enter Spend&gt;&gt;&gt;",$HQ$2="EXISTING"),SUMIFS('Existing Customers'!$Q:$Q,'Existing Customers'!$A:$A,$HP$1,'Existing Customers'!$H:$H,$HO30)*$HP$4,$HP$3*$HN30),0))</f>
        <v>0</v>
      </c>
      <c r="HQ30" s="86">
        <f>IF('Customer Inputs'!$W$13="End",0,IFERROR(IF(AND($HP$2&lt;&gt;"Enter Spend&gt;&gt;&gt;",$HQ$2="EXISTING"),SUMIFS('Existing Customers'!$N:$N,'Existing Customers'!$A:$A,$HP$1,'Existing Customers'!$H:$H,$HO30)*$HP$4,$HP30/$IA30),0))</f>
        <v>0</v>
      </c>
      <c r="HR30" s="92">
        <f>IF('Customer Inputs'!$W$13="End",0,IFERROR(IF(AND($HP$2&lt;&gt;"Enter Spend&gt;&gt;&gt;",$HQ$2="EXISTING"),SUMIFS('Existing Customers'!$O:$O,'Existing Customers'!$H:$H,$HO30,'Existing Customers'!$A:$A,$HP$1)*$HP$4,$HQ30*$HP$8),0))</f>
        <v>0</v>
      </c>
      <c r="HS30" s="92">
        <f>IF('Customer Inputs'!$W$13="End",0,IFERROR(IF(AND($HP$2&lt;&gt;"Enter Spend&gt;&gt;&gt;",$HQ$2="EXISTING"),SUMIFS('Existing Customers'!$P:$P,'Existing Customers'!$A:$A,$HP$1,'Existing Customers'!$H:$H,$HO30)*$HP$4,$HP30/$IB30),0))</f>
        <v>0</v>
      </c>
      <c r="HT30" s="93">
        <f>IF('Customer Inputs'!$W$13="End",0,IFERROR(IF(AND($HP$2&lt;&gt;"Enter Spend&gt;&gt;&gt;",$HQ$2="EXISTING"),SUMIFS('Existing Customers'!$V:$V,'Existing Customers'!$H:$H,$HO30,'Existing Customers'!$A:$A,$HP$1)*$HP$4,0),0))</f>
        <v>0</v>
      </c>
      <c r="HU30" s="93">
        <f>IF('Customer Inputs'!$W$13="End",0,IFERROR(IF(AND($HP$2&lt;&gt;"Enter Spend&gt;&gt;&gt;",$HQ$2="EXISTING"),SUMIFS('Existing Customers'!$R:$R,'Existing Customers'!$H:$H,$HO30,'Existing Customers'!$A:$A,$HP$1)*$HP$4,0),0))</f>
        <v>0</v>
      </c>
      <c r="HV30" s="780">
        <f>IF('Customer Inputs'!$W$13="End",0,IFERROR(IF(AND($HP$2&lt;&gt;"Enter Spend&gt;&gt;&gt;",$HQ$2="EXISTING"),SUMIFS('Existing Customers'!$S:$S,'Existing Customers'!$H:$H,$HO30,'Existing Customers'!$A:$A,$HP$1)/SUMIFS('Existing Customers'!$Q:$Q,'Existing Customers'!$A:$A,$HP$1,'Existing Customers'!$H:$H,$HO30),IF30),0))</f>
        <v>0</v>
      </c>
      <c r="HW30" s="780">
        <f>IF('Customer Inputs'!$W$13="End",0,IFERROR(IF(AND($HP$2&lt;&gt;"Enter Spend&gt;&gt;&gt;",$HQ$2="EXISTING"),SUMIFS('Existing Customers'!$U:$U,'Existing Customers'!$H:$H,$HO30,'Existing Customers'!$A:$A,$HP$1)/SUMIFS('Existing Customers'!$Q:$Q,'Existing Customers'!$A:$A,$HP$1,'Existing Customers'!$H:$H,$HO30),IG30),0))</f>
        <v>0</v>
      </c>
      <c r="HX30" s="783" t="e">
        <f>_xlfn.CONCAT('Customer Inputs'!$AH$13,"_",HO30)</f>
        <v>#N/A</v>
      </c>
      <c r="HY30" s="783">
        <f t="array" ref="HY30">IF('Customer Inputs'!$W$13="End",0,IFERROR(INDEX('Margin Guidence Table'!$A$1:$AG$10000,MATCH(1,('Margin Guidence Table'!$A$1:$A$10000=HX30)*('Margin Guidence Table'!$I$1:$I$10000&lt;=ROUND($HP$3,0))*('Margin Guidence Table'!$J$1:$J$10000&gt;=ROUND($HP$3,0)),0),MATCH("DATA_POINTS",'Margin Guidence Table'!$A$1:$AG$1,0)),0))</f>
        <v>0</v>
      </c>
      <c r="HZ30" s="780" t="str">
        <f t="shared" si="47"/>
        <v>DEFAULT</v>
      </c>
      <c r="IA30" s="780">
        <f t="array" ref="IA30">IF('Customer Inputs'!$W$13="End",0,IFERROR(IF($HZ30="SEGMENT",INDEX('Margin Guidence Table'!$A$1:$AG$10000,MATCH(1,('Margin Guidence Table'!$A$1:$A$10000=HX30)*('Margin Guidence Table'!$I$1:$I$10000&lt;=ROUND($HP$3,0))*('Margin Guidence Table'!$J$1:$J$10000&gt;=ROUND($HP$3,0)),0),MATCH("SALES_CASE",'Margin Guidence Table'!$A$1:$AG$1,0)),INDEX('Margin Guidence Table'!$A$1:$AG$10000,MATCH(1,('Margin Guidence Table'!$A$1:$A$10000=HX30)*('Margin Guidence Table'!$I$1:$I$10000&lt;=ROUND($HP$3,0))*('Margin Guidence Table'!$J$1:$J$10000&gt;=ROUND($HP$3,0)),0),MATCH("DEFAULT_SALES_CASE",'Margin Guidence Table'!$A$1:$AG$1,0))),0))</f>
        <v>0</v>
      </c>
      <c r="IB30" s="780">
        <f t="array" ref="IB30">IF('Customer Inputs'!$W$13="End",0,IFERROR(IF($HZ30="SEGMENT",INDEX('Margin Guidence Table'!$A$1:$AG$10000,MATCH(1,('Margin Guidence Table'!$A$1:$A$10000=HX30)*('Margin Guidence Table'!$I$1:$I$10000&lt;=ROUND($HP$3,0))*('Margin Guidence Table'!$J$1:$J$10000&gt;=ROUND($HP$3,0)),0),MATCH("SALES_LBS",'Margin Guidence Table'!$A$1:$AG$1,0)),INDEX('Margin Guidence Table'!$A$1:$AG$10000,MATCH(1,('Margin Guidence Table'!$A$1:$A$10000=HX30)*('Margin Guidence Table'!$I$1:$I$10000&lt;=ROUND($HP$3,0))*('Margin Guidence Table'!$J$1:$J$10000&gt;=ROUND($HP$3,0)),0),MATCH("DEFAULT_SALES_LBS",'Margin Guidence Table'!$A$1:$AG$1,0))),0))</f>
        <v>0</v>
      </c>
      <c r="IC30" s="784">
        <f t="array" ref="IC30">IF('Customer Inputs'!$W$13="End",0,IFERROR(IF($HZ30="SEGMENT",INDEX('Margin Guidence Table'!$A$1:$AG$10000,MATCH(1,('Margin Guidence Table'!$A$1:$A$10000=HX30)*('Margin Guidence Table'!$I$1:$I$10000&lt;=ROUND($HP$3,0))*('Margin Guidence Table'!$J$1:$J$10000&gt;=ROUND($HP$3,0)),0),MATCH("MDA_MIN_MARGIN_GUIDENCE",'Margin Guidence Table'!$A$1:$AG$1,0)),INDEX('Margin Guidence Table'!$A$1:$AG$10000,MATCH(1,('Margin Guidence Table'!$A$1:$A$10000=HX30)*('Margin Guidence Table'!$I$1:$I$10000&lt;=ROUND($HP$3,0))*('Margin Guidence Table'!$J$1:$J$10000&gt;=ROUND($HP$3,0)),0),MATCH("DEFAULT_MDA_MIN_MARGIN_GUIDENCE",'Margin Guidence Table'!$A$1:$AG$1,0))),0))</f>
        <v>0</v>
      </c>
      <c r="ID30" s="784">
        <f t="array" ref="ID30">IF('Customer Inputs'!$W$13="End",0,IFERROR(IF($HZ30="SEGMENT",INDEX('Margin Guidence Table'!$A$1:$AG$10000,MATCH(1,('Margin Guidence Table'!$A$1:$A$10000=HX30)*('Margin Guidence Table'!$I$1:$I$10000&lt;=ROUND($HP$3,0))*('Margin Guidence Table'!$J$1:$J$10000&gt;=ROUND($HP$3,0)),0),MATCH("MDA_MEDIAN_MARGIN_GUIDENCE",'Margin Guidence Table'!$A$1:$AG$1,0)),INDEX('Margin Guidence Table'!$A$1:$AG$10000,MATCH(1,('Margin Guidence Table'!$A$1:$A$10000=HX30)*('Margin Guidence Table'!$I$1:$I$10000&lt;=ROUND($HP$3,0))*('Margin Guidence Table'!$J$1:$J$10000&gt;=ROUND($HP$3,0)),0),MATCH("DEFAULT_MDA_MEDIAN_MARGIN_GUIDENCE",'Margin Guidence Table'!$A$1:$AG$1,0))),0))</f>
        <v>0</v>
      </c>
      <c r="IE30" s="784">
        <f t="array" ref="IE30">IF('Customer Inputs'!$W$13="End",0,IFERROR(IF($HZ30="SEGMENT",INDEX('Margin Guidence Table'!$A$1:$AG$10000,MATCH(1,('Margin Guidence Table'!$A$1:$A$10000=HX30)*('Margin Guidence Table'!$I$1:$I$10000&lt;=ROUND($HP$3,0))*('Margin Guidence Table'!$J$1:$J$10000&gt;=ROUND($HP$3,0)),0),MATCH("MDA_MAX_MARGIN_GUIDENCE",'Margin Guidence Table'!$A$1:$AG$1,0)),INDEX('Margin Guidence Table'!$A$1:$AG$10000,MATCH(1,('Margin Guidence Table'!$A$1:$A$10000=HX30)*('Margin Guidence Table'!$I$1:$I$10000&lt;=ROUND($HP$3,0))*('Margin Guidence Table'!$J$1:$J$10000&gt;=ROUND($HP$3,0)),0),MATCH("DEFAULT_MDA_MAX_MARGIN_GUIDENCE",'Margin Guidence Table'!$A$1:$AG$1,0))),0))</f>
        <v>0</v>
      </c>
      <c r="IF30" s="784">
        <f t="array" ref="IF30">IF('Customer Inputs'!$W$13="End",0,IFERROR(IF($HZ30="SEGMENT",INDEX('Margin Guidence Table'!$A$1:$AG$10000,MATCH(1,('Margin Guidence Table'!$A$1:$A$10000=HX30)*('Margin Guidence Table'!$I$1:$I$10000&lt;=ROUND($HP$3,0))*('Margin Guidence Table'!$J$1:$J$10000&gt;=ROUND($HP$3,0)),0),MATCH("PA_PCT_SALES",'Margin Guidence Table'!$A$1:$AG$1,0)),INDEX('Margin Guidence Table'!$A$1:$AG$10000,MATCH(1,('Margin Guidence Table'!$A$1:$A$10000=HX30)*('Margin Guidence Table'!$I$1:$I$10000&lt;=ROUND($HP$3,0))*('Margin Guidence Table'!$J$1:$J$10000&gt;=ROUND($HP$3,0)),0),MATCH("DEFAULT_PA_PCT_SALES",'Margin Guidence Table'!$A$1:$AG$1,0))),0))</f>
        <v>0</v>
      </c>
      <c r="IG30" s="784">
        <f t="array" ref="IG30">IF('Customer Inputs'!$W$13="End",0,IFERROR(IF($HZ30="SEGMENT",INDEX('Margin Guidence Table'!$A$1:$AG$10000,MATCH(1,('Margin Guidence Table'!$A$1:$A$10000=HX30)*('Margin Guidence Table'!$I$1:$I$10000&lt;=ROUND($HP$3,0))*('Margin Guidence Table'!$J$1:$J$10000&gt;=ROUND($HP$3,0)),0),MATCH("SELF_FUND_PCT_SALES",'Margin Guidence Table'!$A$1:$AG$1,0)),INDEX('Margin Guidence Table'!$A$1:$AG$10000,MATCH(1,('Margin Guidence Table'!$A$1:$A$10000=HX30)*('Margin Guidence Table'!$I$1:$I$10000&lt;=ROUND($HP$3,0))*('Margin Guidence Table'!$J$1:$J$10000&gt;=ROUND($HP$3,0)),0),MATCH("DEFAULT_SELF_FUND_PCT_SALES",'Margin Guidence Table'!$A$1:$AG$1,0))),0))</f>
        <v>0</v>
      </c>
      <c r="IH30" s="784">
        <f t="array" ref="IH30">IF('Customer Inputs'!$W$13="End",0,IF($HQ$2="Existing",IFERROR(SUMIFS('Existing Customers'!$V:$V,'Existing Customers'!$H:$H,$HO30,'Existing Customers'!$A:$A,$HP$1)/SUMIFS('Existing Customers'!$Q:$Q,'Existing Customers'!$H:$H,$HO30,'Existing Customers'!$A:$A,$HP$1),0),IFERROR(IF($HZ30="SEGMENT",INDEX('Margin Guidence Table'!$A$1:$AG$10000,MATCH(1,('Margin Guidence Table'!$A$1:$A$10000=HX30)*('Margin Guidence Table'!$I$1:$I$10000&lt;=ROUND($HP$3,0))*('Margin Guidence Table'!$J$1:$J$10000&gt;=ROUND($HP$3,0)),0),MATCH("CIA_MEDIAN_MARGIN_GUIDENCE",'Margin Guidence Table'!$A$1:$AG$1,0)),INDEX('Margin Guidence Table'!$A$1:$AG$10000,MATCH(1,('Margin Guidence Table'!$A$1:$A$10000=HX30)*('Margin Guidence Table'!$I$1:$I$10000&lt;=ROUND($HP$3,0))*('Margin Guidence Table'!$J$1:$J$10000&gt;=ROUND($HP$3,0)),0),MATCH("DEFAULT_CIA_MEDIAN_MARGIN_GUIDENCE",'Margin Guidence Table'!$A$1:$AG$1,0))),0)))</f>
        <v>0</v>
      </c>
      <c r="II30" s="126"/>
      <c r="IJ30" s="18">
        <f t="array" ref="IJ30">IF('Customer Inputs'!$W$14="End",0,IFERROR(IF($IW30="SEGMENT",INDEX('Margin Guidence Table'!$A:$AC,MATCH(1,('Margin Guidence Table'!$A:$A=$IU30)*('Margin Guidence Table'!$H:$H&lt;=ROUND($IM$3,0))*('Margin Guidence Table'!$G:$G&gt;=ROUND($IM$3,0)),0),MATCH("PCT_SALES",'Margin Guidence Table'!$A$1:$AG$1,0)),INDEX('Margin Guidence Table'!$A:$AC,MATCH(1,('Margin Guidence Table'!$A:$A=$IU30)*('Margin Guidence Table'!$H:$H&lt;=ROUND($IM$3,0))*('Margin Guidence Table'!$G:$G&gt;=ROUND($IM$3,0)),0),MATCH("DEFAULT_PCT_SALES",'Margin Guidence Table'!$A$1:$AG$1,0))),0))</f>
        <v>0</v>
      </c>
      <c r="IK30" s="297" t="e">
        <f t="shared" si="48"/>
        <v>#DIV/0!</v>
      </c>
      <c r="IL30" s="99" t="s">
        <v>89</v>
      </c>
      <c r="IM30" s="91">
        <f>IF('Customer Inputs'!$W$14="End",0,IFERROR(IF(AND($IM$2&lt;&gt;"Enter Spend&gt;&gt;&gt;",$IN$2="EXISTING"),SUMIFS('Existing Customers'!$Q:$Q,'Existing Customers'!$A:$A,$IM$1,'Existing Customers'!$H:$H,$IL30)*$IM$4,$IM$3*$IK30),0))</f>
        <v>0</v>
      </c>
      <c r="IN30" s="86">
        <f>IF('Customer Inputs'!$W$14="End",0,IFERROR(IF(AND($IM$2&lt;&gt;"Enter Spend&gt;&gt;&gt;",$IN$2="EXISTING"),SUMIFS('Existing Customers'!$N:$N,'Existing Customers'!$A:$A,$IM$1,'Existing Customers'!$H:$H,$IL30)*$IM$4,$IM30/$IX30),0))</f>
        <v>0</v>
      </c>
      <c r="IO30" s="92">
        <f>IF('Customer Inputs'!$W$14="End",0,IFERROR(IF(AND($IM$2&lt;&gt;"Enter Spend&gt;&gt;&gt;",$IN$2="EXISTING"),SUMIFS('Existing Customers'!$O:$O,'Existing Customers'!$H:$H,$IL30,'Existing Customers'!$A:$A,$IM$1)*$IM$4,$IN30*$IM$8),0))</f>
        <v>0</v>
      </c>
      <c r="IP30" s="92">
        <f>IF('Customer Inputs'!$W$14="End",0,IFERROR(IF(AND($IM$2&lt;&gt;"Enter Spend&gt;&gt;&gt;",$IN$2="EXISTING"),SUMIFS('Existing Customers'!$P:$P,'Existing Customers'!$A:$A,$IM$1,'Existing Customers'!$H:$H,$IL30)*$IM$4,$IM30/$IY30),0))</f>
        <v>0</v>
      </c>
      <c r="IQ30" s="303">
        <f>IF('Customer Inputs'!$W$14="End",0,IFERROR(IF(AND($IM$2&lt;&gt;"Enter Spend&gt;&gt;&gt;",$IN$2="EXISTING"),SUMIFS('Existing Customers'!$V:$V,'Existing Customers'!$H:$H,$IL30,'Existing Customers'!$A:$A,$IM$1)*$IM$4,0),0))</f>
        <v>0</v>
      </c>
      <c r="IR30" s="93">
        <f>IF('Customer Inputs'!$W$14="End",0,IFERROR(IF(AND($IM$2&lt;&gt;"Enter Spend&gt;&gt;&gt;",$IN$2="EXISTING"),SUMIFS('Existing Customers'!$R:$R,'Existing Customers'!$H:$H,$IL30,'Existing Customers'!$A:$A,$IM$1)*$IM$4,0),0))</f>
        <v>0</v>
      </c>
      <c r="IS30" s="780">
        <f>IF('Customer Inputs'!$W$14="End",0,IFERROR(IF(AND($IM$2&lt;&gt;"Enter Spend&gt;&gt;&gt;",$IN$2="EXISTING"),SUMIFS('Existing Customers'!$S:$S,'Existing Customers'!$H:$H,$IL30,'Existing Customers'!$A:$A,$IM$1)/SUMIFS('Existing Customers'!$Q:$Q,'Existing Customers'!$A:$A,$IM$1,'Existing Customers'!$H:$H,$IL30),JC30),0))</f>
        <v>0</v>
      </c>
      <c r="IT30" s="780">
        <f>IF('Customer Inputs'!$W$14="End",0,IFERROR(IF(AND($IM$2&lt;&gt;"Enter Spend&gt;&gt;&gt;",$IN$2="EXISTING"),SUMIFS('Existing Customers'!$U:$U,'Existing Customers'!$H:$H,$IL30,'Existing Customers'!$A:$A,$IM$1)/SUMIFS('Existing Customers'!$Q:$Q,'Existing Customers'!$A:$A,$IM$1,'Existing Customers'!$H:$H,$IL30),JD30),0))</f>
        <v>0</v>
      </c>
      <c r="IU30" s="783" t="e">
        <f>_xlfn.CONCAT('Customer Inputs'!$AH$14,"_",IL30)</f>
        <v>#N/A</v>
      </c>
      <c r="IV30" s="783">
        <f t="array" ref="IV30">IF('Customer Inputs'!$W$14="End",0,IFERROR(INDEX('Margin Guidence Table'!$A$1:$AG$10000,MATCH(1,('Margin Guidence Table'!$A$1:$A$10000=IU30)*('Margin Guidence Table'!$I$1:$I$10000&lt;=ROUND($IM$3,0))*('Margin Guidence Table'!$J$1:$J$10000&gt;=ROUND($IM$3,0)),0),MATCH("DATA_POINTS",'Margin Guidence Table'!$A$1:$AG$1,0)),0))</f>
        <v>0</v>
      </c>
      <c r="IW30" s="780" t="str">
        <f t="shared" si="49"/>
        <v>DEFAULT</v>
      </c>
      <c r="IX30" s="780">
        <f t="array" ref="IX30">IF('Customer Inputs'!$W$14="End",0,IFERROR(IF($IW30="SEGMENT",INDEX('Margin Guidence Table'!$A$1:$AG$10000,MATCH(1,('Margin Guidence Table'!$A$1:$A$10000=IU30)*('Margin Guidence Table'!$I$1:$I$10000&lt;=ROUND($IM$3,0))*('Margin Guidence Table'!$J$1:$J$10000&gt;=ROUND($IM$3,0)),0),MATCH("SALES_CASE",'Margin Guidence Table'!$A$1:$AG$1,0)),INDEX('Margin Guidence Table'!$A$1:$AG$10000,MATCH(1,('Margin Guidence Table'!$A$1:$A$10000=IU30)*('Margin Guidence Table'!$I$1:$I$10000&lt;=ROUND($IM$3,0))*('Margin Guidence Table'!$J$1:$J$10000&gt;=ROUND($IM$3,0)),0),MATCH("DEFAULT_SALES_CASE",'Margin Guidence Table'!$A$1:$AG$1,0))),0))</f>
        <v>0</v>
      </c>
      <c r="IY30" s="780">
        <f t="array" ref="IY30">IF('Customer Inputs'!$W$14="End",0,IFERROR(IF($IW30="SEGMENT",INDEX('Margin Guidence Table'!$A$1:$AG$10000,MATCH(1,('Margin Guidence Table'!$A$1:$A$10000=IU30)*('Margin Guidence Table'!$I$1:$I$10000&lt;=ROUND($IM$3,0))*('Margin Guidence Table'!$J$1:$J$10000&gt;=ROUND($IM$3,0)),0),MATCH("SALES_LBS",'Margin Guidence Table'!$A$1:$AG$1,0)),INDEX('Margin Guidence Table'!$A$1:$AG$10000,MATCH(1,('Margin Guidence Table'!$A$1:$A$10000=IU30)*('Margin Guidence Table'!$I$1:$I$10000&lt;=ROUND($IM$3,0))*('Margin Guidence Table'!$J$1:$J$10000&gt;=ROUND($IM$3,0)),0),MATCH("DEFAULT_SALES_LBS",'Margin Guidence Table'!$A$1:$AG$1,0))),0))</f>
        <v>0</v>
      </c>
      <c r="IZ30" s="784">
        <f t="array" ref="IZ30">IF('Customer Inputs'!$W$14="End",0,IFERROR(IF($IW30="SEGMENT",INDEX('Margin Guidence Table'!$A$1:$AG$10000,MATCH(1,('Margin Guidence Table'!$A$1:$A$10000=IU30)*('Margin Guidence Table'!$I$1:$I$10000&lt;=ROUND($IM$3,0))*('Margin Guidence Table'!$J$1:$J$10000&gt;=ROUND($IM$3,0)),0),MATCH("MDA_MIN_MARGIN_GUIDENCE",'Margin Guidence Table'!$A$1:$AG$1,0)),INDEX('Margin Guidence Table'!$A$1:$AG$10000,MATCH(1,('Margin Guidence Table'!$A$1:$A$10000=IU30)*('Margin Guidence Table'!$I$1:$I$10000&lt;=ROUND($IM$3,0))*('Margin Guidence Table'!$J$1:$J$10000&gt;=ROUND($IM$3,0)),0),MATCH("DEFAULT_MDA_MIN_MARGIN_GUIDENCE",'Margin Guidence Table'!$A$1:$AG$1,0))),0))</f>
        <v>0</v>
      </c>
      <c r="JA30" s="784">
        <f t="array" ref="JA30">IF('Customer Inputs'!$W$14="End",0,IFERROR(IF($IW30="SEGMENT",INDEX('Margin Guidence Table'!$A$1:$AG$10000,MATCH(1,('Margin Guidence Table'!$A$1:$A$10000=IU30)*('Margin Guidence Table'!$I$1:$I$10000&lt;=ROUND($IM$3,0))*('Margin Guidence Table'!$J$1:$J$10000&gt;=ROUND($IM$3,0)),0),MATCH("MDA_MEDIAN_MARGIN_GUIDENCE",'Margin Guidence Table'!$A$1:$AG$1,0)),INDEX('Margin Guidence Table'!$A$1:$AG$10000,MATCH(1,('Margin Guidence Table'!$A$1:$A$10000=IU30)*('Margin Guidence Table'!$I$1:$I$10000&lt;=ROUND($IM$3,0))*('Margin Guidence Table'!$J$1:$J$10000&gt;=ROUND($IM$3,0)),0),MATCH("DEFAULT_MDA_MEDIAN_MARGIN_GUIDENCE",'Margin Guidence Table'!$A$1:$AG$1,0))),0))</f>
        <v>0</v>
      </c>
      <c r="JB30" s="784">
        <f t="array" ref="JB30">IF('Customer Inputs'!$W$14="End",0,IFERROR(IF($IW30="SEGMENT",INDEX('Margin Guidence Table'!$A$1:$AG$10000,MATCH(1,('Margin Guidence Table'!$A$1:$A$10000=IU30)*('Margin Guidence Table'!$I$1:$I$10000&lt;=ROUND($IM$3,0))*('Margin Guidence Table'!$J$1:$J$10000&gt;=ROUND($IM$3,0)),0),MATCH("MDA_MAX_MARGIN_GUIDENCE",'Margin Guidence Table'!$A$1:$AG$1,0)),INDEX('Margin Guidence Table'!$A$1:$AG$10000,MATCH(1,('Margin Guidence Table'!$A$1:$A$10000=IU30)*('Margin Guidence Table'!$I$1:$I$10000&lt;=ROUND($IM$3,0))*('Margin Guidence Table'!$J$1:$J$10000&gt;=ROUND($IM$3,0)),0),MATCH("DEFAULT_MDA_MAX_MARGIN_GUIDENCE",'Margin Guidence Table'!$A$1:$AG$1,0))),0))</f>
        <v>0</v>
      </c>
      <c r="JC30" s="784">
        <f t="array" ref="JC30">IF('Customer Inputs'!$W$14="End",0,IFERROR(IF($IW30="SEGMENT",INDEX('Margin Guidence Table'!$A$1:$AG$10000,MATCH(1,('Margin Guidence Table'!$A$1:$A$10000=IU30)*('Margin Guidence Table'!$I$1:$I$10000&lt;=ROUND($IM$3,0))*('Margin Guidence Table'!$J$1:$J$10000&gt;=ROUND($IM$3,0)),0),MATCH("PA_PCT_SALES",'Margin Guidence Table'!$A$1:$AG$1,0)),INDEX('Margin Guidence Table'!$A$1:$AG$10000,MATCH(1,('Margin Guidence Table'!$A$1:$A$10000=IU30)*('Margin Guidence Table'!$I$1:$I$10000&lt;=ROUND($IM$3,0))*('Margin Guidence Table'!$J$1:$J$10000&gt;=ROUND($IM$3,0)),0),MATCH("DEFAULT_PA_PCT_SALES",'Margin Guidence Table'!$A$1:$AG$1,0))),0))</f>
        <v>0</v>
      </c>
      <c r="JD30" s="784">
        <f t="array" ref="JD30">IF('Customer Inputs'!$W$14="End",0,IFERROR(IF($IW30="SEGMENT",INDEX('Margin Guidence Table'!$A$1:$AG$10000,MATCH(1,('Margin Guidence Table'!$A$1:$A$10000=IU30)*('Margin Guidence Table'!$I$1:$I$10000&lt;=ROUND($IM$3,0))*('Margin Guidence Table'!$J$1:$J$10000&gt;=ROUND($IM$3,0)),0),MATCH("SELF_FUND_PCT_SALES",'Margin Guidence Table'!$A$1:$AG$1,0)),INDEX('Margin Guidence Table'!$A$1:$AG$10000,MATCH(1,('Margin Guidence Table'!$A$1:$A$10000=IU30)*('Margin Guidence Table'!$I$1:$I$10000&lt;=ROUND($IM$3,0))*('Margin Guidence Table'!$J$1:$J$10000&gt;=ROUND($IM$3,0)),0),MATCH("DEFAULT_SELF_FUND_PCT_SALES",'Margin Guidence Table'!$A$1:$AG$1,0))),0))</f>
        <v>0</v>
      </c>
      <c r="JE30" s="784">
        <f t="array" ref="JE30">IF('Customer Inputs'!$W$14="End",0,IF($IN$2="Existing",IFERROR(SUMIFS('Existing Customers'!$V:$V,'Existing Customers'!$H:$H,$IL30,'Existing Customers'!$A:$A,$IM$1)/SUMIFS('Existing Customers'!$Q:$Q,'Existing Customers'!$H:$H,$IL30,'Existing Customers'!$A:$A,$IM$1),0),IFERROR(IF($IW30="SEGMENT",INDEX('Margin Guidence Table'!$A$1:$AG$10000,MATCH(1,('Margin Guidence Table'!$A$1:$A$10000=IU30)*('Margin Guidence Table'!$I$1:$I$10000&lt;=ROUND($IM$3,0))*('Margin Guidence Table'!$J$1:$J$10000&gt;=ROUND($IM$3,0)),0),MATCH("CIA_MEDIAN_MARGIN_GUIDENCE",'Margin Guidence Table'!$A$1:$AG$1,0)),INDEX('Margin Guidence Table'!$A$1:$AG$10000,MATCH(1,('Margin Guidence Table'!$A$1:$A$10000=IU30)*('Margin Guidence Table'!$I$1:$I$10000&lt;=ROUND($IM$3,0))*('Margin Guidence Table'!$J$1:$J$10000&gt;=ROUND($IM$3,0)),0),MATCH("DEFAULT_CIA_MEDIAN_MARGIN_GUIDENCE",'Margin Guidence Table'!$A$1:$AG$1,0))),0)))</f>
        <v>0</v>
      </c>
      <c r="JF30" s="126"/>
      <c r="JG30" s="18">
        <f t="array" ref="JG30">IF('Customer Inputs'!$W$15="End",0,IFERROR(IF($JT30="SEGMENT",INDEX('Margin Guidence Table'!$A$1:$AG$10000,MATCH(1,('Margin Guidence Table'!$A$1:$A$10000=$JR30)*('Margin Guidence Table'!$I$1:$I$10000&lt;=ROUND($JJ$3,0))*('Margin Guidence Table'!$J$1:$J$10000&gt;=ROUND($JJ$3,0)),0),MATCH("PCT_SALES",'Margin Guidence Table'!$A$1:$AG$1,0)),INDEX('Margin Guidence Table'!$A$1:$AG$10000,MATCH(1,('Margin Guidence Table'!$A$1:$A$10000=$JR30)*('Margin Guidence Table'!$I$1:$I$10000&lt;=ROUND($JJ$3,0))*('Margin Guidence Table'!$J$1:$J$10000&gt;=ROUND($JJ$3,0)),0),MATCH("DEFAULT_PCT_SALES",'Margin Guidence Table'!$A$1:$AG$1,0))),0))</f>
        <v>0</v>
      </c>
      <c r="JH30" s="297" t="e">
        <f t="shared" si="50"/>
        <v>#DIV/0!</v>
      </c>
      <c r="JI30" s="99" t="s">
        <v>89</v>
      </c>
      <c r="JJ30" s="91">
        <f>IF('Customer Inputs'!$W$15="End",0,IFERROR(IF(AND($JJ$2&lt;&gt;"Enter Spend&gt;&gt;&gt;",$JK$2="EXISTING"),SUMIFS('Existing Customers'!$Q:$Q,'Existing Customers'!$A:$A,$JJ$1,'Existing Customers'!$H:$H,$JI30)*$JJ$4,$JJ$3*$JH30),0))</f>
        <v>0</v>
      </c>
      <c r="JK30" s="86">
        <f>IF('Customer Inputs'!$W$15="End",0,IFERROR(IF(AND($JJ$2&lt;&gt;"Enter Spend&gt;&gt;&gt;",$JK$2="EXISTING"),SUMIFS('Existing Customers'!$N:$N,'Existing Customers'!$A:$A,$JJ$1,'Existing Customers'!$H:$H,$JI30)*$JJ$4,$JJ30/$JU30),0))</f>
        <v>0</v>
      </c>
      <c r="JL30" s="92">
        <f>IF('Customer Inputs'!$W$15="End",0,IFERROR(IF(AND($JJ$2&lt;&gt;"Enter Spend&gt;&gt;&gt;",$JK$2="EXISTING"),SUMIFS('Existing Customers'!$O:$O,'Existing Customers'!$H:$H,$JI30,'Existing Customers'!$A:$A,$JJ$1)*$JJ$4,$JK30*$JJ$8),0))</f>
        <v>0</v>
      </c>
      <c r="JM30" s="92">
        <f>IF('Customer Inputs'!$W$15="End",0,IFERROR(IF(AND($JJ$2&lt;&gt;"Enter Spend&gt;&gt;&gt;",$JK$2="EXISTING"),SUMIFS('Existing Customers'!$P:$P,'Existing Customers'!$A:$A,$JJ$1,'Existing Customers'!$H:$H,$JI30)*$JJ$4,$JJ30/$JV30),0))</f>
        <v>0</v>
      </c>
      <c r="JN30" s="303">
        <f>IF('Customer Inputs'!$W$15="End",0,IFERROR(IF(AND($JJ$2&lt;&gt;"Enter Spend&gt;&gt;&gt;",$JK$2="EXISTING"),SUMIFS('Existing Customers'!$V:$V,'Existing Customers'!$H:$H,$JI30,'Existing Customers'!$A:$A,$JJ$1)*$JJ$4,0),0))</f>
        <v>0</v>
      </c>
      <c r="JO30" s="93">
        <f>IF('Customer Inputs'!$W$15="End",0,IFERROR(IF(AND($JJ$2&lt;&gt;"Enter Spend&gt;&gt;&gt;",$JK$2="EXISTING"),SUMIFS('Existing Customers'!$R:$R,'Existing Customers'!$H:$H,$JI30,'Existing Customers'!$A:$A,$JJ$1)*$JJ$4,0),0))</f>
        <v>0</v>
      </c>
      <c r="JP30" s="780">
        <f>IF('Customer Inputs'!$W$15="End",0,IFERROR(IF(AND($JJ$2&lt;&gt;"Enter Spend&gt;&gt;&gt;",$JK$2="EXISTING"),SUMIFS('Existing Customers'!$S:$S,'Existing Customers'!$H:$H,$JI30,'Existing Customers'!$A:$A,$JJ$1)/SUMIFS('Existing Customers'!$Q:$Q,'Existing Customers'!$A:$A,$JJ$1,'Existing Customers'!$H:$H,$JI30),JZ30),0))</f>
        <v>0</v>
      </c>
      <c r="JQ30" s="780">
        <f>IF('Customer Inputs'!$W$15="End",0,IFERROR(IF(AND($JJ$2&lt;&gt;"Enter Spend&gt;&gt;&gt;",$JK$2="EXISTING"),SUMIFS('Existing Customers'!$U:$U,'Existing Customers'!$H:$H,$JI30,'Existing Customers'!$A:$A,$JJ$1)/SUMIFS('Existing Customers'!$Q:$Q,'Existing Customers'!$A:$A,$JJ$1,'Existing Customers'!$H:$H,$JI30),KA30),0))</f>
        <v>0</v>
      </c>
      <c r="JR30" s="783" t="e">
        <f>_xlfn.CONCAT('Customer Inputs'!$AH$15,"_",JI30)</f>
        <v>#N/A</v>
      </c>
      <c r="JS30" s="783">
        <f t="array" ref="JS30">IF('Customer Inputs'!$W$15="End",0,IFERROR(INDEX('Margin Guidence Table'!$A$1:$AG$10000,MATCH(1,('Margin Guidence Table'!$A$1:$A$10000=JR30)*('Margin Guidence Table'!$I$1:$I$10000&lt;=ROUND($JJ$3,0))*('Margin Guidence Table'!$J$1:$J$10000&gt;=ROUND($JJ$3,0)),0),MATCH("DATA_POINTS",'Margin Guidence Table'!$A$1:$AG$1,0)),0))</f>
        <v>0</v>
      </c>
      <c r="JT30" s="780" t="str">
        <f t="shared" si="51"/>
        <v>DEFAULT</v>
      </c>
      <c r="JU30" s="780">
        <f t="array" ref="JU30">IF('Customer Inputs'!$W$15="End",0,IFERROR(IF($JT30="SEGMENT",INDEX('Margin Guidence Table'!$A$1:$AG$10000,MATCH(1,('Margin Guidence Table'!$A$1:$A$10000=JR30)*('Margin Guidence Table'!$I$1:$I$10000&lt;=ROUND($JJ$3,0))*('Margin Guidence Table'!$J$1:$J$10000&gt;=ROUND($JJ$3,0)),0),MATCH("SALES_CASE",'Margin Guidence Table'!$A$1:$AG$1,0)),INDEX('Margin Guidence Table'!$A$1:$AG$10000,MATCH(1,('Margin Guidence Table'!$A$1:$A$10000=JR30)*('Margin Guidence Table'!$I$1:$I$10000&lt;=ROUND($JJ$3,0))*('Margin Guidence Table'!$J$1:$J$10000&gt;=ROUND($JJ$3,0)),0),MATCH("DEFAULT_SALES_CASE",'Margin Guidence Table'!$A$1:$AG$1,0))),0))</f>
        <v>0</v>
      </c>
      <c r="JV30" s="780">
        <f t="array" ref="JV30">IF('Customer Inputs'!$W$15="End",0,IFERROR(IF($JT30="SEGMENT",INDEX('Margin Guidence Table'!$A$1:$AG$10000,MATCH(1,('Margin Guidence Table'!$A$1:$A$10000=JR30)*('Margin Guidence Table'!$I$1:$I$10000&lt;=ROUND($JJ$3,0))*('Margin Guidence Table'!$J$1:$J$10000&gt;=ROUND($JJ$3,0)),0),MATCH("SALES_LBS",'Margin Guidence Table'!$A$1:$AG$1,0)),INDEX('Margin Guidence Table'!$A$1:$AG$10000,MATCH(1,('Margin Guidence Table'!$A$1:$A$10000=JR30)*('Margin Guidence Table'!$I$1:$I$10000&lt;=ROUND($JJ$3,0))*('Margin Guidence Table'!$J$1:$J$10000&gt;=ROUND($JJ$3,0)),0),MATCH("DEFAULT_SALES_LBS",'Margin Guidence Table'!$A$1:$AG$1,0))),0))</f>
        <v>0</v>
      </c>
      <c r="JW30" s="784">
        <f t="array" ref="JW30">IF('Customer Inputs'!$W$15="End",0,IFERROR(IF($JT30="SEGMENT",INDEX('Margin Guidence Table'!$A$1:$AG$10000,MATCH(1,('Margin Guidence Table'!$A$1:$A$10000=JR30)*('Margin Guidence Table'!$I$1:$I$10000&lt;=ROUND($JJ$3,0))*('Margin Guidence Table'!$J$1:$J$10000&gt;=ROUND($JJ$3,0)),0),MATCH("MDA_MIN_MARGIN_GUIDENCE",'Margin Guidence Table'!$A$1:$AG$1,0)),INDEX('Margin Guidence Table'!$A$1:$AG$10000,MATCH(1,('Margin Guidence Table'!$A$1:$A$10000=JR30)*('Margin Guidence Table'!$I$1:$I$10000&lt;=ROUND($JJ$3,0))*('Margin Guidence Table'!$J$1:$J$10000&gt;=ROUND($JJ$3,0)),0),MATCH("DEFAULT_MDA_MIN_MARGIN_GUIDENCE",'Margin Guidence Table'!$A$1:$AG$1,0))),0))</f>
        <v>0</v>
      </c>
      <c r="JX30" s="784">
        <f t="array" ref="JX30">IF('Customer Inputs'!$W$15="End",0,IFERROR(IF($JT30="SEGMENT",INDEX('Margin Guidence Table'!$A$1:$AG$10000,MATCH(1,('Margin Guidence Table'!$A$1:$A$10000=JR30)*('Margin Guidence Table'!$I$1:$I$10000&lt;=ROUND($JJ$3,0))*('Margin Guidence Table'!$J$1:$J$10000&gt;=ROUND($JJ$3,0)),0),MATCH("MDA_MEDIAN_MARGIN_GUIDENCE",'Margin Guidence Table'!$A$1:$AG$1,0)),INDEX('Margin Guidence Table'!$A$1:$AG$10000,MATCH(1,('Margin Guidence Table'!$A$1:$A$10000=JR30)*('Margin Guidence Table'!$I$1:$I$10000&lt;=ROUND($JJ$3,0))*('Margin Guidence Table'!$J$1:$J$10000&gt;=ROUND($JJ$3,0)),0),MATCH("DEFAULT_MDA_MEDIAN_MARGIN_GUIDENCE",'Margin Guidence Table'!$A$1:$AG$1,0))),0))</f>
        <v>0</v>
      </c>
      <c r="JY30" s="784">
        <f t="array" ref="JY30">IF('Customer Inputs'!$W$15="End",0,IFERROR(IF($JT30="SEGMENT",INDEX('Margin Guidence Table'!$A$1:$AG$10000,MATCH(1,('Margin Guidence Table'!$A$1:$A$10000=JR30)*('Margin Guidence Table'!$I$1:$I$10000&lt;=ROUND($JJ$3,0))*('Margin Guidence Table'!$J$1:$J$10000&gt;=ROUND($JJ$3,0)),0),MATCH("MDA_MAX_MARGIN_GUIDENCE",'Margin Guidence Table'!$A$1:$AG$1,0)),INDEX('Margin Guidence Table'!$A$1:$AG$10000,MATCH(1,('Margin Guidence Table'!$A$1:$A$10000=JR30)*('Margin Guidence Table'!$I$1:$I$10000&lt;=ROUND($JJ$3,0))*('Margin Guidence Table'!$J$1:$J$10000&gt;=ROUND($JJ$3,0)),0),MATCH("DEFAULT_MDA_MAX_MARGIN_GUIDENCE",'Margin Guidence Table'!$A$1:$AG$1,0))),0))</f>
        <v>0</v>
      </c>
      <c r="JZ30" s="784">
        <f t="array" ref="JZ30">IF('Customer Inputs'!$W$15="End",0,IFERROR(IF($JT30="SEGMENT",INDEX('Margin Guidence Table'!$A$1:$AG$10000,MATCH(1,('Margin Guidence Table'!$A$1:$A$10000=JR30)*('Margin Guidence Table'!$I$1:$I$10000&lt;=ROUND($JJ$3,0))*('Margin Guidence Table'!$J$1:$J$10000&gt;=ROUND($JJ$3,0)),0),MATCH("PA_PCT_SALES",'Margin Guidence Table'!$A$1:$AG$1,0)),INDEX('Margin Guidence Table'!$A$1:$AG$10000,MATCH(1,('Margin Guidence Table'!$A$1:$A$10000=JR30)*('Margin Guidence Table'!$I$1:$I$10000&lt;=ROUND($JJ$3,0))*('Margin Guidence Table'!$J$1:$J$10000&gt;=ROUND($JJ$3,0)),0),MATCH("DEFAULT_PA_PCT_SALES",'Margin Guidence Table'!$A$1:$AG$1,0))),0))</f>
        <v>0</v>
      </c>
      <c r="KA30" s="784" cm="1">
        <f t="array" ref="KA30">IF('Customer Inputs'!$W$15="End",0,IFERROR(IF($JT30="SEGMENT",INDEX('Margin Guidence Table'!$A$1:$AG$10000,MATCH(1,('Margin Guidence Table'!$A$1:$A$10000=JR30)*('Margin Guidence Table'!$I$1:$I$10000&lt;=ROUND($JJ$3,0))*('Margin Guidence Table'!$J$1:$J$10000&gt;=ROUND($JJ$3,0)),0),MATCH("SELF_FUND_PCT_SALES",'Margin Guidence Table'!$A$1:$AG$1,0)),INDEX('Margin Guidence Table'!$A$1:$AG$10000,MATCH(1,('Margin Guidence Table'!$A$1:$A$10000=JR30)*('Margin Guidence Table'!$I$1:$I$10000&lt;=ROUND($JJ$3,0))*('Margin Guidence Table'!$J$1:$J$10000&gt;=ROUND($JJ$3,0)),0),MATCH("DEFAULT_SELF_FUND_PCT_SALES",'Margin Guidence Table'!$A$1:$AG$1,0))),0))</f>
        <v>0</v>
      </c>
      <c r="KB30" s="784">
        <f t="array" ref="KB30">IF('Customer Inputs'!$W$15="End",0,IF($JK$2="Existing",IFERROR(SUMIFS('Existing Customers'!$V:$V,'Existing Customers'!$H:$H,$JI30,'Existing Customers'!$A:$A,$JJ$1)/SUMIFS('Existing Customers'!$Q:$Q,'Existing Customers'!$H:$H,$JI30,'Existing Customers'!$A:$A,$JJ$1),0),IFERROR(IF($JT30="SEGMENT",INDEX('Margin Guidence Table'!$A$1:$AG$10000,MATCH(1,('Margin Guidence Table'!$A$1:$A$10000=JR30)*('Margin Guidence Table'!$I$1:$I$10000&lt;=ROUND($JJ$3,0))*('Margin Guidence Table'!$J$1:$J$10000&gt;=ROUND($JJ$3,0)),0),MATCH("CIA_MEDIAN_MARGIN_GUIDENCE",'Margin Guidence Table'!$A$1:$AG$1,0)),INDEX('Margin Guidence Table'!$A$1:$AG$10000,MATCH(1,('Margin Guidence Table'!$A$1:$A$10000=JR30)*('Margin Guidence Table'!$I$1:$I$10000&lt;=ROUND($JJ$3,0))*('Margin Guidence Table'!$J$1:$J$10000&gt;=ROUND($JJ$3,0)),0),MATCH("DEFAULT_CIA_MEDIAN_MARGIN_GUIDENCE",'Margin Guidence Table'!$A$1:$AG$1,0))),0)))</f>
        <v>0</v>
      </c>
      <c r="KC30" s="784"/>
      <c r="KD30" s="18">
        <f t="array" ref="KD30">IF('Customer Inputs'!$W$16="End",0,IFERROR(IF($KQ30="SEGMENT",INDEX('Margin Guidence Table'!$A$1:$AG$10000,MATCH(1,('Margin Guidence Table'!$A$1:$A$10000=$KO30)*('Margin Guidence Table'!$I$1:$I$10000&lt;=ROUND($KG$3,0))*('Margin Guidence Table'!$J$1:$J$10000&gt;=ROUND($KG$3,0)),0),MATCH("PCT_SALES",'Margin Guidence Table'!$A$1:$AG$1,0)),INDEX('Margin Guidence Table'!$A$1:$AG$10000,MATCH(1,('Margin Guidence Table'!$A$1:$A$10000=$KO30)*('Margin Guidence Table'!$I$1:$I$10000&lt;=ROUND($KG$3,0))*('Margin Guidence Table'!$J$1:$J$10000&gt;=ROUND($KG$3,0)),0),MATCH("DEFAULT_PCT_SALES",'Margin Guidence Table'!$A$1:$AG$1,0))),0))</f>
        <v>0</v>
      </c>
      <c r="KE30" s="1713" t="e">
        <f t="shared" si="52"/>
        <v>#DIV/0!</v>
      </c>
      <c r="KF30" s="99" t="s">
        <v>89</v>
      </c>
      <c r="KG30" s="91">
        <f>IF('Customer Inputs'!$W$16="End",0,IFERROR(IF(AND($KG$2&lt;&gt;"Enter Spend&gt;&gt;&gt;",$KH$2="EXISTING"),SUMIFS('Existing Customers'!$Q:$Q,'Existing Customers'!$A:$A,$KG$1,'Existing Customers'!$H:$H,$KF30)*$KG$4,$KG$3*$KE30),0))</f>
        <v>0</v>
      </c>
      <c r="KH30" s="86">
        <f>IF('Customer Inputs'!$W$16="End",0,IFERROR(IF(AND($KG$2&lt;&gt;"Enter Spend&gt;&gt;&gt;",$KH$2="EXISTING"),SUMIFS('Existing Customers'!$N:$N,'Existing Customers'!$A:$A,$KG$1,'Existing Customers'!$H:$H,$KF30)*$KG$4,$KG30/$KR30),0))</f>
        <v>0</v>
      </c>
      <c r="KI30" s="92">
        <f>IF('Customer Inputs'!$W$16="End",0,IFERROR(IF(AND($KG$2&lt;&gt;"Enter Spend&gt;&gt;&gt;",$KH$2="EXISTING"),SUMIFS('Existing Customers'!$O:$O,'Existing Customers'!$H:$H,$KF30,'Existing Customers'!$A:$A,$KG$1)*$KG$4,$KH30*$KG$8),0))</f>
        <v>0</v>
      </c>
      <c r="KJ30" s="92">
        <f>IF('Customer Inputs'!$W$16="End",0,IFERROR(IF(AND($KG$2&lt;&gt;"Enter Spend&gt;&gt;&gt;",$KH$2="EXISTING"),SUMIFS('Existing Customers'!$P:$P,'Existing Customers'!$A:$A,$KG$1,'Existing Customers'!$H:$H,$KF30)*$KG$4,$KG30/$KS30),0))</f>
        <v>0</v>
      </c>
      <c r="KK30" s="303">
        <f>IF('Customer Inputs'!$W$16="End",0,IFERROR(IF(AND($KG$2&lt;&gt;"Enter Spend&gt;&gt;&gt;",$KH$2="EXISTING"),SUMIFS('Existing Customers'!$V:$V,'Existing Customers'!$H:$H,$KF30,'Existing Customers'!$A:$A,$KG$1)*$KG$4,0),0))</f>
        <v>0</v>
      </c>
      <c r="KL30" s="93">
        <f>IF('Customer Inputs'!$W$16="End",0,IFERROR(IF(AND($KG$2&lt;&gt;"Enter Spend&gt;&gt;&gt;",$KH$2="EXISTING"),SUMIFS('Existing Customers'!$R:$R,'Existing Customers'!$H:$H,$KF30,'Existing Customers'!$A:$A,$KG$1)*$KG$4,0),0))</f>
        <v>0</v>
      </c>
      <c r="KM30" s="780">
        <f>IF('Customer Inputs'!$W$16="End",0,IFERROR(IF(AND($KG$2&lt;&gt;"Enter Spend&gt;&gt;&gt;",$KH$2="EXISTING"),SUMIFS('Existing Customers'!$S:$S,'Existing Customers'!$H:$H,$KF30,'Existing Customers'!$A:$A,$KG$1)/SUMIFS('Existing Customers'!$Q:$Q,'Existing Customers'!$A:$A,$KG$1,'Existing Customers'!$H:$H,$KF30),KW30),0))</f>
        <v>0</v>
      </c>
      <c r="KN30" s="780">
        <f>IF('Customer Inputs'!$W$16="End",0,IFERROR(IF(AND($KG$2&lt;&gt;"Enter Spend&gt;&gt;&gt;",$KH$2="EXISTING"),SUMIFS('Existing Customers'!$U:$U,'Existing Customers'!$H:$H,$KF30,'Existing Customers'!$A:$A,$KG$1)/SUMIFS('Existing Customers'!$Q:$Q,'Existing Customers'!$A:$A,$KG$1,'Existing Customers'!$H:$H,$KF30),KX30),0))</f>
        <v>0</v>
      </c>
      <c r="KO30" s="783" t="e">
        <f>_xlfn.CONCAT('Customer Inputs'!$AH$16,"_",KF30)</f>
        <v>#N/A</v>
      </c>
      <c r="KP30" s="783">
        <f t="array" ref="KP30">IF('Customer Inputs'!$W$16="End",0,IFERROR(INDEX('Margin Guidence Table'!$A$1:$AG$10000,MATCH(1,('Margin Guidence Table'!$A$1:$A$10000=KO30)*('Margin Guidence Table'!$I$1:$I$10000&lt;=ROUND($KG$3,0))*('Margin Guidence Table'!$J$1:$J$10000&gt;=ROUND($KG$3,0)),0),MATCH("DATA_POINTS",'Margin Guidence Table'!$A$1:$AG$1,0)),0))</f>
        <v>0</v>
      </c>
      <c r="KQ30" s="780" t="str">
        <f t="shared" si="53"/>
        <v>DEFAULT</v>
      </c>
      <c r="KR30" s="780">
        <f t="array" ref="KR30">IF('Customer Inputs'!$W$16="End",0,IFERROR(IF($KQ30="SEGMENT",INDEX('Margin Guidence Table'!$A$1:$AG$10000,MATCH(1,('Margin Guidence Table'!$A$1:$A$10000=KO30)*('Margin Guidence Table'!$I$1:$I$10000&lt;=ROUND($KG$3,0))*('Margin Guidence Table'!$J$1:$J$10000&gt;=ROUND($KG$3,0)),0),MATCH("SALES_CASE",'Margin Guidence Table'!$A$1:$AG$1,0)),INDEX('Margin Guidence Table'!$A$1:$AG$10000,MATCH(1,('Margin Guidence Table'!$A$1:$A$10000=KO30)*('Margin Guidence Table'!$I$1:$I$10000&lt;=ROUND($KG$3,0))*('Margin Guidence Table'!$J$1:$J$10000&gt;=ROUND($KG$3,0)),0),MATCH("DEFAULT_SALES_CASE",'Margin Guidence Table'!$A$1:$AG$1,0))),0))</f>
        <v>0</v>
      </c>
      <c r="KS30" s="780">
        <f t="array" ref="KS30">IF('Customer Inputs'!$W$16="End",0,IFERROR(IF($KQ30="SEGMENT",INDEX('Margin Guidence Table'!$A$1:$AG$10000,MATCH(1,('Margin Guidence Table'!$A$1:$A$10000=KO30)*('Margin Guidence Table'!$I$1:$I$10000&lt;=ROUND($KG$3,0))*('Margin Guidence Table'!$J$1:$J$10000&gt;=ROUND($KG$3,0)),0),MATCH("SALES_LBS",'Margin Guidence Table'!$A$1:$AG$1,0)),INDEX('Margin Guidence Table'!$A$1:$AG$10000,MATCH(1,('Margin Guidence Table'!$A$1:$A$10000=KO30)*('Margin Guidence Table'!$I$1:$I$10000&lt;=ROUND($KG$3,0))*('Margin Guidence Table'!$J$1:$J$10000&gt;=ROUND($KG$3,0)),0),MATCH("DEFAULT_SALES_LBS",'Margin Guidence Table'!$A$1:$AG$1,0))),0))</f>
        <v>0</v>
      </c>
      <c r="KT30" s="784">
        <f t="array" ref="KT30">IF('Customer Inputs'!$W$16="End",0,IFERROR(IF($KQ30="SEGMENT",INDEX('Margin Guidence Table'!$A$1:$AG$10000,MATCH(1,('Margin Guidence Table'!$A$1:$A$10000=KO30)*('Margin Guidence Table'!$I$1:$I$10000&lt;=ROUND($KG$3,0))*('Margin Guidence Table'!$J$1:$J$10000&gt;=ROUND($KG$3,0)),0),MATCH("MDA_MIN_MARGIN_GUIDENCE",'Margin Guidence Table'!$A$1:$AG$1,0)),INDEX('Margin Guidence Table'!$A$1:$AG$10000,MATCH(1,('Margin Guidence Table'!$A$1:$A$10000=KO30)*('Margin Guidence Table'!$I$1:$I$10000&lt;=ROUND($KG$3,0))*('Margin Guidence Table'!$J$1:$J$10000&gt;=ROUND($KG$3,0)),0),MATCH("DEFAULT_MDA_MIN_MARGIN_GUIDENCE",'Margin Guidence Table'!$A$1:$AG$1,0))),0))</f>
        <v>0</v>
      </c>
      <c r="KU30" s="784">
        <f t="array" ref="KU30">IF('Customer Inputs'!$W$16="End",0,IFERROR(IF($KQ30="SEGMENT",INDEX('Margin Guidence Table'!$A$1:$AG$10000,MATCH(1,('Margin Guidence Table'!$A$1:$A$10000=KO30)*('Margin Guidence Table'!$I$1:$I$10000&lt;=ROUND($KG$3,0))*('Margin Guidence Table'!$J$1:$J$10000&gt;=ROUND($KG$3,0)),0),MATCH("MDA_MEDIAN_MARGIN_GUIDENCE",'Margin Guidence Table'!$A$1:$AG$1,0)),INDEX('Margin Guidence Table'!$A$1:$AG$10000,MATCH(1,('Margin Guidence Table'!$A$1:$A$10000=KO30)*('Margin Guidence Table'!$I$1:$I$10000&lt;=ROUND($KG$3,0))*('Margin Guidence Table'!$J$1:$J$10000&gt;=ROUND($KG$3,0)),0),MATCH("DEFAULT_MDA_MEDIAN_MARGIN_GUIDENCE",'Margin Guidence Table'!$A$1:$AG$1,0))),0))</f>
        <v>0</v>
      </c>
      <c r="KV30" s="784">
        <f t="array" ref="KV30">IF('Customer Inputs'!$W$16="End",0,IFERROR(IF($KQ30="SEGMENT",INDEX('Margin Guidence Table'!$A$1:$AG$10000,MATCH(1,('Margin Guidence Table'!$A$1:$A$10000=KO30)*('Margin Guidence Table'!$I$1:$I$10000&lt;=ROUND($KG$3,0))*('Margin Guidence Table'!$J$1:$J$10000&gt;=ROUND($KG$3,0)),0),MATCH("MDA_MAX_MARGIN_GUIDENCE",'Margin Guidence Table'!$A$1:$AG$1,0)),INDEX('Margin Guidence Table'!$A$1:$AG$10000,MATCH(1,('Margin Guidence Table'!$A$1:$A$10000=KO30)*('Margin Guidence Table'!$I$1:$I$10000&lt;=ROUND($KG$3,0))*('Margin Guidence Table'!$J$1:$J$10000&gt;=ROUND($KG$3,0)),0),MATCH("DEFAULT_MDA_MAX_MARGIN_GUIDENCE",'Margin Guidence Table'!$A$1:$AG$1,0))),0))</f>
        <v>0</v>
      </c>
      <c r="KW30" s="784">
        <f t="array" ref="KW30">IF('Customer Inputs'!$W$16="End",0,IFERROR(IF($KQ30="SEGMENT",INDEX('Margin Guidence Table'!$A$1:$AG$10000,MATCH(1,('Margin Guidence Table'!$A$1:$A$10000=KO30)*('Margin Guidence Table'!$I$1:$I$10000&lt;=ROUND($KG$3,0))*('Margin Guidence Table'!$J$1:$J$10000&gt;=ROUND($KG$3,0)),0),MATCH("PA_PCT_SALES",'Margin Guidence Table'!$A$1:$AG$1,0)),INDEX('Margin Guidence Table'!$A$1:$AG$10000,MATCH(1,('Margin Guidence Table'!$A$1:$A$10000=KO30)*('Margin Guidence Table'!$I$1:$I$10000&lt;=ROUND($KG$3,0))*('Margin Guidence Table'!$J$1:$J$10000&gt;=ROUND($KG$3,0)),0),MATCH("DEFAULT_PA_PCT_SALES",'Margin Guidence Table'!$A$1:$AG$1,0))),0))</f>
        <v>0</v>
      </c>
      <c r="KX30" s="784">
        <f t="array" ref="KX30">IF('Customer Inputs'!$W$16="End",0,IFERROR(IF($KQ30="SEGMENT",INDEX('Margin Guidence Table'!$A$1:$AG$10000,MATCH(1,('Margin Guidence Table'!$A$1:$A$10000=KO30)*('Margin Guidence Table'!$I$1:$I$10000&lt;=ROUND($KG$3,0))*('Margin Guidence Table'!$J$1:$J$10000&gt;=ROUND($KG$3,0)),0),MATCH("SELF_FUND_PCT_SALES",'Margin Guidence Table'!$A$1:$AG$1,0)),INDEX('Margin Guidence Table'!$A$1:$AG$10000,MATCH(1,('Margin Guidence Table'!$A$1:$A$10000=KO30)*('Margin Guidence Table'!$I$1:$I$10000&lt;=ROUND($KG$3,0))*('Margin Guidence Table'!$J$1:$J$10000&gt;=ROUND($KG$3,0)),0),MATCH("DEFAULT_SELF_FUND_PCT_SALES",'Margin Guidence Table'!$A$1:$AG$1,0))),0))</f>
        <v>0</v>
      </c>
      <c r="KY30" s="784">
        <f t="array" ref="KY30">IF('Customer Inputs'!$W$16="End",0,IF($KH$2="Existing",IFERROR(SUMIFS('Existing Customers'!$V:$V,'Existing Customers'!$H:$H,$KF30,'Existing Customers'!$A:$A,$KG$1)/SUMIFS('Existing Customers'!$Q:$Q,'Existing Customers'!$H:$H,$KF30,'Existing Customers'!$A:$A,$KG$1),0),IFERROR(IF($KQ30="SEGMENT",INDEX('Margin Guidence Table'!$A$1:$AG$10000,MATCH(1,('Margin Guidence Table'!$A$1:$A$10000=KO30)*('Margin Guidence Table'!$I$1:$I$10000&lt;=ROUND($KG$3,0))*('Margin Guidence Table'!$J$1:$J$10000&gt;=ROUND($KG$3,0)),0),MATCH("CIA_MEDIAN_MARGIN_GUIDENCE",'Margin Guidence Table'!$A$1:$AG$1,0)),INDEX('Margin Guidence Table'!$A$1:$AG$10000,MATCH(1,('Margin Guidence Table'!$A$1:$A$10000=KO30)*('Margin Guidence Table'!$I$1:$I$10000&lt;=ROUND($KG$3,0))*('Margin Guidence Table'!$J$1:$J$10000&gt;=ROUND($KG$3,0)),0),MATCH("DEFAULT_CIA_MEDIAN_MARGIN_GUIDENCE",'Margin Guidence Table'!$A$1:$AG$1,0))),0)))</f>
        <v>0</v>
      </c>
      <c r="KZ30" s="784"/>
      <c r="LA30" s="18">
        <f t="array" ref="LA30">IF('Customer Inputs'!$W$17="End",0,IFERROR(IF($LN30="SEGMENT",INDEX('Margin Guidence Table'!$A$1:$AG$10000,MATCH(1,('Margin Guidence Table'!$A$1:$A$10000=$LL30)*('Margin Guidence Table'!$I$1:$I$10000&lt;=ROUND($LD$3,0))*('Margin Guidence Table'!$J$1:$J$10000&gt;=ROUND($LD$3,0)),0),MATCH("PCT_SALES",'Margin Guidence Table'!$A$1:$AG$1,0)),INDEX('Margin Guidence Table'!$A$1:$AG$10000,MATCH(1,('Margin Guidence Table'!$A$1:$A$10000=$LL30)*('Margin Guidence Table'!$I$1:$I$10000&lt;=ROUND($LD$3,0))*('Margin Guidence Table'!$J$1:$J$10000&gt;=ROUND($LD$3,0)),0),MATCH("DEFAULT_PCT_SALES",'Margin Guidence Table'!$A$1:$AG$1,0))),0))</f>
        <v>0</v>
      </c>
      <c r="LB30" s="1713" t="e">
        <f t="shared" si="54"/>
        <v>#DIV/0!</v>
      </c>
      <c r="LC30" s="99" t="s">
        <v>89</v>
      </c>
      <c r="LD30" s="91">
        <f>IF('Customer Inputs'!$W$17="End",0,IFERROR(IF(AND($LD$2&lt;&gt;"Enter Spend&gt;&gt;&gt;",$LE$2="EXISTING"),SUMIFS('Existing Customers'!$Q:$Q,'Existing Customers'!$A:$A,$LD$1,'Existing Customers'!$H:$H,$LC30)*$LD$4,$LD$3*$LB30),0))</f>
        <v>0</v>
      </c>
      <c r="LE30" s="86">
        <f>IF('Customer Inputs'!$W$17="End",0,IFERROR(IF(AND($LD$2&lt;&gt;"Enter Spend&gt;&gt;&gt;",$LE$2="EXISTING"),SUMIFS('Existing Customers'!$N:$N,'Existing Customers'!$A:$A,$LD$1,'Existing Customers'!$H:$H,$LC30)*$LD$4,$LD30/$LO30),0))</f>
        <v>0</v>
      </c>
      <c r="LF30" s="92">
        <f>IF('Customer Inputs'!$W$17="End",0,IFERROR(IF(AND($LD$2&lt;&gt;"Enter Spend&gt;&gt;&gt;",$LE$2="EXISTING"),SUMIFS('Existing Customers'!$O:$O,'Existing Customers'!$H:$H,$LC30,'Existing Customers'!$A:$A,$LD$1)*$LD$4,$LE30*$LD$8),0))</f>
        <v>0</v>
      </c>
      <c r="LG30" s="92">
        <f>IF('Customer Inputs'!$W$17="End",0,IFERROR(IF(AND($LD$2&lt;&gt;"Enter Spend&gt;&gt;&gt;",$LE$2="EXISTING"),SUMIFS('Existing Customers'!$P:$P,'Existing Customers'!$A:$A,$LD$1,'Existing Customers'!$H:$H,$LC30)*$LD$4,$LD30/$LP30),0))</f>
        <v>0</v>
      </c>
      <c r="LH30" s="303">
        <f>IF('Customer Inputs'!$W$17="End",0,IFERROR(IF(AND($LD$2&lt;&gt;"Enter Spend&gt;&gt;&gt;",$LE$2="EXISTING"),SUMIFS('Existing Customers'!$V:$V,'Existing Customers'!$H:$H,$LC30,'Existing Customers'!$A:$A,$LD$1)*$LD$4,0),0))</f>
        <v>0</v>
      </c>
      <c r="LI30" s="93">
        <f>IF('Customer Inputs'!$W$17="End",0,IFERROR(IF(AND($LD$2&lt;&gt;"Enter Spend&gt;&gt;&gt;",$LE$2="EXISTING"),SUMIFS('Existing Customers'!$R:$R,'Existing Customers'!$H:$H,$LC30,'Existing Customers'!$A:$A,$LD$1)*$LD$4,0),0))</f>
        <v>0</v>
      </c>
      <c r="LJ30" s="780">
        <f>IF('Customer Inputs'!$W$17="End",0,IFERROR(IF(AND($LD$2&lt;&gt;"Enter Spend&gt;&gt;&gt;",$LE$2="EXISTING"),SUMIFS('Existing Customers'!$S:$S,'Existing Customers'!$H:$H,$LC30,'Existing Customers'!$A:$A,$LD$1)/SUMIFS('Existing Customers'!$Q:$Q,'Existing Customers'!$A:$A,$LD$1,'Existing Customers'!$H:$H,$LC30),LT30),0))</f>
        <v>0</v>
      </c>
      <c r="LK30" s="780">
        <f>IF('Customer Inputs'!$W$17="End",0,IFERROR(IF(AND($LD$2&lt;&gt;"Enter Spend&gt;&gt;&gt;",$LE$2="EXISTING"),SUMIFS('Existing Customers'!$U:$U,'Existing Customers'!$H:$H,$LC30,'Existing Customers'!$A:$A,$LD$1)/SUMIFS('Existing Customers'!$Q:$Q,'Existing Customers'!$A:$A,$LD$1,'Existing Customers'!$H:$H,$LC30),LU30),0))</f>
        <v>0</v>
      </c>
      <c r="LL30" s="783" t="e">
        <f>_xlfn.CONCAT('Customer Inputs'!$AH$17,"_",LC30)</f>
        <v>#N/A</v>
      </c>
      <c r="LM30" s="783">
        <f t="array" ref="LM30">IF('Customer Inputs'!$W$17="End",0,IFERROR(INDEX('Margin Guidence Table'!$A$1:$AG$10000,MATCH(1,('Margin Guidence Table'!$A$1:$A$10000=LL30)*('Margin Guidence Table'!$I$1:$I$10000&lt;=ROUND($LD$3,0))*('Margin Guidence Table'!$J$1:$J$10000&gt;=ROUND($LD$3,0)),0),MATCH("DATA_POINTS",'Margin Guidence Table'!$A$1:$AG$1,0)),0))</f>
        <v>0</v>
      </c>
      <c r="LN30" s="780" t="str">
        <f t="shared" si="55"/>
        <v>DEFAULT</v>
      </c>
      <c r="LO30" s="780">
        <f t="array" ref="LO30">IF('Customer Inputs'!$W$17="End",0,IFERROR(IF($LN30="SEGMENT",INDEX('Margin Guidence Table'!$A$1:$AG$10000,MATCH(1,('Margin Guidence Table'!$A$1:$A$10000=LL30)*('Margin Guidence Table'!$I$1:$I$10000&lt;=ROUND($LD$3,0))*('Margin Guidence Table'!$J$1:$J$10000&gt;=ROUND($LD$3,0)),0),MATCH("SALES_CASE",'Margin Guidence Table'!$A$1:$AG$1,0)),INDEX('Margin Guidence Table'!$A$1:$AG$10000,MATCH(1,('Margin Guidence Table'!$A$1:$A$10000=LL30)*('Margin Guidence Table'!$I$1:$I$10000&lt;=ROUND($LD$3,0))*('Margin Guidence Table'!$J$1:$J$10000&gt;=ROUND($LD$3,0)),0),MATCH("DEFAULT_SALES_CASE",'Margin Guidence Table'!$A$1:$AG$1,0))),0))</f>
        <v>0</v>
      </c>
      <c r="LP30" s="780">
        <f t="array" ref="LP30">IF('Customer Inputs'!$W$17="End",0,IFERROR(IF($LN30="SEGMENT",INDEX('Margin Guidence Table'!$A$1:$AG$10000,MATCH(1,('Margin Guidence Table'!$A$1:$A$10000=LL30)*('Margin Guidence Table'!$I$1:$I$10000&lt;=ROUND($LD$3,0))*('Margin Guidence Table'!$J$1:$J$10000&gt;=ROUND($LD$3,0)),0),MATCH("SALES_LBS",'Margin Guidence Table'!$A$1:$AG$1,0)),INDEX('Margin Guidence Table'!$A$1:$AG$10000,MATCH(1,('Margin Guidence Table'!$A$1:$A$10000=LL30)*('Margin Guidence Table'!$I$1:$I$10000&lt;=ROUND($LD$3,0))*('Margin Guidence Table'!$J$1:$J$10000&gt;=ROUND($LD$3,0)),0),MATCH("DEFAULT_SALES_LBS",'Margin Guidence Table'!$A$1:$AG$1,0))),0))</f>
        <v>0</v>
      </c>
      <c r="LQ30" s="784">
        <f t="array" ref="LQ30">IF('Customer Inputs'!$W$17="End",0,IFERROR(IF($LN30="SEGMENT",INDEX('Margin Guidence Table'!$A$1:$AG$10000,MATCH(1,('Margin Guidence Table'!$A$1:$A$10000=LL30)*('Margin Guidence Table'!$I$1:$I$10000&lt;=ROUND($LD$3,0))*('Margin Guidence Table'!$J$1:$J$10000&gt;=ROUND($LD$3,0)),0),MATCH("MDA_MIN_MARGIN_GUIDENCE",'Margin Guidence Table'!$A$1:$AG$1,0)),INDEX('Margin Guidence Table'!$A$1:$AG$10000,MATCH(1,('Margin Guidence Table'!$A$1:$A$10000=LL30)*('Margin Guidence Table'!$I$1:$I$10000&lt;=ROUND($LD$3,0))*('Margin Guidence Table'!$J$1:$J$10000&gt;=ROUND($LD$3,0)),0),MATCH("DEFAULT_MDA_MIN_MARGIN_GUIDENCE",'Margin Guidence Table'!$A$1:$AG$1,0))),0))</f>
        <v>0</v>
      </c>
      <c r="LR30" s="784">
        <f t="array" ref="LR30">IF('Customer Inputs'!$W$17="End",0,IFERROR(IF($LN30="SEGMENT",INDEX('Margin Guidence Table'!$A$1:$AG$10000,MATCH(1,('Margin Guidence Table'!$A$1:$A$10000=LL30)*('Margin Guidence Table'!$I$1:$I$10000&lt;=ROUND($LD$3,0))*('Margin Guidence Table'!$J$1:$J$10000&gt;=ROUND($LD$3,0)),0),MATCH("MDA_MEDIAN_MARGIN_GUIDENCE",'Margin Guidence Table'!$A$1:$AG$1,0)),INDEX('Margin Guidence Table'!$A$1:$AG$10000,MATCH(1,('Margin Guidence Table'!$A$1:$A$10000=LL30)*('Margin Guidence Table'!$I$1:$I$10000&lt;=ROUND($LD$3,0))*('Margin Guidence Table'!$J$1:$J$10000&gt;=ROUND($LD$3,0)),0),MATCH("DEFAULT_MDA_MEDIAN_MARGIN_GUIDENCE",'Margin Guidence Table'!$A$1:$AG$1,0))),0))</f>
        <v>0</v>
      </c>
      <c r="LS30" s="784">
        <f t="array" ref="LS30">IF('Customer Inputs'!$W$17="End",0,IFERROR(IF($LN30="SEGMENT",INDEX('Margin Guidence Table'!$A$1:$AG$10000,MATCH(1,('Margin Guidence Table'!$A$1:$A$10000=LL30)*('Margin Guidence Table'!$I$1:$I$10000&lt;=ROUND($LD$3,0))*('Margin Guidence Table'!$J$1:$J$10000&gt;=ROUND($LD$3,0)),0),MATCH("MDA_MAX_MARGIN_GUIDENCE",'Margin Guidence Table'!$A$1:$AG$1,0)),INDEX('Margin Guidence Table'!$A$1:$AG$10000,MATCH(1,('Margin Guidence Table'!$A$1:$A$10000=LL30)*('Margin Guidence Table'!$I$1:$I$10000&lt;=ROUND($LD$3,0))*('Margin Guidence Table'!$J$1:$J$10000&gt;=ROUND($LD$3,0)),0),MATCH("DEFAULT_MDA_MAX_MARGIN_GUIDENCE",'Margin Guidence Table'!$A$1:$AG$1,0))),0))</f>
        <v>0</v>
      </c>
      <c r="LT30" s="784">
        <f t="array" ref="LT30">IF('Customer Inputs'!$W$17="End",0,IFERROR(IF($LN30="SEGMENT",INDEX('Margin Guidence Table'!$A$1:$AG$10000,MATCH(1,('Margin Guidence Table'!$A$1:$A$10000=LL30)*('Margin Guidence Table'!$I$1:$I$10000&lt;=ROUND($LD$3,0))*('Margin Guidence Table'!$J$1:$J$10000&gt;=ROUND($LD$3,0)),0),MATCH("PA_PCT_SALES",'Margin Guidence Table'!$A$1:$AG$1,0)),INDEX('Margin Guidence Table'!$A$1:$AG$10000,MATCH(1,('Margin Guidence Table'!$A$1:$A$10000=LL30)*('Margin Guidence Table'!$I$1:$I$10000&lt;=ROUND($LD$3,0))*('Margin Guidence Table'!$J$1:$J$10000&gt;=ROUND($LD$3,0)),0),MATCH("DEFAULT_PA_PCT_SALES",'Margin Guidence Table'!$A$1:$AG$1,0))),0))</f>
        <v>0</v>
      </c>
      <c r="LU30" s="784">
        <f t="array" ref="LU30">IF('Customer Inputs'!$W$17="End",0,IFERROR(IF($LN30="SEGMENT",INDEX('Margin Guidence Table'!$A$1:$AG$10000,MATCH(1,('Margin Guidence Table'!$A$1:$A$10000=LL30)*('Margin Guidence Table'!$I$1:$I$10000&lt;=ROUND($LD$3,0))*('Margin Guidence Table'!$J$1:$J$10000&gt;=ROUND($LD$3,0)),0),MATCH("SELF_FUND_PCT_SALES",'Margin Guidence Table'!$A$1:$AG$1,0)),INDEX('Margin Guidence Table'!$A$1:$AG$10000,MATCH(1,('Margin Guidence Table'!$A$1:$A$10000=LL30)*('Margin Guidence Table'!$I$1:$I$10000&lt;=ROUND($LD$3,0))*('Margin Guidence Table'!$J$1:$J$10000&gt;=ROUND($LD$3,0)),0),MATCH("DEFAULT_SELF_FUND_PCT_SALES",'Margin Guidence Table'!$A$1:$AG$1,0))),0))</f>
        <v>0</v>
      </c>
      <c r="LV30" s="784">
        <f t="array" ref="LV30">IF('Customer Inputs'!$W$17="End",0,IF($LE$2="Existing",IFERROR(SUMIFS('Existing Customers'!$V:$V,'Existing Customers'!$H:$H,$LC30,'Existing Customers'!$A:$A,$LD$1)/SUMIFS('Existing Customers'!$Q:$Q,'Existing Customers'!$H:$H,$LC30,'Existing Customers'!$A:$A,$LD$1),0),IFERROR(IF($LN30="SEGMENT",INDEX('Margin Guidence Table'!$A$1:$AG$10000,MATCH(1,('Margin Guidence Table'!$A$1:$A$10000=LL30)*('Margin Guidence Table'!$I$1:$I$10000&lt;=ROUND($LD$3,0))*('Margin Guidence Table'!$J$1:$J$10000&gt;=ROUND($LD$3,0)),0),MATCH("CIA_MEDIAN_MARGIN_GUIDENCE",'Margin Guidence Table'!$A$1:$AG$1,0)),INDEX('Margin Guidence Table'!$A$1:$AG$10000,MATCH(1,('Margin Guidence Table'!$A$1:$A$10000=LL30)*('Margin Guidence Table'!$I$1:$I$10000&lt;=ROUND($LD$3,0))*('Margin Guidence Table'!$J$1:$J$10000&gt;=ROUND($LD$3,0)),0),MATCH("DEFAULT_CIA_MEDIAN_MARGIN_GUIDENCE",'Margin Guidence Table'!$A$1:$AG$1,0))),0)))</f>
        <v>0</v>
      </c>
      <c r="LW30" s="784"/>
      <c r="LX30" s="18">
        <f t="array" ref="LX30">IF('Customer Inputs'!$W$18="End",0,IFERROR(IF($MK30="SEGMENT",INDEX('Margin Guidence Table'!$A$1:$AG$10000,MATCH(1,('Margin Guidence Table'!$A$1:$A$10000=$MI30)*('Margin Guidence Table'!$I$1:$I$10000&lt;=ROUND($MA$3,0))*('Margin Guidence Table'!$J$1:$J$10000&gt;=ROUND($MA$3,0)),0),MATCH("PCT_SALES",'Margin Guidence Table'!$A$1:$AG$1,0)),INDEX('Margin Guidence Table'!$A$1:$AG$10000,MATCH(1,('Margin Guidence Table'!$A$1:$A$10000=$MI30)*('Margin Guidence Table'!$I$1:$I$10000&lt;=ROUND($MA$3,0))*('Margin Guidence Table'!$J$1:$J$10000&gt;=ROUND($MA$3,0)),0),MATCH("DEFAULT_PCT_SALES",'Margin Guidence Table'!$A$1:$AG$1,0))),0))</f>
        <v>0</v>
      </c>
      <c r="LY30" s="1713" t="e">
        <f t="shared" si="56"/>
        <v>#DIV/0!</v>
      </c>
      <c r="LZ30" s="99" t="s">
        <v>89</v>
      </c>
      <c r="MA30" s="91">
        <f>IF('Customer Inputs'!$W$18="End",0,IFERROR(IF(AND($MA$2&lt;&gt;"Enter Spend&gt;&gt;&gt;",$MB$2="EXISTING"),SUMIFS('Existing Customers'!$Q:$Q,'Existing Customers'!$A:$A,$MA$1,'Existing Customers'!$H:$H,$LZ30)*$MA$4,$MA$3*$LY30),0))</f>
        <v>0</v>
      </c>
      <c r="MB30" s="86">
        <f>IF('Customer Inputs'!$W$18="End",0,IFERROR(IF(AND($MA$2&lt;&gt;"Enter Spend&gt;&gt;&gt;",$MB$2="EXISTING"),SUMIFS('Existing Customers'!$N:$N,'Existing Customers'!$A:$A,$MA$1,'Existing Customers'!$H:$H,$LZ30)*$MA$4,$MA30/$ML30),0))</f>
        <v>0</v>
      </c>
      <c r="MC30" s="92">
        <f>IF('Customer Inputs'!$W$18="End",0,IFERROR(IF(AND($MA$2&lt;&gt;"Enter Spend&gt;&gt;&gt;",$MB$2="EXISTING"),SUMIFS('Existing Customers'!$O:$O,'Existing Customers'!$H:$H,$LZ30,'Existing Customers'!$A:$A,$MA$1)*$MA$4,$MB30*$MA$8),0))</f>
        <v>0</v>
      </c>
      <c r="MD30" s="92">
        <f>IF('Customer Inputs'!$W$18="End",0,IFERROR(IF(AND($MA$2&lt;&gt;"Enter Spend&gt;&gt;&gt;",$MB$2="EXISTING"),SUMIFS('Existing Customers'!$P:$P,'Existing Customers'!$A:$A,$MA$1,'Existing Customers'!$H:$H,$LZ30)*$MA$4,$MA30/$MM30),0))</f>
        <v>0</v>
      </c>
      <c r="ME30" s="303">
        <f>IF('Customer Inputs'!$W$18="End",0,IFERROR(IF(AND($MA$2&lt;&gt;"Enter Spend&gt;&gt;&gt;",$MB$2="EXISTING"),SUMIFS('Existing Customers'!$V:$V,'Existing Customers'!$H:$H,$LZ30,'Existing Customers'!$A:$A,$MA$1)*$MA$4,0),0))</f>
        <v>0</v>
      </c>
      <c r="MF30" s="93">
        <f>IF('Customer Inputs'!$W$18="End",0,IFERROR(IF(AND($MA$2&lt;&gt;"Enter Spend&gt;&gt;&gt;",$MB$2="EXISTING"),SUMIFS('Existing Customers'!$R:$R,'Existing Customers'!$H:$H,$LZ30,'Existing Customers'!$A:$A,$MA$1)*$MA$4,0),0))</f>
        <v>0</v>
      </c>
      <c r="MG30" s="780">
        <f>IF('Customer Inputs'!$W$18="End",0,IFERROR(IF(AND($MA$2&lt;&gt;"Enter Spend&gt;&gt;&gt;",$MB$2="EXISTING"),SUMIFS('Existing Customers'!$S:$S,'Existing Customers'!$H:$H,$LZ30,'Existing Customers'!$A:$A,$MA$1)/SUMIFS('Existing Customers'!$Q:$Q,'Existing Customers'!$A:$A,$MA$1,'Existing Customers'!$H:$H,$LZ30),MQ30),0))</f>
        <v>0</v>
      </c>
      <c r="MH30" s="780">
        <f>IF('Customer Inputs'!$W$18="End",0,IFERROR(IF(AND($MA$2&lt;&gt;"Enter Spend&gt;&gt;&gt;",$MB$2="EXISTING"),SUMIFS('Existing Customers'!$U:$U,'Existing Customers'!$H:$H,$LZ30,'Existing Customers'!$A:$A,$MA$1)/SUMIFS('Existing Customers'!$Q:$Q,'Existing Customers'!$A:$A,$MA$1,'Existing Customers'!$H:$H,$LZ30),MR30),0))</f>
        <v>0</v>
      </c>
      <c r="MI30" s="783" t="e">
        <f>_xlfn.CONCAT('Customer Inputs'!$AH$18,"_",LZ30)</f>
        <v>#N/A</v>
      </c>
      <c r="MJ30" s="783">
        <f t="array" ref="MJ30">IF('Customer Inputs'!$W$18="End",0,IFERROR(INDEX('Margin Guidence Table'!$A$1:$AG$10000,MATCH(1,('Margin Guidence Table'!$A$1:$A$10000=MI30)*('Margin Guidence Table'!$I$1:$I$10000&lt;=ROUND($MA$3,0))*('Margin Guidence Table'!$J$1:$J$10000&gt;=ROUND($MA$3,0)),0),MATCH("DATA_POINTS",'Margin Guidence Table'!$A$1:$AG$1,0)),0))</f>
        <v>0</v>
      </c>
      <c r="MK30" s="780" t="str">
        <f t="shared" si="57"/>
        <v>DEFAULT</v>
      </c>
      <c r="ML30" s="780">
        <f t="array" ref="ML30">IF('Customer Inputs'!$W$18="End",0,IFERROR(IF($MK30="SEGMENT",INDEX('Margin Guidence Table'!$A$1:$AG$10000,MATCH(1,('Margin Guidence Table'!$A$1:$A$10000=MI30)*('Margin Guidence Table'!$I$1:$I$10000&lt;=ROUND($MA$3,0))*('Margin Guidence Table'!$J$1:$J$10000&gt;=ROUND($MA$3,0)),0),MATCH("SALES_CASE",'Margin Guidence Table'!$A$1:$AG$1,0)),INDEX('Margin Guidence Table'!$A$1:$AG$10000,MATCH(1,('Margin Guidence Table'!$A$1:$A$10000=MI30)*('Margin Guidence Table'!$I$1:$I$10000&lt;=ROUND($MA$3,0))*('Margin Guidence Table'!$J$1:$J$10000&gt;=ROUND($MA$3,0)),0),MATCH("DEFAULT_SALES_CASE",'Margin Guidence Table'!$A$1:$AG$1,0))),0))</f>
        <v>0</v>
      </c>
      <c r="MM30" s="780">
        <f t="array" ref="MM30">IF('Customer Inputs'!$W$18="End",0,IFERROR(IF($MK30="SEGMENT",INDEX('Margin Guidence Table'!$A$1:$AG$10000,MATCH(1,('Margin Guidence Table'!$A$1:$A$10000=MI30)*('Margin Guidence Table'!$I$1:$I$10000&lt;=ROUND($MA$3,0))*('Margin Guidence Table'!$J$1:$J$10000&gt;=ROUND($MA$3,0)),0),MATCH("SALES_LBS",'Margin Guidence Table'!$A$1:$AG$1,0)),INDEX('Margin Guidence Table'!$A$1:$AG$10000,MATCH(1,('Margin Guidence Table'!$A$1:$A$10000=MI30)*('Margin Guidence Table'!$I$1:$I$10000&lt;=ROUND($MA$3,0))*('Margin Guidence Table'!$J$1:$J$10000&gt;=ROUND($MA$3,0)),0),MATCH("DEFAULT_SALES_LBS",'Margin Guidence Table'!$A$1:$AG$1,0))),0))</f>
        <v>0</v>
      </c>
      <c r="MN30" s="784">
        <f t="array" ref="MN30">IF('Customer Inputs'!$W$18="End",0,IFERROR(IF($MK30="SEGMENT",INDEX('Margin Guidence Table'!$A$1:$AG$10000,MATCH(1,('Margin Guidence Table'!$A$1:$A$10000=MI30)*('Margin Guidence Table'!$I$1:$I$10000&lt;=ROUND($MA$3,0))*('Margin Guidence Table'!$J$1:$J$10000&gt;=ROUND($MA$3,0)),0),MATCH("MDA_MIN_MARGIN_GUIDENCE",'Margin Guidence Table'!$A$1:$AG$1,0)),INDEX('Margin Guidence Table'!$A$1:$AG$10000,MATCH(1,('Margin Guidence Table'!$A$1:$A$10000=MI30)*('Margin Guidence Table'!$I$1:$I$10000&lt;=ROUND($MA$3,0))*('Margin Guidence Table'!$J$1:$J$10000&gt;=ROUND($MA$3,0)),0),MATCH("DEFAULT_MDA_MIN_MARGIN_GUIDENCE",'Margin Guidence Table'!$A$1:$AG$1,0))),0))</f>
        <v>0</v>
      </c>
      <c r="MO30" s="784">
        <f t="array" ref="MO30">IF('Customer Inputs'!$W$18="End",0,IFERROR(IF($MK30="SEGMENT",INDEX('Margin Guidence Table'!$A$1:$AG$10000,MATCH(1,('Margin Guidence Table'!$A$1:$A$10000=MI30)*('Margin Guidence Table'!$I$1:$I$10000&lt;=ROUND($MA$3,0))*('Margin Guidence Table'!$J$1:$J$10000&gt;=ROUND($MA$3,0)),0),MATCH("MDA_MEDIAN_MARGIN_GUIDENCE",'Margin Guidence Table'!$A$1:$AG$1,0)),INDEX('Margin Guidence Table'!$A$1:$AG$10000,MATCH(1,('Margin Guidence Table'!$A$1:$A$10000=MI30)*('Margin Guidence Table'!$I$1:$I$10000&lt;=ROUND($MA$3,0))*('Margin Guidence Table'!$J$1:$J$10000&gt;=ROUND($MA$3,0)),0),MATCH("DEFAULT_MDA_MEDIAN_MARGIN_GUIDENCE",'Margin Guidence Table'!$A$1:$AG$1,0))),0))</f>
        <v>0</v>
      </c>
      <c r="MP30" s="784">
        <f t="array" ref="MP30">IF('Customer Inputs'!$W$18="End",0,IFERROR(IF($MK30="SEGMENT",INDEX('Margin Guidence Table'!$A$1:$AG$10000,MATCH(1,('Margin Guidence Table'!$A$1:$A$10000=MI30)*('Margin Guidence Table'!$I$1:$I$10000&lt;=ROUND($MA$3,0))*('Margin Guidence Table'!$J$1:$J$10000&gt;=ROUND($MA$3,0)),0),MATCH("MDA_MAX_MARGIN_GUIDENCE",'Margin Guidence Table'!$A$1:$AG$1,0)),INDEX('Margin Guidence Table'!$A$1:$AG$10000,MATCH(1,('Margin Guidence Table'!$A$1:$A$10000=MI30)*('Margin Guidence Table'!$I$1:$I$10000&lt;=ROUND($MA$3,0))*('Margin Guidence Table'!$J$1:$J$10000&gt;=ROUND($MA$3,0)),0),MATCH("DEFAULT_MDA_MAX_MARGIN_GUIDENCE",'Margin Guidence Table'!$A$1:$AG$1,0))),0))</f>
        <v>0</v>
      </c>
      <c r="MQ30" s="784">
        <f t="array" ref="MQ30">IF('Customer Inputs'!$W$18="End",0,IFERROR(IF($MK30="SEGMENT",INDEX('Margin Guidence Table'!$A$1:$AG$10000,MATCH(1,('Margin Guidence Table'!$A$1:$A$10000=MI30)*('Margin Guidence Table'!$I$1:$I$10000&lt;=ROUND($MA$3,0))*('Margin Guidence Table'!$J$1:$J$10000&gt;=ROUND($MA$3,0)),0),MATCH("PA_PCT_SALES",'Margin Guidence Table'!$A$1:$AG$1,0)),INDEX('Margin Guidence Table'!$A$1:$AG$10000,MATCH(1,('Margin Guidence Table'!$A$1:$A$10000=MI30)*('Margin Guidence Table'!$I$1:$I$10000&lt;=ROUND($MA$3,0))*('Margin Guidence Table'!$J$1:$J$10000&gt;=ROUND($MA$3,0)),0),MATCH("DEFAULT_PA_PCT_SALES",'Margin Guidence Table'!$A$1:$AG$1,0))),0))</f>
        <v>0</v>
      </c>
      <c r="MR30" s="784">
        <f t="array" ref="MR30">IF('Customer Inputs'!$W$18="End",0,IFERROR(IF($MK30="SEGMENT",INDEX('Margin Guidence Table'!$A$1:$AG$10000,MATCH(1,('Margin Guidence Table'!$A$1:$A$10000=MI30)*('Margin Guidence Table'!$I$1:$I$10000&lt;=ROUND($MA$3,0))*('Margin Guidence Table'!$J$1:$J$10000&gt;=ROUND($MA$3,0)),0),MATCH("SELF_FUND_PCT_SALES",'Margin Guidence Table'!$A$1:$AG$1,0)),INDEX('Margin Guidence Table'!$A$1:$AG$10000,MATCH(1,('Margin Guidence Table'!$A$1:$A$10000=MI30)*('Margin Guidence Table'!$I$1:$I$10000&lt;=ROUND($MA$3,0))*('Margin Guidence Table'!$J$1:$J$10000&gt;=ROUND($MA$3,0)),0),MATCH("DEFAULT_SELF_FUND_PCT_SALES",'Margin Guidence Table'!$A$1:$AG$1,0))),0))</f>
        <v>0</v>
      </c>
      <c r="MS30" s="784">
        <f t="array" ref="MS30">IF('Customer Inputs'!$W$18="End",0,IF($MB$2="Existing",IFERROR(SUMIFS('Existing Customers'!$V:$V,'Existing Customers'!$H:$H,$LZ30,'Existing Customers'!$A:$A,$MA$1)/SUMIFS('Existing Customers'!$Q:$Q,'Existing Customers'!$H:$H,$LZ30,'Existing Customers'!$A:$A,$MA$1),0),IFERROR(IF($MK30="SEGMENT",INDEX('Margin Guidence Table'!$A$1:$AG$10000,MATCH(1,('Margin Guidence Table'!$A$1:$A$10000=MI30)*('Margin Guidence Table'!$I$1:$I$10000&lt;=ROUND($MA$3,0))*('Margin Guidence Table'!$J$1:$J$10000&gt;=ROUND($MA$3,0)),0),MATCH("CIA_MEDIAN_MARGIN_GUIDENCE",'Margin Guidence Table'!$A$1:$AG$1,0)),INDEX('Margin Guidence Table'!$A$1:$AG$10000,MATCH(1,('Margin Guidence Table'!$A$1:$A$10000=MI30)*('Margin Guidence Table'!$I$1:$I$10000&lt;=ROUND($MA$3,0))*('Margin Guidence Table'!$J$1:$J$10000&gt;=ROUND($MA$3,0)),0),MATCH("DEFAULT_CIA_MEDIAN_MARGIN_GUIDENCE",'Margin Guidence Table'!$A$1:$AG$1,0))),0)))</f>
        <v>0</v>
      </c>
      <c r="MT30" s="784"/>
      <c r="MU30" s="18">
        <f t="array" ref="MU30">IF('Customer Inputs'!$W$19="End",0,IFERROR(IF($NH30="SEGMENT",INDEX('Margin Guidence Table'!$A$1:$AG$10000,MATCH(1,('Margin Guidence Table'!$A$1:$A$10000=$NF30)*('Margin Guidence Table'!$I$1:$I$10000&lt;=ROUND($MX$3,0))*('Margin Guidence Table'!$J$1:$J$10000&gt;=ROUND($MX$3,0)),0),MATCH("PCT_SALES",'Margin Guidence Table'!$A$1:$AG$1,0)),INDEX('Margin Guidence Table'!$A$1:$AG$10000,MATCH(1,('Margin Guidence Table'!$A$1:$A$10000=$NF30)*('Margin Guidence Table'!$I$1:$I$10000&lt;=ROUND($MX$3,0))*('Margin Guidence Table'!$J$1:$J$10000&gt;=ROUND($MX$3,0)),0),MATCH("DEFAULT_PCT_SALES",'Margin Guidence Table'!$A$1:$AG$1,0))),0))</f>
        <v>0</v>
      </c>
      <c r="MV30" s="1713" t="e">
        <f t="shared" si="58"/>
        <v>#DIV/0!</v>
      </c>
      <c r="MW30" s="99" t="s">
        <v>89</v>
      </c>
      <c r="MX30" s="91">
        <f>IF('Customer Inputs'!$W$19="End",0,IFERROR(IF(AND($MX$2&lt;&gt;"Enter Spend&gt;&gt;&gt;",$MY$2="EXISTING"),SUMIFS('Existing Customers'!$Q:$Q,'Existing Customers'!$A:$A,$MX$1,'Existing Customers'!$H:$H,$MW30)*$MX$4,$MX$3*$MV30),0))</f>
        <v>0</v>
      </c>
      <c r="MY30" s="86">
        <f>IF('Customer Inputs'!$W$19="End",0,IFERROR(IF(AND($MX$2&lt;&gt;"Enter Spend&gt;&gt;&gt;",$MY$2="EXISTING"),SUMIFS('Existing Customers'!$N:$N,'Existing Customers'!$A:$A,$MX$1,'Existing Customers'!$H:$H,$MW30)*$MX$4,$MX30/$NI30),0))</f>
        <v>0</v>
      </c>
      <c r="MZ30" s="92">
        <f>IF('Customer Inputs'!$W$19="End",0,IFERROR(IF(AND($MX$2&lt;&gt;"Enter Spend&gt;&gt;&gt;",$MY$2="EXISTING"),SUMIFS('Existing Customers'!$O:$O,'Existing Customers'!$H:$H,$MW30,'Existing Customers'!$A:$A,$MX$1)*$MX$4,$MY30*$MX$8),0))</f>
        <v>0</v>
      </c>
      <c r="NA30" s="92">
        <f>IF('Customer Inputs'!$W$19="End",0,IFERROR(IF(AND($MX$2&lt;&gt;"Enter Spend&gt;&gt;&gt;",$MY$2="EXISTING"),SUMIFS('Existing Customers'!$P:$P,'Existing Customers'!$A:$A,$MX$1,'Existing Customers'!$H:$H,$MW30)*$MX$4,$MX30/$NJ30),0))</f>
        <v>0</v>
      </c>
      <c r="NB30" s="303">
        <f>IF('Customer Inputs'!$W$19="End",0,IFERROR(IF(AND($MX$2&lt;&gt;"Enter Spend&gt;&gt;&gt;",$MY$2="EXISTING"),SUMIFS('Existing Customers'!$V:$V,'Existing Customers'!$H:$H,$MW30,'Existing Customers'!$A:$A,$MX$1)*$MX$4,0),0))</f>
        <v>0</v>
      </c>
      <c r="NC30" s="93">
        <f>IF('Customer Inputs'!$W$19="End",0,IFERROR(IF(AND($MX$2&lt;&gt;"Enter Spend&gt;&gt;&gt;",$MY$2="EXISTING"),SUMIFS('Existing Customers'!$R:$R,'Existing Customers'!$H:$H,$MW30,'Existing Customers'!$A:$A,$MX$1)*$MX$4,0),0))</f>
        <v>0</v>
      </c>
      <c r="ND30" s="780">
        <f>IF('Customer Inputs'!$W$19="End",0,IFERROR(IF(AND($MX$2&lt;&gt;"Enter Spend&gt;&gt;&gt;",$MY$2="EXISTING"),SUMIFS('Existing Customers'!$S:$S,'Existing Customers'!$H:$H,$MW30,'Existing Customers'!$A:$A,$MX$1)/SUMIFS('Existing Customers'!$Q:$Q,'Existing Customers'!$A:$A,$MX$1,'Existing Customers'!$H:$H,$MW30),NN30),0))</f>
        <v>0</v>
      </c>
      <c r="NE30" s="780">
        <f>IF('Customer Inputs'!$W$19="End",0,IFERROR(IF(AND($MX$2&lt;&gt;"Enter Spend&gt;&gt;&gt;",$MY$2="EXISTING"),SUMIFS('Existing Customers'!$U:$U,'Existing Customers'!$H:$H,$MW30,'Existing Customers'!$A:$A,$MX$1)/SUMIFS('Existing Customers'!$Q:$Q,'Existing Customers'!$A:$A,$MX$1,'Existing Customers'!$H:$H,$MW30),NO30),0))</f>
        <v>0</v>
      </c>
      <c r="NF30" s="783" t="e">
        <f>_xlfn.CONCAT('Customer Inputs'!$AH$19,"_",MW30)</f>
        <v>#N/A</v>
      </c>
      <c r="NG30" s="783">
        <f t="array" ref="NG30">IF('Customer Inputs'!$W$19="End",0,IFERROR(INDEX('Margin Guidence Table'!$A$1:$AG$10000,MATCH(1,('Margin Guidence Table'!$A$1:$A$10000=NF30)*('Margin Guidence Table'!$I$1:$I$10000&lt;=ROUND($MX$3,0))*('Margin Guidence Table'!$J$1:$J$10000&gt;=ROUND($MX$3,0)),0),MATCH("DATA_POINTS",'Margin Guidence Table'!$A$1:$AG$1,0)),0))</f>
        <v>0</v>
      </c>
      <c r="NH30" s="780" t="str">
        <f t="shared" si="59"/>
        <v>DEFAULT</v>
      </c>
      <c r="NI30" s="780">
        <f t="array" ref="NI30">IF('Customer Inputs'!$W$19="End",0,IFERROR(IF($NH30="SEGMENT",INDEX('Margin Guidence Table'!$A$1:$AG$10000,MATCH(1,('Margin Guidence Table'!$A$1:$A$10000=NF30)*('Margin Guidence Table'!$I$1:$I$10000&lt;=ROUND($MX$3,0))*('Margin Guidence Table'!$J$1:$J$10000&gt;=ROUND($MX$3,0)),0),MATCH("SALES_CASE",'Margin Guidence Table'!$A$1:$AG$1,0)),INDEX('Margin Guidence Table'!$A$1:$AG$10000,MATCH(1,('Margin Guidence Table'!$A$1:$A$10000=NF30)*('Margin Guidence Table'!$I$1:$I$10000&lt;=ROUND($MX$3,0))*('Margin Guidence Table'!$J$1:$J$10000&gt;=ROUND($MX$3,0)),0),MATCH("DEFAULT_SALES_CASE",'Margin Guidence Table'!$A$1:$AG$1,0))),0))</f>
        <v>0</v>
      </c>
      <c r="NJ30" s="780">
        <f t="array" ref="NJ30">IF('Customer Inputs'!$W$19="End",0,IFERROR(IF($NH30="SEGMENT",INDEX('Margin Guidence Table'!$A$1:$AG$10000,MATCH(1,('Margin Guidence Table'!$A$1:$A$10000=NF30)*('Margin Guidence Table'!$I$1:$I$10000&lt;=ROUND($MX$3,0))*('Margin Guidence Table'!$J$1:$J$10000&gt;=ROUND($MX$3,0)),0),MATCH("SALES_LBS",'Margin Guidence Table'!$A$1:$AG$1,0)),INDEX('Margin Guidence Table'!$A$1:$AG$10000,MATCH(1,('Margin Guidence Table'!$A$1:$A$10000=NF30)*('Margin Guidence Table'!$I$1:$I$10000&lt;=ROUND($MX$3,0))*('Margin Guidence Table'!$J$1:$J$10000&gt;=ROUND($MX$3,0)),0),MATCH("DEFAULT_SALES_LBS",'Margin Guidence Table'!$A$1:$AG$1,0))),0))</f>
        <v>0</v>
      </c>
      <c r="NK30" s="784">
        <f t="array" ref="NK30">IF('Customer Inputs'!$W$19="End",0,IFERROR(IF($NH30="SEGMENT",INDEX('Margin Guidence Table'!$A$1:$AG$10000,MATCH(1,('Margin Guidence Table'!$A$1:$A$10000=NF30)*('Margin Guidence Table'!$I$1:$I$10000&lt;=ROUND($MX$3,0))*('Margin Guidence Table'!$J$1:$J$10000&gt;=ROUND($MX$3,0)),0),MATCH("MDA_MIN_MARGIN_GUIDENCE",'Margin Guidence Table'!$A$1:$AG$1,0)),INDEX('Margin Guidence Table'!$A$1:$AG$10000,MATCH(1,('Margin Guidence Table'!$A$1:$A$10000=NF30)*('Margin Guidence Table'!$I$1:$I$10000&lt;=ROUND($MX$3,0))*('Margin Guidence Table'!$J$1:$J$10000&gt;=ROUND($MX$3,0)),0),MATCH("DEFAULT_MDA_MIN_MARGIN_GUIDENCE",'Margin Guidence Table'!$A$1:$AG$1,0))),0))</f>
        <v>0</v>
      </c>
      <c r="NL30" s="784">
        <f t="array" ref="NL30">IF('Customer Inputs'!$W$19="End",0,IFERROR(IF($NH30="SEGMENT",INDEX('Margin Guidence Table'!$A$1:$AG$10000,MATCH(1,('Margin Guidence Table'!$A$1:$A$10000=NF30)*('Margin Guidence Table'!$I$1:$I$10000&lt;=ROUND($MX$3,0))*('Margin Guidence Table'!$J$1:$J$10000&gt;=ROUND($MX$3,0)),0),MATCH("MDA_MEDIAN_MARGIN_GUIDENCE",'Margin Guidence Table'!$A$1:$AG$1,0)),INDEX('Margin Guidence Table'!$A$1:$AG$10000,MATCH(1,('Margin Guidence Table'!$A$1:$A$10000=NF30)*('Margin Guidence Table'!$I$1:$I$10000&lt;=ROUND($MX$3,0))*('Margin Guidence Table'!$J$1:$J$10000&gt;=ROUND($MX$3,0)),0),MATCH("DEFAULT_MDA_MEDIAN_MARGIN_GUIDENCE",'Margin Guidence Table'!$A$1:$AG$1,0))),0))</f>
        <v>0</v>
      </c>
      <c r="NM30" s="784">
        <f t="array" ref="NM30">IF('Customer Inputs'!$W$19="End",0,IFERROR(IF($NH30="SEGMENT",INDEX('Margin Guidence Table'!$A$1:$AG$10000,MATCH(1,('Margin Guidence Table'!$A$1:$A$10000=NF30)*('Margin Guidence Table'!$I$1:$I$10000&lt;=ROUND($MX$3,0))*('Margin Guidence Table'!$J$1:$J$10000&gt;=ROUND($MX$3,0)),0),MATCH("MDA_MAX_MARGIN_GUIDENCE",'Margin Guidence Table'!$A$1:$AG$1,0)),INDEX('Margin Guidence Table'!$A$1:$AG$10000,MATCH(1,('Margin Guidence Table'!$A$1:$A$10000=NF30)*('Margin Guidence Table'!$I$1:$I$10000&lt;=ROUND($MX$3,0))*('Margin Guidence Table'!$J$1:$J$10000&gt;=ROUND($MX$3,0)),0),MATCH("DEFAULT_MDA_MAX_MARGIN_GUIDENCE",'Margin Guidence Table'!$A$1:$AG$1,0))),0))</f>
        <v>0</v>
      </c>
      <c r="NN30" s="784">
        <f t="array" ref="NN30">IF('Customer Inputs'!$W$19="End",0,IFERROR(IF($NH30="SEGMENT",INDEX('Margin Guidence Table'!$A$1:$AG$10000,MATCH(1,('Margin Guidence Table'!$A$1:$A$10000=NF30)*('Margin Guidence Table'!$I$1:$I$10000&lt;=ROUND($MX$3,0))*('Margin Guidence Table'!$J$1:$J$10000&gt;=ROUND($MX$3,0)),0),MATCH("PA_PCT_SALES",'Margin Guidence Table'!$A$1:$AG$1,0)),INDEX('Margin Guidence Table'!$A$1:$AG$10000,MATCH(1,('Margin Guidence Table'!$A$1:$A$10000=NF30)*('Margin Guidence Table'!$I$1:$I$10000&lt;=ROUND($MX$3,0))*('Margin Guidence Table'!$J$1:$J$10000&gt;=ROUND($MX$3,0)),0),MATCH("DEFAULT_PA_PCT_SALES",'Margin Guidence Table'!$A$1:$AG$1,0))),0))</f>
        <v>0</v>
      </c>
      <c r="NO30" s="784">
        <f t="array" ref="NO30">IF('Customer Inputs'!$W$19="End",0,IFERROR(IF($NH30="SEGMENT",INDEX('Margin Guidence Table'!$A$1:$AG$10000,MATCH(1,('Margin Guidence Table'!$A$1:$A$10000=NF30)*('Margin Guidence Table'!$I$1:$I$10000&lt;=ROUND($MX$3,0))*('Margin Guidence Table'!$J$1:$J$10000&gt;=ROUND($MX$3,0)),0),MATCH("SELF_FUND_PCT_SALES",'Margin Guidence Table'!$A$1:$AG$1,0)),INDEX('Margin Guidence Table'!$A$1:$AG$10000,MATCH(1,('Margin Guidence Table'!$A$1:$A$10000=NF30)*('Margin Guidence Table'!$I$1:$I$10000&lt;=ROUND($MX$3,0))*('Margin Guidence Table'!$J$1:$J$10000&gt;=ROUND($MX$3,0)),0),MATCH("DEFAULT_SELF_FUND_PCT_SALES",'Margin Guidence Table'!$A$1:$AG$1,0))),0))</f>
        <v>0</v>
      </c>
      <c r="NP30" s="784">
        <f t="array" ref="NP30">IF('Customer Inputs'!$W$19="End",0,IF($MY$2="Existing",IFERROR(SUMIFS('Existing Customers'!$V:$V,'Existing Customers'!$H:$H,$MW30,'Existing Customers'!$A:$A,$MX$1)/SUMIFS('Existing Customers'!$Q:$Q,'Existing Customers'!$H:$H,$MW30,'Existing Customers'!$A:$A,$MX$1),0),IFERROR(IF($NH30="SEGMENT",INDEX('Margin Guidence Table'!$A$1:$AG$10000,MATCH(1,('Margin Guidence Table'!$A$1:$A$10000=NF30)*('Margin Guidence Table'!$I$1:$I$10000&lt;=ROUND($MX$3,0))*('Margin Guidence Table'!$J$1:$J$10000&gt;=ROUND($MX$3,0)),0),MATCH("CIA_MEDIAN_MARGIN_GUIDENCE",'Margin Guidence Table'!$A$1:$AG$1,0)),INDEX('Margin Guidence Table'!$A$1:$AG$10000,MATCH(1,('Margin Guidence Table'!$A$1:$A$10000=NF30)*('Margin Guidence Table'!$I$1:$I$10000&lt;=ROUND($MX$3,0))*('Margin Guidence Table'!$J$1:$J$10000&gt;=ROUND($MX$3,0)),0),MATCH("DEFAULT_CIA_MEDIAN_MARGIN_GUIDENCE",'Margin Guidence Table'!$A$1:$AG$1,0))),0)))</f>
        <v>0</v>
      </c>
      <c r="NQ30" s="784"/>
      <c r="NR30" s="18">
        <f t="array" ref="NR30">IF('Customer Inputs'!$W$20="End",0,IFERROR(IF($OE30="SEGMENT",INDEX('Margin Guidence Table'!$A$1:$AG$10000,MATCH(1,('Margin Guidence Table'!$A$1:$A$10000=$OC30)*('Margin Guidence Table'!$I$1:$I$10000&lt;=ROUND($NU$3,0))*('Margin Guidence Table'!$J$1:$J$10000&gt;=ROUND($NU$3,0)),0),MATCH("PCT_SALES",'Margin Guidence Table'!$A$1:$AG$1,0)),INDEX('Margin Guidence Table'!$A$1:$AG$10000,MATCH(1,('Margin Guidence Table'!$A$1:$A$10000=$OC30)*('Margin Guidence Table'!$I$1:$I$10000&lt;=ROUND($NU$3,0))*('Margin Guidence Table'!$J$1:$J$10000&gt;=ROUND($NU$3,0)),0),MATCH("DEFAULT_PCT_SALES",'Margin Guidence Table'!$A$1:$AG$1,0))),0))</f>
        <v>0</v>
      </c>
      <c r="NS30" s="1713" t="e">
        <f t="shared" si="60"/>
        <v>#DIV/0!</v>
      </c>
      <c r="NT30" s="99" t="s">
        <v>89</v>
      </c>
      <c r="NU30" s="91">
        <f>IF('Customer Inputs'!$W$20="End",0,IFERROR(IF(AND($NU$2&lt;&gt;"Enter Spend&gt;&gt;&gt;",$NV$2="EXISTING"),SUMIFS('Existing Customers'!$Q:$Q,'Existing Customers'!$A:$A,$NU$1,'Existing Customers'!$H:$H,$NT30)*$NU$4,$NU$3*$NS30),0))</f>
        <v>0</v>
      </c>
      <c r="NV30" s="86">
        <f>IF('Customer Inputs'!$W$20="End",0,IFERROR(IF(AND($NU$2&lt;&gt;"Enter Spend&gt;&gt;&gt;",$NV$2="EXISTING"),SUMIFS('Existing Customers'!$N:$N,'Existing Customers'!$A:$A,$NU$1,'Existing Customers'!$H:$H,$NT30)*$NU$4,$NU30/$OF30),0))</f>
        <v>0</v>
      </c>
      <c r="NW30" s="92">
        <f>IF('Customer Inputs'!$W$20="End",0,IFERROR(IF(AND($NU$2&lt;&gt;"Enter Spend&gt;&gt;&gt;",$NV$2="EXISTING"),SUMIFS('Existing Customers'!$O:$O,'Existing Customers'!$H:$H,$NT30,'Existing Customers'!$A:$A,$NU$1)*$NU$4,$NV30*$NU$8),0))</f>
        <v>0</v>
      </c>
      <c r="NX30" s="92">
        <f>IF('Customer Inputs'!$W$20="End",0,IFERROR(IF(AND($NU$2&lt;&gt;"Enter Spend&gt;&gt;&gt;",$NV$2="EXISTING"),SUMIFS('Existing Customers'!$P:$P,'Existing Customers'!$A:$A,$NU$1,'Existing Customers'!$H:$H,$NT30)*$NU$4,$NU30/$OG30),0))</f>
        <v>0</v>
      </c>
      <c r="NY30" s="303">
        <f>IF('Customer Inputs'!$W$20="End",0,IFERROR(IF(AND($NU$2&lt;&gt;"Enter Spend&gt;&gt;&gt;",$NV$2="EXISTING"),SUMIFS('Existing Customers'!$V:$V,'Existing Customers'!$H:$H,$NT30,'Existing Customers'!$A:$A,$NU$1)*$NU$4,0),0))</f>
        <v>0</v>
      </c>
      <c r="NZ30" s="93">
        <f>IF('Customer Inputs'!$W$20="End",0,IFERROR(IF(AND($NU$2&lt;&gt;"Enter Spend&gt;&gt;&gt;",$NV$2="EXISTING"),SUMIFS('Existing Customers'!$R:$R,'Existing Customers'!$H:$H,$NT30,'Existing Customers'!$A:$A,$NU$1)*$NU$4,0),0))</f>
        <v>0</v>
      </c>
      <c r="OA30" s="780">
        <f>IF('Customer Inputs'!$W$20="End",0,IFERROR(IF(AND($NU$2&lt;&gt;"Enter Spend&gt;&gt;&gt;",$NV$2="EXISTING"),SUMIFS('Existing Customers'!$S:$S,'Existing Customers'!$H:$H,$NT30,'Existing Customers'!$A:$A,$NU$1)/SUMIFS('Existing Customers'!$Q:$Q,'Existing Customers'!$A:$A,$NU$1,'Existing Customers'!$H:$H,$NT30),OK30),0))</f>
        <v>0</v>
      </c>
      <c r="OB30" s="780">
        <f>IF('Customer Inputs'!$W$20="End",0,IFERROR(IF(AND($NU$2&lt;&gt;"Enter Spend&gt;&gt;&gt;",$NV$2="EXISTING"),SUMIFS('Existing Customers'!$U:$U,'Existing Customers'!$H:$H,$NT30,'Existing Customers'!$A:$A,$NU$1)/SUMIFS('Existing Customers'!$Q:$Q,'Existing Customers'!$A:$A,$NU$1,'Existing Customers'!$H:$H,$NT30),OL30),0))</f>
        <v>0</v>
      </c>
      <c r="OC30" s="783" t="e">
        <f>_xlfn.CONCAT('Customer Inputs'!$AH$20,"_",NT30)</f>
        <v>#N/A</v>
      </c>
      <c r="OD30" s="783">
        <f t="array" ref="OD30">IF('Customer Inputs'!$W$20="End",0,IFERROR(INDEX('Margin Guidence Table'!$A$1:$AG$10000,MATCH(1,('Margin Guidence Table'!$A$1:$A$10000=OC30)*('Margin Guidence Table'!$I$1:$I$10000&lt;=ROUND($NU$3,0))*('Margin Guidence Table'!$J$1:$J$10000&gt;=ROUND($NU$3,0)),0),MATCH("DATA_POINTS",'Margin Guidence Table'!$A$1:$AG$1,0)),0))</f>
        <v>0</v>
      </c>
      <c r="OE30" s="780" t="str">
        <f t="shared" si="61"/>
        <v>DEFAULT</v>
      </c>
      <c r="OF30" s="780">
        <f t="array" ref="OF30">IF('Customer Inputs'!$W$20="End",0,IFERROR(IF($OE30="SEGMENT",INDEX('Margin Guidence Table'!$A$1:$AG$10000,MATCH(1,('Margin Guidence Table'!$A$1:$A$10000=OC30)*('Margin Guidence Table'!$I$1:$I$10000&lt;=ROUND($NU$3,0))*('Margin Guidence Table'!$J$1:$J$10000&gt;=ROUND($NU$3,0)),0),MATCH("SALES_CASE",'Margin Guidence Table'!$A$1:$AG$1,0)),INDEX('Margin Guidence Table'!$A$1:$AG$10000,MATCH(1,('Margin Guidence Table'!$A$1:$A$10000=OC30)*('Margin Guidence Table'!$I$1:$I$10000&lt;=ROUND($NU$3,0))*('Margin Guidence Table'!$J$1:$J$10000&gt;=ROUND($NU$3,0)),0),MATCH("DEFAULT_SALES_CASE",'Margin Guidence Table'!$A$1:$AG$1,0))),0))</f>
        <v>0</v>
      </c>
      <c r="OG30" s="780">
        <f t="array" ref="OG30">IF('Customer Inputs'!$W$20="End",0,IFERROR(IF($OE30="SEGMENT",INDEX('Margin Guidence Table'!$A$1:$AG$10000,MATCH(1,('Margin Guidence Table'!$A$1:$A$10000=OC30)*('Margin Guidence Table'!$I$1:$I$10000&lt;=ROUND($NU$3,0))*('Margin Guidence Table'!$J$1:$J$10000&gt;=ROUND($NU$3,0)),0),MATCH("SALES_LBS",'Margin Guidence Table'!$A$1:$AG$1,0)),INDEX('Margin Guidence Table'!$A$1:$AG$10000,MATCH(1,('Margin Guidence Table'!$A$1:$A$10000=OC30)*('Margin Guidence Table'!$I$1:$I$10000&lt;=ROUND($NU$3,0))*('Margin Guidence Table'!$J$1:$J$10000&gt;=ROUND($NU$3,0)),0),MATCH("DEFAULT_SALES_LBS",'Margin Guidence Table'!$A$1:$AG$1,0))),0))</f>
        <v>0</v>
      </c>
      <c r="OH30" s="784">
        <f t="array" ref="OH30">IF('Customer Inputs'!$W$20="End",0,IFERROR(IF($OE30="SEGMENT",INDEX('Margin Guidence Table'!$A$1:$AG$10000,MATCH(1,('Margin Guidence Table'!$A$1:$A$10000=OC30)*('Margin Guidence Table'!$I$1:$I$10000&lt;=ROUND($NU$3,0))*('Margin Guidence Table'!$J$1:$J$10000&gt;=ROUND($NU$3,0)),0),MATCH("MDA_MIN_MARGIN_GUIDENCE",'Margin Guidence Table'!$A$1:$AG$1,0)),INDEX('Margin Guidence Table'!$A$1:$AG$10000,MATCH(1,('Margin Guidence Table'!$A$1:$A$10000=OC30)*('Margin Guidence Table'!$I$1:$I$10000&lt;=ROUND($NU$3,0))*('Margin Guidence Table'!$J$1:$J$10000&gt;=ROUND($NU$3,0)),0),MATCH("DEFAULT_MDA_MIN_MARGIN_GUIDENCE",'Margin Guidence Table'!$A$1:$AG$1,0))),0))</f>
        <v>0</v>
      </c>
      <c r="OI30" s="784">
        <f t="array" ref="OI30">IF('Customer Inputs'!$W$20="End",0,IFERROR(IF($OE30="SEGMENT",INDEX('Margin Guidence Table'!$A$1:$AG$10000,MATCH(1,('Margin Guidence Table'!$A$1:$A$10000=OC30)*('Margin Guidence Table'!$I$1:$I$10000&lt;=ROUND($NU$3,0))*('Margin Guidence Table'!$J$1:$J$10000&gt;=ROUND($NU$3,0)),0),MATCH("MDA_MEDIAN_MARGIN_GUIDENCE",'Margin Guidence Table'!$A$1:$AG$1,0)),INDEX('Margin Guidence Table'!$A$1:$AG$10000,MATCH(1,('Margin Guidence Table'!$A$1:$A$10000=OC30)*('Margin Guidence Table'!$I$1:$I$10000&lt;=ROUND($NU$3,0))*('Margin Guidence Table'!$J$1:$J$10000&gt;=ROUND($NU$3,0)),0),MATCH("DEFAULT_MDA_MEDIAN_MARGIN_GUIDENCE",'Margin Guidence Table'!$A$1:$AG$1,0))),0))</f>
        <v>0</v>
      </c>
      <c r="OJ30" s="784">
        <f t="array" ref="OJ30">IF('Customer Inputs'!$W$20="End",0,IFERROR(IF($OE30="SEGMENT",INDEX('Margin Guidence Table'!$A$1:$AG$10000,MATCH(1,('Margin Guidence Table'!$A$1:$A$10000=OC30)*('Margin Guidence Table'!$I$1:$I$10000&lt;=ROUND($NU$3,0))*('Margin Guidence Table'!$J$1:$J$10000&gt;=ROUND($NU$3,0)),0),MATCH("MDA_MAX_MARGIN_GUIDENCE",'Margin Guidence Table'!$A$1:$AG$1,0)),INDEX('Margin Guidence Table'!$A$1:$AG$10000,MATCH(1,('Margin Guidence Table'!$A$1:$A$10000=OC30)*('Margin Guidence Table'!$I$1:$I$10000&lt;=ROUND($NU$3,0))*('Margin Guidence Table'!$J$1:$J$10000&gt;=ROUND($NU$3,0)),0),MATCH("DEFAULT_MDA_MAX_MARGIN_GUIDENCE",'Margin Guidence Table'!$A$1:$AG$1,0))),0))</f>
        <v>0</v>
      </c>
      <c r="OK30" s="784">
        <f t="array" ref="OK30">IF('Customer Inputs'!$W$20="End",0,IFERROR(IF($OE30="SEGMENT",INDEX('Margin Guidence Table'!$A$1:$AG$10000,MATCH(1,('Margin Guidence Table'!$A$1:$A$10000=OC30)*('Margin Guidence Table'!$I$1:$I$10000&lt;=ROUND($NU$3,0))*('Margin Guidence Table'!$J$1:$J$10000&gt;=ROUND($NU$3,0)),0),MATCH("PA_PCT_SALES",'Margin Guidence Table'!$A$1:$AG$1,0)),INDEX('Margin Guidence Table'!$A$1:$AG$10000,MATCH(1,('Margin Guidence Table'!$A$1:$A$10000=OC30)*('Margin Guidence Table'!$I$1:$I$10000&lt;=ROUND($NU$3,0))*('Margin Guidence Table'!$J$1:$J$10000&gt;=ROUND($NU$3,0)),0),MATCH("DEFAULT_PA_PCT_SALES",'Margin Guidence Table'!$A$1:$AG$1,0))),0))</f>
        <v>0</v>
      </c>
      <c r="OL30" s="784">
        <f t="array" ref="OL30">IF('Customer Inputs'!$W$20="End",0,IFERROR(IF($OE30="SEGMENT",INDEX('Margin Guidence Table'!$A$1:$AG$10000,MATCH(1,('Margin Guidence Table'!$A$1:$A$10000=OC30)*('Margin Guidence Table'!$I$1:$I$10000&lt;=ROUND($NU$3,0))*('Margin Guidence Table'!$J$1:$J$10000&gt;=ROUND($NU$3,0)),0),MATCH("SELF_FUND_PCT_SALES",'Margin Guidence Table'!$A$1:$AG$1,0)),INDEX('Margin Guidence Table'!$A$1:$AG$10000,MATCH(1,('Margin Guidence Table'!$A$1:$A$10000=OC30)*('Margin Guidence Table'!$I$1:$I$10000&lt;=ROUND($NU$3,0))*('Margin Guidence Table'!$J$1:$J$10000&gt;=ROUND($NU$3,0)),0),MATCH("DEFAULT_SELF_FUND_PCT_SALES",'Margin Guidence Table'!$A$1:$AG$1,0))),0))</f>
        <v>0</v>
      </c>
      <c r="OM30" s="784">
        <f t="array" ref="OM30">IF('Customer Inputs'!$W$20="End",0,IF($NV$2="Existing",IFERROR(SUMIFS('Existing Customers'!$V:$V,'Existing Customers'!$H:$H,$NT30,'Existing Customers'!$A:$A,$NU$1)/SUMIFS('Existing Customers'!$Q:$Q,'Existing Customers'!$H:$H,$NT30,'Existing Customers'!$A:$A,$NU$1),0),IFERROR(IF($OE30="SEGMENT",INDEX('Margin Guidence Table'!$A$1:$AG$10000,MATCH(1,('Margin Guidence Table'!$A$1:$A$10000=OC30)*('Margin Guidence Table'!$I$1:$I$10000&lt;=ROUND($NU$3,0))*('Margin Guidence Table'!$J$1:$J$10000&gt;=ROUND($NU$3,0)),0),MATCH("CIA_MEDIAN_MARGIN_GUIDENCE",'Margin Guidence Table'!$A$1:$AG$1,0)),INDEX('Margin Guidence Table'!$A$1:$AG$10000,MATCH(1,('Margin Guidence Table'!$A$1:$A$10000=OC30)*('Margin Guidence Table'!$I$1:$I$10000&lt;=ROUND($NU$3,0))*('Margin Guidence Table'!$J$1:$J$10000&gt;=ROUND($NU$3,0)),0),MATCH("DEFAULT_CIA_MEDIAN_MARGIN_GUIDENCE",'Margin Guidence Table'!$A$1:$AG$1,0))),0)))</f>
        <v>0</v>
      </c>
      <c r="ON30" s="784"/>
      <c r="OO30" s="18">
        <f t="array" ref="OO30">IF('Customer Inputs'!$W$21="End",0,IFERROR(IF($PB30="SEGMENT",INDEX('Margin Guidence Table'!$A$1:$AG$10000,MATCH(1,('Margin Guidence Table'!$A$1:$A$10000=$OZ30)*('Margin Guidence Table'!$I$1:$I$10000&lt;=ROUND($OR$3,0))*('Margin Guidence Table'!$J$1:$J$10000&gt;=ROUND($OR$3,0)),0),MATCH("PCT_SALES",'Margin Guidence Table'!$A$1:$AG$1,0)),INDEX('Margin Guidence Table'!$A$1:$AG$10000,MATCH(1,('Margin Guidence Table'!$A$1:$A$10000=$OZ30)*('Margin Guidence Table'!$I$1:$I$10000&lt;=ROUND($OR$3,0))*('Margin Guidence Table'!$J$1:$J$10000&gt;=ROUND($OR$3,0)),0),MATCH("DEFAULT_PCT_SALES",'Margin Guidence Table'!$A$1:$AG$1,0))),0))</f>
        <v>0</v>
      </c>
      <c r="OP30" s="1713" t="e">
        <f t="shared" si="62"/>
        <v>#DIV/0!</v>
      </c>
      <c r="OQ30" s="99" t="s">
        <v>89</v>
      </c>
      <c r="OR30" s="91">
        <f>IF('Customer Inputs'!$W$21="End",0,IFERROR(IF(AND($OR$2&lt;&gt;"Enter Spend&gt;&gt;&gt;",$OS$2="EXISTING"),SUMIFS('Existing Customers'!$Q:$Q,'Existing Customers'!$A:$A,$OR$1,'Existing Customers'!$H:$H,$OQ30)*$OR$4,$OR$3*$OP30),0))</f>
        <v>0</v>
      </c>
      <c r="OS30" s="86">
        <f>IF('Customer Inputs'!$W$21="End",0,IFERROR(IF(AND($OR$2&lt;&gt;"Enter Spend&gt;&gt;&gt;",$OS$2="EXISTING"),SUMIFS('Existing Customers'!$N:$N,'Existing Customers'!$A:$A,$OR$1,'Existing Customers'!$H:$H,$OQ30)*$OR$4,$OR30/$PC30),0))</f>
        <v>0</v>
      </c>
      <c r="OT30" s="92">
        <f>IF('Customer Inputs'!$W$21="End",0,IFERROR(IF(AND($OR$2&lt;&gt;"Enter Spend&gt;&gt;&gt;",$OS$2="EXISTING"),SUMIFS('Existing Customers'!$O:$O,'Existing Customers'!$H:$H,$OQ30,'Existing Customers'!$A:$A,$OR$1)*$OR$4,$OS30*$OR$8),0))</f>
        <v>0</v>
      </c>
      <c r="OU30" s="92">
        <f>IF('Customer Inputs'!$W$21="End",0,IFERROR(IF(AND($OR$2&lt;&gt;"Enter Spend&gt;&gt;&gt;",$OS$2="EXISTING"),SUMIFS('Existing Customers'!$P:$P,'Existing Customers'!$A:$A,$OR$1,'Existing Customers'!$H:$H,$OQ30)*$OR$4,$OR30/$PD30),0))</f>
        <v>0</v>
      </c>
      <c r="OV30" s="303">
        <f>IF('Customer Inputs'!$W$21="End",0,IFERROR(IF(AND($OR$2&lt;&gt;"Enter Spend&gt;&gt;&gt;",$OS$2="EXISTING"),SUMIFS('Existing Customers'!$V:$V,'Existing Customers'!$H:$H,$OQ30,'Existing Customers'!$A:$A,$OR$1)*$OR$4,0),0))</f>
        <v>0</v>
      </c>
      <c r="OW30" s="93">
        <f>IF('Customer Inputs'!$W$21="End",0,IFERROR(IF(AND($OR$2&lt;&gt;"Enter Spend&gt;&gt;&gt;",$OS$2="EXISTING"),SUMIFS('Existing Customers'!$R:$R,'Existing Customers'!$H:$H,$OP30,'Existing Customers'!$A:$A,$OR$1)*$OR$4,0),0))</f>
        <v>0</v>
      </c>
      <c r="OX30" s="780">
        <f>IF('Customer Inputs'!$W$21="End",0,IFERROR(IF(AND($OR$2&lt;&gt;"Enter Spend&gt;&gt;&gt;",$OS$2="EXISTING"),SUMIFS('Existing Customers'!$S:$S,'Existing Customers'!$H:$H,$OQ30,'Existing Customers'!$A:$A,$OR$1)/SUMIFS('Existing Customers'!$Q:$Q,'Existing Customers'!$A:$A,$OR$1,'Existing Customers'!$H:$H,$OQ30),PH30),0))</f>
        <v>0</v>
      </c>
      <c r="OY30" s="780">
        <f>IF('Customer Inputs'!$W$21="End",0,IFERROR(IF(AND($OR$2&lt;&gt;"Enter Spend&gt;&gt;&gt;",$OS$2="EXISTING"),SUMIFS('Existing Customers'!$U:$U,'Existing Customers'!$H:$H,$OQ30,'Existing Customers'!$A:$A,$OR$1)/SUMIFS('Existing Customers'!$Q:$Q,'Existing Customers'!$A:$A,$OR$1,'Existing Customers'!$H:$H,$OQ30),PI30),0))</f>
        <v>0</v>
      </c>
      <c r="OZ30" s="783" t="e">
        <f>_xlfn.CONCAT('Customer Inputs'!$AH$21,"_",OQ30)</f>
        <v>#N/A</v>
      </c>
      <c r="PA30" s="783">
        <f t="array" ref="PA30">IF('Customer Inputs'!$W$22="End",0,IFERROR(INDEX('Margin Guidence Table'!$A$1:$AG$10000,MATCH(1,('Margin Guidence Table'!$A$1:$A$10000=OZ30)*('Margin Guidence Table'!$I$1:$I$10000&lt;=ROUND($OR$3,0))*('Margin Guidence Table'!$J$1:$J$10000&gt;=ROUND($OR$3,0)),0),MATCH("DATA_POINTS",'Margin Guidence Table'!$A$1:$AG$1,0)),0))</f>
        <v>0</v>
      </c>
      <c r="PB30" s="780" t="str">
        <f t="shared" si="63"/>
        <v>DEFAULT</v>
      </c>
      <c r="PC30" s="780">
        <f t="array" ref="PC30">IF('Customer Inputs'!$W$21="End",0,IFERROR(IF($PB30="SEGMENT",INDEX('Margin Guidence Table'!$A$1:$AG$10000,MATCH(1,('Margin Guidence Table'!$A$1:$A$10000=OZ30)*('Margin Guidence Table'!$I$1:$I$10000&lt;=ROUND($OR$3,0))*('Margin Guidence Table'!$J$1:$J$10000&gt;=ROUND($OR$3,0)),0),MATCH("SALES_CASE",'Margin Guidence Table'!$A$1:$AG$1,0)),INDEX('Margin Guidence Table'!$A$1:$AG$10000,MATCH(1,('Margin Guidence Table'!$A$1:$A$10000=OZ30)*('Margin Guidence Table'!$I$1:$I$10000&lt;=ROUND($OR$3,0))*('Margin Guidence Table'!$J$1:$J$10000&gt;=ROUND($OR$3,0)),0),MATCH("DEFAULT_SALES_CASE",'Margin Guidence Table'!$A$1:$AG$1,0))),0))</f>
        <v>0</v>
      </c>
      <c r="PD30" s="780">
        <f t="array" ref="PD30">IF('Customer Inputs'!$W$21="End",0,IFERROR(IF($PB30="SEGMENT",INDEX('Margin Guidence Table'!$A$1:$AG$10000,MATCH(1,('Margin Guidence Table'!$A$1:$A$10000=OZ30)*('Margin Guidence Table'!$I$1:$I$10000&lt;=ROUND($OR$3,0))*('Margin Guidence Table'!$J$1:$J$10000&gt;=ROUND($OR$3,0)),0),MATCH("SALES_LBS",'Margin Guidence Table'!$A$1:$AG$1,0)),INDEX('Margin Guidence Table'!$A$1:$AG$10000,MATCH(1,('Margin Guidence Table'!$A$1:$A$10000=OZ30)*('Margin Guidence Table'!$I$1:$I$10000&lt;=ROUND($OR$3,0))*('Margin Guidence Table'!$J$1:$J$10000&gt;=ROUND($OR$3,0)),0),MATCH("DEFAULT_SALES_LBS",'Margin Guidence Table'!$A$1:$AG$1,0))),0))</f>
        <v>0</v>
      </c>
      <c r="PE30" s="784">
        <f t="array" ref="PE30">IF('Customer Inputs'!$W$21="End",0,IFERROR(IF($PB30="SEGMENT",INDEX('Margin Guidence Table'!$A$1:$AG$10000,MATCH(1,('Margin Guidence Table'!$A$1:$A$10000=OZ30)*('Margin Guidence Table'!$I$1:$I$10000&lt;=ROUND($OR$3,0))*('Margin Guidence Table'!$J$1:$J$10000&gt;=ROUND($OR$3,0)),0),MATCH("MDA_MIN_MARGIN_GUIDENCE",'Margin Guidence Table'!$A$1:$AG$1,0)),INDEX('Margin Guidence Table'!$A$1:$AG$10000,MATCH(1,('Margin Guidence Table'!$A$1:$A$10000=OZ30)*('Margin Guidence Table'!$I$1:$I$10000&lt;=ROUND($OR$3,0))*('Margin Guidence Table'!$J$1:$J$10000&gt;=ROUND($OR$3,0)),0),MATCH("DEFAULT_MDA_MIN_MARGIN_GUIDENCE",'Margin Guidence Table'!$A$1:$AG$1,0))),0))</f>
        <v>0</v>
      </c>
      <c r="PF30" s="784">
        <f t="array" ref="PF30">IF('Customer Inputs'!$W$21="End",0,IFERROR(IF($PB30="SEGMENT",INDEX('Margin Guidence Table'!$A$1:$AG$10000,MATCH(1,('Margin Guidence Table'!$A$1:$A$10000=OZ30)*('Margin Guidence Table'!$I$1:$I$10000&lt;=ROUND($OR$3,0))*('Margin Guidence Table'!$J$1:$J$10000&gt;=ROUND($OR$3,0)),0),MATCH("MDA_MEDIAN_MARGIN_GUIDENCE",'Margin Guidence Table'!$A$1:$AG$1,0)),INDEX('Margin Guidence Table'!$A$1:$AG$10000,MATCH(1,('Margin Guidence Table'!$A$1:$A$10000=OZ30)*('Margin Guidence Table'!$I$1:$I$10000&lt;=ROUND($OR$3,0))*('Margin Guidence Table'!$J$1:$J$10000&gt;=ROUND($OR$3,0)),0),MATCH("DEFAULT_MDA_MEDIAN_MARGIN_GUIDENCE",'Margin Guidence Table'!$A$1:$AG$1,0))),0))</f>
        <v>0</v>
      </c>
      <c r="PG30" s="784">
        <f t="array" ref="PG30">IF('Customer Inputs'!$W$21="End",0,IFERROR(IF($PB30="SEGMENT",INDEX('Margin Guidence Table'!$A$1:$AG$10000,MATCH(1,('Margin Guidence Table'!$A$1:$A$10000=OZ30)*('Margin Guidence Table'!$I$1:$I$10000&lt;=ROUND($OR$3,0))*('Margin Guidence Table'!$J$1:$J$10000&gt;=ROUND($OR$3,0)),0),MATCH("MDA_MAX_MARGIN_GUIDENCE",'Margin Guidence Table'!$A$1:$AG$1,0)),INDEX('Margin Guidence Table'!$A$1:$AG$10000,MATCH(1,('Margin Guidence Table'!$A$1:$A$10000=OZ30)*('Margin Guidence Table'!$I$1:$I$10000&lt;=ROUND($OR$3,0))*('Margin Guidence Table'!$J$1:$J$10000&gt;=ROUND($OR$3,0)),0),MATCH("DEFAULT_MDA_MAX_MARGIN_GUIDENCE",'Margin Guidence Table'!$A$1:$AG$1,0))),0))</f>
        <v>0</v>
      </c>
      <c r="PH30" s="784">
        <f t="array" ref="PH30">IF('Customer Inputs'!$W$21="End",0,IFERROR(IF($PB30="SEGMENT",INDEX('Margin Guidence Table'!$A$1:$AG$10000,MATCH(1,('Margin Guidence Table'!$A$1:$A$10000=OZ30)*('Margin Guidence Table'!$I$1:$I$10000&lt;=ROUND($OR$3,0))*('Margin Guidence Table'!$J$1:$J$10000&gt;=ROUND($OR$3,0)),0),MATCH("PA_PCT_SALES",'Margin Guidence Table'!$A$1:$AG$1,0)),INDEX('Margin Guidence Table'!$A$1:$AG$10000,MATCH(1,('Margin Guidence Table'!$A$1:$A$10000=OZ30)*('Margin Guidence Table'!$I$1:$I$10000&lt;=ROUND($OR$3,0))*('Margin Guidence Table'!$J$1:$J$10000&gt;=ROUND($OR$3,0)),0),MATCH("DEFAULT_PA_PCT_SALES",'Margin Guidence Table'!$A$1:$AG$1,0))),0))</f>
        <v>0</v>
      </c>
      <c r="PI30" s="784">
        <f t="array" ref="PI30">IF('Customer Inputs'!$W$21="End",0,IFERROR(IF($PB30="SEGMENT",INDEX('Margin Guidence Table'!$A$1:$AG$10000,MATCH(1,('Margin Guidence Table'!$A$1:$A$10000=OZ30)*('Margin Guidence Table'!$I$1:$I$10000&lt;=ROUND($OR$3,0))*('Margin Guidence Table'!$J$1:$J$10000&gt;=ROUND($OR$3,0)),0),MATCH("SELF_FUND_PCT_SALES",'Margin Guidence Table'!$A$1:$AG$1,0)),INDEX('Margin Guidence Table'!$A$1:$AG$10000,MATCH(1,('Margin Guidence Table'!$A$1:$A$10000=OZ30)*('Margin Guidence Table'!$I$1:$I$10000&lt;=ROUND($OR$3,0))*('Margin Guidence Table'!$J$1:$J$10000&gt;=ROUND($OR$3,0)),0),MATCH("DEFAULT_SELF_FUND_PCT_SALES",'Margin Guidence Table'!$A$1:$AG$1,0))),0))</f>
        <v>0</v>
      </c>
      <c r="PJ30" s="784">
        <f t="array" ref="PJ30">IF('Customer Inputs'!$W$21="End",0,IF($OS$2="Existing",IFERROR(SUMIFS('Existing Customers'!$V:$V,'Existing Customers'!$H:$H,$OQ30,'Existing Customers'!$A:$A,$OR$1)/SUMIFS('Existing Customers'!$Q:$Q,'Existing Customers'!$H:$H,$OQ30,'Existing Customers'!$A:$A,$OR$1),0),IFERROR(IF($PB30="SEGMENT",INDEX('Margin Guidence Table'!$A$1:$AG$10000,MATCH(1,('Margin Guidence Table'!$A$1:$A$10000=OZ30)*('Margin Guidence Table'!$I$1:$I$10000&lt;=ROUND($OR$3,0))*('Margin Guidence Table'!$J$1:$J$10000&gt;=ROUND($OR$3,0)),0),MATCH("CIA_MEDIAN_MARGIN_GUIDENCE",'Margin Guidence Table'!$A$1:$AG$1,0)),INDEX('Margin Guidence Table'!$A$1:$AG$10000,MATCH(1,('Margin Guidence Table'!$A$1:$A$10000=OZ30)*('Margin Guidence Table'!$I$1:$I$10000&lt;=ROUND($OR$3,0))*('Margin Guidence Table'!$J$1:$J$10000&gt;=ROUND($OR$3,0)),0),MATCH("DEFAULT_CIA_MEDIAN_MARGIN_GUIDENCE",'Margin Guidence Table'!$A$1:$AG$1,0))),0)))</f>
        <v>0</v>
      </c>
      <c r="PK30" s="784"/>
      <c r="PL30" s="18">
        <f t="array" ref="PL30">IF('Customer Inputs'!$W$22="End",0,IFERROR(IF($PY30="SEGMENT",INDEX('Margin Guidence Table'!$A$1:$AG$10000,MATCH(1,('Margin Guidence Table'!$A$1:$A$10000=$PW30)*('Margin Guidence Table'!$I$1:$I$10000&lt;=ROUND($PO$3,0))*('Margin Guidence Table'!$J$1:$J$10000&gt;=ROUND($PO$3,0)),0),MATCH("PCT_SALES",'Margin Guidence Table'!$A$1:$AG$1,0)),INDEX('Margin Guidence Table'!$A$1:$AG$10000,MATCH(1,('Margin Guidence Table'!$A$1:$A$10000=$PW30)*('Margin Guidence Table'!$I$1:$I$10000&lt;=ROUND($PO$3,0))*('Margin Guidence Table'!$J$1:$J$10000&gt;=ROUND($PO$3,0)),0),MATCH("DEFAULT_PCT_SALES",'Margin Guidence Table'!$A$1:$AG$1,0))),0))</f>
        <v>0</v>
      </c>
      <c r="PM30" s="1713" t="e">
        <f t="shared" si="64"/>
        <v>#DIV/0!</v>
      </c>
      <c r="PN30" s="99" t="s">
        <v>89</v>
      </c>
      <c r="PO30" s="91">
        <f>IF('Customer Inputs'!$W$22="End",0,IFERROR(IF(AND($PO$2&lt;&gt;"Enter Spend&gt;&gt;&gt;",$PP$2="EXISTING"),SUMIFS('Existing Customers'!$Q:$Q,'Existing Customers'!$A:$A,$PO$1,'Existing Customers'!$H:$H,$PN30)*$PO$4,$PO$3*$PM30),0))</f>
        <v>0</v>
      </c>
      <c r="PP30" s="86">
        <f>IF('Customer Inputs'!$W$22="End",0,IFERROR(IF(AND($PO$2&lt;&gt;"Enter Spend&gt;&gt;&gt;",$PP$2="EXISTING"),SUMIFS('Existing Customers'!$N:$N,'Existing Customers'!$A:$A,$PO$1,'Existing Customers'!$H:$H,$PN30)*$PO$4,$PO30/$PZ30),0))</f>
        <v>0</v>
      </c>
      <c r="PQ30" s="92">
        <f>IF('Customer Inputs'!$W$22="End",0,IFERROR(IF(AND($PO$2&lt;&gt;"Enter Spend&gt;&gt;&gt;",$PP$2="EXISTING"),SUMIFS('Existing Customers'!$O:$O,'Existing Customers'!$H:$H,$PN30,'Existing Customers'!$A:$A,$PO$1)*$PO$4,$PP30*$PO$8),0))</f>
        <v>0</v>
      </c>
      <c r="PR30" s="92">
        <f>IF('Customer Inputs'!$W$22="End",0,IFERROR(IF(AND($PO$2&lt;&gt;"Enter Spend&gt;&gt;&gt;",$PP$2="EXISTING"),SUMIFS('Existing Customers'!$P:$P,'Existing Customers'!$A:$A,$PO$1,'Existing Customers'!$H:$H,$PN30)*$PO$4,$PO30/$QA30),0))</f>
        <v>0</v>
      </c>
      <c r="PS30" s="303">
        <f>IF('Customer Inputs'!$W$22="End",0,IFERROR(IF(AND($PO$2&lt;&gt;"Enter Spend&gt;&gt;&gt;",$PP$2="EXISTING"),SUMIFS('Existing Customers'!$V:$V,'Existing Customers'!$H:$H,$PN30,'Existing Customers'!$A:$A,$PO$1)*$PO$4,0),0))</f>
        <v>0</v>
      </c>
      <c r="PT30" s="93">
        <f>IF('Customer Inputs'!$W$22="End",0,IFERROR(IF(AND($PO$2&lt;&gt;"Enter Spend&gt;&gt;&gt;",$PP$2="EXISTING"),SUMIFS('Existing Customers'!$R:$R,'Existing Customers'!$H:$H,$PN30,'Existing Customers'!$A:$A,$PO$1)*$PO$4,0),0))</f>
        <v>0</v>
      </c>
      <c r="PU30" s="780">
        <f>IF('Customer Inputs'!$W$22="End",0,IFERROR(IF(AND($PO$2&lt;&gt;"Enter Spend&gt;&gt;&gt;",$PP$2="EXISTING"),SUMIFS('Existing Customers'!$S:$S,'Existing Customers'!$H:$H,$PN30,'Existing Customers'!$A:$A,$PO$1)/SUMIFS('Existing Customers'!$Q:$Q,'Existing Customers'!$A:$A,$PO$1,'Existing Customers'!$H:$H,$PN30),QE30),0))</f>
        <v>0</v>
      </c>
      <c r="PV30" s="780">
        <f>IF('Customer Inputs'!$W$22="End",0,IFERROR(IF(AND($PO$2&lt;&gt;"Enter Spend&gt;&gt;&gt;",$PP$2="EXISTING"),SUMIFS('Existing Customers'!$U:$U,'Existing Customers'!$H:$H,$PN30,'Existing Customers'!$A:$A,$PO$1)/SUMIFS('Existing Customers'!$Q:$Q,'Existing Customers'!$A:$A,$PO$1,'Existing Customers'!$H:$H,$PN30),QF30),0))</f>
        <v>0</v>
      </c>
      <c r="PW30" s="783" t="e">
        <f>_xlfn.CONCAT('Customer Inputs'!$AH$22,"_",PN30)</f>
        <v>#N/A</v>
      </c>
      <c r="PX30" s="783">
        <f t="array" ref="PX30">IF('Customer Inputs'!$W$22="End",0,IFERROR(INDEX('Margin Guidence Table'!$A$1:$AG$10000,MATCH(1,('Margin Guidence Table'!$A$1:$A$10000=PW30)*('Margin Guidence Table'!$I$1:$I$10000&lt;=ROUND($PO$3,0))*('Margin Guidence Table'!$J$1:$J$10000&gt;=ROUND($PO$3,0)),0),MATCH("DATA_POINTS",'Margin Guidence Table'!$A$1:$AG$1,0)),0))</f>
        <v>0</v>
      </c>
      <c r="PY30" s="780" t="str">
        <f t="shared" si="65"/>
        <v>DEFAULT</v>
      </c>
      <c r="PZ30" s="780">
        <f t="array" ref="PZ30">IF('Customer Inputs'!$W$22="End",0,IFERROR(IF($PY30="SEGMENT",INDEX('Margin Guidence Table'!$A$1:$AG$10000,MATCH(1,('Margin Guidence Table'!$A$1:$A$10000=PW30)*('Margin Guidence Table'!$I$1:$I$10000&lt;=ROUND($PO$3,0))*('Margin Guidence Table'!$J$1:$J$10000&gt;=ROUND($PO$3,0)),0),MATCH("SALES_CASE",'Margin Guidence Table'!$A$1:$AG$1,0)),INDEX('Margin Guidence Table'!$A$1:$AG$10000,MATCH(1,('Margin Guidence Table'!$A$1:$A$10000=PW30)*('Margin Guidence Table'!$I$1:$I$10000&lt;=ROUND($PO$3,0))*('Margin Guidence Table'!$J$1:$J$10000&gt;=ROUND($PO$3,0)),0),MATCH("DEFAULT_SALES_CASE",'Margin Guidence Table'!$A$1:$AG$1,0))),0))</f>
        <v>0</v>
      </c>
      <c r="QA30" s="780">
        <f t="array" ref="QA30">IF('Customer Inputs'!$W$22="End",0,IFERROR(IF($PY30="SEGMENT",INDEX('Margin Guidence Table'!$A$1:$AG$10000,MATCH(1,('Margin Guidence Table'!$A$1:$A$10000=PW30)*('Margin Guidence Table'!$I$1:$I$10000&lt;=ROUND($PO$3,0))*('Margin Guidence Table'!$J$1:$J$10000&gt;=ROUND($PO$3,0)),0),MATCH("SALES_LBS",'Margin Guidence Table'!$A$1:$AG$1,0)),INDEX('Margin Guidence Table'!$A$1:$AG$10000,MATCH(1,('Margin Guidence Table'!$A$1:$A$10000=PW30)*('Margin Guidence Table'!$I$1:$I$10000&lt;=ROUND($PO$3,0))*('Margin Guidence Table'!$J$1:$J$10000&gt;=ROUND($PO$3,0)),0),MATCH("DEFAULT_SALES_LBS",'Margin Guidence Table'!$A$1:$AG$1,0))),0))</f>
        <v>0</v>
      </c>
      <c r="QB30" s="784">
        <f t="array" ref="QB30">IF('Customer Inputs'!$W$22="End",0,IFERROR(IF($PY30="SEGMENT",INDEX('Margin Guidence Table'!$A$1:$AG$10000,MATCH(1,('Margin Guidence Table'!$A$1:$A$10000=PW30)*('Margin Guidence Table'!$I$1:$I$10000&lt;=ROUND($PO$3,0))*('Margin Guidence Table'!$J$1:$J$10000&gt;=ROUND($PO$3,0)),0),MATCH("MDA_MIN_MARGIN_GUIDENCE",'Margin Guidence Table'!$A$1:$AG$1,0)),INDEX('Margin Guidence Table'!$A$1:$AG$10000,MATCH(1,('Margin Guidence Table'!$A$1:$A$10000=PW30)*('Margin Guidence Table'!$I$1:$I$10000&lt;=ROUND($PO$3,0))*('Margin Guidence Table'!$J$1:$J$10000&gt;=ROUND($PO$3,0)),0),MATCH("DEFAULT_MDA_MIN_MARGIN_GUIDENCE",'Margin Guidence Table'!$A$1:$AG$1,0))),0))</f>
        <v>0</v>
      </c>
      <c r="QC30" s="784">
        <f t="array" ref="QC30">IF('Customer Inputs'!$W$22="End",0,IFERROR(IF($PY30="SEGMENT",INDEX('Margin Guidence Table'!$A$1:$AG$10000,MATCH(1,('Margin Guidence Table'!$A$1:$A$10000=PW30)*('Margin Guidence Table'!$I$1:$I$10000&lt;=ROUND($PO$3,0))*('Margin Guidence Table'!$J$1:$J$10000&gt;=ROUND($PO$3,0)),0),MATCH("MDA_MEDIAN_MARGIN_GUIDENCE",'Margin Guidence Table'!$A$1:$AG$1,0)),INDEX('Margin Guidence Table'!$A$1:$AG$10000,MATCH(1,('Margin Guidence Table'!$A$1:$A$10000=PW30)*('Margin Guidence Table'!$I$1:$I$10000&lt;=ROUND($PO$3,0))*('Margin Guidence Table'!$J$1:$J$10000&gt;=ROUND($PO$3,0)),0),MATCH("DEFAULT_MDA_MEDIAN_MARGIN_GUIDENCE",'Margin Guidence Table'!$A$1:$AG$1,0))),0))</f>
        <v>0</v>
      </c>
      <c r="QD30" s="784">
        <f t="array" ref="QD30">IF('Customer Inputs'!$W$22="End",0,IFERROR(IF($PY30="SEGMENT",INDEX('Margin Guidence Table'!$A$1:$AG$10000,MATCH(1,('Margin Guidence Table'!$A$1:$A$10000=PW30)*('Margin Guidence Table'!$I$1:$I$10000&lt;=ROUND($PO$3,0))*('Margin Guidence Table'!$J$1:$J$10000&gt;=ROUND($PO$3,0)),0),MATCH("MDA_MAX_MARGIN_GUIDENCE",'Margin Guidence Table'!$A$1:$AG$1,0)),INDEX('Margin Guidence Table'!$A$1:$AG$10000,MATCH(1,('Margin Guidence Table'!$A$1:$A$10000=PW30)*('Margin Guidence Table'!$I$1:$I$10000&lt;=ROUND($PO$3,0))*('Margin Guidence Table'!$J$1:$J$10000&gt;=ROUND($PO$3,0)),0),MATCH("DEFAULT_MDA_MAX_MARGIN_GUIDENCE",'Margin Guidence Table'!$A$1:$AG$1,0))),0))</f>
        <v>0</v>
      </c>
      <c r="QE30" s="784">
        <f t="array" ref="QE30">IF('Customer Inputs'!$W$22="End",0,IFERROR(IF($PY30="SEGMENT",INDEX('Margin Guidence Table'!$A$1:$AG$10000,MATCH(1,('Margin Guidence Table'!$A$1:$A$10000=PW30)*('Margin Guidence Table'!$I$1:$I$10000&lt;=ROUND($PO$3,0))*('Margin Guidence Table'!$J$1:$J$10000&gt;=ROUND($PO$3,0)),0),MATCH("PA_PCT_SALES",'Margin Guidence Table'!$A$1:$AG$1,0)),INDEX('Margin Guidence Table'!$A$1:$AG$10000,MATCH(1,('Margin Guidence Table'!$A$1:$A$10000=PW30)*('Margin Guidence Table'!$I$1:$I$10000&lt;=ROUND($PO$3,0))*('Margin Guidence Table'!$J$1:$J$10000&gt;=ROUND($PO$3,0)),0),MATCH("DEFAULT_PA_PCT_SALES",'Margin Guidence Table'!$A$1:$AG$1,0))),0))</f>
        <v>0</v>
      </c>
      <c r="QF30" s="784">
        <f t="array" ref="QF30">IF('Customer Inputs'!$W$22="End",0,IFERROR(IF($PY30="SEGMENT",INDEX('Margin Guidence Table'!$A$1:$AG$10000,MATCH(1,('Margin Guidence Table'!$A$1:$A$10000=PW30)*('Margin Guidence Table'!$I$1:$I$10000&lt;=ROUND($PO$3,0))*('Margin Guidence Table'!$J$1:$J$10000&gt;=ROUND($PO$3,0)),0),MATCH("SELF_FUND_PCT_SALES",'Margin Guidence Table'!$A$1:$AG$1,0)),INDEX('Margin Guidence Table'!$A$1:$AG$10000,MATCH(1,('Margin Guidence Table'!$A$1:$A$10000=PW30)*('Margin Guidence Table'!$I$1:$I$10000&lt;=ROUND($PO$3,0))*('Margin Guidence Table'!$J$1:$J$10000&gt;=ROUND($PO$3,0)),0),MATCH("DEFAULT_SELF_FUND_PCT_SALES",'Margin Guidence Table'!$A$1:$AG$1,0))),0))</f>
        <v>0</v>
      </c>
      <c r="QG30" s="784">
        <f t="array" ref="QG30">IF('Customer Inputs'!$W$22="End",0,IF($PP$2="Existing",IFERROR(SUMIFS('Existing Customers'!$V:$V,'Existing Customers'!$H:$H,$PN30,'Existing Customers'!$A:$A,$PO$1)/SUMIFS('Existing Customers'!$Q:$Q,'Existing Customers'!$H:$H,$PN30,'Existing Customers'!$A:$A,$PO$1),0),IFERROR(IF($PY30="SEGMENT",INDEX('Margin Guidence Table'!$A$1:$AG$10000,MATCH(1,('Margin Guidence Table'!$A$1:$A$10000=PW30)*('Margin Guidence Table'!$I$1:$I$10000&lt;=ROUND($PO$3,0))*('Margin Guidence Table'!$J$1:$J$10000&gt;=ROUND($PO$3,0)),0),MATCH("CIA_MEDIAN_MARGIN_GUIDENCE",'Margin Guidence Table'!$A$1:$AG$1,0)),INDEX('Margin Guidence Table'!$A$1:$AG$10000,MATCH(1,('Margin Guidence Table'!$A$1:$A$10000=PW30)*('Margin Guidence Table'!$I$1:$I$10000&lt;=ROUND($PO$3,0))*('Margin Guidence Table'!$J$1:$J$10000&gt;=ROUND($PO$3,0)),0),MATCH("DEFAULT_CIA_MEDIAN_MARGIN_GUIDENCE",'Margin Guidence Table'!$A$1:$AG$1,0))),0)))</f>
        <v>0</v>
      </c>
      <c r="QH30" s="784"/>
      <c r="QI30" s="18">
        <f t="array" ref="QI30">IF('Customer Inputs'!$W$23="End",0,IFERROR(IF($QV30="SEGMENT",INDEX('Margin Guidence Table'!$A$1:$AG$10000,MATCH(1,('Margin Guidence Table'!$A$1:$A$10000=$QT30)*('Margin Guidence Table'!$I$1:$I$10000&lt;=ROUND($QL$3,0))*('Margin Guidence Table'!$J$1:$J$10000&gt;=ROUND($QL$3,0)),0),MATCH("PCT_SALES",'Margin Guidence Table'!$A$1:$AG$1,0)),INDEX('Margin Guidence Table'!$A$1:$AG$10000,MATCH(1,('Margin Guidence Table'!$A$1:$A$10000=$QT30)*('Margin Guidence Table'!$I$1:$I$10000&lt;=ROUND($QL$3,0))*('Margin Guidence Table'!$J$1:$J$10000&gt;=ROUND($QL$3,0)),0),MATCH("DEFAULT_PCT_SALES",'Margin Guidence Table'!$A$1:$AG$1,0))),0))</f>
        <v>0</v>
      </c>
      <c r="QJ30" s="1713" t="e">
        <f t="shared" si="66"/>
        <v>#DIV/0!</v>
      </c>
      <c r="QK30" s="99" t="s">
        <v>89</v>
      </c>
      <c r="QL30" s="91">
        <f>IF('Customer Inputs'!$W$23="End",0,IFERROR(IF(AND($QL$2&lt;&gt;"Enter Spend&gt;&gt;&gt;",$QM$2="EXISTING"),SUMIFS('Existing Customers'!$Q:$Q,'Existing Customers'!$A:$A,$QL$1,'Existing Customers'!$H:$H,$QK30)*$QL$4,$QL$3*$QJ30),0))</f>
        <v>0</v>
      </c>
      <c r="QM30" s="86">
        <f>IF('Customer Inputs'!$W$23="End",0,IFERROR(IF(AND($QL$2&lt;&gt;"Enter Spend&gt;&gt;&gt;",$QM$2="EXISTING"),SUMIFS('Existing Customers'!$N:$N,'Existing Customers'!$A:$A,$QL$1,'Existing Customers'!$H:$H,$QK30)*$QL$4,$QL30/$QW30),0))</f>
        <v>0</v>
      </c>
      <c r="QN30" s="92">
        <f>IF('Customer Inputs'!$W$23="End",0,IFERROR(IF(AND($QL$2&lt;&gt;"Enter Spend&gt;&gt;&gt;",$QM$2="EXISTING"),SUMIFS('Existing Customers'!$O:$O,'Existing Customers'!$H:$H,$QK30,'Existing Customers'!$A:$A,$QL$1)*$QL$4,$QM30*$QL$8),0))</f>
        <v>0</v>
      </c>
      <c r="QO30" s="92">
        <f>IF('Customer Inputs'!$W$23="End",0,IFERROR(IF(AND($QL$2&lt;&gt;"Enter Spend&gt;&gt;&gt;",$QM$2="EXISTING"),SUMIFS('Existing Customers'!$P:$P,'Existing Customers'!$A:$A,$QL$1,'Existing Customers'!$H:$H,$QK30)*$QL$4,$QL30/$QX30),0))</f>
        <v>0</v>
      </c>
      <c r="QP30" s="303">
        <f>IF('Customer Inputs'!$W$23="End",0,IFERROR(IF(AND($QL$2&lt;&gt;"Enter Spend&gt;&gt;&gt;",$QM$2="EXISTING"),SUMIFS('Existing Customers'!$V:$V,'Existing Customers'!$H:$H,$QK30,'Existing Customers'!$A:$A,$QL$1)*$QL$4,0),0))</f>
        <v>0</v>
      </c>
      <c r="QQ30" s="93">
        <f>IF('Customer Inputs'!$W$23="End",0,IFERROR(IF(AND($QL$2&lt;&gt;"Enter Spend&gt;&gt;&gt;",$QM$2="EXISTING"),SUMIFS('Existing Customers'!$R:$R,'Existing Customers'!$H:$H,$QK30,'Existing Customers'!$A:$A,$QL$1)*$QL$4,0),0))</f>
        <v>0</v>
      </c>
      <c r="QR30" s="780">
        <f>IF('Customer Inputs'!$W$23="End",0,IFERROR(IF(AND($QL$2&lt;&gt;"Enter Spend&gt;&gt;&gt;",$QM$2="EXISTING"),SUMIFS('Existing Customers'!$S:$S,'Existing Customers'!$H:$H,$QK30,'Existing Customers'!$A:$A,$QL$1)/SUMIFS('Existing Customers'!$Q:$Q,'Existing Customers'!$A:$A,$QL$1,'Existing Customers'!$H:$H,$QK30),RB30),0))</f>
        <v>0</v>
      </c>
      <c r="QS30" s="780">
        <f>IF('Customer Inputs'!$W$23="End",0,IFERROR(IF(AND($QL$2&lt;&gt;"Enter Spend&gt;&gt;&gt;",$QM$2="EXISTING"),SUMIFS('Existing Customers'!$U:$U,'Existing Customers'!$H:$H,$QK30,'Existing Customers'!$A:$A,$QL$1)/SUMIFS('Existing Customers'!$Q:$Q,'Existing Customers'!$A:$A,$QL$1,'Existing Customers'!$H:$H,$QK30),RC30),0))</f>
        <v>0</v>
      </c>
      <c r="QT30" s="783" t="e">
        <f>_xlfn.CONCAT('Customer Inputs'!$AH$23,"_",QK30)</f>
        <v>#N/A</v>
      </c>
      <c r="QU30" s="783">
        <f t="array" ref="QU30">IF('Customer Inputs'!$W$23="End",0,IFERROR(INDEX('Margin Guidence Table'!$A$1:$AG$10000,MATCH(1,('Margin Guidence Table'!$A$1:$A$10000=QT30)*('Margin Guidence Table'!$I$1:$I$10000&lt;=ROUND($QL$3,0))*('Margin Guidence Table'!$J$1:$J$10000&gt;=ROUND($QL$3,0)),0),MATCH("DATA_POINTS",'Margin Guidence Table'!$A$1:$AG$1,0)),0))</f>
        <v>0</v>
      </c>
      <c r="QV30" s="780" t="str">
        <f t="shared" si="67"/>
        <v>DEFAULT</v>
      </c>
      <c r="QW30" s="780">
        <f t="array" ref="QW30">IF('Customer Inputs'!$W$23="End",0,IFERROR(IF($QV30="SEGMENT",INDEX('Margin Guidence Table'!$A$1:$AG$10000,MATCH(1,('Margin Guidence Table'!$A$1:$A$10000=QT30)*('Margin Guidence Table'!$I$1:$I$10000&lt;=ROUND($QL$3,0))*('Margin Guidence Table'!$J$1:$J$10000&gt;=ROUND($QL$3,0)),0),MATCH("SALES_CASE",'Margin Guidence Table'!$A$1:$AG$1,0)),INDEX('Margin Guidence Table'!$A$1:$AG$10000,MATCH(1,('Margin Guidence Table'!$A$1:$A$10000=QT30)*('Margin Guidence Table'!$I$1:$I$10000&lt;=ROUND($QL$3,0))*('Margin Guidence Table'!$J$1:$J$10000&gt;=ROUND($QL$3,0)),0),MATCH("DEFAULT_SALES_CASE",'Margin Guidence Table'!$A$1:$AG$1,0))),0))</f>
        <v>0</v>
      </c>
      <c r="QX30" s="780">
        <f t="array" ref="QX30">IF('Customer Inputs'!$W$23="End",0,IFERROR(IF($QV30="SEGMENT",INDEX('Margin Guidence Table'!$A$1:$AG$10000,MATCH(1,('Margin Guidence Table'!$A$1:$A$10000=QT30)*('Margin Guidence Table'!$I$1:$I$10000&lt;=ROUND($QL$3,0))*('Margin Guidence Table'!$J$1:$J$10000&gt;=ROUND($QL$3,0)),0),MATCH("SALES_LBS",'Margin Guidence Table'!$A$1:$AG$1,0)),INDEX('Margin Guidence Table'!$A$1:$AG$10000,MATCH(1,('Margin Guidence Table'!$A$1:$A$10000=QT30)*('Margin Guidence Table'!$I$1:$I$10000&lt;=ROUND($QL$3,0))*('Margin Guidence Table'!$J$1:$J$10000&gt;=ROUND($QL$3,0)),0),MATCH("DEFAULT_SALES_LBS",'Margin Guidence Table'!$A$1:$AG$1,0))),0))</f>
        <v>0</v>
      </c>
      <c r="QY30" s="784">
        <f t="array" ref="QY30">IF('Customer Inputs'!$W$23="End",0,IFERROR(IF($QV30="SEGMENT",INDEX('Margin Guidence Table'!$A$1:$AG$10000,MATCH(1,('Margin Guidence Table'!$A$1:$A$10000=QT30)*('Margin Guidence Table'!$I$1:$I$10000&lt;=ROUND($QL$3,0))*('Margin Guidence Table'!$J$1:$J$10000&gt;=ROUND($QL$3,0)),0),MATCH("MDA_MIN_MARGIN_GUIDENCE",'Margin Guidence Table'!$A$1:$AG$1,0)),INDEX('Margin Guidence Table'!$A$1:$AG$10000,MATCH(1,('Margin Guidence Table'!$A$1:$A$10000=QT30)*('Margin Guidence Table'!$I$1:$I$10000&lt;=ROUND($QL$3,0))*('Margin Guidence Table'!$J$1:$J$10000&gt;=ROUND($QL$3,0)),0),MATCH("DEFAULT_MDA_MIN_MARGIN_GUIDENCE",'Margin Guidence Table'!$A$1:$AG$1,0))),0))</f>
        <v>0</v>
      </c>
      <c r="QZ30" s="784">
        <f t="array" ref="QZ30">IF('Customer Inputs'!$W$23="End",0,IFERROR(IF($QV30="SEGMENT",INDEX('Margin Guidence Table'!$A$1:$AG$10000,MATCH(1,('Margin Guidence Table'!$A$1:$A$10000=QT30)*('Margin Guidence Table'!$I$1:$I$10000&lt;=ROUND($QL$3,0))*('Margin Guidence Table'!$J$1:$J$10000&gt;=ROUND($QL$3,0)),0),MATCH("MDA_MEDIAN_MARGIN_GUIDENCE",'Margin Guidence Table'!$A$1:$AG$1,0)),INDEX('Margin Guidence Table'!$A$1:$AG$10000,MATCH(1,('Margin Guidence Table'!$A$1:$A$10000=QT30)*('Margin Guidence Table'!$I$1:$I$10000&lt;=ROUND($QL$3,0))*('Margin Guidence Table'!$J$1:$J$10000&gt;=ROUND($QL$3,0)),0),MATCH("DEFAULT_MDA_MEDIAN_MARGIN_GUIDENCE",'Margin Guidence Table'!$A$1:$AG$1,0))),0))</f>
        <v>0</v>
      </c>
      <c r="RA30" s="784">
        <f t="array" ref="RA30">IF('Customer Inputs'!$W$23="End",0,IFERROR(IF($QV30="SEGMENT",INDEX('Margin Guidence Table'!$A$1:$AG$10000,MATCH(1,('Margin Guidence Table'!$A$1:$A$10000=QT30)*('Margin Guidence Table'!$I$1:$I$10000&lt;=ROUND($QL$3,0))*('Margin Guidence Table'!$J$1:$J$10000&gt;=ROUND($QL$3,0)),0),MATCH("MDA_MAX_MARGIN_GUIDENCE",'Margin Guidence Table'!$A$1:$AG$1,0)),INDEX('Margin Guidence Table'!$A$1:$AG$10000,MATCH(1,('Margin Guidence Table'!$A$1:$A$10000=QT30)*('Margin Guidence Table'!$I$1:$I$10000&lt;=ROUND($QL$3,0))*('Margin Guidence Table'!$J$1:$J$10000&gt;=ROUND($QL$3,0)),0),MATCH("DEFAULT_MDA_MAX_MARGIN_GUIDENCE",'Margin Guidence Table'!$A$1:$AG$1,0))),0))</f>
        <v>0</v>
      </c>
      <c r="RB30" s="784">
        <f t="array" ref="RB30">IF('Customer Inputs'!$W$23="End",0,IFERROR(IF($QV30="SEGMENT",INDEX('Margin Guidence Table'!$A$1:$AG$10000,MATCH(1,('Margin Guidence Table'!$A$1:$A$10000=QT30)*('Margin Guidence Table'!$I$1:$I$10000&lt;=ROUND($QL$3,0))*('Margin Guidence Table'!$J$1:$J$10000&gt;=ROUND($QL$3,0)),0),MATCH("PA_PCT_SALES",'Margin Guidence Table'!$A$1:$AG$1,0)),INDEX('Margin Guidence Table'!$A$1:$AG$10000,MATCH(1,('Margin Guidence Table'!$A$1:$A$10000=QT30)*('Margin Guidence Table'!$I$1:$I$10000&lt;=ROUND($QL$3,0))*('Margin Guidence Table'!$J$1:$J$10000&gt;=ROUND($QL$3,0)),0),MATCH("DEFAULT_PA_PCT_SALES",'Margin Guidence Table'!$A$1:$AG$1,0))),0))</f>
        <v>0</v>
      </c>
      <c r="RC30" s="784">
        <f t="array" ref="RC30">IF('Customer Inputs'!$W$23="End",0,IFERROR(IF($QV30="SEGMENT",INDEX('Margin Guidence Table'!$A$1:$AG$10000,MATCH(1,('Margin Guidence Table'!$A$1:$A$10000=QT30)*('Margin Guidence Table'!$I$1:$I$10000&lt;=ROUND($QL$3,0))*('Margin Guidence Table'!$J$1:$J$10000&gt;=ROUND($QL$3,0)),0),MATCH("SELF_FUND_PCT_SALES",'Margin Guidence Table'!$A$1:$AG$1,0)),INDEX('Margin Guidence Table'!$A$1:$AG$10000,MATCH(1,('Margin Guidence Table'!$A$1:$A$10000=QT30)*('Margin Guidence Table'!$I$1:$I$10000&lt;=ROUND($QL$3,0))*('Margin Guidence Table'!$J$1:$J$10000&gt;=ROUND($QL$3,0)),0),MATCH("DEFAULT_SELF_FUND_PCT_SALES",'Margin Guidence Table'!$A$1:$AG$1,0))),0))</f>
        <v>0</v>
      </c>
      <c r="RD30" s="784">
        <f t="array" ref="RD30">IF('Customer Inputs'!$W$23="End",0,IF($QM$2="Existing",IFERROR(SUMIFS('Existing Customers'!$V:$V,'Existing Customers'!$H:$H,$QK30,'Existing Customers'!$A:$A,$QL$1)/SUMIFS('Existing Customers'!$Q:$Q,'Existing Customers'!$H:$H,$QK30,'Existing Customers'!$A:$A,$QL$1),0),IFERROR(IF($QV30="SEGMENT",INDEX('Margin Guidence Table'!$A$1:$AG$10000,MATCH(1,('Margin Guidence Table'!$A$1:$A$10000=QT30)*('Margin Guidence Table'!$I$1:$I$10000&lt;=ROUND($QL$3,0))*('Margin Guidence Table'!$J$1:$J$10000&gt;=ROUND($QL$3,0)),0),MATCH("CIA_MEDIAN_MARGIN_GUIDENCE",'Margin Guidence Table'!$A$1:$AG$1,0)),INDEX('Margin Guidence Table'!$A$1:$AG$10000,MATCH(1,('Margin Guidence Table'!$A$1:$A$10000=QT30)*('Margin Guidence Table'!$I$1:$I$10000&lt;=ROUND($QL$3,0))*('Margin Guidence Table'!$J$1:$J$10000&gt;=ROUND($QL$3,0)),0),MATCH("DEFAULT_CIA_MEDIAN_MARGIN_GUIDENCE",'Margin Guidence Table'!$A$1:$AG$1,0))),0)))</f>
        <v>0</v>
      </c>
      <c r="RE30" s="784"/>
      <c r="RF30" s="18">
        <f t="array" ref="RF30">IF('Customer Inputs'!$W$24="End",0,IFERROR(IF($RS30="SEGMENT",INDEX('Margin Guidence Table'!$A$1:$AG$10000,MATCH(1,('Margin Guidence Table'!$A$1:$A$10000=$RQ30)*('Margin Guidence Table'!$I$1:$I$10000&lt;=ROUND($RI$3,0))*('Margin Guidence Table'!$J$1:$J$10000&gt;=ROUND($RI$3,0)),0),MATCH("PCT_SALES",'Margin Guidence Table'!$A$1:$AG$1,0)),INDEX('Margin Guidence Table'!$A$1:$AG$10000,MATCH(1,('Margin Guidence Table'!$A$1:$A$10000=$RQ30)*('Margin Guidence Table'!$I$1:$I$10000&lt;=ROUND($RI$3,0))*('Margin Guidence Table'!$J$1:$J$10000&gt;=ROUND($RI$3,0)),0),MATCH("DEFAULT_PCT_SALES",'Margin Guidence Table'!$A$1:$AG$1,0))),0))</f>
        <v>0</v>
      </c>
      <c r="RG30" s="1713" t="e">
        <f t="shared" si="68"/>
        <v>#DIV/0!</v>
      </c>
      <c r="RH30" s="99" t="s">
        <v>89</v>
      </c>
      <c r="RI30" s="91">
        <f>IF('Customer Inputs'!$W$24="End",0,IFERROR(IF(AND($RI$2&lt;&gt;"Enter Spend&gt;&gt;&gt;",$RJ$2="EXISTING"),SUMIFS('Existing Customers'!$Q:$Q,'Existing Customers'!$A:$A,$RI$1,'Existing Customers'!$H:$H,$RH30)*$RI$4,$RI$3*$RG30),0))</f>
        <v>0</v>
      </c>
      <c r="RJ30" s="86">
        <f>IF('Customer Inputs'!$W$24="End",0,IFERROR(IF(AND($RI$2&lt;&gt;"Enter Spend&gt;&gt;&gt;",$RJ$2="EXISTING"),SUMIFS('Existing Customers'!$N:$N,'Existing Customers'!$A:$A,$RI$1,'Existing Customers'!$H:$H,$RH30)*$RI$4,$RI30/$RT30),0))</f>
        <v>0</v>
      </c>
      <c r="RK30" s="92">
        <f>IF('Customer Inputs'!$W$24="End",0,IFERROR(IF(AND($RI$2&lt;&gt;"Enter Spend&gt;&gt;&gt;",$RJ$2="EXISTING"),SUMIFS('Existing Customers'!$O:$O,'Existing Customers'!$H:$H,$RH30,'Existing Customers'!$A:$A,$RI$1)*$RI$4,$RJ30*$RI$8),0))</f>
        <v>0</v>
      </c>
      <c r="RL30" s="92">
        <f>IF('Customer Inputs'!$W$24="End",0,IFERROR(IF(AND($RI$2&lt;&gt;"Enter Spend&gt;&gt;&gt;",$RJ$2="EXISTING"),SUMIFS('Existing Customers'!$P:$P,'Existing Customers'!$A:$A,$RI$1,'Existing Customers'!$H:$H,$RH30)*$RI$4,$RI30/$RU30),0))</f>
        <v>0</v>
      </c>
      <c r="RM30" s="303">
        <f>IF('Customer Inputs'!$W$24="End",0,IFERROR(IF(AND($RI$2&lt;&gt;"Enter Spend&gt;&gt;&gt;",$RJ$2="EXISTING"),SUMIFS('Existing Customers'!$V:$V,'Existing Customers'!$H:$H,$RH30,'Existing Customers'!$A:$A,$RI$1)*$RI$4,0),0))</f>
        <v>0</v>
      </c>
      <c r="RN30" s="93">
        <f>IF('Customer Inputs'!$W$24="End",0,IFERROR(IF(AND($RI$2&lt;&gt;"Enter Spend&gt;&gt;&gt;",$RJ$2="EXISTING"),SUMIFS('Existing Customers'!$R:$R,'Existing Customers'!$H:$H,$RH30,'Existing Customers'!$A:$A,$RI$1)*$RI$4,0),0))</f>
        <v>0</v>
      </c>
      <c r="RO30" s="780">
        <f>IF('Customer Inputs'!$W$24="End",0,IFERROR(IF(AND($RI$2&lt;&gt;"Enter Spend&gt;&gt;&gt;",$RJ$2="EXISTING"),SUMIFS('Existing Customers'!$S:$S,'Existing Customers'!$H:$H,$RH30,'Existing Customers'!$A:$A,$RI$1)/SUMIFS('Existing Customers'!$Q:$Q,'Existing Customers'!$A:$A,$RI$1,'Existing Customers'!$H:$H,$RH30),RY30),0))</f>
        <v>0</v>
      </c>
      <c r="RP30" s="780">
        <f>IF('Customer Inputs'!$W$24="End",0,IFERROR(IF(AND($RI$2&lt;&gt;"Enter Spend&gt;&gt;&gt;",$RJ$2="EXISTING"),SUMIFS('Existing Customers'!$U:$U,'Existing Customers'!$H:$H,$RH30,'Existing Customers'!$A:$A,$RI$1)/SUMIFS('Existing Customers'!$Q:$Q,'Existing Customers'!$A:$A,$RI$1,'Existing Customers'!$H:$H,$RH30),RZ30),0))</f>
        <v>0</v>
      </c>
      <c r="RQ30" s="783" t="e">
        <f>_xlfn.CONCAT('Customer Inputs'!$AH$24,"_",RH30)</f>
        <v>#N/A</v>
      </c>
      <c r="RR30" s="783">
        <f t="array" ref="RR30">IF('Customer Inputs'!$W$24="End",0,IFERROR(INDEX('Margin Guidence Table'!$A$1:$AG$10000,MATCH(1,('Margin Guidence Table'!$A$1:$A$10000=RQ30)*('Margin Guidence Table'!$I$1:$I$10000&lt;=ROUND($RI$3,0))*('Margin Guidence Table'!$J$1:$J$10000&gt;=ROUND($RI$3,0)),0),MATCH("DATA_POINTS",'Margin Guidence Table'!$A$1:$AG$1,0)),0))</f>
        <v>0</v>
      </c>
      <c r="RS30" s="780" t="str">
        <f t="shared" si="69"/>
        <v>DEFAULT</v>
      </c>
      <c r="RT30" s="780">
        <f t="array" ref="RT30">IF('Customer Inputs'!$W$24="End",0,IFERROR(IF($RS30="SEGMENT",INDEX('Margin Guidence Table'!$A$1:$AG$10000,MATCH(1,('Margin Guidence Table'!$A$1:$A$10000=RQ30)*('Margin Guidence Table'!$I$1:$I$10000&lt;=ROUND($RI$3,0))*('Margin Guidence Table'!$J$1:$J$10000&gt;=ROUND($RI$3,0)),0),MATCH("SALES_CASE",'Margin Guidence Table'!$A$1:$AG$1,0)),INDEX('Margin Guidence Table'!$A$1:$AG$10000,MATCH(1,('Margin Guidence Table'!$A$1:$A$10000=RQ30)*('Margin Guidence Table'!$I$1:$I$10000&lt;=ROUND($RI$3,0))*('Margin Guidence Table'!$J$1:$J$10000&gt;=ROUND($RI$3,0)),0),MATCH("DEFAULT_SALES_CASE",'Margin Guidence Table'!$A$1:$AG$1,0))),0))</f>
        <v>0</v>
      </c>
      <c r="RU30" s="780">
        <f t="array" ref="RU30">IF('Customer Inputs'!$W$24="End",0,IFERROR(IF($RS30="SEGMENT",INDEX('Margin Guidence Table'!$A$1:$AG$10000,MATCH(1,('Margin Guidence Table'!$A$1:$A$10000=RQ30)*('Margin Guidence Table'!$I$1:$I$10000&lt;=ROUND($RI$3,0))*('Margin Guidence Table'!$J$1:$J$10000&gt;=ROUND($RI$3,0)),0),MATCH("SALES_LBS",'Margin Guidence Table'!$A$1:$AG$1,0)),INDEX('Margin Guidence Table'!$A$1:$AG$10000,MATCH(1,('Margin Guidence Table'!$A$1:$A$10000=RQ30)*('Margin Guidence Table'!$I$1:$I$10000&lt;=ROUND($RI$3,0))*('Margin Guidence Table'!$J$1:$J$10000&gt;=ROUND($RI$3,0)),0),MATCH("DEFAULT_SALES_LBS",'Margin Guidence Table'!$A$1:$AG$1,0))),0))</f>
        <v>0</v>
      </c>
      <c r="RV30" s="784">
        <f t="array" ref="RV30">IF('Customer Inputs'!$W$24="End",0,IFERROR(IF($RS30="SEGMENT",INDEX('Margin Guidence Table'!$A$1:$AG$10000,MATCH(1,('Margin Guidence Table'!$A$1:$A$10000=RQ30)*('Margin Guidence Table'!$I$1:$I$10000&lt;=ROUND($RI$3,0))*('Margin Guidence Table'!$J$1:$J$10000&gt;=ROUND($RI$3,0)),0),MATCH("MDA_MIN_MARGIN_GUIDENCE",'Margin Guidence Table'!$A$1:$AG$1,0)),INDEX('Margin Guidence Table'!$A$1:$AG$10000,MATCH(1,('Margin Guidence Table'!$A$1:$A$10000=RQ30)*('Margin Guidence Table'!$I$1:$I$10000&lt;=ROUND($RI$3,0))*('Margin Guidence Table'!$J$1:$J$10000&gt;=ROUND($RI$3,0)),0),MATCH("DEFAULT_MDA_MIN_MARGIN_GUIDENCE",'Margin Guidence Table'!$A$1:$AG$1,0))),0))</f>
        <v>0</v>
      </c>
      <c r="RW30" s="784">
        <f t="array" ref="RW30">IF('Customer Inputs'!$W$24="End",0,IFERROR(IF($RS30="SEGMENT",INDEX('Margin Guidence Table'!$A$1:$AG$10000,MATCH(1,('Margin Guidence Table'!$A$1:$A$10000=RQ30)*('Margin Guidence Table'!$I$1:$I$10000&lt;=ROUND($RI$3,0))*('Margin Guidence Table'!$J$1:$J$10000&gt;=ROUND($RI$3,0)),0),MATCH("MDA_MEDIAN_MARGIN_GUIDENCE",'Margin Guidence Table'!$A$1:$AG$1,0)),INDEX('Margin Guidence Table'!$A$1:$AG$10000,MATCH(1,('Margin Guidence Table'!$A$1:$A$10000=RQ30)*('Margin Guidence Table'!$I$1:$I$10000&lt;=ROUND($RI$3,0))*('Margin Guidence Table'!$J$1:$J$10000&gt;=ROUND($RI$3,0)),0),MATCH("DEFAULT_MDA_MEDIAN_MARGIN_GUIDENCE",'Margin Guidence Table'!$A$1:$AG$1,0))),0))</f>
        <v>0</v>
      </c>
      <c r="RX30" s="784">
        <f t="array" ref="RX30">IF('Customer Inputs'!$W$24="End",0,IFERROR(IF($RS30="SEGMENT",INDEX('Margin Guidence Table'!$A$1:$AG$10000,MATCH(1,('Margin Guidence Table'!$A$1:$A$10000=RQ30)*('Margin Guidence Table'!$I$1:$I$10000&lt;=ROUND($RI$3,0))*('Margin Guidence Table'!$J$1:$J$10000&gt;=ROUND($RI$3,0)),0),MATCH("MDA_MAX_MARGIN_GUIDENCE",'Margin Guidence Table'!$A$1:$AG$1,0)),INDEX('Margin Guidence Table'!$A$1:$AG$10000,MATCH(1,('Margin Guidence Table'!$A$1:$A$10000=RQ30)*('Margin Guidence Table'!$I$1:$I$10000&lt;=ROUND($RI$3,0))*('Margin Guidence Table'!$J$1:$J$10000&gt;=ROUND($RI$3,0)),0),MATCH("DEFAULT_MDA_MAX_MARGIN_GUIDENCE",'Margin Guidence Table'!$A$1:$AG$1,0))),0))</f>
        <v>0</v>
      </c>
      <c r="RY30" s="784">
        <f t="array" ref="RY30">IF('Customer Inputs'!$W$24="End",0,IFERROR(IF($RS30="SEGMENT",INDEX('Margin Guidence Table'!$A$1:$AG$10000,MATCH(1,('Margin Guidence Table'!$A$1:$A$10000=RQ30)*('Margin Guidence Table'!$I$1:$I$10000&lt;=ROUND($RI$3,0))*('Margin Guidence Table'!$J$1:$J$10000&gt;=ROUND($RI$3,0)),0),MATCH("PA_PCT_SALES",'Margin Guidence Table'!$A$1:$AG$1,0)),INDEX('Margin Guidence Table'!$A$1:$AG$10000,MATCH(1,('Margin Guidence Table'!$A$1:$A$10000=RQ30)*('Margin Guidence Table'!$I$1:$I$10000&lt;=ROUND($RI$3,0))*('Margin Guidence Table'!$J$1:$J$10000&gt;=ROUND($RI$3,0)),0),MATCH("DEFAULT_PA_PCT_SALES",'Margin Guidence Table'!$A$1:$AG$1,0))),0))</f>
        <v>0</v>
      </c>
      <c r="RZ30" s="784">
        <f t="array" ref="RZ30">IF('Customer Inputs'!$W$24="End",0,IFERROR(IF($RS30="SEGMENT",INDEX('Margin Guidence Table'!$A$1:$AG$10000,MATCH(1,('Margin Guidence Table'!$A$1:$A$10000=RQ30)*('Margin Guidence Table'!$I$1:$I$10000&lt;=ROUND($RI$3,0))*('Margin Guidence Table'!$J$1:$J$10000&gt;=ROUND($RI$3,0)),0),MATCH("SELF_FUND_PCT_SALES",'Margin Guidence Table'!$A$1:$AG$1,0)),INDEX('Margin Guidence Table'!$A$1:$AG$10000,MATCH(1,('Margin Guidence Table'!$A$1:$A$10000=RQ30)*('Margin Guidence Table'!$I$1:$I$10000&lt;=ROUND($RI$3,0))*('Margin Guidence Table'!$J$1:$J$10000&gt;=ROUND($RI$3,0)),0),MATCH("DEFAULT_SELF_FUND_PCT_SALES",'Margin Guidence Table'!$A$1:$AG$1,0))),0))</f>
        <v>0</v>
      </c>
      <c r="SA30" s="784">
        <f t="array" ref="SA30">IF('Customer Inputs'!$W$24="End",0,IF($RJ$2="Existing",IFERROR(SUMIFS('Existing Customers'!$V:$V,'Existing Customers'!$H:$H,$RH30,'Existing Customers'!$A:$A,$RI$1)/SUMIFS('Existing Customers'!$Q:$Q,'Existing Customers'!$H:$H,$RH30,'Existing Customers'!$A:$A,$RI$1),0),IFERROR(IF($RS30="SEGMENT",INDEX('Margin Guidence Table'!$A$1:$AG$10000,MATCH(1,('Margin Guidence Table'!$A$1:$A$10000=RQ30)*('Margin Guidence Table'!$I$1:$I$10000&lt;=ROUND($RI$3,0))*('Margin Guidence Table'!$J$1:$J$10000&gt;=ROUND($RI$3,0)),0),MATCH("CIA_MEDIAN_MARGIN_GUIDENCE",'Margin Guidence Table'!$A$1:$AG$1,0)),INDEX('Margin Guidence Table'!$A$1:$AG$10000,MATCH(1,('Margin Guidence Table'!$A$1:$A$10000=RQ30)*('Margin Guidence Table'!$I$1:$I$10000&lt;=ROUND($RI$3,0))*('Margin Guidence Table'!$J$1:$J$10000&gt;=ROUND($RI$3,0)),0),MATCH("DEFAULT_CIA_MEDIAN_MARGIN_GUIDENCE",'Margin Guidence Table'!$A$1:$AG$1,0))),0)))</f>
        <v>0</v>
      </c>
      <c r="SB30" s="784"/>
      <c r="SC30" s="18">
        <f t="array" ref="SC30">IF('Customer Inputs'!$W$25="End",0,IFERROR(IF($SP30="SEGMENT",INDEX('Margin Guidence Table'!$A$1:$AG$10000,MATCH(1,('Margin Guidence Table'!$A$1:$A$10000=$SN30)*('Margin Guidence Table'!$I$1:$I$10000&lt;=ROUND($SF$3,0))*('Margin Guidence Table'!$J$1:$J$10000&gt;=ROUND($SF$3,0)),0),MATCH("PCT_SALES",'Margin Guidence Table'!$A$1:$AG$1,0)),INDEX('Margin Guidence Table'!$A$1:$AG$10000,MATCH(1,('Margin Guidence Table'!$A$1:$A$10000=$SN30)*('Margin Guidence Table'!$I$1:$I$10000&lt;=ROUND($SF$3,0))*('Margin Guidence Table'!$J$1:$J$10000&gt;=ROUND($SF$3,0)),0),MATCH("DEFAULT_PCT_SALES",'Margin Guidence Table'!$A$1:$AG$1,0))),0))</f>
        <v>0</v>
      </c>
      <c r="SD30" s="1713" t="e">
        <f t="shared" si="70"/>
        <v>#DIV/0!</v>
      </c>
      <c r="SE30" s="99" t="s">
        <v>89</v>
      </c>
      <c r="SF30" s="91">
        <f>IF('Customer Inputs'!$W$25="End",0,IFERROR(IF(AND($SF$2&lt;&gt;"Enter Spend&gt;&gt;&gt;",$SG$2="EXISTING"),SUMIFS('Existing Customers'!$Q:$Q,'Existing Customers'!$A:$A,$SF$1,'Existing Customers'!$H:$H,$SE30)*$SF$4,$SF$3*$SD30),0))</f>
        <v>0</v>
      </c>
      <c r="SG30" s="86">
        <f>IF('Customer Inputs'!$W$25="End",0,IFERROR(IF(AND($SF$2&lt;&gt;"Enter Spend&gt;&gt;&gt;",$SG$2="EXISTING"),SUMIFS('Existing Customers'!$N:$N,'Existing Customers'!$A:$A,$SF$1,'Existing Customers'!$H:$H,$SE30)*$SF$4,$SF30/$SQ30),0))</f>
        <v>0</v>
      </c>
      <c r="SH30" s="92">
        <f>IF('Customer Inputs'!$W$25="End",0,IFERROR(IF(AND($SF$2&lt;&gt;"Enter Spend&gt;&gt;&gt;",$SG$2="EXISTING"),SUMIFS('Existing Customers'!$O:$O,'Existing Customers'!$H:$H,$SE30,'Existing Customers'!$A:$A,$SF$1)*$SF$4,$SG30*$SF$8),0))</f>
        <v>0</v>
      </c>
      <c r="SI30" s="92">
        <f>IF('Customer Inputs'!$W$25="End",0,IFERROR(IF(AND($SF$2&lt;&gt;"Enter Spend&gt;&gt;&gt;",$SG$2="EXISTING"),SUMIFS('Existing Customers'!$P:$P,'Existing Customers'!$A:$A,$SF$1,'Existing Customers'!$H:$H,$SE30)*$SF$4,$SF30/$SR30),0))</f>
        <v>0</v>
      </c>
      <c r="SJ30" s="303">
        <f>IF('Customer Inputs'!$W$25="End",0,IFERROR(IF(AND($SF$2&lt;&gt;"Enter Spend&gt;&gt;&gt;",$SG$2="EXISTING"),SUMIFS('Existing Customers'!$V:$V,'Existing Customers'!$H:$H,$SE30,'Existing Customers'!$A:$A,$SF$1)*$SF$4,0),0))</f>
        <v>0</v>
      </c>
      <c r="SK30" s="93">
        <f>IF('Customer Inputs'!$W$25="End",0,IFERROR(IF(AND($SF$2&lt;&gt;"Enter Spend&gt;&gt;&gt;",$SG$2="EXISTING"),SUMIFS('Existing Customers'!$R:$R,'Existing Customers'!$H:$H,$SE30,'Existing Customers'!$A:$A,$SF$1)*$SF$4,0),0))</f>
        <v>0</v>
      </c>
      <c r="SL30" s="780">
        <f>IF('Customer Inputs'!$W$25="End",0,IFERROR(IF(AND($SF$2&lt;&gt;"Enter Spend&gt;&gt;&gt;",$SG$2="EXISTING"),SUMIFS('Existing Customers'!$S:$S,'Existing Customers'!$H:$H,$SE30,'Existing Customers'!$A:$A,$SF$1)/SUMIFS('Existing Customers'!$Q:$Q,'Existing Customers'!$A:$A,$SF$1,'Existing Customers'!$H:$H,$SE30),SV30),0))</f>
        <v>0</v>
      </c>
      <c r="SM30" s="780">
        <f>IF('Customer Inputs'!$W$25="End",0,IFERROR(IF(AND($SF$2&lt;&gt;"Enter Spend&gt;&gt;&gt;",$SG$2="EXISTING"),SUMIFS('Existing Customers'!$U:$U,'Existing Customers'!$H:$H,$SE30,'Existing Customers'!$A:$A,$SF$1)/SUMIFS('Existing Customers'!$Q:$Q,'Existing Customers'!$A:$A,$SF$1,'Existing Customers'!$H:$H,$SE30),SW30),0))</f>
        <v>0</v>
      </c>
      <c r="SN30" s="783" t="e">
        <f>_xlfn.CONCAT('Customer Inputs'!$AH$25,"_",SE30)</f>
        <v>#N/A</v>
      </c>
      <c r="SO30" s="783">
        <f t="array" ref="SO30">IF('Customer Inputs'!$W$25="End",0,IFERROR(INDEX('Margin Guidence Table'!$A$1:$AG$10000,MATCH(1,('Margin Guidence Table'!$A$1:$A$10000=SN30)*('Margin Guidence Table'!$I$1:$I$10000&lt;=ROUND($SF$3,0))*('Margin Guidence Table'!$J$1:$J$10000&gt;=ROUND($SF$3,0)),0),MATCH("DATA_POINTS",'Margin Guidence Table'!$A$1:$AG$1,0)),0))</f>
        <v>0</v>
      </c>
      <c r="SP30" s="780" t="str">
        <f t="shared" si="71"/>
        <v>DEFAULT</v>
      </c>
      <c r="SQ30" s="780">
        <f t="array" ref="SQ30">IF('Customer Inputs'!$W$25="End",0,IFERROR(IF($SP30="SEGMENT",INDEX('Margin Guidence Table'!$A$1:$AG$10000,MATCH(1,('Margin Guidence Table'!$A$1:$A$10000=SN30)*('Margin Guidence Table'!$I$1:$I$10000&lt;=ROUND($SF$3,0))*('Margin Guidence Table'!$J$1:$J$10000&gt;=ROUND($SF$3,0)),0),MATCH("SALES_CASE",'Margin Guidence Table'!$A$1:$AG$1,0)),INDEX('Margin Guidence Table'!$A$1:$AG$10000,MATCH(1,('Margin Guidence Table'!$A$1:$A$10000=SN30)*('Margin Guidence Table'!$I$1:$I$10000&lt;=ROUND($SF$3,0))*('Margin Guidence Table'!$J$1:$J$10000&gt;=ROUND($SF$3,0)),0),MATCH("DEFAULT_SALES_CASE",'Margin Guidence Table'!$A$1:$AG$1,0))),0))</f>
        <v>0</v>
      </c>
      <c r="SR30" s="780">
        <f t="array" ref="SR30">IF('Customer Inputs'!$W$25="End",0,IFERROR(IF($SP30="SEGMENT",INDEX('Margin Guidence Table'!$A$1:$AG$10000,MATCH(1,('Margin Guidence Table'!$A$1:$A$10000=SN30)*('Margin Guidence Table'!$I$1:$I$10000&lt;=ROUND($SF$3,0))*('Margin Guidence Table'!$J$1:$J$10000&gt;=ROUND($SF$3,0)),0),MATCH("SALES_LBS",'Margin Guidence Table'!$A$1:$AG$1,0)),INDEX('Margin Guidence Table'!$A$1:$AG$10000,MATCH(1,('Margin Guidence Table'!$A$1:$A$10000=SN30)*('Margin Guidence Table'!$I$1:$I$10000&lt;=ROUND($SF$3,0))*('Margin Guidence Table'!$J$1:$J$10000&gt;=ROUND($SF$3,0)),0),MATCH("DEFAULT_SALES_LBS",'Margin Guidence Table'!$A$1:$AG$1,0))),0))</f>
        <v>0</v>
      </c>
      <c r="SS30" s="784">
        <f t="array" ref="SS30">IF('Customer Inputs'!$W$25="End",0,IFERROR(IF($SP30="SEGMENT",INDEX('Margin Guidence Table'!$A$1:$AG$10000,MATCH(1,('Margin Guidence Table'!$A$1:$A$10000=SN30)*('Margin Guidence Table'!$I$1:$I$10000&lt;=ROUND($SF$3,0))*('Margin Guidence Table'!$J$1:$J$10000&gt;=ROUND($SF$3,0)),0),MATCH("MDA_MIN_MARGIN_GUIDENCE",'Margin Guidence Table'!$A$1:$AG$1,0)),INDEX('Margin Guidence Table'!$A$1:$AG$10000,MATCH(1,('Margin Guidence Table'!$A$1:$A$10000=SN30)*('Margin Guidence Table'!$I$1:$I$10000&lt;=ROUND($SF$3,0))*('Margin Guidence Table'!$J$1:$J$10000&gt;=ROUND($SF$3,0)),0),MATCH("DEFAULT_MDA_MIN_MARGIN_GUIDENCE",'Margin Guidence Table'!$A$1:$AG$1,0))),0))</f>
        <v>0</v>
      </c>
      <c r="ST30" s="784">
        <f t="array" ref="ST30">IF('Customer Inputs'!$W$25="End",0,IFERROR(IF($SP30="SEGMENT",INDEX('Margin Guidence Table'!$A$1:$AG$10000,MATCH(1,('Margin Guidence Table'!$A$1:$A$10000=SN30)*('Margin Guidence Table'!$I$1:$I$10000&lt;=ROUND($SF$3,0))*('Margin Guidence Table'!$J$1:$J$10000&gt;=ROUND($SF$3,0)),0),MATCH("MDA_MEDIAN_MARGIN_GUIDENCE",'Margin Guidence Table'!$A$1:$AG$1,0)),INDEX('Margin Guidence Table'!$A$1:$AG$10000,MATCH(1,('Margin Guidence Table'!$A$1:$A$10000=SN30)*('Margin Guidence Table'!$I$1:$I$10000&lt;=ROUND($SF$3,0))*('Margin Guidence Table'!$J$1:$J$10000&gt;=ROUND($SF$3,0)),0),MATCH("DEFAULT_MDA_MEDIAN_MARGIN_GUIDENCE",'Margin Guidence Table'!$A$1:$AG$1,0))),0))</f>
        <v>0</v>
      </c>
      <c r="SU30" s="784">
        <f t="array" ref="SU30">IF('Customer Inputs'!$W$25="End",0,IFERROR(IF($SP30="SEGMENT",INDEX('Margin Guidence Table'!$A$1:$AG$10000,MATCH(1,('Margin Guidence Table'!$A$1:$A$10000=SN30)*('Margin Guidence Table'!$I$1:$I$10000&lt;=ROUND($SF$3,0))*('Margin Guidence Table'!$J$1:$J$10000&gt;=ROUND($SF$3,0)),0),MATCH("MDA_MAX_MARGIN_GUIDENCE",'Margin Guidence Table'!$A$1:$AG$1,0)),INDEX('Margin Guidence Table'!$A$1:$AG$10000,MATCH(1,('Margin Guidence Table'!$A$1:$A$10000=SN30)*('Margin Guidence Table'!$I$1:$I$10000&lt;=ROUND($SF$3,0))*('Margin Guidence Table'!$J$1:$J$10000&gt;=ROUND($SF$3,0)),0),MATCH("DEFAULT_MDA_MAX_MARGIN_GUIDENCE",'Margin Guidence Table'!$A$1:$AG$1,0))),0))</f>
        <v>0</v>
      </c>
      <c r="SV30" s="784">
        <f t="array" ref="SV30">IF('Customer Inputs'!$W$25="End",0,IFERROR(IF($SP30="SEGMENT",INDEX('Margin Guidence Table'!$A$1:$AG$10000,MATCH(1,('Margin Guidence Table'!$A$1:$A$10000=SN30)*('Margin Guidence Table'!$I$1:$I$10000&lt;=ROUND($SF$3,0))*('Margin Guidence Table'!$J$1:$J$10000&gt;=ROUND($SF$3,0)),0),MATCH("PA_PCT_SALES",'Margin Guidence Table'!$A$1:$AG$1,0)),INDEX('Margin Guidence Table'!$A$1:$AG$10000,MATCH(1,('Margin Guidence Table'!$A$1:$A$10000=SN30)*('Margin Guidence Table'!$I$1:$I$10000&lt;=ROUND($SF$3,0))*('Margin Guidence Table'!$J$1:$J$10000&gt;=ROUND($SF$3,0)),0),MATCH("DEFAULT_PA_PCT_SALES",'Margin Guidence Table'!$A$1:$AG$1,0))),0))</f>
        <v>0</v>
      </c>
      <c r="SW30" s="784">
        <f t="array" ref="SW30">IF('Customer Inputs'!$W$25="End",0,IFERROR(IF($SP30="SEGMENT",INDEX('Margin Guidence Table'!$A$1:$AG$10000,MATCH(1,('Margin Guidence Table'!$A$1:$A$10000=SN30)*('Margin Guidence Table'!$I$1:$I$10000&lt;=ROUND($SF$3,0))*('Margin Guidence Table'!$J$1:$J$10000&gt;=ROUND($SF$3,0)),0),MATCH("SELF_FUND_PCT_SALES",'Margin Guidence Table'!$A$1:$AG$1,0)),INDEX('Margin Guidence Table'!$A$1:$AG$10000,MATCH(1,('Margin Guidence Table'!$A$1:$A$10000=SN30)*('Margin Guidence Table'!$I$1:$I$10000&lt;=ROUND($SF$3,0))*('Margin Guidence Table'!$J$1:$J$10000&gt;=ROUND($SF$3,0)),0),MATCH("DEFAULT_SELF_FUND_PCT_SALES",'Margin Guidence Table'!$A$1:$AG$1,0))),0))</f>
        <v>0</v>
      </c>
      <c r="SX30" s="784">
        <f t="array" ref="SX30">IF('Customer Inputs'!$W$25="End",0,IF($SG$2="Existing",IFERROR(SUMIFS('Existing Customers'!$V:$V,'Existing Customers'!$H:$H,$SE30,'Existing Customers'!$A:$A,$SF$1)/SUMIFS('Existing Customers'!$Q:$Q,'Existing Customers'!$H:$H,$SE30,'Existing Customers'!$A:$A,$SF$1),0),IFERROR(IF($SP30="SEGMENT",INDEX('Margin Guidence Table'!$A$1:$AG$10000,MATCH(1,('Margin Guidence Table'!$A$1:$A$10000=SN30)*('Margin Guidence Table'!$I$1:$I$10000&lt;=ROUND($SF$3,0))*('Margin Guidence Table'!$J$1:$J$10000&gt;=ROUND($SF$3,0)),0),MATCH("CIA_MEDIAN_MARGIN_GUIDENCE",'Margin Guidence Table'!$A$1:$AG$1,0)),INDEX('Margin Guidence Table'!$A$1:$AG$10000,MATCH(1,('Margin Guidence Table'!$A$1:$A$10000=SN30)*('Margin Guidence Table'!$I$1:$I$10000&lt;=ROUND($SF$3,0))*('Margin Guidence Table'!$J$1:$J$10000&gt;=ROUND($SF$3,0)),0),MATCH("DEFAULT_CIA_MEDIAN_MARGIN_GUIDENCE",'Margin Guidence Table'!$A$1:$AG$1,0))),0)))</f>
        <v>0</v>
      </c>
      <c r="SY30" s="784"/>
      <c r="SZ30" s="1705"/>
      <c r="TA30" s="99" t="s">
        <v>89</v>
      </c>
      <c r="TB30" s="94"/>
      <c r="TC30" s="86"/>
      <c r="TD30" s="86"/>
      <c r="TE30" s="86"/>
      <c r="TF30" s="111"/>
      <c r="TG30" s="95"/>
      <c r="TH30" s="126"/>
      <c r="TI30" s="1705"/>
      <c r="TJ30" s="99" t="s">
        <v>89</v>
      </c>
      <c r="TK30" s="94"/>
      <c r="TL30" s="86"/>
      <c r="TM30" s="86"/>
      <c r="TN30" s="86"/>
      <c r="TO30" s="111"/>
      <c r="TP30" s="95"/>
      <c r="TQ30" s="1705"/>
      <c r="TR30" s="1705"/>
    </row>
    <row r="31" spans="1:538" ht="15.75" thickBot="1" x14ac:dyDescent="0.3">
      <c r="A31" s="1705"/>
      <c r="B31" s="99" t="s">
        <v>94</v>
      </c>
      <c r="C31" s="346">
        <f t="shared" si="0"/>
        <v>0</v>
      </c>
      <c r="D31" s="358">
        <f t="shared" si="1"/>
        <v>0</v>
      </c>
      <c r="E31" s="358">
        <f t="shared" si="2"/>
        <v>0</v>
      </c>
      <c r="F31" s="358">
        <f t="shared" si="3"/>
        <v>0</v>
      </c>
      <c r="G31" s="1428">
        <f t="shared" si="4"/>
        <v>0</v>
      </c>
      <c r="H31" s="1428">
        <f t="shared" si="5"/>
        <v>0</v>
      </c>
      <c r="I31" s="359">
        <f t="shared" si="6"/>
        <v>0</v>
      </c>
      <c r="J31" s="358">
        <f t="shared" si="7"/>
        <v>0</v>
      </c>
      <c r="K31" s="778">
        <f t="shared" si="8"/>
        <v>0</v>
      </c>
      <c r="L31" s="778">
        <f t="shared" si="9"/>
        <v>0</v>
      </c>
      <c r="M31" s="778">
        <f t="shared" si="10"/>
        <v>0</v>
      </c>
      <c r="N31" s="1428">
        <f>IF('PIM Model'!D27="$/CS",IFERROR(ROUND(SUM(BX31*$BV$35+CU31*$CS$35+DR31*$DP$35+EO31*$EM$35+FL31*$FJ$35+GI31*$GG$35+HF31*$HD$35+IC31*$IA$35+IZ31*$IX$35+JW31*$JU$35+KT31*$KR$35+LQ31*$LO$35+MN31*$ML$35+NK31*$NI$35+OH31*$OF$35+PE31*$PC$35+QB31*$PZ$35+QY31*$QW$35+RV31*$RT$35+SS31*$SQ$35)/$G$35,2),0),IF('PIM Model'!D27="$/LB",IFERROR(ROUND(SUM(BX31*$BW$35+CU31*$CT$35+DR31*$DQ$35+EO31*$EN$35+FL31*$FK$35+GI31*$GH$35+HF31*$HE$35+IC31*$IB$35+IZ31*$IY$35+JW31*$JV$35+KT31*$KS$35+LQ31*$LP$35+MN31*$MM$35+NK31*$NJ$35+OH31*$OG$35+PE31*$PD$35+QB31*$QA$35+QY31*$QX$35+RV31*$RU$35+SS31*$SR$35)/$H$35,2),0),0))</f>
        <v>0</v>
      </c>
      <c r="O31" s="1428">
        <f>IF('PIM Model'!D27="$/CS",IFERROR(ROUND(SUM(BY31*$BV$35+CV31*$CS$35+DS31*$DP$35+EP31*$EM$35+FM31*$FJ$35+GJ31*$GG$35+HG31*$HD$35+ID31*$IA$35+JA31*$IX$35+JX31*$JU$35+KU31*$KR$35+LR31*$LO$35+MO31*$ML$35+NL31*$NI$35+OI31*$OF$35+PF31*$PC$35+QC31*$PZ$35+QZ31*$QW$35+RW31*$RT$35+ST31*$SQ$35)/$G$35,2),0),IF('PIM Model'!D27="$/LB",IFERROR(ROUND(SUM(BY31*$BW$35+CV31*$CT$35+DS31*$DQ$35+EP31*$EN$35+FM31*$FK$35+GJ31*$GH$35+HG31*$HE$35+ID31*$IB$35+JA31*$IY$35+JX31*$JV$35+KU31*$KS$35+LR31*$LP$35+MO31*$MM$35+NL31*$NJ$35+OI31*$OG$35+PF31*$PD$35+QC31*$QA$35+QZ31*$QX$35+RW31*$RU$35+ST31*$SR$35)/$H$35,2),0),0))</f>
        <v>0</v>
      </c>
      <c r="P31" s="1428">
        <f>IF('PIM Model'!D27="$/CS",IFERROR(ROUND(SUM(BZ31*$BV$35+CW31*$CS$35+DT31*$DP$35+EQ31*$EM$35+FN31*$FJ$35+GK31*$GG$35+HH31*$HD$35+IE31*$IA$35+JB31*$IX$35+JY31*$JU$35+KV31*$KR$35+LS31*$LO$35+MP31*$ML$35+NM31*$NI$35+OJ31*$OF$35+PG31*$PC$35+QD31*$PZ$35+RA31*$QW$35+RX31*$RT$35+SU31*$SQ$35)/$G$35,2),0),IF('PIM Model'!D27="$/LB",IFERROR(ROUND(SUM(BZ31*$BW$35+CW31*$CT$35+DT31*$DQ$35+EQ31*$EN$35+FN31*$FK$35+GK31*$GH$35+HH31*$HE$35+IE31*$IB$35+JB31*$IY$35+JY31*$JV$35+KV31*$KS$35+LS31*$LP$35+MP31*$MM$35+NM31*$NJ$35+OJ31*$OG$35+PG31*$PD$35+QD31*$QA$35+RA31*$QX$35+RX31*$RU$35+SU31*$SR$35)/$H$35,2),0),0))</f>
        <v>0</v>
      </c>
      <c r="Q31" s="358">
        <f t="shared" si="11"/>
        <v>0</v>
      </c>
      <c r="R31" s="358">
        <f t="shared" si="12"/>
        <v>0</v>
      </c>
      <c r="S31" s="779">
        <f t="shared" si="13"/>
        <v>0</v>
      </c>
      <c r="T31" s="779">
        <f t="shared" si="14"/>
        <v>0</v>
      </c>
      <c r="U31" s="779">
        <f t="shared" si="15"/>
        <v>0</v>
      </c>
      <c r="V31" s="779">
        <f t="shared" si="16"/>
        <v>0</v>
      </c>
      <c r="W31" s="779">
        <f t="shared" si="17"/>
        <v>0</v>
      </c>
      <c r="X31" s="1705"/>
      <c r="Y31" s="1705" t="str">
        <f>'PIM Model'!E27</f>
        <v>INCLUDE</v>
      </c>
      <c r="Z31" s="1705">
        <f t="shared" si="18"/>
        <v>0</v>
      </c>
      <c r="AA31" s="1705">
        <f t="shared" si="19"/>
        <v>0</v>
      </c>
      <c r="AB31" s="99" t="s">
        <v>94</v>
      </c>
      <c r="AC31" s="107">
        <f t="shared" si="20"/>
        <v>0</v>
      </c>
      <c r="AD31" s="108">
        <f t="shared" si="21"/>
        <v>0</v>
      </c>
      <c r="AE31" s="108">
        <f t="shared" si="22"/>
        <v>0</v>
      </c>
      <c r="AF31" s="108">
        <f t="shared" si="23"/>
        <v>0</v>
      </c>
      <c r="AG31" s="110">
        <f t="shared" si="24"/>
        <v>0</v>
      </c>
      <c r="AH31" s="114">
        <f t="shared" si="25"/>
        <v>0</v>
      </c>
      <c r="AI31" s="301"/>
      <c r="AJ31" s="99" t="s">
        <v>94</v>
      </c>
      <c r="AK31" s="346">
        <f t="shared" si="26"/>
        <v>0</v>
      </c>
      <c r="AL31" s="347">
        <f t="shared" si="26"/>
        <v>0</v>
      </c>
      <c r="AM31" s="347">
        <f t="shared" si="26"/>
        <v>0</v>
      </c>
      <c r="AN31" s="350">
        <f t="shared" si="27"/>
        <v>0</v>
      </c>
      <c r="AO31" s="351">
        <f t="shared" si="28"/>
        <v>0</v>
      </c>
      <c r="AP31" s="301"/>
      <c r="AQ31" s="99" t="s">
        <v>94</v>
      </c>
      <c r="AR31" s="346">
        <f t="shared" si="29"/>
        <v>0</v>
      </c>
      <c r="AS31" s="347">
        <f t="shared" si="30"/>
        <v>0</v>
      </c>
      <c r="AT31" s="351"/>
      <c r="AU31" s="301"/>
      <c r="AV31" s="1708" t="str">
        <f>IF('PIM Ranges'!$AK29='PIM Ranges'!$AY$11,IF($AR31&lt;'PIM Ranges'!$AZ$11,"Q1",IF($AR31&lt;'PIM Ranges'!$BA$11,"Q2",IF($AR31&lt;'PIM Ranges'!$BB$11,"Q3",IF($AR31&lt;'PIM Ranges'!$BC$11,"Q4","Q5")))),IF('PIM Ranges'!$AK29='PIM Ranges'!$AY$12,IF($AR31&lt;'PIM Ranges'!$AZ$12,"Q1",IF($AR31&lt;'PIM Ranges'!$BA$12,"Q2",IF($AR31&lt;'PIM Ranges'!$BB$12,"Q3",IF($AR31&lt;'PIM Ranges'!$BC$12,"Q4","Q5")))),IF('PIM Ranges'!$AK29='PIM Ranges'!$AY$13,IF($AR31&lt;'PIM Ranges'!$AZ$13,"Q1",IF($AR31&lt;'PIM Ranges'!$BA$13,"Q2",IF($AR31&lt;'PIM Ranges'!$BB$13,"Q3",IF($AR31&lt;'PIM Ranges'!$BC$13,"Q4","Q5")))),IF('PIM Ranges'!$AK29='PIM Ranges'!$AY$14,IF($AR31&lt;'PIM Ranges'!$AZ$14,"Q1",IF($AR31&lt;'PIM Ranges'!$BA$14,"Q2",IF($AR31&lt;'PIM Ranges'!$BB$14,"Q3",IF($AR31&lt;'PIM Ranges'!$BC$14,"Q4","Q5")))),IF('PIM Ranges'!$AK29='PIM Ranges'!$AY$15,IF($AR31&lt;'PIM Ranges'!$AZ$15,"Q1",IF($AR31&lt;'PIM Ranges'!$BA$15,"Q2",IF($AR31&lt;'PIM Ranges'!$BB$15,"Q3",IF($AR31&lt;'PIM Ranges'!$BC$15,"Q4","Q5")))),IF('PIM Ranges'!$AK29='PIM Ranges'!$AY$16,IF($AR31&lt;'PIM Ranges'!$AZ$16,"Q1",IF($AR31&lt;'PIM Ranges'!$BA$16,"Q2",IF($AR31&lt;'PIM Ranges'!$BB$16,"Q3",IF($AR31&lt;'PIM Ranges'!$BC$16,"Q4","Q5")))),IF('PIM Ranges'!$AK29='PIM Ranges'!$AY$17,IF($AR31&lt;'PIM Ranges'!$AZ$17,"Q1",IF($AR31&lt;'PIM Ranges'!$BA$17,"Q2",IF($AR31&lt;'PIM Ranges'!$BB$17,"Q3",IF($AR31&lt;'PIM Ranges'!$BC$17,"Q4","Q5")))),IF('PIM Ranges'!$AK29='PIM Ranges'!$AY$18,IF($AR31&lt;'PIM Ranges'!$AZ$18,"Q1",IF($AR31&lt;'PIM Ranges'!$BA$18,"Q2",IF($AR31&lt;'PIM Ranges'!$BB$18,"Q3",IF($AR31&lt;'PIM Ranges'!$BC$18,"Q4","Q5")))),IF('PIM Ranges'!$AK29='PIM Ranges'!$AY$19,IF($AR31&lt;'PIM Ranges'!$AZ$19,"Q1",IF($AR31&lt;'PIM Ranges'!$BA$19,"Q2",IF($AR31&lt;'PIM Ranges'!$BB$19,"Q3",IF($AR31&lt;'PIM Ranges'!$BC$19,"Q4","Q5")))),IF('PIM Ranges'!$AK29='PIM Ranges'!$AY$20,IF($AR31&lt;'PIM Ranges'!$AZ$20,"Q1",IF($AR31&lt;'PIM Ranges'!$BA$20,"Q2",IF($AR31&lt;'PIM Ranges'!$BB$20,"Q3",IF($AR31&lt;'PIM Ranges'!$BC$20,"Q4","Q5")))),IF('PIM Ranges'!$AK29='PIM Ranges'!$AY$21,IF($AR31&lt;'PIM Ranges'!$AZ$21,"Q1",IF($AR31&lt;'PIM Ranges'!$BA$21,"Q2",IF($AR31&lt;'PIM Ranges'!$BB$21,"Q3",IF($AR31&lt;'PIM Ranges'!$BC$21,"Q4","Q5")))),IF('PIM Ranges'!$AK29='PIM Ranges'!$AY$22,IF($AR31&lt;'PIM Ranges'!$AZ$22,"Q1",IF($AR31&lt;'PIM Ranges'!$BA$22,"Q2",IF($AR31&lt;'PIM Ranges'!$BB$22,"Q3",IF($AR31&lt;'PIM Ranges'!$BC$22,"Q4","Q5")))),IF('PIM Ranges'!$AK29='PIM Ranges'!$AY$23,IF($AR31&lt;'PIM Ranges'!$AZ$23,"Q1",IF($AR31&lt;'PIM Ranges'!$BA$23,"Q2",IF($AR31&lt;'PIM Ranges'!$BB$23,"Q3",IF($AR31&lt;'PIM Ranges'!$BC$23,"Q4","Q5")))),IF('PIM Ranges'!$AK29='PIM Ranges'!$AY$24,IF($AR31&lt;'PIM Ranges'!$AZ$24,"Q1",IF($AR31&lt;'PIM Ranges'!$BA$24,"Q2",IF($AR31&lt;'PIM Ranges'!$BB$24,"Q3",IF($AR31&lt;'PIM Ranges'!$BC$24,"Q4","Q5")))),IF('PIM Ranges'!$AK29='PIM Ranges'!$AY$25,IF($AR31&lt;'PIM Ranges'!$AZ$25,"Q1",IF($AR31&lt;'PIM Ranges'!$BA$25,"Q2",IF($AR31&lt;'PIM Ranges'!$BB$25,"Q3",IF($AR31&lt;'PIM Ranges'!$BC$25,"Q4","Q5")))),IF('PIM Ranges'!$AK29='PIM Ranges'!$AY$26,IF($AR31&lt;'PIM Ranges'!$AZ$26,"Q1",IF($AR31&lt;'PIM Ranges'!$BA$26,"Q2",IF($AR31&lt;'PIM Ranges'!$BB$26,"Q3",IF($AR31&lt;'PIM Ranges'!$BC$26,"Q4","Q5")))),IF('PIM Ranges'!$AK29='PIM Ranges'!$AY$27,IF($AR31&lt;'PIM Ranges'!$AZ$27,"Q1",IF($AR31&lt;'PIM Ranges'!$BA$27,"Q2",IF($AR31&lt;'PIM Ranges'!$BB$27,"Q3",IF($AR31&lt;'PIM Ranges'!$BC$27,"Q4","Q5")))),IF('PIM Ranges'!$AK29='PIM Ranges'!$AY$28,IF($AR31&lt;'PIM Ranges'!$AZ$28,"Q1",IF($AR31&lt;'PIM Ranges'!$BA$28,"Q2",IF($AR31&lt;'PIM Ranges'!$BB$28,"Q3",IF($AR31&lt;'PIM Ranges'!$BC$28,"Q4","Q5")))),IF('PIM Ranges'!$AK29='PIM Ranges'!$AY$29,IF($AR31&lt;'PIM Ranges'!$AZ$29,"Q1",IF($AR31&lt;'PIM Ranges'!$BA$29,"Q2",IF($AR31&lt;'PIM Ranges'!$BB$29,"Q3",IF($AR31&lt;'PIM Ranges'!$BC$29,"Q4","Q5")))),IF('PIM Ranges'!$AK29='PIM Ranges'!$AY$30,IF($AR31&lt;'PIM Ranges'!$AZ$30,"Q1",IF($AR31&lt;'PIM Ranges'!$BA$30,"Q2",IF($AR31&lt;'PIM Ranges'!$BB$30,"Q3",IF($AR31&lt;'PIM Ranges'!$BC$30,"Q4","Q5")))),IF('PIM Ranges'!$AK29='PIM Ranges'!$AY$31,IF($AR31&lt;'PIM Ranges'!$AZ$31,"Q1",IF($AR31&lt;'PIM Ranges'!$BA$31,"Q2",IF($AR31&lt;'PIM Ranges'!$BB$31,"Q3",IF($AR31&lt;'PIM Ranges'!$BC$31,"Q4","Q5")))),IF('PIM Ranges'!$AK29='PIM Ranges'!$AY$32,IF($AR31&lt;'PIM Ranges'!$AZ$32,"Q1",IF($AR31&lt;'PIM Ranges'!$BA$32,"Q2",IF($AR31&lt;'PIM Ranges'!$BB$32,"Q3",IF($AR31&lt;'PIM Ranges'!$BC$32,"Q4","Q5"))))))))))))))))))))))))))</f>
        <v>Q1</v>
      </c>
      <c r="AW31" s="301">
        <f>VLOOKUP($AQ31&amp;$AV31,'IMargin Quartiles'!$A:$F,6,FALSE)</f>
        <v>0.16</v>
      </c>
      <c r="AX31" s="301"/>
      <c r="AY31" s="1708" t="str">
        <f>IF('PIM Ranges'!$AK29='PIM Ranges'!$AY$11,IF('PIM Ranges'!$AL29&lt;'PIM Ranges'!$AZ$11,"Q1",IF('PIM Ranges'!$AL29&lt;'PIM Ranges'!$BA$11,"Q2",IF('PIM Ranges'!$AL29&lt;'PIM Ranges'!$BB$11,"Q3",IF('PIM Ranges'!$AL29&lt;'PIM Ranges'!$BC$11,"Q4","Q5")))),IF('PIM Ranges'!$AK29='PIM Ranges'!$AY$12,IF('PIM Ranges'!$AL29&lt;'PIM Ranges'!$AZ$12,"Q1",IF('PIM Ranges'!$AL29&lt;'PIM Ranges'!$BA$12,"Q2",IF('PIM Ranges'!$AL29&lt;'PIM Ranges'!$BB$12,"Q3",IF('PIM Ranges'!$AL29&lt;'PIM Ranges'!$BC$12,"Q4","Q5")))),IF('PIM Ranges'!$AK29='PIM Ranges'!$AY$13,IF('PIM Ranges'!$AL29&lt;'PIM Ranges'!$AZ$13,"Q1",IF('PIM Ranges'!$AL29&lt;'PIM Ranges'!$BA$13,"Q2",IF('PIM Ranges'!$AL29&lt;'PIM Ranges'!$BB$13,"Q3",IF('PIM Ranges'!$AL29&lt;'PIM Ranges'!$BC$13,"Q4","Q5")))),IF('PIM Ranges'!$AK29='PIM Ranges'!$AY$14,IF('PIM Ranges'!$AL29&lt;'PIM Ranges'!$AZ$14,"Q1",IF('PIM Ranges'!$AL29&lt;'PIM Ranges'!$BA$14,"Q2",IF('PIM Ranges'!$AL29&lt;'PIM Ranges'!$BB$14,"Q3",IF('PIM Ranges'!$AL29&lt;'PIM Ranges'!$BC$14,"Q4","Q5")))),IF('PIM Ranges'!$AK29='PIM Ranges'!$AY$15,IF('PIM Ranges'!$AL29&lt;'PIM Ranges'!$AZ$15,"Q1",IF('PIM Ranges'!$AL29&lt;'PIM Ranges'!$BA$15,"Q2",IF('PIM Ranges'!$AL29&lt;'PIM Ranges'!$BB$15,"Q3",IF('PIM Ranges'!$AL29&lt;'PIM Ranges'!$BC$15,"Q4","Q5")))),IF('PIM Ranges'!$AK29='PIM Ranges'!$AY$16,IF('PIM Ranges'!$AL29&lt;'PIM Ranges'!$AZ$16,"Q1",IF('PIM Ranges'!$AL29&lt;'PIM Ranges'!$BA$16,"Q2",IF('PIM Ranges'!$AL29&lt;'PIM Ranges'!$BB$16,"Q3",IF('PIM Ranges'!$AL29&lt;'PIM Ranges'!$BC$16,"Q4","Q5")))),IF('PIM Ranges'!$AK29='PIM Ranges'!$AY$17,IF('PIM Ranges'!$AL29&lt;'PIM Ranges'!$AZ$17,"Q1",IF('PIM Ranges'!$AL29&lt;'PIM Ranges'!$BA$17,"Q2",IF('PIM Ranges'!$AL29&lt;'PIM Ranges'!$BB$17,"Q3",IF('PIM Ranges'!$AL29&lt;'PIM Ranges'!$BC$17,"Q4","Q5")))),IF('PIM Ranges'!$AK29='PIM Ranges'!$AY$18,IF('PIM Ranges'!$AL29&lt;'PIM Ranges'!$AZ$18,"Q1",IF('PIM Ranges'!$AL29&lt;'PIM Ranges'!$BA$18,"Q2",IF('PIM Ranges'!$AL29&lt;'PIM Ranges'!$BB$18,"Q3",IF('PIM Ranges'!$AL29&lt;'PIM Ranges'!$BC$18,"Q4","Q5")))),IF('PIM Ranges'!$AK29='PIM Ranges'!$AY$19,IF('PIM Ranges'!$AL29&lt;'PIM Ranges'!$AZ$19,"Q1",IF('PIM Ranges'!$AL29&lt;'PIM Ranges'!$BA$19,"Q2",IF('PIM Ranges'!$AL29&lt;'PIM Ranges'!$BB$19,"Q3",IF('PIM Ranges'!$AL29&lt;'PIM Ranges'!$BC$19,"Q4","Q5")))),IF('PIM Ranges'!$AK29='PIM Ranges'!$AY$20,IF('PIM Ranges'!$AL29&lt;'PIM Ranges'!$AZ$20,"Q1",IF('PIM Ranges'!$AL29&lt;'PIM Ranges'!$BA$20,"Q2",IF('PIM Ranges'!$AL29&lt;'PIM Ranges'!$BB$20,"Q3",IF('PIM Ranges'!$AL29&lt;'PIM Ranges'!$BC$20,"Q4","Q5")))),IF('PIM Ranges'!$AK29='PIM Ranges'!$AY$21,IF('PIM Ranges'!$AL29&lt;'PIM Ranges'!$AZ$21,"Q1",IF('PIM Ranges'!$AL29&lt;'PIM Ranges'!$BA$21,"Q2",IF('PIM Ranges'!$AL29&lt;'PIM Ranges'!$BB$21,"Q3",IF('PIM Ranges'!$AL29&lt;'PIM Ranges'!$BC$21,"Q4","Q5")))),IF('PIM Ranges'!$AK29='PIM Ranges'!$AY$22,IF('PIM Ranges'!$AL29&lt;'PIM Ranges'!$AZ$22,"Q1",IF('PIM Ranges'!$AL29&lt;'PIM Ranges'!$BA$22,"Q2",IF('PIM Ranges'!$AL29&lt;'PIM Ranges'!$BB$22,"Q3",IF('PIM Ranges'!$AL29&lt;'PIM Ranges'!$BC$22,"Q4","Q5")))),IF('PIM Ranges'!$AK29='PIM Ranges'!$AY$23,IF('PIM Ranges'!$AL29&lt;'PIM Ranges'!$AZ$23,"Q1",IF('PIM Ranges'!$AL29&lt;'PIM Ranges'!$BA$23,"Q2",IF('PIM Ranges'!$AL29&lt;'PIM Ranges'!$BB$23,"Q3",IF('PIM Ranges'!$AL29&lt;'PIM Ranges'!$BC$23,"Q4","Q5")))),IF('PIM Ranges'!$AK29='PIM Ranges'!$AY$24,IF('PIM Ranges'!$AL29&lt;'PIM Ranges'!$AZ$24,"Q1",IF('PIM Ranges'!$AL29&lt;'PIM Ranges'!$BA$24,"Q2",IF('PIM Ranges'!$AL29&lt;'PIM Ranges'!$BB$24,"Q3",IF('PIM Ranges'!$AL29&lt;'PIM Ranges'!$BC$24,"Q4","Q5")))),IF('PIM Ranges'!$AK29='PIM Ranges'!$AY$25,IF('PIM Ranges'!$AL29&lt;'PIM Ranges'!$AZ$25,"Q1",IF('PIM Ranges'!$AL29&lt;'PIM Ranges'!$BA$25,"Q2",IF('PIM Ranges'!$AL29&lt;'PIM Ranges'!$BB$25,"Q3",IF('PIM Ranges'!$AL29&lt;'PIM Ranges'!$BC$25,"Q4","Q5")))),IF('PIM Ranges'!$AK29='PIM Ranges'!$AY$26,IF('PIM Ranges'!$AL29&lt;'PIM Ranges'!$AZ$26,"Q1",IF('PIM Ranges'!$AL29&lt;'PIM Ranges'!$BA$26,"Q2",IF('PIM Ranges'!$AL29&lt;'PIM Ranges'!$BB$26,"Q3",IF('PIM Ranges'!$AL29&lt;'PIM Ranges'!$BC$26,"Q4","Q5")))),IF('PIM Ranges'!$AK29='PIM Ranges'!$AY$27,IF('PIM Ranges'!$AL29&lt;'PIM Ranges'!$AZ$27,"Q1",IF('PIM Ranges'!$AL29&lt;'PIM Ranges'!$BA$27,"Q2",IF('PIM Ranges'!$AL29&lt;'PIM Ranges'!$BB$27,"Q3",IF('PIM Ranges'!$AL29&lt;'PIM Ranges'!$BC$27,"Q4","Q5")))),IF('PIM Ranges'!$AK29='PIM Ranges'!$AY$28,IF('PIM Ranges'!$AL29&lt;'PIM Ranges'!$AZ$28,"Q1",IF('PIM Ranges'!$AL29&lt;'PIM Ranges'!$BA$28,"Q2",IF('PIM Ranges'!$AL29&lt;'PIM Ranges'!$BB$28,"Q3",IF('PIM Ranges'!$AL29&lt;'PIM Ranges'!$BC$28,"Q4","Q5")))),IF('PIM Ranges'!$AK29='PIM Ranges'!$AY$29,IF('PIM Ranges'!$AL29&lt;'PIM Ranges'!$AZ$29,"Q1",IF('PIM Ranges'!$AL29&lt;'PIM Ranges'!$BA$29,"Q2",IF('PIM Ranges'!$AL29&lt;'PIM Ranges'!$BB$29,"Q3",IF('PIM Ranges'!$AL29&lt;'PIM Ranges'!$BC$29,"Q4","Q5")))),IF('PIM Ranges'!$AK29='PIM Ranges'!$AY$30,IF('PIM Ranges'!$AL29&lt;'PIM Ranges'!$AZ$30,"Q1",IF('PIM Ranges'!$AL29&lt;'PIM Ranges'!$BA$30,"Q2",IF('PIM Ranges'!$AL29&lt;'PIM Ranges'!$BB$30,"Q3",IF('PIM Ranges'!$AL29&lt;'PIM Ranges'!$BC$30,"Q4","Q5")))),IF('PIM Ranges'!$AK29='PIM Ranges'!$AY$31,IF('PIM Ranges'!$AL29&lt;'PIM Ranges'!$AZ$31,"Q1",IF('PIM Ranges'!$AL29&lt;'PIM Ranges'!$BA$31,"Q2",IF('PIM Ranges'!$AL29&lt;'PIM Ranges'!$BB$31,"Q3",IF('PIM Ranges'!$AL29&lt;'PIM Ranges'!$BC$31,"Q4","Q5")))),IF('PIM Ranges'!$AK29='PIM Ranges'!$AY$32,IF('PIM Ranges'!$AL29&lt;'PIM Ranges'!$AZ$32,"Q1",IF('PIM Ranges'!$AL29&lt;'PIM Ranges'!$BA$32,"Q2",IF('PIM Ranges'!$AL29&lt;'PIM Ranges'!$BB$32,"Q3",IF('PIM Ranges'!$AL29&lt;'PIM Ranges'!$BC$32,"Q4","Q5"))))))))))))))))))))))))))</f>
        <v>Q1</v>
      </c>
      <c r="AZ31" s="301">
        <f t="shared" si="31"/>
        <v>0</v>
      </c>
      <c r="BA31" s="39">
        <f>'PIM Model'!C27</f>
        <v>0</v>
      </c>
      <c r="BB31" s="301"/>
      <c r="BC31" s="301"/>
      <c r="BD31" s="301" t="e">
        <f t="shared" si="72"/>
        <v>#DIV/0!</v>
      </c>
      <c r="BE31" s="301"/>
      <c r="BF31" s="301"/>
      <c r="BG31" s="105">
        <v>20</v>
      </c>
      <c r="BH31" s="18">
        <f t="array" ref="BH31">IF('Customer Inputs'!$W$6="End",0,IFERROR(IF($BU31="SEGMENT",INDEX('Margin Guidence Table'!$A$1:$AG$10000,MATCH(1,('Margin Guidence Table'!$A$1:$A$10000=$BS31)*('Margin Guidence Table'!$I$1:$I$10000&lt;=ROUND($BK$3,0))*('Margin Guidence Table'!$J$1:$J$10000&gt;=ROUND($BK$3,0)),0),MATCH("PCT_SALES",'Margin Guidence Table'!$A$1:$AG$1,0)),INDEX('Margin Guidence Table'!$A$1:$AG$10000,MATCH(1,('Margin Guidence Table'!$A$1:$A$10000=$BS31)*('Margin Guidence Table'!$I$1:$I$10000&lt;=ROUND($BK$3,0))*('Margin Guidence Table'!$J$1:$J$10000&gt;=ROUND($BK$3,0)),0),MATCH("DEFAULT_PCT_SALES",'Margin Guidence Table'!$A$1:$AG$1,0))),0))</f>
        <v>0</v>
      </c>
      <c r="BI31" s="297" t="e">
        <f t="shared" si="32"/>
        <v>#DIV/0!</v>
      </c>
      <c r="BJ31" s="99" t="s">
        <v>94</v>
      </c>
      <c r="BK31" s="91">
        <f>IF('Customer Inputs'!$W$6="End",0,IFERROR(IF(AND($BK$2&lt;&gt;"Enter Spend&gt;&gt;&gt;",$BL$2="EXISTING"),SUMIFS('Existing Customers'!$Q:$Q,'Existing Customers'!$A:$A,$BK$1,'Existing Customers'!$H:$H,$BJ31)*$BK$4,$BK$3*$BI31),0))</f>
        <v>0</v>
      </c>
      <c r="BL31" s="92">
        <f>IF('Customer Inputs'!$W$6="End",0,IFERROR(IF(AND($BK$2&lt;&gt;"Enter Spend&gt;&gt;&gt;",$BL$2="EXISTING"),SUMIFS('Existing Customers'!$N:$N,'Existing Customers'!$A:$A,$BK$1,'Existing Customers'!$H:$H,$BJ31)*$BK$4,$BK31/$BV31),0))</f>
        <v>0</v>
      </c>
      <c r="BM31" s="92">
        <f>IF('Customer Inputs'!$W$6="End",0,IFERROR(IF(AND($BK$2&lt;&gt;"Enter Spend&gt;&gt;&gt;",$BL$2="EXISTING"),SUMIFS('Existing Customers'!$O:$O,'Existing Customers'!$H:$H,$BJ31,'Existing Customers'!$A:$A,$BK$1)*$BK$4,$BL31*$BK$8),0))</f>
        <v>0</v>
      </c>
      <c r="BN31" s="92">
        <f>IF('Customer Inputs'!$W$6="End",0,IFERROR(IF(AND($BK$2&lt;&gt;"Enter Spend&gt;&gt;&gt;",$BL$2="EXISTING"),SUMIFS('Existing Customers'!$P:$P,'Existing Customers'!$A:$A,$BK$1,'Existing Customers'!$H:$H,$BJ31)*$BK$4,$BK31/$BW31),0))</f>
        <v>0</v>
      </c>
      <c r="BO31" s="303">
        <f>IF('Customer Inputs'!$W$6="End",0,IFERROR(IF(AND($BK$2&lt;&gt;"Enter Spend&gt;&gt;&gt;",$BL$2="EXISTING"),SUMIFS('Existing Customers'!$V:$V,'Existing Customers'!$H:$H,$BJ31,'Existing Customers'!$A:$A,$BK$1)*$BK$4,0),0))</f>
        <v>0</v>
      </c>
      <c r="BP31" s="93">
        <f>IF('Customer Inputs'!$W$6="End",0,IFERROR(IF(AND($BK$2&lt;&gt;"Enter Spend&gt;&gt;&gt;",$BL$2="EXISTING"),SUMIFS('Existing Customers'!$R:$R,'Existing Customers'!$H:$H,$BJ31,'Existing Customers'!$A:$A,$BK$1)*$BK$4,0),0))</f>
        <v>0</v>
      </c>
      <c r="BQ31" s="93">
        <f>IF('Customer Inputs'!$W$6="End",0,IFERROR(IF(AND($BK$2&lt;&gt;"Enter Spend&gt;&gt;&gt;",$BL$2="EXISTING"),SUMIFS('Existing Customers'!$S:$S,'Existing Customers'!$H:$H,$BJ31,'Existing Customers'!$A:$A,$BK$1)/SUMIFS('Existing Customers'!$Q:$Q,'Existing Customers'!$A:$A,$BK$1,'Existing Customers'!$H:$H,$BJ31),CA31),0))</f>
        <v>0</v>
      </c>
      <c r="BR31" s="93">
        <f>IF('Customer Inputs'!$W$6="End",0,IFERROR(IF(AND($BK$2&lt;&gt;"Enter Spend&gt;&gt;&gt;",$BL$2="EXISTING"),SUMIFS('Existing Customers'!$U:$U,'Existing Customers'!$H:$H,$BJ31,'Existing Customers'!$A:$A,$BK$1)/SUMIFS('Existing Customers'!$Q:$Q,'Existing Customers'!$A:$A,$BK$1,'Existing Customers'!$H:$H,$BJ31),CB31),0))</f>
        <v>0</v>
      </c>
      <c r="BS31" s="782" t="e">
        <f>_xlfn.CONCAT('Customer Inputs'!$AH$6,"_",BJ31)</f>
        <v>#N/A</v>
      </c>
      <c r="BT31" s="783">
        <f t="array" ref="BT31">IF('Customer Inputs'!$W$6="End",0,IFERROR(INDEX('Margin Guidence Table'!$A$1:$AG$10000,MATCH(1,('Margin Guidence Table'!$A$1:$A$10000=$BS31)*('Margin Guidence Table'!$I$1:$I$10000&lt;=ROUND($BK$3,0))*('Margin Guidence Table'!$J$1:$J$10000&gt;=ROUND($BK$3,0)),0),MATCH("DATA_POINTS",'Margin Guidence Table'!$A$1:$AG$1,0)),0))</f>
        <v>0</v>
      </c>
      <c r="BU31" s="780" t="str">
        <f t="shared" si="33"/>
        <v>DEFAULT</v>
      </c>
      <c r="BV31" s="780">
        <f t="array" ref="BV31">IF('Customer Inputs'!$W$6="End",0,IFERROR(IF($BU31="SEGMENT",INDEX('Margin Guidence Table'!$A$1:$AG$10000,MATCH(1,('Margin Guidence Table'!$A$1:$A$10000=$BS31)*('Margin Guidence Table'!$I$1:$I$10000&lt;=ROUND($BK$3,0))*('Margin Guidence Table'!$J$1:$J$10000&gt;=ROUND($BK$3,0)),0),MATCH("SALES_CASE",'Margin Guidence Table'!$A$1:$AG$1,0)),INDEX('Margin Guidence Table'!$A$1:$AG$10000,MATCH(1,('Margin Guidence Table'!$A$1:$A$10000=$BS31)*('Margin Guidence Table'!$I$1:$I$10000&lt;=ROUND($BK$3,0))*('Margin Guidence Table'!$J$1:$J$10000&gt;=ROUND($BK$3,0)),0),MATCH("DEFAULT_SALES_CASE",'Margin Guidence Table'!$A$1:$AG$1,0))),0))</f>
        <v>0</v>
      </c>
      <c r="BW31" s="780">
        <f t="array" ref="BW31">IF('Customer Inputs'!$W$6="End",0,IFERROR(IF($BU31="SEGMENT",INDEX('Margin Guidence Table'!$A$1:$AG$10000,MATCH(1,('Margin Guidence Table'!$A$1:$A$10000=$BS31)*('Margin Guidence Table'!$I$1:$I$10000&lt;=ROUND($BK$3,0))*('Margin Guidence Table'!$J$1:$J$10000&gt;=ROUND($BK$3,0)),0),MATCH("SALES_LBS",'Margin Guidence Table'!$A$1:$AG$1,0)),INDEX('Margin Guidence Table'!$A$1:$AG$10000,MATCH(1,('Margin Guidence Table'!$A$1:$A$10000=$BS31)*('Margin Guidence Table'!$I$1:$I$10000&lt;=ROUND($BK$3,0))*('Margin Guidence Table'!$J$1:$J$10000&gt;=ROUND($BK$3,0)),0),MATCH("DEFAULT_SALES_LBS",'Margin Guidence Table'!$A$1:$AG$1,0))),0))</f>
        <v>0</v>
      </c>
      <c r="BX31" s="784">
        <f t="array" ref="BX31">IF('Customer Inputs'!$W$6="End",0,IFERROR(IF($BU31="SEGMENT",INDEX('Margin Guidence Table'!$A$1:$AG$10000,MATCH(1,('Margin Guidence Table'!$A$1:$A$10000=$BS31)*('Margin Guidence Table'!$I$1:$I$10000&lt;=ROUND($BK$3,0))*('Margin Guidence Table'!$J$1:$J$10000&gt;=ROUND($BK$3,0)),0),MATCH("MDA_MIN_MARGIN_GUIDENCE",'Margin Guidence Table'!$A$1:$AG$1,0)),INDEX('Margin Guidence Table'!$A$1:$AG$10000,MATCH(1,('Margin Guidence Table'!$A$1:$A$10000=$BS31)*('Margin Guidence Table'!$I$1:$I$10000&lt;=ROUND($BK$3,0))*('Margin Guidence Table'!$J$1:$J$10000&gt;=ROUND($BK$3,0)),0),MATCH("DEFAULT_MDA_MIN_MARGIN_GUIDENCE",'Margin Guidence Table'!$A$1:$AG$1,0))),0))</f>
        <v>0</v>
      </c>
      <c r="BY31" s="784">
        <f t="array" ref="BY31">IF('Customer Inputs'!$W$6="End",0,IFERROR(IF($BU31="SEGMENT",INDEX('Margin Guidence Table'!$A$1:$AG$10000,MATCH(1,('Margin Guidence Table'!$A$1:$A$10000=$BS31)*('Margin Guidence Table'!$I$1:$I$10000&lt;=ROUND($BK$3,0))*('Margin Guidence Table'!$J$1:$J$10000&gt;=ROUND($BK$3,0)),0),MATCH("MDA_MEDIAN_MARGIN_GUIDENCE",'Margin Guidence Table'!$A$1:$AG$1,0)),INDEX('Margin Guidence Table'!$A$1:$AG$10000,MATCH(1,('Margin Guidence Table'!$A$1:$A$10000=$BS31)*('Margin Guidence Table'!$I$1:$I$10000&lt;=ROUND($BK$3,0))*('Margin Guidence Table'!$J$1:$J$10000&gt;=ROUND($BK$3,0)),0),MATCH("DEFAULT_MDA_MEDIAN_MARGIN_GUIDENCE",'Margin Guidence Table'!$A$1:$AG$1,0))),0))</f>
        <v>0</v>
      </c>
      <c r="BZ31" s="784">
        <f t="array" ref="BZ31">IF('Customer Inputs'!$W$6="End",0,IFERROR(IF($BU31="SEGMENT",INDEX('Margin Guidence Table'!$A$1:$AG$10000,MATCH(1,('Margin Guidence Table'!$A$1:$A$10000=$BS31)*('Margin Guidence Table'!$I$1:$I$10000&lt;=ROUND($BK$3,0))*('Margin Guidence Table'!$J$1:$J$10000&gt;=ROUND($BK$3,0)),0),MATCH("MDA_MAX_MARGIN_GUIDENCE",'Margin Guidence Table'!$A$1:$AG$1,0)),INDEX('Margin Guidence Table'!$A$1:$AG$10000,MATCH(1,('Margin Guidence Table'!$A$1:$A$10000=$BS31)*('Margin Guidence Table'!$I$1:$I$10000&lt;=ROUND($BK$3,0))*('Margin Guidence Table'!$J$1:$J$10000&gt;=ROUND($BK$3,0)),0),MATCH("DEFAULT_MDA_MAX_MARGIN_GUIDENCE",'Margin Guidence Table'!$A$1:$AG$1,0))),0))</f>
        <v>0</v>
      </c>
      <c r="CA31" s="784">
        <f t="array" ref="CA31">IF('Customer Inputs'!$W$6="End",0,IFERROR(IF($BU31="SEGMENT",INDEX('Margin Guidence Table'!$A$1:$AG$10000,MATCH(1,('Margin Guidence Table'!$A$1:$A$10000=$BS31)*('Margin Guidence Table'!$I$1:$I$10000&lt;=ROUND($BK$3,0))*('Margin Guidence Table'!$J$1:$J$10000&gt;=ROUND($BK$3,0)),0),MATCH("PA_PCT_SALES",'Margin Guidence Table'!$A$1:$AG$1,0)),INDEX('Margin Guidence Table'!$A$1:$AG$10000,MATCH(1,('Margin Guidence Table'!$A$1:$A$10000=$BS31)*('Margin Guidence Table'!$I$1:$I$10000&lt;=ROUND($BK$3,0))*('Margin Guidence Table'!$J$1:$J$10000&gt;=ROUND($BK$3,0)),0),MATCH("DEFAULT_PA_PCT_SALES",'Margin Guidence Table'!$A$1:$AG$1,0))),0))</f>
        <v>0</v>
      </c>
      <c r="CB31" s="784">
        <f t="array" ref="CB31">IF('Customer Inputs'!$W$6="End",0,IFERROR(IF($BU31="SEGMENT",INDEX('Margin Guidence Table'!$A$1:$AG$10000,MATCH(1,('Margin Guidence Table'!$A$1:$A$10000=$BS31)*('Margin Guidence Table'!$I$1:$I$10000&lt;=ROUND($BK$3,0))*('Margin Guidence Table'!$J$1:$J$10000&gt;=ROUND($BK$3,0)),0),MATCH("SELF_FUND_PCT_SALES",'Margin Guidence Table'!$A$1:$AG$1,0)),INDEX('Margin Guidence Table'!$A$1:$AG$10000,MATCH(1,('Margin Guidence Table'!$A$1:$A$10000=$BS31)*('Margin Guidence Table'!$I$1:$I$10000&lt;=ROUND($BK$3,0))*('Margin Guidence Table'!$J$1:$J$10000&gt;=ROUND($BK$3,0)),0),MATCH("DEFAULT_SELF_FUND_PCT_SALES",'Margin Guidence Table'!$A$1:$AG$1,0))),0))</f>
        <v>0</v>
      </c>
      <c r="CC31" s="784">
        <f t="array" ref="CC31">IF('Customer Inputs'!$W$6="End",0,IF($BL$2="Existing",IFERROR(SUMIFS('Existing Customers'!$V:$V,'Existing Customers'!$H:$H,$BJ31,'Existing Customers'!$A:$A,$BK$1)/SUMIFS('Existing Customers'!$Q:$Q,'Existing Customers'!$H:$H,$BJ31,'Existing Customers'!$A:$A,$BK$1),0),IFERROR(IF($BU31="SEGMENT",INDEX('Margin Guidence Table'!$A$1:$AG$10000,MATCH(1,('Margin Guidence Table'!$A$1:$A$10000=$BS31)*('Margin Guidence Table'!$I$1:$I$10000&lt;=ROUND($BK$3,0))*('Margin Guidence Table'!$J$1:$J$10000&gt;=ROUND($BK$3,0)),0),MATCH("CIA_MEDIAN_MARGIN_GUIDENCE",'Margin Guidence Table'!$A$1:$AG$1,0)),INDEX('Margin Guidence Table'!$A$1:$AG$10000,MATCH(1,('Margin Guidence Table'!$A$1:$A$10000=$BS31)*('Margin Guidence Table'!$I$1:$I$10000&lt;=ROUND($BK$3,0))*('Margin Guidence Table'!$J$1:$J$10000&gt;=ROUND($BK$3,0)),0),MATCH("DEFAULT_CIA_MEDIAN_MARGIN_GUIDENCE",'Margin Guidence Table'!$A$1:$AG$1,0))),0)))</f>
        <v>0</v>
      </c>
      <c r="CD31" s="126"/>
      <c r="CE31" s="18">
        <f t="array" ref="CE31">IF('Customer Inputs'!$W$7="End",0,IFERROR(IF($CR31="SEGMENT",INDEX('Margin Guidence Table'!$A$1:$AG$10000,MATCH(1,('Margin Guidence Table'!$A$1:$A$10000=$CP31)*('Margin Guidence Table'!$I$1:$I$10000&lt;=ROUND($CH$3,0))*('Margin Guidence Table'!$J$1:$J$10000&gt;=ROUND($CH$3,0)),0),MATCH("PCT_SALES",'Margin Guidence Table'!$A$1:$AG$1,0)),INDEX('Margin Guidence Table'!$A$1:$AG$10000,MATCH(1,('Margin Guidence Table'!$A$1:$A$10000=$CP31)*('Margin Guidence Table'!$I$1:$I$10000&lt;=ROUND($CH$3,0))*('Margin Guidence Table'!$J$1:$J$10000&gt;=ROUND($CH$3,0)),0),MATCH("DEFAULT_PCT_SALES",'Margin Guidence Table'!$A$1:$AG$1,0))),0))</f>
        <v>0</v>
      </c>
      <c r="CF31" s="297" t="e">
        <f t="shared" si="34"/>
        <v>#DIV/0!</v>
      </c>
      <c r="CG31" s="99" t="s">
        <v>94</v>
      </c>
      <c r="CH31" s="91">
        <f>IF('Customer Inputs'!$W$7="End",0,IFERROR(IF(AND($CH$2&lt;&gt;"Enter Spend&gt;&gt;&gt;",$CI$2="EXISTING"),SUMIFS('Existing Customers'!$Q:$Q,'Existing Customers'!$A:$A,$CH$1,'Existing Customers'!$H:$H,$CG31)*$CH$4,$CH$3*$CF31),0))</f>
        <v>0</v>
      </c>
      <c r="CI31" s="86">
        <f>IF('Customer Inputs'!$W$7="End",0,IFERROR(IF(AND($CH$2&lt;&gt;"Enter Spend&gt;&gt;&gt;",$CI$2="EXISTING"),SUMIFS('Existing Customers'!$N:$N,'Existing Customers'!$A:$A,$CH$1,'Existing Customers'!$H:$H,$CG31)*$CH$4,$CH31/$CS31),0))</f>
        <v>0</v>
      </c>
      <c r="CJ31" s="92">
        <f>IF('Customer Inputs'!$W$7="End",0,IFERROR(IF(AND($CH$2&lt;&gt;"Enter Spend&gt;&gt;&gt;",$CI$2="EXISTING"),SUMIFS('Existing Customers'!$O:$O,'Existing Customers'!$H:$H,$CG31,'Existing Customers'!$A:$A,$CH$1)*$CH$4,$CI31*$CH$8),0))</f>
        <v>0</v>
      </c>
      <c r="CK31" s="92">
        <f>IF('Customer Inputs'!$W$7="End",0,IFERROR(IF(AND($CH$2&lt;&gt;"Enter Spend&gt;&gt;&gt;",$CI$2="EXISTING"),SUMIFS('Existing Customers'!$P:$P,'Existing Customers'!$A:$A,$CH$1,'Existing Customers'!$H:$H,$CG31)*$CH$4,$CH31/$CT31),0))</f>
        <v>0</v>
      </c>
      <c r="CL31" s="93">
        <f>IF('Customer Inputs'!$W$7="End",0,IFERROR(IF(AND($CH$2&lt;&gt;"Enter Spend&gt;&gt;&gt;",$CI$2="EXISTING"),SUMIFS('Existing Customers'!$V:$V,'Existing Customers'!$H:$H,$CG31,'Existing Customers'!$A:$A,$CH$1)*$CH$4,0),0))</f>
        <v>0</v>
      </c>
      <c r="CM31" s="93">
        <f>IF('Customer Inputs'!$W$7="End",0,IFERROR(IF(AND($CH$2&lt;&gt;"Enter Spend&gt;&gt;&gt;",$CI$2="EXISTING"),SUMIFS('Existing Customers'!$R:$R,'Existing Customers'!$H:$H,$CG31,'Existing Customers'!$A:$A,$CH$1)*$CH$4,0),0))</f>
        <v>0</v>
      </c>
      <c r="CN31" s="780">
        <f>IF('Customer Inputs'!$W$7="End",0,IFERROR(IF(AND($CH$2&lt;&gt;"Enter Spend&gt;&gt;&gt;",$CI$2="EXISTING"),SUMIFS('Existing Customers'!$S:$S,'Existing Customers'!$H:$H,$CG31,'Existing Customers'!$A:$A,$CH$1)/SUMIFS('Existing Customers'!$Q:$Q,'Existing Customers'!$A:$A,$CH$1,'Existing Customers'!$H:$H,$CG31),CX31),0))</f>
        <v>0</v>
      </c>
      <c r="CO31" s="780">
        <f>IF('Customer Inputs'!$W$7="End",0,IFERROR(IF(AND($CH$2&lt;&gt;"Enter Spend&gt;&gt;&gt;",$CI$2="EXISTING"),SUMIFS('Existing Customers'!$U:$U,'Existing Customers'!$H:$H,$CG31,'Existing Customers'!$A:$A,$CH$1)/SUMIFS('Existing Customers'!$Q:$Q,'Existing Customers'!$A:$A,$CH$1,'Existing Customers'!$H:$H,$CG31),CY31),0))</f>
        <v>0</v>
      </c>
      <c r="CP31" s="783" t="e">
        <f>_xlfn.CONCAT('Customer Inputs'!$AH$7,"_",CG31)</f>
        <v>#N/A</v>
      </c>
      <c r="CQ31" s="783">
        <f t="array" ref="CQ31">IFERROR(INDEX('Margin Guidence Table'!$A$1:$AG$10000,MATCH(1,('Margin Guidence Table'!$A$1:$A$10000=$CP31)*('Margin Guidence Table'!$I$1:$I$10000&lt;=ROUND($CH$3,0))*('Margin Guidence Table'!$J$1:$J$10000&gt;=ROUND($CH$3,0)),0),MATCH("DATA_POINTS",'Margin Guidence Table'!$A$1:$AG$1,0)),0)</f>
        <v>0</v>
      </c>
      <c r="CR31" s="780" t="str">
        <f t="shared" si="35"/>
        <v>DEFAULT</v>
      </c>
      <c r="CS31" s="780">
        <f t="array" ref="CS31">IF('Customer Inputs'!$W$7="End",0,IFERROR(IF($CR31="SEGMENT",INDEX('Margin Guidence Table'!$A$1:$AG$10000,MATCH(1,('Margin Guidence Table'!$A$1:$A$10000=$CP31)*('Margin Guidence Table'!$I$1:$I$10000&lt;=ROUND($CH$3,0))*('Margin Guidence Table'!$J$1:$J$10000&gt;=ROUND($CH$3,0)),0),MATCH("SALES_CASE",'Margin Guidence Table'!$A$1:$AG$1,0)),INDEX('Margin Guidence Table'!$A$1:$AG$10000,MATCH(1,('Margin Guidence Table'!$A$1:$A$10000=$CP31)*('Margin Guidence Table'!$I$1:$I$10000&lt;=ROUND($CH$3,0))*('Margin Guidence Table'!$J$1:$J$10000&gt;=ROUND($CH$3,0)),0),MATCH("DEFAULT_SALES_CASE",'Margin Guidence Table'!$A$1:$AG$1,0))),0))</f>
        <v>0</v>
      </c>
      <c r="CT31" s="780">
        <f t="array" ref="CT31">IF('Customer Inputs'!$W$7="End",0,IFERROR(IF($CR31="SEGMENT",INDEX('Margin Guidence Table'!$A$1:$AG$10000,MATCH(1,('Margin Guidence Table'!$A$1:$A$10000=$CP31)*('Margin Guidence Table'!$I$1:$I$10000&lt;=ROUND($CH$3,0))*('Margin Guidence Table'!$J$1:$J$10000&gt;=ROUND($CH$3,0)),0),MATCH("SALES_LBS",'Margin Guidence Table'!$A$1:$AG$1,0)),INDEX('Margin Guidence Table'!$A$1:$AG$10000,MATCH(1,('Margin Guidence Table'!$A$1:$A$10000=$CP31)*('Margin Guidence Table'!$I$1:$I$10000&lt;=ROUND($CH$3,0))*('Margin Guidence Table'!$J$1:$J$10000&gt;=ROUND($CH$3,0)),0),MATCH("DEFAULT_SALES_LBS",'Margin Guidence Table'!$A$1:$AG$1,0))),0))</f>
        <v>0</v>
      </c>
      <c r="CU31" s="784">
        <f t="array" ref="CU31">IF('Customer Inputs'!$W$7="End",0,IFERROR(IF($CR31="SEGMENT",INDEX('Margin Guidence Table'!$A$1:$AG$10000,MATCH(1,('Margin Guidence Table'!$A$1:$A$10000=$CP31)*('Margin Guidence Table'!$I$1:$I$10000&lt;=ROUND($CH$3,0))*('Margin Guidence Table'!$J$1:$J$10000&gt;=ROUND($CH$3,0)),0),MATCH("MDA_MIN_MARGIN_GUIDENCE",'Margin Guidence Table'!$A$1:$AG$1,0)),INDEX('Margin Guidence Table'!$A$1:$AG$10000,MATCH(1,('Margin Guidence Table'!$A$1:$A$10000=$CP31)*('Margin Guidence Table'!$I$1:$I$10000&lt;=ROUND($CH$3,0))*('Margin Guidence Table'!$J$1:$J$10000&gt;=ROUND($CH$3,0)),0),MATCH("DEFAULT_MDA_MIN_MARGIN_GUIDENCE",'Margin Guidence Table'!$A$1:$AG$1,0))),0))</f>
        <v>0</v>
      </c>
      <c r="CV31" s="784">
        <f t="array" ref="CV31">IF('Customer Inputs'!$W$7="End",0,IFERROR(IF($CR31="SEGMENT",INDEX('Margin Guidence Table'!$A$1:$AG$10000,MATCH(1,('Margin Guidence Table'!$A$1:$A$10000=$CP31)*('Margin Guidence Table'!$I$1:$I$10000&lt;=ROUND($CH$3,0))*('Margin Guidence Table'!$J$1:$J$10000&gt;=ROUND($CH$3,0)),0),MATCH("MDA_MEDIAN_MARGIN_GUIDENCE",'Margin Guidence Table'!$A$1:$AG$1,0)),INDEX('Margin Guidence Table'!$A$1:$AG$10000,MATCH(1,('Margin Guidence Table'!$A$1:$A$10000=$CP31)*('Margin Guidence Table'!$I$1:$I$10000&lt;=ROUND($CH$3,0))*('Margin Guidence Table'!$J$1:$J$10000&gt;=ROUND($CH$3,0)),0),MATCH("DEFAULT_MDA_MEDIAN_MARGIN_GUIDENCE",'Margin Guidence Table'!$A$1:$AG$1,0))),0))</f>
        <v>0</v>
      </c>
      <c r="CW31" s="784">
        <f t="array" ref="CW31">IF('Customer Inputs'!$W$7="End",0,IFERROR(IF($CR31="SEGMENT",INDEX('Margin Guidence Table'!$A$1:$AG$10000,MATCH(1,('Margin Guidence Table'!$A$1:$A$10000=$CP31)*('Margin Guidence Table'!$I$1:$I$10000&lt;=ROUND($CH$3,0))*('Margin Guidence Table'!$J$1:$J$10000&gt;=ROUND($CH$3,0)),0),MATCH("MDA_MAX_MARGIN_GUIDENCE",'Margin Guidence Table'!$A$1:$AG$1,0)),INDEX('Margin Guidence Table'!$A$1:$AG$10000,MATCH(1,('Margin Guidence Table'!$A$1:$A$10000=$CP31)*('Margin Guidence Table'!$I$1:$I$10000&lt;=ROUND($CH$3,0))*('Margin Guidence Table'!$J$1:$J$10000&gt;=ROUND($CH$3,0)),0),MATCH("DEFAULT_MDA_MAX_MARGIN_GUIDENCE",'Margin Guidence Table'!$A$1:$AG$1,0))),0))</f>
        <v>0</v>
      </c>
      <c r="CX31" s="784">
        <f t="array" ref="CX31">IF('Customer Inputs'!$W$7="End",0,IFERROR(IF($CR31="SEGMENT",INDEX('Margin Guidence Table'!$A$1:$AG$10000,MATCH(1,('Margin Guidence Table'!$A$1:$A$10000=$CP31)*('Margin Guidence Table'!$I$1:$I$10000&lt;=ROUND($CH$3,0))*('Margin Guidence Table'!$J$1:$J$10000&gt;=ROUND($CH$3,0)),0),MATCH("PA_PCT_SALES",'Margin Guidence Table'!$A$1:$AG$1,0)),INDEX('Margin Guidence Table'!$A$1:$AG$10000,MATCH(1,('Margin Guidence Table'!$A$1:$A$10000=$CP31)*('Margin Guidence Table'!$I$1:$I$10000&lt;=ROUND($CH$3,0))*('Margin Guidence Table'!$J$1:$J$10000&gt;=ROUND($CH$3,0)),0),MATCH("DEFAULT_PA_PCT_SALES",'Margin Guidence Table'!$A$1:$AG$1,0))),0))</f>
        <v>0</v>
      </c>
      <c r="CY31" s="784">
        <f t="array" ref="CY31">IF('Customer Inputs'!$W$7="End",0,IFERROR(IF($CR31="SEGMENT",INDEX('Margin Guidence Table'!$A$1:$AG$10000,MATCH(1,('Margin Guidence Table'!$A$1:$A$10000=$CP31)*('Margin Guidence Table'!$I$1:$I$10000&lt;=ROUND($CH$3,0))*('Margin Guidence Table'!$J$1:$J$10000&gt;=ROUND($CH$3,0)),0),MATCH("SELF_FUND_PCT_SALES",'Margin Guidence Table'!$A$1:$AG$1,0)),INDEX('Margin Guidence Table'!$A$1:$AG$10000,MATCH(1,('Margin Guidence Table'!$A$1:$A$10000=$CP31)*('Margin Guidence Table'!$I$1:$I$10000&lt;=ROUND($CH$3,0))*('Margin Guidence Table'!$J$1:$J$10000&gt;=ROUND($CH$3,0)),0),MATCH("DEFAULT_SELF_FUND_PCT_SALES",'Margin Guidence Table'!$A$1:$AG$1,0))),0))</f>
        <v>0</v>
      </c>
      <c r="CZ31" s="784">
        <f t="array" ref="CZ31">IF('Customer Inputs'!$W$7="End",0,IF($CI$2="Existing",IFERROR(SUMIFS('Existing Customers'!$V:$V,'Existing Customers'!$H:$H,$CG31,'Existing Customers'!$A:$A,$CH$1)/SUMIFS('Existing Customers'!$Q:$Q,'Existing Customers'!$H:$H,$CG31,'Existing Customers'!$A:$A,$CH$1),0),IFERROR(IF($CR31="SEGMENT",INDEX('Margin Guidence Table'!$A$1:$AG$10000,MATCH(1,('Margin Guidence Table'!$A$1:$A$10000=$CP31)*('Margin Guidence Table'!$I$1:$I$10000&lt;=ROUND($CH$3,0))*('Margin Guidence Table'!$J$1:$J$10000&gt;=ROUND($CH$3,0)),0),MATCH("CIA_MEDIAN_MARGIN_GUIDENCE",'Margin Guidence Table'!$A$1:$AG$1,0)),INDEX('Margin Guidence Table'!$A$1:$AG$10000,MATCH(1,('Margin Guidence Table'!$A$1:$A$10000=$CP31)*('Margin Guidence Table'!$I$1:$I$10000&lt;=ROUND($CH$3,0))*('Margin Guidence Table'!$J$1:$J$10000&gt;=ROUND($CH$3,0)),0),MATCH("DEFAULT_CIA_MEDIAN_MARGIN_GUIDENCE",'Margin Guidence Table'!$A$1:$AG$1,0))),0)))</f>
        <v>0</v>
      </c>
      <c r="DA31" s="126"/>
      <c r="DB31" s="18">
        <f t="array" ref="DB31">IF('Customer Inputs'!$W$8="End",0,IFERROR(IF($DO31="SEGMENT",INDEX('Margin Guidence Table'!$A$1:$AG$10000,MATCH(1,('Margin Guidence Table'!$A$1:$A$10000=$DM31)*('Margin Guidence Table'!$I$1:$I$10000&lt;=ROUND($DE$3,0))*('Margin Guidence Table'!$J$1:$J$10000&gt;=ROUND($DE$3,0)),0),MATCH("PCT_SALES",'Margin Guidence Table'!$A$1:$AG$1,0)),INDEX('Margin Guidence Table'!$A$1:$AG$10000,MATCH(1,('Margin Guidence Table'!$A$1:$A$10000=$DM31)*('Margin Guidence Table'!$I$1:$I$10000&lt;=ROUND($DE$3,0))*('Margin Guidence Table'!$J$1:$J$10000&gt;=ROUND($DE$3,0)),0),MATCH("DEFAULT_PCT_SALES",'Margin Guidence Table'!$A$1:$AG$1,0))),0))</f>
        <v>0</v>
      </c>
      <c r="DC31" s="297" t="e">
        <f t="shared" si="36"/>
        <v>#DIV/0!</v>
      </c>
      <c r="DD31" s="99" t="s">
        <v>94</v>
      </c>
      <c r="DE31" s="91">
        <f>IF('Customer Inputs'!$W$8="End",0,IFERROR(IF(AND($DE$2&lt;&gt;"Enter Spend&gt;&gt;&gt;",$DF$2="EXISTING"),SUMIFS('Existing Customers'!$Q:$Q,'Existing Customers'!$A:$A,$DE$1,'Existing Customers'!$H:$H,$DD31)*$DE$4,$DE$3*$DC31),0))</f>
        <v>0</v>
      </c>
      <c r="DF31" s="86">
        <f>IF('Customer Inputs'!$W$8="End",0,IFERROR(IF(AND($DE$2&lt;&gt;"Enter Spend&gt;&gt;&gt;",$DF$2="EXISTING"),SUMIFS('Existing Customers'!$N:$N,'Existing Customers'!$A:$A,$DE$1,'Existing Customers'!$H:$H,$DD31)*$DE$4,$DE31/$DP31),0))</f>
        <v>0</v>
      </c>
      <c r="DG31" s="92">
        <f>IF('Customer Inputs'!$W$8="End",0,IFERROR(IF(AND($DE$2&lt;&gt;"Enter Spend&gt;&gt;&gt;",$DF$2="EXISTING"),SUMIFS('Existing Customers'!$O:$O,'Existing Customers'!$H:$H,$DD31,'Existing Customers'!$A:$A,$DE$1)*$DE$4,$DF31*$DE$8),0))</f>
        <v>0</v>
      </c>
      <c r="DH31" s="92">
        <f>IF('Customer Inputs'!$W$8="End",0,IFERROR(IF(AND($DE$2&lt;&gt;"Enter Spend&gt;&gt;&gt;",$DF$2="EXISTING"),SUMIFS('Existing Customers'!$P:$P,'Existing Customers'!$A:$A,$DE$1,'Existing Customers'!$H:$H,$DD31)*$DE$4,$DE31/$DQ31),0))</f>
        <v>0</v>
      </c>
      <c r="DI31" s="93">
        <f>IF('Customer Inputs'!$W$8="End",0,IFERROR(IF(AND($DE$2&lt;&gt;"Enter Spend&gt;&gt;&gt;",$DF$2="EXISTING"),SUMIFS('Existing Customers'!$V:$V,'Existing Customers'!$H:$H,$DD31,'Existing Customers'!$A:$A,$DE$1)*$DE$4,0),0))</f>
        <v>0</v>
      </c>
      <c r="DJ31" s="93">
        <f>IF('Customer Inputs'!$W$8="End",0,IFERROR(IF(AND($DE$2&lt;&gt;"Enter Spend&gt;&gt;&gt;",$DF$2="EXISTING"),SUMIFS('Existing Customers'!$R:$R,'Existing Customers'!$H:$H,$DD31,'Existing Customers'!$A:$A,$DE$1)*$DE$4,0),0))</f>
        <v>0</v>
      </c>
      <c r="DK31" s="780">
        <f>IF('Customer Inputs'!$W$8="End",0,IFERROR(IF(AND($DE$2&lt;&gt;"Enter Spend&gt;&gt;&gt;",$DF$2="EXISTING"),SUMIFS('Existing Customers'!$S:$S,'Existing Customers'!$H:$H,$DD31,'Existing Customers'!$A:$A,$DE$1)/SUMIFS('Existing Customers'!$Q:$Q,'Existing Customers'!$A:$A,$DE$1,'Existing Customers'!$H:$H,$DD31),DU31),0))</f>
        <v>0</v>
      </c>
      <c r="DL31" s="780">
        <f>IF('Customer Inputs'!$W$8="End",0,IFERROR(IF(AND($DE$2&lt;&gt;"Enter Spend&gt;&gt;&gt;",$DF$2="EXISTING"),SUMIFS('Existing Customers'!$U:$U,'Existing Customers'!$H:$H,$DD31,'Existing Customers'!$A:$A,$DE$1)/SUMIFS('Existing Customers'!$Q:$Q,'Existing Customers'!$A:$A,$DE$1,'Existing Customers'!$H:$H,$DD31),DV31),0))</f>
        <v>0</v>
      </c>
      <c r="DM31" s="783" t="e">
        <f>_xlfn.CONCAT('Customer Inputs'!$AH$8,"_",DD31)</f>
        <v>#N/A</v>
      </c>
      <c r="DN31" s="783">
        <f t="array" ref="DN31">IF('Customer Inputs'!$W$8="End",0,IFERROR(INDEX('Margin Guidence Table'!$A$1:$AG$10000,MATCH(1,('Margin Guidence Table'!$A$1:$A$10000=DM31)*('Margin Guidence Table'!$I$1:$I$10000&lt;=ROUND($DE$3,0))*('Margin Guidence Table'!$J$1:$J$10000&gt;=ROUND($DE$3,0)),0),MATCH("DATA_POINTS",'Margin Guidence Table'!$A$1:$AG$1,0)),0))</f>
        <v>0</v>
      </c>
      <c r="DO31" s="780" t="str">
        <f t="shared" si="37"/>
        <v>DEFAULT</v>
      </c>
      <c r="DP31" s="780">
        <f t="array" ref="DP31">IF('Customer Inputs'!$W$8="End",0,IFERROR(IF($DO31="SEGMENT",INDEX('Margin Guidence Table'!$A$1:$AG$10000,MATCH(1,('Margin Guidence Table'!$A$1:$A$10000=DM31)*('Margin Guidence Table'!$I$1:$I$10000&lt;=ROUND($DE$3,0))*('Margin Guidence Table'!$J$1:$J$10000&gt;=ROUND($DE$3,0)),0),MATCH("SALES_CASE",'Margin Guidence Table'!$A$1:$AG$1,0)),INDEX('Margin Guidence Table'!$A$1:$AG$10000,MATCH(1,('Margin Guidence Table'!$A$1:$A$10000=DM31)*('Margin Guidence Table'!$I$1:$I$10000&lt;=ROUND($DE$3,0))*('Margin Guidence Table'!$J$1:$J$10000&gt;=ROUND($DE$3,0)),0),MATCH("DEFAULT_SALES_CASE",'Margin Guidence Table'!$A$1:$AG$1,0))),0))</f>
        <v>0</v>
      </c>
      <c r="DQ31" s="780">
        <f t="array" ref="DQ31">IF('Customer Inputs'!$W$8="End",0,IFERROR(IF($DO31="SEGMENT",INDEX('Margin Guidence Table'!$A$1:$AG$10000,MATCH(1,('Margin Guidence Table'!$A$1:$A$10000=DM31)*('Margin Guidence Table'!$I$1:$I$10000&lt;=ROUND($DE$3,0))*('Margin Guidence Table'!$J$1:$J$10000&gt;=ROUND($DE$3,0)),0),MATCH("SALES_LBS",'Margin Guidence Table'!$A$1:$AG$1,0)),INDEX('Margin Guidence Table'!$A$1:$AG$10000,MATCH(1,('Margin Guidence Table'!$A$1:$A$10000=DM31)*('Margin Guidence Table'!$I$1:$I$10000&lt;=ROUND($DE$3,0))*('Margin Guidence Table'!$J$1:$J$10000&gt;=ROUND($DE$3,0)),0),MATCH("DEFAULT_SALES_LBS",'Margin Guidence Table'!$A$1:$AG$1,0))),0))</f>
        <v>0</v>
      </c>
      <c r="DR31" s="784">
        <f t="array" ref="DR31">IF('Customer Inputs'!$W$8="End",0,IFERROR(IF($DO31="SEGMENT",INDEX('Margin Guidence Table'!$A$1:$AG$10000,MATCH(1,('Margin Guidence Table'!$A$1:$A$10000=DM31)*('Margin Guidence Table'!$I$1:$I$10000&lt;=ROUND($DE$3,0))*('Margin Guidence Table'!$J$1:$J$10000&gt;=ROUND($DE$3,0)),0),MATCH("MDA_MIN_MARGIN_GUIDENCE",'Margin Guidence Table'!$A$1:$AG$1,0)),INDEX('Margin Guidence Table'!$A$1:$AG$10000,MATCH(1,('Margin Guidence Table'!$A$1:$A$10000=DM31)*('Margin Guidence Table'!$I$1:$I$10000&lt;=ROUND($DE$3,0))*('Margin Guidence Table'!$J$1:$J$10000&gt;=ROUND($DE$3,0)),0),MATCH("DEFAULT_MDA_MIN_MARGIN_GUIDENCE",'Margin Guidence Table'!$A$1:$AG$1,0))),0))</f>
        <v>0</v>
      </c>
      <c r="DS31" s="784">
        <f t="array" ref="DS31">IF('Customer Inputs'!$W$8="End",0,IFERROR(IF($DO31="SEGMENT",INDEX('Margin Guidence Table'!$A$1:$AG$10000,MATCH(1,('Margin Guidence Table'!$A$1:$A$10000=DM31)*('Margin Guidence Table'!$I$1:$I$10000&lt;=ROUND($DE$3,0))*('Margin Guidence Table'!$J$1:$J$10000&gt;=ROUND($DE$3,0)),0),MATCH("MDA_MEDIAN_MARGIN_GUIDENCE",'Margin Guidence Table'!$A$1:$AG$1,0)),INDEX('Margin Guidence Table'!$A$1:$AG$10000,MATCH(1,('Margin Guidence Table'!$A$1:$A$10000=DM31)*('Margin Guidence Table'!$I$1:$I$10000&lt;=ROUND($DE$3,0))*('Margin Guidence Table'!$J$1:$J$10000&gt;=ROUND($DE$3,0)),0),MATCH("DEFAULT_MDA_MEDIAN_MARGIN_GUIDENCE",'Margin Guidence Table'!$A$1:$AG$1,0))),0))</f>
        <v>0</v>
      </c>
      <c r="DT31" s="784">
        <f t="array" ref="DT31">IF('Customer Inputs'!$W$8="End",0,IFERROR(IF($DO31="SEGMENT",INDEX('Margin Guidence Table'!$A$1:$AG$10000,MATCH(1,('Margin Guidence Table'!$A$1:$A$10000=DM31)*('Margin Guidence Table'!$I$1:$I$10000&lt;=ROUND($DE$3,0))*('Margin Guidence Table'!$J$1:$J$10000&gt;=ROUND($DE$3,0)),0),MATCH("MDA_MAX_MARGIN_GUIDENCE",'Margin Guidence Table'!$A$1:$AG$1,0)),INDEX('Margin Guidence Table'!$A$1:$AG$10000,MATCH(1,('Margin Guidence Table'!$A$1:$A$10000=DM31)*('Margin Guidence Table'!$I$1:$I$10000&lt;=ROUND($DE$3,0))*('Margin Guidence Table'!$J$1:$J$10000&gt;=ROUND($DE$3,0)),0),MATCH("DEFAULT_MDA_MAX_MARGIN_GUIDENCE",'Margin Guidence Table'!$A$1:$AG$1,0))),0))</f>
        <v>0</v>
      </c>
      <c r="DU31" s="784">
        <f t="array" ref="DU31">IF('Customer Inputs'!$W$8="End",0,IFERROR(IF($DO31="SEGMENT",INDEX('Margin Guidence Table'!$A$1:$AG$10000,MATCH(1,('Margin Guidence Table'!$A$1:$A$10000=DM31)*('Margin Guidence Table'!$I$1:$I$10000&lt;=ROUND($DE$3,0))*('Margin Guidence Table'!$J$1:$J$10000&gt;=ROUND($DE$3,0)),0),MATCH("PA_PCT_SALES",'Margin Guidence Table'!$A$1:$AG$1,0)),INDEX('Margin Guidence Table'!$A$1:$AG$10000,MATCH(1,('Margin Guidence Table'!$A$1:$A$10000=DM31)*('Margin Guidence Table'!$I$1:$I$10000&lt;=ROUND($DE$3,0))*('Margin Guidence Table'!$J$1:$J$10000&gt;=ROUND($DE$3,0)),0),MATCH("DEFAULT_PA_PCT_SALES",'Margin Guidence Table'!$A$1:$AG$1,0))),0))</f>
        <v>0</v>
      </c>
      <c r="DV31" s="784">
        <f t="array" ref="DV31">IF('Customer Inputs'!$W$8="End",0,IFERROR(IF($DO31="SEGMENT",INDEX('Margin Guidence Table'!$A$1:$AG$10000,MATCH(1,('Margin Guidence Table'!$A$1:$A$10000=DM31)*('Margin Guidence Table'!$I$1:$I$10000&lt;=ROUND($DE$3,0))*('Margin Guidence Table'!$J$1:$J$10000&gt;=ROUND($DE$3,0)),0),MATCH("SELF_FUND_PCT_SALES",'Margin Guidence Table'!$A$1:$AG$1,0)),INDEX('Margin Guidence Table'!$A$1:$AG$10000,MATCH(1,('Margin Guidence Table'!$A$1:$A$10000=DM31)*('Margin Guidence Table'!$I$1:$I$10000&lt;=ROUND($DE$3,0))*('Margin Guidence Table'!$J$1:$J$10000&gt;=ROUND($DE$3,0)),0),MATCH("DEFAULT_SELF_FUND_PCT_SALES",'Margin Guidence Table'!$A$1:$AG$1,0))),0))</f>
        <v>0</v>
      </c>
      <c r="DW31" s="784">
        <f t="array" ref="DW31">IF('Customer Inputs'!$W$8="End",0,IF($DF$2="Existing",IFERROR(SUMIFS('Existing Customers'!$V:$V,'Existing Customers'!$H:$H,$DD31,'Existing Customers'!$A:$A,$DE$1)/SUMIFS('Existing Customers'!$Q:$Q,'Existing Customers'!$H:$H,$DD31,'Existing Customers'!$A:$A,$DE$1),0),IFERROR(IF($DO31="SEGMENT",INDEX('Margin Guidence Table'!$A$1:$AG$10000,MATCH(1,('Margin Guidence Table'!$A$1:$A$10000=DM31)*('Margin Guidence Table'!$I$1:$I$10000&lt;=ROUND($DE$3,0))*('Margin Guidence Table'!$J$1:$J$10000&gt;=ROUND($DE$3,0)),0),MATCH("CIA_MEDIAN_MARGIN_GUIDENCE",'Margin Guidence Table'!$A$1:$AG$1,0)),INDEX('Margin Guidence Table'!$A$1:$AG$10000,MATCH(1,('Margin Guidence Table'!$A$1:$A$10000=DM31)*('Margin Guidence Table'!$I$1:$I$10000&lt;=ROUND($DE$3,0))*('Margin Guidence Table'!$J$1:$J$10000&gt;=ROUND($DE$3,0)),0),MATCH("DEFAULT_CIA_MEDIAN_MARGIN_GUIDENCE",'Margin Guidence Table'!$A$1:$AG$1,0))),0)))</f>
        <v>0</v>
      </c>
      <c r="DX31" s="126"/>
      <c r="DY31" s="18">
        <f t="array" ref="DY31">IF('Customer Inputs'!$W$9="End",0,IFERROR(IF($EL31="SEGMENT",INDEX('Margin Guidence Table'!$A$1:$AG$10000,MATCH(1,('Margin Guidence Table'!$A$1:$A$10000=$EJ31)*('Margin Guidence Table'!$I$1:$I$10000&lt;=ROUND($EB$3,0))*('Margin Guidence Table'!$J$1:$J$10000&gt;=ROUND($EB$3,0)),0),MATCH("PCT_SALES",'Margin Guidence Table'!$A$1:$AG$1,0)),INDEX('Margin Guidence Table'!$A$1:$AG$10000,MATCH(1,('Margin Guidence Table'!$A$1:$A$10000=$EJ31)*('Margin Guidence Table'!$I$1:$I$10000&lt;=ROUND($EB$3,0))*('Margin Guidence Table'!$J$1:$J$10000&gt;=ROUND($EB$3,0)),0),MATCH("DEFAULT_PCT_SALES",'Margin Guidence Table'!$A$1:$AG$1,0))),0))</f>
        <v>0</v>
      </c>
      <c r="DZ31" s="297" t="e">
        <f t="shared" si="38"/>
        <v>#DIV/0!</v>
      </c>
      <c r="EA31" s="99" t="s">
        <v>94</v>
      </c>
      <c r="EB31" s="91">
        <f>IF('Customer Inputs'!$W$9="End",0,IFERROR(IF(AND($EB$2&lt;&gt;"Enter Spend&gt;&gt;&gt;",$EC$2="EXISTING"),SUMIFS('Existing Customers'!$Q:$Q,'Existing Customers'!$A:$A,$EB$1,'Existing Customers'!$H:$H,$EA31)*$EB$4,$EB$3*$DZ31),0))</f>
        <v>0</v>
      </c>
      <c r="EC31" s="86">
        <f>IF('Customer Inputs'!$W$9="End",0,IFERROR(IF(AND($EB$2&lt;&gt;"Enter Spend&gt;&gt;&gt;",$EC$2="EXISTING"),SUMIFS('Existing Customers'!$N:$N,'Existing Customers'!$A:$A,$EB$1,'Existing Customers'!$H:$H,$EA31)*$EB$4,$EB31/$EM31),0))</f>
        <v>0</v>
      </c>
      <c r="ED31" s="92">
        <f>IF('Customer Inputs'!$W$9="End",0,IFERROR(IF(AND($EB$2&lt;&gt;"Enter Spend&gt;&gt;&gt;",$EC$2="EXISTING"),SUMIFS('Existing Customers'!$O:$O,'Existing Customers'!$H:$H,$EA31,'Existing Customers'!$A:$A,$EB$1)*$EB$4,$EC31*$EB$8),0))</f>
        <v>0</v>
      </c>
      <c r="EE31" s="92">
        <f>IF('Customer Inputs'!$W$9="End",0,IFERROR(IF(AND($EB$2&lt;&gt;"Enter Spend&gt;&gt;&gt;",$EC$2="EXISTING"),SUMIFS('Existing Customers'!$P:$P,'Existing Customers'!$A:$A,$EB$1,'Existing Customers'!$H:$H,$EA31)*$EB$4,$EB31/$EN31),0))</f>
        <v>0</v>
      </c>
      <c r="EF31" s="93">
        <f>IF('Customer Inputs'!$W$9="End",0,IFERROR(IF(AND($EB$2&lt;&gt;"Enter Spend&gt;&gt;&gt;",$EC$2="EXISTING"),SUMIFS('Existing Customers'!$V:$V,'Existing Customers'!$H:$H,$EA31,'Existing Customers'!$A:$A,$EB$1)*$EB$4,0),0))</f>
        <v>0</v>
      </c>
      <c r="EG31" s="93">
        <f>IF('Customer Inputs'!$W$9="End",0,IFERROR(IF(AND($EB$2&lt;&gt;"Enter Spend&gt;&gt;&gt;",$EC$2="EXISTING"),SUMIFS('Existing Customers'!$R:$R,'Existing Customers'!$H:$H,$EA31,'Existing Customers'!$A:$A,$EB$1)*$EB$4,0),0))</f>
        <v>0</v>
      </c>
      <c r="EH31" s="780">
        <f>IF('Customer Inputs'!$W$9="End",0,IFERROR(IF(AND($EB$2&lt;&gt;"Enter Spend&gt;&gt;&gt;",$EC$2="EXISTING"),SUMIFS('Existing Customers'!$S:$S,'Existing Customers'!$H:$H,$EA31,'Existing Customers'!$A:$A,$EB$1)/SUMIFS('Existing Customers'!$Q:$Q,'Existing Customers'!$A:$A,$EB$1,'Existing Customers'!$H:$H,$EA31),ER31),0))</f>
        <v>0</v>
      </c>
      <c r="EI31" s="780">
        <f>IF('Customer Inputs'!$W$9="End",0,IFERROR(IF(AND($EB$2&lt;&gt;"Enter Spend&gt;&gt;&gt;",$EC$2="EXISTING"),SUMIFS('Existing Customers'!$U:$U,'Existing Customers'!$H:$H,$EA31,'Existing Customers'!$A:$A,$EB$1)/SUMIFS('Existing Customers'!$Q:$Q,'Existing Customers'!$A:$A,$EB$1,'Existing Customers'!$H:$H,$EA31),ES31),0))</f>
        <v>0</v>
      </c>
      <c r="EJ31" s="783" t="e">
        <f>_xlfn.CONCAT('Customer Inputs'!$AH$9,"_",EA31)</f>
        <v>#N/A</v>
      </c>
      <c r="EK31" s="783">
        <f t="array" ref="EK31">IF('Customer Inputs'!$W$9="End",0,IFERROR(INDEX('Margin Guidence Table'!$A$1:$AG$10000,MATCH(1,('Margin Guidence Table'!$A$1:$A$10000=EJ31)*('Margin Guidence Table'!$I$1:$I$10000&lt;=ROUND($EB$3,0))*('Margin Guidence Table'!$J$1:$J$10000&gt;=ROUND($EB$3,0)),0),MATCH("DATA_POINTS",'Margin Guidence Table'!$A$1:$AG$1,0)),0))</f>
        <v>0</v>
      </c>
      <c r="EL31" s="780" t="str">
        <f t="shared" si="39"/>
        <v>DEFAULT</v>
      </c>
      <c r="EM31" s="780">
        <f t="array" ref="EM31">IF('Customer Inputs'!$W$9="End",0,IFERROR(IF($EL31="SEGMENT",INDEX('Margin Guidence Table'!$A$1:$AG$10000,MATCH(1,('Margin Guidence Table'!$A$1:$A$10000=EJ31)*('Margin Guidence Table'!$I$1:$I$10000&lt;=ROUND($EB$3,0))*('Margin Guidence Table'!$J$1:$J$10000&gt;=ROUND($EB$3,0)),0),MATCH("SALES_CASE",'Margin Guidence Table'!$A$1:$AG$1,0)),INDEX('Margin Guidence Table'!$A$1:$AG$10000,MATCH(1,('Margin Guidence Table'!$A$1:$A$10000=EJ31)*('Margin Guidence Table'!$I$1:$I$10000&lt;=ROUND($EB$3,0))*('Margin Guidence Table'!$J$1:$J$10000&gt;=ROUND($EB$3,0)),0),MATCH("DEFAULT_SALES_CASE",'Margin Guidence Table'!$A$1:$AG$1,0))),0))</f>
        <v>0</v>
      </c>
      <c r="EN31" s="780">
        <f t="array" ref="EN31">IF('Customer Inputs'!$W$9="End",0,IFERROR(IF($EL31="SEGMENT",INDEX('Margin Guidence Table'!$A$1:$AG$10000,MATCH(1,('Margin Guidence Table'!$A$1:$A$10000=EJ31)*('Margin Guidence Table'!$I$1:$I$10000&lt;=ROUND($EB$3,0))*('Margin Guidence Table'!$J$1:$J$10000&gt;=ROUND($EB$3,0)),0),MATCH("SALES_LBS",'Margin Guidence Table'!$A$1:$AG$1,0)),INDEX('Margin Guidence Table'!$A$1:$AG$10000,MATCH(1,('Margin Guidence Table'!$A$1:$A$10000=EJ31)*('Margin Guidence Table'!$I$1:$I$10000&lt;=ROUND($EB$3,0))*('Margin Guidence Table'!$J$1:$J$10000&gt;=ROUND($EB$3,0)),0),MATCH("DEFAULT_SALES_LBS",'Margin Guidence Table'!$A$1:$AG$1,0))),0))</f>
        <v>0</v>
      </c>
      <c r="EO31" s="784">
        <f t="array" ref="EO31">IF('Customer Inputs'!$W$9="End",0,IFERROR(IF($EL31="SEGMENT",INDEX('Margin Guidence Table'!$A$1:$AG$10000,MATCH(1,('Margin Guidence Table'!$A$1:$A$10000=EJ31)*('Margin Guidence Table'!$I$1:$I$10000&lt;=ROUND($EB$3,0))*('Margin Guidence Table'!$J$1:$J$10000&gt;=ROUND($EB$3,0)),0),MATCH("MDA_MIN_MARGIN_GUIDENCE",'Margin Guidence Table'!$A$1:$AG$1,0)),INDEX('Margin Guidence Table'!$A$1:$AG$10000,MATCH(1,('Margin Guidence Table'!$A$1:$A$10000=EJ31)*('Margin Guidence Table'!$I$1:$I$10000&lt;=ROUND($EB$3,0))*('Margin Guidence Table'!$J$1:$J$10000&gt;=ROUND($EB$3,0)),0),MATCH("DEFAULT_MDA_MIN_MARGIN_GUIDENCE",'Margin Guidence Table'!$A$1:$AG$1,0))),0))</f>
        <v>0</v>
      </c>
      <c r="EP31" s="784">
        <f t="array" ref="EP31">IF('Customer Inputs'!$W$9="End",0,IFERROR(IF($EL31="SEGMENT",INDEX('Margin Guidence Table'!$A$1:$AG$10000,MATCH(1,('Margin Guidence Table'!$A$1:$A$10000=EJ31)*('Margin Guidence Table'!$I$1:$I$10000&lt;=ROUND($EB$3,0))*('Margin Guidence Table'!$J$1:$J$10000&gt;=ROUND($EB$3,0)),0),MATCH("MDA_MEDIAN_MARGIN_GUIDENCE",'Margin Guidence Table'!$A$1:$AG$1,0)),INDEX('Margin Guidence Table'!$A$1:$AG$10000,MATCH(1,('Margin Guidence Table'!$A$1:$A$10000=EJ31)*('Margin Guidence Table'!$I$1:$I$10000&lt;=ROUND($EB$3,0))*('Margin Guidence Table'!$J$1:$J$10000&gt;=ROUND($EB$3,0)),0),MATCH("DEFAULT_MDA_MEDIAN_MARGIN_GUIDENCE",'Margin Guidence Table'!$A$1:$AG$1,0))),0))</f>
        <v>0</v>
      </c>
      <c r="EQ31" s="784">
        <f t="array" ref="EQ31">IF('Customer Inputs'!$W$9="End",0,IFERROR(IF($EL31="SEGMENT",INDEX('Margin Guidence Table'!$A$1:$AG$10000,MATCH(1,('Margin Guidence Table'!$A$1:$A$10000=EJ31)*('Margin Guidence Table'!$I$1:$I$10000&lt;=ROUND($EB$3,0))*('Margin Guidence Table'!$J$1:$J$10000&gt;=ROUND($EB$3,0)),0),MATCH("MDA_MAX_MARGIN_GUIDENCE",'Margin Guidence Table'!$A$1:$AG$1,0)),INDEX('Margin Guidence Table'!$A$1:$AG$10000,MATCH(1,('Margin Guidence Table'!$A$1:$A$10000=EJ31)*('Margin Guidence Table'!$I$1:$I$10000&lt;=ROUND($EB$3,0))*('Margin Guidence Table'!$J$1:$J$10000&gt;=ROUND($EB$3,0)),0),MATCH("DEFAULT_MDA_MAX_MARGIN_GUIDENCE",'Margin Guidence Table'!$A$1:$AG$1,0))),0))</f>
        <v>0</v>
      </c>
      <c r="ER31" s="784">
        <f t="array" ref="ER31">IF('Customer Inputs'!$W$9="End",0,IFERROR(IF($EL31="SEGMENT",INDEX('Margin Guidence Table'!$A$1:$AG$10000,MATCH(1,('Margin Guidence Table'!$A$1:$A$10000=EJ31)*('Margin Guidence Table'!$I$1:$I$10000&lt;=ROUND($EB$3,0))*('Margin Guidence Table'!$J$1:$J$10000&gt;=ROUND($EB$3,0)),0),MATCH("PA_PCT_SALES",'Margin Guidence Table'!$A$1:$AG$1,0)),INDEX('Margin Guidence Table'!$A$1:$AG$10000,MATCH(1,('Margin Guidence Table'!$A$1:$A$10000=EJ31)*('Margin Guidence Table'!$I$1:$I$10000&lt;=ROUND($EB$3,0))*('Margin Guidence Table'!$J$1:$J$10000&gt;=ROUND($EB$3,0)),0),MATCH("DEFAULT_PA_PCT_SALES",'Margin Guidence Table'!$A$1:$AG$1,0))),0))</f>
        <v>0</v>
      </c>
      <c r="ES31" s="784">
        <f t="array" ref="ES31">IF('Customer Inputs'!$W$9="End",0,IFERROR(IF($EL31="SEGMENT",INDEX('Margin Guidence Table'!$A$1:$AG$10000,MATCH(1,('Margin Guidence Table'!$A$1:$A$10000=EJ31)*('Margin Guidence Table'!$I$1:$I$10000&lt;=ROUND($EB$3,0))*('Margin Guidence Table'!$J$1:$J$10000&gt;=ROUND($EB$3,0)),0),MATCH("SELF_FUND_PCT_SALES",'Margin Guidence Table'!$A$1:$AG$1,0)),INDEX('Margin Guidence Table'!$A$1:$AG$10000,MATCH(1,('Margin Guidence Table'!$A$1:$A$10000=EJ31)*('Margin Guidence Table'!$I$1:$I$10000&lt;=ROUND($EB$3,0))*('Margin Guidence Table'!$J$1:$J$10000&gt;=ROUND($EB$3,0)),0),MATCH("DEFAULT_SELF_FUND_PCT_SALES",'Margin Guidence Table'!$A$1:$AG$1,0))),0))</f>
        <v>0</v>
      </c>
      <c r="ET31" s="784">
        <f t="array" ref="ET31">IF('Customer Inputs'!$W$9="End",0,IF($EC$2="Existing",IFERROR(SUMIFS('Existing Customers'!$V:$V,'Existing Customers'!$H:$H,$EA31,'Existing Customers'!$A:$A,$EB$1)/SUMIFS('Existing Customers'!$Q:$Q,'Existing Customers'!$H:$H,$EA31,'Existing Customers'!$A:$A,$EB$1),0),IFERROR(IF($EL31="SEGMENT",INDEX('Margin Guidence Table'!$A$1:$AG$10000,MATCH(1,('Margin Guidence Table'!$A$1:$A$10000=EJ31)*('Margin Guidence Table'!$I$1:$I$10000&lt;=ROUND($EB$3,0))*('Margin Guidence Table'!$J$1:$J$10000&gt;=ROUND($EB$3,0)),0),MATCH("CIA_MEDIAN_MARGIN_GUIDENCE",'Margin Guidence Table'!$A$1:$AG$1,0)),INDEX('Margin Guidence Table'!$A$1:$AG$10000,MATCH(1,('Margin Guidence Table'!$A$1:$A$10000=EJ31)*('Margin Guidence Table'!$I$1:$I$10000&lt;=ROUND($EB$3,0))*('Margin Guidence Table'!$J$1:$J$10000&gt;=ROUND($EB$3,0)),0),MATCH("DEFAULT_CIA_MEDIAN_MARGIN_GUIDENCE",'Margin Guidence Table'!$A$1:$AG$1,0))),0)))</f>
        <v>0</v>
      </c>
      <c r="EU31" s="126"/>
      <c r="EV31" s="18">
        <f t="array" ref="EV31">IF('Customer Inputs'!$W$10="End",0,IFERROR(IF($FI31="SEGMENT",INDEX('Margin Guidence Table'!$A$1:$AG$10000,MATCH(1,('Margin Guidence Table'!$A$1:$A$10000=$FG31)*('Margin Guidence Table'!$I$1:$I$10000&lt;=ROUND($EY$3,0))*('Margin Guidence Table'!$J$1:$J$10000&gt;=ROUND($EY$3,0)),0),MATCH("PCT_SALES",'Margin Guidence Table'!$A$1:$AG$1,0)),INDEX('Margin Guidence Table'!$A$1:$AG$10000,MATCH(1,('Margin Guidence Table'!$A$1:$A$10000=$FG31)*('Margin Guidence Table'!$I$1:$I$10000&lt;=ROUND($EY$3,0))*('Margin Guidence Table'!$J$1:$J$10000&gt;=ROUND($EY$3,0)),0),MATCH("DEFAULT_PCT_SALES",'Margin Guidence Table'!$A$1:$AG$1,0))),0))</f>
        <v>0</v>
      </c>
      <c r="EW31" s="297" t="e">
        <f t="shared" si="40"/>
        <v>#DIV/0!</v>
      </c>
      <c r="EX31" s="99" t="s">
        <v>94</v>
      </c>
      <c r="EY31" s="91">
        <f>IF('Customer Inputs'!$W$10="End",0,IFERROR(IF(AND($EY$2&lt;&gt;"Enter Spend&gt;&gt;&gt;",$EZ$2="EXISTING"),SUMIFS('Existing Customers'!$Q:$Q,'Existing Customers'!$A:$A,$EY$1,'Existing Customers'!$H:$H,$EX31)*$EY$4,$EY$3*$EW31),0))</f>
        <v>0</v>
      </c>
      <c r="EZ31" s="86">
        <f>IF('Customer Inputs'!$W$10="End",0,IFERROR(IF(AND($EY$2&lt;&gt;"Enter Spend&gt;&gt;&gt;",$EZ$2="EXISTING"),SUMIFS('Existing Customers'!$N:$N,'Existing Customers'!$A:$A,$EY$1,'Existing Customers'!$H:$H,$EX31)*$EY$4,$EY31/$FJ31),0))</f>
        <v>0</v>
      </c>
      <c r="FA31" s="92">
        <f>IF('Customer Inputs'!$W$10="End",0,IFERROR(IF(AND($EY$2&lt;&gt;"Enter Spend&gt;&gt;&gt;",$EZ$2="EXISTING"),SUMIFS('Existing Customers'!$O:$O,'Existing Customers'!$H:$H,$EX31,'Existing Customers'!$A:$A,$EY$1)*$EY$4,$EZ31*$EY$8),0))</f>
        <v>0</v>
      </c>
      <c r="FB31" s="92">
        <f>IF('Customer Inputs'!$W$10="End",0,IFERROR(IF(AND($EY$2&lt;&gt;"Enter Spend&gt;&gt;&gt;",$EZ$2="EXISTING"),SUMIFS('Existing Customers'!$P:$P,'Existing Customers'!$A:$A,$EY$1,'Existing Customers'!$H:$H,$EX31)*$EY$4,$EY31/$FK31),0))</f>
        <v>0</v>
      </c>
      <c r="FC31" s="93">
        <f>IF('Customer Inputs'!$W$10="End",0,IFERROR(IF(AND($EY$2&lt;&gt;"Enter Spend&gt;&gt;&gt;",$EZ$2="EXISTING"),SUMIFS('Existing Customers'!$V:$V,'Existing Customers'!$H:$H,$EX31,'Existing Customers'!$A:$A,$EY$1)*$EY$4,0),0))</f>
        <v>0</v>
      </c>
      <c r="FD31" s="93">
        <f>IF('Customer Inputs'!$W$10="End",0,IFERROR(IF(AND($EY$2&lt;&gt;"Enter Spend&gt;&gt;&gt;",$EZ$2="EXISTING"),SUMIFS('Existing Customers'!$R:$R,'Existing Customers'!$H:$H,$EX31,'Existing Customers'!$A:$A,$EY$1)*$EY$4,0),0))</f>
        <v>0</v>
      </c>
      <c r="FE31" s="780">
        <f>IF('Customer Inputs'!$W$10="End",0,IFERROR(IF(AND($EY$2&lt;&gt;"Enter Spend&gt;&gt;&gt;",$EZ$2="EXISTING"),SUMIFS('Existing Customers'!$S:$S,'Existing Customers'!$H:$H,$EX31,'Existing Customers'!$A:$A,$EY$1)/SUMIFS('Existing Customers'!$Q:$Q,'Existing Customers'!$A:$A,$EY$1,'Existing Customers'!$H:$H,$EX31),FO31),0))</f>
        <v>0</v>
      </c>
      <c r="FF31" s="780">
        <f>IF('Customer Inputs'!$W$10="End",0,IFERROR(IF(AND($EY$2&lt;&gt;"Enter Spend&gt;&gt;&gt;",$EZ$2="EXISTING"),SUMIFS('Existing Customers'!$U:$U,'Existing Customers'!$H:$H,$EX31,'Existing Customers'!$A:$A,$EY$1)/SUMIFS('Existing Customers'!$Q:$Q,'Existing Customers'!$A:$A,$EY$1,'Existing Customers'!$H:$H,$EX31),FP31),0))</f>
        <v>0</v>
      </c>
      <c r="FG31" s="783" t="e">
        <f>_xlfn.CONCAT('Customer Inputs'!$AH$10,"_",EX31)</f>
        <v>#N/A</v>
      </c>
      <c r="FH31" s="783">
        <f t="array" ref="FH31">IF('Customer Inputs'!$W$10="End",0,IFERROR(INDEX('Margin Guidence Table'!$A$1:$AG$10000,MATCH(1,('Margin Guidence Table'!$A$1:$A$10000=FG31)*('Margin Guidence Table'!$I$1:$I$10000&lt;=ROUND($EY$3,0))*('Margin Guidence Table'!$J$1:$J$10000&gt;=ROUND($EY$3,0)),0),MATCH("DATA_POINTS",'Margin Guidence Table'!$A$1:$AG$1,0)),0))</f>
        <v>0</v>
      </c>
      <c r="FI31" s="780" t="str">
        <f t="shared" si="41"/>
        <v>DEFAULT</v>
      </c>
      <c r="FJ31" s="780">
        <f t="array" ref="FJ31">IF('Customer Inputs'!$W$10="End",0,IFERROR(IF($FI31="SEGMENT",INDEX('Margin Guidence Table'!$A$1:$AG$10000,MATCH(1,('Margin Guidence Table'!$A$1:$A$10000=FG31)*('Margin Guidence Table'!$I$1:$I$10000&lt;=ROUND($EY$3,0))*('Margin Guidence Table'!$J$1:$J$10000&gt;=ROUND($EY$3,0)),0),MATCH("SALES_CASE",'Margin Guidence Table'!$A$1:$AG$1,0)),INDEX('Margin Guidence Table'!$A$1:$AG$10000,MATCH(1,('Margin Guidence Table'!$A$1:$A$10000=FG31)*('Margin Guidence Table'!$I$1:$I$10000&lt;=ROUND($EY$3,0))*('Margin Guidence Table'!$J$1:$J$10000&gt;=ROUND($EY$3,0)),0),MATCH("DEFAULT_SALES_CASE",'Margin Guidence Table'!$A$1:$AG$1,0))),0))</f>
        <v>0</v>
      </c>
      <c r="FK31" s="780">
        <f t="array" ref="FK31">IF('Customer Inputs'!$W$10="End",0,IFERROR(IF($FI31="SEGMENT",INDEX('Margin Guidence Table'!$A$1:$AG$10000,MATCH(1,('Margin Guidence Table'!$A$1:$A$10000=FG31)*('Margin Guidence Table'!$I$1:$I$10000&lt;=ROUND($EY$3,0))*('Margin Guidence Table'!$J$1:$J$10000&gt;=ROUND($EY$3,0)),0),MATCH("SALES_LBS",'Margin Guidence Table'!$A$1:$AG$1,0)),INDEX('Margin Guidence Table'!$A$1:$AG$10000,MATCH(1,('Margin Guidence Table'!$A$1:$A$10000=FG31)*('Margin Guidence Table'!$I$1:$I$10000&lt;=ROUND($EY$3,0))*('Margin Guidence Table'!$J$1:$J$10000&gt;=ROUND($EY$3,0)),0),MATCH("DEFAULT_SALES_LBS",'Margin Guidence Table'!$A$1:$AG$1,0))),0))</f>
        <v>0</v>
      </c>
      <c r="FL31" s="784">
        <f t="array" ref="FL31">IF('Customer Inputs'!$W$10="End",0,IFERROR(IF($FI31="SEGMENT",INDEX('Margin Guidence Table'!$A$1:$AG$10000,MATCH(1,('Margin Guidence Table'!$A$1:$A$10000=FG31)*('Margin Guidence Table'!$I$1:$I$10000&lt;=ROUND($EY$3,0))*('Margin Guidence Table'!$J$1:$J$10000&gt;=ROUND($EY$3,0)),0),MATCH("MDA_MIN_MARGIN_GUIDENCE",'Margin Guidence Table'!$A$1:$AG$1,0)),INDEX('Margin Guidence Table'!$A$1:$AG$10000,MATCH(1,('Margin Guidence Table'!$A$1:$A$10000=FG31)*('Margin Guidence Table'!$I$1:$I$10000&lt;=ROUND($EY$3,0))*('Margin Guidence Table'!$J$1:$J$10000&gt;=ROUND($EY$3,0)),0),MATCH("DEFAULT_MDA_MIN_MARGIN_GUIDENCE",'Margin Guidence Table'!$A$1:$AG$1,0))),0))</f>
        <v>0</v>
      </c>
      <c r="FM31" s="784">
        <f t="array" ref="FM31">IF('Customer Inputs'!$W$10="End",0,IFERROR(IF($FI31="SEGMENT",INDEX('Margin Guidence Table'!$A$1:$AG$10000,MATCH(1,('Margin Guidence Table'!$A$1:$A$10000=FG31)*('Margin Guidence Table'!$I$1:$I$10000&lt;=ROUND($EY$3,0))*('Margin Guidence Table'!$J$1:$J$10000&gt;=ROUND($EY$3,0)),0),MATCH("MDA_MEDIAN_MARGIN_GUIDENCE",'Margin Guidence Table'!$A$1:$AG$1,0)),INDEX('Margin Guidence Table'!$A$1:$AG$10000,MATCH(1,('Margin Guidence Table'!$A$1:$A$10000=FG31)*('Margin Guidence Table'!$I$1:$I$10000&lt;=ROUND($EY$3,0))*('Margin Guidence Table'!$J$1:$J$10000&gt;=ROUND($EY$3,0)),0),MATCH("DEFAULT_MDA_MEDIAN_MARGIN_GUIDENCE",'Margin Guidence Table'!$A$1:$AG$1,0))),0))</f>
        <v>0</v>
      </c>
      <c r="FN31" s="784">
        <f t="array" ref="FN31">IF('Customer Inputs'!$W$10="End",0,IFERROR(IF($FI31="SEGMENT",INDEX('Margin Guidence Table'!$A$1:$AG$10000,MATCH(1,('Margin Guidence Table'!$A$1:$A$10000=FG31)*('Margin Guidence Table'!$I$1:$I$10000&lt;=ROUND($EY$3,0))*('Margin Guidence Table'!$J$1:$J$10000&gt;=ROUND($EY$3,0)),0),MATCH("MDA_MAX_MARGIN_GUIDENCE",'Margin Guidence Table'!$A$1:$AG$1,0)),INDEX('Margin Guidence Table'!$A$1:$AG$10000,MATCH(1,('Margin Guidence Table'!$A$1:$A$10000=FG31)*('Margin Guidence Table'!$I$1:$I$10000&lt;=ROUND($EY$3,0))*('Margin Guidence Table'!$J$1:$J$10000&gt;=ROUND($EY$3,0)),0),MATCH("DEFAULT_MDA_MAX_MARGIN_GUIDENCE",'Margin Guidence Table'!$A$1:$AG$1,0))),0))</f>
        <v>0</v>
      </c>
      <c r="FO31" s="784">
        <f t="array" ref="FO31">IF('Customer Inputs'!$W$10="End",0,IFERROR(IF($FI31="SEGMENT",INDEX('Margin Guidence Table'!$A$1:$AG$10000,MATCH(1,('Margin Guidence Table'!$A$1:$A$10000=FG31)*('Margin Guidence Table'!$I$1:$I$10000&lt;=ROUND($EY$3,0))*('Margin Guidence Table'!$J$1:$J$10000&gt;=ROUND($EY$3,0)),0),MATCH("PA_PCT_SALES",'Margin Guidence Table'!$A$1:$AG$1,0)),INDEX('Margin Guidence Table'!$A$1:$AG$10000,MATCH(1,('Margin Guidence Table'!$A$1:$A$10000=FG31)*('Margin Guidence Table'!$I$1:$I$10000&lt;=ROUND($EY$3,0))*('Margin Guidence Table'!$J$1:$J$10000&gt;=ROUND($EY$3,0)),0),MATCH("DEFAULT_PA_PCT_SALES",'Margin Guidence Table'!$A$1:$AG$1,0))),0))</f>
        <v>0</v>
      </c>
      <c r="FP31" s="784">
        <f t="array" ref="FP31">IF('Customer Inputs'!$W$10="End",0,IFERROR(IF($FI31="SEGMENT",INDEX('Margin Guidence Table'!$A$1:$AG$10000,MATCH(1,('Margin Guidence Table'!$A$1:$A$10000=FG31)*('Margin Guidence Table'!$I$1:$I$10000&lt;=ROUND($EY$3,0))*('Margin Guidence Table'!$J$1:$J$10000&gt;=ROUND($EY$3,0)),0),MATCH("SELF_FUND_PCT_SALES",'Margin Guidence Table'!$A$1:$AG$1,0)),INDEX('Margin Guidence Table'!$A$1:$AG$10000,MATCH(1,('Margin Guidence Table'!$A$1:$A$10000=FG31)*('Margin Guidence Table'!$I$1:$I$10000&lt;=ROUND($EY$3,0))*('Margin Guidence Table'!$J$1:$J$10000&gt;=ROUND($EY$3,0)),0),MATCH("DEFAULT_SELF_FUND_PCT_SALES",'Margin Guidence Table'!$A$1:$AG$1,0))),0))</f>
        <v>0</v>
      </c>
      <c r="FQ31" s="784">
        <f t="array" ref="FQ31">IF('Customer Inputs'!$W$10="End",0,IF($EZ$2="Existing",IFERROR(SUMIFS('Existing Customers'!$V:$V,'Existing Customers'!$H:$H,$EX31,'Existing Customers'!$A:$A,$EY$1)/SUMIFS('Existing Customers'!$Q:$Q,'Existing Customers'!$H:$H,$EX31,'Existing Customers'!$A:$A,$EY$1),0),IFERROR(IF($FI31="SEGMENT",INDEX('Margin Guidence Table'!$A$1:$AG$10000,MATCH(1,('Margin Guidence Table'!$A$1:$A$10000=FG31)*('Margin Guidence Table'!$I$1:$I$10000&lt;=ROUND($EY$3,0))*('Margin Guidence Table'!$J$1:$J$10000&gt;=ROUND($EY$3,0)),0),MATCH("CIA_MEDIAN_MARGIN_GUIDENCE",'Margin Guidence Table'!$A$1:$AG$1,0)),INDEX('Margin Guidence Table'!$A$1:$AG$10000,MATCH(1,('Margin Guidence Table'!$A$1:$A$10000=FG31)*('Margin Guidence Table'!$I$1:$I$10000&lt;=ROUND($EY$3,0))*('Margin Guidence Table'!$J$1:$J$10000&gt;=ROUND($EY$3,0)),0),MATCH("DEFAULT_CIA_MEDIAN_MARGIN_GUIDENCE",'Margin Guidence Table'!$A$1:$AG$1,0))),0)))</f>
        <v>0</v>
      </c>
      <c r="FR31" s="126"/>
      <c r="FS31" s="18">
        <f t="array" ref="FS31">IF('Customer Inputs'!$W$11="End",0,IFERROR(IF($GF31="SEGMENT",INDEX('Margin Guidence Table'!$A$1:$AG$10000,MATCH(1,('Margin Guidence Table'!$A$1:$A$10000=$GD31)*('Margin Guidence Table'!$I$1:$I$10000&lt;=ROUND($FV$3,0))*('Margin Guidence Table'!$J$1:$J$10000&gt;=ROUND($FV$3,0)),0),MATCH("PCT_SALES",'Margin Guidence Table'!$A$1:$AG$1,0)),INDEX('Margin Guidence Table'!$A$1:$AG$10000,MATCH(1,('Margin Guidence Table'!$A$1:$A$10000=$GD31)*('Margin Guidence Table'!$I$1:$I$10000&lt;=ROUND($FV$3,0))*('Margin Guidence Table'!$J$1:$J$10000&gt;=ROUND($FV$3,0)),0),MATCH("DEFAULT_PCT_SALES",'Margin Guidence Table'!$A$1:$AG$1,0))),0))</f>
        <v>0</v>
      </c>
      <c r="FT31" s="297" t="e">
        <f t="shared" si="42"/>
        <v>#DIV/0!</v>
      </c>
      <c r="FU31" s="99" t="s">
        <v>94</v>
      </c>
      <c r="FV31" s="91">
        <f>IF('Customer Inputs'!$W$11="End",0,IFERROR(IF(AND($FV$2&lt;&gt;"Enter Spend&gt;&gt;&gt;",$FW$2="EXISTING"),SUMIFS('Existing Customers'!$Q:$Q,'Existing Customers'!$A:$A,$FV$1,'Existing Customers'!$H:$H,$FU31)*$FV$4,$FV$3*$FT31),0))</f>
        <v>0</v>
      </c>
      <c r="FW31" s="86">
        <f>IF('Customer Inputs'!$W$11="End",0,IFERROR(IF(AND($FV$2&lt;&gt;"Enter Spend&gt;&gt;&gt;",$FW$2="EXISTING"),SUMIFS('Existing Customers'!$N:$N,'Existing Customers'!$A:$A,$FV$1,'Existing Customers'!$H:$H,$FU31)*$FV$4,$FV31/$GG31),0))</f>
        <v>0</v>
      </c>
      <c r="FX31" s="92">
        <f>IF('Customer Inputs'!$W$11="End",0,IFERROR(IF(AND($FV$2&lt;&gt;"Enter Spend&gt;&gt;&gt;",$FW$2="EXISTING"),SUMIFS('Existing Customers'!$O:$O,'Existing Customers'!$H:$H,$FU31,'Existing Customers'!$A:$A,$FV$1)*$FV$4,$FW31*$FV$8),0))</f>
        <v>0</v>
      </c>
      <c r="FY31" s="92">
        <f>IF('Customer Inputs'!$W$11="End",0,IFERROR(IF(AND($FV$2&lt;&gt;"Enter Spend&gt;&gt;&gt;",$FW$2="EXISTING"),SUMIFS('Existing Customers'!$P:$P,'Existing Customers'!$A:$A,$FV$1,'Existing Customers'!$H:$H,$FU31)*$FV$4,$FV31/$GH31),0))</f>
        <v>0</v>
      </c>
      <c r="FZ31" s="93">
        <f>IF('Customer Inputs'!$W$11="End",0,IFERROR(IF(AND($FV$2&lt;&gt;"Enter Spend&gt;&gt;&gt;",$FW$2="EXISTING"),SUMIFS('Existing Customers'!$V:$V,'Existing Customers'!$H:$H,$FU31,'Existing Customers'!$A:$A,$FV$1)*$FV$4,0),0))</f>
        <v>0</v>
      </c>
      <c r="GA31" s="93">
        <f>IF('Customer Inputs'!$W$11="End",0,IFERROR(IF(AND($FV$2&lt;&gt;"Enter Spend&gt;&gt;&gt;",$FW$2="EXISTING"),SUMIFS('Existing Customers'!$R:$R,'Existing Customers'!$H:$H,$FU31,'Existing Customers'!$A:$A,$FV$1)*$FV$4,0),0))</f>
        <v>0</v>
      </c>
      <c r="GB31" s="780">
        <f>IF('Customer Inputs'!$W$11="End",0,IFERROR(IF(AND($FV$2&lt;&gt;"Enter Spend&gt;&gt;&gt;",$FW$2="EXISTING"),SUMIFS('Existing Customers'!$S:$S,'Existing Customers'!$H:$H,$FU31,'Existing Customers'!$A:$A,$FV$1)/SUMIFS('Existing Customers'!$Q:$Q,'Existing Customers'!$A:$A,$FV$1,'Existing Customers'!$H:$H,$FU31),GL31),0))</f>
        <v>0</v>
      </c>
      <c r="GC31" s="780">
        <f>IF('Customer Inputs'!$W$11="End",0,IFERROR(IF(AND($FV$2&lt;&gt;"Enter Spend&gt;&gt;&gt;",$FW$2="EXISTING"),SUMIFS('Existing Customers'!$U:$U,'Existing Customers'!$H:$H,$FU31,'Existing Customers'!$A:$A,$FV$1)/SUMIFS('Existing Customers'!$Q:$Q,'Existing Customers'!$A:$A,$FV$1,'Existing Customers'!$H:$H,$FU31),GM31),0))</f>
        <v>0</v>
      </c>
      <c r="GD31" s="783" t="e">
        <f>_xlfn.CONCAT('Customer Inputs'!$AH$11,"_",FU31)</f>
        <v>#N/A</v>
      </c>
      <c r="GE31" s="783">
        <f t="array" ref="GE31">IF('Customer Inputs'!$W$11="End",0,IFERROR(INDEX('Margin Guidence Table'!$A$1:$AG$10000,MATCH(1,('Margin Guidence Table'!$A$1:$A$10000=GD31)*('Margin Guidence Table'!$I$1:$I$10000&lt;=ROUND($FV$3,0))*('Margin Guidence Table'!$J$1:$J$10000&gt;=ROUND($FV$3,0)),0),MATCH("DATA_POINTS",'Margin Guidence Table'!$A$1:$AG$1,0)),0))</f>
        <v>0</v>
      </c>
      <c r="GF31" s="780" t="str">
        <f t="shared" si="43"/>
        <v>DEFAULT</v>
      </c>
      <c r="GG31" s="780">
        <f t="array" ref="GG31">IF('Customer Inputs'!$W$11="End",0,IFERROR(IF($GF31="SEGMENT",INDEX('Margin Guidence Table'!$A$1:$AG$10000,MATCH(1,('Margin Guidence Table'!$A$1:$A$10000=GD31)*('Margin Guidence Table'!$I$1:$I$10000&lt;=ROUND($FV$3,0))*('Margin Guidence Table'!$J$1:$J$10000&gt;=ROUND($FV$3,0)),0),MATCH("SALES_CASE",'Margin Guidence Table'!$A$1:$AG$1,0)),INDEX('Margin Guidence Table'!$A$1:$AG$10000,MATCH(1,('Margin Guidence Table'!$A$1:$A$10000=GD31)*('Margin Guidence Table'!$I$1:$I$10000&lt;=ROUND($FV$3,0))*('Margin Guidence Table'!$J$1:$J$10000&gt;=ROUND($FV$3,0)),0),MATCH("DEFAULT_SALES_CASE",'Margin Guidence Table'!$A$1:$AG$1,0))),0))</f>
        <v>0</v>
      </c>
      <c r="GH31" s="780">
        <f t="array" ref="GH31">IF('Customer Inputs'!$W$11="End",0,IFERROR(IF($GF31="SEGMENT",INDEX('Margin Guidence Table'!$A$1:$AG$10000,MATCH(1,('Margin Guidence Table'!$A$1:$A$10000=GD31)*('Margin Guidence Table'!$I$1:$I$10000&lt;=ROUND($FV$3,0))*('Margin Guidence Table'!$J$1:$J$10000&gt;=ROUND($FV$3,0)),0),MATCH("SALES_LBS",'Margin Guidence Table'!$A$1:$AG$1,0)),INDEX('Margin Guidence Table'!$A$1:$AG$10000,MATCH(1,('Margin Guidence Table'!$A$1:$A$10000=GD31)*('Margin Guidence Table'!$I$1:$I$10000&lt;=ROUND($FV$3,0))*('Margin Guidence Table'!$J$1:$J$10000&gt;=ROUND($FV$3,0)),0),MATCH("DEFAULT_SALES_LBS",'Margin Guidence Table'!$A$1:$AG$1,0))),0))</f>
        <v>0</v>
      </c>
      <c r="GI31" s="784">
        <f t="array" ref="GI31">IF('Customer Inputs'!$W$11="End",0,IFERROR(IF($GF31="SEGMENT",INDEX('Margin Guidence Table'!$A$1:$AG$10000,MATCH(1,('Margin Guidence Table'!$A$1:$A$10000=GD31)*('Margin Guidence Table'!$I$1:$I$10000&lt;=ROUND($FV$3,0))*('Margin Guidence Table'!$J$1:$J$10000&gt;=ROUND($FV$3,0)),0),MATCH("MDA_MIN_MARGIN_GUIDENCE",'Margin Guidence Table'!$A$1:$AG$1,0)),INDEX('Margin Guidence Table'!$A$1:$AG$10000,MATCH(1,('Margin Guidence Table'!$A$1:$A$10000=GD31)*('Margin Guidence Table'!$I$1:$I$10000&lt;=ROUND($FV$3,0))*('Margin Guidence Table'!$J$1:$J$10000&gt;=ROUND($FV$3,0)),0),MATCH("DEFAULT_MDA_MIN_MARGIN_GUIDENCE",'Margin Guidence Table'!$A$1:$AG$1,0))),0))</f>
        <v>0</v>
      </c>
      <c r="GJ31" s="784">
        <f t="array" ref="GJ31">IF('Customer Inputs'!$W$11="End",0,IFERROR(IF($GF31="SEGMENT",INDEX('Margin Guidence Table'!$A$1:$AG$10000,MATCH(1,('Margin Guidence Table'!$A$1:$A$10000=GD31)*('Margin Guidence Table'!$I$1:$I$10000&lt;=ROUND($FV$3,0))*('Margin Guidence Table'!$J$1:$J$10000&gt;=ROUND($FV$3,0)),0),MATCH("MDA_MEDIAN_MARGIN_GUIDENCE",'Margin Guidence Table'!$A$1:$AG$1,0)),INDEX('Margin Guidence Table'!$A$1:$AG$10000,MATCH(1,('Margin Guidence Table'!$A$1:$A$10000=GD31)*('Margin Guidence Table'!$I$1:$I$10000&lt;=ROUND($FV$3,0))*('Margin Guidence Table'!$J$1:$J$10000&gt;=ROUND($FV$3,0)),0),MATCH("DEFAULT_MDA_MEDIAN_MARGIN_GUIDENCE",'Margin Guidence Table'!$A$1:$AG$1,0))),0))</f>
        <v>0</v>
      </c>
      <c r="GK31" s="784">
        <f t="array" ref="GK31">IF('Customer Inputs'!$W$11="End",0,IFERROR(IF($GF31="SEGMENT",INDEX('Margin Guidence Table'!$A$1:$AG$10000,MATCH(1,('Margin Guidence Table'!$A$1:$A$10000=GD31)*('Margin Guidence Table'!$I$1:$I$10000&lt;=ROUND($FV$3,0))*('Margin Guidence Table'!$J$1:$J$10000&gt;=ROUND($FV$3,0)),0),MATCH("MDA_MAX_MARGIN_GUIDENCE",'Margin Guidence Table'!$A$1:$AG$1,0)),INDEX('Margin Guidence Table'!$A$1:$AG$10000,MATCH(1,('Margin Guidence Table'!$A$1:$A$10000=GD31)*('Margin Guidence Table'!$I$1:$I$10000&lt;=ROUND($FV$3,0))*('Margin Guidence Table'!$J$1:$J$10000&gt;=ROUND($FV$3,0)),0),MATCH("DEFAULT_MDA_MAX_MARGIN_GUIDENCE",'Margin Guidence Table'!$A$1:$AG$1,0))),0))</f>
        <v>0</v>
      </c>
      <c r="GL31" s="784">
        <f t="array" ref="GL31">IF('Customer Inputs'!$W$11="End",0,IFERROR(IF($GF31="SEGMENT",INDEX('Margin Guidence Table'!$A$1:$AG$10000,MATCH(1,('Margin Guidence Table'!$A$1:$A$10000=GD31)*('Margin Guidence Table'!$I$1:$I$10000&lt;=ROUND($FV$3,0))*('Margin Guidence Table'!$J$1:$J$10000&gt;=ROUND($FV$3,0)),0),MATCH("PA_PCT_SALES",'Margin Guidence Table'!$A$1:$AG$1,0)),INDEX('Margin Guidence Table'!$A$1:$AG$10000,MATCH(1,('Margin Guidence Table'!$A$1:$A$10000=GD31)*('Margin Guidence Table'!$I$1:$I$10000&lt;=ROUND($FV$3,0))*('Margin Guidence Table'!$J$1:$J$10000&gt;=ROUND($FV$3,0)),0),MATCH("DEFAULT_PA_PCT_SALES",'Margin Guidence Table'!$A$1:$AG$1,0))),0))</f>
        <v>0</v>
      </c>
      <c r="GM31" s="784">
        <f t="array" ref="GM31">IF('Customer Inputs'!$W$11="End",0,IFERROR(IF($GF31="SEGMENT",INDEX('Margin Guidence Table'!$A$1:$AG$10000,MATCH(1,('Margin Guidence Table'!$A$1:$A$10000=GD31)*('Margin Guidence Table'!$I$1:$I$10000&lt;=ROUND($FV$3,0))*('Margin Guidence Table'!$J$1:$J$10000&gt;=ROUND($FV$3,0)),0),MATCH("SELF_FUND_PCT_SALES",'Margin Guidence Table'!$A$1:$AG$1,0)),INDEX('Margin Guidence Table'!$A$1:$AG$10000,MATCH(1,('Margin Guidence Table'!$A$1:$A$10000=GD31)*('Margin Guidence Table'!$I$1:$I$10000&lt;=ROUND($FV$3,0))*('Margin Guidence Table'!$J$1:$J$10000&gt;=ROUND($FV$3,0)),0),MATCH("DEFAULT_SELF_FUND_PCT_SALES",'Margin Guidence Table'!$A$1:$AG$1,0))),0))</f>
        <v>0</v>
      </c>
      <c r="GN31" s="784">
        <f t="array" ref="GN31">IF('Customer Inputs'!$W$11="End",0,IF($FW$2="Existing",IFERROR(SUMIFS('Existing Customers'!$V:$V,'Existing Customers'!$H:$H,$FU31,'Existing Customers'!$A:$A,$FV$1)/SUMIFS('Existing Customers'!$Q:$Q,'Existing Customers'!$H:$H,$FU31,'Existing Customers'!$A:$A,$FV$1),0),IFERROR(IF($GF31="SEGMENT",INDEX('Margin Guidence Table'!$A$1:$AG$10000,MATCH(1,('Margin Guidence Table'!$A$1:$A$10000=GD31)*('Margin Guidence Table'!$I$1:$I$10000&lt;=ROUND($FV$3,0))*('Margin Guidence Table'!$J$1:$J$10000&gt;=ROUND($FV$3,0)),0),MATCH("CIA_MEDIAN_MARGIN_GUIDENCE",'Margin Guidence Table'!$A$1:$AG$1,0)),INDEX('Margin Guidence Table'!$A$1:$AG$10000,MATCH(1,('Margin Guidence Table'!$A$1:$A$10000=GD31)*('Margin Guidence Table'!$I$1:$I$10000&lt;=ROUND($FV$3,0))*('Margin Guidence Table'!$J$1:$J$10000&gt;=ROUND($FV$3,0)),0),MATCH("DEFAULT_CIA_MEDIAN_MARGIN_GUIDENCE",'Margin Guidence Table'!$A$1:$AG$1,0))),0)))</f>
        <v>0</v>
      </c>
      <c r="GO31" s="126"/>
      <c r="GP31" s="18">
        <f t="array" ref="GP31">IF('Customer Inputs'!$W$12="End",0,IFERROR(IF($HC31="SEGMENT",INDEX('Margin Guidence Table'!$A$1:$AG$10000,MATCH(1,('Margin Guidence Table'!$A$1:$A$10000=$HA31)*('Margin Guidence Table'!$I$1:$I$10000&lt;=ROUND($GS$3,0))*('Margin Guidence Table'!$J$1:$J$10000&gt;=ROUND($GS$3,0)),0),MATCH("PCT_SALES",'Margin Guidence Table'!$A$1:$AG$1,0)),INDEX('Margin Guidence Table'!$A$1:$AG$10000,MATCH(1,('Margin Guidence Table'!$A$1:$A$10000=$HA31)*('Margin Guidence Table'!$I$1:$I$10000&lt;=ROUND($GS$3,0))*('Margin Guidence Table'!$J$1:$J$10000&gt;=ROUND($GS$3,0)),0),MATCH("DEFAULT_PCT_SALES",'Margin Guidence Table'!$A$1:$AG$1,0))),0))</f>
        <v>0</v>
      </c>
      <c r="GQ31" s="297" t="e">
        <f t="shared" si="44"/>
        <v>#DIV/0!</v>
      </c>
      <c r="GR31" s="99" t="s">
        <v>94</v>
      </c>
      <c r="GS31" s="91">
        <f>IF('Customer Inputs'!$W$12="End",0,IFERROR(IF(AND($GS$2&lt;&gt;"Enter Spend&gt;&gt;&gt;",$GT$2="EXISTING"),SUMIFS('Existing Customers'!$Q:$Q,'Existing Customers'!$A:$A,$GS$1,'Existing Customers'!$H:$H,$GR31)*$GS$4,$GS$3*$GQ31),0))</f>
        <v>0</v>
      </c>
      <c r="GT31" s="86">
        <f>IF('Customer Inputs'!$W$12="End",0,IFERROR(IF(AND($GS$2&lt;&gt;"Enter Spend&gt;&gt;&gt;",$GT$2="EXISTING"),SUMIFS('Existing Customers'!$N:$N,'Existing Customers'!$A:$A,$GS$1,'Existing Customers'!$H:$H,$GR31)*$GS$4,$GS31/$HD31),0))</f>
        <v>0</v>
      </c>
      <c r="GU31" s="92">
        <f>IF('Customer Inputs'!$W$12="End",0,IFERROR(IF(AND($GS$2&lt;&gt;"Enter Spend&gt;&gt;&gt;",$GT$2="EXISTING"),SUMIFS('Existing Customers'!$O:$O,'Existing Customers'!$H:$H,$GR31,'Existing Customers'!$A:$A,$GS$1)*$GS$4,$GT31*$GS$8),0))</f>
        <v>0</v>
      </c>
      <c r="GV31" s="92">
        <f>IF('Customer Inputs'!$W$12="End",0,IFERROR(IF(AND($GS$2&lt;&gt;"Enter Spend&gt;&gt;&gt;",$GT$2="EXISTING"),SUMIFS('Existing Customers'!$P:$P,'Existing Customers'!$A:$A,$GS$1,'Existing Customers'!$H:$H,$GR31)*$GS$4,$GS31/$HE31),0))</f>
        <v>0</v>
      </c>
      <c r="GW31" s="93">
        <f>IF('Customer Inputs'!$W$12="End",0,IFERROR(IF(AND($GS$2&lt;&gt;"Enter Spend&gt;&gt;&gt;",$GT$2="EXISTING"),SUMIFS('Existing Customers'!$V:$V,'Existing Customers'!$H:$H,$GR31,'Existing Customers'!$A:$A,$GS$1)*$GS$4,0),0))</f>
        <v>0</v>
      </c>
      <c r="GX31" s="93">
        <f>IF('Customer Inputs'!$W$12="End",0,IFERROR(IF(AND($GS$2&lt;&gt;"Enter Spend&gt;&gt;&gt;",$GT$2="EXISTING"),SUMIFS('Existing Customers'!$R:$R,'Existing Customers'!$H:$H,$GR31,'Existing Customers'!$A:$A,$GS$1)*$GS$4,0),0))</f>
        <v>0</v>
      </c>
      <c r="GY31" s="780">
        <f>IF('Customer Inputs'!$W$12="End",0,IFERROR(IF(AND($GS$2&lt;&gt;"Enter Spend&gt;&gt;&gt;",$GT$2="EXISTING"),SUMIFS('Existing Customers'!$S:$S,'Existing Customers'!$H:$H,$GR31,'Existing Customers'!$A:$A,$GS$1)/SUMIFS('Existing Customers'!$Q:$Q,'Existing Customers'!$A:$A,$GS$1,'Existing Customers'!$H:$H,$GR31),HI31),0))</f>
        <v>0</v>
      </c>
      <c r="GZ31" s="780">
        <f>IF('Customer Inputs'!$W$12="End",0,IFERROR(IF(AND($GS$2&lt;&gt;"Enter Spend&gt;&gt;&gt;",$GT$2="EXISTING"),SUMIFS('Existing Customers'!$U:$U,'Existing Customers'!$H:$H,$GR31,'Existing Customers'!$A:$A,$GS$1)/SUMIFS('Existing Customers'!$Q:$Q,'Existing Customers'!$A:$A,$GS$1,'Existing Customers'!$H:$H,$GR31),HJ31),0))</f>
        <v>0</v>
      </c>
      <c r="HA31" s="783" t="e">
        <f>_xlfn.CONCAT('Customer Inputs'!$AH$12,"_",GR31)</f>
        <v>#N/A</v>
      </c>
      <c r="HB31" s="783">
        <f t="array" ref="HB31">IF('Customer Inputs'!$W$12="End",0,IFERROR(INDEX('Margin Guidence Table'!$A$1:$AG$10000,MATCH(1,('Margin Guidence Table'!$A$1:$A$10000=HA31)*('Margin Guidence Table'!$I$1:$I$10000&lt;=ROUND($GS$3,0))*('Margin Guidence Table'!$J$1:$J$10000&gt;=ROUND($GS$3,0)),0),MATCH("DATA_POINTS",'Margin Guidence Table'!$A$1:$AG$1,0)),0))</f>
        <v>0</v>
      </c>
      <c r="HC31" s="780" t="str">
        <f t="shared" si="45"/>
        <v>DEFAULT</v>
      </c>
      <c r="HD31" s="780">
        <f t="array" ref="HD31">IF('Customer Inputs'!$W$12="End",0,IFERROR(IF($HC31="SEGMENT",INDEX('Margin Guidence Table'!$A$1:$AG$10000,MATCH(1,('Margin Guidence Table'!$A$1:$A$10000=HA31)*('Margin Guidence Table'!$I$1:$I$10000&lt;=ROUND($GS$3,0))*('Margin Guidence Table'!$J$1:$J$10000&gt;=ROUND($GS$3,0)),0),MATCH("SALES_CASE",'Margin Guidence Table'!$A$1:$AG$1,0)),INDEX('Margin Guidence Table'!$A$1:$AG$10000,MATCH(1,('Margin Guidence Table'!$A$1:$A$10000=HA31)*('Margin Guidence Table'!$I$1:$I$10000&lt;=ROUND($GS$3,0))*('Margin Guidence Table'!$J$1:$J$10000&gt;=ROUND($GS$3,0)),0),MATCH("DEFAULT_SALES_CASE",'Margin Guidence Table'!$A$1:$AG$1,0))),0))</f>
        <v>0</v>
      </c>
      <c r="HE31" s="780">
        <f t="array" ref="HE31">IF('Customer Inputs'!$W$12="End",0,IFERROR(IF($HC31="SEGMENT",INDEX('Margin Guidence Table'!$A$1:$AG$10000,MATCH(1,('Margin Guidence Table'!$A$1:$A$10000=HA31)*('Margin Guidence Table'!$I$1:$I$10000&lt;=ROUND($GS$3,0))*('Margin Guidence Table'!$J$1:$J$10000&gt;=ROUND($GS$3,0)),0),MATCH("SALES_LBS",'Margin Guidence Table'!$A$1:$AG$1,0)),INDEX('Margin Guidence Table'!$A$1:$AG$10000,MATCH(1,('Margin Guidence Table'!$A$1:$A$10000=HA31)*('Margin Guidence Table'!$I$1:$I$10000&lt;=ROUND($GS$3,0))*('Margin Guidence Table'!$J$1:$J$10000&gt;=ROUND($GS$3,0)),0),MATCH("DEFAULT_SALES_LBS",'Margin Guidence Table'!$A$1:$AG$1,0))),0))</f>
        <v>0</v>
      </c>
      <c r="HF31" s="784">
        <f t="array" ref="HF31">IF('Customer Inputs'!$W$12="End",0,IFERROR(IF($HC31="SEGMENT",INDEX('Margin Guidence Table'!$A$1:$AG$10000,MATCH(1,('Margin Guidence Table'!$A$1:$A$10000=HA31)*('Margin Guidence Table'!$I$1:$I$10000&lt;=ROUND($GS$3,0))*('Margin Guidence Table'!$J$1:$J$10000&gt;=ROUND($GS$3,0)),0),MATCH("MDA_MIN_MARGIN_GUIDENCE",'Margin Guidence Table'!$A$1:$AG$1,0)),INDEX('Margin Guidence Table'!$A$1:$AG$10000,MATCH(1,('Margin Guidence Table'!$A$1:$A$10000=HA31)*('Margin Guidence Table'!$I$1:$I$10000&lt;=ROUND($GS$3,0))*('Margin Guidence Table'!$J$1:$J$10000&gt;=ROUND($GS$3,0)),0),MATCH("DEFAULT_MDA_MIN_MARGIN_GUIDENCE",'Margin Guidence Table'!$A$1:$AG$1,0))),0))</f>
        <v>0</v>
      </c>
      <c r="HG31" s="784">
        <f t="array" ref="HG31">IF('Customer Inputs'!$W$12="End",0,IFERROR(IF($HC31="SEGMENT",INDEX('Margin Guidence Table'!$A$1:$AG$10000,MATCH(1,('Margin Guidence Table'!$A$1:$A$10000=HA31)*('Margin Guidence Table'!$I$1:$I$10000&lt;=ROUND($GS$3,0))*('Margin Guidence Table'!$J$1:$J$10000&gt;=ROUND($GS$3,0)),0),MATCH("MDA_MEDIAN_MARGIN_GUIDENCE",'Margin Guidence Table'!$A$1:$AG$1,0)),INDEX('Margin Guidence Table'!$A$1:$AG$10000,MATCH(1,('Margin Guidence Table'!$A$1:$A$10000=HA31)*('Margin Guidence Table'!$I$1:$I$10000&lt;=ROUND($GS$3,0))*('Margin Guidence Table'!$J$1:$J$10000&gt;=ROUND($GS$3,0)),0),MATCH("DEFAULT_MDA_MEDIAN_MARGIN_GUIDENCE",'Margin Guidence Table'!$A$1:$AG$1,0))),0))</f>
        <v>0</v>
      </c>
      <c r="HH31" s="784">
        <f t="array" ref="HH31">IF('Customer Inputs'!$W$12="End",0,IFERROR(IF($HC31="SEGMENT",INDEX('Margin Guidence Table'!$A$1:$AG$10000,MATCH(1,('Margin Guidence Table'!$A$1:$A$10000=HA31)*('Margin Guidence Table'!$I$1:$I$10000&lt;=ROUND($GS$3,0))*('Margin Guidence Table'!$J$1:$J$10000&gt;=ROUND($GS$3,0)),0),MATCH("MDA_MAX_MARGIN_GUIDENCE",'Margin Guidence Table'!$A$1:$AG$1,0)),INDEX('Margin Guidence Table'!$A$1:$AG$10000,MATCH(1,('Margin Guidence Table'!$A$1:$A$10000=HA31)*('Margin Guidence Table'!$I$1:$I$10000&lt;=ROUND($GS$3,0))*('Margin Guidence Table'!$J$1:$J$10000&gt;=ROUND($GS$3,0)),0),MATCH("DEFAULT_MDA_MAX_MARGIN_GUIDENCE",'Margin Guidence Table'!$A$1:$AG$1,0))),0))</f>
        <v>0</v>
      </c>
      <c r="HI31" s="784">
        <f t="array" ref="HI31">IF('Customer Inputs'!$W$12="End",0,IFERROR(IF($HC31="SEGMENT",INDEX('Margin Guidence Table'!$A$1:$AG$10000,MATCH(1,('Margin Guidence Table'!$A$1:$A$10000=HA31)*('Margin Guidence Table'!$I$1:$I$10000&lt;=ROUND($GS$3,0))*('Margin Guidence Table'!$J$1:$J$10000&gt;=ROUND($GS$3,0)),0),MATCH("PA_PCT_SALES",'Margin Guidence Table'!$A$1:$AG$1,0)),INDEX('Margin Guidence Table'!$A$1:$AG$10000,MATCH(1,('Margin Guidence Table'!$A$1:$A$10000=HA31)*('Margin Guidence Table'!$I$1:$I$10000&lt;=ROUND($GS$3,0))*('Margin Guidence Table'!$J$1:$J$10000&gt;=ROUND($GS$3,0)),0),MATCH("DEFAULT_PA_PCT_SALES",'Margin Guidence Table'!$A$1:$AG$1,0))),0))</f>
        <v>0</v>
      </c>
      <c r="HJ31" s="784">
        <f t="array" ref="HJ31">IF('Customer Inputs'!$W$12="End",0,IFERROR(IF($HC31="SEGMENT",INDEX('Margin Guidence Table'!$A$1:$AG$10000,MATCH(1,('Margin Guidence Table'!$A$1:$A$10000=HA31)*('Margin Guidence Table'!$I$1:$I$10000&lt;=ROUND($GS$3,0))*('Margin Guidence Table'!$J$1:$J$10000&gt;=ROUND($GS$3,0)),0),MATCH("SELF_FUND_PCT_SALES",'Margin Guidence Table'!$A$1:$AG$1,0)),INDEX('Margin Guidence Table'!$A$1:$AG$10000,MATCH(1,('Margin Guidence Table'!$A$1:$A$10000=HA31)*('Margin Guidence Table'!$I$1:$I$10000&lt;=ROUND($GS$3,0))*('Margin Guidence Table'!$J$1:$J$10000&gt;=ROUND($GS$3,0)),0),MATCH("DEFAULT_SELF_FUND_PCT_SALES",'Margin Guidence Table'!$A$1:$AG$1,0))),0))</f>
        <v>0</v>
      </c>
      <c r="HK31" s="784">
        <f t="array" ref="HK31">IF('Customer Inputs'!$W$12="End",0,IF($GT$2="Existing",IFERROR(SUMIFS('Existing Customers'!$V:$V,'Existing Customers'!$H:$H,$GR31,'Existing Customers'!$A:$A,$GS$1)/SUMIFS('Existing Customers'!$Q:$Q,'Existing Customers'!$H:$H,$GR31,'Existing Customers'!$A:$A,$GS$1),0),IFERROR(IF($HC31="SEGMENT",INDEX('Margin Guidence Table'!$A$1:$AG$10000,MATCH(1,('Margin Guidence Table'!$A$1:$A$10000=HA31)*('Margin Guidence Table'!$I$1:$I$10000&lt;=ROUND($GS$3,0))*('Margin Guidence Table'!$J$1:$J$10000&gt;=ROUND($GS$3,0)),0),MATCH("CIA_MEDIAN_MARGIN_GUIDENCE",'Margin Guidence Table'!$A$1:$AG$1,0)),INDEX('Margin Guidence Table'!$A$1:$AG$10000,MATCH(1,('Margin Guidence Table'!$A$1:$A$10000=HA31)*('Margin Guidence Table'!$I$1:$I$10000&lt;=ROUND($GS$3,0))*('Margin Guidence Table'!$J$1:$J$10000&gt;=ROUND($GS$3,0)),0),MATCH("DEFAULT_CIA_MEDIAN_MARGIN_GUIDENCE",'Margin Guidence Table'!$A$1:$AG$1,0))),0)))</f>
        <v>0</v>
      </c>
      <c r="HL31" s="126"/>
      <c r="HM31" s="18">
        <f t="array" ref="HM31">IF('Customer Inputs'!$W$13="End",0,IFERROR(IF($HZ31="SEGMENT",INDEX('Margin Guidence Table'!$A$1:$AG$10000,MATCH(1,('Margin Guidence Table'!$A$1:$A$10000=$HX31)*('Margin Guidence Table'!$I$1:$I$10000&lt;=ROUND($HP$3,0))*('Margin Guidence Table'!$J$1:$J$10000&gt;=ROUND($HP$3,0)),0),MATCH("PCT_SALES",'Margin Guidence Table'!$A$1:$AG$1,0)),INDEX('Margin Guidence Table'!$A$1:$AG$10000,MATCH(1,('Margin Guidence Table'!$A$1:$A$10000=$HX31)*('Margin Guidence Table'!$I$1:$I$10000&lt;=ROUND($HP$3,0))*('Margin Guidence Table'!$J$1:$J$10000&gt;=ROUND($HP$3,0)),0),MATCH("DEFAULT_PCT_SALES",'Margin Guidence Table'!$A$1:$AG$1,0))),0))</f>
        <v>0</v>
      </c>
      <c r="HN31" s="297" t="e">
        <f t="shared" si="46"/>
        <v>#DIV/0!</v>
      </c>
      <c r="HO31" s="99" t="s">
        <v>94</v>
      </c>
      <c r="HP31" s="91">
        <f>IF('Customer Inputs'!$W$13="End",0,IFERROR(IF(AND($HP$2&lt;&gt;"Enter Spend&gt;&gt;&gt;",$HQ$2="EXISTING"),SUMIFS('Existing Customers'!$Q:$Q,'Existing Customers'!$A:$A,$HP$1,'Existing Customers'!$H:$H,$HO31)*$HP$4,$HP$3*$HN31),0))</f>
        <v>0</v>
      </c>
      <c r="HQ31" s="86">
        <f>IF('Customer Inputs'!$W$13="End",0,IFERROR(IF(AND($HP$2&lt;&gt;"Enter Spend&gt;&gt;&gt;",$HQ$2="EXISTING"),SUMIFS('Existing Customers'!$N:$N,'Existing Customers'!$A:$A,$HP$1,'Existing Customers'!$H:$H,$HO31)*$HP$4,$HP31/$IA31),0))</f>
        <v>0</v>
      </c>
      <c r="HR31" s="92">
        <f>IF('Customer Inputs'!$W$13="End",0,IFERROR(IF(AND($HP$2&lt;&gt;"Enter Spend&gt;&gt;&gt;",$HQ$2="EXISTING"),SUMIFS('Existing Customers'!$O:$O,'Existing Customers'!$H:$H,$HO31,'Existing Customers'!$A:$A,$HP$1)*$HP$4,$HQ31*$HP$8),0))</f>
        <v>0</v>
      </c>
      <c r="HS31" s="92">
        <f>IF('Customer Inputs'!$W$13="End",0,IFERROR(IF(AND($HP$2&lt;&gt;"Enter Spend&gt;&gt;&gt;",$HQ$2="EXISTING"),SUMIFS('Existing Customers'!$P:$P,'Existing Customers'!$A:$A,$HP$1,'Existing Customers'!$H:$H,$HO31)*$HP$4,$HP31/$IB31),0))</f>
        <v>0</v>
      </c>
      <c r="HT31" s="93">
        <f>IF('Customer Inputs'!$W$13="End",0,IFERROR(IF(AND($HP$2&lt;&gt;"Enter Spend&gt;&gt;&gt;",$HQ$2="EXISTING"),SUMIFS('Existing Customers'!$V:$V,'Existing Customers'!$H:$H,$HO31,'Existing Customers'!$A:$A,$HP$1)*$HP$4,0),0))</f>
        <v>0</v>
      </c>
      <c r="HU31" s="93">
        <f>IF('Customer Inputs'!$W$13="End",0,IFERROR(IF(AND($HP$2&lt;&gt;"Enter Spend&gt;&gt;&gt;",$HQ$2="EXISTING"),SUMIFS('Existing Customers'!$R:$R,'Existing Customers'!$H:$H,$HO31,'Existing Customers'!$A:$A,$HP$1)*$HP$4,0),0))</f>
        <v>0</v>
      </c>
      <c r="HV31" s="780">
        <f>IF('Customer Inputs'!$W$13="End",0,IFERROR(IF(AND($HP$2&lt;&gt;"Enter Spend&gt;&gt;&gt;",$HQ$2="EXISTING"),SUMIFS('Existing Customers'!$S:$S,'Existing Customers'!$H:$H,$HO31,'Existing Customers'!$A:$A,$HP$1)/SUMIFS('Existing Customers'!$Q:$Q,'Existing Customers'!$A:$A,$HP$1,'Existing Customers'!$H:$H,$HO31),IF31),0))</f>
        <v>0</v>
      </c>
      <c r="HW31" s="780">
        <f>IF('Customer Inputs'!$W$13="End",0,IFERROR(IF(AND($HP$2&lt;&gt;"Enter Spend&gt;&gt;&gt;",$HQ$2="EXISTING"),SUMIFS('Existing Customers'!$U:$U,'Existing Customers'!$H:$H,$HO31,'Existing Customers'!$A:$A,$HP$1)/SUMIFS('Existing Customers'!$Q:$Q,'Existing Customers'!$A:$A,$HP$1,'Existing Customers'!$H:$H,$HO31),IG31),0))</f>
        <v>0</v>
      </c>
      <c r="HX31" s="783" t="e">
        <f>_xlfn.CONCAT('Customer Inputs'!$AH$13,"_",HO31)</f>
        <v>#N/A</v>
      </c>
      <c r="HY31" s="783">
        <f t="array" ref="HY31">IF('Customer Inputs'!$W$13="End",0,IFERROR(INDEX('Margin Guidence Table'!$A$1:$AG$10000,MATCH(1,('Margin Guidence Table'!$A$1:$A$10000=HX31)*('Margin Guidence Table'!$I$1:$I$10000&lt;=ROUND($HP$3,0))*('Margin Guidence Table'!$J$1:$J$10000&gt;=ROUND($HP$3,0)),0),MATCH("DATA_POINTS",'Margin Guidence Table'!$A$1:$AG$1,0)),0))</f>
        <v>0</v>
      </c>
      <c r="HZ31" s="780" t="str">
        <f t="shared" si="47"/>
        <v>DEFAULT</v>
      </c>
      <c r="IA31" s="780">
        <f t="array" ref="IA31">IF('Customer Inputs'!$W$13="End",0,IFERROR(IF($HZ31="SEGMENT",INDEX('Margin Guidence Table'!$A$1:$AG$10000,MATCH(1,('Margin Guidence Table'!$A$1:$A$10000=HX31)*('Margin Guidence Table'!$I$1:$I$10000&lt;=ROUND($HP$3,0))*('Margin Guidence Table'!$J$1:$J$10000&gt;=ROUND($HP$3,0)),0),MATCH("SALES_CASE",'Margin Guidence Table'!$A$1:$AG$1,0)),INDEX('Margin Guidence Table'!$A$1:$AG$10000,MATCH(1,('Margin Guidence Table'!$A$1:$A$10000=HX31)*('Margin Guidence Table'!$I$1:$I$10000&lt;=ROUND($HP$3,0))*('Margin Guidence Table'!$J$1:$J$10000&gt;=ROUND($HP$3,0)),0),MATCH("DEFAULT_SALES_CASE",'Margin Guidence Table'!$A$1:$AG$1,0))),0))</f>
        <v>0</v>
      </c>
      <c r="IB31" s="780">
        <f t="array" ref="IB31">IF('Customer Inputs'!$W$13="End",0,IFERROR(IF($HZ31="SEGMENT",INDEX('Margin Guidence Table'!$A$1:$AG$10000,MATCH(1,('Margin Guidence Table'!$A$1:$A$10000=HX31)*('Margin Guidence Table'!$I$1:$I$10000&lt;=ROUND($HP$3,0))*('Margin Guidence Table'!$J$1:$J$10000&gt;=ROUND($HP$3,0)),0),MATCH("SALES_LBS",'Margin Guidence Table'!$A$1:$AG$1,0)),INDEX('Margin Guidence Table'!$A$1:$AG$10000,MATCH(1,('Margin Guidence Table'!$A$1:$A$10000=HX31)*('Margin Guidence Table'!$I$1:$I$10000&lt;=ROUND($HP$3,0))*('Margin Guidence Table'!$J$1:$J$10000&gt;=ROUND($HP$3,0)),0),MATCH("DEFAULT_SALES_LBS",'Margin Guidence Table'!$A$1:$AG$1,0))),0))</f>
        <v>0</v>
      </c>
      <c r="IC31" s="784">
        <f t="array" ref="IC31">IF('Customer Inputs'!$W$13="End",0,IFERROR(IF($HZ31="SEGMENT",INDEX('Margin Guidence Table'!$A$1:$AG$10000,MATCH(1,('Margin Guidence Table'!$A$1:$A$10000=HX31)*('Margin Guidence Table'!$I$1:$I$10000&lt;=ROUND($HP$3,0))*('Margin Guidence Table'!$J$1:$J$10000&gt;=ROUND($HP$3,0)),0),MATCH("MDA_MIN_MARGIN_GUIDENCE",'Margin Guidence Table'!$A$1:$AG$1,0)),INDEX('Margin Guidence Table'!$A$1:$AG$10000,MATCH(1,('Margin Guidence Table'!$A$1:$A$10000=HX31)*('Margin Guidence Table'!$I$1:$I$10000&lt;=ROUND($HP$3,0))*('Margin Guidence Table'!$J$1:$J$10000&gt;=ROUND($HP$3,0)),0),MATCH("DEFAULT_MDA_MIN_MARGIN_GUIDENCE",'Margin Guidence Table'!$A$1:$AG$1,0))),0))</f>
        <v>0</v>
      </c>
      <c r="ID31" s="784">
        <f t="array" ref="ID31">IF('Customer Inputs'!$W$13="End",0,IFERROR(IF($HZ31="SEGMENT",INDEX('Margin Guidence Table'!$A$1:$AG$10000,MATCH(1,('Margin Guidence Table'!$A$1:$A$10000=HX31)*('Margin Guidence Table'!$I$1:$I$10000&lt;=ROUND($HP$3,0))*('Margin Guidence Table'!$J$1:$J$10000&gt;=ROUND($HP$3,0)),0),MATCH("MDA_MEDIAN_MARGIN_GUIDENCE",'Margin Guidence Table'!$A$1:$AG$1,0)),INDEX('Margin Guidence Table'!$A$1:$AG$10000,MATCH(1,('Margin Guidence Table'!$A$1:$A$10000=HX31)*('Margin Guidence Table'!$I$1:$I$10000&lt;=ROUND($HP$3,0))*('Margin Guidence Table'!$J$1:$J$10000&gt;=ROUND($HP$3,0)),0),MATCH("DEFAULT_MDA_MEDIAN_MARGIN_GUIDENCE",'Margin Guidence Table'!$A$1:$AG$1,0))),0))</f>
        <v>0</v>
      </c>
      <c r="IE31" s="784">
        <f t="array" ref="IE31">IF('Customer Inputs'!$W$13="End",0,IFERROR(IF($HZ31="SEGMENT",INDEX('Margin Guidence Table'!$A$1:$AG$10000,MATCH(1,('Margin Guidence Table'!$A$1:$A$10000=HX31)*('Margin Guidence Table'!$I$1:$I$10000&lt;=ROUND($HP$3,0))*('Margin Guidence Table'!$J$1:$J$10000&gt;=ROUND($HP$3,0)),0),MATCH("MDA_MAX_MARGIN_GUIDENCE",'Margin Guidence Table'!$A$1:$AG$1,0)),INDEX('Margin Guidence Table'!$A$1:$AG$10000,MATCH(1,('Margin Guidence Table'!$A$1:$A$10000=HX31)*('Margin Guidence Table'!$I$1:$I$10000&lt;=ROUND($HP$3,0))*('Margin Guidence Table'!$J$1:$J$10000&gt;=ROUND($HP$3,0)),0),MATCH("DEFAULT_MDA_MAX_MARGIN_GUIDENCE",'Margin Guidence Table'!$A$1:$AG$1,0))),0))</f>
        <v>0</v>
      </c>
      <c r="IF31" s="784">
        <f t="array" ref="IF31">IF('Customer Inputs'!$W$13="End",0,IFERROR(IF($HZ31="SEGMENT",INDEX('Margin Guidence Table'!$A$1:$AG$10000,MATCH(1,('Margin Guidence Table'!$A$1:$A$10000=HX31)*('Margin Guidence Table'!$I$1:$I$10000&lt;=ROUND($HP$3,0))*('Margin Guidence Table'!$J$1:$J$10000&gt;=ROUND($HP$3,0)),0),MATCH("PA_PCT_SALES",'Margin Guidence Table'!$A$1:$AG$1,0)),INDEX('Margin Guidence Table'!$A$1:$AG$10000,MATCH(1,('Margin Guidence Table'!$A$1:$A$10000=HX31)*('Margin Guidence Table'!$I$1:$I$10000&lt;=ROUND($HP$3,0))*('Margin Guidence Table'!$J$1:$J$10000&gt;=ROUND($HP$3,0)),0),MATCH("DEFAULT_PA_PCT_SALES",'Margin Guidence Table'!$A$1:$AG$1,0))),0))</f>
        <v>0</v>
      </c>
      <c r="IG31" s="784">
        <f t="array" ref="IG31">IF('Customer Inputs'!$W$13="End",0,IFERROR(IF($HZ31="SEGMENT",INDEX('Margin Guidence Table'!$A$1:$AG$10000,MATCH(1,('Margin Guidence Table'!$A$1:$A$10000=HX31)*('Margin Guidence Table'!$I$1:$I$10000&lt;=ROUND($HP$3,0))*('Margin Guidence Table'!$J$1:$J$10000&gt;=ROUND($HP$3,0)),0),MATCH("SELF_FUND_PCT_SALES",'Margin Guidence Table'!$A$1:$AG$1,0)),INDEX('Margin Guidence Table'!$A$1:$AG$10000,MATCH(1,('Margin Guidence Table'!$A$1:$A$10000=HX31)*('Margin Guidence Table'!$I$1:$I$10000&lt;=ROUND($HP$3,0))*('Margin Guidence Table'!$J$1:$J$10000&gt;=ROUND($HP$3,0)),0),MATCH("DEFAULT_SELF_FUND_PCT_SALES",'Margin Guidence Table'!$A$1:$AG$1,0))),0))</f>
        <v>0</v>
      </c>
      <c r="IH31" s="784">
        <f t="array" ref="IH31">IF('Customer Inputs'!$W$13="End",0,IF($HQ$2="Existing",IFERROR(SUMIFS('Existing Customers'!$V:$V,'Existing Customers'!$H:$H,$HO31,'Existing Customers'!$A:$A,$HP$1)/SUMIFS('Existing Customers'!$Q:$Q,'Existing Customers'!$H:$H,$HO31,'Existing Customers'!$A:$A,$HP$1),0),IFERROR(IF($HZ31="SEGMENT",INDEX('Margin Guidence Table'!$A$1:$AG$10000,MATCH(1,('Margin Guidence Table'!$A$1:$A$10000=HX31)*('Margin Guidence Table'!$I$1:$I$10000&lt;=ROUND($HP$3,0))*('Margin Guidence Table'!$J$1:$J$10000&gt;=ROUND($HP$3,0)),0),MATCH("CIA_MEDIAN_MARGIN_GUIDENCE",'Margin Guidence Table'!$A$1:$AG$1,0)),INDEX('Margin Guidence Table'!$A$1:$AG$10000,MATCH(1,('Margin Guidence Table'!$A$1:$A$10000=HX31)*('Margin Guidence Table'!$I$1:$I$10000&lt;=ROUND($HP$3,0))*('Margin Guidence Table'!$J$1:$J$10000&gt;=ROUND($HP$3,0)),0),MATCH("DEFAULT_CIA_MEDIAN_MARGIN_GUIDENCE",'Margin Guidence Table'!$A$1:$AG$1,0))),0)))</f>
        <v>0</v>
      </c>
      <c r="II31" s="126"/>
      <c r="IJ31" s="18">
        <f t="array" ref="IJ31">IF('Customer Inputs'!$W$14="End",0,IFERROR(IF($IW31="SEGMENT",INDEX('Margin Guidence Table'!$A:$AC,MATCH(1,('Margin Guidence Table'!$A:$A=$IU31)*('Margin Guidence Table'!$H:$H&lt;=ROUND($IM$3,0))*('Margin Guidence Table'!$G:$G&gt;=ROUND($IM$3,0)),0),MATCH("PCT_SALES",'Margin Guidence Table'!$A$1:$AG$1,0)),INDEX('Margin Guidence Table'!$A:$AC,MATCH(1,('Margin Guidence Table'!$A:$A=$IU31)*('Margin Guidence Table'!$H:$H&lt;=ROUND($IM$3,0))*('Margin Guidence Table'!$G:$G&gt;=ROUND($IM$3,0)),0),MATCH("DEFAULT_PCT_SALES",'Margin Guidence Table'!$A$1:$AG$1,0))),0))</f>
        <v>0</v>
      </c>
      <c r="IK31" s="297" t="e">
        <f t="shared" si="48"/>
        <v>#DIV/0!</v>
      </c>
      <c r="IL31" s="99" t="s">
        <v>94</v>
      </c>
      <c r="IM31" s="91">
        <f>IF('Customer Inputs'!$W$14="End",0,IFERROR(IF(AND($IM$2&lt;&gt;"Enter Spend&gt;&gt;&gt;",$IN$2="EXISTING"),SUMIFS('Existing Customers'!$Q:$Q,'Existing Customers'!$A:$A,$IM$1,'Existing Customers'!$H:$H,$IL31)*$IM$4,$IM$3*$IK31),0))</f>
        <v>0</v>
      </c>
      <c r="IN31" s="86">
        <f>IF('Customer Inputs'!$W$14="End",0,IFERROR(IF(AND($IM$2&lt;&gt;"Enter Spend&gt;&gt;&gt;",$IN$2="EXISTING"),SUMIFS('Existing Customers'!$N:$N,'Existing Customers'!$A:$A,$IM$1,'Existing Customers'!$H:$H,$IL31)*$IM$4,$IM31/$IX31),0))</f>
        <v>0</v>
      </c>
      <c r="IO31" s="92">
        <f>IF('Customer Inputs'!$W$14="End",0,IFERROR(IF(AND($IM$2&lt;&gt;"Enter Spend&gt;&gt;&gt;",$IN$2="EXISTING"),SUMIFS('Existing Customers'!$O:$O,'Existing Customers'!$H:$H,$IL31,'Existing Customers'!$A:$A,$IM$1)*$IM$4,$IN31*$IM$8),0))</f>
        <v>0</v>
      </c>
      <c r="IP31" s="92">
        <f>IF('Customer Inputs'!$W$14="End",0,IFERROR(IF(AND($IM$2&lt;&gt;"Enter Spend&gt;&gt;&gt;",$IN$2="EXISTING"),SUMIFS('Existing Customers'!$P:$P,'Existing Customers'!$A:$A,$IM$1,'Existing Customers'!$H:$H,$IL31)*$IM$4,$IM31/$IY31),0))</f>
        <v>0</v>
      </c>
      <c r="IQ31" s="303">
        <f>IF('Customer Inputs'!$W$14="End",0,IFERROR(IF(AND($IM$2&lt;&gt;"Enter Spend&gt;&gt;&gt;",$IN$2="EXISTING"),SUMIFS('Existing Customers'!$V:$V,'Existing Customers'!$H:$H,$IL31,'Existing Customers'!$A:$A,$IM$1)*$IM$4,0),0))</f>
        <v>0</v>
      </c>
      <c r="IR31" s="93">
        <f>IF('Customer Inputs'!$W$14="End",0,IFERROR(IF(AND($IM$2&lt;&gt;"Enter Spend&gt;&gt;&gt;",$IN$2="EXISTING"),SUMIFS('Existing Customers'!$R:$R,'Existing Customers'!$H:$H,$IL31,'Existing Customers'!$A:$A,$IM$1)*$IM$4,0),0))</f>
        <v>0</v>
      </c>
      <c r="IS31" s="780">
        <f>IF('Customer Inputs'!$W$14="End",0,IFERROR(IF(AND($IM$2&lt;&gt;"Enter Spend&gt;&gt;&gt;",$IN$2="EXISTING"),SUMIFS('Existing Customers'!$S:$S,'Existing Customers'!$H:$H,$IL31,'Existing Customers'!$A:$A,$IM$1)/SUMIFS('Existing Customers'!$Q:$Q,'Existing Customers'!$A:$A,$IM$1,'Existing Customers'!$H:$H,$IL31),JC31),0))</f>
        <v>0</v>
      </c>
      <c r="IT31" s="780">
        <f>IF('Customer Inputs'!$W$14="End",0,IFERROR(IF(AND($IM$2&lt;&gt;"Enter Spend&gt;&gt;&gt;",$IN$2="EXISTING"),SUMIFS('Existing Customers'!$U:$U,'Existing Customers'!$H:$H,$IL31,'Existing Customers'!$A:$A,$IM$1)/SUMIFS('Existing Customers'!$Q:$Q,'Existing Customers'!$A:$A,$IM$1,'Existing Customers'!$H:$H,$IL31),JD31),0))</f>
        <v>0</v>
      </c>
      <c r="IU31" s="783" t="e">
        <f>_xlfn.CONCAT('Customer Inputs'!$AH$14,"_",IL31)</f>
        <v>#N/A</v>
      </c>
      <c r="IV31" s="783">
        <f t="array" ref="IV31">IF('Customer Inputs'!$W$14="End",0,IFERROR(INDEX('Margin Guidence Table'!$A$1:$AG$10000,MATCH(1,('Margin Guidence Table'!$A$1:$A$10000=IU31)*('Margin Guidence Table'!$I$1:$I$10000&lt;=ROUND($IM$3,0))*('Margin Guidence Table'!$J$1:$J$10000&gt;=ROUND($IM$3,0)),0),MATCH("DATA_POINTS",'Margin Guidence Table'!$A$1:$AG$1,0)),0))</f>
        <v>0</v>
      </c>
      <c r="IW31" s="780" t="str">
        <f t="shared" si="49"/>
        <v>DEFAULT</v>
      </c>
      <c r="IX31" s="780">
        <f t="array" ref="IX31">IF('Customer Inputs'!$W$14="End",0,IFERROR(IF($IW31="SEGMENT",INDEX('Margin Guidence Table'!$A$1:$AG$10000,MATCH(1,('Margin Guidence Table'!$A$1:$A$10000=IU31)*('Margin Guidence Table'!$I$1:$I$10000&lt;=ROUND($IM$3,0))*('Margin Guidence Table'!$J$1:$J$10000&gt;=ROUND($IM$3,0)),0),MATCH("SALES_CASE",'Margin Guidence Table'!$A$1:$AG$1,0)),INDEX('Margin Guidence Table'!$A$1:$AG$10000,MATCH(1,('Margin Guidence Table'!$A$1:$A$10000=IU31)*('Margin Guidence Table'!$I$1:$I$10000&lt;=ROUND($IM$3,0))*('Margin Guidence Table'!$J$1:$J$10000&gt;=ROUND($IM$3,0)),0),MATCH("DEFAULT_SALES_CASE",'Margin Guidence Table'!$A$1:$AG$1,0))),0))</f>
        <v>0</v>
      </c>
      <c r="IY31" s="780">
        <f t="array" ref="IY31">IF('Customer Inputs'!$W$14="End",0,IFERROR(IF($IW31="SEGMENT",INDEX('Margin Guidence Table'!$A$1:$AG$10000,MATCH(1,('Margin Guidence Table'!$A$1:$A$10000=IU31)*('Margin Guidence Table'!$I$1:$I$10000&lt;=ROUND($IM$3,0))*('Margin Guidence Table'!$J$1:$J$10000&gt;=ROUND($IM$3,0)),0),MATCH("SALES_LBS",'Margin Guidence Table'!$A$1:$AG$1,0)),INDEX('Margin Guidence Table'!$A$1:$AG$10000,MATCH(1,('Margin Guidence Table'!$A$1:$A$10000=IU31)*('Margin Guidence Table'!$I$1:$I$10000&lt;=ROUND($IM$3,0))*('Margin Guidence Table'!$J$1:$J$10000&gt;=ROUND($IM$3,0)),0),MATCH("DEFAULT_SALES_LBS",'Margin Guidence Table'!$A$1:$AG$1,0))),0))</f>
        <v>0</v>
      </c>
      <c r="IZ31" s="784">
        <f t="array" ref="IZ31">IF('Customer Inputs'!$W$14="End",0,IFERROR(IF($IW31="SEGMENT",INDEX('Margin Guidence Table'!$A$1:$AG$10000,MATCH(1,('Margin Guidence Table'!$A$1:$A$10000=IU31)*('Margin Guidence Table'!$I$1:$I$10000&lt;=ROUND($IM$3,0))*('Margin Guidence Table'!$J$1:$J$10000&gt;=ROUND($IM$3,0)),0),MATCH("MDA_MIN_MARGIN_GUIDENCE",'Margin Guidence Table'!$A$1:$AG$1,0)),INDEX('Margin Guidence Table'!$A$1:$AG$10000,MATCH(1,('Margin Guidence Table'!$A$1:$A$10000=IU31)*('Margin Guidence Table'!$I$1:$I$10000&lt;=ROUND($IM$3,0))*('Margin Guidence Table'!$J$1:$J$10000&gt;=ROUND($IM$3,0)),0),MATCH("DEFAULT_MDA_MIN_MARGIN_GUIDENCE",'Margin Guidence Table'!$A$1:$AG$1,0))),0))</f>
        <v>0</v>
      </c>
      <c r="JA31" s="784">
        <f t="array" ref="JA31">IF('Customer Inputs'!$W$14="End",0,IFERROR(IF($IW31="SEGMENT",INDEX('Margin Guidence Table'!$A$1:$AG$10000,MATCH(1,('Margin Guidence Table'!$A$1:$A$10000=IU31)*('Margin Guidence Table'!$I$1:$I$10000&lt;=ROUND($IM$3,0))*('Margin Guidence Table'!$J$1:$J$10000&gt;=ROUND($IM$3,0)),0),MATCH("MDA_MEDIAN_MARGIN_GUIDENCE",'Margin Guidence Table'!$A$1:$AG$1,0)),INDEX('Margin Guidence Table'!$A$1:$AG$10000,MATCH(1,('Margin Guidence Table'!$A$1:$A$10000=IU31)*('Margin Guidence Table'!$I$1:$I$10000&lt;=ROUND($IM$3,0))*('Margin Guidence Table'!$J$1:$J$10000&gt;=ROUND($IM$3,0)),0),MATCH("DEFAULT_MDA_MEDIAN_MARGIN_GUIDENCE",'Margin Guidence Table'!$A$1:$AG$1,0))),0))</f>
        <v>0</v>
      </c>
      <c r="JB31" s="784">
        <f t="array" ref="JB31">IF('Customer Inputs'!$W$14="End",0,IFERROR(IF($IW31="SEGMENT",INDEX('Margin Guidence Table'!$A$1:$AG$10000,MATCH(1,('Margin Guidence Table'!$A$1:$A$10000=IU31)*('Margin Guidence Table'!$I$1:$I$10000&lt;=ROUND($IM$3,0))*('Margin Guidence Table'!$J$1:$J$10000&gt;=ROUND($IM$3,0)),0),MATCH("MDA_MAX_MARGIN_GUIDENCE",'Margin Guidence Table'!$A$1:$AG$1,0)),INDEX('Margin Guidence Table'!$A$1:$AG$10000,MATCH(1,('Margin Guidence Table'!$A$1:$A$10000=IU31)*('Margin Guidence Table'!$I$1:$I$10000&lt;=ROUND($IM$3,0))*('Margin Guidence Table'!$J$1:$J$10000&gt;=ROUND($IM$3,0)),0),MATCH("DEFAULT_MDA_MAX_MARGIN_GUIDENCE",'Margin Guidence Table'!$A$1:$AG$1,0))),0))</f>
        <v>0</v>
      </c>
      <c r="JC31" s="784">
        <f t="array" ref="JC31">IF('Customer Inputs'!$W$14="End",0,IFERROR(IF($IW31="SEGMENT",INDEX('Margin Guidence Table'!$A$1:$AG$10000,MATCH(1,('Margin Guidence Table'!$A$1:$A$10000=IU31)*('Margin Guidence Table'!$I$1:$I$10000&lt;=ROUND($IM$3,0))*('Margin Guidence Table'!$J$1:$J$10000&gt;=ROUND($IM$3,0)),0),MATCH("PA_PCT_SALES",'Margin Guidence Table'!$A$1:$AG$1,0)),INDEX('Margin Guidence Table'!$A$1:$AG$10000,MATCH(1,('Margin Guidence Table'!$A$1:$A$10000=IU31)*('Margin Guidence Table'!$I$1:$I$10000&lt;=ROUND($IM$3,0))*('Margin Guidence Table'!$J$1:$J$10000&gt;=ROUND($IM$3,0)),0),MATCH("DEFAULT_PA_PCT_SALES",'Margin Guidence Table'!$A$1:$AG$1,0))),0))</f>
        <v>0</v>
      </c>
      <c r="JD31" s="784">
        <f t="array" ref="JD31">IF('Customer Inputs'!$W$14="End",0,IFERROR(IF($IW31="SEGMENT",INDEX('Margin Guidence Table'!$A$1:$AG$10000,MATCH(1,('Margin Guidence Table'!$A$1:$A$10000=IU31)*('Margin Guidence Table'!$I$1:$I$10000&lt;=ROUND($IM$3,0))*('Margin Guidence Table'!$J$1:$J$10000&gt;=ROUND($IM$3,0)),0),MATCH("SELF_FUND_PCT_SALES",'Margin Guidence Table'!$A$1:$AG$1,0)),INDEX('Margin Guidence Table'!$A$1:$AG$10000,MATCH(1,('Margin Guidence Table'!$A$1:$A$10000=IU31)*('Margin Guidence Table'!$I$1:$I$10000&lt;=ROUND($IM$3,0))*('Margin Guidence Table'!$J$1:$J$10000&gt;=ROUND($IM$3,0)),0),MATCH("DEFAULT_SELF_FUND_PCT_SALES",'Margin Guidence Table'!$A$1:$AG$1,0))),0))</f>
        <v>0</v>
      </c>
      <c r="JE31" s="784">
        <f t="array" ref="JE31">IF('Customer Inputs'!$W$14="End",0,IF($IN$2="Existing",IFERROR(SUMIFS('Existing Customers'!$V:$V,'Existing Customers'!$H:$H,$IL31,'Existing Customers'!$A:$A,$IM$1)/SUMIFS('Existing Customers'!$Q:$Q,'Existing Customers'!$H:$H,$IL31,'Existing Customers'!$A:$A,$IM$1),0),IFERROR(IF($IW31="SEGMENT",INDEX('Margin Guidence Table'!$A$1:$AG$10000,MATCH(1,('Margin Guidence Table'!$A$1:$A$10000=IU31)*('Margin Guidence Table'!$I$1:$I$10000&lt;=ROUND($IM$3,0))*('Margin Guidence Table'!$J$1:$J$10000&gt;=ROUND($IM$3,0)),0),MATCH("CIA_MEDIAN_MARGIN_GUIDENCE",'Margin Guidence Table'!$A$1:$AG$1,0)),INDEX('Margin Guidence Table'!$A$1:$AG$10000,MATCH(1,('Margin Guidence Table'!$A$1:$A$10000=IU31)*('Margin Guidence Table'!$I$1:$I$10000&lt;=ROUND($IM$3,0))*('Margin Guidence Table'!$J$1:$J$10000&gt;=ROUND($IM$3,0)),0),MATCH("DEFAULT_CIA_MEDIAN_MARGIN_GUIDENCE",'Margin Guidence Table'!$A$1:$AG$1,0))),0)))</f>
        <v>0</v>
      </c>
      <c r="JF31" s="126"/>
      <c r="JG31" s="18">
        <f t="array" ref="JG31">IF('Customer Inputs'!$W$15="End",0,IFERROR(IF($JT31="SEGMENT",INDEX('Margin Guidence Table'!$A$1:$AG$10000,MATCH(1,('Margin Guidence Table'!$A$1:$A$10000=$JR31)*('Margin Guidence Table'!$I$1:$I$10000&lt;=ROUND($JJ$3,0))*('Margin Guidence Table'!$J$1:$J$10000&gt;=ROUND($JJ$3,0)),0),MATCH("PCT_SALES",'Margin Guidence Table'!$A$1:$AG$1,0)),INDEX('Margin Guidence Table'!$A$1:$AG$10000,MATCH(1,('Margin Guidence Table'!$A$1:$A$10000=$JR31)*('Margin Guidence Table'!$I$1:$I$10000&lt;=ROUND($JJ$3,0))*('Margin Guidence Table'!$J$1:$J$10000&gt;=ROUND($JJ$3,0)),0),MATCH("DEFAULT_PCT_SALES",'Margin Guidence Table'!$A$1:$AG$1,0))),0))</f>
        <v>0</v>
      </c>
      <c r="JH31" s="297" t="e">
        <f t="shared" si="50"/>
        <v>#DIV/0!</v>
      </c>
      <c r="JI31" s="99" t="s">
        <v>94</v>
      </c>
      <c r="JJ31" s="91">
        <f>IF('Customer Inputs'!$W$15="End",0,IFERROR(IF(AND($JJ$2&lt;&gt;"Enter Spend&gt;&gt;&gt;",$JK$2="EXISTING"),SUMIFS('Existing Customers'!$Q:$Q,'Existing Customers'!$A:$A,$JJ$1,'Existing Customers'!$H:$H,$JI31)*$JJ$4,$JJ$3*$JH31),0))</f>
        <v>0</v>
      </c>
      <c r="JK31" s="86">
        <f>IF('Customer Inputs'!$W$15="End",0,IFERROR(IF(AND($JJ$2&lt;&gt;"Enter Spend&gt;&gt;&gt;",$JK$2="EXISTING"),SUMIFS('Existing Customers'!$N:$N,'Existing Customers'!$A:$A,$JJ$1,'Existing Customers'!$H:$H,$JI31)*$JJ$4,$JJ31/$JU31),0))</f>
        <v>0</v>
      </c>
      <c r="JL31" s="92">
        <f>IF('Customer Inputs'!$W$15="End",0,IFERROR(IF(AND($JJ$2&lt;&gt;"Enter Spend&gt;&gt;&gt;",$JK$2="EXISTING"),SUMIFS('Existing Customers'!$O:$O,'Existing Customers'!$H:$H,$JI31,'Existing Customers'!$A:$A,$JJ$1)*$JJ$4,$JK31*$JJ$8),0))</f>
        <v>0</v>
      </c>
      <c r="JM31" s="92">
        <f>IF('Customer Inputs'!$W$15="End",0,IFERROR(IF(AND($JJ$2&lt;&gt;"Enter Spend&gt;&gt;&gt;",$JK$2="EXISTING"),SUMIFS('Existing Customers'!$P:$P,'Existing Customers'!$A:$A,$JJ$1,'Existing Customers'!$H:$H,$JI31)*$JJ$4,$JJ31/$JV31),0))</f>
        <v>0</v>
      </c>
      <c r="JN31" s="303">
        <f>IF('Customer Inputs'!$W$15="End",0,IFERROR(IF(AND($JJ$2&lt;&gt;"Enter Spend&gt;&gt;&gt;",$JK$2="EXISTING"),SUMIFS('Existing Customers'!$V:$V,'Existing Customers'!$H:$H,$JI31,'Existing Customers'!$A:$A,$JJ$1)*$JJ$4,0),0))</f>
        <v>0</v>
      </c>
      <c r="JO31" s="93">
        <f>IF('Customer Inputs'!$W$15="End",0,IFERROR(IF(AND($JJ$2&lt;&gt;"Enter Spend&gt;&gt;&gt;",$JK$2="EXISTING"),SUMIFS('Existing Customers'!$R:$R,'Existing Customers'!$H:$H,$JI31,'Existing Customers'!$A:$A,$JJ$1)*$JJ$4,0),0))</f>
        <v>0</v>
      </c>
      <c r="JP31" s="780">
        <f>IF('Customer Inputs'!$W$15="End",0,IFERROR(IF(AND($JJ$2&lt;&gt;"Enter Spend&gt;&gt;&gt;",$JK$2="EXISTING"),SUMIFS('Existing Customers'!$S:$S,'Existing Customers'!$H:$H,$JI31,'Existing Customers'!$A:$A,$JJ$1)/SUMIFS('Existing Customers'!$Q:$Q,'Existing Customers'!$A:$A,$JJ$1,'Existing Customers'!$H:$H,$JI31),JZ31),0))</f>
        <v>0</v>
      </c>
      <c r="JQ31" s="780">
        <f>IF('Customer Inputs'!$W$15="End",0,IFERROR(IF(AND($JJ$2&lt;&gt;"Enter Spend&gt;&gt;&gt;",$JK$2="EXISTING"),SUMIFS('Existing Customers'!$U:$U,'Existing Customers'!$H:$H,$JI31,'Existing Customers'!$A:$A,$JJ$1)/SUMIFS('Existing Customers'!$Q:$Q,'Existing Customers'!$A:$A,$JJ$1,'Existing Customers'!$H:$H,$JI31),KA31),0))</f>
        <v>0</v>
      </c>
      <c r="JR31" s="783" t="e">
        <f>_xlfn.CONCAT('Customer Inputs'!$AH$15,"_",JI31)</f>
        <v>#N/A</v>
      </c>
      <c r="JS31" s="783">
        <f t="array" ref="JS31">IF('Customer Inputs'!$W$15="End",0,IFERROR(INDEX('Margin Guidence Table'!$A$1:$AG$10000,MATCH(1,('Margin Guidence Table'!$A$1:$A$10000=JR31)*('Margin Guidence Table'!$I$1:$I$10000&lt;=ROUND($JJ$3,0))*('Margin Guidence Table'!$J$1:$J$10000&gt;=ROUND($JJ$3,0)),0),MATCH("DATA_POINTS",'Margin Guidence Table'!$A$1:$AG$1,0)),0))</f>
        <v>0</v>
      </c>
      <c r="JT31" s="780" t="str">
        <f t="shared" si="51"/>
        <v>DEFAULT</v>
      </c>
      <c r="JU31" s="780">
        <f t="array" ref="JU31">IF('Customer Inputs'!$W$15="End",0,IFERROR(IF($JT31="SEGMENT",INDEX('Margin Guidence Table'!$A$1:$AG$10000,MATCH(1,('Margin Guidence Table'!$A$1:$A$10000=JR31)*('Margin Guidence Table'!$I$1:$I$10000&lt;=ROUND($JJ$3,0))*('Margin Guidence Table'!$J$1:$J$10000&gt;=ROUND($JJ$3,0)),0),MATCH("SALES_CASE",'Margin Guidence Table'!$A$1:$AG$1,0)),INDEX('Margin Guidence Table'!$A$1:$AG$10000,MATCH(1,('Margin Guidence Table'!$A$1:$A$10000=JR31)*('Margin Guidence Table'!$I$1:$I$10000&lt;=ROUND($JJ$3,0))*('Margin Guidence Table'!$J$1:$J$10000&gt;=ROUND($JJ$3,0)),0),MATCH("DEFAULT_SALES_CASE",'Margin Guidence Table'!$A$1:$AG$1,0))),0))</f>
        <v>0</v>
      </c>
      <c r="JV31" s="780">
        <f t="array" ref="JV31">IF('Customer Inputs'!$W$15="End",0,IFERROR(IF($JT31="SEGMENT",INDEX('Margin Guidence Table'!$A$1:$AG$10000,MATCH(1,('Margin Guidence Table'!$A$1:$A$10000=JR31)*('Margin Guidence Table'!$I$1:$I$10000&lt;=ROUND($JJ$3,0))*('Margin Guidence Table'!$J$1:$J$10000&gt;=ROUND($JJ$3,0)),0),MATCH("SALES_LBS",'Margin Guidence Table'!$A$1:$AG$1,0)),INDEX('Margin Guidence Table'!$A$1:$AG$10000,MATCH(1,('Margin Guidence Table'!$A$1:$A$10000=JR31)*('Margin Guidence Table'!$I$1:$I$10000&lt;=ROUND($JJ$3,0))*('Margin Guidence Table'!$J$1:$J$10000&gt;=ROUND($JJ$3,0)),0),MATCH("DEFAULT_SALES_LBS",'Margin Guidence Table'!$A$1:$AG$1,0))),0))</f>
        <v>0</v>
      </c>
      <c r="JW31" s="784">
        <f t="array" ref="JW31">IF('Customer Inputs'!$W$15="End",0,IFERROR(IF($JT31="SEGMENT",INDEX('Margin Guidence Table'!$A$1:$AG$10000,MATCH(1,('Margin Guidence Table'!$A$1:$A$10000=JR31)*('Margin Guidence Table'!$I$1:$I$10000&lt;=ROUND($JJ$3,0))*('Margin Guidence Table'!$J$1:$J$10000&gt;=ROUND($JJ$3,0)),0),MATCH("MDA_MIN_MARGIN_GUIDENCE",'Margin Guidence Table'!$A$1:$AG$1,0)),INDEX('Margin Guidence Table'!$A$1:$AG$10000,MATCH(1,('Margin Guidence Table'!$A$1:$A$10000=JR31)*('Margin Guidence Table'!$I$1:$I$10000&lt;=ROUND($JJ$3,0))*('Margin Guidence Table'!$J$1:$J$10000&gt;=ROUND($JJ$3,0)),0),MATCH("DEFAULT_MDA_MIN_MARGIN_GUIDENCE",'Margin Guidence Table'!$A$1:$AG$1,0))),0))</f>
        <v>0</v>
      </c>
      <c r="JX31" s="784">
        <f t="array" ref="JX31">IF('Customer Inputs'!$W$15="End",0,IFERROR(IF($JT31="SEGMENT",INDEX('Margin Guidence Table'!$A$1:$AG$10000,MATCH(1,('Margin Guidence Table'!$A$1:$A$10000=JR31)*('Margin Guidence Table'!$I$1:$I$10000&lt;=ROUND($JJ$3,0))*('Margin Guidence Table'!$J$1:$J$10000&gt;=ROUND($JJ$3,0)),0),MATCH("MDA_MEDIAN_MARGIN_GUIDENCE",'Margin Guidence Table'!$A$1:$AG$1,0)),INDEX('Margin Guidence Table'!$A$1:$AG$10000,MATCH(1,('Margin Guidence Table'!$A$1:$A$10000=JR31)*('Margin Guidence Table'!$I$1:$I$10000&lt;=ROUND($JJ$3,0))*('Margin Guidence Table'!$J$1:$J$10000&gt;=ROUND($JJ$3,0)),0),MATCH("DEFAULT_MDA_MEDIAN_MARGIN_GUIDENCE",'Margin Guidence Table'!$A$1:$AG$1,0))),0))</f>
        <v>0</v>
      </c>
      <c r="JY31" s="784">
        <f t="array" ref="JY31">IF('Customer Inputs'!$W$15="End",0,IFERROR(IF($JT31="SEGMENT",INDEX('Margin Guidence Table'!$A$1:$AG$10000,MATCH(1,('Margin Guidence Table'!$A$1:$A$10000=JR31)*('Margin Guidence Table'!$I$1:$I$10000&lt;=ROUND($JJ$3,0))*('Margin Guidence Table'!$J$1:$J$10000&gt;=ROUND($JJ$3,0)),0),MATCH("MDA_MAX_MARGIN_GUIDENCE",'Margin Guidence Table'!$A$1:$AG$1,0)),INDEX('Margin Guidence Table'!$A$1:$AG$10000,MATCH(1,('Margin Guidence Table'!$A$1:$A$10000=JR31)*('Margin Guidence Table'!$I$1:$I$10000&lt;=ROUND($JJ$3,0))*('Margin Guidence Table'!$J$1:$J$10000&gt;=ROUND($JJ$3,0)),0),MATCH("DEFAULT_MDA_MAX_MARGIN_GUIDENCE",'Margin Guidence Table'!$A$1:$AG$1,0))),0))</f>
        <v>0</v>
      </c>
      <c r="JZ31" s="784">
        <f t="array" ref="JZ31">IF('Customer Inputs'!$W$15="End",0,IFERROR(IF($JT31="SEGMENT",INDEX('Margin Guidence Table'!$A$1:$AG$10000,MATCH(1,('Margin Guidence Table'!$A$1:$A$10000=JR31)*('Margin Guidence Table'!$I$1:$I$10000&lt;=ROUND($JJ$3,0))*('Margin Guidence Table'!$J$1:$J$10000&gt;=ROUND($JJ$3,0)),0),MATCH("PA_PCT_SALES",'Margin Guidence Table'!$A$1:$AG$1,0)),INDEX('Margin Guidence Table'!$A$1:$AG$10000,MATCH(1,('Margin Guidence Table'!$A$1:$A$10000=JR31)*('Margin Guidence Table'!$I$1:$I$10000&lt;=ROUND($JJ$3,0))*('Margin Guidence Table'!$J$1:$J$10000&gt;=ROUND($JJ$3,0)),0),MATCH("DEFAULT_PA_PCT_SALES",'Margin Guidence Table'!$A$1:$AG$1,0))),0))</f>
        <v>0</v>
      </c>
      <c r="KA31" s="784" cm="1">
        <f t="array" ref="KA31">IF('Customer Inputs'!$W$15="End",0,IFERROR(IF($JT31="SEGMENT",INDEX('Margin Guidence Table'!$A$1:$AG$10000,MATCH(1,('Margin Guidence Table'!$A$1:$A$10000=JR31)*('Margin Guidence Table'!$I$1:$I$10000&lt;=ROUND($JJ$3,0))*('Margin Guidence Table'!$J$1:$J$10000&gt;=ROUND($JJ$3,0)),0),MATCH("SELF_FUND_PCT_SALES",'Margin Guidence Table'!$A$1:$AG$1,0)),INDEX('Margin Guidence Table'!$A$1:$AG$10000,MATCH(1,('Margin Guidence Table'!$A$1:$A$10000=JR31)*('Margin Guidence Table'!$I$1:$I$10000&lt;=ROUND($JJ$3,0))*('Margin Guidence Table'!$J$1:$J$10000&gt;=ROUND($JJ$3,0)),0),MATCH("DEFAULT_SELF_FUND_PCT_SALES",'Margin Guidence Table'!$A$1:$AG$1,0))),0))</f>
        <v>0</v>
      </c>
      <c r="KB31" s="784">
        <f t="array" ref="KB31">IF('Customer Inputs'!$W$15="End",0,IF($JK$2="Existing",IFERROR(SUMIFS('Existing Customers'!$V:$V,'Existing Customers'!$H:$H,$JI31,'Existing Customers'!$A:$A,$JJ$1)/SUMIFS('Existing Customers'!$Q:$Q,'Existing Customers'!$H:$H,$JI31,'Existing Customers'!$A:$A,$JJ$1),0),IFERROR(IF($JT31="SEGMENT",INDEX('Margin Guidence Table'!$A$1:$AG$10000,MATCH(1,('Margin Guidence Table'!$A$1:$A$10000=JR31)*('Margin Guidence Table'!$I$1:$I$10000&lt;=ROUND($JJ$3,0))*('Margin Guidence Table'!$J$1:$J$10000&gt;=ROUND($JJ$3,0)),0),MATCH("CIA_MEDIAN_MARGIN_GUIDENCE",'Margin Guidence Table'!$A$1:$AG$1,0)),INDEX('Margin Guidence Table'!$A$1:$AG$10000,MATCH(1,('Margin Guidence Table'!$A$1:$A$10000=JR31)*('Margin Guidence Table'!$I$1:$I$10000&lt;=ROUND($JJ$3,0))*('Margin Guidence Table'!$J$1:$J$10000&gt;=ROUND($JJ$3,0)),0),MATCH("DEFAULT_CIA_MEDIAN_MARGIN_GUIDENCE",'Margin Guidence Table'!$A$1:$AG$1,0))),0)))</f>
        <v>0</v>
      </c>
      <c r="KC31" s="784"/>
      <c r="KD31" s="18">
        <f t="array" ref="KD31">IF('Customer Inputs'!$W$16="End",0,IFERROR(IF($KQ31="SEGMENT",INDEX('Margin Guidence Table'!$A$1:$AG$10000,MATCH(1,('Margin Guidence Table'!$A$1:$A$10000=$KO31)*('Margin Guidence Table'!$I$1:$I$10000&lt;=ROUND($KG$3,0))*('Margin Guidence Table'!$J$1:$J$10000&gt;=ROUND($KG$3,0)),0),MATCH("PCT_SALES",'Margin Guidence Table'!$A$1:$AG$1,0)),INDEX('Margin Guidence Table'!$A$1:$AG$10000,MATCH(1,('Margin Guidence Table'!$A$1:$A$10000=$KO31)*('Margin Guidence Table'!$I$1:$I$10000&lt;=ROUND($KG$3,0))*('Margin Guidence Table'!$J$1:$J$10000&gt;=ROUND($KG$3,0)),0),MATCH("DEFAULT_PCT_SALES",'Margin Guidence Table'!$A$1:$AG$1,0))),0))</f>
        <v>0</v>
      </c>
      <c r="KE31" s="1713" t="e">
        <f t="shared" si="52"/>
        <v>#DIV/0!</v>
      </c>
      <c r="KF31" s="99" t="s">
        <v>94</v>
      </c>
      <c r="KG31" s="91">
        <f>IF('Customer Inputs'!$W$16="End",0,IFERROR(IF(AND($KG$2&lt;&gt;"Enter Spend&gt;&gt;&gt;",$KH$2="EXISTING"),SUMIFS('Existing Customers'!$Q:$Q,'Existing Customers'!$A:$A,$KG$1,'Existing Customers'!$H:$H,$KF31)*$KG$4,$KG$3*$KE31),0))</f>
        <v>0</v>
      </c>
      <c r="KH31" s="86">
        <f>IF('Customer Inputs'!$W$16="End",0,IFERROR(IF(AND($KG$2&lt;&gt;"Enter Spend&gt;&gt;&gt;",$KH$2="EXISTING"),SUMIFS('Existing Customers'!$N:$N,'Existing Customers'!$A:$A,$KG$1,'Existing Customers'!$H:$H,$KF31)*$KG$4,$KG31/$KR31),0))</f>
        <v>0</v>
      </c>
      <c r="KI31" s="92">
        <f>IF('Customer Inputs'!$W$16="End",0,IFERROR(IF(AND($KG$2&lt;&gt;"Enter Spend&gt;&gt;&gt;",$KH$2="EXISTING"),SUMIFS('Existing Customers'!$O:$O,'Existing Customers'!$H:$H,$KF31,'Existing Customers'!$A:$A,$KG$1)*$KG$4,$KH31*$KG$8),0))</f>
        <v>0</v>
      </c>
      <c r="KJ31" s="92">
        <f>IF('Customer Inputs'!$W$16="End",0,IFERROR(IF(AND($KG$2&lt;&gt;"Enter Spend&gt;&gt;&gt;",$KH$2="EXISTING"),SUMIFS('Existing Customers'!$P:$P,'Existing Customers'!$A:$A,$KG$1,'Existing Customers'!$H:$H,$KF31)*$KG$4,$KG31/$KS31),0))</f>
        <v>0</v>
      </c>
      <c r="KK31" s="303">
        <f>IF('Customer Inputs'!$W$16="End",0,IFERROR(IF(AND($KG$2&lt;&gt;"Enter Spend&gt;&gt;&gt;",$KH$2="EXISTING"),SUMIFS('Existing Customers'!$V:$V,'Existing Customers'!$H:$H,$KF31,'Existing Customers'!$A:$A,$KG$1)*$KG$4,0),0))</f>
        <v>0</v>
      </c>
      <c r="KL31" s="93">
        <f>IF('Customer Inputs'!$W$16="End",0,IFERROR(IF(AND($KG$2&lt;&gt;"Enter Spend&gt;&gt;&gt;",$KH$2="EXISTING"),SUMIFS('Existing Customers'!$R:$R,'Existing Customers'!$H:$H,$KF31,'Existing Customers'!$A:$A,$KG$1)*$KG$4,0),0))</f>
        <v>0</v>
      </c>
      <c r="KM31" s="780">
        <f>IF('Customer Inputs'!$W$16="End",0,IFERROR(IF(AND($KG$2&lt;&gt;"Enter Spend&gt;&gt;&gt;",$KH$2="EXISTING"),SUMIFS('Existing Customers'!$S:$S,'Existing Customers'!$H:$H,$KF31,'Existing Customers'!$A:$A,$KG$1)/SUMIFS('Existing Customers'!$Q:$Q,'Existing Customers'!$A:$A,$KG$1,'Existing Customers'!$H:$H,$KF31),KW31),0))</f>
        <v>0</v>
      </c>
      <c r="KN31" s="780">
        <f>IF('Customer Inputs'!$W$16="End",0,IFERROR(IF(AND($KG$2&lt;&gt;"Enter Spend&gt;&gt;&gt;",$KH$2="EXISTING"),SUMIFS('Existing Customers'!$U:$U,'Existing Customers'!$H:$H,$KF31,'Existing Customers'!$A:$A,$KG$1)/SUMIFS('Existing Customers'!$Q:$Q,'Existing Customers'!$A:$A,$KG$1,'Existing Customers'!$H:$H,$KF31),KX31),0))</f>
        <v>0</v>
      </c>
      <c r="KO31" s="783" t="e">
        <f>_xlfn.CONCAT('Customer Inputs'!$AH$16,"_",KF31)</f>
        <v>#N/A</v>
      </c>
      <c r="KP31" s="783">
        <f t="array" ref="KP31">IF('Customer Inputs'!$W$16="End",0,IFERROR(INDEX('Margin Guidence Table'!$A$1:$AG$10000,MATCH(1,('Margin Guidence Table'!$A$1:$A$10000=KO31)*('Margin Guidence Table'!$I$1:$I$10000&lt;=ROUND($KG$3,0))*('Margin Guidence Table'!$J$1:$J$10000&gt;=ROUND($KG$3,0)),0),MATCH("DATA_POINTS",'Margin Guidence Table'!$A$1:$AG$1,0)),0))</f>
        <v>0</v>
      </c>
      <c r="KQ31" s="780" t="str">
        <f t="shared" si="53"/>
        <v>DEFAULT</v>
      </c>
      <c r="KR31" s="780">
        <f t="array" ref="KR31">IF('Customer Inputs'!$W$16="End",0,IFERROR(IF($KQ31="SEGMENT",INDEX('Margin Guidence Table'!$A$1:$AG$10000,MATCH(1,('Margin Guidence Table'!$A$1:$A$10000=KO31)*('Margin Guidence Table'!$I$1:$I$10000&lt;=ROUND($KG$3,0))*('Margin Guidence Table'!$J$1:$J$10000&gt;=ROUND($KG$3,0)),0),MATCH("SALES_CASE",'Margin Guidence Table'!$A$1:$AG$1,0)),INDEX('Margin Guidence Table'!$A$1:$AG$10000,MATCH(1,('Margin Guidence Table'!$A$1:$A$10000=KO31)*('Margin Guidence Table'!$I$1:$I$10000&lt;=ROUND($KG$3,0))*('Margin Guidence Table'!$J$1:$J$10000&gt;=ROUND($KG$3,0)),0),MATCH("DEFAULT_SALES_CASE",'Margin Guidence Table'!$A$1:$AG$1,0))),0))</f>
        <v>0</v>
      </c>
      <c r="KS31" s="780">
        <f t="array" ref="KS31">IF('Customer Inputs'!$W$16="End",0,IFERROR(IF($KQ31="SEGMENT",INDEX('Margin Guidence Table'!$A$1:$AG$10000,MATCH(1,('Margin Guidence Table'!$A$1:$A$10000=KO31)*('Margin Guidence Table'!$I$1:$I$10000&lt;=ROUND($KG$3,0))*('Margin Guidence Table'!$J$1:$J$10000&gt;=ROUND($KG$3,0)),0),MATCH("SALES_LBS",'Margin Guidence Table'!$A$1:$AG$1,0)),INDEX('Margin Guidence Table'!$A$1:$AG$10000,MATCH(1,('Margin Guidence Table'!$A$1:$A$10000=KO31)*('Margin Guidence Table'!$I$1:$I$10000&lt;=ROUND($KG$3,0))*('Margin Guidence Table'!$J$1:$J$10000&gt;=ROUND($KG$3,0)),0),MATCH("DEFAULT_SALES_LBS",'Margin Guidence Table'!$A$1:$AG$1,0))),0))</f>
        <v>0</v>
      </c>
      <c r="KT31" s="784">
        <f t="array" ref="KT31">IF('Customer Inputs'!$W$16="End",0,IFERROR(IF($KQ31="SEGMENT",INDEX('Margin Guidence Table'!$A$1:$AG$10000,MATCH(1,('Margin Guidence Table'!$A$1:$A$10000=KO31)*('Margin Guidence Table'!$I$1:$I$10000&lt;=ROUND($KG$3,0))*('Margin Guidence Table'!$J$1:$J$10000&gt;=ROUND($KG$3,0)),0),MATCH("MDA_MIN_MARGIN_GUIDENCE",'Margin Guidence Table'!$A$1:$AG$1,0)),INDEX('Margin Guidence Table'!$A$1:$AG$10000,MATCH(1,('Margin Guidence Table'!$A$1:$A$10000=KO31)*('Margin Guidence Table'!$I$1:$I$10000&lt;=ROUND($KG$3,0))*('Margin Guidence Table'!$J$1:$J$10000&gt;=ROUND($KG$3,0)),0),MATCH("DEFAULT_MDA_MIN_MARGIN_GUIDENCE",'Margin Guidence Table'!$A$1:$AG$1,0))),0))</f>
        <v>0</v>
      </c>
      <c r="KU31" s="784">
        <f t="array" ref="KU31">IF('Customer Inputs'!$W$16="End",0,IFERROR(IF($KQ31="SEGMENT",INDEX('Margin Guidence Table'!$A$1:$AG$10000,MATCH(1,('Margin Guidence Table'!$A$1:$A$10000=KO31)*('Margin Guidence Table'!$I$1:$I$10000&lt;=ROUND($KG$3,0))*('Margin Guidence Table'!$J$1:$J$10000&gt;=ROUND($KG$3,0)),0),MATCH("MDA_MEDIAN_MARGIN_GUIDENCE",'Margin Guidence Table'!$A$1:$AG$1,0)),INDEX('Margin Guidence Table'!$A$1:$AG$10000,MATCH(1,('Margin Guidence Table'!$A$1:$A$10000=KO31)*('Margin Guidence Table'!$I$1:$I$10000&lt;=ROUND($KG$3,0))*('Margin Guidence Table'!$J$1:$J$10000&gt;=ROUND($KG$3,0)),0),MATCH("DEFAULT_MDA_MEDIAN_MARGIN_GUIDENCE",'Margin Guidence Table'!$A$1:$AG$1,0))),0))</f>
        <v>0</v>
      </c>
      <c r="KV31" s="784">
        <f t="array" ref="KV31">IF('Customer Inputs'!$W$16="End",0,IFERROR(IF($KQ31="SEGMENT",INDEX('Margin Guidence Table'!$A$1:$AG$10000,MATCH(1,('Margin Guidence Table'!$A$1:$A$10000=KO31)*('Margin Guidence Table'!$I$1:$I$10000&lt;=ROUND($KG$3,0))*('Margin Guidence Table'!$J$1:$J$10000&gt;=ROUND($KG$3,0)),0),MATCH("MDA_MAX_MARGIN_GUIDENCE",'Margin Guidence Table'!$A$1:$AG$1,0)),INDEX('Margin Guidence Table'!$A$1:$AG$10000,MATCH(1,('Margin Guidence Table'!$A$1:$A$10000=KO31)*('Margin Guidence Table'!$I$1:$I$10000&lt;=ROUND($KG$3,0))*('Margin Guidence Table'!$J$1:$J$10000&gt;=ROUND($KG$3,0)),0),MATCH("DEFAULT_MDA_MAX_MARGIN_GUIDENCE",'Margin Guidence Table'!$A$1:$AG$1,0))),0))</f>
        <v>0</v>
      </c>
      <c r="KW31" s="784">
        <f t="array" ref="KW31">IF('Customer Inputs'!$W$16="End",0,IFERROR(IF($KQ31="SEGMENT",INDEX('Margin Guidence Table'!$A$1:$AG$10000,MATCH(1,('Margin Guidence Table'!$A$1:$A$10000=KO31)*('Margin Guidence Table'!$I$1:$I$10000&lt;=ROUND($KG$3,0))*('Margin Guidence Table'!$J$1:$J$10000&gt;=ROUND($KG$3,0)),0),MATCH("PA_PCT_SALES",'Margin Guidence Table'!$A$1:$AG$1,0)),INDEX('Margin Guidence Table'!$A$1:$AG$10000,MATCH(1,('Margin Guidence Table'!$A$1:$A$10000=KO31)*('Margin Guidence Table'!$I$1:$I$10000&lt;=ROUND($KG$3,0))*('Margin Guidence Table'!$J$1:$J$10000&gt;=ROUND($KG$3,0)),0),MATCH("DEFAULT_PA_PCT_SALES",'Margin Guidence Table'!$A$1:$AG$1,0))),0))</f>
        <v>0</v>
      </c>
      <c r="KX31" s="784">
        <f t="array" ref="KX31">IF('Customer Inputs'!$W$16="End",0,IFERROR(IF($KQ31="SEGMENT",INDEX('Margin Guidence Table'!$A$1:$AG$10000,MATCH(1,('Margin Guidence Table'!$A$1:$A$10000=KO31)*('Margin Guidence Table'!$I$1:$I$10000&lt;=ROUND($KG$3,0))*('Margin Guidence Table'!$J$1:$J$10000&gt;=ROUND($KG$3,0)),0),MATCH("SELF_FUND_PCT_SALES",'Margin Guidence Table'!$A$1:$AG$1,0)),INDEX('Margin Guidence Table'!$A$1:$AG$10000,MATCH(1,('Margin Guidence Table'!$A$1:$A$10000=KO31)*('Margin Guidence Table'!$I$1:$I$10000&lt;=ROUND($KG$3,0))*('Margin Guidence Table'!$J$1:$J$10000&gt;=ROUND($KG$3,0)),0),MATCH("DEFAULT_SELF_FUND_PCT_SALES",'Margin Guidence Table'!$A$1:$AG$1,0))),0))</f>
        <v>0</v>
      </c>
      <c r="KY31" s="784">
        <f t="array" ref="KY31">IF('Customer Inputs'!$W$16="End",0,IF($KH$2="Existing",IFERROR(SUMIFS('Existing Customers'!$V:$V,'Existing Customers'!$H:$H,$KF31,'Existing Customers'!$A:$A,$KG$1)/SUMIFS('Existing Customers'!$Q:$Q,'Existing Customers'!$H:$H,$KF31,'Existing Customers'!$A:$A,$KG$1),0),IFERROR(IF($KQ31="SEGMENT",INDEX('Margin Guidence Table'!$A$1:$AG$10000,MATCH(1,('Margin Guidence Table'!$A$1:$A$10000=KO31)*('Margin Guidence Table'!$I$1:$I$10000&lt;=ROUND($KG$3,0))*('Margin Guidence Table'!$J$1:$J$10000&gt;=ROUND($KG$3,0)),0),MATCH("CIA_MEDIAN_MARGIN_GUIDENCE",'Margin Guidence Table'!$A$1:$AG$1,0)),INDEX('Margin Guidence Table'!$A$1:$AG$10000,MATCH(1,('Margin Guidence Table'!$A$1:$A$10000=KO31)*('Margin Guidence Table'!$I$1:$I$10000&lt;=ROUND($KG$3,0))*('Margin Guidence Table'!$J$1:$J$10000&gt;=ROUND($KG$3,0)),0),MATCH("DEFAULT_CIA_MEDIAN_MARGIN_GUIDENCE",'Margin Guidence Table'!$A$1:$AG$1,0))),0)))</f>
        <v>0</v>
      </c>
      <c r="KZ31" s="784"/>
      <c r="LA31" s="18">
        <f t="array" ref="LA31">IF('Customer Inputs'!$W$17="End",0,IFERROR(IF($LN31="SEGMENT",INDEX('Margin Guidence Table'!$A$1:$AG$10000,MATCH(1,('Margin Guidence Table'!$A$1:$A$10000=$LL31)*('Margin Guidence Table'!$I$1:$I$10000&lt;=ROUND($LD$3,0))*('Margin Guidence Table'!$J$1:$J$10000&gt;=ROUND($LD$3,0)),0),MATCH("PCT_SALES",'Margin Guidence Table'!$A$1:$AG$1,0)),INDEX('Margin Guidence Table'!$A$1:$AG$10000,MATCH(1,('Margin Guidence Table'!$A$1:$A$10000=$LL31)*('Margin Guidence Table'!$I$1:$I$10000&lt;=ROUND($LD$3,0))*('Margin Guidence Table'!$J$1:$J$10000&gt;=ROUND($LD$3,0)),0),MATCH("DEFAULT_PCT_SALES",'Margin Guidence Table'!$A$1:$AG$1,0))),0))</f>
        <v>0</v>
      </c>
      <c r="LB31" s="1713" t="e">
        <f t="shared" si="54"/>
        <v>#DIV/0!</v>
      </c>
      <c r="LC31" s="99" t="s">
        <v>94</v>
      </c>
      <c r="LD31" s="91">
        <f>IF('Customer Inputs'!$W$17="End",0,IFERROR(IF(AND($LD$2&lt;&gt;"Enter Spend&gt;&gt;&gt;",$LE$2="EXISTING"),SUMIFS('Existing Customers'!$Q:$Q,'Existing Customers'!$A:$A,$LD$1,'Existing Customers'!$H:$H,$LC31)*$LD$4,$LD$3*$LB31),0))</f>
        <v>0</v>
      </c>
      <c r="LE31" s="86">
        <f>IF('Customer Inputs'!$W$17="End",0,IFERROR(IF(AND($LD$2&lt;&gt;"Enter Spend&gt;&gt;&gt;",$LE$2="EXISTING"),SUMIFS('Existing Customers'!$N:$N,'Existing Customers'!$A:$A,$LD$1,'Existing Customers'!$H:$H,$LC31)*$LD$4,$LD31/$LO31),0))</f>
        <v>0</v>
      </c>
      <c r="LF31" s="92">
        <f>IF('Customer Inputs'!$W$17="End",0,IFERROR(IF(AND($LD$2&lt;&gt;"Enter Spend&gt;&gt;&gt;",$LE$2="EXISTING"),SUMIFS('Existing Customers'!$O:$O,'Existing Customers'!$H:$H,$LC31,'Existing Customers'!$A:$A,$LD$1)*$LD$4,$LE31*$LD$8),0))</f>
        <v>0</v>
      </c>
      <c r="LG31" s="92">
        <f>IF('Customer Inputs'!$W$17="End",0,IFERROR(IF(AND($LD$2&lt;&gt;"Enter Spend&gt;&gt;&gt;",$LE$2="EXISTING"),SUMIFS('Existing Customers'!$P:$P,'Existing Customers'!$A:$A,$LD$1,'Existing Customers'!$H:$H,$LC31)*$LD$4,$LD31/$LP31),0))</f>
        <v>0</v>
      </c>
      <c r="LH31" s="303">
        <f>IF('Customer Inputs'!$W$17="End",0,IFERROR(IF(AND($LD$2&lt;&gt;"Enter Spend&gt;&gt;&gt;",$LE$2="EXISTING"),SUMIFS('Existing Customers'!$V:$V,'Existing Customers'!$H:$H,$LC31,'Existing Customers'!$A:$A,$LD$1)*$LD$4,0),0))</f>
        <v>0</v>
      </c>
      <c r="LI31" s="93">
        <f>IF('Customer Inputs'!$W$17="End",0,IFERROR(IF(AND($LD$2&lt;&gt;"Enter Spend&gt;&gt;&gt;",$LE$2="EXISTING"),SUMIFS('Existing Customers'!$R:$R,'Existing Customers'!$H:$H,$LC31,'Existing Customers'!$A:$A,$LD$1)*$LD$4,0),0))</f>
        <v>0</v>
      </c>
      <c r="LJ31" s="780">
        <f>IF('Customer Inputs'!$W$17="End",0,IFERROR(IF(AND($LD$2&lt;&gt;"Enter Spend&gt;&gt;&gt;",$LE$2="EXISTING"),SUMIFS('Existing Customers'!$S:$S,'Existing Customers'!$H:$H,$LC31,'Existing Customers'!$A:$A,$LD$1)/SUMIFS('Existing Customers'!$Q:$Q,'Existing Customers'!$A:$A,$LD$1,'Existing Customers'!$H:$H,$LC31),LT31),0))</f>
        <v>0</v>
      </c>
      <c r="LK31" s="780">
        <f>IF('Customer Inputs'!$W$17="End",0,IFERROR(IF(AND($LD$2&lt;&gt;"Enter Spend&gt;&gt;&gt;",$LE$2="EXISTING"),SUMIFS('Existing Customers'!$U:$U,'Existing Customers'!$H:$H,$LC31,'Existing Customers'!$A:$A,$LD$1)/SUMIFS('Existing Customers'!$Q:$Q,'Existing Customers'!$A:$A,$LD$1,'Existing Customers'!$H:$H,$LC31),LU31),0))</f>
        <v>0</v>
      </c>
      <c r="LL31" s="783" t="e">
        <f>_xlfn.CONCAT('Customer Inputs'!$AH$17,"_",LC31)</f>
        <v>#N/A</v>
      </c>
      <c r="LM31" s="783">
        <f t="array" ref="LM31">IF('Customer Inputs'!$W$17="End",0,IFERROR(INDEX('Margin Guidence Table'!$A$1:$AG$10000,MATCH(1,('Margin Guidence Table'!$A$1:$A$10000=LL31)*('Margin Guidence Table'!$I$1:$I$10000&lt;=ROUND($LD$3,0))*('Margin Guidence Table'!$J$1:$J$10000&gt;=ROUND($LD$3,0)),0),MATCH("DATA_POINTS",'Margin Guidence Table'!$A$1:$AG$1,0)),0))</f>
        <v>0</v>
      </c>
      <c r="LN31" s="780" t="str">
        <f t="shared" si="55"/>
        <v>DEFAULT</v>
      </c>
      <c r="LO31" s="780">
        <f t="array" ref="LO31">IF('Customer Inputs'!$W$17="End",0,IFERROR(IF($LN31="SEGMENT",INDEX('Margin Guidence Table'!$A$1:$AG$10000,MATCH(1,('Margin Guidence Table'!$A$1:$A$10000=LL31)*('Margin Guidence Table'!$I$1:$I$10000&lt;=ROUND($LD$3,0))*('Margin Guidence Table'!$J$1:$J$10000&gt;=ROUND($LD$3,0)),0),MATCH("SALES_CASE",'Margin Guidence Table'!$A$1:$AG$1,0)),INDEX('Margin Guidence Table'!$A$1:$AG$10000,MATCH(1,('Margin Guidence Table'!$A$1:$A$10000=LL31)*('Margin Guidence Table'!$I$1:$I$10000&lt;=ROUND($LD$3,0))*('Margin Guidence Table'!$J$1:$J$10000&gt;=ROUND($LD$3,0)),0),MATCH("DEFAULT_SALES_CASE",'Margin Guidence Table'!$A$1:$AG$1,0))),0))</f>
        <v>0</v>
      </c>
      <c r="LP31" s="780">
        <f t="array" ref="LP31">IF('Customer Inputs'!$W$17="End",0,IFERROR(IF($LN31="SEGMENT",INDEX('Margin Guidence Table'!$A$1:$AG$10000,MATCH(1,('Margin Guidence Table'!$A$1:$A$10000=LL31)*('Margin Guidence Table'!$I$1:$I$10000&lt;=ROUND($LD$3,0))*('Margin Guidence Table'!$J$1:$J$10000&gt;=ROUND($LD$3,0)),0),MATCH("SALES_LBS",'Margin Guidence Table'!$A$1:$AG$1,0)),INDEX('Margin Guidence Table'!$A$1:$AG$10000,MATCH(1,('Margin Guidence Table'!$A$1:$A$10000=LL31)*('Margin Guidence Table'!$I$1:$I$10000&lt;=ROUND($LD$3,0))*('Margin Guidence Table'!$J$1:$J$10000&gt;=ROUND($LD$3,0)),0),MATCH("DEFAULT_SALES_LBS",'Margin Guidence Table'!$A$1:$AG$1,0))),0))</f>
        <v>0</v>
      </c>
      <c r="LQ31" s="784">
        <f t="array" ref="LQ31">IF('Customer Inputs'!$W$17="End",0,IFERROR(IF($LN31="SEGMENT",INDEX('Margin Guidence Table'!$A$1:$AG$10000,MATCH(1,('Margin Guidence Table'!$A$1:$A$10000=LL31)*('Margin Guidence Table'!$I$1:$I$10000&lt;=ROUND($LD$3,0))*('Margin Guidence Table'!$J$1:$J$10000&gt;=ROUND($LD$3,0)),0),MATCH("MDA_MIN_MARGIN_GUIDENCE",'Margin Guidence Table'!$A$1:$AG$1,0)),INDEX('Margin Guidence Table'!$A$1:$AG$10000,MATCH(1,('Margin Guidence Table'!$A$1:$A$10000=LL31)*('Margin Guidence Table'!$I$1:$I$10000&lt;=ROUND($LD$3,0))*('Margin Guidence Table'!$J$1:$J$10000&gt;=ROUND($LD$3,0)),0),MATCH("DEFAULT_MDA_MIN_MARGIN_GUIDENCE",'Margin Guidence Table'!$A$1:$AG$1,0))),0))</f>
        <v>0</v>
      </c>
      <c r="LR31" s="784">
        <f t="array" ref="LR31">IF('Customer Inputs'!$W$17="End",0,IFERROR(IF($LN31="SEGMENT",INDEX('Margin Guidence Table'!$A$1:$AG$10000,MATCH(1,('Margin Guidence Table'!$A$1:$A$10000=LL31)*('Margin Guidence Table'!$I$1:$I$10000&lt;=ROUND($LD$3,0))*('Margin Guidence Table'!$J$1:$J$10000&gt;=ROUND($LD$3,0)),0),MATCH("MDA_MEDIAN_MARGIN_GUIDENCE",'Margin Guidence Table'!$A$1:$AG$1,0)),INDEX('Margin Guidence Table'!$A$1:$AG$10000,MATCH(1,('Margin Guidence Table'!$A$1:$A$10000=LL31)*('Margin Guidence Table'!$I$1:$I$10000&lt;=ROUND($LD$3,0))*('Margin Guidence Table'!$J$1:$J$10000&gt;=ROUND($LD$3,0)),0),MATCH("DEFAULT_MDA_MEDIAN_MARGIN_GUIDENCE",'Margin Guidence Table'!$A$1:$AG$1,0))),0))</f>
        <v>0</v>
      </c>
      <c r="LS31" s="784">
        <f t="array" ref="LS31">IF('Customer Inputs'!$W$17="End",0,IFERROR(IF($LN31="SEGMENT",INDEX('Margin Guidence Table'!$A$1:$AG$10000,MATCH(1,('Margin Guidence Table'!$A$1:$A$10000=LL31)*('Margin Guidence Table'!$I$1:$I$10000&lt;=ROUND($LD$3,0))*('Margin Guidence Table'!$J$1:$J$10000&gt;=ROUND($LD$3,0)),0),MATCH("MDA_MAX_MARGIN_GUIDENCE",'Margin Guidence Table'!$A$1:$AG$1,0)),INDEX('Margin Guidence Table'!$A$1:$AG$10000,MATCH(1,('Margin Guidence Table'!$A$1:$A$10000=LL31)*('Margin Guidence Table'!$I$1:$I$10000&lt;=ROUND($LD$3,0))*('Margin Guidence Table'!$J$1:$J$10000&gt;=ROUND($LD$3,0)),0),MATCH("DEFAULT_MDA_MAX_MARGIN_GUIDENCE",'Margin Guidence Table'!$A$1:$AG$1,0))),0))</f>
        <v>0</v>
      </c>
      <c r="LT31" s="784">
        <f t="array" ref="LT31">IF('Customer Inputs'!$W$17="End",0,IFERROR(IF($LN31="SEGMENT",INDEX('Margin Guidence Table'!$A$1:$AG$10000,MATCH(1,('Margin Guidence Table'!$A$1:$A$10000=LL31)*('Margin Guidence Table'!$I$1:$I$10000&lt;=ROUND($LD$3,0))*('Margin Guidence Table'!$J$1:$J$10000&gt;=ROUND($LD$3,0)),0),MATCH("PA_PCT_SALES",'Margin Guidence Table'!$A$1:$AG$1,0)),INDEX('Margin Guidence Table'!$A$1:$AG$10000,MATCH(1,('Margin Guidence Table'!$A$1:$A$10000=LL31)*('Margin Guidence Table'!$I$1:$I$10000&lt;=ROUND($LD$3,0))*('Margin Guidence Table'!$J$1:$J$10000&gt;=ROUND($LD$3,0)),0),MATCH("DEFAULT_PA_PCT_SALES",'Margin Guidence Table'!$A$1:$AG$1,0))),0))</f>
        <v>0</v>
      </c>
      <c r="LU31" s="784">
        <f t="array" ref="LU31">IF('Customer Inputs'!$W$17="End",0,IFERROR(IF($LN31="SEGMENT",INDEX('Margin Guidence Table'!$A$1:$AG$10000,MATCH(1,('Margin Guidence Table'!$A$1:$A$10000=LL31)*('Margin Guidence Table'!$I$1:$I$10000&lt;=ROUND($LD$3,0))*('Margin Guidence Table'!$J$1:$J$10000&gt;=ROUND($LD$3,0)),0),MATCH("SELF_FUND_PCT_SALES",'Margin Guidence Table'!$A$1:$AG$1,0)),INDEX('Margin Guidence Table'!$A$1:$AG$10000,MATCH(1,('Margin Guidence Table'!$A$1:$A$10000=LL31)*('Margin Guidence Table'!$I$1:$I$10000&lt;=ROUND($LD$3,0))*('Margin Guidence Table'!$J$1:$J$10000&gt;=ROUND($LD$3,0)),0),MATCH("DEFAULT_SELF_FUND_PCT_SALES",'Margin Guidence Table'!$A$1:$AG$1,0))),0))</f>
        <v>0</v>
      </c>
      <c r="LV31" s="784">
        <f t="array" ref="LV31">IF('Customer Inputs'!$W$17="End",0,IF($LE$2="Existing",IFERROR(SUMIFS('Existing Customers'!$V:$V,'Existing Customers'!$H:$H,$LC31,'Existing Customers'!$A:$A,$LD$1)/SUMIFS('Existing Customers'!$Q:$Q,'Existing Customers'!$H:$H,$LC31,'Existing Customers'!$A:$A,$LD$1),0),IFERROR(IF($LN31="SEGMENT",INDEX('Margin Guidence Table'!$A$1:$AG$10000,MATCH(1,('Margin Guidence Table'!$A$1:$A$10000=LL31)*('Margin Guidence Table'!$I$1:$I$10000&lt;=ROUND($LD$3,0))*('Margin Guidence Table'!$J$1:$J$10000&gt;=ROUND($LD$3,0)),0),MATCH("CIA_MEDIAN_MARGIN_GUIDENCE",'Margin Guidence Table'!$A$1:$AG$1,0)),INDEX('Margin Guidence Table'!$A$1:$AG$10000,MATCH(1,('Margin Guidence Table'!$A$1:$A$10000=LL31)*('Margin Guidence Table'!$I$1:$I$10000&lt;=ROUND($LD$3,0))*('Margin Guidence Table'!$J$1:$J$10000&gt;=ROUND($LD$3,0)),0),MATCH("DEFAULT_CIA_MEDIAN_MARGIN_GUIDENCE",'Margin Guidence Table'!$A$1:$AG$1,0))),0)))</f>
        <v>0</v>
      </c>
      <c r="LW31" s="784"/>
      <c r="LX31" s="18">
        <f t="array" ref="LX31">IF('Customer Inputs'!$W$18="End",0,IFERROR(IF($MK31="SEGMENT",INDEX('Margin Guidence Table'!$A$1:$AG$10000,MATCH(1,('Margin Guidence Table'!$A$1:$A$10000=$MI31)*('Margin Guidence Table'!$I$1:$I$10000&lt;=ROUND($MA$3,0))*('Margin Guidence Table'!$J$1:$J$10000&gt;=ROUND($MA$3,0)),0),MATCH("PCT_SALES",'Margin Guidence Table'!$A$1:$AG$1,0)),INDEX('Margin Guidence Table'!$A$1:$AG$10000,MATCH(1,('Margin Guidence Table'!$A$1:$A$10000=$MI31)*('Margin Guidence Table'!$I$1:$I$10000&lt;=ROUND($MA$3,0))*('Margin Guidence Table'!$J$1:$J$10000&gt;=ROUND($MA$3,0)),0),MATCH("DEFAULT_PCT_SALES",'Margin Guidence Table'!$A$1:$AG$1,0))),0))</f>
        <v>0</v>
      </c>
      <c r="LY31" s="1713" t="e">
        <f t="shared" si="56"/>
        <v>#DIV/0!</v>
      </c>
      <c r="LZ31" s="99" t="s">
        <v>94</v>
      </c>
      <c r="MA31" s="91">
        <f>IF('Customer Inputs'!$W$18="End",0,IFERROR(IF(AND($MA$2&lt;&gt;"Enter Spend&gt;&gt;&gt;",$MB$2="EXISTING"),SUMIFS('Existing Customers'!$Q:$Q,'Existing Customers'!$A:$A,$MA$1,'Existing Customers'!$H:$H,$LZ31)*$MA$4,$MA$3*$LY31),0))</f>
        <v>0</v>
      </c>
      <c r="MB31" s="86">
        <f>IF('Customer Inputs'!$W$18="End",0,IFERROR(IF(AND($MA$2&lt;&gt;"Enter Spend&gt;&gt;&gt;",$MB$2="EXISTING"),SUMIFS('Existing Customers'!$N:$N,'Existing Customers'!$A:$A,$MA$1,'Existing Customers'!$H:$H,$LZ31)*$MA$4,$MA31/$ML31),0))</f>
        <v>0</v>
      </c>
      <c r="MC31" s="92">
        <f>IF('Customer Inputs'!$W$18="End",0,IFERROR(IF(AND($MA$2&lt;&gt;"Enter Spend&gt;&gt;&gt;",$MB$2="EXISTING"),SUMIFS('Existing Customers'!$O:$O,'Existing Customers'!$H:$H,$LZ31,'Existing Customers'!$A:$A,$MA$1)*$MA$4,$MB31*$MA$8),0))</f>
        <v>0</v>
      </c>
      <c r="MD31" s="92">
        <f>IF('Customer Inputs'!$W$18="End",0,IFERROR(IF(AND($MA$2&lt;&gt;"Enter Spend&gt;&gt;&gt;",$MB$2="EXISTING"),SUMIFS('Existing Customers'!$P:$P,'Existing Customers'!$A:$A,$MA$1,'Existing Customers'!$H:$H,$LZ31)*$MA$4,$MA31/$MM31),0))</f>
        <v>0</v>
      </c>
      <c r="ME31" s="303">
        <f>IF('Customer Inputs'!$W$18="End",0,IFERROR(IF(AND($MA$2&lt;&gt;"Enter Spend&gt;&gt;&gt;",$MB$2="EXISTING"),SUMIFS('Existing Customers'!$V:$V,'Existing Customers'!$H:$H,$LZ31,'Existing Customers'!$A:$A,$MA$1)*$MA$4,0),0))</f>
        <v>0</v>
      </c>
      <c r="MF31" s="93">
        <f>IF('Customer Inputs'!$W$18="End",0,IFERROR(IF(AND($MA$2&lt;&gt;"Enter Spend&gt;&gt;&gt;",$MB$2="EXISTING"),SUMIFS('Existing Customers'!$R:$R,'Existing Customers'!$H:$H,$LZ31,'Existing Customers'!$A:$A,$MA$1)*$MA$4,0),0))</f>
        <v>0</v>
      </c>
      <c r="MG31" s="780">
        <f>IF('Customer Inputs'!$W$18="End",0,IFERROR(IF(AND($MA$2&lt;&gt;"Enter Spend&gt;&gt;&gt;",$MB$2="EXISTING"),SUMIFS('Existing Customers'!$S:$S,'Existing Customers'!$H:$H,$LZ31,'Existing Customers'!$A:$A,$MA$1)/SUMIFS('Existing Customers'!$Q:$Q,'Existing Customers'!$A:$A,$MA$1,'Existing Customers'!$H:$H,$LZ31),MQ31),0))</f>
        <v>0</v>
      </c>
      <c r="MH31" s="780">
        <f>IF('Customer Inputs'!$W$18="End",0,IFERROR(IF(AND($MA$2&lt;&gt;"Enter Spend&gt;&gt;&gt;",$MB$2="EXISTING"),SUMIFS('Existing Customers'!$U:$U,'Existing Customers'!$H:$H,$LZ31,'Existing Customers'!$A:$A,$MA$1)/SUMIFS('Existing Customers'!$Q:$Q,'Existing Customers'!$A:$A,$MA$1,'Existing Customers'!$H:$H,$LZ31),MR31),0))</f>
        <v>0</v>
      </c>
      <c r="MI31" s="783" t="e">
        <f>_xlfn.CONCAT('Customer Inputs'!$AH$18,"_",LZ31)</f>
        <v>#N/A</v>
      </c>
      <c r="MJ31" s="783">
        <f t="array" ref="MJ31">IF('Customer Inputs'!$W$18="End",0,IFERROR(INDEX('Margin Guidence Table'!$A$1:$AG$10000,MATCH(1,('Margin Guidence Table'!$A$1:$A$10000=MI31)*('Margin Guidence Table'!$I$1:$I$10000&lt;=ROUND($MA$3,0))*('Margin Guidence Table'!$J$1:$J$10000&gt;=ROUND($MA$3,0)),0),MATCH("DATA_POINTS",'Margin Guidence Table'!$A$1:$AG$1,0)),0))</f>
        <v>0</v>
      </c>
      <c r="MK31" s="780" t="str">
        <f t="shared" si="57"/>
        <v>DEFAULT</v>
      </c>
      <c r="ML31" s="780">
        <f t="array" ref="ML31">IF('Customer Inputs'!$W$18="End",0,IFERROR(IF($MK31="SEGMENT",INDEX('Margin Guidence Table'!$A$1:$AG$10000,MATCH(1,('Margin Guidence Table'!$A$1:$A$10000=MI31)*('Margin Guidence Table'!$I$1:$I$10000&lt;=ROUND($MA$3,0))*('Margin Guidence Table'!$J$1:$J$10000&gt;=ROUND($MA$3,0)),0),MATCH("SALES_CASE",'Margin Guidence Table'!$A$1:$AG$1,0)),INDEX('Margin Guidence Table'!$A$1:$AG$10000,MATCH(1,('Margin Guidence Table'!$A$1:$A$10000=MI31)*('Margin Guidence Table'!$I$1:$I$10000&lt;=ROUND($MA$3,0))*('Margin Guidence Table'!$J$1:$J$10000&gt;=ROUND($MA$3,0)),0),MATCH("DEFAULT_SALES_CASE",'Margin Guidence Table'!$A$1:$AG$1,0))),0))</f>
        <v>0</v>
      </c>
      <c r="MM31" s="780">
        <f t="array" ref="MM31">IF('Customer Inputs'!$W$18="End",0,IFERROR(IF($MK31="SEGMENT",INDEX('Margin Guidence Table'!$A$1:$AG$10000,MATCH(1,('Margin Guidence Table'!$A$1:$A$10000=MI31)*('Margin Guidence Table'!$I$1:$I$10000&lt;=ROUND($MA$3,0))*('Margin Guidence Table'!$J$1:$J$10000&gt;=ROUND($MA$3,0)),0),MATCH("SALES_LBS",'Margin Guidence Table'!$A$1:$AG$1,0)),INDEX('Margin Guidence Table'!$A$1:$AG$10000,MATCH(1,('Margin Guidence Table'!$A$1:$A$10000=MI31)*('Margin Guidence Table'!$I$1:$I$10000&lt;=ROUND($MA$3,0))*('Margin Guidence Table'!$J$1:$J$10000&gt;=ROUND($MA$3,0)),0),MATCH("DEFAULT_SALES_LBS",'Margin Guidence Table'!$A$1:$AG$1,0))),0))</f>
        <v>0</v>
      </c>
      <c r="MN31" s="784">
        <f t="array" ref="MN31">IF('Customer Inputs'!$W$18="End",0,IFERROR(IF($MK31="SEGMENT",INDEX('Margin Guidence Table'!$A$1:$AG$10000,MATCH(1,('Margin Guidence Table'!$A$1:$A$10000=MI31)*('Margin Guidence Table'!$I$1:$I$10000&lt;=ROUND($MA$3,0))*('Margin Guidence Table'!$J$1:$J$10000&gt;=ROUND($MA$3,0)),0),MATCH("MDA_MIN_MARGIN_GUIDENCE",'Margin Guidence Table'!$A$1:$AG$1,0)),INDEX('Margin Guidence Table'!$A$1:$AG$10000,MATCH(1,('Margin Guidence Table'!$A$1:$A$10000=MI31)*('Margin Guidence Table'!$I$1:$I$10000&lt;=ROUND($MA$3,0))*('Margin Guidence Table'!$J$1:$J$10000&gt;=ROUND($MA$3,0)),0),MATCH("DEFAULT_MDA_MIN_MARGIN_GUIDENCE",'Margin Guidence Table'!$A$1:$AG$1,0))),0))</f>
        <v>0</v>
      </c>
      <c r="MO31" s="784">
        <f t="array" ref="MO31">IF('Customer Inputs'!$W$18="End",0,IFERROR(IF($MK31="SEGMENT",INDEX('Margin Guidence Table'!$A$1:$AG$10000,MATCH(1,('Margin Guidence Table'!$A$1:$A$10000=MI31)*('Margin Guidence Table'!$I$1:$I$10000&lt;=ROUND($MA$3,0))*('Margin Guidence Table'!$J$1:$J$10000&gt;=ROUND($MA$3,0)),0),MATCH("MDA_MEDIAN_MARGIN_GUIDENCE",'Margin Guidence Table'!$A$1:$AG$1,0)),INDEX('Margin Guidence Table'!$A$1:$AG$10000,MATCH(1,('Margin Guidence Table'!$A$1:$A$10000=MI31)*('Margin Guidence Table'!$I$1:$I$10000&lt;=ROUND($MA$3,0))*('Margin Guidence Table'!$J$1:$J$10000&gt;=ROUND($MA$3,0)),0),MATCH("DEFAULT_MDA_MEDIAN_MARGIN_GUIDENCE",'Margin Guidence Table'!$A$1:$AG$1,0))),0))</f>
        <v>0</v>
      </c>
      <c r="MP31" s="784">
        <f t="array" ref="MP31">IF('Customer Inputs'!$W$18="End",0,IFERROR(IF($MK31="SEGMENT",INDEX('Margin Guidence Table'!$A$1:$AG$10000,MATCH(1,('Margin Guidence Table'!$A$1:$A$10000=MI31)*('Margin Guidence Table'!$I$1:$I$10000&lt;=ROUND($MA$3,0))*('Margin Guidence Table'!$J$1:$J$10000&gt;=ROUND($MA$3,0)),0),MATCH("MDA_MAX_MARGIN_GUIDENCE",'Margin Guidence Table'!$A$1:$AG$1,0)),INDEX('Margin Guidence Table'!$A$1:$AG$10000,MATCH(1,('Margin Guidence Table'!$A$1:$A$10000=MI31)*('Margin Guidence Table'!$I$1:$I$10000&lt;=ROUND($MA$3,0))*('Margin Guidence Table'!$J$1:$J$10000&gt;=ROUND($MA$3,0)),0),MATCH("DEFAULT_MDA_MAX_MARGIN_GUIDENCE",'Margin Guidence Table'!$A$1:$AG$1,0))),0))</f>
        <v>0</v>
      </c>
      <c r="MQ31" s="784">
        <f t="array" ref="MQ31">IF('Customer Inputs'!$W$18="End",0,IFERROR(IF($MK31="SEGMENT",INDEX('Margin Guidence Table'!$A$1:$AG$10000,MATCH(1,('Margin Guidence Table'!$A$1:$A$10000=MI31)*('Margin Guidence Table'!$I$1:$I$10000&lt;=ROUND($MA$3,0))*('Margin Guidence Table'!$J$1:$J$10000&gt;=ROUND($MA$3,0)),0),MATCH("PA_PCT_SALES",'Margin Guidence Table'!$A$1:$AG$1,0)),INDEX('Margin Guidence Table'!$A$1:$AG$10000,MATCH(1,('Margin Guidence Table'!$A$1:$A$10000=MI31)*('Margin Guidence Table'!$I$1:$I$10000&lt;=ROUND($MA$3,0))*('Margin Guidence Table'!$J$1:$J$10000&gt;=ROUND($MA$3,0)),0),MATCH("DEFAULT_PA_PCT_SALES",'Margin Guidence Table'!$A$1:$AG$1,0))),0))</f>
        <v>0</v>
      </c>
      <c r="MR31" s="784">
        <f t="array" ref="MR31">IF('Customer Inputs'!$W$18="End",0,IFERROR(IF($MK31="SEGMENT",INDEX('Margin Guidence Table'!$A$1:$AG$10000,MATCH(1,('Margin Guidence Table'!$A$1:$A$10000=MI31)*('Margin Guidence Table'!$I$1:$I$10000&lt;=ROUND($MA$3,0))*('Margin Guidence Table'!$J$1:$J$10000&gt;=ROUND($MA$3,0)),0),MATCH("SELF_FUND_PCT_SALES",'Margin Guidence Table'!$A$1:$AG$1,0)),INDEX('Margin Guidence Table'!$A$1:$AG$10000,MATCH(1,('Margin Guidence Table'!$A$1:$A$10000=MI31)*('Margin Guidence Table'!$I$1:$I$10000&lt;=ROUND($MA$3,0))*('Margin Guidence Table'!$J$1:$J$10000&gt;=ROUND($MA$3,0)),0),MATCH("DEFAULT_SELF_FUND_PCT_SALES",'Margin Guidence Table'!$A$1:$AG$1,0))),0))</f>
        <v>0</v>
      </c>
      <c r="MS31" s="784">
        <f t="array" ref="MS31">IF('Customer Inputs'!$W$18="End",0,IF($MB$2="Existing",IFERROR(SUMIFS('Existing Customers'!$V:$V,'Existing Customers'!$H:$H,$LZ31,'Existing Customers'!$A:$A,$MA$1)/SUMIFS('Existing Customers'!$Q:$Q,'Existing Customers'!$H:$H,$LZ31,'Existing Customers'!$A:$A,$MA$1),0),IFERROR(IF($MK31="SEGMENT",INDEX('Margin Guidence Table'!$A$1:$AG$10000,MATCH(1,('Margin Guidence Table'!$A$1:$A$10000=MI31)*('Margin Guidence Table'!$I$1:$I$10000&lt;=ROUND($MA$3,0))*('Margin Guidence Table'!$J$1:$J$10000&gt;=ROUND($MA$3,0)),0),MATCH("CIA_MEDIAN_MARGIN_GUIDENCE",'Margin Guidence Table'!$A$1:$AG$1,0)),INDEX('Margin Guidence Table'!$A$1:$AG$10000,MATCH(1,('Margin Guidence Table'!$A$1:$A$10000=MI31)*('Margin Guidence Table'!$I$1:$I$10000&lt;=ROUND($MA$3,0))*('Margin Guidence Table'!$J$1:$J$10000&gt;=ROUND($MA$3,0)),0),MATCH("DEFAULT_CIA_MEDIAN_MARGIN_GUIDENCE",'Margin Guidence Table'!$A$1:$AG$1,0))),0)))</f>
        <v>0</v>
      </c>
      <c r="MT31" s="784"/>
      <c r="MU31" s="18">
        <f t="array" ref="MU31">IF('Customer Inputs'!$W$19="End",0,IFERROR(IF($NH31="SEGMENT",INDEX('Margin Guidence Table'!$A$1:$AG$10000,MATCH(1,('Margin Guidence Table'!$A$1:$A$10000=$NF31)*('Margin Guidence Table'!$I$1:$I$10000&lt;=ROUND($MX$3,0))*('Margin Guidence Table'!$J$1:$J$10000&gt;=ROUND($MX$3,0)),0),MATCH("PCT_SALES",'Margin Guidence Table'!$A$1:$AG$1,0)),INDEX('Margin Guidence Table'!$A$1:$AG$10000,MATCH(1,('Margin Guidence Table'!$A$1:$A$10000=$NF31)*('Margin Guidence Table'!$I$1:$I$10000&lt;=ROUND($MX$3,0))*('Margin Guidence Table'!$J$1:$J$10000&gt;=ROUND($MX$3,0)),0),MATCH("DEFAULT_PCT_SALES",'Margin Guidence Table'!$A$1:$AG$1,0))),0))</f>
        <v>0</v>
      </c>
      <c r="MV31" s="1713" t="e">
        <f t="shared" si="58"/>
        <v>#DIV/0!</v>
      </c>
      <c r="MW31" s="99" t="s">
        <v>94</v>
      </c>
      <c r="MX31" s="91">
        <f>IF('Customer Inputs'!$W$19="End",0,IFERROR(IF(AND($MX$2&lt;&gt;"Enter Spend&gt;&gt;&gt;",$MY$2="EXISTING"),SUMIFS('Existing Customers'!$Q:$Q,'Existing Customers'!$A:$A,$MX$1,'Existing Customers'!$H:$H,$MW31)*$MX$4,$MX$3*$MV31),0))</f>
        <v>0</v>
      </c>
      <c r="MY31" s="86">
        <f>IF('Customer Inputs'!$W$19="End",0,IFERROR(IF(AND($MX$2&lt;&gt;"Enter Spend&gt;&gt;&gt;",$MY$2="EXISTING"),SUMIFS('Existing Customers'!$N:$N,'Existing Customers'!$A:$A,$MX$1,'Existing Customers'!$H:$H,$MW31)*$MX$4,$MX31/$NI31),0))</f>
        <v>0</v>
      </c>
      <c r="MZ31" s="92">
        <f>IF('Customer Inputs'!$W$19="End",0,IFERROR(IF(AND($MX$2&lt;&gt;"Enter Spend&gt;&gt;&gt;",$MY$2="EXISTING"),SUMIFS('Existing Customers'!$O:$O,'Existing Customers'!$H:$H,$MW31,'Existing Customers'!$A:$A,$MX$1)*$MX$4,$MY31*$MX$8),0))</f>
        <v>0</v>
      </c>
      <c r="NA31" s="92">
        <f>IF('Customer Inputs'!$W$19="End",0,IFERROR(IF(AND($MX$2&lt;&gt;"Enter Spend&gt;&gt;&gt;",$MY$2="EXISTING"),SUMIFS('Existing Customers'!$P:$P,'Existing Customers'!$A:$A,$MX$1,'Existing Customers'!$H:$H,$MW31)*$MX$4,$MX31/$NJ31),0))</f>
        <v>0</v>
      </c>
      <c r="NB31" s="303">
        <f>IF('Customer Inputs'!$W$19="End",0,IFERROR(IF(AND($MX$2&lt;&gt;"Enter Spend&gt;&gt;&gt;",$MY$2="EXISTING"),SUMIFS('Existing Customers'!$V:$V,'Existing Customers'!$H:$H,$MW31,'Existing Customers'!$A:$A,$MX$1)*$MX$4,0),0))</f>
        <v>0</v>
      </c>
      <c r="NC31" s="93">
        <f>IF('Customer Inputs'!$W$19="End",0,IFERROR(IF(AND($MX$2&lt;&gt;"Enter Spend&gt;&gt;&gt;",$MY$2="EXISTING"),SUMIFS('Existing Customers'!$R:$R,'Existing Customers'!$H:$H,$MW31,'Existing Customers'!$A:$A,$MX$1)*$MX$4,0),0))</f>
        <v>0</v>
      </c>
      <c r="ND31" s="780">
        <f>IF('Customer Inputs'!$W$19="End",0,IFERROR(IF(AND($MX$2&lt;&gt;"Enter Spend&gt;&gt;&gt;",$MY$2="EXISTING"),SUMIFS('Existing Customers'!$S:$S,'Existing Customers'!$H:$H,$MW31,'Existing Customers'!$A:$A,$MX$1)/SUMIFS('Existing Customers'!$Q:$Q,'Existing Customers'!$A:$A,$MX$1,'Existing Customers'!$H:$H,$MW31),NN31),0))</f>
        <v>0</v>
      </c>
      <c r="NE31" s="780">
        <f>IF('Customer Inputs'!$W$19="End",0,IFERROR(IF(AND($MX$2&lt;&gt;"Enter Spend&gt;&gt;&gt;",$MY$2="EXISTING"),SUMIFS('Existing Customers'!$U:$U,'Existing Customers'!$H:$H,$MW31,'Existing Customers'!$A:$A,$MX$1)/SUMIFS('Existing Customers'!$Q:$Q,'Existing Customers'!$A:$A,$MX$1,'Existing Customers'!$H:$H,$MW31),NO31),0))</f>
        <v>0</v>
      </c>
      <c r="NF31" s="783" t="e">
        <f>_xlfn.CONCAT('Customer Inputs'!$AH$19,"_",MW31)</f>
        <v>#N/A</v>
      </c>
      <c r="NG31" s="783">
        <f t="array" ref="NG31">IF('Customer Inputs'!$W$19="End",0,IFERROR(INDEX('Margin Guidence Table'!$A$1:$AG$10000,MATCH(1,('Margin Guidence Table'!$A$1:$A$10000=NF31)*('Margin Guidence Table'!$I$1:$I$10000&lt;=ROUND($MX$3,0))*('Margin Guidence Table'!$J$1:$J$10000&gt;=ROUND($MX$3,0)),0),MATCH("DATA_POINTS",'Margin Guidence Table'!$A$1:$AG$1,0)),0))</f>
        <v>0</v>
      </c>
      <c r="NH31" s="780" t="str">
        <f t="shared" si="59"/>
        <v>DEFAULT</v>
      </c>
      <c r="NI31" s="780">
        <f t="array" ref="NI31">IF('Customer Inputs'!$W$19="End",0,IFERROR(IF($NH31="SEGMENT",INDEX('Margin Guidence Table'!$A$1:$AG$10000,MATCH(1,('Margin Guidence Table'!$A$1:$A$10000=NF31)*('Margin Guidence Table'!$I$1:$I$10000&lt;=ROUND($MX$3,0))*('Margin Guidence Table'!$J$1:$J$10000&gt;=ROUND($MX$3,0)),0),MATCH("SALES_CASE",'Margin Guidence Table'!$A$1:$AG$1,0)),INDEX('Margin Guidence Table'!$A$1:$AG$10000,MATCH(1,('Margin Guidence Table'!$A$1:$A$10000=NF31)*('Margin Guidence Table'!$I$1:$I$10000&lt;=ROUND($MX$3,0))*('Margin Guidence Table'!$J$1:$J$10000&gt;=ROUND($MX$3,0)),0),MATCH("DEFAULT_SALES_CASE",'Margin Guidence Table'!$A$1:$AG$1,0))),0))</f>
        <v>0</v>
      </c>
      <c r="NJ31" s="780">
        <f t="array" ref="NJ31">IF('Customer Inputs'!$W$19="End",0,IFERROR(IF($NH31="SEGMENT",INDEX('Margin Guidence Table'!$A$1:$AG$10000,MATCH(1,('Margin Guidence Table'!$A$1:$A$10000=NF31)*('Margin Guidence Table'!$I$1:$I$10000&lt;=ROUND($MX$3,0))*('Margin Guidence Table'!$J$1:$J$10000&gt;=ROUND($MX$3,0)),0),MATCH("SALES_LBS",'Margin Guidence Table'!$A$1:$AG$1,0)),INDEX('Margin Guidence Table'!$A$1:$AG$10000,MATCH(1,('Margin Guidence Table'!$A$1:$A$10000=NF31)*('Margin Guidence Table'!$I$1:$I$10000&lt;=ROUND($MX$3,0))*('Margin Guidence Table'!$J$1:$J$10000&gt;=ROUND($MX$3,0)),0),MATCH("DEFAULT_SALES_LBS",'Margin Guidence Table'!$A$1:$AG$1,0))),0))</f>
        <v>0</v>
      </c>
      <c r="NK31" s="784">
        <f t="array" ref="NK31">IF('Customer Inputs'!$W$19="End",0,IFERROR(IF($NH31="SEGMENT",INDEX('Margin Guidence Table'!$A$1:$AG$10000,MATCH(1,('Margin Guidence Table'!$A$1:$A$10000=NF31)*('Margin Guidence Table'!$I$1:$I$10000&lt;=ROUND($MX$3,0))*('Margin Guidence Table'!$J$1:$J$10000&gt;=ROUND($MX$3,0)),0),MATCH("MDA_MIN_MARGIN_GUIDENCE",'Margin Guidence Table'!$A$1:$AG$1,0)),INDEX('Margin Guidence Table'!$A$1:$AG$10000,MATCH(1,('Margin Guidence Table'!$A$1:$A$10000=NF31)*('Margin Guidence Table'!$I$1:$I$10000&lt;=ROUND($MX$3,0))*('Margin Guidence Table'!$J$1:$J$10000&gt;=ROUND($MX$3,0)),0),MATCH("DEFAULT_MDA_MIN_MARGIN_GUIDENCE",'Margin Guidence Table'!$A$1:$AG$1,0))),0))</f>
        <v>0</v>
      </c>
      <c r="NL31" s="784">
        <f t="array" ref="NL31">IF('Customer Inputs'!$W$19="End",0,IFERROR(IF($NH31="SEGMENT",INDEX('Margin Guidence Table'!$A$1:$AG$10000,MATCH(1,('Margin Guidence Table'!$A$1:$A$10000=NF31)*('Margin Guidence Table'!$I$1:$I$10000&lt;=ROUND($MX$3,0))*('Margin Guidence Table'!$J$1:$J$10000&gt;=ROUND($MX$3,0)),0),MATCH("MDA_MEDIAN_MARGIN_GUIDENCE",'Margin Guidence Table'!$A$1:$AG$1,0)),INDEX('Margin Guidence Table'!$A$1:$AG$10000,MATCH(1,('Margin Guidence Table'!$A$1:$A$10000=NF31)*('Margin Guidence Table'!$I$1:$I$10000&lt;=ROUND($MX$3,0))*('Margin Guidence Table'!$J$1:$J$10000&gt;=ROUND($MX$3,0)),0),MATCH("DEFAULT_MDA_MEDIAN_MARGIN_GUIDENCE",'Margin Guidence Table'!$A$1:$AG$1,0))),0))</f>
        <v>0</v>
      </c>
      <c r="NM31" s="784">
        <f t="array" ref="NM31">IF('Customer Inputs'!$W$19="End",0,IFERROR(IF($NH31="SEGMENT",INDEX('Margin Guidence Table'!$A$1:$AG$10000,MATCH(1,('Margin Guidence Table'!$A$1:$A$10000=NF31)*('Margin Guidence Table'!$I$1:$I$10000&lt;=ROUND($MX$3,0))*('Margin Guidence Table'!$J$1:$J$10000&gt;=ROUND($MX$3,0)),0),MATCH("MDA_MAX_MARGIN_GUIDENCE",'Margin Guidence Table'!$A$1:$AG$1,0)),INDEX('Margin Guidence Table'!$A$1:$AG$10000,MATCH(1,('Margin Guidence Table'!$A$1:$A$10000=NF31)*('Margin Guidence Table'!$I$1:$I$10000&lt;=ROUND($MX$3,0))*('Margin Guidence Table'!$J$1:$J$10000&gt;=ROUND($MX$3,0)),0),MATCH("DEFAULT_MDA_MAX_MARGIN_GUIDENCE",'Margin Guidence Table'!$A$1:$AG$1,0))),0))</f>
        <v>0</v>
      </c>
      <c r="NN31" s="784">
        <f t="array" ref="NN31">IF('Customer Inputs'!$W$19="End",0,IFERROR(IF($NH31="SEGMENT",INDEX('Margin Guidence Table'!$A$1:$AG$10000,MATCH(1,('Margin Guidence Table'!$A$1:$A$10000=NF31)*('Margin Guidence Table'!$I$1:$I$10000&lt;=ROUND($MX$3,0))*('Margin Guidence Table'!$J$1:$J$10000&gt;=ROUND($MX$3,0)),0),MATCH("PA_PCT_SALES",'Margin Guidence Table'!$A$1:$AG$1,0)),INDEX('Margin Guidence Table'!$A$1:$AG$10000,MATCH(1,('Margin Guidence Table'!$A$1:$A$10000=NF31)*('Margin Guidence Table'!$I$1:$I$10000&lt;=ROUND($MX$3,0))*('Margin Guidence Table'!$J$1:$J$10000&gt;=ROUND($MX$3,0)),0),MATCH("DEFAULT_PA_PCT_SALES",'Margin Guidence Table'!$A$1:$AG$1,0))),0))</f>
        <v>0</v>
      </c>
      <c r="NO31" s="784">
        <f t="array" ref="NO31">IF('Customer Inputs'!$W$19="End",0,IFERROR(IF($NH31="SEGMENT",INDEX('Margin Guidence Table'!$A$1:$AG$10000,MATCH(1,('Margin Guidence Table'!$A$1:$A$10000=NF31)*('Margin Guidence Table'!$I$1:$I$10000&lt;=ROUND($MX$3,0))*('Margin Guidence Table'!$J$1:$J$10000&gt;=ROUND($MX$3,0)),0),MATCH("SELF_FUND_PCT_SALES",'Margin Guidence Table'!$A$1:$AG$1,0)),INDEX('Margin Guidence Table'!$A$1:$AG$10000,MATCH(1,('Margin Guidence Table'!$A$1:$A$10000=NF31)*('Margin Guidence Table'!$I$1:$I$10000&lt;=ROUND($MX$3,0))*('Margin Guidence Table'!$J$1:$J$10000&gt;=ROUND($MX$3,0)),0),MATCH("DEFAULT_SELF_FUND_PCT_SALES",'Margin Guidence Table'!$A$1:$AG$1,0))),0))</f>
        <v>0</v>
      </c>
      <c r="NP31" s="784">
        <f t="array" ref="NP31">IF('Customer Inputs'!$W$19="End",0,IF($MY$2="Existing",IFERROR(SUMIFS('Existing Customers'!$V:$V,'Existing Customers'!$H:$H,$MW31,'Existing Customers'!$A:$A,$MX$1)/SUMIFS('Existing Customers'!$Q:$Q,'Existing Customers'!$H:$H,$MW31,'Existing Customers'!$A:$A,$MX$1),0),IFERROR(IF($NH31="SEGMENT",INDEX('Margin Guidence Table'!$A$1:$AG$10000,MATCH(1,('Margin Guidence Table'!$A$1:$A$10000=NF31)*('Margin Guidence Table'!$I$1:$I$10000&lt;=ROUND($MX$3,0))*('Margin Guidence Table'!$J$1:$J$10000&gt;=ROUND($MX$3,0)),0),MATCH("CIA_MEDIAN_MARGIN_GUIDENCE",'Margin Guidence Table'!$A$1:$AG$1,0)),INDEX('Margin Guidence Table'!$A$1:$AG$10000,MATCH(1,('Margin Guidence Table'!$A$1:$A$10000=NF31)*('Margin Guidence Table'!$I$1:$I$10000&lt;=ROUND($MX$3,0))*('Margin Guidence Table'!$J$1:$J$10000&gt;=ROUND($MX$3,0)),0),MATCH("DEFAULT_CIA_MEDIAN_MARGIN_GUIDENCE",'Margin Guidence Table'!$A$1:$AG$1,0))),0)))</f>
        <v>0</v>
      </c>
      <c r="NQ31" s="784"/>
      <c r="NR31" s="18">
        <f t="array" ref="NR31">IF('Customer Inputs'!$W$20="End",0,IFERROR(IF($OE31="SEGMENT",INDEX('Margin Guidence Table'!$A$1:$AG$10000,MATCH(1,('Margin Guidence Table'!$A$1:$A$10000=$OC31)*('Margin Guidence Table'!$I$1:$I$10000&lt;=ROUND($NU$3,0))*('Margin Guidence Table'!$J$1:$J$10000&gt;=ROUND($NU$3,0)),0),MATCH("PCT_SALES",'Margin Guidence Table'!$A$1:$AG$1,0)),INDEX('Margin Guidence Table'!$A$1:$AG$10000,MATCH(1,('Margin Guidence Table'!$A$1:$A$10000=$OC31)*('Margin Guidence Table'!$I$1:$I$10000&lt;=ROUND($NU$3,0))*('Margin Guidence Table'!$J$1:$J$10000&gt;=ROUND($NU$3,0)),0),MATCH("DEFAULT_PCT_SALES",'Margin Guidence Table'!$A$1:$AG$1,0))),0))</f>
        <v>0</v>
      </c>
      <c r="NS31" s="1713" t="e">
        <f t="shared" si="60"/>
        <v>#DIV/0!</v>
      </c>
      <c r="NT31" s="99" t="s">
        <v>94</v>
      </c>
      <c r="NU31" s="91">
        <f>IF('Customer Inputs'!$W$20="End",0,IFERROR(IF(AND($NU$2&lt;&gt;"Enter Spend&gt;&gt;&gt;",$NV$2="EXISTING"),SUMIFS('Existing Customers'!$Q:$Q,'Existing Customers'!$A:$A,$NU$1,'Existing Customers'!$H:$H,$NT31)*$NU$4,$NU$3*$NS31),0))</f>
        <v>0</v>
      </c>
      <c r="NV31" s="86">
        <f>IF('Customer Inputs'!$W$20="End",0,IFERROR(IF(AND($NU$2&lt;&gt;"Enter Spend&gt;&gt;&gt;",$NV$2="EXISTING"),SUMIFS('Existing Customers'!$N:$N,'Existing Customers'!$A:$A,$NU$1,'Existing Customers'!$H:$H,$NT31)*$NU$4,$NU31/$OF31),0))</f>
        <v>0</v>
      </c>
      <c r="NW31" s="92">
        <f>IF('Customer Inputs'!$W$20="End",0,IFERROR(IF(AND($NU$2&lt;&gt;"Enter Spend&gt;&gt;&gt;",$NV$2="EXISTING"),SUMIFS('Existing Customers'!$O:$O,'Existing Customers'!$H:$H,$NT31,'Existing Customers'!$A:$A,$NU$1)*$NU$4,$NV31*$NU$8),0))</f>
        <v>0</v>
      </c>
      <c r="NX31" s="92">
        <f>IF('Customer Inputs'!$W$20="End",0,IFERROR(IF(AND($NU$2&lt;&gt;"Enter Spend&gt;&gt;&gt;",$NV$2="EXISTING"),SUMIFS('Existing Customers'!$P:$P,'Existing Customers'!$A:$A,$NU$1,'Existing Customers'!$H:$H,$NT31)*$NU$4,$NU31/$OG31),0))</f>
        <v>0</v>
      </c>
      <c r="NY31" s="303">
        <f>IF('Customer Inputs'!$W$20="End",0,IFERROR(IF(AND($NU$2&lt;&gt;"Enter Spend&gt;&gt;&gt;",$NV$2="EXISTING"),SUMIFS('Existing Customers'!$V:$V,'Existing Customers'!$H:$H,$NT31,'Existing Customers'!$A:$A,$NU$1)*$NU$4,0),0))</f>
        <v>0</v>
      </c>
      <c r="NZ31" s="93">
        <f>IF('Customer Inputs'!$W$20="End",0,IFERROR(IF(AND($NU$2&lt;&gt;"Enter Spend&gt;&gt;&gt;",$NV$2="EXISTING"),SUMIFS('Existing Customers'!$R:$R,'Existing Customers'!$H:$H,$NT31,'Existing Customers'!$A:$A,$NU$1)*$NU$4,0),0))</f>
        <v>0</v>
      </c>
      <c r="OA31" s="780">
        <f>IF('Customer Inputs'!$W$20="End",0,IFERROR(IF(AND($NU$2&lt;&gt;"Enter Spend&gt;&gt;&gt;",$NV$2="EXISTING"),SUMIFS('Existing Customers'!$S:$S,'Existing Customers'!$H:$H,$NT31,'Existing Customers'!$A:$A,$NU$1)/SUMIFS('Existing Customers'!$Q:$Q,'Existing Customers'!$A:$A,$NU$1,'Existing Customers'!$H:$H,$NT31),OK31),0))</f>
        <v>0</v>
      </c>
      <c r="OB31" s="780">
        <f>IF('Customer Inputs'!$W$20="End",0,IFERROR(IF(AND($NU$2&lt;&gt;"Enter Spend&gt;&gt;&gt;",$NV$2="EXISTING"),SUMIFS('Existing Customers'!$U:$U,'Existing Customers'!$H:$H,$NT31,'Existing Customers'!$A:$A,$NU$1)/SUMIFS('Existing Customers'!$Q:$Q,'Existing Customers'!$A:$A,$NU$1,'Existing Customers'!$H:$H,$NT31),OL31),0))</f>
        <v>0</v>
      </c>
      <c r="OC31" s="783" t="e">
        <f>_xlfn.CONCAT('Customer Inputs'!$AH$20,"_",NT31)</f>
        <v>#N/A</v>
      </c>
      <c r="OD31" s="783">
        <f t="array" ref="OD31">IF('Customer Inputs'!$W$20="End",0,IFERROR(INDEX('Margin Guidence Table'!$A$1:$AG$10000,MATCH(1,('Margin Guidence Table'!$A$1:$A$10000=OC31)*('Margin Guidence Table'!$I$1:$I$10000&lt;=ROUND($NU$3,0))*('Margin Guidence Table'!$J$1:$J$10000&gt;=ROUND($NU$3,0)),0),MATCH("DATA_POINTS",'Margin Guidence Table'!$A$1:$AG$1,0)),0))</f>
        <v>0</v>
      </c>
      <c r="OE31" s="780" t="str">
        <f t="shared" si="61"/>
        <v>DEFAULT</v>
      </c>
      <c r="OF31" s="780">
        <f t="array" ref="OF31">IF('Customer Inputs'!$W$20="End",0,IFERROR(IF($OE31="SEGMENT",INDEX('Margin Guidence Table'!$A$1:$AG$10000,MATCH(1,('Margin Guidence Table'!$A$1:$A$10000=OC31)*('Margin Guidence Table'!$I$1:$I$10000&lt;=ROUND($NU$3,0))*('Margin Guidence Table'!$J$1:$J$10000&gt;=ROUND($NU$3,0)),0),MATCH("SALES_CASE",'Margin Guidence Table'!$A$1:$AG$1,0)),INDEX('Margin Guidence Table'!$A$1:$AG$10000,MATCH(1,('Margin Guidence Table'!$A$1:$A$10000=OC31)*('Margin Guidence Table'!$I$1:$I$10000&lt;=ROUND($NU$3,0))*('Margin Guidence Table'!$J$1:$J$10000&gt;=ROUND($NU$3,0)),0),MATCH("DEFAULT_SALES_CASE",'Margin Guidence Table'!$A$1:$AG$1,0))),0))</f>
        <v>0</v>
      </c>
      <c r="OG31" s="780">
        <f t="array" ref="OG31">IF('Customer Inputs'!$W$20="End",0,IFERROR(IF($OE31="SEGMENT",INDEX('Margin Guidence Table'!$A$1:$AG$10000,MATCH(1,('Margin Guidence Table'!$A$1:$A$10000=OC31)*('Margin Guidence Table'!$I$1:$I$10000&lt;=ROUND($NU$3,0))*('Margin Guidence Table'!$J$1:$J$10000&gt;=ROUND($NU$3,0)),0),MATCH("SALES_LBS",'Margin Guidence Table'!$A$1:$AG$1,0)),INDEX('Margin Guidence Table'!$A$1:$AG$10000,MATCH(1,('Margin Guidence Table'!$A$1:$A$10000=OC31)*('Margin Guidence Table'!$I$1:$I$10000&lt;=ROUND($NU$3,0))*('Margin Guidence Table'!$J$1:$J$10000&gt;=ROUND($NU$3,0)),0),MATCH("DEFAULT_SALES_LBS",'Margin Guidence Table'!$A$1:$AG$1,0))),0))</f>
        <v>0</v>
      </c>
      <c r="OH31" s="784">
        <f t="array" ref="OH31">IF('Customer Inputs'!$W$20="End",0,IFERROR(IF($OE31="SEGMENT",INDEX('Margin Guidence Table'!$A$1:$AG$10000,MATCH(1,('Margin Guidence Table'!$A$1:$A$10000=OC31)*('Margin Guidence Table'!$I$1:$I$10000&lt;=ROUND($NU$3,0))*('Margin Guidence Table'!$J$1:$J$10000&gt;=ROUND($NU$3,0)),0),MATCH("MDA_MIN_MARGIN_GUIDENCE",'Margin Guidence Table'!$A$1:$AG$1,0)),INDEX('Margin Guidence Table'!$A$1:$AG$10000,MATCH(1,('Margin Guidence Table'!$A$1:$A$10000=OC31)*('Margin Guidence Table'!$I$1:$I$10000&lt;=ROUND($NU$3,0))*('Margin Guidence Table'!$J$1:$J$10000&gt;=ROUND($NU$3,0)),0),MATCH("DEFAULT_MDA_MIN_MARGIN_GUIDENCE",'Margin Guidence Table'!$A$1:$AG$1,0))),0))</f>
        <v>0</v>
      </c>
      <c r="OI31" s="784">
        <f t="array" ref="OI31">IF('Customer Inputs'!$W$20="End",0,IFERROR(IF($OE31="SEGMENT",INDEX('Margin Guidence Table'!$A$1:$AG$10000,MATCH(1,('Margin Guidence Table'!$A$1:$A$10000=OC31)*('Margin Guidence Table'!$I$1:$I$10000&lt;=ROUND($NU$3,0))*('Margin Guidence Table'!$J$1:$J$10000&gt;=ROUND($NU$3,0)),0),MATCH("MDA_MEDIAN_MARGIN_GUIDENCE",'Margin Guidence Table'!$A$1:$AG$1,0)),INDEX('Margin Guidence Table'!$A$1:$AG$10000,MATCH(1,('Margin Guidence Table'!$A$1:$A$10000=OC31)*('Margin Guidence Table'!$I$1:$I$10000&lt;=ROUND($NU$3,0))*('Margin Guidence Table'!$J$1:$J$10000&gt;=ROUND($NU$3,0)),0),MATCH("DEFAULT_MDA_MEDIAN_MARGIN_GUIDENCE",'Margin Guidence Table'!$A$1:$AG$1,0))),0))</f>
        <v>0</v>
      </c>
      <c r="OJ31" s="784">
        <f t="array" ref="OJ31">IF('Customer Inputs'!$W$20="End",0,IFERROR(IF($OE31="SEGMENT",INDEX('Margin Guidence Table'!$A$1:$AG$10000,MATCH(1,('Margin Guidence Table'!$A$1:$A$10000=OC31)*('Margin Guidence Table'!$I$1:$I$10000&lt;=ROUND($NU$3,0))*('Margin Guidence Table'!$J$1:$J$10000&gt;=ROUND($NU$3,0)),0),MATCH("MDA_MAX_MARGIN_GUIDENCE",'Margin Guidence Table'!$A$1:$AG$1,0)),INDEX('Margin Guidence Table'!$A$1:$AG$10000,MATCH(1,('Margin Guidence Table'!$A$1:$A$10000=OC31)*('Margin Guidence Table'!$I$1:$I$10000&lt;=ROUND($NU$3,0))*('Margin Guidence Table'!$J$1:$J$10000&gt;=ROUND($NU$3,0)),0),MATCH("DEFAULT_MDA_MAX_MARGIN_GUIDENCE",'Margin Guidence Table'!$A$1:$AG$1,0))),0))</f>
        <v>0</v>
      </c>
      <c r="OK31" s="784">
        <f t="array" ref="OK31">IF('Customer Inputs'!$W$20="End",0,IFERROR(IF($OE31="SEGMENT",INDEX('Margin Guidence Table'!$A$1:$AG$10000,MATCH(1,('Margin Guidence Table'!$A$1:$A$10000=OC31)*('Margin Guidence Table'!$I$1:$I$10000&lt;=ROUND($NU$3,0))*('Margin Guidence Table'!$J$1:$J$10000&gt;=ROUND($NU$3,0)),0),MATCH("PA_PCT_SALES",'Margin Guidence Table'!$A$1:$AG$1,0)),INDEX('Margin Guidence Table'!$A$1:$AG$10000,MATCH(1,('Margin Guidence Table'!$A$1:$A$10000=OC31)*('Margin Guidence Table'!$I$1:$I$10000&lt;=ROUND($NU$3,0))*('Margin Guidence Table'!$J$1:$J$10000&gt;=ROUND($NU$3,0)),0),MATCH("DEFAULT_PA_PCT_SALES",'Margin Guidence Table'!$A$1:$AG$1,0))),0))</f>
        <v>0</v>
      </c>
      <c r="OL31" s="784">
        <f t="array" ref="OL31">IF('Customer Inputs'!$W$20="End",0,IFERROR(IF($OE31="SEGMENT",INDEX('Margin Guidence Table'!$A$1:$AG$10000,MATCH(1,('Margin Guidence Table'!$A$1:$A$10000=OC31)*('Margin Guidence Table'!$I$1:$I$10000&lt;=ROUND($NU$3,0))*('Margin Guidence Table'!$J$1:$J$10000&gt;=ROUND($NU$3,0)),0),MATCH("SELF_FUND_PCT_SALES",'Margin Guidence Table'!$A$1:$AG$1,0)),INDEX('Margin Guidence Table'!$A$1:$AG$10000,MATCH(1,('Margin Guidence Table'!$A$1:$A$10000=OC31)*('Margin Guidence Table'!$I$1:$I$10000&lt;=ROUND($NU$3,0))*('Margin Guidence Table'!$J$1:$J$10000&gt;=ROUND($NU$3,0)),0),MATCH("DEFAULT_SELF_FUND_PCT_SALES",'Margin Guidence Table'!$A$1:$AG$1,0))),0))</f>
        <v>0</v>
      </c>
      <c r="OM31" s="784">
        <f t="array" ref="OM31">IF('Customer Inputs'!$W$20="End",0,IF($NV$2="Existing",IFERROR(SUMIFS('Existing Customers'!$V:$V,'Existing Customers'!$H:$H,$NT31,'Existing Customers'!$A:$A,$NU$1)/SUMIFS('Existing Customers'!$Q:$Q,'Existing Customers'!$H:$H,$NT31,'Existing Customers'!$A:$A,$NU$1),0),IFERROR(IF($OE31="SEGMENT",INDEX('Margin Guidence Table'!$A$1:$AG$10000,MATCH(1,('Margin Guidence Table'!$A$1:$A$10000=OC31)*('Margin Guidence Table'!$I$1:$I$10000&lt;=ROUND($NU$3,0))*('Margin Guidence Table'!$J$1:$J$10000&gt;=ROUND($NU$3,0)),0),MATCH("CIA_MEDIAN_MARGIN_GUIDENCE",'Margin Guidence Table'!$A$1:$AG$1,0)),INDEX('Margin Guidence Table'!$A$1:$AG$10000,MATCH(1,('Margin Guidence Table'!$A$1:$A$10000=OC31)*('Margin Guidence Table'!$I$1:$I$10000&lt;=ROUND($NU$3,0))*('Margin Guidence Table'!$J$1:$J$10000&gt;=ROUND($NU$3,0)),0),MATCH("DEFAULT_CIA_MEDIAN_MARGIN_GUIDENCE",'Margin Guidence Table'!$A$1:$AG$1,0))),0)))</f>
        <v>0</v>
      </c>
      <c r="ON31" s="784"/>
      <c r="OO31" s="18">
        <f t="array" ref="OO31">IF('Customer Inputs'!$W$21="End",0,IFERROR(IF($PB31="SEGMENT",INDEX('Margin Guidence Table'!$A$1:$AG$10000,MATCH(1,('Margin Guidence Table'!$A$1:$A$10000=$OZ31)*('Margin Guidence Table'!$I$1:$I$10000&lt;=ROUND($OR$3,0))*('Margin Guidence Table'!$J$1:$J$10000&gt;=ROUND($OR$3,0)),0),MATCH("PCT_SALES",'Margin Guidence Table'!$A$1:$AG$1,0)),INDEX('Margin Guidence Table'!$A$1:$AG$10000,MATCH(1,('Margin Guidence Table'!$A$1:$A$10000=$OZ31)*('Margin Guidence Table'!$I$1:$I$10000&lt;=ROUND($OR$3,0))*('Margin Guidence Table'!$J$1:$J$10000&gt;=ROUND($OR$3,0)),0),MATCH("DEFAULT_PCT_SALES",'Margin Guidence Table'!$A$1:$AG$1,0))),0))</f>
        <v>0</v>
      </c>
      <c r="OP31" s="1713" t="e">
        <f t="shared" si="62"/>
        <v>#DIV/0!</v>
      </c>
      <c r="OQ31" s="99" t="s">
        <v>94</v>
      </c>
      <c r="OR31" s="91">
        <f>IF('Customer Inputs'!$W$21="End",0,IFERROR(IF(AND($OR$2&lt;&gt;"Enter Spend&gt;&gt;&gt;",$OS$2="EXISTING"),SUMIFS('Existing Customers'!$Q:$Q,'Existing Customers'!$A:$A,$OR$1,'Existing Customers'!$H:$H,$OQ31)*$OR$4,$OR$3*$OP31),0))</f>
        <v>0</v>
      </c>
      <c r="OS31" s="86">
        <f>IF('Customer Inputs'!$W$21="End",0,IFERROR(IF(AND($OR$2&lt;&gt;"Enter Spend&gt;&gt;&gt;",$OS$2="EXISTING"),SUMIFS('Existing Customers'!$N:$N,'Existing Customers'!$A:$A,$OR$1,'Existing Customers'!$H:$H,$OQ31)*$OR$4,$OR31/$PC31),0))</f>
        <v>0</v>
      </c>
      <c r="OT31" s="92">
        <f>IF('Customer Inputs'!$W$21="End",0,IFERROR(IF(AND($OR$2&lt;&gt;"Enter Spend&gt;&gt;&gt;",$OS$2="EXISTING"),SUMIFS('Existing Customers'!$O:$O,'Existing Customers'!$H:$H,$OQ31,'Existing Customers'!$A:$A,$OR$1)*$OR$4,$OS31*$OR$8),0))</f>
        <v>0</v>
      </c>
      <c r="OU31" s="92">
        <f>IF('Customer Inputs'!$W$21="End",0,IFERROR(IF(AND($OR$2&lt;&gt;"Enter Spend&gt;&gt;&gt;",$OS$2="EXISTING"),SUMIFS('Existing Customers'!$P:$P,'Existing Customers'!$A:$A,$OR$1,'Existing Customers'!$H:$H,$OQ31)*$OR$4,$OR31/$PD31),0))</f>
        <v>0</v>
      </c>
      <c r="OV31" s="303">
        <f>IF('Customer Inputs'!$W$21="End",0,IFERROR(IF(AND($OR$2&lt;&gt;"Enter Spend&gt;&gt;&gt;",$OS$2="EXISTING"),SUMIFS('Existing Customers'!$V:$V,'Existing Customers'!$H:$H,$OQ31,'Existing Customers'!$A:$A,$OR$1)*$OR$4,0),0))</f>
        <v>0</v>
      </c>
      <c r="OW31" s="93">
        <f>IF('Customer Inputs'!$W$21="End",0,IFERROR(IF(AND($OR$2&lt;&gt;"Enter Spend&gt;&gt;&gt;",$OS$2="EXISTING"),SUMIFS('Existing Customers'!$R:$R,'Existing Customers'!$H:$H,$OP31,'Existing Customers'!$A:$A,$OR$1)*$OR$4,0),0))</f>
        <v>0</v>
      </c>
      <c r="OX31" s="780">
        <f>IF('Customer Inputs'!$W$21="End",0,IFERROR(IF(AND($OR$2&lt;&gt;"Enter Spend&gt;&gt;&gt;",$OS$2="EXISTING"),SUMIFS('Existing Customers'!$S:$S,'Existing Customers'!$H:$H,$OQ31,'Existing Customers'!$A:$A,$OR$1)/SUMIFS('Existing Customers'!$Q:$Q,'Existing Customers'!$A:$A,$OR$1,'Existing Customers'!$H:$H,$OQ31),PH31),0))</f>
        <v>0</v>
      </c>
      <c r="OY31" s="780">
        <f>IF('Customer Inputs'!$W$21="End",0,IFERROR(IF(AND($OR$2&lt;&gt;"Enter Spend&gt;&gt;&gt;",$OS$2="EXISTING"),SUMIFS('Existing Customers'!$U:$U,'Existing Customers'!$H:$H,$OQ31,'Existing Customers'!$A:$A,$OR$1)/SUMIFS('Existing Customers'!$Q:$Q,'Existing Customers'!$A:$A,$OR$1,'Existing Customers'!$H:$H,$OQ31),PI31),0))</f>
        <v>0</v>
      </c>
      <c r="OZ31" s="783" t="e">
        <f>_xlfn.CONCAT('Customer Inputs'!$AH$21,"_",OQ31)</f>
        <v>#N/A</v>
      </c>
      <c r="PA31" s="783">
        <f t="array" ref="PA31">IF('Customer Inputs'!$W$22="End",0,IFERROR(INDEX('Margin Guidence Table'!$A$1:$AG$10000,MATCH(1,('Margin Guidence Table'!$A$1:$A$10000=OZ31)*('Margin Guidence Table'!$I$1:$I$10000&lt;=ROUND($OR$3,0))*('Margin Guidence Table'!$J$1:$J$10000&gt;=ROUND($OR$3,0)),0),MATCH("DATA_POINTS",'Margin Guidence Table'!$A$1:$AG$1,0)),0))</f>
        <v>0</v>
      </c>
      <c r="PB31" s="780" t="str">
        <f t="shared" si="63"/>
        <v>DEFAULT</v>
      </c>
      <c r="PC31" s="780">
        <f t="array" ref="PC31">IF('Customer Inputs'!$W$21="End",0,IFERROR(IF($PB31="SEGMENT",INDEX('Margin Guidence Table'!$A$1:$AG$10000,MATCH(1,('Margin Guidence Table'!$A$1:$A$10000=OZ31)*('Margin Guidence Table'!$I$1:$I$10000&lt;=ROUND($OR$3,0))*('Margin Guidence Table'!$J$1:$J$10000&gt;=ROUND($OR$3,0)),0),MATCH("SALES_CASE",'Margin Guidence Table'!$A$1:$AG$1,0)),INDEX('Margin Guidence Table'!$A$1:$AG$10000,MATCH(1,('Margin Guidence Table'!$A$1:$A$10000=OZ31)*('Margin Guidence Table'!$I$1:$I$10000&lt;=ROUND($OR$3,0))*('Margin Guidence Table'!$J$1:$J$10000&gt;=ROUND($OR$3,0)),0),MATCH("DEFAULT_SALES_CASE",'Margin Guidence Table'!$A$1:$AG$1,0))),0))</f>
        <v>0</v>
      </c>
      <c r="PD31" s="780">
        <f t="array" ref="PD31">IF('Customer Inputs'!$W$21="End",0,IFERROR(IF($PB31="SEGMENT",INDEX('Margin Guidence Table'!$A$1:$AG$10000,MATCH(1,('Margin Guidence Table'!$A$1:$A$10000=OZ31)*('Margin Guidence Table'!$I$1:$I$10000&lt;=ROUND($OR$3,0))*('Margin Guidence Table'!$J$1:$J$10000&gt;=ROUND($OR$3,0)),0),MATCH("SALES_LBS",'Margin Guidence Table'!$A$1:$AG$1,0)),INDEX('Margin Guidence Table'!$A$1:$AG$10000,MATCH(1,('Margin Guidence Table'!$A$1:$A$10000=OZ31)*('Margin Guidence Table'!$I$1:$I$10000&lt;=ROUND($OR$3,0))*('Margin Guidence Table'!$J$1:$J$10000&gt;=ROUND($OR$3,0)),0),MATCH("DEFAULT_SALES_LBS",'Margin Guidence Table'!$A$1:$AG$1,0))),0))</f>
        <v>0</v>
      </c>
      <c r="PE31" s="784">
        <f t="array" ref="PE31">IF('Customer Inputs'!$W$21="End",0,IFERROR(IF($PB31="SEGMENT",INDEX('Margin Guidence Table'!$A$1:$AG$10000,MATCH(1,('Margin Guidence Table'!$A$1:$A$10000=OZ31)*('Margin Guidence Table'!$I$1:$I$10000&lt;=ROUND($OR$3,0))*('Margin Guidence Table'!$J$1:$J$10000&gt;=ROUND($OR$3,0)),0),MATCH("MDA_MIN_MARGIN_GUIDENCE",'Margin Guidence Table'!$A$1:$AG$1,0)),INDEX('Margin Guidence Table'!$A$1:$AG$10000,MATCH(1,('Margin Guidence Table'!$A$1:$A$10000=OZ31)*('Margin Guidence Table'!$I$1:$I$10000&lt;=ROUND($OR$3,0))*('Margin Guidence Table'!$J$1:$J$10000&gt;=ROUND($OR$3,0)),0),MATCH("DEFAULT_MDA_MIN_MARGIN_GUIDENCE",'Margin Guidence Table'!$A$1:$AG$1,0))),0))</f>
        <v>0</v>
      </c>
      <c r="PF31" s="784">
        <f t="array" ref="PF31">IF('Customer Inputs'!$W$21="End",0,IFERROR(IF($PB31="SEGMENT",INDEX('Margin Guidence Table'!$A$1:$AG$10000,MATCH(1,('Margin Guidence Table'!$A$1:$A$10000=OZ31)*('Margin Guidence Table'!$I$1:$I$10000&lt;=ROUND($OR$3,0))*('Margin Guidence Table'!$J$1:$J$10000&gt;=ROUND($OR$3,0)),0),MATCH("MDA_MEDIAN_MARGIN_GUIDENCE",'Margin Guidence Table'!$A$1:$AG$1,0)),INDEX('Margin Guidence Table'!$A$1:$AG$10000,MATCH(1,('Margin Guidence Table'!$A$1:$A$10000=OZ31)*('Margin Guidence Table'!$I$1:$I$10000&lt;=ROUND($OR$3,0))*('Margin Guidence Table'!$J$1:$J$10000&gt;=ROUND($OR$3,0)),0),MATCH("DEFAULT_MDA_MEDIAN_MARGIN_GUIDENCE",'Margin Guidence Table'!$A$1:$AG$1,0))),0))</f>
        <v>0</v>
      </c>
      <c r="PG31" s="784">
        <f t="array" ref="PG31">IF('Customer Inputs'!$W$21="End",0,IFERROR(IF($PB31="SEGMENT",INDEX('Margin Guidence Table'!$A$1:$AG$10000,MATCH(1,('Margin Guidence Table'!$A$1:$A$10000=OZ31)*('Margin Guidence Table'!$I$1:$I$10000&lt;=ROUND($OR$3,0))*('Margin Guidence Table'!$J$1:$J$10000&gt;=ROUND($OR$3,0)),0),MATCH("MDA_MAX_MARGIN_GUIDENCE",'Margin Guidence Table'!$A$1:$AG$1,0)),INDEX('Margin Guidence Table'!$A$1:$AG$10000,MATCH(1,('Margin Guidence Table'!$A$1:$A$10000=OZ31)*('Margin Guidence Table'!$I$1:$I$10000&lt;=ROUND($OR$3,0))*('Margin Guidence Table'!$J$1:$J$10000&gt;=ROUND($OR$3,0)),0),MATCH("DEFAULT_MDA_MAX_MARGIN_GUIDENCE",'Margin Guidence Table'!$A$1:$AG$1,0))),0))</f>
        <v>0</v>
      </c>
      <c r="PH31" s="784">
        <f t="array" ref="PH31">IF('Customer Inputs'!$W$21="End",0,IFERROR(IF($PB31="SEGMENT",INDEX('Margin Guidence Table'!$A$1:$AG$10000,MATCH(1,('Margin Guidence Table'!$A$1:$A$10000=OZ31)*('Margin Guidence Table'!$I$1:$I$10000&lt;=ROUND($OR$3,0))*('Margin Guidence Table'!$J$1:$J$10000&gt;=ROUND($OR$3,0)),0),MATCH("PA_PCT_SALES",'Margin Guidence Table'!$A$1:$AG$1,0)),INDEX('Margin Guidence Table'!$A$1:$AG$10000,MATCH(1,('Margin Guidence Table'!$A$1:$A$10000=OZ31)*('Margin Guidence Table'!$I$1:$I$10000&lt;=ROUND($OR$3,0))*('Margin Guidence Table'!$J$1:$J$10000&gt;=ROUND($OR$3,0)),0),MATCH("DEFAULT_PA_PCT_SALES",'Margin Guidence Table'!$A$1:$AG$1,0))),0))</f>
        <v>0</v>
      </c>
      <c r="PI31" s="784">
        <f t="array" ref="PI31">IF('Customer Inputs'!$W$21="End",0,IFERROR(IF($PB31="SEGMENT",INDEX('Margin Guidence Table'!$A$1:$AG$10000,MATCH(1,('Margin Guidence Table'!$A$1:$A$10000=OZ31)*('Margin Guidence Table'!$I$1:$I$10000&lt;=ROUND($OR$3,0))*('Margin Guidence Table'!$J$1:$J$10000&gt;=ROUND($OR$3,0)),0),MATCH("SELF_FUND_PCT_SALES",'Margin Guidence Table'!$A$1:$AG$1,0)),INDEX('Margin Guidence Table'!$A$1:$AG$10000,MATCH(1,('Margin Guidence Table'!$A$1:$A$10000=OZ31)*('Margin Guidence Table'!$I$1:$I$10000&lt;=ROUND($OR$3,0))*('Margin Guidence Table'!$J$1:$J$10000&gt;=ROUND($OR$3,0)),0),MATCH("DEFAULT_SELF_FUND_PCT_SALES",'Margin Guidence Table'!$A$1:$AG$1,0))),0))</f>
        <v>0</v>
      </c>
      <c r="PJ31" s="784">
        <f t="array" ref="PJ31">IF('Customer Inputs'!$W$21="End",0,IF($OS$2="Existing",IFERROR(SUMIFS('Existing Customers'!$V:$V,'Existing Customers'!$H:$H,$OQ31,'Existing Customers'!$A:$A,$OR$1)/SUMIFS('Existing Customers'!$Q:$Q,'Existing Customers'!$H:$H,$OQ31,'Existing Customers'!$A:$A,$OR$1),0),IFERROR(IF($PB31="SEGMENT",INDEX('Margin Guidence Table'!$A$1:$AG$10000,MATCH(1,('Margin Guidence Table'!$A$1:$A$10000=OZ31)*('Margin Guidence Table'!$I$1:$I$10000&lt;=ROUND($OR$3,0))*('Margin Guidence Table'!$J$1:$J$10000&gt;=ROUND($OR$3,0)),0),MATCH("CIA_MEDIAN_MARGIN_GUIDENCE",'Margin Guidence Table'!$A$1:$AG$1,0)),INDEX('Margin Guidence Table'!$A$1:$AG$10000,MATCH(1,('Margin Guidence Table'!$A$1:$A$10000=OZ31)*('Margin Guidence Table'!$I$1:$I$10000&lt;=ROUND($OR$3,0))*('Margin Guidence Table'!$J$1:$J$10000&gt;=ROUND($OR$3,0)),0),MATCH("DEFAULT_CIA_MEDIAN_MARGIN_GUIDENCE",'Margin Guidence Table'!$A$1:$AG$1,0))),0)))</f>
        <v>0</v>
      </c>
      <c r="PK31" s="784"/>
      <c r="PL31" s="18">
        <f t="array" ref="PL31">IF('Customer Inputs'!$W$22="End",0,IFERROR(IF($PY31="SEGMENT",INDEX('Margin Guidence Table'!$A$1:$AG$10000,MATCH(1,('Margin Guidence Table'!$A$1:$A$10000=$PW31)*('Margin Guidence Table'!$I$1:$I$10000&lt;=ROUND($PO$3,0))*('Margin Guidence Table'!$J$1:$J$10000&gt;=ROUND($PO$3,0)),0),MATCH("PCT_SALES",'Margin Guidence Table'!$A$1:$AG$1,0)),INDEX('Margin Guidence Table'!$A$1:$AG$10000,MATCH(1,('Margin Guidence Table'!$A$1:$A$10000=$PW31)*('Margin Guidence Table'!$I$1:$I$10000&lt;=ROUND($PO$3,0))*('Margin Guidence Table'!$J$1:$J$10000&gt;=ROUND($PO$3,0)),0),MATCH("DEFAULT_PCT_SALES",'Margin Guidence Table'!$A$1:$AG$1,0))),0))</f>
        <v>0</v>
      </c>
      <c r="PM31" s="1713" t="e">
        <f t="shared" si="64"/>
        <v>#DIV/0!</v>
      </c>
      <c r="PN31" s="99" t="s">
        <v>94</v>
      </c>
      <c r="PO31" s="91">
        <f>IF('Customer Inputs'!$W$22="End",0,IFERROR(IF(AND($PO$2&lt;&gt;"Enter Spend&gt;&gt;&gt;",$PP$2="EXISTING"),SUMIFS('Existing Customers'!$Q:$Q,'Existing Customers'!$A:$A,$PO$1,'Existing Customers'!$H:$H,$PN31)*$PO$4,$PO$3*$PM31),0))</f>
        <v>0</v>
      </c>
      <c r="PP31" s="86">
        <f>IF('Customer Inputs'!$W$22="End",0,IFERROR(IF(AND($PO$2&lt;&gt;"Enter Spend&gt;&gt;&gt;",$PP$2="EXISTING"),SUMIFS('Existing Customers'!$N:$N,'Existing Customers'!$A:$A,$PO$1,'Existing Customers'!$H:$H,$PN31)*$PO$4,$PO31/$PZ31),0))</f>
        <v>0</v>
      </c>
      <c r="PQ31" s="92">
        <f>IF('Customer Inputs'!$W$22="End",0,IFERROR(IF(AND($PO$2&lt;&gt;"Enter Spend&gt;&gt;&gt;",$PP$2="EXISTING"),SUMIFS('Existing Customers'!$O:$O,'Existing Customers'!$H:$H,$PN31,'Existing Customers'!$A:$A,$PO$1)*$PO$4,$PP31*$PO$8),0))</f>
        <v>0</v>
      </c>
      <c r="PR31" s="92">
        <f>IF('Customer Inputs'!$W$22="End",0,IFERROR(IF(AND($PO$2&lt;&gt;"Enter Spend&gt;&gt;&gt;",$PP$2="EXISTING"),SUMIFS('Existing Customers'!$P:$P,'Existing Customers'!$A:$A,$PO$1,'Existing Customers'!$H:$H,$PN31)*$PO$4,$PO31/$QA31),0))</f>
        <v>0</v>
      </c>
      <c r="PS31" s="303">
        <f>IF('Customer Inputs'!$W$22="End",0,IFERROR(IF(AND($PO$2&lt;&gt;"Enter Spend&gt;&gt;&gt;",$PP$2="EXISTING"),SUMIFS('Existing Customers'!$V:$V,'Existing Customers'!$H:$H,$PN31,'Existing Customers'!$A:$A,$PO$1)*$PO$4,0),0))</f>
        <v>0</v>
      </c>
      <c r="PT31" s="93">
        <f>IF('Customer Inputs'!$W$22="End",0,IFERROR(IF(AND($PO$2&lt;&gt;"Enter Spend&gt;&gt;&gt;",$PP$2="EXISTING"),SUMIFS('Existing Customers'!$R:$R,'Existing Customers'!$H:$H,$PN31,'Existing Customers'!$A:$A,$PO$1)*$PO$4,0),0))</f>
        <v>0</v>
      </c>
      <c r="PU31" s="780">
        <f>IF('Customer Inputs'!$W$22="End",0,IFERROR(IF(AND($PO$2&lt;&gt;"Enter Spend&gt;&gt;&gt;",$PP$2="EXISTING"),SUMIFS('Existing Customers'!$S:$S,'Existing Customers'!$H:$H,$PN31,'Existing Customers'!$A:$A,$PO$1)/SUMIFS('Existing Customers'!$Q:$Q,'Existing Customers'!$A:$A,$PO$1,'Existing Customers'!$H:$H,$PN31),QE31),0))</f>
        <v>0</v>
      </c>
      <c r="PV31" s="780">
        <f>IF('Customer Inputs'!$W$22="End",0,IFERROR(IF(AND($PO$2&lt;&gt;"Enter Spend&gt;&gt;&gt;",$PP$2="EXISTING"),SUMIFS('Existing Customers'!$U:$U,'Existing Customers'!$H:$H,$PN31,'Existing Customers'!$A:$A,$PO$1)/SUMIFS('Existing Customers'!$Q:$Q,'Existing Customers'!$A:$A,$PO$1,'Existing Customers'!$H:$H,$PN31),QF31),0))</f>
        <v>0</v>
      </c>
      <c r="PW31" s="783" t="e">
        <f>_xlfn.CONCAT('Customer Inputs'!$AH$22,"_",PN31)</f>
        <v>#N/A</v>
      </c>
      <c r="PX31" s="783">
        <f t="array" ref="PX31">IF('Customer Inputs'!$W$22="End",0,IFERROR(INDEX('Margin Guidence Table'!$A$1:$AG$10000,MATCH(1,('Margin Guidence Table'!$A$1:$A$10000=PW31)*('Margin Guidence Table'!$I$1:$I$10000&lt;=ROUND($PO$3,0))*('Margin Guidence Table'!$J$1:$J$10000&gt;=ROUND($PO$3,0)),0),MATCH("DATA_POINTS",'Margin Guidence Table'!$A$1:$AG$1,0)),0))</f>
        <v>0</v>
      </c>
      <c r="PY31" s="780" t="str">
        <f t="shared" si="65"/>
        <v>DEFAULT</v>
      </c>
      <c r="PZ31" s="780">
        <f t="array" ref="PZ31">IF('Customer Inputs'!$W$22="End",0,IFERROR(IF($PY31="SEGMENT",INDEX('Margin Guidence Table'!$A$1:$AG$10000,MATCH(1,('Margin Guidence Table'!$A$1:$A$10000=PW31)*('Margin Guidence Table'!$I$1:$I$10000&lt;=ROUND($PO$3,0))*('Margin Guidence Table'!$J$1:$J$10000&gt;=ROUND($PO$3,0)),0),MATCH("SALES_CASE",'Margin Guidence Table'!$A$1:$AG$1,0)),INDEX('Margin Guidence Table'!$A$1:$AG$10000,MATCH(1,('Margin Guidence Table'!$A$1:$A$10000=PW31)*('Margin Guidence Table'!$I$1:$I$10000&lt;=ROUND($PO$3,0))*('Margin Guidence Table'!$J$1:$J$10000&gt;=ROUND($PO$3,0)),0),MATCH("DEFAULT_SALES_CASE",'Margin Guidence Table'!$A$1:$AG$1,0))),0))</f>
        <v>0</v>
      </c>
      <c r="QA31" s="780">
        <f t="array" ref="QA31">IF('Customer Inputs'!$W$22="End",0,IFERROR(IF($PY31="SEGMENT",INDEX('Margin Guidence Table'!$A$1:$AG$10000,MATCH(1,('Margin Guidence Table'!$A$1:$A$10000=PW31)*('Margin Guidence Table'!$I$1:$I$10000&lt;=ROUND($PO$3,0))*('Margin Guidence Table'!$J$1:$J$10000&gt;=ROUND($PO$3,0)),0),MATCH("SALES_LBS",'Margin Guidence Table'!$A$1:$AG$1,0)),INDEX('Margin Guidence Table'!$A$1:$AG$10000,MATCH(1,('Margin Guidence Table'!$A$1:$A$10000=PW31)*('Margin Guidence Table'!$I$1:$I$10000&lt;=ROUND($PO$3,0))*('Margin Guidence Table'!$J$1:$J$10000&gt;=ROUND($PO$3,0)),0),MATCH("DEFAULT_SALES_LBS",'Margin Guidence Table'!$A$1:$AG$1,0))),0))</f>
        <v>0</v>
      </c>
      <c r="QB31" s="784">
        <f t="array" ref="QB31">IF('Customer Inputs'!$W$22="End",0,IFERROR(IF($PY31="SEGMENT",INDEX('Margin Guidence Table'!$A$1:$AG$10000,MATCH(1,('Margin Guidence Table'!$A$1:$A$10000=PW31)*('Margin Guidence Table'!$I$1:$I$10000&lt;=ROUND($PO$3,0))*('Margin Guidence Table'!$J$1:$J$10000&gt;=ROUND($PO$3,0)),0),MATCH("MDA_MIN_MARGIN_GUIDENCE",'Margin Guidence Table'!$A$1:$AG$1,0)),INDEX('Margin Guidence Table'!$A$1:$AG$10000,MATCH(1,('Margin Guidence Table'!$A$1:$A$10000=PW31)*('Margin Guidence Table'!$I$1:$I$10000&lt;=ROUND($PO$3,0))*('Margin Guidence Table'!$J$1:$J$10000&gt;=ROUND($PO$3,0)),0),MATCH("DEFAULT_MDA_MIN_MARGIN_GUIDENCE",'Margin Guidence Table'!$A$1:$AG$1,0))),0))</f>
        <v>0</v>
      </c>
      <c r="QC31" s="784">
        <f t="array" ref="QC31">IF('Customer Inputs'!$W$22="End",0,IFERROR(IF($PY31="SEGMENT",INDEX('Margin Guidence Table'!$A$1:$AG$10000,MATCH(1,('Margin Guidence Table'!$A$1:$A$10000=PW31)*('Margin Guidence Table'!$I$1:$I$10000&lt;=ROUND($PO$3,0))*('Margin Guidence Table'!$J$1:$J$10000&gt;=ROUND($PO$3,0)),0),MATCH("MDA_MEDIAN_MARGIN_GUIDENCE",'Margin Guidence Table'!$A$1:$AG$1,0)),INDEX('Margin Guidence Table'!$A$1:$AG$10000,MATCH(1,('Margin Guidence Table'!$A$1:$A$10000=PW31)*('Margin Guidence Table'!$I$1:$I$10000&lt;=ROUND($PO$3,0))*('Margin Guidence Table'!$J$1:$J$10000&gt;=ROUND($PO$3,0)),0),MATCH("DEFAULT_MDA_MEDIAN_MARGIN_GUIDENCE",'Margin Guidence Table'!$A$1:$AG$1,0))),0))</f>
        <v>0</v>
      </c>
      <c r="QD31" s="784">
        <f t="array" ref="QD31">IF('Customer Inputs'!$W$22="End",0,IFERROR(IF($PY31="SEGMENT",INDEX('Margin Guidence Table'!$A$1:$AG$10000,MATCH(1,('Margin Guidence Table'!$A$1:$A$10000=PW31)*('Margin Guidence Table'!$I$1:$I$10000&lt;=ROUND($PO$3,0))*('Margin Guidence Table'!$J$1:$J$10000&gt;=ROUND($PO$3,0)),0),MATCH("MDA_MAX_MARGIN_GUIDENCE",'Margin Guidence Table'!$A$1:$AG$1,0)),INDEX('Margin Guidence Table'!$A$1:$AG$10000,MATCH(1,('Margin Guidence Table'!$A$1:$A$10000=PW31)*('Margin Guidence Table'!$I$1:$I$10000&lt;=ROUND($PO$3,0))*('Margin Guidence Table'!$J$1:$J$10000&gt;=ROUND($PO$3,0)),0),MATCH("DEFAULT_MDA_MAX_MARGIN_GUIDENCE",'Margin Guidence Table'!$A$1:$AG$1,0))),0))</f>
        <v>0</v>
      </c>
      <c r="QE31" s="784">
        <f t="array" ref="QE31">IF('Customer Inputs'!$W$22="End",0,IFERROR(IF($PY31="SEGMENT",INDEX('Margin Guidence Table'!$A$1:$AG$10000,MATCH(1,('Margin Guidence Table'!$A$1:$A$10000=PW31)*('Margin Guidence Table'!$I$1:$I$10000&lt;=ROUND($PO$3,0))*('Margin Guidence Table'!$J$1:$J$10000&gt;=ROUND($PO$3,0)),0),MATCH("PA_PCT_SALES",'Margin Guidence Table'!$A$1:$AG$1,0)),INDEX('Margin Guidence Table'!$A$1:$AG$10000,MATCH(1,('Margin Guidence Table'!$A$1:$A$10000=PW31)*('Margin Guidence Table'!$I$1:$I$10000&lt;=ROUND($PO$3,0))*('Margin Guidence Table'!$J$1:$J$10000&gt;=ROUND($PO$3,0)),0),MATCH("DEFAULT_PA_PCT_SALES",'Margin Guidence Table'!$A$1:$AG$1,0))),0))</f>
        <v>0</v>
      </c>
      <c r="QF31" s="784">
        <f t="array" ref="QF31">IF('Customer Inputs'!$W$22="End",0,IFERROR(IF($PY31="SEGMENT",INDEX('Margin Guidence Table'!$A$1:$AG$10000,MATCH(1,('Margin Guidence Table'!$A$1:$A$10000=PW31)*('Margin Guidence Table'!$I$1:$I$10000&lt;=ROUND($PO$3,0))*('Margin Guidence Table'!$J$1:$J$10000&gt;=ROUND($PO$3,0)),0),MATCH("SELF_FUND_PCT_SALES",'Margin Guidence Table'!$A$1:$AG$1,0)),INDEX('Margin Guidence Table'!$A$1:$AG$10000,MATCH(1,('Margin Guidence Table'!$A$1:$A$10000=PW31)*('Margin Guidence Table'!$I$1:$I$10000&lt;=ROUND($PO$3,0))*('Margin Guidence Table'!$J$1:$J$10000&gt;=ROUND($PO$3,0)),0),MATCH("DEFAULT_SELF_FUND_PCT_SALES",'Margin Guidence Table'!$A$1:$AG$1,0))),0))</f>
        <v>0</v>
      </c>
      <c r="QG31" s="784">
        <f t="array" ref="QG31">IF('Customer Inputs'!$W$22="End",0,IF($PP$2="Existing",IFERROR(SUMIFS('Existing Customers'!$V:$V,'Existing Customers'!$H:$H,$PN31,'Existing Customers'!$A:$A,$PO$1)/SUMIFS('Existing Customers'!$Q:$Q,'Existing Customers'!$H:$H,$PN31,'Existing Customers'!$A:$A,$PO$1),0),IFERROR(IF($PY31="SEGMENT",INDEX('Margin Guidence Table'!$A$1:$AG$10000,MATCH(1,('Margin Guidence Table'!$A$1:$A$10000=PW31)*('Margin Guidence Table'!$I$1:$I$10000&lt;=ROUND($PO$3,0))*('Margin Guidence Table'!$J$1:$J$10000&gt;=ROUND($PO$3,0)),0),MATCH("CIA_MEDIAN_MARGIN_GUIDENCE",'Margin Guidence Table'!$A$1:$AG$1,0)),INDEX('Margin Guidence Table'!$A$1:$AG$10000,MATCH(1,('Margin Guidence Table'!$A$1:$A$10000=PW31)*('Margin Guidence Table'!$I$1:$I$10000&lt;=ROUND($PO$3,0))*('Margin Guidence Table'!$J$1:$J$10000&gt;=ROUND($PO$3,0)),0),MATCH("DEFAULT_CIA_MEDIAN_MARGIN_GUIDENCE",'Margin Guidence Table'!$A$1:$AG$1,0))),0)))</f>
        <v>0</v>
      </c>
      <c r="QH31" s="784"/>
      <c r="QI31" s="18">
        <f t="array" ref="QI31">IF('Customer Inputs'!$W$23="End",0,IFERROR(IF($QV31="SEGMENT",INDEX('Margin Guidence Table'!$A$1:$AG$10000,MATCH(1,('Margin Guidence Table'!$A$1:$A$10000=$QT31)*('Margin Guidence Table'!$I$1:$I$10000&lt;=ROUND($QL$3,0))*('Margin Guidence Table'!$J$1:$J$10000&gt;=ROUND($QL$3,0)),0),MATCH("PCT_SALES",'Margin Guidence Table'!$A$1:$AG$1,0)),INDEX('Margin Guidence Table'!$A$1:$AG$10000,MATCH(1,('Margin Guidence Table'!$A$1:$A$10000=$QT31)*('Margin Guidence Table'!$I$1:$I$10000&lt;=ROUND($QL$3,0))*('Margin Guidence Table'!$J$1:$J$10000&gt;=ROUND($QL$3,0)),0),MATCH("DEFAULT_PCT_SALES",'Margin Guidence Table'!$A$1:$AG$1,0))),0))</f>
        <v>0</v>
      </c>
      <c r="QJ31" s="1713" t="e">
        <f t="shared" si="66"/>
        <v>#DIV/0!</v>
      </c>
      <c r="QK31" s="99" t="s">
        <v>94</v>
      </c>
      <c r="QL31" s="91">
        <f>IF('Customer Inputs'!$W$23="End",0,IFERROR(IF(AND($QL$2&lt;&gt;"Enter Spend&gt;&gt;&gt;",$QM$2="EXISTING"),SUMIFS('Existing Customers'!$Q:$Q,'Existing Customers'!$A:$A,$QL$1,'Existing Customers'!$H:$H,$QK31)*$QL$4,$QL$3*$QJ31),0))</f>
        <v>0</v>
      </c>
      <c r="QM31" s="86">
        <f>IF('Customer Inputs'!$W$23="End",0,IFERROR(IF(AND($QL$2&lt;&gt;"Enter Spend&gt;&gt;&gt;",$QM$2="EXISTING"),SUMIFS('Existing Customers'!$N:$N,'Existing Customers'!$A:$A,$QL$1,'Existing Customers'!$H:$H,$QK31)*$QL$4,$QL31/$QW31),0))</f>
        <v>0</v>
      </c>
      <c r="QN31" s="92">
        <f>IF('Customer Inputs'!$W$23="End",0,IFERROR(IF(AND($QL$2&lt;&gt;"Enter Spend&gt;&gt;&gt;",$QM$2="EXISTING"),SUMIFS('Existing Customers'!$O:$O,'Existing Customers'!$H:$H,$QK31,'Existing Customers'!$A:$A,$QL$1)*$QL$4,$QM31*$QL$8),0))</f>
        <v>0</v>
      </c>
      <c r="QO31" s="92">
        <f>IF('Customer Inputs'!$W$23="End",0,IFERROR(IF(AND($QL$2&lt;&gt;"Enter Spend&gt;&gt;&gt;",$QM$2="EXISTING"),SUMIFS('Existing Customers'!$P:$P,'Existing Customers'!$A:$A,$QL$1,'Existing Customers'!$H:$H,$QK31)*$QL$4,$QL31/$QX31),0))</f>
        <v>0</v>
      </c>
      <c r="QP31" s="303">
        <f>IF('Customer Inputs'!$W$23="End",0,IFERROR(IF(AND($QL$2&lt;&gt;"Enter Spend&gt;&gt;&gt;",$QM$2="EXISTING"),SUMIFS('Existing Customers'!$V:$V,'Existing Customers'!$H:$H,$QK31,'Existing Customers'!$A:$A,$QL$1)*$QL$4,0),0))</f>
        <v>0</v>
      </c>
      <c r="QQ31" s="93">
        <f>IF('Customer Inputs'!$W$23="End",0,IFERROR(IF(AND($QL$2&lt;&gt;"Enter Spend&gt;&gt;&gt;",$QM$2="EXISTING"),SUMIFS('Existing Customers'!$R:$R,'Existing Customers'!$H:$H,$QK31,'Existing Customers'!$A:$A,$QL$1)*$QL$4,0),0))</f>
        <v>0</v>
      </c>
      <c r="QR31" s="780">
        <f>IF('Customer Inputs'!$W$23="End",0,IFERROR(IF(AND($QL$2&lt;&gt;"Enter Spend&gt;&gt;&gt;",$QM$2="EXISTING"),SUMIFS('Existing Customers'!$S:$S,'Existing Customers'!$H:$H,$QK31,'Existing Customers'!$A:$A,$QL$1)/SUMIFS('Existing Customers'!$Q:$Q,'Existing Customers'!$A:$A,$QL$1,'Existing Customers'!$H:$H,$QK31),RB31),0))</f>
        <v>0</v>
      </c>
      <c r="QS31" s="780">
        <f>IF('Customer Inputs'!$W$23="End",0,IFERROR(IF(AND($QL$2&lt;&gt;"Enter Spend&gt;&gt;&gt;",$QM$2="EXISTING"),SUMIFS('Existing Customers'!$U:$U,'Existing Customers'!$H:$H,$QK31,'Existing Customers'!$A:$A,$QL$1)/SUMIFS('Existing Customers'!$Q:$Q,'Existing Customers'!$A:$A,$QL$1,'Existing Customers'!$H:$H,$QK31),RC31),0))</f>
        <v>0</v>
      </c>
      <c r="QT31" s="783" t="e">
        <f>_xlfn.CONCAT('Customer Inputs'!$AH$23,"_",QK31)</f>
        <v>#N/A</v>
      </c>
      <c r="QU31" s="783">
        <f t="array" ref="QU31">IF('Customer Inputs'!$W$23="End",0,IFERROR(INDEX('Margin Guidence Table'!$A$1:$AG$10000,MATCH(1,('Margin Guidence Table'!$A$1:$A$10000=QT31)*('Margin Guidence Table'!$I$1:$I$10000&lt;=ROUND($QL$3,0))*('Margin Guidence Table'!$J$1:$J$10000&gt;=ROUND($QL$3,0)),0),MATCH("DATA_POINTS",'Margin Guidence Table'!$A$1:$AG$1,0)),0))</f>
        <v>0</v>
      </c>
      <c r="QV31" s="780" t="str">
        <f t="shared" si="67"/>
        <v>DEFAULT</v>
      </c>
      <c r="QW31" s="780">
        <f t="array" ref="QW31">IF('Customer Inputs'!$W$23="End",0,IFERROR(IF($QV31="SEGMENT",INDEX('Margin Guidence Table'!$A$1:$AG$10000,MATCH(1,('Margin Guidence Table'!$A$1:$A$10000=QT31)*('Margin Guidence Table'!$I$1:$I$10000&lt;=ROUND($QL$3,0))*('Margin Guidence Table'!$J$1:$J$10000&gt;=ROUND($QL$3,0)),0),MATCH("SALES_CASE",'Margin Guidence Table'!$A$1:$AG$1,0)),INDEX('Margin Guidence Table'!$A$1:$AG$10000,MATCH(1,('Margin Guidence Table'!$A$1:$A$10000=QT31)*('Margin Guidence Table'!$I$1:$I$10000&lt;=ROUND($QL$3,0))*('Margin Guidence Table'!$J$1:$J$10000&gt;=ROUND($QL$3,0)),0),MATCH("DEFAULT_SALES_CASE",'Margin Guidence Table'!$A$1:$AG$1,0))),0))</f>
        <v>0</v>
      </c>
      <c r="QX31" s="780">
        <f t="array" ref="QX31">IF('Customer Inputs'!$W$23="End",0,IFERROR(IF($QV31="SEGMENT",INDEX('Margin Guidence Table'!$A$1:$AG$10000,MATCH(1,('Margin Guidence Table'!$A$1:$A$10000=QT31)*('Margin Guidence Table'!$I$1:$I$10000&lt;=ROUND($QL$3,0))*('Margin Guidence Table'!$J$1:$J$10000&gt;=ROUND($QL$3,0)),0),MATCH("SALES_LBS",'Margin Guidence Table'!$A$1:$AG$1,0)),INDEX('Margin Guidence Table'!$A$1:$AG$10000,MATCH(1,('Margin Guidence Table'!$A$1:$A$10000=QT31)*('Margin Guidence Table'!$I$1:$I$10000&lt;=ROUND($QL$3,0))*('Margin Guidence Table'!$J$1:$J$10000&gt;=ROUND($QL$3,0)),0),MATCH("DEFAULT_SALES_LBS",'Margin Guidence Table'!$A$1:$AG$1,0))),0))</f>
        <v>0</v>
      </c>
      <c r="QY31" s="784">
        <f t="array" ref="QY31">IF('Customer Inputs'!$W$23="End",0,IFERROR(IF($QV31="SEGMENT",INDEX('Margin Guidence Table'!$A$1:$AG$10000,MATCH(1,('Margin Guidence Table'!$A$1:$A$10000=QT31)*('Margin Guidence Table'!$I$1:$I$10000&lt;=ROUND($QL$3,0))*('Margin Guidence Table'!$J$1:$J$10000&gt;=ROUND($QL$3,0)),0),MATCH("MDA_MIN_MARGIN_GUIDENCE",'Margin Guidence Table'!$A$1:$AG$1,0)),INDEX('Margin Guidence Table'!$A$1:$AG$10000,MATCH(1,('Margin Guidence Table'!$A$1:$A$10000=QT31)*('Margin Guidence Table'!$I$1:$I$10000&lt;=ROUND($QL$3,0))*('Margin Guidence Table'!$J$1:$J$10000&gt;=ROUND($QL$3,0)),0),MATCH("DEFAULT_MDA_MIN_MARGIN_GUIDENCE",'Margin Guidence Table'!$A$1:$AG$1,0))),0))</f>
        <v>0</v>
      </c>
      <c r="QZ31" s="784">
        <f t="array" ref="QZ31">IF('Customer Inputs'!$W$23="End",0,IFERROR(IF($QV31="SEGMENT",INDEX('Margin Guidence Table'!$A$1:$AG$10000,MATCH(1,('Margin Guidence Table'!$A$1:$A$10000=QT31)*('Margin Guidence Table'!$I$1:$I$10000&lt;=ROUND($QL$3,0))*('Margin Guidence Table'!$J$1:$J$10000&gt;=ROUND($QL$3,0)),0),MATCH("MDA_MEDIAN_MARGIN_GUIDENCE",'Margin Guidence Table'!$A$1:$AG$1,0)),INDEX('Margin Guidence Table'!$A$1:$AG$10000,MATCH(1,('Margin Guidence Table'!$A$1:$A$10000=QT31)*('Margin Guidence Table'!$I$1:$I$10000&lt;=ROUND($QL$3,0))*('Margin Guidence Table'!$J$1:$J$10000&gt;=ROUND($QL$3,0)),0),MATCH("DEFAULT_MDA_MEDIAN_MARGIN_GUIDENCE",'Margin Guidence Table'!$A$1:$AG$1,0))),0))</f>
        <v>0</v>
      </c>
      <c r="RA31" s="784">
        <f t="array" ref="RA31">IF('Customer Inputs'!$W$23="End",0,IFERROR(IF($QV31="SEGMENT",INDEX('Margin Guidence Table'!$A$1:$AG$10000,MATCH(1,('Margin Guidence Table'!$A$1:$A$10000=QT31)*('Margin Guidence Table'!$I$1:$I$10000&lt;=ROUND($QL$3,0))*('Margin Guidence Table'!$J$1:$J$10000&gt;=ROUND($QL$3,0)),0),MATCH("MDA_MAX_MARGIN_GUIDENCE",'Margin Guidence Table'!$A$1:$AG$1,0)),INDEX('Margin Guidence Table'!$A$1:$AG$10000,MATCH(1,('Margin Guidence Table'!$A$1:$A$10000=QT31)*('Margin Guidence Table'!$I$1:$I$10000&lt;=ROUND($QL$3,0))*('Margin Guidence Table'!$J$1:$J$10000&gt;=ROUND($QL$3,0)),0),MATCH("DEFAULT_MDA_MAX_MARGIN_GUIDENCE",'Margin Guidence Table'!$A$1:$AG$1,0))),0))</f>
        <v>0</v>
      </c>
      <c r="RB31" s="784">
        <f t="array" ref="RB31">IF('Customer Inputs'!$W$23="End",0,IFERROR(IF($QV31="SEGMENT",INDEX('Margin Guidence Table'!$A$1:$AG$10000,MATCH(1,('Margin Guidence Table'!$A$1:$A$10000=QT31)*('Margin Guidence Table'!$I$1:$I$10000&lt;=ROUND($QL$3,0))*('Margin Guidence Table'!$J$1:$J$10000&gt;=ROUND($QL$3,0)),0),MATCH("PA_PCT_SALES",'Margin Guidence Table'!$A$1:$AG$1,0)),INDEX('Margin Guidence Table'!$A$1:$AG$10000,MATCH(1,('Margin Guidence Table'!$A$1:$A$10000=QT31)*('Margin Guidence Table'!$I$1:$I$10000&lt;=ROUND($QL$3,0))*('Margin Guidence Table'!$J$1:$J$10000&gt;=ROUND($QL$3,0)),0),MATCH("DEFAULT_PA_PCT_SALES",'Margin Guidence Table'!$A$1:$AG$1,0))),0))</f>
        <v>0</v>
      </c>
      <c r="RC31" s="784">
        <f t="array" ref="RC31">IF('Customer Inputs'!$W$23="End",0,IFERROR(IF($QV31="SEGMENT",INDEX('Margin Guidence Table'!$A$1:$AG$10000,MATCH(1,('Margin Guidence Table'!$A$1:$A$10000=QT31)*('Margin Guidence Table'!$I$1:$I$10000&lt;=ROUND($QL$3,0))*('Margin Guidence Table'!$J$1:$J$10000&gt;=ROUND($QL$3,0)),0),MATCH("SELF_FUND_PCT_SALES",'Margin Guidence Table'!$A$1:$AG$1,0)),INDEX('Margin Guidence Table'!$A$1:$AG$10000,MATCH(1,('Margin Guidence Table'!$A$1:$A$10000=QT31)*('Margin Guidence Table'!$I$1:$I$10000&lt;=ROUND($QL$3,0))*('Margin Guidence Table'!$J$1:$J$10000&gt;=ROUND($QL$3,0)),0),MATCH("DEFAULT_SELF_FUND_PCT_SALES",'Margin Guidence Table'!$A$1:$AG$1,0))),0))</f>
        <v>0</v>
      </c>
      <c r="RD31" s="784">
        <f t="array" ref="RD31">IF('Customer Inputs'!$W$23="End",0,IF($QM$2="Existing",IFERROR(SUMIFS('Existing Customers'!$V:$V,'Existing Customers'!$H:$H,$QK31,'Existing Customers'!$A:$A,$QL$1)/SUMIFS('Existing Customers'!$Q:$Q,'Existing Customers'!$H:$H,$QK31,'Existing Customers'!$A:$A,$QL$1),0),IFERROR(IF($QV31="SEGMENT",INDEX('Margin Guidence Table'!$A$1:$AG$10000,MATCH(1,('Margin Guidence Table'!$A$1:$A$10000=QT31)*('Margin Guidence Table'!$I$1:$I$10000&lt;=ROUND($QL$3,0))*('Margin Guidence Table'!$J$1:$J$10000&gt;=ROUND($QL$3,0)),0),MATCH("CIA_MEDIAN_MARGIN_GUIDENCE",'Margin Guidence Table'!$A$1:$AG$1,0)),INDEX('Margin Guidence Table'!$A$1:$AG$10000,MATCH(1,('Margin Guidence Table'!$A$1:$A$10000=QT31)*('Margin Guidence Table'!$I$1:$I$10000&lt;=ROUND($QL$3,0))*('Margin Guidence Table'!$J$1:$J$10000&gt;=ROUND($QL$3,0)),0),MATCH("DEFAULT_CIA_MEDIAN_MARGIN_GUIDENCE",'Margin Guidence Table'!$A$1:$AG$1,0))),0)))</f>
        <v>0</v>
      </c>
      <c r="RE31" s="784"/>
      <c r="RF31" s="18">
        <f t="array" ref="RF31">IF('Customer Inputs'!$W$24="End",0,IFERROR(IF($RS31="SEGMENT",INDEX('Margin Guidence Table'!$A$1:$AG$10000,MATCH(1,('Margin Guidence Table'!$A$1:$A$10000=$RQ31)*('Margin Guidence Table'!$I$1:$I$10000&lt;=ROUND($RI$3,0))*('Margin Guidence Table'!$J$1:$J$10000&gt;=ROUND($RI$3,0)),0),MATCH("PCT_SALES",'Margin Guidence Table'!$A$1:$AG$1,0)),INDEX('Margin Guidence Table'!$A$1:$AG$10000,MATCH(1,('Margin Guidence Table'!$A$1:$A$10000=$RQ31)*('Margin Guidence Table'!$I$1:$I$10000&lt;=ROUND($RI$3,0))*('Margin Guidence Table'!$J$1:$J$10000&gt;=ROUND($RI$3,0)),0),MATCH("DEFAULT_PCT_SALES",'Margin Guidence Table'!$A$1:$AG$1,0))),0))</f>
        <v>0</v>
      </c>
      <c r="RG31" s="1713" t="e">
        <f t="shared" si="68"/>
        <v>#DIV/0!</v>
      </c>
      <c r="RH31" s="99" t="s">
        <v>94</v>
      </c>
      <c r="RI31" s="91">
        <f>IF('Customer Inputs'!$W$24="End",0,IFERROR(IF(AND($RI$2&lt;&gt;"Enter Spend&gt;&gt;&gt;",$RJ$2="EXISTING"),SUMIFS('Existing Customers'!$Q:$Q,'Existing Customers'!$A:$A,$RI$1,'Existing Customers'!$H:$H,$RH31)*$RI$4,$RI$3*$RG31),0))</f>
        <v>0</v>
      </c>
      <c r="RJ31" s="86">
        <f>IF('Customer Inputs'!$W$24="End",0,IFERROR(IF(AND($RI$2&lt;&gt;"Enter Spend&gt;&gt;&gt;",$RJ$2="EXISTING"),SUMIFS('Existing Customers'!$N:$N,'Existing Customers'!$A:$A,$RI$1,'Existing Customers'!$H:$H,$RH31)*$RI$4,$RI31/$RT31),0))</f>
        <v>0</v>
      </c>
      <c r="RK31" s="92">
        <f>IF('Customer Inputs'!$W$24="End",0,IFERROR(IF(AND($RI$2&lt;&gt;"Enter Spend&gt;&gt;&gt;",$RJ$2="EXISTING"),SUMIFS('Existing Customers'!$O:$O,'Existing Customers'!$H:$H,$RH31,'Existing Customers'!$A:$A,$RI$1)*$RI$4,$RJ31*$RI$8),0))</f>
        <v>0</v>
      </c>
      <c r="RL31" s="92">
        <f>IF('Customer Inputs'!$W$24="End",0,IFERROR(IF(AND($RI$2&lt;&gt;"Enter Spend&gt;&gt;&gt;",$RJ$2="EXISTING"),SUMIFS('Existing Customers'!$P:$P,'Existing Customers'!$A:$A,$RI$1,'Existing Customers'!$H:$H,$RH31)*$RI$4,$RI31/$RU31),0))</f>
        <v>0</v>
      </c>
      <c r="RM31" s="303">
        <f>IF('Customer Inputs'!$W$24="End",0,IFERROR(IF(AND($RI$2&lt;&gt;"Enter Spend&gt;&gt;&gt;",$RJ$2="EXISTING"),SUMIFS('Existing Customers'!$V:$V,'Existing Customers'!$H:$H,$RH31,'Existing Customers'!$A:$A,$RI$1)*$RI$4,0),0))</f>
        <v>0</v>
      </c>
      <c r="RN31" s="93">
        <f>IF('Customer Inputs'!$W$24="End",0,IFERROR(IF(AND($RI$2&lt;&gt;"Enter Spend&gt;&gt;&gt;",$RJ$2="EXISTING"),SUMIFS('Existing Customers'!$R:$R,'Existing Customers'!$H:$H,$RH31,'Existing Customers'!$A:$A,$RI$1)*$RI$4,0),0))</f>
        <v>0</v>
      </c>
      <c r="RO31" s="780">
        <f>IF('Customer Inputs'!$W$24="End",0,IFERROR(IF(AND($RI$2&lt;&gt;"Enter Spend&gt;&gt;&gt;",$RJ$2="EXISTING"),SUMIFS('Existing Customers'!$S:$S,'Existing Customers'!$H:$H,$RH31,'Existing Customers'!$A:$A,$RI$1)/SUMIFS('Existing Customers'!$Q:$Q,'Existing Customers'!$A:$A,$RI$1,'Existing Customers'!$H:$H,$RH31),RY31),0))</f>
        <v>0</v>
      </c>
      <c r="RP31" s="780">
        <f>IF('Customer Inputs'!$W$24="End",0,IFERROR(IF(AND($RI$2&lt;&gt;"Enter Spend&gt;&gt;&gt;",$RJ$2="EXISTING"),SUMIFS('Existing Customers'!$U:$U,'Existing Customers'!$H:$H,$RH31,'Existing Customers'!$A:$A,$RI$1)/SUMIFS('Existing Customers'!$Q:$Q,'Existing Customers'!$A:$A,$RI$1,'Existing Customers'!$H:$H,$RH31),RZ31),0))</f>
        <v>0</v>
      </c>
      <c r="RQ31" s="783" t="e">
        <f>_xlfn.CONCAT('Customer Inputs'!$AH$24,"_",RH31)</f>
        <v>#N/A</v>
      </c>
      <c r="RR31" s="783">
        <f t="array" ref="RR31">IF('Customer Inputs'!$W$24="End",0,IFERROR(INDEX('Margin Guidence Table'!$A$1:$AG$10000,MATCH(1,('Margin Guidence Table'!$A$1:$A$10000=RQ31)*('Margin Guidence Table'!$I$1:$I$10000&lt;=ROUND($RI$3,0))*('Margin Guidence Table'!$J$1:$J$10000&gt;=ROUND($RI$3,0)),0),MATCH("DATA_POINTS",'Margin Guidence Table'!$A$1:$AG$1,0)),0))</f>
        <v>0</v>
      </c>
      <c r="RS31" s="780" t="str">
        <f t="shared" si="69"/>
        <v>DEFAULT</v>
      </c>
      <c r="RT31" s="780">
        <f t="array" ref="RT31">IF('Customer Inputs'!$W$24="End",0,IFERROR(IF($RS31="SEGMENT",INDEX('Margin Guidence Table'!$A$1:$AG$10000,MATCH(1,('Margin Guidence Table'!$A$1:$A$10000=RQ31)*('Margin Guidence Table'!$I$1:$I$10000&lt;=ROUND($RI$3,0))*('Margin Guidence Table'!$J$1:$J$10000&gt;=ROUND($RI$3,0)),0),MATCH("SALES_CASE",'Margin Guidence Table'!$A$1:$AG$1,0)),INDEX('Margin Guidence Table'!$A$1:$AG$10000,MATCH(1,('Margin Guidence Table'!$A$1:$A$10000=RQ31)*('Margin Guidence Table'!$I$1:$I$10000&lt;=ROUND($RI$3,0))*('Margin Guidence Table'!$J$1:$J$10000&gt;=ROUND($RI$3,0)),0),MATCH("DEFAULT_SALES_CASE",'Margin Guidence Table'!$A$1:$AG$1,0))),0))</f>
        <v>0</v>
      </c>
      <c r="RU31" s="780">
        <f t="array" ref="RU31">IF('Customer Inputs'!$W$24="End",0,IFERROR(IF($RS31="SEGMENT",INDEX('Margin Guidence Table'!$A$1:$AG$10000,MATCH(1,('Margin Guidence Table'!$A$1:$A$10000=RQ31)*('Margin Guidence Table'!$I$1:$I$10000&lt;=ROUND($RI$3,0))*('Margin Guidence Table'!$J$1:$J$10000&gt;=ROUND($RI$3,0)),0),MATCH("SALES_LBS",'Margin Guidence Table'!$A$1:$AG$1,0)),INDEX('Margin Guidence Table'!$A$1:$AG$10000,MATCH(1,('Margin Guidence Table'!$A$1:$A$10000=RQ31)*('Margin Guidence Table'!$I$1:$I$10000&lt;=ROUND($RI$3,0))*('Margin Guidence Table'!$J$1:$J$10000&gt;=ROUND($RI$3,0)),0),MATCH("DEFAULT_SALES_LBS",'Margin Guidence Table'!$A$1:$AG$1,0))),0))</f>
        <v>0</v>
      </c>
      <c r="RV31" s="784">
        <f t="array" ref="RV31">IF('Customer Inputs'!$W$24="End",0,IFERROR(IF($RS31="SEGMENT",INDEX('Margin Guidence Table'!$A$1:$AG$10000,MATCH(1,('Margin Guidence Table'!$A$1:$A$10000=RQ31)*('Margin Guidence Table'!$I$1:$I$10000&lt;=ROUND($RI$3,0))*('Margin Guidence Table'!$J$1:$J$10000&gt;=ROUND($RI$3,0)),0),MATCH("MDA_MIN_MARGIN_GUIDENCE",'Margin Guidence Table'!$A$1:$AG$1,0)),INDEX('Margin Guidence Table'!$A$1:$AG$10000,MATCH(1,('Margin Guidence Table'!$A$1:$A$10000=RQ31)*('Margin Guidence Table'!$I$1:$I$10000&lt;=ROUND($RI$3,0))*('Margin Guidence Table'!$J$1:$J$10000&gt;=ROUND($RI$3,0)),0),MATCH("DEFAULT_MDA_MIN_MARGIN_GUIDENCE",'Margin Guidence Table'!$A$1:$AG$1,0))),0))</f>
        <v>0</v>
      </c>
      <c r="RW31" s="784">
        <f t="array" ref="RW31">IF('Customer Inputs'!$W$24="End",0,IFERROR(IF($RS31="SEGMENT",INDEX('Margin Guidence Table'!$A$1:$AG$10000,MATCH(1,('Margin Guidence Table'!$A$1:$A$10000=RQ31)*('Margin Guidence Table'!$I$1:$I$10000&lt;=ROUND($RI$3,0))*('Margin Guidence Table'!$J$1:$J$10000&gt;=ROUND($RI$3,0)),0),MATCH("MDA_MEDIAN_MARGIN_GUIDENCE",'Margin Guidence Table'!$A$1:$AG$1,0)),INDEX('Margin Guidence Table'!$A$1:$AG$10000,MATCH(1,('Margin Guidence Table'!$A$1:$A$10000=RQ31)*('Margin Guidence Table'!$I$1:$I$10000&lt;=ROUND($RI$3,0))*('Margin Guidence Table'!$J$1:$J$10000&gt;=ROUND($RI$3,0)),0),MATCH("DEFAULT_MDA_MEDIAN_MARGIN_GUIDENCE",'Margin Guidence Table'!$A$1:$AG$1,0))),0))</f>
        <v>0</v>
      </c>
      <c r="RX31" s="784">
        <f t="array" ref="RX31">IF('Customer Inputs'!$W$24="End",0,IFERROR(IF($RS31="SEGMENT",INDEX('Margin Guidence Table'!$A$1:$AG$10000,MATCH(1,('Margin Guidence Table'!$A$1:$A$10000=RQ31)*('Margin Guidence Table'!$I$1:$I$10000&lt;=ROUND($RI$3,0))*('Margin Guidence Table'!$J$1:$J$10000&gt;=ROUND($RI$3,0)),0),MATCH("MDA_MAX_MARGIN_GUIDENCE",'Margin Guidence Table'!$A$1:$AG$1,0)),INDEX('Margin Guidence Table'!$A$1:$AG$10000,MATCH(1,('Margin Guidence Table'!$A$1:$A$10000=RQ31)*('Margin Guidence Table'!$I$1:$I$10000&lt;=ROUND($RI$3,0))*('Margin Guidence Table'!$J$1:$J$10000&gt;=ROUND($RI$3,0)),0),MATCH("DEFAULT_MDA_MAX_MARGIN_GUIDENCE",'Margin Guidence Table'!$A$1:$AG$1,0))),0))</f>
        <v>0</v>
      </c>
      <c r="RY31" s="784">
        <f t="array" ref="RY31">IF('Customer Inputs'!$W$24="End",0,IFERROR(IF($RS31="SEGMENT",INDEX('Margin Guidence Table'!$A$1:$AG$10000,MATCH(1,('Margin Guidence Table'!$A$1:$A$10000=RQ31)*('Margin Guidence Table'!$I$1:$I$10000&lt;=ROUND($RI$3,0))*('Margin Guidence Table'!$J$1:$J$10000&gt;=ROUND($RI$3,0)),0),MATCH("PA_PCT_SALES",'Margin Guidence Table'!$A$1:$AG$1,0)),INDEX('Margin Guidence Table'!$A$1:$AG$10000,MATCH(1,('Margin Guidence Table'!$A$1:$A$10000=RQ31)*('Margin Guidence Table'!$I$1:$I$10000&lt;=ROUND($RI$3,0))*('Margin Guidence Table'!$J$1:$J$10000&gt;=ROUND($RI$3,0)),0),MATCH("DEFAULT_PA_PCT_SALES",'Margin Guidence Table'!$A$1:$AG$1,0))),0))</f>
        <v>0</v>
      </c>
      <c r="RZ31" s="784">
        <f t="array" ref="RZ31">IF('Customer Inputs'!$W$24="End",0,IFERROR(IF($RS31="SEGMENT",INDEX('Margin Guidence Table'!$A$1:$AG$10000,MATCH(1,('Margin Guidence Table'!$A$1:$A$10000=RQ31)*('Margin Guidence Table'!$I$1:$I$10000&lt;=ROUND($RI$3,0))*('Margin Guidence Table'!$J$1:$J$10000&gt;=ROUND($RI$3,0)),0),MATCH("SELF_FUND_PCT_SALES",'Margin Guidence Table'!$A$1:$AG$1,0)),INDEX('Margin Guidence Table'!$A$1:$AG$10000,MATCH(1,('Margin Guidence Table'!$A$1:$A$10000=RQ31)*('Margin Guidence Table'!$I$1:$I$10000&lt;=ROUND($RI$3,0))*('Margin Guidence Table'!$J$1:$J$10000&gt;=ROUND($RI$3,0)),0),MATCH("DEFAULT_SELF_FUND_PCT_SALES",'Margin Guidence Table'!$A$1:$AG$1,0))),0))</f>
        <v>0</v>
      </c>
      <c r="SA31" s="784">
        <f t="array" ref="SA31">IF('Customer Inputs'!$W$24="End",0,IF($RJ$2="Existing",IFERROR(SUMIFS('Existing Customers'!$V:$V,'Existing Customers'!$H:$H,$RH31,'Existing Customers'!$A:$A,$RI$1)/SUMIFS('Existing Customers'!$Q:$Q,'Existing Customers'!$H:$H,$RH31,'Existing Customers'!$A:$A,$RI$1),0),IFERROR(IF($RS31="SEGMENT",INDEX('Margin Guidence Table'!$A$1:$AG$10000,MATCH(1,('Margin Guidence Table'!$A$1:$A$10000=RQ31)*('Margin Guidence Table'!$I$1:$I$10000&lt;=ROUND($RI$3,0))*('Margin Guidence Table'!$J$1:$J$10000&gt;=ROUND($RI$3,0)),0),MATCH("CIA_MEDIAN_MARGIN_GUIDENCE",'Margin Guidence Table'!$A$1:$AG$1,0)),INDEX('Margin Guidence Table'!$A$1:$AG$10000,MATCH(1,('Margin Guidence Table'!$A$1:$A$10000=RQ31)*('Margin Guidence Table'!$I$1:$I$10000&lt;=ROUND($RI$3,0))*('Margin Guidence Table'!$J$1:$J$10000&gt;=ROUND($RI$3,0)),0),MATCH("DEFAULT_CIA_MEDIAN_MARGIN_GUIDENCE",'Margin Guidence Table'!$A$1:$AG$1,0))),0)))</f>
        <v>0</v>
      </c>
      <c r="SB31" s="784"/>
      <c r="SC31" s="18">
        <f t="array" ref="SC31">IF('Customer Inputs'!$W$25="End",0,IFERROR(IF($SP31="SEGMENT",INDEX('Margin Guidence Table'!$A$1:$AG$10000,MATCH(1,('Margin Guidence Table'!$A$1:$A$10000=$SN31)*('Margin Guidence Table'!$I$1:$I$10000&lt;=ROUND($SF$3,0))*('Margin Guidence Table'!$J$1:$J$10000&gt;=ROUND($SF$3,0)),0),MATCH("PCT_SALES",'Margin Guidence Table'!$A$1:$AG$1,0)),INDEX('Margin Guidence Table'!$A$1:$AG$10000,MATCH(1,('Margin Guidence Table'!$A$1:$A$10000=$SN31)*('Margin Guidence Table'!$I$1:$I$10000&lt;=ROUND($SF$3,0))*('Margin Guidence Table'!$J$1:$J$10000&gt;=ROUND($SF$3,0)),0),MATCH("DEFAULT_PCT_SALES",'Margin Guidence Table'!$A$1:$AG$1,0))),0))</f>
        <v>0</v>
      </c>
      <c r="SD31" s="1713" t="e">
        <f t="shared" si="70"/>
        <v>#DIV/0!</v>
      </c>
      <c r="SE31" s="99" t="s">
        <v>94</v>
      </c>
      <c r="SF31" s="91">
        <f>IF('Customer Inputs'!$W$25="End",0,IFERROR(IF(AND($SF$2&lt;&gt;"Enter Spend&gt;&gt;&gt;",$SG$2="EXISTING"),SUMIFS('Existing Customers'!$Q:$Q,'Existing Customers'!$A:$A,$SF$1,'Existing Customers'!$H:$H,$SE31)*$SF$4,$SF$3*$SD31),0))</f>
        <v>0</v>
      </c>
      <c r="SG31" s="86">
        <f>IF('Customer Inputs'!$W$25="End",0,IFERROR(IF(AND($SF$2&lt;&gt;"Enter Spend&gt;&gt;&gt;",$SG$2="EXISTING"),SUMIFS('Existing Customers'!$N:$N,'Existing Customers'!$A:$A,$SF$1,'Existing Customers'!$H:$H,$SE31)*$SF$4,$SF31/$SQ31),0))</f>
        <v>0</v>
      </c>
      <c r="SH31" s="92">
        <f>IF('Customer Inputs'!$W$25="End",0,IFERROR(IF(AND($SF$2&lt;&gt;"Enter Spend&gt;&gt;&gt;",$SG$2="EXISTING"),SUMIFS('Existing Customers'!$O:$O,'Existing Customers'!$H:$H,$SE31,'Existing Customers'!$A:$A,$SF$1)*$SF$4,$SG31*$SF$8),0))</f>
        <v>0</v>
      </c>
      <c r="SI31" s="92">
        <f>IF('Customer Inputs'!$W$25="End",0,IFERROR(IF(AND($SF$2&lt;&gt;"Enter Spend&gt;&gt;&gt;",$SG$2="EXISTING"),SUMIFS('Existing Customers'!$P:$P,'Existing Customers'!$A:$A,$SF$1,'Existing Customers'!$H:$H,$SE31)*$SF$4,$SF31/$SR31),0))</f>
        <v>0</v>
      </c>
      <c r="SJ31" s="303">
        <f>IF('Customer Inputs'!$W$25="End",0,IFERROR(IF(AND($SF$2&lt;&gt;"Enter Spend&gt;&gt;&gt;",$SG$2="EXISTING"),SUMIFS('Existing Customers'!$V:$V,'Existing Customers'!$H:$H,$SE31,'Existing Customers'!$A:$A,$SF$1)*$SF$4,0),0))</f>
        <v>0</v>
      </c>
      <c r="SK31" s="93">
        <f>IF('Customer Inputs'!$W$25="End",0,IFERROR(IF(AND($SF$2&lt;&gt;"Enter Spend&gt;&gt;&gt;",$SG$2="EXISTING"),SUMIFS('Existing Customers'!$R:$R,'Existing Customers'!$H:$H,$SE31,'Existing Customers'!$A:$A,$SF$1)*$SF$4,0),0))</f>
        <v>0</v>
      </c>
      <c r="SL31" s="780">
        <f>IF('Customer Inputs'!$W$25="End",0,IFERROR(IF(AND($SF$2&lt;&gt;"Enter Spend&gt;&gt;&gt;",$SG$2="EXISTING"),SUMIFS('Existing Customers'!$S:$S,'Existing Customers'!$H:$H,$SE31,'Existing Customers'!$A:$A,$SF$1)/SUMIFS('Existing Customers'!$Q:$Q,'Existing Customers'!$A:$A,$SF$1,'Existing Customers'!$H:$H,$SE31),SV31),0))</f>
        <v>0</v>
      </c>
      <c r="SM31" s="780">
        <f>IF('Customer Inputs'!$W$25="End",0,IFERROR(IF(AND($SF$2&lt;&gt;"Enter Spend&gt;&gt;&gt;",$SG$2="EXISTING"),SUMIFS('Existing Customers'!$U:$U,'Existing Customers'!$H:$H,$SE31,'Existing Customers'!$A:$A,$SF$1)/SUMIFS('Existing Customers'!$Q:$Q,'Existing Customers'!$A:$A,$SF$1,'Existing Customers'!$H:$H,$SE31),SW31),0))</f>
        <v>0</v>
      </c>
      <c r="SN31" s="783" t="e">
        <f>_xlfn.CONCAT('Customer Inputs'!$AH$25,"_",SE31)</f>
        <v>#N/A</v>
      </c>
      <c r="SO31" s="783">
        <f t="array" ref="SO31">IF('Customer Inputs'!$W$25="End",0,IFERROR(INDEX('Margin Guidence Table'!$A$1:$AG$10000,MATCH(1,('Margin Guidence Table'!$A$1:$A$10000=SN31)*('Margin Guidence Table'!$I$1:$I$10000&lt;=ROUND($SF$3,0))*('Margin Guidence Table'!$J$1:$J$10000&gt;=ROUND($SF$3,0)),0),MATCH("DATA_POINTS",'Margin Guidence Table'!$A$1:$AG$1,0)),0))</f>
        <v>0</v>
      </c>
      <c r="SP31" s="780" t="str">
        <f t="shared" si="71"/>
        <v>DEFAULT</v>
      </c>
      <c r="SQ31" s="780">
        <f t="array" ref="SQ31">IF('Customer Inputs'!$W$25="End",0,IFERROR(IF($SP31="SEGMENT",INDEX('Margin Guidence Table'!$A$1:$AG$10000,MATCH(1,('Margin Guidence Table'!$A$1:$A$10000=SN31)*('Margin Guidence Table'!$I$1:$I$10000&lt;=ROUND($SF$3,0))*('Margin Guidence Table'!$J$1:$J$10000&gt;=ROUND($SF$3,0)),0),MATCH("SALES_CASE",'Margin Guidence Table'!$A$1:$AG$1,0)),INDEX('Margin Guidence Table'!$A$1:$AG$10000,MATCH(1,('Margin Guidence Table'!$A$1:$A$10000=SN31)*('Margin Guidence Table'!$I$1:$I$10000&lt;=ROUND($SF$3,0))*('Margin Guidence Table'!$J$1:$J$10000&gt;=ROUND($SF$3,0)),0),MATCH("DEFAULT_SALES_CASE",'Margin Guidence Table'!$A$1:$AG$1,0))),0))</f>
        <v>0</v>
      </c>
      <c r="SR31" s="780">
        <f t="array" ref="SR31">IF('Customer Inputs'!$W$25="End",0,IFERROR(IF($SP31="SEGMENT",INDEX('Margin Guidence Table'!$A$1:$AG$10000,MATCH(1,('Margin Guidence Table'!$A$1:$A$10000=SN31)*('Margin Guidence Table'!$I$1:$I$10000&lt;=ROUND($SF$3,0))*('Margin Guidence Table'!$J$1:$J$10000&gt;=ROUND($SF$3,0)),0),MATCH("SALES_LBS",'Margin Guidence Table'!$A$1:$AG$1,0)),INDEX('Margin Guidence Table'!$A$1:$AG$10000,MATCH(1,('Margin Guidence Table'!$A$1:$A$10000=SN31)*('Margin Guidence Table'!$I$1:$I$10000&lt;=ROUND($SF$3,0))*('Margin Guidence Table'!$J$1:$J$10000&gt;=ROUND($SF$3,0)),0),MATCH("DEFAULT_SALES_LBS",'Margin Guidence Table'!$A$1:$AG$1,0))),0))</f>
        <v>0</v>
      </c>
      <c r="SS31" s="784">
        <f t="array" ref="SS31">IF('Customer Inputs'!$W$25="End",0,IFERROR(IF($SP31="SEGMENT",INDEX('Margin Guidence Table'!$A$1:$AG$10000,MATCH(1,('Margin Guidence Table'!$A$1:$A$10000=SN31)*('Margin Guidence Table'!$I$1:$I$10000&lt;=ROUND($SF$3,0))*('Margin Guidence Table'!$J$1:$J$10000&gt;=ROUND($SF$3,0)),0),MATCH("MDA_MIN_MARGIN_GUIDENCE",'Margin Guidence Table'!$A$1:$AG$1,0)),INDEX('Margin Guidence Table'!$A$1:$AG$10000,MATCH(1,('Margin Guidence Table'!$A$1:$A$10000=SN31)*('Margin Guidence Table'!$I$1:$I$10000&lt;=ROUND($SF$3,0))*('Margin Guidence Table'!$J$1:$J$10000&gt;=ROUND($SF$3,0)),0),MATCH("DEFAULT_MDA_MIN_MARGIN_GUIDENCE",'Margin Guidence Table'!$A$1:$AG$1,0))),0))</f>
        <v>0</v>
      </c>
      <c r="ST31" s="784">
        <f t="array" ref="ST31">IF('Customer Inputs'!$W$25="End",0,IFERROR(IF($SP31="SEGMENT",INDEX('Margin Guidence Table'!$A$1:$AG$10000,MATCH(1,('Margin Guidence Table'!$A$1:$A$10000=SN31)*('Margin Guidence Table'!$I$1:$I$10000&lt;=ROUND($SF$3,0))*('Margin Guidence Table'!$J$1:$J$10000&gt;=ROUND($SF$3,0)),0),MATCH("MDA_MEDIAN_MARGIN_GUIDENCE",'Margin Guidence Table'!$A$1:$AG$1,0)),INDEX('Margin Guidence Table'!$A$1:$AG$10000,MATCH(1,('Margin Guidence Table'!$A$1:$A$10000=SN31)*('Margin Guidence Table'!$I$1:$I$10000&lt;=ROUND($SF$3,0))*('Margin Guidence Table'!$J$1:$J$10000&gt;=ROUND($SF$3,0)),0),MATCH("DEFAULT_MDA_MEDIAN_MARGIN_GUIDENCE",'Margin Guidence Table'!$A$1:$AG$1,0))),0))</f>
        <v>0</v>
      </c>
      <c r="SU31" s="784">
        <f t="array" ref="SU31">IF('Customer Inputs'!$W$25="End",0,IFERROR(IF($SP31="SEGMENT",INDEX('Margin Guidence Table'!$A$1:$AG$10000,MATCH(1,('Margin Guidence Table'!$A$1:$A$10000=SN31)*('Margin Guidence Table'!$I$1:$I$10000&lt;=ROUND($SF$3,0))*('Margin Guidence Table'!$J$1:$J$10000&gt;=ROUND($SF$3,0)),0),MATCH("MDA_MAX_MARGIN_GUIDENCE",'Margin Guidence Table'!$A$1:$AG$1,0)),INDEX('Margin Guidence Table'!$A$1:$AG$10000,MATCH(1,('Margin Guidence Table'!$A$1:$A$10000=SN31)*('Margin Guidence Table'!$I$1:$I$10000&lt;=ROUND($SF$3,0))*('Margin Guidence Table'!$J$1:$J$10000&gt;=ROUND($SF$3,0)),0),MATCH("DEFAULT_MDA_MAX_MARGIN_GUIDENCE",'Margin Guidence Table'!$A$1:$AG$1,0))),0))</f>
        <v>0</v>
      </c>
      <c r="SV31" s="784">
        <f t="array" ref="SV31">IF('Customer Inputs'!$W$25="End",0,IFERROR(IF($SP31="SEGMENT",INDEX('Margin Guidence Table'!$A$1:$AG$10000,MATCH(1,('Margin Guidence Table'!$A$1:$A$10000=SN31)*('Margin Guidence Table'!$I$1:$I$10000&lt;=ROUND($SF$3,0))*('Margin Guidence Table'!$J$1:$J$10000&gt;=ROUND($SF$3,0)),0),MATCH("PA_PCT_SALES",'Margin Guidence Table'!$A$1:$AG$1,0)),INDEX('Margin Guidence Table'!$A$1:$AG$10000,MATCH(1,('Margin Guidence Table'!$A$1:$A$10000=SN31)*('Margin Guidence Table'!$I$1:$I$10000&lt;=ROUND($SF$3,0))*('Margin Guidence Table'!$J$1:$J$10000&gt;=ROUND($SF$3,0)),0),MATCH("DEFAULT_PA_PCT_SALES",'Margin Guidence Table'!$A$1:$AG$1,0))),0))</f>
        <v>0</v>
      </c>
      <c r="SW31" s="784">
        <f t="array" ref="SW31">IF('Customer Inputs'!$W$25="End",0,IFERROR(IF($SP31="SEGMENT",INDEX('Margin Guidence Table'!$A$1:$AG$10000,MATCH(1,('Margin Guidence Table'!$A$1:$A$10000=SN31)*('Margin Guidence Table'!$I$1:$I$10000&lt;=ROUND($SF$3,0))*('Margin Guidence Table'!$J$1:$J$10000&gt;=ROUND($SF$3,0)),0),MATCH("SELF_FUND_PCT_SALES",'Margin Guidence Table'!$A$1:$AG$1,0)),INDEX('Margin Guidence Table'!$A$1:$AG$10000,MATCH(1,('Margin Guidence Table'!$A$1:$A$10000=SN31)*('Margin Guidence Table'!$I$1:$I$10000&lt;=ROUND($SF$3,0))*('Margin Guidence Table'!$J$1:$J$10000&gt;=ROUND($SF$3,0)),0),MATCH("DEFAULT_SELF_FUND_PCT_SALES",'Margin Guidence Table'!$A$1:$AG$1,0))),0))</f>
        <v>0</v>
      </c>
      <c r="SX31" s="784">
        <f t="array" ref="SX31">IF('Customer Inputs'!$W$25="End",0,IF($SG$2="Existing",IFERROR(SUMIFS('Existing Customers'!$V:$V,'Existing Customers'!$H:$H,$SE31,'Existing Customers'!$A:$A,$SF$1)/SUMIFS('Existing Customers'!$Q:$Q,'Existing Customers'!$H:$H,$SE31,'Existing Customers'!$A:$A,$SF$1),0),IFERROR(IF($SP31="SEGMENT",INDEX('Margin Guidence Table'!$A$1:$AG$10000,MATCH(1,('Margin Guidence Table'!$A$1:$A$10000=SN31)*('Margin Guidence Table'!$I$1:$I$10000&lt;=ROUND($SF$3,0))*('Margin Guidence Table'!$J$1:$J$10000&gt;=ROUND($SF$3,0)),0),MATCH("CIA_MEDIAN_MARGIN_GUIDENCE",'Margin Guidence Table'!$A$1:$AG$1,0)),INDEX('Margin Guidence Table'!$A$1:$AG$10000,MATCH(1,('Margin Guidence Table'!$A$1:$A$10000=SN31)*('Margin Guidence Table'!$I$1:$I$10000&lt;=ROUND($SF$3,0))*('Margin Guidence Table'!$J$1:$J$10000&gt;=ROUND($SF$3,0)),0),MATCH("DEFAULT_CIA_MEDIAN_MARGIN_GUIDENCE",'Margin Guidence Table'!$A$1:$AG$1,0))),0)))</f>
        <v>0</v>
      </c>
      <c r="SY31" s="784"/>
      <c r="SZ31" s="1705"/>
      <c r="TA31" s="99" t="s">
        <v>94</v>
      </c>
      <c r="TB31" s="94"/>
      <c r="TC31" s="86"/>
      <c r="TD31" s="86"/>
      <c r="TE31" s="86"/>
      <c r="TF31" s="111"/>
      <c r="TG31" s="95"/>
      <c r="TH31" s="126"/>
      <c r="TI31" s="1705"/>
      <c r="TJ31" s="99" t="s">
        <v>94</v>
      </c>
      <c r="TK31" s="94"/>
      <c r="TL31" s="86"/>
      <c r="TM31" s="86"/>
      <c r="TN31" s="86"/>
      <c r="TO31" s="111"/>
      <c r="TP31" s="95"/>
      <c r="TQ31" s="1705"/>
      <c r="TR31" s="1705"/>
    </row>
    <row r="32" spans="1:538" ht="15.75" thickBot="1" x14ac:dyDescent="0.3">
      <c r="A32" s="1705"/>
      <c r="B32" s="99" t="s">
        <v>86</v>
      </c>
      <c r="C32" s="346">
        <f t="shared" si="0"/>
        <v>0</v>
      </c>
      <c r="D32" s="358">
        <f t="shared" si="1"/>
        <v>0</v>
      </c>
      <c r="E32" s="358">
        <f t="shared" si="2"/>
        <v>0</v>
      </c>
      <c r="F32" s="358">
        <f t="shared" si="3"/>
        <v>0</v>
      </c>
      <c r="G32" s="1428">
        <f t="shared" si="4"/>
        <v>0</v>
      </c>
      <c r="H32" s="1428">
        <f t="shared" si="5"/>
        <v>0</v>
      </c>
      <c r="I32" s="359">
        <f t="shared" si="6"/>
        <v>0</v>
      </c>
      <c r="J32" s="358">
        <f t="shared" si="7"/>
        <v>0</v>
      </c>
      <c r="K32" s="778">
        <f t="shared" si="8"/>
        <v>0</v>
      </c>
      <c r="L32" s="778">
        <f t="shared" si="9"/>
        <v>0</v>
      </c>
      <c r="M32" s="778">
        <f t="shared" si="10"/>
        <v>0</v>
      </c>
      <c r="N32" s="1428">
        <f>IF('PIM Model'!D28="$/CS",IFERROR(ROUND(SUM(BX32*$BV$35+CU32*$CS$35+DR32*$DP$35+EO32*$EM$35+FL32*$FJ$35+GI32*$GG$35+HF32*$HD$35+IC32*$IA$35+IZ32*$IX$35+JW32*$JU$35+KT32*$KR$35+LQ32*$LO$35+MN32*$ML$35+NK32*$NI$35+OH32*$OF$35+PE32*$PC$35+QB32*$PZ$35+QY32*$QW$35+RV32*$RT$35+SS32*$SQ$35)/$G$35,2),0),IF('PIM Model'!D28="$/LB",IFERROR(ROUND(SUM(BX32*$BW$35+CU32*$CT$35+DR32*$DQ$35+EO32*$EN$35+FL32*$FK$35+GI32*$GH$35+HF32*$HE$35+IC32*$IB$35+IZ32*$IY$35+JW32*$JV$35+KT32*$KS$35+LQ32*$LP$35+MN32*$MM$35+NK32*$NJ$35+OH32*$OG$35+PE32*$PD$35+QB32*$QA$35+QY32*$QX$35+RV32*$RU$35+SS32*$SR$35)/$H$35,2),0),0))</f>
        <v>0</v>
      </c>
      <c r="O32" s="1428">
        <f>IF('PIM Model'!D28="$/CS",IFERROR(ROUND(SUM(BY32*$BV$35+CV32*$CS$35+DS32*$DP$35+EP32*$EM$35+FM32*$FJ$35+GJ32*$GG$35+HG32*$HD$35+ID32*$IA$35+JA32*$IX$35+JX32*$JU$35+KU32*$KR$35+LR32*$LO$35+MO32*$ML$35+NL32*$NI$35+OI32*$OF$35+PF32*$PC$35+QC32*$PZ$35+QZ32*$QW$35+RW32*$RT$35+ST32*$SQ$35)/$G$35,2),0),IF('PIM Model'!D28="$/LB",IFERROR(ROUND(SUM(BY32*$BW$35+CV32*$CT$35+DS32*$DQ$35+EP32*$EN$35+FM32*$FK$35+GJ32*$GH$35+HG32*$HE$35+ID32*$IB$35+JA32*$IY$35+JX32*$JV$35+KU32*$KS$35+LR32*$LP$35+MO32*$MM$35+NL32*$NJ$35+OI32*$OG$35+PF32*$PD$35+QC32*$QA$35+QZ32*$QX$35+RW32*$RU$35+ST32*$SR$35)/$H$35,2),0),0))</f>
        <v>0</v>
      </c>
      <c r="P32" s="1428">
        <f>IF('PIM Model'!D28="$/CS",IFERROR(ROUND(SUM(BZ32*$BV$35+CW32*$CS$35+DT32*$DP$35+EQ32*$EM$35+FN32*$FJ$35+GK32*$GG$35+HH32*$HD$35+IE32*$IA$35+JB32*$IX$35+JY32*$JU$35+KV32*$KR$35+LS32*$LO$35+MP32*$ML$35+NM32*$NI$35+OJ32*$OF$35+PG32*$PC$35+QD32*$PZ$35+RA32*$QW$35+RX32*$RT$35+SU32*$SQ$35)/$G$35,2),0),IF('PIM Model'!D28="$/LB",IFERROR(ROUND(SUM(BZ32*$BW$35+CW32*$CT$35+DT32*$DQ$35+EQ32*$EN$35+FN32*$FK$35+GK32*$GH$35+HH32*$HE$35+IE32*$IB$35+JB32*$IY$35+JY32*$JV$35+KV32*$KS$35+LS32*$LP$35+MP32*$MM$35+NM32*$NJ$35+OJ32*$OG$35+PG32*$PD$35+QD32*$QA$35+RA32*$QX$35+RX32*$RU$35+SU32*$SR$35)/$H$35,2),0),0))</f>
        <v>0</v>
      </c>
      <c r="Q32" s="358">
        <f t="shared" si="11"/>
        <v>0</v>
      </c>
      <c r="R32" s="358">
        <f t="shared" si="12"/>
        <v>0</v>
      </c>
      <c r="S32" s="779">
        <f t="shared" si="13"/>
        <v>0</v>
      </c>
      <c r="T32" s="779">
        <f t="shared" si="14"/>
        <v>0</v>
      </c>
      <c r="U32" s="779">
        <f t="shared" si="15"/>
        <v>0</v>
      </c>
      <c r="V32" s="779">
        <f t="shared" si="16"/>
        <v>0</v>
      </c>
      <c r="W32" s="779">
        <f t="shared" si="17"/>
        <v>0</v>
      </c>
      <c r="X32" s="1705"/>
      <c r="Y32" s="1705" t="str">
        <f>'PIM Model'!E28</f>
        <v>INCLUDE</v>
      </c>
      <c r="Z32" s="1705">
        <f t="shared" si="18"/>
        <v>0</v>
      </c>
      <c r="AA32" s="1705">
        <f t="shared" si="19"/>
        <v>0</v>
      </c>
      <c r="AB32" s="99" t="s">
        <v>86</v>
      </c>
      <c r="AC32" s="107">
        <f t="shared" si="20"/>
        <v>0</v>
      </c>
      <c r="AD32" s="108">
        <f t="shared" si="21"/>
        <v>0</v>
      </c>
      <c r="AE32" s="108">
        <f t="shared" si="22"/>
        <v>0</v>
      </c>
      <c r="AF32" s="108">
        <f t="shared" si="23"/>
        <v>0</v>
      </c>
      <c r="AG32" s="110">
        <f t="shared" si="24"/>
        <v>0</v>
      </c>
      <c r="AH32" s="114">
        <f t="shared" si="25"/>
        <v>0</v>
      </c>
      <c r="AI32" s="301"/>
      <c r="AJ32" s="99" t="s">
        <v>86</v>
      </c>
      <c r="AK32" s="346">
        <f t="shared" si="26"/>
        <v>0</v>
      </c>
      <c r="AL32" s="347">
        <f t="shared" si="26"/>
        <v>0</v>
      </c>
      <c r="AM32" s="347">
        <f t="shared" si="26"/>
        <v>0</v>
      </c>
      <c r="AN32" s="350">
        <f t="shared" si="27"/>
        <v>0</v>
      </c>
      <c r="AO32" s="351">
        <f t="shared" si="28"/>
        <v>0</v>
      </c>
      <c r="AP32" s="301"/>
      <c r="AQ32" s="99" t="s">
        <v>86</v>
      </c>
      <c r="AR32" s="346">
        <f t="shared" si="29"/>
        <v>0</v>
      </c>
      <c r="AS32" s="347">
        <f t="shared" si="30"/>
        <v>0</v>
      </c>
      <c r="AT32" s="351"/>
      <c r="AU32" s="301"/>
      <c r="AV32" s="1708" t="str">
        <f>IF('PIM Ranges'!$AK30='PIM Ranges'!$AY$11,IF($AR32&lt;'PIM Ranges'!$AZ$11,"Q1",IF($AR32&lt;'PIM Ranges'!$BA$11,"Q2",IF($AR32&lt;'PIM Ranges'!$BB$11,"Q3",IF($AR32&lt;'PIM Ranges'!$BC$11,"Q4","Q5")))),IF('PIM Ranges'!$AK30='PIM Ranges'!$AY$12,IF($AR32&lt;'PIM Ranges'!$AZ$12,"Q1",IF($AR32&lt;'PIM Ranges'!$BA$12,"Q2",IF($AR32&lt;'PIM Ranges'!$BB$12,"Q3",IF($AR32&lt;'PIM Ranges'!$BC$12,"Q4","Q5")))),IF('PIM Ranges'!$AK30='PIM Ranges'!$AY$13,IF($AR32&lt;'PIM Ranges'!$AZ$13,"Q1",IF($AR32&lt;'PIM Ranges'!$BA$13,"Q2",IF($AR32&lt;'PIM Ranges'!$BB$13,"Q3",IF($AR32&lt;'PIM Ranges'!$BC$13,"Q4","Q5")))),IF('PIM Ranges'!$AK30='PIM Ranges'!$AY$14,IF($AR32&lt;'PIM Ranges'!$AZ$14,"Q1",IF($AR32&lt;'PIM Ranges'!$BA$14,"Q2",IF($AR32&lt;'PIM Ranges'!$BB$14,"Q3",IF($AR32&lt;'PIM Ranges'!$BC$14,"Q4","Q5")))),IF('PIM Ranges'!$AK30='PIM Ranges'!$AY$15,IF($AR32&lt;'PIM Ranges'!$AZ$15,"Q1",IF($AR32&lt;'PIM Ranges'!$BA$15,"Q2",IF($AR32&lt;'PIM Ranges'!$BB$15,"Q3",IF($AR32&lt;'PIM Ranges'!$BC$15,"Q4","Q5")))),IF('PIM Ranges'!$AK30='PIM Ranges'!$AY$16,IF($AR32&lt;'PIM Ranges'!$AZ$16,"Q1",IF($AR32&lt;'PIM Ranges'!$BA$16,"Q2",IF($AR32&lt;'PIM Ranges'!$BB$16,"Q3",IF($AR32&lt;'PIM Ranges'!$BC$16,"Q4","Q5")))),IF('PIM Ranges'!$AK30='PIM Ranges'!$AY$17,IF($AR32&lt;'PIM Ranges'!$AZ$17,"Q1",IF($AR32&lt;'PIM Ranges'!$BA$17,"Q2",IF($AR32&lt;'PIM Ranges'!$BB$17,"Q3",IF($AR32&lt;'PIM Ranges'!$BC$17,"Q4","Q5")))),IF('PIM Ranges'!$AK30='PIM Ranges'!$AY$18,IF($AR32&lt;'PIM Ranges'!$AZ$18,"Q1",IF($AR32&lt;'PIM Ranges'!$BA$18,"Q2",IF($AR32&lt;'PIM Ranges'!$BB$18,"Q3",IF($AR32&lt;'PIM Ranges'!$BC$18,"Q4","Q5")))),IF('PIM Ranges'!$AK30='PIM Ranges'!$AY$19,IF($AR32&lt;'PIM Ranges'!$AZ$19,"Q1",IF($AR32&lt;'PIM Ranges'!$BA$19,"Q2",IF($AR32&lt;'PIM Ranges'!$BB$19,"Q3",IF($AR32&lt;'PIM Ranges'!$BC$19,"Q4","Q5")))),IF('PIM Ranges'!$AK30='PIM Ranges'!$AY$20,IF($AR32&lt;'PIM Ranges'!$AZ$20,"Q1",IF($AR32&lt;'PIM Ranges'!$BA$20,"Q2",IF($AR32&lt;'PIM Ranges'!$BB$20,"Q3",IF($AR32&lt;'PIM Ranges'!$BC$20,"Q4","Q5")))),IF('PIM Ranges'!$AK30='PIM Ranges'!$AY$21,IF($AR32&lt;'PIM Ranges'!$AZ$21,"Q1",IF($AR32&lt;'PIM Ranges'!$BA$21,"Q2",IF($AR32&lt;'PIM Ranges'!$BB$21,"Q3",IF($AR32&lt;'PIM Ranges'!$BC$21,"Q4","Q5")))),IF('PIM Ranges'!$AK30='PIM Ranges'!$AY$22,IF($AR32&lt;'PIM Ranges'!$AZ$22,"Q1",IF($AR32&lt;'PIM Ranges'!$BA$22,"Q2",IF($AR32&lt;'PIM Ranges'!$BB$22,"Q3",IF($AR32&lt;'PIM Ranges'!$BC$22,"Q4","Q5")))),IF('PIM Ranges'!$AK30='PIM Ranges'!$AY$23,IF($AR32&lt;'PIM Ranges'!$AZ$23,"Q1",IF($AR32&lt;'PIM Ranges'!$BA$23,"Q2",IF($AR32&lt;'PIM Ranges'!$BB$23,"Q3",IF($AR32&lt;'PIM Ranges'!$BC$23,"Q4","Q5")))),IF('PIM Ranges'!$AK30='PIM Ranges'!$AY$24,IF($AR32&lt;'PIM Ranges'!$AZ$24,"Q1",IF($AR32&lt;'PIM Ranges'!$BA$24,"Q2",IF($AR32&lt;'PIM Ranges'!$BB$24,"Q3",IF($AR32&lt;'PIM Ranges'!$BC$24,"Q4","Q5")))),IF('PIM Ranges'!$AK30='PIM Ranges'!$AY$25,IF($AR32&lt;'PIM Ranges'!$AZ$25,"Q1",IF($AR32&lt;'PIM Ranges'!$BA$25,"Q2",IF($AR32&lt;'PIM Ranges'!$BB$25,"Q3",IF($AR32&lt;'PIM Ranges'!$BC$25,"Q4","Q5")))),IF('PIM Ranges'!$AK30='PIM Ranges'!$AY$26,IF($AR32&lt;'PIM Ranges'!$AZ$26,"Q1",IF($AR32&lt;'PIM Ranges'!$BA$26,"Q2",IF($AR32&lt;'PIM Ranges'!$BB$26,"Q3",IF($AR32&lt;'PIM Ranges'!$BC$26,"Q4","Q5")))),IF('PIM Ranges'!$AK30='PIM Ranges'!$AY$27,IF($AR32&lt;'PIM Ranges'!$AZ$27,"Q1",IF($AR32&lt;'PIM Ranges'!$BA$27,"Q2",IF($AR32&lt;'PIM Ranges'!$BB$27,"Q3",IF($AR32&lt;'PIM Ranges'!$BC$27,"Q4","Q5")))),IF('PIM Ranges'!$AK30='PIM Ranges'!$AY$28,IF($AR32&lt;'PIM Ranges'!$AZ$28,"Q1",IF($AR32&lt;'PIM Ranges'!$BA$28,"Q2",IF($AR32&lt;'PIM Ranges'!$BB$28,"Q3",IF($AR32&lt;'PIM Ranges'!$BC$28,"Q4","Q5")))),IF('PIM Ranges'!$AK30='PIM Ranges'!$AY$29,IF($AR32&lt;'PIM Ranges'!$AZ$29,"Q1",IF($AR32&lt;'PIM Ranges'!$BA$29,"Q2",IF($AR32&lt;'PIM Ranges'!$BB$29,"Q3",IF($AR32&lt;'PIM Ranges'!$BC$29,"Q4","Q5")))),IF('PIM Ranges'!$AK30='PIM Ranges'!$AY$30,IF($AR32&lt;'PIM Ranges'!$AZ$30,"Q1",IF($AR32&lt;'PIM Ranges'!$BA$30,"Q2",IF($AR32&lt;'PIM Ranges'!$BB$30,"Q3",IF($AR32&lt;'PIM Ranges'!$BC$30,"Q4","Q5")))),IF('PIM Ranges'!$AK30='PIM Ranges'!$AY$31,IF($AR32&lt;'PIM Ranges'!$AZ$31,"Q1",IF($AR32&lt;'PIM Ranges'!$BA$31,"Q2",IF($AR32&lt;'PIM Ranges'!$BB$31,"Q3",IF($AR32&lt;'PIM Ranges'!$BC$31,"Q4","Q5")))),IF('PIM Ranges'!$AK30='PIM Ranges'!$AY$32,IF($AR32&lt;'PIM Ranges'!$AZ$32,"Q1",IF($AR32&lt;'PIM Ranges'!$BA$32,"Q2",IF($AR32&lt;'PIM Ranges'!$BB$32,"Q3",IF($AR32&lt;'PIM Ranges'!$BC$32,"Q4","Q5"))))))))))))))))))))))))))</f>
        <v>Q1</v>
      </c>
      <c r="AW32" s="301">
        <f>VLOOKUP($AQ32&amp;$AV32,'IMargin Quartiles'!$A:$F,6,FALSE)</f>
        <v>0.17</v>
      </c>
      <c r="AX32" s="301"/>
      <c r="AY32" s="1708" t="str">
        <f>IF('PIM Ranges'!$AK30='PIM Ranges'!$AY$11,IF('PIM Ranges'!$AL30&lt;'PIM Ranges'!$AZ$11,"Q1",IF('PIM Ranges'!$AL30&lt;'PIM Ranges'!$BA$11,"Q2",IF('PIM Ranges'!$AL30&lt;'PIM Ranges'!$BB$11,"Q3",IF('PIM Ranges'!$AL30&lt;'PIM Ranges'!$BC$11,"Q4","Q5")))),IF('PIM Ranges'!$AK30='PIM Ranges'!$AY$12,IF('PIM Ranges'!$AL30&lt;'PIM Ranges'!$AZ$12,"Q1",IF('PIM Ranges'!$AL30&lt;'PIM Ranges'!$BA$12,"Q2",IF('PIM Ranges'!$AL30&lt;'PIM Ranges'!$BB$12,"Q3",IF('PIM Ranges'!$AL30&lt;'PIM Ranges'!$BC$12,"Q4","Q5")))),IF('PIM Ranges'!$AK30='PIM Ranges'!$AY$13,IF('PIM Ranges'!$AL30&lt;'PIM Ranges'!$AZ$13,"Q1",IF('PIM Ranges'!$AL30&lt;'PIM Ranges'!$BA$13,"Q2",IF('PIM Ranges'!$AL30&lt;'PIM Ranges'!$BB$13,"Q3",IF('PIM Ranges'!$AL30&lt;'PIM Ranges'!$BC$13,"Q4","Q5")))),IF('PIM Ranges'!$AK30='PIM Ranges'!$AY$14,IF('PIM Ranges'!$AL30&lt;'PIM Ranges'!$AZ$14,"Q1",IF('PIM Ranges'!$AL30&lt;'PIM Ranges'!$BA$14,"Q2",IF('PIM Ranges'!$AL30&lt;'PIM Ranges'!$BB$14,"Q3",IF('PIM Ranges'!$AL30&lt;'PIM Ranges'!$BC$14,"Q4","Q5")))),IF('PIM Ranges'!$AK30='PIM Ranges'!$AY$15,IF('PIM Ranges'!$AL30&lt;'PIM Ranges'!$AZ$15,"Q1",IF('PIM Ranges'!$AL30&lt;'PIM Ranges'!$BA$15,"Q2",IF('PIM Ranges'!$AL30&lt;'PIM Ranges'!$BB$15,"Q3",IF('PIM Ranges'!$AL30&lt;'PIM Ranges'!$BC$15,"Q4","Q5")))),IF('PIM Ranges'!$AK30='PIM Ranges'!$AY$16,IF('PIM Ranges'!$AL30&lt;'PIM Ranges'!$AZ$16,"Q1",IF('PIM Ranges'!$AL30&lt;'PIM Ranges'!$BA$16,"Q2",IF('PIM Ranges'!$AL30&lt;'PIM Ranges'!$BB$16,"Q3",IF('PIM Ranges'!$AL30&lt;'PIM Ranges'!$BC$16,"Q4","Q5")))),IF('PIM Ranges'!$AK30='PIM Ranges'!$AY$17,IF('PIM Ranges'!$AL30&lt;'PIM Ranges'!$AZ$17,"Q1",IF('PIM Ranges'!$AL30&lt;'PIM Ranges'!$BA$17,"Q2",IF('PIM Ranges'!$AL30&lt;'PIM Ranges'!$BB$17,"Q3",IF('PIM Ranges'!$AL30&lt;'PIM Ranges'!$BC$17,"Q4","Q5")))),IF('PIM Ranges'!$AK30='PIM Ranges'!$AY$18,IF('PIM Ranges'!$AL30&lt;'PIM Ranges'!$AZ$18,"Q1",IF('PIM Ranges'!$AL30&lt;'PIM Ranges'!$BA$18,"Q2",IF('PIM Ranges'!$AL30&lt;'PIM Ranges'!$BB$18,"Q3",IF('PIM Ranges'!$AL30&lt;'PIM Ranges'!$BC$18,"Q4","Q5")))),IF('PIM Ranges'!$AK30='PIM Ranges'!$AY$19,IF('PIM Ranges'!$AL30&lt;'PIM Ranges'!$AZ$19,"Q1",IF('PIM Ranges'!$AL30&lt;'PIM Ranges'!$BA$19,"Q2",IF('PIM Ranges'!$AL30&lt;'PIM Ranges'!$BB$19,"Q3",IF('PIM Ranges'!$AL30&lt;'PIM Ranges'!$BC$19,"Q4","Q5")))),IF('PIM Ranges'!$AK30='PIM Ranges'!$AY$20,IF('PIM Ranges'!$AL30&lt;'PIM Ranges'!$AZ$20,"Q1",IF('PIM Ranges'!$AL30&lt;'PIM Ranges'!$BA$20,"Q2",IF('PIM Ranges'!$AL30&lt;'PIM Ranges'!$BB$20,"Q3",IF('PIM Ranges'!$AL30&lt;'PIM Ranges'!$BC$20,"Q4","Q5")))),IF('PIM Ranges'!$AK30='PIM Ranges'!$AY$21,IF('PIM Ranges'!$AL30&lt;'PIM Ranges'!$AZ$21,"Q1",IF('PIM Ranges'!$AL30&lt;'PIM Ranges'!$BA$21,"Q2",IF('PIM Ranges'!$AL30&lt;'PIM Ranges'!$BB$21,"Q3",IF('PIM Ranges'!$AL30&lt;'PIM Ranges'!$BC$21,"Q4","Q5")))),IF('PIM Ranges'!$AK30='PIM Ranges'!$AY$22,IF('PIM Ranges'!$AL30&lt;'PIM Ranges'!$AZ$22,"Q1",IF('PIM Ranges'!$AL30&lt;'PIM Ranges'!$BA$22,"Q2",IF('PIM Ranges'!$AL30&lt;'PIM Ranges'!$BB$22,"Q3",IF('PIM Ranges'!$AL30&lt;'PIM Ranges'!$BC$22,"Q4","Q5")))),IF('PIM Ranges'!$AK30='PIM Ranges'!$AY$23,IF('PIM Ranges'!$AL30&lt;'PIM Ranges'!$AZ$23,"Q1",IF('PIM Ranges'!$AL30&lt;'PIM Ranges'!$BA$23,"Q2",IF('PIM Ranges'!$AL30&lt;'PIM Ranges'!$BB$23,"Q3",IF('PIM Ranges'!$AL30&lt;'PIM Ranges'!$BC$23,"Q4","Q5")))),IF('PIM Ranges'!$AK30='PIM Ranges'!$AY$24,IF('PIM Ranges'!$AL30&lt;'PIM Ranges'!$AZ$24,"Q1",IF('PIM Ranges'!$AL30&lt;'PIM Ranges'!$BA$24,"Q2",IF('PIM Ranges'!$AL30&lt;'PIM Ranges'!$BB$24,"Q3",IF('PIM Ranges'!$AL30&lt;'PIM Ranges'!$BC$24,"Q4","Q5")))),IF('PIM Ranges'!$AK30='PIM Ranges'!$AY$25,IF('PIM Ranges'!$AL30&lt;'PIM Ranges'!$AZ$25,"Q1",IF('PIM Ranges'!$AL30&lt;'PIM Ranges'!$BA$25,"Q2",IF('PIM Ranges'!$AL30&lt;'PIM Ranges'!$BB$25,"Q3",IF('PIM Ranges'!$AL30&lt;'PIM Ranges'!$BC$25,"Q4","Q5")))),IF('PIM Ranges'!$AK30='PIM Ranges'!$AY$26,IF('PIM Ranges'!$AL30&lt;'PIM Ranges'!$AZ$26,"Q1",IF('PIM Ranges'!$AL30&lt;'PIM Ranges'!$BA$26,"Q2",IF('PIM Ranges'!$AL30&lt;'PIM Ranges'!$BB$26,"Q3",IF('PIM Ranges'!$AL30&lt;'PIM Ranges'!$BC$26,"Q4","Q5")))),IF('PIM Ranges'!$AK30='PIM Ranges'!$AY$27,IF('PIM Ranges'!$AL30&lt;'PIM Ranges'!$AZ$27,"Q1",IF('PIM Ranges'!$AL30&lt;'PIM Ranges'!$BA$27,"Q2",IF('PIM Ranges'!$AL30&lt;'PIM Ranges'!$BB$27,"Q3",IF('PIM Ranges'!$AL30&lt;'PIM Ranges'!$BC$27,"Q4","Q5")))),IF('PIM Ranges'!$AK30='PIM Ranges'!$AY$28,IF('PIM Ranges'!$AL30&lt;'PIM Ranges'!$AZ$28,"Q1",IF('PIM Ranges'!$AL30&lt;'PIM Ranges'!$BA$28,"Q2",IF('PIM Ranges'!$AL30&lt;'PIM Ranges'!$BB$28,"Q3",IF('PIM Ranges'!$AL30&lt;'PIM Ranges'!$BC$28,"Q4","Q5")))),IF('PIM Ranges'!$AK30='PIM Ranges'!$AY$29,IF('PIM Ranges'!$AL30&lt;'PIM Ranges'!$AZ$29,"Q1",IF('PIM Ranges'!$AL30&lt;'PIM Ranges'!$BA$29,"Q2",IF('PIM Ranges'!$AL30&lt;'PIM Ranges'!$BB$29,"Q3",IF('PIM Ranges'!$AL30&lt;'PIM Ranges'!$BC$29,"Q4","Q5")))),IF('PIM Ranges'!$AK30='PIM Ranges'!$AY$30,IF('PIM Ranges'!$AL30&lt;'PIM Ranges'!$AZ$30,"Q1",IF('PIM Ranges'!$AL30&lt;'PIM Ranges'!$BA$30,"Q2",IF('PIM Ranges'!$AL30&lt;'PIM Ranges'!$BB$30,"Q3",IF('PIM Ranges'!$AL30&lt;'PIM Ranges'!$BC$30,"Q4","Q5")))),IF('PIM Ranges'!$AK30='PIM Ranges'!$AY$31,IF('PIM Ranges'!$AL30&lt;'PIM Ranges'!$AZ$31,"Q1",IF('PIM Ranges'!$AL30&lt;'PIM Ranges'!$BA$31,"Q2",IF('PIM Ranges'!$AL30&lt;'PIM Ranges'!$BB$31,"Q3",IF('PIM Ranges'!$AL30&lt;'PIM Ranges'!$BC$31,"Q4","Q5")))),IF('PIM Ranges'!$AK30='PIM Ranges'!$AY$32,IF('PIM Ranges'!$AL30&lt;'PIM Ranges'!$AZ$32,"Q1",IF('PIM Ranges'!$AL30&lt;'PIM Ranges'!$BA$32,"Q2",IF('PIM Ranges'!$AL30&lt;'PIM Ranges'!$BB$32,"Q3",IF('PIM Ranges'!$AL30&lt;'PIM Ranges'!$BC$32,"Q4","Q5"))))))))))))))))))))))))))</f>
        <v>Q1</v>
      </c>
      <c r="AZ32" s="301">
        <f t="shared" si="31"/>
        <v>0</v>
      </c>
      <c r="BA32" s="39">
        <f>'PIM Model'!C28</f>
        <v>0</v>
      </c>
      <c r="BB32" s="301"/>
      <c r="BC32" s="301"/>
      <c r="BD32" s="301" t="e">
        <f t="shared" si="72"/>
        <v>#DIV/0!</v>
      </c>
      <c r="BE32" s="301"/>
      <c r="BF32" s="301"/>
      <c r="BG32" s="105">
        <v>21</v>
      </c>
      <c r="BH32" s="18">
        <f t="array" ref="BH32">IF('Customer Inputs'!$W$6="End",0,IFERROR(IF($BU32="SEGMENT",INDEX('Margin Guidence Table'!$A$1:$AG$10000,MATCH(1,('Margin Guidence Table'!$A$1:$A$10000=$BS32)*('Margin Guidence Table'!$I$1:$I$10000&lt;=ROUND($BK$3,0))*('Margin Guidence Table'!$J$1:$J$10000&gt;=ROUND($BK$3,0)),0),MATCH("PCT_SALES",'Margin Guidence Table'!$A$1:$AG$1,0)),INDEX('Margin Guidence Table'!$A$1:$AG$10000,MATCH(1,('Margin Guidence Table'!$A$1:$A$10000=$BS32)*('Margin Guidence Table'!$I$1:$I$10000&lt;=ROUND($BK$3,0))*('Margin Guidence Table'!$J$1:$J$10000&gt;=ROUND($BK$3,0)),0),MATCH("DEFAULT_PCT_SALES",'Margin Guidence Table'!$A$1:$AG$1,0))),0))</f>
        <v>0</v>
      </c>
      <c r="BI32" s="297" t="e">
        <f t="shared" si="32"/>
        <v>#DIV/0!</v>
      </c>
      <c r="BJ32" s="99" t="s">
        <v>86</v>
      </c>
      <c r="BK32" s="91">
        <f>IF('Customer Inputs'!$W$6="End",0,IFERROR(IF(AND($BK$2&lt;&gt;"Enter Spend&gt;&gt;&gt;",$BL$2="EXISTING"),SUMIFS('Existing Customers'!$Q:$Q,'Existing Customers'!$A:$A,$BK$1,'Existing Customers'!$H:$H,$BJ32)*$BK$4,$BK$3*$BI32),0))</f>
        <v>0</v>
      </c>
      <c r="BL32" s="92">
        <f>IF('Customer Inputs'!$W$6="End",0,IFERROR(IF(AND($BK$2&lt;&gt;"Enter Spend&gt;&gt;&gt;",$BL$2="EXISTING"),SUMIFS('Existing Customers'!$N:$N,'Existing Customers'!$A:$A,$BK$1,'Existing Customers'!$H:$H,$BJ32)*$BK$4,$BK32/$BV32),0))</f>
        <v>0</v>
      </c>
      <c r="BM32" s="92">
        <f>IF('Customer Inputs'!$W$6="End",0,IFERROR(IF(AND($BK$2&lt;&gt;"Enter Spend&gt;&gt;&gt;",$BL$2="EXISTING"),SUMIFS('Existing Customers'!$O:$O,'Existing Customers'!$H:$H,$BJ32,'Existing Customers'!$A:$A,$BK$1)*$BK$4,$BL32*$BK$8),0))</f>
        <v>0</v>
      </c>
      <c r="BN32" s="92">
        <f>IF('Customer Inputs'!$W$6="End",0,IFERROR(IF(AND($BK$2&lt;&gt;"Enter Spend&gt;&gt;&gt;",$BL$2="EXISTING"),SUMIFS('Existing Customers'!$P:$P,'Existing Customers'!$A:$A,$BK$1,'Existing Customers'!$H:$H,$BJ32)*$BK$4,$BK32/$BW32),0))</f>
        <v>0</v>
      </c>
      <c r="BO32" s="303">
        <f>IF('Customer Inputs'!$W$6="End",0,IFERROR(IF(AND($BK$2&lt;&gt;"Enter Spend&gt;&gt;&gt;",$BL$2="EXISTING"),SUMIFS('Existing Customers'!$V:$V,'Existing Customers'!$H:$H,$BJ32,'Existing Customers'!$A:$A,$BK$1)*$BK$4,0),0))</f>
        <v>0</v>
      </c>
      <c r="BP32" s="93">
        <f>IF('Customer Inputs'!$W$6="End",0,IFERROR(IF(AND($BK$2&lt;&gt;"Enter Spend&gt;&gt;&gt;",$BL$2="EXISTING"),SUMIFS('Existing Customers'!$R:$R,'Existing Customers'!$H:$H,$BJ32,'Existing Customers'!$A:$A,$BK$1)*$BK$4,0),0))</f>
        <v>0</v>
      </c>
      <c r="BQ32" s="93">
        <f>IF('Customer Inputs'!$W$6="End",0,IFERROR(IF(AND($BK$2&lt;&gt;"Enter Spend&gt;&gt;&gt;",$BL$2="EXISTING"),SUMIFS('Existing Customers'!$S:$S,'Existing Customers'!$H:$H,$BJ32,'Existing Customers'!$A:$A,$BK$1)/SUMIFS('Existing Customers'!$Q:$Q,'Existing Customers'!$A:$A,$BK$1,'Existing Customers'!$H:$H,$BJ32),CA32),0))</f>
        <v>0</v>
      </c>
      <c r="BR32" s="93">
        <f>IF('Customer Inputs'!$W$6="End",0,IFERROR(IF(AND($BK$2&lt;&gt;"Enter Spend&gt;&gt;&gt;",$BL$2="EXISTING"),SUMIFS('Existing Customers'!$U:$U,'Existing Customers'!$H:$H,$BJ32,'Existing Customers'!$A:$A,$BK$1)/SUMIFS('Existing Customers'!$Q:$Q,'Existing Customers'!$A:$A,$BK$1,'Existing Customers'!$H:$H,$BJ32),CB32),0))</f>
        <v>0</v>
      </c>
      <c r="BS32" s="782" t="e">
        <f>_xlfn.CONCAT('Customer Inputs'!$AH$6,"_",BJ32)</f>
        <v>#N/A</v>
      </c>
      <c r="BT32" s="783">
        <f t="array" ref="BT32">IF('Customer Inputs'!$W$6="End",0,IFERROR(INDEX('Margin Guidence Table'!$A$1:$AG$10000,MATCH(1,('Margin Guidence Table'!$A$1:$A$10000=$BS32)*('Margin Guidence Table'!$I$1:$I$10000&lt;=ROUND($BK$3,0))*('Margin Guidence Table'!$J$1:$J$10000&gt;=ROUND($BK$3,0)),0),MATCH("DATA_POINTS",'Margin Guidence Table'!$A$1:$AG$1,0)),0))</f>
        <v>0</v>
      </c>
      <c r="BU32" s="780" t="str">
        <f t="shared" si="33"/>
        <v>DEFAULT</v>
      </c>
      <c r="BV32" s="780">
        <f t="array" ref="BV32">IF('Customer Inputs'!$W$6="End",0,IFERROR(IF($BU32="SEGMENT",INDEX('Margin Guidence Table'!$A$1:$AG$10000,MATCH(1,('Margin Guidence Table'!$A$1:$A$10000=$BS32)*('Margin Guidence Table'!$I$1:$I$10000&lt;=ROUND($BK$3,0))*('Margin Guidence Table'!$J$1:$J$10000&gt;=ROUND($BK$3,0)),0),MATCH("SALES_CASE",'Margin Guidence Table'!$A$1:$AG$1,0)),INDEX('Margin Guidence Table'!$A$1:$AG$10000,MATCH(1,('Margin Guidence Table'!$A$1:$A$10000=$BS32)*('Margin Guidence Table'!$I$1:$I$10000&lt;=ROUND($BK$3,0))*('Margin Guidence Table'!$J$1:$J$10000&gt;=ROUND($BK$3,0)),0),MATCH("DEFAULT_SALES_CASE",'Margin Guidence Table'!$A$1:$AG$1,0))),0))</f>
        <v>0</v>
      </c>
      <c r="BW32" s="780">
        <f t="array" ref="BW32">IF('Customer Inputs'!$W$6="End",0,IFERROR(IF($BU32="SEGMENT",INDEX('Margin Guidence Table'!$A$1:$AG$10000,MATCH(1,('Margin Guidence Table'!$A$1:$A$10000=$BS32)*('Margin Guidence Table'!$I$1:$I$10000&lt;=ROUND($BK$3,0))*('Margin Guidence Table'!$J$1:$J$10000&gt;=ROUND($BK$3,0)),0),MATCH("SALES_LBS",'Margin Guidence Table'!$A$1:$AG$1,0)),INDEX('Margin Guidence Table'!$A$1:$AG$10000,MATCH(1,('Margin Guidence Table'!$A$1:$A$10000=$BS32)*('Margin Guidence Table'!$I$1:$I$10000&lt;=ROUND($BK$3,0))*('Margin Guidence Table'!$J$1:$J$10000&gt;=ROUND($BK$3,0)),0),MATCH("DEFAULT_SALES_LBS",'Margin Guidence Table'!$A$1:$AG$1,0))),0))</f>
        <v>0</v>
      </c>
      <c r="BX32" s="784">
        <f t="array" ref="BX32">IF('Customer Inputs'!$W$6="End",0,IFERROR(IF($BU32="SEGMENT",INDEX('Margin Guidence Table'!$A$1:$AG$10000,MATCH(1,('Margin Guidence Table'!$A$1:$A$10000=$BS32)*('Margin Guidence Table'!$I$1:$I$10000&lt;=ROUND($BK$3,0))*('Margin Guidence Table'!$J$1:$J$10000&gt;=ROUND($BK$3,0)),0),MATCH("MDA_MIN_MARGIN_GUIDENCE",'Margin Guidence Table'!$A$1:$AG$1,0)),INDEX('Margin Guidence Table'!$A$1:$AG$10000,MATCH(1,('Margin Guidence Table'!$A$1:$A$10000=$BS32)*('Margin Guidence Table'!$I$1:$I$10000&lt;=ROUND($BK$3,0))*('Margin Guidence Table'!$J$1:$J$10000&gt;=ROUND($BK$3,0)),0),MATCH("DEFAULT_MDA_MIN_MARGIN_GUIDENCE",'Margin Guidence Table'!$A$1:$AG$1,0))),0))</f>
        <v>0</v>
      </c>
      <c r="BY32" s="784">
        <f t="array" ref="BY32">IF('Customer Inputs'!$W$6="End",0,IFERROR(IF($BU32="SEGMENT",INDEX('Margin Guidence Table'!$A$1:$AG$10000,MATCH(1,('Margin Guidence Table'!$A$1:$A$10000=$BS32)*('Margin Guidence Table'!$I$1:$I$10000&lt;=ROUND($BK$3,0))*('Margin Guidence Table'!$J$1:$J$10000&gt;=ROUND($BK$3,0)),0),MATCH("MDA_MEDIAN_MARGIN_GUIDENCE",'Margin Guidence Table'!$A$1:$AG$1,0)),INDEX('Margin Guidence Table'!$A$1:$AG$10000,MATCH(1,('Margin Guidence Table'!$A$1:$A$10000=$BS32)*('Margin Guidence Table'!$I$1:$I$10000&lt;=ROUND($BK$3,0))*('Margin Guidence Table'!$J$1:$J$10000&gt;=ROUND($BK$3,0)),0),MATCH("DEFAULT_MDA_MEDIAN_MARGIN_GUIDENCE",'Margin Guidence Table'!$A$1:$AG$1,0))),0))</f>
        <v>0</v>
      </c>
      <c r="BZ32" s="784">
        <f t="array" ref="BZ32">IF('Customer Inputs'!$W$6="End",0,IFERROR(IF($BU32="SEGMENT",INDEX('Margin Guidence Table'!$A$1:$AG$10000,MATCH(1,('Margin Guidence Table'!$A$1:$A$10000=$BS32)*('Margin Guidence Table'!$I$1:$I$10000&lt;=ROUND($BK$3,0))*('Margin Guidence Table'!$J$1:$J$10000&gt;=ROUND($BK$3,0)),0),MATCH("MDA_MAX_MARGIN_GUIDENCE",'Margin Guidence Table'!$A$1:$AG$1,0)),INDEX('Margin Guidence Table'!$A$1:$AG$10000,MATCH(1,('Margin Guidence Table'!$A$1:$A$10000=$BS32)*('Margin Guidence Table'!$I$1:$I$10000&lt;=ROUND($BK$3,0))*('Margin Guidence Table'!$J$1:$J$10000&gt;=ROUND($BK$3,0)),0),MATCH("DEFAULT_MDA_MAX_MARGIN_GUIDENCE",'Margin Guidence Table'!$A$1:$AG$1,0))),0))</f>
        <v>0</v>
      </c>
      <c r="CA32" s="784">
        <f t="array" ref="CA32">IF('Customer Inputs'!$W$6="End",0,IFERROR(IF($BU32="SEGMENT",INDEX('Margin Guidence Table'!$A$1:$AG$10000,MATCH(1,('Margin Guidence Table'!$A$1:$A$10000=$BS32)*('Margin Guidence Table'!$I$1:$I$10000&lt;=ROUND($BK$3,0))*('Margin Guidence Table'!$J$1:$J$10000&gt;=ROUND($BK$3,0)),0),MATCH("PA_PCT_SALES",'Margin Guidence Table'!$A$1:$AG$1,0)),INDEX('Margin Guidence Table'!$A$1:$AG$10000,MATCH(1,('Margin Guidence Table'!$A$1:$A$10000=$BS32)*('Margin Guidence Table'!$I$1:$I$10000&lt;=ROUND($BK$3,0))*('Margin Guidence Table'!$J$1:$J$10000&gt;=ROUND($BK$3,0)),0),MATCH("DEFAULT_PA_PCT_SALES",'Margin Guidence Table'!$A$1:$AG$1,0))),0))</f>
        <v>0</v>
      </c>
      <c r="CB32" s="784">
        <f t="array" ref="CB32">IF('Customer Inputs'!$W$6="End",0,IFERROR(IF($BU32="SEGMENT",INDEX('Margin Guidence Table'!$A$1:$AG$10000,MATCH(1,('Margin Guidence Table'!$A$1:$A$10000=$BS32)*('Margin Guidence Table'!$I$1:$I$10000&lt;=ROUND($BK$3,0))*('Margin Guidence Table'!$J$1:$J$10000&gt;=ROUND($BK$3,0)),0),MATCH("SELF_FUND_PCT_SALES",'Margin Guidence Table'!$A$1:$AG$1,0)),INDEX('Margin Guidence Table'!$A$1:$AG$10000,MATCH(1,('Margin Guidence Table'!$A$1:$A$10000=$BS32)*('Margin Guidence Table'!$I$1:$I$10000&lt;=ROUND($BK$3,0))*('Margin Guidence Table'!$J$1:$J$10000&gt;=ROUND($BK$3,0)),0),MATCH("DEFAULT_SELF_FUND_PCT_SALES",'Margin Guidence Table'!$A$1:$AG$1,0))),0))</f>
        <v>0</v>
      </c>
      <c r="CC32" s="784">
        <f t="array" ref="CC32">IF('Customer Inputs'!$W$6="End",0,IF($BL$2="Existing",IFERROR(SUMIFS('Existing Customers'!$V:$V,'Existing Customers'!$H:$H,$BJ32,'Existing Customers'!$A:$A,$BK$1)/SUMIFS('Existing Customers'!$Q:$Q,'Existing Customers'!$H:$H,$BJ32,'Existing Customers'!$A:$A,$BK$1),0),IFERROR(IF($BU32="SEGMENT",INDEX('Margin Guidence Table'!$A$1:$AG$10000,MATCH(1,('Margin Guidence Table'!$A$1:$A$10000=$BS32)*('Margin Guidence Table'!$I$1:$I$10000&lt;=ROUND($BK$3,0))*('Margin Guidence Table'!$J$1:$J$10000&gt;=ROUND($BK$3,0)),0),MATCH("CIA_MEDIAN_MARGIN_GUIDENCE",'Margin Guidence Table'!$A$1:$AG$1,0)),INDEX('Margin Guidence Table'!$A$1:$AG$10000,MATCH(1,('Margin Guidence Table'!$A$1:$A$10000=$BS32)*('Margin Guidence Table'!$I$1:$I$10000&lt;=ROUND($BK$3,0))*('Margin Guidence Table'!$J$1:$J$10000&gt;=ROUND($BK$3,0)),0),MATCH("DEFAULT_CIA_MEDIAN_MARGIN_GUIDENCE",'Margin Guidence Table'!$A$1:$AG$1,0))),0)))</f>
        <v>0</v>
      </c>
      <c r="CD32" s="126"/>
      <c r="CE32" s="18">
        <f t="array" ref="CE32">IF('Customer Inputs'!$W$7="End",0,IFERROR(IF($CR32="SEGMENT",INDEX('Margin Guidence Table'!$A$1:$AG$10000,MATCH(1,('Margin Guidence Table'!$A$1:$A$10000=$CP32)*('Margin Guidence Table'!$I$1:$I$10000&lt;=ROUND($CH$3,0))*('Margin Guidence Table'!$J$1:$J$10000&gt;=ROUND($CH$3,0)),0),MATCH("PCT_SALES",'Margin Guidence Table'!$A$1:$AG$1,0)),INDEX('Margin Guidence Table'!$A$1:$AG$10000,MATCH(1,('Margin Guidence Table'!$A$1:$A$10000=$CP32)*('Margin Guidence Table'!$I$1:$I$10000&lt;=ROUND($CH$3,0))*('Margin Guidence Table'!$J$1:$J$10000&gt;=ROUND($CH$3,0)),0),MATCH("DEFAULT_PCT_SALES",'Margin Guidence Table'!$A$1:$AG$1,0))),0))</f>
        <v>0</v>
      </c>
      <c r="CF32" s="297" t="e">
        <f t="shared" si="34"/>
        <v>#DIV/0!</v>
      </c>
      <c r="CG32" s="99" t="s">
        <v>86</v>
      </c>
      <c r="CH32" s="91">
        <f>IF('Customer Inputs'!$W$7="End",0,IFERROR(IF(AND($CH$2&lt;&gt;"Enter Spend&gt;&gt;&gt;",$CI$2="EXISTING"),SUMIFS('Existing Customers'!$Q:$Q,'Existing Customers'!$A:$A,$CH$1,'Existing Customers'!$H:$H,$CG32)*$CH$4,$CH$3*$CF32),0))</f>
        <v>0</v>
      </c>
      <c r="CI32" s="86">
        <f>IF('Customer Inputs'!$W$7="End",0,IFERROR(IF(AND($CH$2&lt;&gt;"Enter Spend&gt;&gt;&gt;",$CI$2="EXISTING"),SUMIFS('Existing Customers'!$N:$N,'Existing Customers'!$A:$A,$CH$1,'Existing Customers'!$H:$H,$CG32)*$CH$4,$CH32/$CS32),0))</f>
        <v>0</v>
      </c>
      <c r="CJ32" s="92">
        <f>IF('Customer Inputs'!$W$7="End",0,IFERROR(IF(AND($CH$2&lt;&gt;"Enter Spend&gt;&gt;&gt;",$CI$2="EXISTING"),SUMIFS('Existing Customers'!$O:$O,'Existing Customers'!$H:$H,$CG32,'Existing Customers'!$A:$A,$CH$1)*$CH$4,$CI32*$CH$8),0))</f>
        <v>0</v>
      </c>
      <c r="CK32" s="92">
        <f>IF('Customer Inputs'!$W$7="End",0,IFERROR(IF(AND($CH$2&lt;&gt;"Enter Spend&gt;&gt;&gt;",$CI$2="EXISTING"),SUMIFS('Existing Customers'!$P:$P,'Existing Customers'!$A:$A,$CH$1,'Existing Customers'!$H:$H,$CG32)*$CH$4,$CH32/$CT32),0))</f>
        <v>0</v>
      </c>
      <c r="CL32" s="93">
        <f>IF('Customer Inputs'!$W$7="End",0,IFERROR(IF(AND($CH$2&lt;&gt;"Enter Spend&gt;&gt;&gt;",$CI$2="EXISTING"),SUMIFS('Existing Customers'!$V:$V,'Existing Customers'!$H:$H,$CG32,'Existing Customers'!$A:$A,$CH$1)*$CH$4,0),0))</f>
        <v>0</v>
      </c>
      <c r="CM32" s="93">
        <f>IF('Customer Inputs'!$W$7="End",0,IFERROR(IF(AND($CH$2&lt;&gt;"Enter Spend&gt;&gt;&gt;",$CI$2="EXISTING"),SUMIFS('Existing Customers'!$R:$R,'Existing Customers'!$H:$H,$CG32,'Existing Customers'!$A:$A,$CH$1)*$CH$4,0),0))</f>
        <v>0</v>
      </c>
      <c r="CN32" s="780">
        <f>IF('Customer Inputs'!$W$7="End",0,IFERROR(IF(AND($CH$2&lt;&gt;"Enter Spend&gt;&gt;&gt;",$CI$2="EXISTING"),SUMIFS('Existing Customers'!$S:$S,'Existing Customers'!$H:$H,$CG32,'Existing Customers'!$A:$A,$CH$1)/SUMIFS('Existing Customers'!$Q:$Q,'Existing Customers'!$A:$A,$CH$1,'Existing Customers'!$H:$H,$CG32),CX32),0))</f>
        <v>0</v>
      </c>
      <c r="CO32" s="780">
        <f>IF('Customer Inputs'!$W$7="End",0,IFERROR(IF(AND($CH$2&lt;&gt;"Enter Spend&gt;&gt;&gt;",$CI$2="EXISTING"),SUMIFS('Existing Customers'!$U:$U,'Existing Customers'!$H:$H,$CG32,'Existing Customers'!$A:$A,$CH$1)/SUMIFS('Existing Customers'!$Q:$Q,'Existing Customers'!$A:$A,$CH$1,'Existing Customers'!$H:$H,$CG32),CY32),0))</f>
        <v>0</v>
      </c>
      <c r="CP32" s="783" t="e">
        <f>_xlfn.CONCAT('Customer Inputs'!$AH$7,"_",CG32)</f>
        <v>#N/A</v>
      </c>
      <c r="CQ32" s="783">
        <f t="array" ref="CQ32">IFERROR(INDEX('Margin Guidence Table'!$A$1:$AG$10000,MATCH(1,('Margin Guidence Table'!$A$1:$A$10000=$CP32)*('Margin Guidence Table'!$I$1:$I$10000&lt;=ROUND($CH$3,0))*('Margin Guidence Table'!$J$1:$J$10000&gt;=ROUND($CH$3,0)),0),MATCH("DATA_POINTS",'Margin Guidence Table'!$A$1:$AG$1,0)),0)</f>
        <v>0</v>
      </c>
      <c r="CR32" s="780" t="str">
        <f t="shared" si="35"/>
        <v>DEFAULT</v>
      </c>
      <c r="CS32" s="780">
        <f t="array" ref="CS32">IF('Customer Inputs'!$W$7="End",0,IFERROR(IF($CR32="SEGMENT",INDEX('Margin Guidence Table'!$A$1:$AG$10000,MATCH(1,('Margin Guidence Table'!$A$1:$A$10000=$CP32)*('Margin Guidence Table'!$I$1:$I$10000&lt;=ROUND($CH$3,0))*('Margin Guidence Table'!$J$1:$J$10000&gt;=ROUND($CH$3,0)),0),MATCH("SALES_CASE",'Margin Guidence Table'!$A$1:$AG$1,0)),INDEX('Margin Guidence Table'!$A$1:$AG$10000,MATCH(1,('Margin Guidence Table'!$A$1:$A$10000=$CP32)*('Margin Guidence Table'!$I$1:$I$10000&lt;=ROUND($CH$3,0))*('Margin Guidence Table'!$J$1:$J$10000&gt;=ROUND($CH$3,0)),0),MATCH("DEFAULT_SALES_CASE",'Margin Guidence Table'!$A$1:$AG$1,0))),0))</f>
        <v>0</v>
      </c>
      <c r="CT32" s="780">
        <f t="array" ref="CT32">IF('Customer Inputs'!$W$7="End",0,IFERROR(IF($CR32="SEGMENT",INDEX('Margin Guidence Table'!$A$1:$AG$10000,MATCH(1,('Margin Guidence Table'!$A$1:$A$10000=$CP32)*('Margin Guidence Table'!$I$1:$I$10000&lt;=ROUND($CH$3,0))*('Margin Guidence Table'!$J$1:$J$10000&gt;=ROUND($CH$3,0)),0),MATCH("SALES_LBS",'Margin Guidence Table'!$A$1:$AG$1,0)),INDEX('Margin Guidence Table'!$A$1:$AG$10000,MATCH(1,('Margin Guidence Table'!$A$1:$A$10000=$CP32)*('Margin Guidence Table'!$I$1:$I$10000&lt;=ROUND($CH$3,0))*('Margin Guidence Table'!$J$1:$J$10000&gt;=ROUND($CH$3,0)),0),MATCH("DEFAULT_SALES_LBS",'Margin Guidence Table'!$A$1:$AG$1,0))),0))</f>
        <v>0</v>
      </c>
      <c r="CU32" s="784">
        <f t="array" ref="CU32">IF('Customer Inputs'!$W$7="End",0,IFERROR(IF($CR32="SEGMENT",INDEX('Margin Guidence Table'!$A$1:$AG$10000,MATCH(1,('Margin Guidence Table'!$A$1:$A$10000=$CP32)*('Margin Guidence Table'!$I$1:$I$10000&lt;=ROUND($CH$3,0))*('Margin Guidence Table'!$J$1:$J$10000&gt;=ROUND($CH$3,0)),0),MATCH("MDA_MIN_MARGIN_GUIDENCE",'Margin Guidence Table'!$A$1:$AG$1,0)),INDEX('Margin Guidence Table'!$A$1:$AG$10000,MATCH(1,('Margin Guidence Table'!$A$1:$A$10000=$CP32)*('Margin Guidence Table'!$I$1:$I$10000&lt;=ROUND($CH$3,0))*('Margin Guidence Table'!$J$1:$J$10000&gt;=ROUND($CH$3,0)),0),MATCH("DEFAULT_MDA_MIN_MARGIN_GUIDENCE",'Margin Guidence Table'!$A$1:$AG$1,0))),0))</f>
        <v>0</v>
      </c>
      <c r="CV32" s="784">
        <f t="array" ref="CV32">IF('Customer Inputs'!$W$7="End",0,IFERROR(IF($CR32="SEGMENT",INDEX('Margin Guidence Table'!$A$1:$AG$10000,MATCH(1,('Margin Guidence Table'!$A$1:$A$10000=$CP32)*('Margin Guidence Table'!$I$1:$I$10000&lt;=ROUND($CH$3,0))*('Margin Guidence Table'!$J$1:$J$10000&gt;=ROUND($CH$3,0)),0),MATCH("MDA_MEDIAN_MARGIN_GUIDENCE",'Margin Guidence Table'!$A$1:$AG$1,0)),INDEX('Margin Guidence Table'!$A$1:$AG$10000,MATCH(1,('Margin Guidence Table'!$A$1:$A$10000=$CP32)*('Margin Guidence Table'!$I$1:$I$10000&lt;=ROUND($CH$3,0))*('Margin Guidence Table'!$J$1:$J$10000&gt;=ROUND($CH$3,0)),0),MATCH("DEFAULT_MDA_MEDIAN_MARGIN_GUIDENCE",'Margin Guidence Table'!$A$1:$AG$1,0))),0))</f>
        <v>0</v>
      </c>
      <c r="CW32" s="784">
        <f t="array" ref="CW32">IF('Customer Inputs'!$W$7="End",0,IFERROR(IF($CR32="SEGMENT",INDEX('Margin Guidence Table'!$A$1:$AG$10000,MATCH(1,('Margin Guidence Table'!$A$1:$A$10000=$CP32)*('Margin Guidence Table'!$I$1:$I$10000&lt;=ROUND($CH$3,0))*('Margin Guidence Table'!$J$1:$J$10000&gt;=ROUND($CH$3,0)),0),MATCH("MDA_MAX_MARGIN_GUIDENCE",'Margin Guidence Table'!$A$1:$AG$1,0)),INDEX('Margin Guidence Table'!$A$1:$AG$10000,MATCH(1,('Margin Guidence Table'!$A$1:$A$10000=$CP32)*('Margin Guidence Table'!$I$1:$I$10000&lt;=ROUND($CH$3,0))*('Margin Guidence Table'!$J$1:$J$10000&gt;=ROUND($CH$3,0)),0),MATCH("DEFAULT_MDA_MAX_MARGIN_GUIDENCE",'Margin Guidence Table'!$A$1:$AG$1,0))),0))</f>
        <v>0</v>
      </c>
      <c r="CX32" s="784">
        <f t="array" ref="CX32">IF('Customer Inputs'!$W$7="End",0,IFERROR(IF($CR32="SEGMENT",INDEX('Margin Guidence Table'!$A$1:$AG$10000,MATCH(1,('Margin Guidence Table'!$A$1:$A$10000=$CP32)*('Margin Guidence Table'!$I$1:$I$10000&lt;=ROUND($CH$3,0))*('Margin Guidence Table'!$J$1:$J$10000&gt;=ROUND($CH$3,0)),0),MATCH("PA_PCT_SALES",'Margin Guidence Table'!$A$1:$AG$1,0)),INDEX('Margin Guidence Table'!$A$1:$AG$10000,MATCH(1,('Margin Guidence Table'!$A$1:$A$10000=$CP32)*('Margin Guidence Table'!$I$1:$I$10000&lt;=ROUND($CH$3,0))*('Margin Guidence Table'!$J$1:$J$10000&gt;=ROUND($CH$3,0)),0),MATCH("DEFAULT_PA_PCT_SALES",'Margin Guidence Table'!$A$1:$AG$1,0))),0))</f>
        <v>0</v>
      </c>
      <c r="CY32" s="784">
        <f t="array" ref="CY32">IF('Customer Inputs'!$W$7="End",0,IFERROR(IF($CR32="SEGMENT",INDEX('Margin Guidence Table'!$A$1:$AG$10000,MATCH(1,('Margin Guidence Table'!$A$1:$A$10000=$CP32)*('Margin Guidence Table'!$I$1:$I$10000&lt;=ROUND($CH$3,0))*('Margin Guidence Table'!$J$1:$J$10000&gt;=ROUND($CH$3,0)),0),MATCH("SELF_FUND_PCT_SALES",'Margin Guidence Table'!$A$1:$AG$1,0)),INDEX('Margin Guidence Table'!$A$1:$AG$10000,MATCH(1,('Margin Guidence Table'!$A$1:$A$10000=$CP32)*('Margin Guidence Table'!$I$1:$I$10000&lt;=ROUND($CH$3,0))*('Margin Guidence Table'!$J$1:$J$10000&gt;=ROUND($CH$3,0)),0),MATCH("DEFAULT_SELF_FUND_PCT_SALES",'Margin Guidence Table'!$A$1:$AG$1,0))),0))</f>
        <v>0</v>
      </c>
      <c r="CZ32" s="784">
        <f t="array" ref="CZ32">IF('Customer Inputs'!$W$7="End",0,IF($CI$2="Existing",IFERROR(SUMIFS('Existing Customers'!$V:$V,'Existing Customers'!$H:$H,$CG32,'Existing Customers'!$A:$A,$CH$1)/SUMIFS('Existing Customers'!$Q:$Q,'Existing Customers'!$H:$H,$CG32,'Existing Customers'!$A:$A,$CH$1),0),IFERROR(IF($CR32="SEGMENT",INDEX('Margin Guidence Table'!$A$1:$AG$10000,MATCH(1,('Margin Guidence Table'!$A$1:$A$10000=$CP32)*('Margin Guidence Table'!$I$1:$I$10000&lt;=ROUND($CH$3,0))*('Margin Guidence Table'!$J$1:$J$10000&gt;=ROUND($CH$3,0)),0),MATCH("CIA_MEDIAN_MARGIN_GUIDENCE",'Margin Guidence Table'!$A$1:$AG$1,0)),INDEX('Margin Guidence Table'!$A$1:$AG$10000,MATCH(1,('Margin Guidence Table'!$A$1:$A$10000=$CP32)*('Margin Guidence Table'!$I$1:$I$10000&lt;=ROUND($CH$3,0))*('Margin Guidence Table'!$J$1:$J$10000&gt;=ROUND($CH$3,0)),0),MATCH("DEFAULT_CIA_MEDIAN_MARGIN_GUIDENCE",'Margin Guidence Table'!$A$1:$AG$1,0))),0)))</f>
        <v>0</v>
      </c>
      <c r="DA32" s="126"/>
      <c r="DB32" s="18">
        <f t="array" ref="DB32">IF('Customer Inputs'!$W$8="End",0,IFERROR(IF($DO32="SEGMENT",INDEX('Margin Guidence Table'!$A$1:$AG$10000,MATCH(1,('Margin Guidence Table'!$A$1:$A$10000=$DM32)*('Margin Guidence Table'!$I$1:$I$10000&lt;=ROUND($DE$3,0))*('Margin Guidence Table'!$J$1:$J$10000&gt;=ROUND($DE$3,0)),0),MATCH("PCT_SALES",'Margin Guidence Table'!$A$1:$AG$1,0)),INDEX('Margin Guidence Table'!$A$1:$AG$10000,MATCH(1,('Margin Guidence Table'!$A$1:$A$10000=$DM32)*('Margin Guidence Table'!$I$1:$I$10000&lt;=ROUND($DE$3,0))*('Margin Guidence Table'!$J$1:$J$10000&gt;=ROUND($DE$3,0)),0),MATCH("DEFAULT_PCT_SALES",'Margin Guidence Table'!$A$1:$AG$1,0))),0))</f>
        <v>0</v>
      </c>
      <c r="DC32" s="297" t="e">
        <f t="shared" si="36"/>
        <v>#DIV/0!</v>
      </c>
      <c r="DD32" s="99" t="s">
        <v>86</v>
      </c>
      <c r="DE32" s="91">
        <f>IF('Customer Inputs'!$W$8="End",0,IFERROR(IF(AND($DE$2&lt;&gt;"Enter Spend&gt;&gt;&gt;",$DF$2="EXISTING"),SUMIFS('Existing Customers'!$Q:$Q,'Existing Customers'!$A:$A,$DE$1,'Existing Customers'!$H:$H,$DD32)*$DE$4,$DE$3*$DC32),0))</f>
        <v>0</v>
      </c>
      <c r="DF32" s="86">
        <f>IF('Customer Inputs'!$W$8="End",0,IFERROR(IF(AND($DE$2&lt;&gt;"Enter Spend&gt;&gt;&gt;",$DF$2="EXISTING"),SUMIFS('Existing Customers'!$N:$N,'Existing Customers'!$A:$A,$DE$1,'Existing Customers'!$H:$H,$DD32)*$DE$4,$DE32/$DP32),0))</f>
        <v>0</v>
      </c>
      <c r="DG32" s="92">
        <f>IF('Customer Inputs'!$W$8="End",0,IFERROR(IF(AND($DE$2&lt;&gt;"Enter Spend&gt;&gt;&gt;",$DF$2="EXISTING"),SUMIFS('Existing Customers'!$O:$O,'Existing Customers'!$H:$H,$DD32,'Existing Customers'!$A:$A,$DE$1)*$DE$4,$DF32*$DE$8),0))</f>
        <v>0</v>
      </c>
      <c r="DH32" s="92">
        <f>IF('Customer Inputs'!$W$8="End",0,IFERROR(IF(AND($DE$2&lt;&gt;"Enter Spend&gt;&gt;&gt;",$DF$2="EXISTING"),SUMIFS('Existing Customers'!$P:$P,'Existing Customers'!$A:$A,$DE$1,'Existing Customers'!$H:$H,$DD32)*$DE$4,$DE32/$DQ32),0))</f>
        <v>0</v>
      </c>
      <c r="DI32" s="93">
        <f>IF('Customer Inputs'!$W$8="End",0,IFERROR(IF(AND($DE$2&lt;&gt;"Enter Spend&gt;&gt;&gt;",$DF$2="EXISTING"),SUMIFS('Existing Customers'!$V:$V,'Existing Customers'!$H:$H,$DD32,'Existing Customers'!$A:$A,$DE$1)*$DE$4,0),0))</f>
        <v>0</v>
      </c>
      <c r="DJ32" s="93">
        <f>IF('Customer Inputs'!$W$8="End",0,IFERROR(IF(AND($DE$2&lt;&gt;"Enter Spend&gt;&gt;&gt;",$DF$2="EXISTING"),SUMIFS('Existing Customers'!$R:$R,'Existing Customers'!$H:$H,$DD32,'Existing Customers'!$A:$A,$DE$1)*$DE$4,0),0))</f>
        <v>0</v>
      </c>
      <c r="DK32" s="780">
        <f>IF('Customer Inputs'!$W$8="End",0,IFERROR(IF(AND($DE$2&lt;&gt;"Enter Spend&gt;&gt;&gt;",$DF$2="EXISTING"),SUMIFS('Existing Customers'!$S:$S,'Existing Customers'!$H:$H,$DD32,'Existing Customers'!$A:$A,$DE$1)/SUMIFS('Existing Customers'!$Q:$Q,'Existing Customers'!$A:$A,$DE$1,'Existing Customers'!$H:$H,$DD32),DU32),0))</f>
        <v>0</v>
      </c>
      <c r="DL32" s="780">
        <f>IF('Customer Inputs'!$W$8="End",0,IFERROR(IF(AND($DE$2&lt;&gt;"Enter Spend&gt;&gt;&gt;",$DF$2="EXISTING"),SUMIFS('Existing Customers'!$U:$U,'Existing Customers'!$H:$H,$DD32,'Existing Customers'!$A:$A,$DE$1)/SUMIFS('Existing Customers'!$Q:$Q,'Existing Customers'!$A:$A,$DE$1,'Existing Customers'!$H:$H,$DD32),DV32),0))</f>
        <v>0</v>
      </c>
      <c r="DM32" s="783" t="e">
        <f>_xlfn.CONCAT('Customer Inputs'!$AH$8,"_",DD32)</f>
        <v>#N/A</v>
      </c>
      <c r="DN32" s="783">
        <f t="array" ref="DN32">IF('Customer Inputs'!$W$8="End",0,IFERROR(INDEX('Margin Guidence Table'!$A$1:$AG$10000,MATCH(1,('Margin Guidence Table'!$A$1:$A$10000=DM32)*('Margin Guidence Table'!$I$1:$I$10000&lt;=ROUND($DE$3,0))*('Margin Guidence Table'!$J$1:$J$10000&gt;=ROUND($DE$3,0)),0),MATCH("DATA_POINTS",'Margin Guidence Table'!$A$1:$AG$1,0)),0))</f>
        <v>0</v>
      </c>
      <c r="DO32" s="780" t="str">
        <f t="shared" si="37"/>
        <v>DEFAULT</v>
      </c>
      <c r="DP32" s="780">
        <f t="array" ref="DP32">IF('Customer Inputs'!$W$8="End",0,IFERROR(IF($DO32="SEGMENT",INDEX('Margin Guidence Table'!$A$1:$AG$10000,MATCH(1,('Margin Guidence Table'!$A$1:$A$10000=DM32)*('Margin Guidence Table'!$I$1:$I$10000&lt;=ROUND($DE$3,0))*('Margin Guidence Table'!$J$1:$J$10000&gt;=ROUND($DE$3,0)),0),MATCH("SALES_CASE",'Margin Guidence Table'!$A$1:$AG$1,0)),INDEX('Margin Guidence Table'!$A$1:$AG$10000,MATCH(1,('Margin Guidence Table'!$A$1:$A$10000=DM32)*('Margin Guidence Table'!$I$1:$I$10000&lt;=ROUND($DE$3,0))*('Margin Guidence Table'!$J$1:$J$10000&gt;=ROUND($DE$3,0)),0),MATCH("DEFAULT_SALES_CASE",'Margin Guidence Table'!$A$1:$AG$1,0))),0))</f>
        <v>0</v>
      </c>
      <c r="DQ32" s="780">
        <f t="array" ref="DQ32">IF('Customer Inputs'!$W$8="End",0,IFERROR(IF($DO32="SEGMENT",INDEX('Margin Guidence Table'!$A$1:$AG$10000,MATCH(1,('Margin Guidence Table'!$A$1:$A$10000=DM32)*('Margin Guidence Table'!$I$1:$I$10000&lt;=ROUND($DE$3,0))*('Margin Guidence Table'!$J$1:$J$10000&gt;=ROUND($DE$3,0)),0),MATCH("SALES_LBS",'Margin Guidence Table'!$A$1:$AG$1,0)),INDEX('Margin Guidence Table'!$A$1:$AG$10000,MATCH(1,('Margin Guidence Table'!$A$1:$A$10000=DM32)*('Margin Guidence Table'!$I$1:$I$10000&lt;=ROUND($DE$3,0))*('Margin Guidence Table'!$J$1:$J$10000&gt;=ROUND($DE$3,0)),0),MATCH("DEFAULT_SALES_LBS",'Margin Guidence Table'!$A$1:$AG$1,0))),0))</f>
        <v>0</v>
      </c>
      <c r="DR32" s="784">
        <f t="array" ref="DR32">IF('Customer Inputs'!$W$8="End",0,IFERROR(IF($DO32="SEGMENT",INDEX('Margin Guidence Table'!$A$1:$AG$10000,MATCH(1,('Margin Guidence Table'!$A$1:$A$10000=DM32)*('Margin Guidence Table'!$I$1:$I$10000&lt;=ROUND($DE$3,0))*('Margin Guidence Table'!$J$1:$J$10000&gt;=ROUND($DE$3,0)),0),MATCH("MDA_MIN_MARGIN_GUIDENCE",'Margin Guidence Table'!$A$1:$AG$1,0)),INDEX('Margin Guidence Table'!$A$1:$AG$10000,MATCH(1,('Margin Guidence Table'!$A$1:$A$10000=DM32)*('Margin Guidence Table'!$I$1:$I$10000&lt;=ROUND($DE$3,0))*('Margin Guidence Table'!$J$1:$J$10000&gt;=ROUND($DE$3,0)),0),MATCH("DEFAULT_MDA_MIN_MARGIN_GUIDENCE",'Margin Guidence Table'!$A$1:$AG$1,0))),0))</f>
        <v>0</v>
      </c>
      <c r="DS32" s="784">
        <f t="array" ref="DS32">IF('Customer Inputs'!$W$8="End",0,IFERROR(IF($DO32="SEGMENT",INDEX('Margin Guidence Table'!$A$1:$AG$10000,MATCH(1,('Margin Guidence Table'!$A$1:$A$10000=DM32)*('Margin Guidence Table'!$I$1:$I$10000&lt;=ROUND($DE$3,0))*('Margin Guidence Table'!$J$1:$J$10000&gt;=ROUND($DE$3,0)),0),MATCH("MDA_MEDIAN_MARGIN_GUIDENCE",'Margin Guidence Table'!$A$1:$AG$1,0)),INDEX('Margin Guidence Table'!$A$1:$AG$10000,MATCH(1,('Margin Guidence Table'!$A$1:$A$10000=DM32)*('Margin Guidence Table'!$I$1:$I$10000&lt;=ROUND($DE$3,0))*('Margin Guidence Table'!$J$1:$J$10000&gt;=ROUND($DE$3,0)),0),MATCH("DEFAULT_MDA_MEDIAN_MARGIN_GUIDENCE",'Margin Guidence Table'!$A$1:$AG$1,0))),0))</f>
        <v>0</v>
      </c>
      <c r="DT32" s="784">
        <f t="array" ref="DT32">IF('Customer Inputs'!$W$8="End",0,IFERROR(IF($DO32="SEGMENT",INDEX('Margin Guidence Table'!$A$1:$AG$10000,MATCH(1,('Margin Guidence Table'!$A$1:$A$10000=DM32)*('Margin Guidence Table'!$I$1:$I$10000&lt;=ROUND($DE$3,0))*('Margin Guidence Table'!$J$1:$J$10000&gt;=ROUND($DE$3,0)),0),MATCH("MDA_MAX_MARGIN_GUIDENCE",'Margin Guidence Table'!$A$1:$AG$1,0)),INDEX('Margin Guidence Table'!$A$1:$AG$10000,MATCH(1,('Margin Guidence Table'!$A$1:$A$10000=DM32)*('Margin Guidence Table'!$I$1:$I$10000&lt;=ROUND($DE$3,0))*('Margin Guidence Table'!$J$1:$J$10000&gt;=ROUND($DE$3,0)),0),MATCH("DEFAULT_MDA_MAX_MARGIN_GUIDENCE",'Margin Guidence Table'!$A$1:$AG$1,0))),0))</f>
        <v>0</v>
      </c>
      <c r="DU32" s="784">
        <f t="array" ref="DU32">IF('Customer Inputs'!$W$8="End",0,IFERROR(IF($DO32="SEGMENT",INDEX('Margin Guidence Table'!$A$1:$AG$10000,MATCH(1,('Margin Guidence Table'!$A$1:$A$10000=DM32)*('Margin Guidence Table'!$I$1:$I$10000&lt;=ROUND($DE$3,0))*('Margin Guidence Table'!$J$1:$J$10000&gt;=ROUND($DE$3,0)),0),MATCH("PA_PCT_SALES",'Margin Guidence Table'!$A$1:$AG$1,0)),INDEX('Margin Guidence Table'!$A$1:$AG$10000,MATCH(1,('Margin Guidence Table'!$A$1:$A$10000=DM32)*('Margin Guidence Table'!$I$1:$I$10000&lt;=ROUND($DE$3,0))*('Margin Guidence Table'!$J$1:$J$10000&gt;=ROUND($DE$3,0)),0),MATCH("DEFAULT_PA_PCT_SALES",'Margin Guidence Table'!$A$1:$AG$1,0))),0))</f>
        <v>0</v>
      </c>
      <c r="DV32" s="784">
        <f t="array" ref="DV32">IF('Customer Inputs'!$W$8="End",0,IFERROR(IF($DO32="SEGMENT",INDEX('Margin Guidence Table'!$A$1:$AG$10000,MATCH(1,('Margin Guidence Table'!$A$1:$A$10000=DM32)*('Margin Guidence Table'!$I$1:$I$10000&lt;=ROUND($DE$3,0))*('Margin Guidence Table'!$J$1:$J$10000&gt;=ROUND($DE$3,0)),0),MATCH("SELF_FUND_PCT_SALES",'Margin Guidence Table'!$A$1:$AG$1,0)),INDEX('Margin Guidence Table'!$A$1:$AG$10000,MATCH(1,('Margin Guidence Table'!$A$1:$A$10000=DM32)*('Margin Guidence Table'!$I$1:$I$10000&lt;=ROUND($DE$3,0))*('Margin Guidence Table'!$J$1:$J$10000&gt;=ROUND($DE$3,0)),0),MATCH("DEFAULT_SELF_FUND_PCT_SALES",'Margin Guidence Table'!$A$1:$AG$1,0))),0))</f>
        <v>0</v>
      </c>
      <c r="DW32" s="784">
        <f t="array" ref="DW32">IF('Customer Inputs'!$W$8="End",0,IF($DF$2="Existing",IFERROR(SUMIFS('Existing Customers'!$V:$V,'Existing Customers'!$H:$H,$DD32,'Existing Customers'!$A:$A,$DE$1)/SUMIFS('Existing Customers'!$Q:$Q,'Existing Customers'!$H:$H,$DD32,'Existing Customers'!$A:$A,$DE$1),0),IFERROR(IF($DO32="SEGMENT",INDEX('Margin Guidence Table'!$A$1:$AG$10000,MATCH(1,('Margin Guidence Table'!$A$1:$A$10000=DM32)*('Margin Guidence Table'!$I$1:$I$10000&lt;=ROUND($DE$3,0))*('Margin Guidence Table'!$J$1:$J$10000&gt;=ROUND($DE$3,0)),0),MATCH("CIA_MEDIAN_MARGIN_GUIDENCE",'Margin Guidence Table'!$A$1:$AG$1,0)),INDEX('Margin Guidence Table'!$A$1:$AG$10000,MATCH(1,('Margin Guidence Table'!$A$1:$A$10000=DM32)*('Margin Guidence Table'!$I$1:$I$10000&lt;=ROUND($DE$3,0))*('Margin Guidence Table'!$J$1:$J$10000&gt;=ROUND($DE$3,0)),0),MATCH("DEFAULT_CIA_MEDIAN_MARGIN_GUIDENCE",'Margin Guidence Table'!$A$1:$AG$1,0))),0)))</f>
        <v>0</v>
      </c>
      <c r="DX32" s="126"/>
      <c r="DY32" s="18">
        <f t="array" ref="DY32">IF('Customer Inputs'!$W$9="End",0,IFERROR(IF($EL32="SEGMENT",INDEX('Margin Guidence Table'!$A$1:$AG$10000,MATCH(1,('Margin Guidence Table'!$A$1:$A$10000=$EJ32)*('Margin Guidence Table'!$I$1:$I$10000&lt;=ROUND($EB$3,0))*('Margin Guidence Table'!$J$1:$J$10000&gt;=ROUND($EB$3,0)),0),MATCH("PCT_SALES",'Margin Guidence Table'!$A$1:$AG$1,0)),INDEX('Margin Guidence Table'!$A$1:$AG$10000,MATCH(1,('Margin Guidence Table'!$A$1:$A$10000=$EJ32)*('Margin Guidence Table'!$I$1:$I$10000&lt;=ROUND($EB$3,0))*('Margin Guidence Table'!$J$1:$J$10000&gt;=ROUND($EB$3,0)),0),MATCH("DEFAULT_PCT_SALES",'Margin Guidence Table'!$A$1:$AG$1,0))),0))</f>
        <v>0</v>
      </c>
      <c r="DZ32" s="297" t="e">
        <f t="shared" si="38"/>
        <v>#DIV/0!</v>
      </c>
      <c r="EA32" s="99" t="s">
        <v>86</v>
      </c>
      <c r="EB32" s="91">
        <f>IF('Customer Inputs'!$W$9="End",0,IFERROR(IF(AND($EB$2&lt;&gt;"Enter Spend&gt;&gt;&gt;",$EC$2="EXISTING"),SUMIFS('Existing Customers'!$Q:$Q,'Existing Customers'!$A:$A,$EB$1,'Existing Customers'!$H:$H,$EA32)*$EB$4,$EB$3*$DZ32),0))</f>
        <v>0</v>
      </c>
      <c r="EC32" s="86">
        <f>IF('Customer Inputs'!$W$9="End",0,IFERROR(IF(AND($EB$2&lt;&gt;"Enter Spend&gt;&gt;&gt;",$EC$2="EXISTING"),SUMIFS('Existing Customers'!$N:$N,'Existing Customers'!$A:$A,$EB$1,'Existing Customers'!$H:$H,$EA32)*$EB$4,$EB32/$EM32),0))</f>
        <v>0</v>
      </c>
      <c r="ED32" s="92">
        <f>IF('Customer Inputs'!$W$9="End",0,IFERROR(IF(AND($EB$2&lt;&gt;"Enter Spend&gt;&gt;&gt;",$EC$2="EXISTING"),SUMIFS('Existing Customers'!$O:$O,'Existing Customers'!$H:$H,$EA32,'Existing Customers'!$A:$A,$EB$1)*$EB$4,$EC32*$EB$8),0))</f>
        <v>0</v>
      </c>
      <c r="EE32" s="92">
        <f>IF('Customer Inputs'!$W$9="End",0,IFERROR(IF(AND($EB$2&lt;&gt;"Enter Spend&gt;&gt;&gt;",$EC$2="EXISTING"),SUMIFS('Existing Customers'!$P:$P,'Existing Customers'!$A:$A,$EB$1,'Existing Customers'!$H:$H,$EA32)*$EB$4,$EB32/$EN32),0))</f>
        <v>0</v>
      </c>
      <c r="EF32" s="93">
        <f>IF('Customer Inputs'!$W$9="End",0,IFERROR(IF(AND($EB$2&lt;&gt;"Enter Spend&gt;&gt;&gt;",$EC$2="EXISTING"),SUMIFS('Existing Customers'!$V:$V,'Existing Customers'!$H:$H,$EA32,'Existing Customers'!$A:$A,$EB$1)*$EB$4,0),0))</f>
        <v>0</v>
      </c>
      <c r="EG32" s="93">
        <f>IF('Customer Inputs'!$W$9="End",0,IFERROR(IF(AND($EB$2&lt;&gt;"Enter Spend&gt;&gt;&gt;",$EC$2="EXISTING"),SUMIFS('Existing Customers'!$R:$R,'Existing Customers'!$H:$H,$EA32,'Existing Customers'!$A:$A,$EB$1)*$EB$4,0),0))</f>
        <v>0</v>
      </c>
      <c r="EH32" s="780">
        <f>IF('Customer Inputs'!$W$9="End",0,IFERROR(IF(AND($EB$2&lt;&gt;"Enter Spend&gt;&gt;&gt;",$EC$2="EXISTING"),SUMIFS('Existing Customers'!$S:$S,'Existing Customers'!$H:$H,$EA32,'Existing Customers'!$A:$A,$EB$1)/SUMIFS('Existing Customers'!$Q:$Q,'Existing Customers'!$A:$A,$EB$1,'Existing Customers'!$H:$H,$EA32),ER32),0))</f>
        <v>0</v>
      </c>
      <c r="EI32" s="780">
        <f>IF('Customer Inputs'!$W$9="End",0,IFERROR(IF(AND($EB$2&lt;&gt;"Enter Spend&gt;&gt;&gt;",$EC$2="EXISTING"),SUMIFS('Existing Customers'!$U:$U,'Existing Customers'!$H:$H,$EA32,'Existing Customers'!$A:$A,$EB$1)/SUMIFS('Existing Customers'!$Q:$Q,'Existing Customers'!$A:$A,$EB$1,'Existing Customers'!$H:$H,$EA32),ES32),0))</f>
        <v>0</v>
      </c>
      <c r="EJ32" s="783" t="e">
        <f>_xlfn.CONCAT('Customer Inputs'!$AH$9,"_",EA32)</f>
        <v>#N/A</v>
      </c>
      <c r="EK32" s="783">
        <f t="array" ref="EK32">IF('Customer Inputs'!$W$9="End",0,IFERROR(INDEX('Margin Guidence Table'!$A$1:$AG$10000,MATCH(1,('Margin Guidence Table'!$A$1:$A$10000=EJ32)*('Margin Guidence Table'!$I$1:$I$10000&lt;=ROUND($EB$3,0))*('Margin Guidence Table'!$J$1:$J$10000&gt;=ROUND($EB$3,0)),0),MATCH("DATA_POINTS",'Margin Guidence Table'!$A$1:$AG$1,0)),0))</f>
        <v>0</v>
      </c>
      <c r="EL32" s="780" t="str">
        <f t="shared" si="39"/>
        <v>DEFAULT</v>
      </c>
      <c r="EM32" s="780">
        <f t="array" ref="EM32">IF('Customer Inputs'!$W$9="End",0,IFERROR(IF($EL32="SEGMENT",INDEX('Margin Guidence Table'!$A$1:$AG$10000,MATCH(1,('Margin Guidence Table'!$A$1:$A$10000=EJ32)*('Margin Guidence Table'!$I$1:$I$10000&lt;=ROUND($EB$3,0))*('Margin Guidence Table'!$J$1:$J$10000&gt;=ROUND($EB$3,0)),0),MATCH("SALES_CASE",'Margin Guidence Table'!$A$1:$AG$1,0)),INDEX('Margin Guidence Table'!$A$1:$AG$10000,MATCH(1,('Margin Guidence Table'!$A$1:$A$10000=EJ32)*('Margin Guidence Table'!$I$1:$I$10000&lt;=ROUND($EB$3,0))*('Margin Guidence Table'!$J$1:$J$10000&gt;=ROUND($EB$3,0)),0),MATCH("DEFAULT_SALES_CASE",'Margin Guidence Table'!$A$1:$AG$1,0))),0))</f>
        <v>0</v>
      </c>
      <c r="EN32" s="780">
        <f t="array" ref="EN32">IF('Customer Inputs'!$W$9="End",0,IFERROR(IF($EL32="SEGMENT",INDEX('Margin Guidence Table'!$A$1:$AG$10000,MATCH(1,('Margin Guidence Table'!$A$1:$A$10000=EJ32)*('Margin Guidence Table'!$I$1:$I$10000&lt;=ROUND($EB$3,0))*('Margin Guidence Table'!$J$1:$J$10000&gt;=ROUND($EB$3,0)),0),MATCH("SALES_LBS",'Margin Guidence Table'!$A$1:$AG$1,0)),INDEX('Margin Guidence Table'!$A$1:$AG$10000,MATCH(1,('Margin Guidence Table'!$A$1:$A$10000=EJ32)*('Margin Guidence Table'!$I$1:$I$10000&lt;=ROUND($EB$3,0))*('Margin Guidence Table'!$J$1:$J$10000&gt;=ROUND($EB$3,0)),0),MATCH("DEFAULT_SALES_LBS",'Margin Guidence Table'!$A$1:$AG$1,0))),0))</f>
        <v>0</v>
      </c>
      <c r="EO32" s="784">
        <f t="array" ref="EO32">IF('Customer Inputs'!$W$9="End",0,IFERROR(IF($EL32="SEGMENT",INDEX('Margin Guidence Table'!$A$1:$AG$10000,MATCH(1,('Margin Guidence Table'!$A$1:$A$10000=EJ32)*('Margin Guidence Table'!$I$1:$I$10000&lt;=ROUND($EB$3,0))*('Margin Guidence Table'!$J$1:$J$10000&gt;=ROUND($EB$3,0)),0),MATCH("MDA_MIN_MARGIN_GUIDENCE",'Margin Guidence Table'!$A$1:$AG$1,0)),INDEX('Margin Guidence Table'!$A$1:$AG$10000,MATCH(1,('Margin Guidence Table'!$A$1:$A$10000=EJ32)*('Margin Guidence Table'!$I$1:$I$10000&lt;=ROUND($EB$3,0))*('Margin Guidence Table'!$J$1:$J$10000&gt;=ROUND($EB$3,0)),0),MATCH("DEFAULT_MDA_MIN_MARGIN_GUIDENCE",'Margin Guidence Table'!$A$1:$AG$1,0))),0))</f>
        <v>0</v>
      </c>
      <c r="EP32" s="784">
        <f t="array" ref="EP32">IF('Customer Inputs'!$W$9="End",0,IFERROR(IF($EL32="SEGMENT",INDEX('Margin Guidence Table'!$A$1:$AG$10000,MATCH(1,('Margin Guidence Table'!$A$1:$A$10000=EJ32)*('Margin Guidence Table'!$I$1:$I$10000&lt;=ROUND($EB$3,0))*('Margin Guidence Table'!$J$1:$J$10000&gt;=ROUND($EB$3,0)),0),MATCH("MDA_MEDIAN_MARGIN_GUIDENCE",'Margin Guidence Table'!$A$1:$AG$1,0)),INDEX('Margin Guidence Table'!$A$1:$AG$10000,MATCH(1,('Margin Guidence Table'!$A$1:$A$10000=EJ32)*('Margin Guidence Table'!$I$1:$I$10000&lt;=ROUND($EB$3,0))*('Margin Guidence Table'!$J$1:$J$10000&gt;=ROUND($EB$3,0)),0),MATCH("DEFAULT_MDA_MEDIAN_MARGIN_GUIDENCE",'Margin Guidence Table'!$A$1:$AG$1,0))),0))</f>
        <v>0</v>
      </c>
      <c r="EQ32" s="784">
        <f t="array" ref="EQ32">IF('Customer Inputs'!$W$9="End",0,IFERROR(IF($EL32="SEGMENT",INDEX('Margin Guidence Table'!$A$1:$AG$10000,MATCH(1,('Margin Guidence Table'!$A$1:$A$10000=EJ32)*('Margin Guidence Table'!$I$1:$I$10000&lt;=ROUND($EB$3,0))*('Margin Guidence Table'!$J$1:$J$10000&gt;=ROUND($EB$3,0)),0),MATCH("MDA_MAX_MARGIN_GUIDENCE",'Margin Guidence Table'!$A$1:$AG$1,0)),INDEX('Margin Guidence Table'!$A$1:$AG$10000,MATCH(1,('Margin Guidence Table'!$A$1:$A$10000=EJ32)*('Margin Guidence Table'!$I$1:$I$10000&lt;=ROUND($EB$3,0))*('Margin Guidence Table'!$J$1:$J$10000&gt;=ROUND($EB$3,0)),0),MATCH("DEFAULT_MDA_MAX_MARGIN_GUIDENCE",'Margin Guidence Table'!$A$1:$AG$1,0))),0))</f>
        <v>0</v>
      </c>
      <c r="ER32" s="784">
        <f t="array" ref="ER32">IF('Customer Inputs'!$W$9="End",0,IFERROR(IF($EL32="SEGMENT",INDEX('Margin Guidence Table'!$A$1:$AG$10000,MATCH(1,('Margin Guidence Table'!$A$1:$A$10000=EJ32)*('Margin Guidence Table'!$I$1:$I$10000&lt;=ROUND($EB$3,0))*('Margin Guidence Table'!$J$1:$J$10000&gt;=ROUND($EB$3,0)),0),MATCH("PA_PCT_SALES",'Margin Guidence Table'!$A$1:$AG$1,0)),INDEX('Margin Guidence Table'!$A$1:$AG$10000,MATCH(1,('Margin Guidence Table'!$A$1:$A$10000=EJ32)*('Margin Guidence Table'!$I$1:$I$10000&lt;=ROUND($EB$3,0))*('Margin Guidence Table'!$J$1:$J$10000&gt;=ROUND($EB$3,0)),0),MATCH("DEFAULT_PA_PCT_SALES",'Margin Guidence Table'!$A$1:$AG$1,0))),0))</f>
        <v>0</v>
      </c>
      <c r="ES32" s="784">
        <f t="array" ref="ES32">IF('Customer Inputs'!$W$9="End",0,IFERROR(IF($EL32="SEGMENT",INDEX('Margin Guidence Table'!$A$1:$AG$10000,MATCH(1,('Margin Guidence Table'!$A$1:$A$10000=EJ32)*('Margin Guidence Table'!$I$1:$I$10000&lt;=ROUND($EB$3,0))*('Margin Guidence Table'!$J$1:$J$10000&gt;=ROUND($EB$3,0)),0),MATCH("SELF_FUND_PCT_SALES",'Margin Guidence Table'!$A$1:$AG$1,0)),INDEX('Margin Guidence Table'!$A$1:$AG$10000,MATCH(1,('Margin Guidence Table'!$A$1:$A$10000=EJ32)*('Margin Guidence Table'!$I$1:$I$10000&lt;=ROUND($EB$3,0))*('Margin Guidence Table'!$J$1:$J$10000&gt;=ROUND($EB$3,0)),0),MATCH("DEFAULT_SELF_FUND_PCT_SALES",'Margin Guidence Table'!$A$1:$AG$1,0))),0))</f>
        <v>0</v>
      </c>
      <c r="ET32" s="784">
        <f t="array" ref="ET32">IF('Customer Inputs'!$W$9="End",0,IF($EC$2="Existing",IFERROR(SUMIFS('Existing Customers'!$V:$V,'Existing Customers'!$H:$H,$EA32,'Existing Customers'!$A:$A,$EB$1)/SUMIFS('Existing Customers'!$Q:$Q,'Existing Customers'!$H:$H,$EA32,'Existing Customers'!$A:$A,$EB$1),0),IFERROR(IF($EL32="SEGMENT",INDEX('Margin Guidence Table'!$A$1:$AG$10000,MATCH(1,('Margin Guidence Table'!$A$1:$A$10000=EJ32)*('Margin Guidence Table'!$I$1:$I$10000&lt;=ROUND($EB$3,0))*('Margin Guidence Table'!$J$1:$J$10000&gt;=ROUND($EB$3,0)),0),MATCH("CIA_MEDIAN_MARGIN_GUIDENCE",'Margin Guidence Table'!$A$1:$AG$1,0)),INDEX('Margin Guidence Table'!$A$1:$AG$10000,MATCH(1,('Margin Guidence Table'!$A$1:$A$10000=EJ32)*('Margin Guidence Table'!$I$1:$I$10000&lt;=ROUND($EB$3,0))*('Margin Guidence Table'!$J$1:$J$10000&gt;=ROUND($EB$3,0)),0),MATCH("DEFAULT_CIA_MEDIAN_MARGIN_GUIDENCE",'Margin Guidence Table'!$A$1:$AG$1,0))),0)))</f>
        <v>0</v>
      </c>
      <c r="EU32" s="126"/>
      <c r="EV32" s="18">
        <f t="array" ref="EV32">IF('Customer Inputs'!$W$10="End",0,IFERROR(IF($FI32="SEGMENT",INDEX('Margin Guidence Table'!$A$1:$AG$10000,MATCH(1,('Margin Guidence Table'!$A$1:$A$10000=$FG32)*('Margin Guidence Table'!$I$1:$I$10000&lt;=ROUND($EY$3,0))*('Margin Guidence Table'!$J$1:$J$10000&gt;=ROUND($EY$3,0)),0),MATCH("PCT_SALES",'Margin Guidence Table'!$A$1:$AG$1,0)),INDEX('Margin Guidence Table'!$A$1:$AG$10000,MATCH(1,('Margin Guidence Table'!$A$1:$A$10000=$FG32)*('Margin Guidence Table'!$I$1:$I$10000&lt;=ROUND($EY$3,0))*('Margin Guidence Table'!$J$1:$J$10000&gt;=ROUND($EY$3,0)),0),MATCH("DEFAULT_PCT_SALES",'Margin Guidence Table'!$A$1:$AG$1,0))),0))</f>
        <v>0</v>
      </c>
      <c r="EW32" s="297" t="e">
        <f t="shared" si="40"/>
        <v>#DIV/0!</v>
      </c>
      <c r="EX32" s="99" t="s">
        <v>86</v>
      </c>
      <c r="EY32" s="91">
        <f>IF('Customer Inputs'!$W$10="End",0,IFERROR(IF(AND($EY$2&lt;&gt;"Enter Spend&gt;&gt;&gt;",$EZ$2="EXISTING"),SUMIFS('Existing Customers'!$Q:$Q,'Existing Customers'!$A:$A,$EY$1,'Existing Customers'!$H:$H,$EX32)*$EY$4,$EY$3*$EW32),0))</f>
        <v>0</v>
      </c>
      <c r="EZ32" s="86">
        <f>IF('Customer Inputs'!$W$10="End",0,IFERROR(IF(AND($EY$2&lt;&gt;"Enter Spend&gt;&gt;&gt;",$EZ$2="EXISTING"),SUMIFS('Existing Customers'!$N:$N,'Existing Customers'!$A:$A,$EY$1,'Existing Customers'!$H:$H,$EX32)*$EY$4,$EY32/$FJ32),0))</f>
        <v>0</v>
      </c>
      <c r="FA32" s="92">
        <f>IF('Customer Inputs'!$W$10="End",0,IFERROR(IF(AND($EY$2&lt;&gt;"Enter Spend&gt;&gt;&gt;",$EZ$2="EXISTING"),SUMIFS('Existing Customers'!$O:$O,'Existing Customers'!$H:$H,$EX32,'Existing Customers'!$A:$A,$EY$1)*$EY$4,$EZ32*$EY$8),0))</f>
        <v>0</v>
      </c>
      <c r="FB32" s="92">
        <f>IF('Customer Inputs'!$W$10="End",0,IFERROR(IF(AND($EY$2&lt;&gt;"Enter Spend&gt;&gt;&gt;",$EZ$2="EXISTING"),SUMIFS('Existing Customers'!$P:$P,'Existing Customers'!$A:$A,$EY$1,'Existing Customers'!$H:$H,$EX32)*$EY$4,$EY32/$FK32),0))</f>
        <v>0</v>
      </c>
      <c r="FC32" s="93">
        <f>IF('Customer Inputs'!$W$10="End",0,IFERROR(IF(AND($EY$2&lt;&gt;"Enter Spend&gt;&gt;&gt;",$EZ$2="EXISTING"),SUMIFS('Existing Customers'!$V:$V,'Existing Customers'!$H:$H,$EX32,'Existing Customers'!$A:$A,$EY$1)*$EY$4,0),0))</f>
        <v>0</v>
      </c>
      <c r="FD32" s="93">
        <f>IF('Customer Inputs'!$W$10="End",0,IFERROR(IF(AND($EY$2&lt;&gt;"Enter Spend&gt;&gt;&gt;",$EZ$2="EXISTING"),SUMIFS('Existing Customers'!$R:$R,'Existing Customers'!$H:$H,$EX32,'Existing Customers'!$A:$A,$EY$1)*$EY$4,0),0))</f>
        <v>0</v>
      </c>
      <c r="FE32" s="780">
        <f>IF('Customer Inputs'!$W$10="End",0,IFERROR(IF(AND($EY$2&lt;&gt;"Enter Spend&gt;&gt;&gt;",$EZ$2="EXISTING"),SUMIFS('Existing Customers'!$S:$S,'Existing Customers'!$H:$H,$EX32,'Existing Customers'!$A:$A,$EY$1)/SUMIFS('Existing Customers'!$Q:$Q,'Existing Customers'!$A:$A,$EY$1,'Existing Customers'!$H:$H,$EX32),FO32),0))</f>
        <v>0</v>
      </c>
      <c r="FF32" s="780">
        <f>IF('Customer Inputs'!$W$10="End",0,IFERROR(IF(AND($EY$2&lt;&gt;"Enter Spend&gt;&gt;&gt;",$EZ$2="EXISTING"),SUMIFS('Existing Customers'!$U:$U,'Existing Customers'!$H:$H,$EX32,'Existing Customers'!$A:$A,$EY$1)/SUMIFS('Existing Customers'!$Q:$Q,'Existing Customers'!$A:$A,$EY$1,'Existing Customers'!$H:$H,$EX32),FP32),0))</f>
        <v>0</v>
      </c>
      <c r="FG32" s="783" t="e">
        <f>_xlfn.CONCAT('Customer Inputs'!$AH$10,"_",EX32)</f>
        <v>#N/A</v>
      </c>
      <c r="FH32" s="783">
        <f t="array" ref="FH32">IF('Customer Inputs'!$W$10="End",0,IFERROR(INDEX('Margin Guidence Table'!$A$1:$AG$10000,MATCH(1,('Margin Guidence Table'!$A$1:$A$10000=FG32)*('Margin Guidence Table'!$I$1:$I$10000&lt;=ROUND($EY$3,0))*('Margin Guidence Table'!$J$1:$J$10000&gt;=ROUND($EY$3,0)),0),MATCH("DATA_POINTS",'Margin Guidence Table'!$A$1:$AG$1,0)),0))</f>
        <v>0</v>
      </c>
      <c r="FI32" s="780" t="str">
        <f t="shared" si="41"/>
        <v>DEFAULT</v>
      </c>
      <c r="FJ32" s="780">
        <f t="array" ref="FJ32">IF('Customer Inputs'!$W$10="End",0,IFERROR(IF($FI32="SEGMENT",INDEX('Margin Guidence Table'!$A$1:$AG$10000,MATCH(1,('Margin Guidence Table'!$A$1:$A$10000=FG32)*('Margin Guidence Table'!$I$1:$I$10000&lt;=ROUND($EY$3,0))*('Margin Guidence Table'!$J$1:$J$10000&gt;=ROUND($EY$3,0)),0),MATCH("SALES_CASE",'Margin Guidence Table'!$A$1:$AG$1,0)),INDEX('Margin Guidence Table'!$A$1:$AG$10000,MATCH(1,('Margin Guidence Table'!$A$1:$A$10000=FG32)*('Margin Guidence Table'!$I$1:$I$10000&lt;=ROUND($EY$3,0))*('Margin Guidence Table'!$J$1:$J$10000&gt;=ROUND($EY$3,0)),0),MATCH("DEFAULT_SALES_CASE",'Margin Guidence Table'!$A$1:$AG$1,0))),0))</f>
        <v>0</v>
      </c>
      <c r="FK32" s="780">
        <f t="array" ref="FK32">IF('Customer Inputs'!$W$10="End",0,IFERROR(IF($FI32="SEGMENT",INDEX('Margin Guidence Table'!$A$1:$AG$10000,MATCH(1,('Margin Guidence Table'!$A$1:$A$10000=FG32)*('Margin Guidence Table'!$I$1:$I$10000&lt;=ROUND($EY$3,0))*('Margin Guidence Table'!$J$1:$J$10000&gt;=ROUND($EY$3,0)),0),MATCH("SALES_LBS",'Margin Guidence Table'!$A$1:$AG$1,0)),INDEX('Margin Guidence Table'!$A$1:$AG$10000,MATCH(1,('Margin Guidence Table'!$A$1:$A$10000=FG32)*('Margin Guidence Table'!$I$1:$I$10000&lt;=ROUND($EY$3,0))*('Margin Guidence Table'!$J$1:$J$10000&gt;=ROUND($EY$3,0)),0),MATCH("DEFAULT_SALES_LBS",'Margin Guidence Table'!$A$1:$AG$1,0))),0))</f>
        <v>0</v>
      </c>
      <c r="FL32" s="784">
        <f t="array" ref="FL32">IF('Customer Inputs'!$W$10="End",0,IFERROR(IF($FI32="SEGMENT",INDEX('Margin Guidence Table'!$A$1:$AG$10000,MATCH(1,('Margin Guidence Table'!$A$1:$A$10000=FG32)*('Margin Guidence Table'!$I$1:$I$10000&lt;=ROUND($EY$3,0))*('Margin Guidence Table'!$J$1:$J$10000&gt;=ROUND($EY$3,0)),0),MATCH("MDA_MIN_MARGIN_GUIDENCE",'Margin Guidence Table'!$A$1:$AG$1,0)),INDEX('Margin Guidence Table'!$A$1:$AG$10000,MATCH(1,('Margin Guidence Table'!$A$1:$A$10000=FG32)*('Margin Guidence Table'!$I$1:$I$10000&lt;=ROUND($EY$3,0))*('Margin Guidence Table'!$J$1:$J$10000&gt;=ROUND($EY$3,0)),0),MATCH("DEFAULT_MDA_MIN_MARGIN_GUIDENCE",'Margin Guidence Table'!$A$1:$AG$1,0))),0))</f>
        <v>0</v>
      </c>
      <c r="FM32" s="784">
        <f t="array" ref="FM32">IF('Customer Inputs'!$W$10="End",0,IFERROR(IF($FI32="SEGMENT",INDEX('Margin Guidence Table'!$A$1:$AG$10000,MATCH(1,('Margin Guidence Table'!$A$1:$A$10000=FG32)*('Margin Guidence Table'!$I$1:$I$10000&lt;=ROUND($EY$3,0))*('Margin Guidence Table'!$J$1:$J$10000&gt;=ROUND($EY$3,0)),0),MATCH("MDA_MEDIAN_MARGIN_GUIDENCE",'Margin Guidence Table'!$A$1:$AG$1,0)),INDEX('Margin Guidence Table'!$A$1:$AG$10000,MATCH(1,('Margin Guidence Table'!$A$1:$A$10000=FG32)*('Margin Guidence Table'!$I$1:$I$10000&lt;=ROUND($EY$3,0))*('Margin Guidence Table'!$J$1:$J$10000&gt;=ROUND($EY$3,0)),0),MATCH("DEFAULT_MDA_MEDIAN_MARGIN_GUIDENCE",'Margin Guidence Table'!$A$1:$AG$1,0))),0))</f>
        <v>0</v>
      </c>
      <c r="FN32" s="784">
        <f t="array" ref="FN32">IF('Customer Inputs'!$W$10="End",0,IFERROR(IF($FI32="SEGMENT",INDEX('Margin Guidence Table'!$A$1:$AG$10000,MATCH(1,('Margin Guidence Table'!$A$1:$A$10000=FG32)*('Margin Guidence Table'!$I$1:$I$10000&lt;=ROUND($EY$3,0))*('Margin Guidence Table'!$J$1:$J$10000&gt;=ROUND($EY$3,0)),0),MATCH("MDA_MAX_MARGIN_GUIDENCE",'Margin Guidence Table'!$A$1:$AG$1,0)),INDEX('Margin Guidence Table'!$A$1:$AG$10000,MATCH(1,('Margin Guidence Table'!$A$1:$A$10000=FG32)*('Margin Guidence Table'!$I$1:$I$10000&lt;=ROUND($EY$3,0))*('Margin Guidence Table'!$J$1:$J$10000&gt;=ROUND($EY$3,0)),0),MATCH("DEFAULT_MDA_MAX_MARGIN_GUIDENCE",'Margin Guidence Table'!$A$1:$AG$1,0))),0))</f>
        <v>0</v>
      </c>
      <c r="FO32" s="784">
        <f t="array" ref="FO32">IF('Customer Inputs'!$W$10="End",0,IFERROR(IF($FI32="SEGMENT",INDEX('Margin Guidence Table'!$A$1:$AG$10000,MATCH(1,('Margin Guidence Table'!$A$1:$A$10000=FG32)*('Margin Guidence Table'!$I$1:$I$10000&lt;=ROUND($EY$3,0))*('Margin Guidence Table'!$J$1:$J$10000&gt;=ROUND($EY$3,0)),0),MATCH("PA_PCT_SALES",'Margin Guidence Table'!$A$1:$AG$1,0)),INDEX('Margin Guidence Table'!$A$1:$AG$10000,MATCH(1,('Margin Guidence Table'!$A$1:$A$10000=FG32)*('Margin Guidence Table'!$I$1:$I$10000&lt;=ROUND($EY$3,0))*('Margin Guidence Table'!$J$1:$J$10000&gt;=ROUND($EY$3,0)),0),MATCH("DEFAULT_PA_PCT_SALES",'Margin Guidence Table'!$A$1:$AG$1,0))),0))</f>
        <v>0</v>
      </c>
      <c r="FP32" s="784">
        <f t="array" ref="FP32">IF('Customer Inputs'!$W$10="End",0,IFERROR(IF($FI32="SEGMENT",INDEX('Margin Guidence Table'!$A$1:$AG$10000,MATCH(1,('Margin Guidence Table'!$A$1:$A$10000=FG32)*('Margin Guidence Table'!$I$1:$I$10000&lt;=ROUND($EY$3,0))*('Margin Guidence Table'!$J$1:$J$10000&gt;=ROUND($EY$3,0)),0),MATCH("SELF_FUND_PCT_SALES",'Margin Guidence Table'!$A$1:$AG$1,0)),INDEX('Margin Guidence Table'!$A$1:$AG$10000,MATCH(1,('Margin Guidence Table'!$A$1:$A$10000=FG32)*('Margin Guidence Table'!$I$1:$I$10000&lt;=ROUND($EY$3,0))*('Margin Guidence Table'!$J$1:$J$10000&gt;=ROUND($EY$3,0)),0),MATCH("DEFAULT_SELF_FUND_PCT_SALES",'Margin Guidence Table'!$A$1:$AG$1,0))),0))</f>
        <v>0</v>
      </c>
      <c r="FQ32" s="784">
        <f t="array" ref="FQ32">IF('Customer Inputs'!$W$10="End",0,IF($EZ$2="Existing",IFERROR(SUMIFS('Existing Customers'!$V:$V,'Existing Customers'!$H:$H,$EX32,'Existing Customers'!$A:$A,$EY$1)/SUMIFS('Existing Customers'!$Q:$Q,'Existing Customers'!$H:$H,$EX32,'Existing Customers'!$A:$A,$EY$1),0),IFERROR(IF($FI32="SEGMENT",INDEX('Margin Guidence Table'!$A$1:$AG$10000,MATCH(1,('Margin Guidence Table'!$A$1:$A$10000=FG32)*('Margin Guidence Table'!$I$1:$I$10000&lt;=ROUND($EY$3,0))*('Margin Guidence Table'!$J$1:$J$10000&gt;=ROUND($EY$3,0)),0),MATCH("CIA_MEDIAN_MARGIN_GUIDENCE",'Margin Guidence Table'!$A$1:$AG$1,0)),INDEX('Margin Guidence Table'!$A$1:$AG$10000,MATCH(1,('Margin Guidence Table'!$A$1:$A$10000=FG32)*('Margin Guidence Table'!$I$1:$I$10000&lt;=ROUND($EY$3,0))*('Margin Guidence Table'!$J$1:$J$10000&gt;=ROUND($EY$3,0)),0),MATCH("DEFAULT_CIA_MEDIAN_MARGIN_GUIDENCE",'Margin Guidence Table'!$A$1:$AG$1,0))),0)))</f>
        <v>0</v>
      </c>
      <c r="FR32" s="126"/>
      <c r="FS32" s="18">
        <f t="array" ref="FS32">IF('Customer Inputs'!$W$11="End",0,IFERROR(IF($GF32="SEGMENT",INDEX('Margin Guidence Table'!$A$1:$AG$10000,MATCH(1,('Margin Guidence Table'!$A$1:$A$10000=$GD32)*('Margin Guidence Table'!$I$1:$I$10000&lt;=ROUND($FV$3,0))*('Margin Guidence Table'!$J$1:$J$10000&gt;=ROUND($FV$3,0)),0),MATCH("PCT_SALES",'Margin Guidence Table'!$A$1:$AG$1,0)),INDEX('Margin Guidence Table'!$A$1:$AG$10000,MATCH(1,('Margin Guidence Table'!$A$1:$A$10000=$GD32)*('Margin Guidence Table'!$I$1:$I$10000&lt;=ROUND($FV$3,0))*('Margin Guidence Table'!$J$1:$J$10000&gt;=ROUND($FV$3,0)),0),MATCH("DEFAULT_PCT_SALES",'Margin Guidence Table'!$A$1:$AG$1,0))),0))</f>
        <v>0</v>
      </c>
      <c r="FT32" s="297" t="e">
        <f t="shared" si="42"/>
        <v>#DIV/0!</v>
      </c>
      <c r="FU32" s="99" t="s">
        <v>86</v>
      </c>
      <c r="FV32" s="91">
        <f>IF('Customer Inputs'!$W$11="End",0,IFERROR(IF(AND($FV$2&lt;&gt;"Enter Spend&gt;&gt;&gt;",$FW$2="EXISTING"),SUMIFS('Existing Customers'!$Q:$Q,'Existing Customers'!$A:$A,$FV$1,'Existing Customers'!$H:$H,$FU32)*$FV$4,$FV$3*$FT32),0))</f>
        <v>0</v>
      </c>
      <c r="FW32" s="86">
        <f>IF('Customer Inputs'!$W$11="End",0,IFERROR(IF(AND($FV$2&lt;&gt;"Enter Spend&gt;&gt;&gt;",$FW$2="EXISTING"),SUMIFS('Existing Customers'!$N:$N,'Existing Customers'!$A:$A,$FV$1,'Existing Customers'!$H:$H,$FU32)*$FV$4,$FV32/$GG32),0))</f>
        <v>0</v>
      </c>
      <c r="FX32" s="92">
        <f>IF('Customer Inputs'!$W$11="End",0,IFERROR(IF(AND($FV$2&lt;&gt;"Enter Spend&gt;&gt;&gt;",$FW$2="EXISTING"),SUMIFS('Existing Customers'!$O:$O,'Existing Customers'!$H:$H,$FU32,'Existing Customers'!$A:$A,$FV$1)*$FV$4,$FW32*$FV$8),0))</f>
        <v>0</v>
      </c>
      <c r="FY32" s="92">
        <f>IF('Customer Inputs'!$W$11="End",0,IFERROR(IF(AND($FV$2&lt;&gt;"Enter Spend&gt;&gt;&gt;",$FW$2="EXISTING"),SUMIFS('Existing Customers'!$P:$P,'Existing Customers'!$A:$A,$FV$1,'Existing Customers'!$H:$H,$FU32)*$FV$4,$FV32/$GH32),0))</f>
        <v>0</v>
      </c>
      <c r="FZ32" s="93">
        <f>IF('Customer Inputs'!$W$11="End",0,IFERROR(IF(AND($FV$2&lt;&gt;"Enter Spend&gt;&gt;&gt;",$FW$2="EXISTING"),SUMIFS('Existing Customers'!$V:$V,'Existing Customers'!$H:$H,$FU32,'Existing Customers'!$A:$A,$FV$1)*$FV$4,0),0))</f>
        <v>0</v>
      </c>
      <c r="GA32" s="93">
        <f>IF('Customer Inputs'!$W$11="End",0,IFERROR(IF(AND($FV$2&lt;&gt;"Enter Spend&gt;&gt;&gt;",$FW$2="EXISTING"),SUMIFS('Existing Customers'!$R:$R,'Existing Customers'!$H:$H,$FU32,'Existing Customers'!$A:$A,$FV$1)*$FV$4,0),0))</f>
        <v>0</v>
      </c>
      <c r="GB32" s="780">
        <f>IF('Customer Inputs'!$W$11="End",0,IFERROR(IF(AND($FV$2&lt;&gt;"Enter Spend&gt;&gt;&gt;",$FW$2="EXISTING"),SUMIFS('Existing Customers'!$S:$S,'Existing Customers'!$H:$H,$FU32,'Existing Customers'!$A:$A,$FV$1)/SUMIFS('Existing Customers'!$Q:$Q,'Existing Customers'!$A:$A,$FV$1,'Existing Customers'!$H:$H,$FU32),GL32),0))</f>
        <v>0</v>
      </c>
      <c r="GC32" s="780">
        <f>IF('Customer Inputs'!$W$11="End",0,IFERROR(IF(AND($FV$2&lt;&gt;"Enter Spend&gt;&gt;&gt;",$FW$2="EXISTING"),SUMIFS('Existing Customers'!$U:$U,'Existing Customers'!$H:$H,$FU32,'Existing Customers'!$A:$A,$FV$1)/SUMIFS('Existing Customers'!$Q:$Q,'Existing Customers'!$A:$A,$FV$1,'Existing Customers'!$H:$H,$FU32),GM32),0))</f>
        <v>0</v>
      </c>
      <c r="GD32" s="783" t="e">
        <f>_xlfn.CONCAT('Customer Inputs'!$AH$11,"_",FU32)</f>
        <v>#N/A</v>
      </c>
      <c r="GE32" s="783">
        <f t="array" ref="GE32">IF('Customer Inputs'!$W$11="End",0,IFERROR(INDEX('Margin Guidence Table'!$A$1:$AG$10000,MATCH(1,('Margin Guidence Table'!$A$1:$A$10000=GD32)*('Margin Guidence Table'!$I$1:$I$10000&lt;=ROUND($FV$3,0))*('Margin Guidence Table'!$J$1:$J$10000&gt;=ROUND($FV$3,0)),0),MATCH("DATA_POINTS",'Margin Guidence Table'!$A$1:$AG$1,0)),0))</f>
        <v>0</v>
      </c>
      <c r="GF32" s="780" t="str">
        <f t="shared" si="43"/>
        <v>DEFAULT</v>
      </c>
      <c r="GG32" s="780">
        <f t="array" ref="GG32">IF('Customer Inputs'!$W$11="End",0,IFERROR(IF($GF32="SEGMENT",INDEX('Margin Guidence Table'!$A$1:$AG$10000,MATCH(1,('Margin Guidence Table'!$A$1:$A$10000=GD32)*('Margin Guidence Table'!$I$1:$I$10000&lt;=ROUND($FV$3,0))*('Margin Guidence Table'!$J$1:$J$10000&gt;=ROUND($FV$3,0)),0),MATCH("SALES_CASE",'Margin Guidence Table'!$A$1:$AG$1,0)),INDEX('Margin Guidence Table'!$A$1:$AG$10000,MATCH(1,('Margin Guidence Table'!$A$1:$A$10000=GD32)*('Margin Guidence Table'!$I$1:$I$10000&lt;=ROUND($FV$3,0))*('Margin Guidence Table'!$J$1:$J$10000&gt;=ROUND($FV$3,0)),0),MATCH("DEFAULT_SALES_CASE",'Margin Guidence Table'!$A$1:$AG$1,0))),0))</f>
        <v>0</v>
      </c>
      <c r="GH32" s="780">
        <f t="array" ref="GH32">IF('Customer Inputs'!$W$11="End",0,IFERROR(IF($GF32="SEGMENT",INDEX('Margin Guidence Table'!$A$1:$AG$10000,MATCH(1,('Margin Guidence Table'!$A$1:$A$10000=GD32)*('Margin Guidence Table'!$I$1:$I$10000&lt;=ROUND($FV$3,0))*('Margin Guidence Table'!$J$1:$J$10000&gt;=ROUND($FV$3,0)),0),MATCH("SALES_LBS",'Margin Guidence Table'!$A$1:$AG$1,0)),INDEX('Margin Guidence Table'!$A$1:$AG$10000,MATCH(1,('Margin Guidence Table'!$A$1:$A$10000=GD32)*('Margin Guidence Table'!$I$1:$I$10000&lt;=ROUND($FV$3,0))*('Margin Guidence Table'!$J$1:$J$10000&gt;=ROUND($FV$3,0)),0),MATCH("DEFAULT_SALES_LBS",'Margin Guidence Table'!$A$1:$AG$1,0))),0))</f>
        <v>0</v>
      </c>
      <c r="GI32" s="784">
        <f t="array" ref="GI32">IF('Customer Inputs'!$W$11="End",0,IFERROR(IF($GF32="SEGMENT",INDEX('Margin Guidence Table'!$A$1:$AG$10000,MATCH(1,('Margin Guidence Table'!$A$1:$A$10000=GD32)*('Margin Guidence Table'!$I$1:$I$10000&lt;=ROUND($FV$3,0))*('Margin Guidence Table'!$J$1:$J$10000&gt;=ROUND($FV$3,0)),0),MATCH("MDA_MIN_MARGIN_GUIDENCE",'Margin Guidence Table'!$A$1:$AG$1,0)),INDEX('Margin Guidence Table'!$A$1:$AG$10000,MATCH(1,('Margin Guidence Table'!$A$1:$A$10000=GD32)*('Margin Guidence Table'!$I$1:$I$10000&lt;=ROUND($FV$3,0))*('Margin Guidence Table'!$J$1:$J$10000&gt;=ROUND($FV$3,0)),0),MATCH("DEFAULT_MDA_MIN_MARGIN_GUIDENCE",'Margin Guidence Table'!$A$1:$AG$1,0))),0))</f>
        <v>0</v>
      </c>
      <c r="GJ32" s="784">
        <f t="array" ref="GJ32">IF('Customer Inputs'!$W$11="End",0,IFERROR(IF($GF32="SEGMENT",INDEX('Margin Guidence Table'!$A$1:$AG$10000,MATCH(1,('Margin Guidence Table'!$A$1:$A$10000=GD32)*('Margin Guidence Table'!$I$1:$I$10000&lt;=ROUND($FV$3,0))*('Margin Guidence Table'!$J$1:$J$10000&gt;=ROUND($FV$3,0)),0),MATCH("MDA_MEDIAN_MARGIN_GUIDENCE",'Margin Guidence Table'!$A$1:$AG$1,0)),INDEX('Margin Guidence Table'!$A$1:$AG$10000,MATCH(1,('Margin Guidence Table'!$A$1:$A$10000=GD32)*('Margin Guidence Table'!$I$1:$I$10000&lt;=ROUND($FV$3,0))*('Margin Guidence Table'!$J$1:$J$10000&gt;=ROUND($FV$3,0)),0),MATCH("DEFAULT_MDA_MEDIAN_MARGIN_GUIDENCE",'Margin Guidence Table'!$A$1:$AG$1,0))),0))</f>
        <v>0</v>
      </c>
      <c r="GK32" s="784">
        <f t="array" ref="GK32">IF('Customer Inputs'!$W$11="End",0,IFERROR(IF($GF32="SEGMENT",INDEX('Margin Guidence Table'!$A$1:$AG$10000,MATCH(1,('Margin Guidence Table'!$A$1:$A$10000=GD32)*('Margin Guidence Table'!$I$1:$I$10000&lt;=ROUND($FV$3,0))*('Margin Guidence Table'!$J$1:$J$10000&gt;=ROUND($FV$3,0)),0),MATCH("MDA_MAX_MARGIN_GUIDENCE",'Margin Guidence Table'!$A$1:$AG$1,0)),INDEX('Margin Guidence Table'!$A$1:$AG$10000,MATCH(1,('Margin Guidence Table'!$A$1:$A$10000=GD32)*('Margin Guidence Table'!$I$1:$I$10000&lt;=ROUND($FV$3,0))*('Margin Guidence Table'!$J$1:$J$10000&gt;=ROUND($FV$3,0)),0),MATCH("DEFAULT_MDA_MAX_MARGIN_GUIDENCE",'Margin Guidence Table'!$A$1:$AG$1,0))),0))</f>
        <v>0</v>
      </c>
      <c r="GL32" s="784">
        <f t="array" ref="GL32">IF('Customer Inputs'!$W$11="End",0,IFERROR(IF($GF32="SEGMENT",INDEX('Margin Guidence Table'!$A$1:$AG$10000,MATCH(1,('Margin Guidence Table'!$A$1:$A$10000=GD32)*('Margin Guidence Table'!$I$1:$I$10000&lt;=ROUND($FV$3,0))*('Margin Guidence Table'!$J$1:$J$10000&gt;=ROUND($FV$3,0)),0),MATCH("PA_PCT_SALES",'Margin Guidence Table'!$A$1:$AG$1,0)),INDEX('Margin Guidence Table'!$A$1:$AG$10000,MATCH(1,('Margin Guidence Table'!$A$1:$A$10000=GD32)*('Margin Guidence Table'!$I$1:$I$10000&lt;=ROUND($FV$3,0))*('Margin Guidence Table'!$J$1:$J$10000&gt;=ROUND($FV$3,0)),0),MATCH("DEFAULT_PA_PCT_SALES",'Margin Guidence Table'!$A$1:$AG$1,0))),0))</f>
        <v>0</v>
      </c>
      <c r="GM32" s="784">
        <f t="array" ref="GM32">IF('Customer Inputs'!$W$11="End",0,IFERROR(IF($GF32="SEGMENT",INDEX('Margin Guidence Table'!$A$1:$AG$10000,MATCH(1,('Margin Guidence Table'!$A$1:$A$10000=GD32)*('Margin Guidence Table'!$I$1:$I$10000&lt;=ROUND($FV$3,0))*('Margin Guidence Table'!$J$1:$J$10000&gt;=ROUND($FV$3,0)),0),MATCH("SELF_FUND_PCT_SALES",'Margin Guidence Table'!$A$1:$AG$1,0)),INDEX('Margin Guidence Table'!$A$1:$AG$10000,MATCH(1,('Margin Guidence Table'!$A$1:$A$10000=GD32)*('Margin Guidence Table'!$I$1:$I$10000&lt;=ROUND($FV$3,0))*('Margin Guidence Table'!$J$1:$J$10000&gt;=ROUND($FV$3,0)),0),MATCH("DEFAULT_SELF_FUND_PCT_SALES",'Margin Guidence Table'!$A$1:$AG$1,0))),0))</f>
        <v>0</v>
      </c>
      <c r="GN32" s="784">
        <f t="array" ref="GN32">IF('Customer Inputs'!$W$11="End",0,IF($FW$2="Existing",IFERROR(SUMIFS('Existing Customers'!$V:$V,'Existing Customers'!$H:$H,$FU32,'Existing Customers'!$A:$A,$FV$1)/SUMIFS('Existing Customers'!$Q:$Q,'Existing Customers'!$H:$H,$FU32,'Existing Customers'!$A:$A,$FV$1),0),IFERROR(IF($GF32="SEGMENT",INDEX('Margin Guidence Table'!$A$1:$AG$10000,MATCH(1,('Margin Guidence Table'!$A$1:$A$10000=GD32)*('Margin Guidence Table'!$I$1:$I$10000&lt;=ROUND($FV$3,0))*('Margin Guidence Table'!$J$1:$J$10000&gt;=ROUND($FV$3,0)),0),MATCH("CIA_MEDIAN_MARGIN_GUIDENCE",'Margin Guidence Table'!$A$1:$AG$1,0)),INDEX('Margin Guidence Table'!$A$1:$AG$10000,MATCH(1,('Margin Guidence Table'!$A$1:$A$10000=GD32)*('Margin Guidence Table'!$I$1:$I$10000&lt;=ROUND($FV$3,0))*('Margin Guidence Table'!$J$1:$J$10000&gt;=ROUND($FV$3,0)),0),MATCH("DEFAULT_CIA_MEDIAN_MARGIN_GUIDENCE",'Margin Guidence Table'!$A$1:$AG$1,0))),0)))</f>
        <v>0</v>
      </c>
      <c r="GO32" s="126"/>
      <c r="GP32" s="18">
        <f t="array" ref="GP32">IF('Customer Inputs'!$W$12="End",0,IFERROR(IF($HC32="SEGMENT",INDEX('Margin Guidence Table'!$A$1:$AG$10000,MATCH(1,('Margin Guidence Table'!$A$1:$A$10000=$HA32)*('Margin Guidence Table'!$I$1:$I$10000&lt;=ROUND($GS$3,0))*('Margin Guidence Table'!$J$1:$J$10000&gt;=ROUND($GS$3,0)),0),MATCH("PCT_SALES",'Margin Guidence Table'!$A$1:$AG$1,0)),INDEX('Margin Guidence Table'!$A$1:$AG$10000,MATCH(1,('Margin Guidence Table'!$A$1:$A$10000=$HA32)*('Margin Guidence Table'!$I$1:$I$10000&lt;=ROUND($GS$3,0))*('Margin Guidence Table'!$J$1:$J$10000&gt;=ROUND($GS$3,0)),0),MATCH("DEFAULT_PCT_SALES",'Margin Guidence Table'!$A$1:$AG$1,0))),0))</f>
        <v>0</v>
      </c>
      <c r="GQ32" s="297" t="e">
        <f t="shared" si="44"/>
        <v>#DIV/0!</v>
      </c>
      <c r="GR32" s="99" t="s">
        <v>86</v>
      </c>
      <c r="GS32" s="91">
        <f>IF('Customer Inputs'!$W$12="End",0,IFERROR(IF(AND($GS$2&lt;&gt;"Enter Spend&gt;&gt;&gt;",$GT$2="EXISTING"),SUMIFS('Existing Customers'!$Q:$Q,'Existing Customers'!$A:$A,$GS$1,'Existing Customers'!$H:$H,$GR32)*$GS$4,$GS$3*$GQ32),0))</f>
        <v>0</v>
      </c>
      <c r="GT32" s="86">
        <f>IF('Customer Inputs'!$W$12="End",0,IFERROR(IF(AND($GS$2&lt;&gt;"Enter Spend&gt;&gt;&gt;",$GT$2="EXISTING"),SUMIFS('Existing Customers'!$N:$N,'Existing Customers'!$A:$A,$GS$1,'Existing Customers'!$H:$H,$GR32)*$GS$4,$GS32/$HD32),0))</f>
        <v>0</v>
      </c>
      <c r="GU32" s="92">
        <f>IF('Customer Inputs'!$W$12="End",0,IFERROR(IF(AND($GS$2&lt;&gt;"Enter Spend&gt;&gt;&gt;",$GT$2="EXISTING"),SUMIFS('Existing Customers'!$O:$O,'Existing Customers'!$H:$H,$GR32,'Existing Customers'!$A:$A,$GS$1)*$GS$4,$GT32*$GS$8),0))</f>
        <v>0</v>
      </c>
      <c r="GV32" s="92">
        <f>IF('Customer Inputs'!$W$12="End",0,IFERROR(IF(AND($GS$2&lt;&gt;"Enter Spend&gt;&gt;&gt;",$GT$2="EXISTING"),SUMIFS('Existing Customers'!$P:$P,'Existing Customers'!$A:$A,$GS$1,'Existing Customers'!$H:$H,$GR32)*$GS$4,$GS32/$HE32),0))</f>
        <v>0</v>
      </c>
      <c r="GW32" s="93">
        <f>IF('Customer Inputs'!$W$12="End",0,IFERROR(IF(AND($GS$2&lt;&gt;"Enter Spend&gt;&gt;&gt;",$GT$2="EXISTING"),SUMIFS('Existing Customers'!$V:$V,'Existing Customers'!$H:$H,$GR32,'Existing Customers'!$A:$A,$GS$1)*$GS$4,0),0))</f>
        <v>0</v>
      </c>
      <c r="GX32" s="93">
        <f>IF('Customer Inputs'!$W$12="End",0,IFERROR(IF(AND($GS$2&lt;&gt;"Enter Spend&gt;&gt;&gt;",$GT$2="EXISTING"),SUMIFS('Existing Customers'!$R:$R,'Existing Customers'!$H:$H,$GR32,'Existing Customers'!$A:$A,$GS$1)*$GS$4,0),0))</f>
        <v>0</v>
      </c>
      <c r="GY32" s="780">
        <f>IF('Customer Inputs'!$W$12="End",0,IFERROR(IF(AND($GS$2&lt;&gt;"Enter Spend&gt;&gt;&gt;",$GT$2="EXISTING"),SUMIFS('Existing Customers'!$S:$S,'Existing Customers'!$H:$H,$GR32,'Existing Customers'!$A:$A,$GS$1)/SUMIFS('Existing Customers'!$Q:$Q,'Existing Customers'!$A:$A,$GS$1,'Existing Customers'!$H:$H,$GR32),HI32),0))</f>
        <v>0</v>
      </c>
      <c r="GZ32" s="780">
        <f>IF('Customer Inputs'!$W$12="End",0,IFERROR(IF(AND($GS$2&lt;&gt;"Enter Spend&gt;&gt;&gt;",$GT$2="EXISTING"),SUMIFS('Existing Customers'!$U:$U,'Existing Customers'!$H:$H,$GR32,'Existing Customers'!$A:$A,$GS$1)/SUMIFS('Existing Customers'!$Q:$Q,'Existing Customers'!$A:$A,$GS$1,'Existing Customers'!$H:$H,$GR32),HJ32),0))</f>
        <v>0</v>
      </c>
      <c r="HA32" s="783" t="e">
        <f>_xlfn.CONCAT('Customer Inputs'!$AH$12,"_",GR32)</f>
        <v>#N/A</v>
      </c>
      <c r="HB32" s="783">
        <f t="array" ref="HB32">IF('Customer Inputs'!$W$12="End",0,IFERROR(INDEX('Margin Guidence Table'!$A$1:$AG$10000,MATCH(1,('Margin Guidence Table'!$A$1:$A$10000=HA32)*('Margin Guidence Table'!$I$1:$I$10000&lt;=ROUND($GS$3,0))*('Margin Guidence Table'!$J$1:$J$10000&gt;=ROUND($GS$3,0)),0),MATCH("DATA_POINTS",'Margin Guidence Table'!$A$1:$AG$1,0)),0))</f>
        <v>0</v>
      </c>
      <c r="HC32" s="780" t="str">
        <f t="shared" si="45"/>
        <v>DEFAULT</v>
      </c>
      <c r="HD32" s="780">
        <f t="array" ref="HD32">IF('Customer Inputs'!$W$12="End",0,IFERROR(IF($HC32="SEGMENT",INDEX('Margin Guidence Table'!$A$1:$AG$10000,MATCH(1,('Margin Guidence Table'!$A$1:$A$10000=HA32)*('Margin Guidence Table'!$I$1:$I$10000&lt;=ROUND($GS$3,0))*('Margin Guidence Table'!$J$1:$J$10000&gt;=ROUND($GS$3,0)),0),MATCH("SALES_CASE",'Margin Guidence Table'!$A$1:$AG$1,0)),INDEX('Margin Guidence Table'!$A$1:$AG$10000,MATCH(1,('Margin Guidence Table'!$A$1:$A$10000=HA32)*('Margin Guidence Table'!$I$1:$I$10000&lt;=ROUND($GS$3,0))*('Margin Guidence Table'!$J$1:$J$10000&gt;=ROUND($GS$3,0)),0),MATCH("DEFAULT_SALES_CASE",'Margin Guidence Table'!$A$1:$AG$1,0))),0))</f>
        <v>0</v>
      </c>
      <c r="HE32" s="780">
        <f t="array" ref="HE32">IF('Customer Inputs'!$W$12="End",0,IFERROR(IF($HC32="SEGMENT",INDEX('Margin Guidence Table'!$A$1:$AG$10000,MATCH(1,('Margin Guidence Table'!$A$1:$A$10000=HA32)*('Margin Guidence Table'!$I$1:$I$10000&lt;=ROUND($GS$3,0))*('Margin Guidence Table'!$J$1:$J$10000&gt;=ROUND($GS$3,0)),0),MATCH("SALES_LBS",'Margin Guidence Table'!$A$1:$AG$1,0)),INDEX('Margin Guidence Table'!$A$1:$AG$10000,MATCH(1,('Margin Guidence Table'!$A$1:$A$10000=HA32)*('Margin Guidence Table'!$I$1:$I$10000&lt;=ROUND($GS$3,0))*('Margin Guidence Table'!$J$1:$J$10000&gt;=ROUND($GS$3,0)),0),MATCH("DEFAULT_SALES_LBS",'Margin Guidence Table'!$A$1:$AG$1,0))),0))</f>
        <v>0</v>
      </c>
      <c r="HF32" s="784">
        <f t="array" ref="HF32">IF('Customer Inputs'!$W$12="End",0,IFERROR(IF($HC32="SEGMENT",INDEX('Margin Guidence Table'!$A$1:$AG$10000,MATCH(1,('Margin Guidence Table'!$A$1:$A$10000=HA32)*('Margin Guidence Table'!$I$1:$I$10000&lt;=ROUND($GS$3,0))*('Margin Guidence Table'!$J$1:$J$10000&gt;=ROUND($GS$3,0)),0),MATCH("MDA_MIN_MARGIN_GUIDENCE",'Margin Guidence Table'!$A$1:$AG$1,0)),INDEX('Margin Guidence Table'!$A$1:$AG$10000,MATCH(1,('Margin Guidence Table'!$A$1:$A$10000=HA32)*('Margin Guidence Table'!$I$1:$I$10000&lt;=ROUND($GS$3,0))*('Margin Guidence Table'!$J$1:$J$10000&gt;=ROUND($GS$3,0)),0),MATCH("DEFAULT_MDA_MIN_MARGIN_GUIDENCE",'Margin Guidence Table'!$A$1:$AG$1,0))),0))</f>
        <v>0</v>
      </c>
      <c r="HG32" s="784">
        <f t="array" ref="HG32">IF('Customer Inputs'!$W$12="End",0,IFERROR(IF($HC32="SEGMENT",INDEX('Margin Guidence Table'!$A$1:$AG$10000,MATCH(1,('Margin Guidence Table'!$A$1:$A$10000=HA32)*('Margin Guidence Table'!$I$1:$I$10000&lt;=ROUND($GS$3,0))*('Margin Guidence Table'!$J$1:$J$10000&gt;=ROUND($GS$3,0)),0),MATCH("MDA_MEDIAN_MARGIN_GUIDENCE",'Margin Guidence Table'!$A$1:$AG$1,0)),INDEX('Margin Guidence Table'!$A$1:$AG$10000,MATCH(1,('Margin Guidence Table'!$A$1:$A$10000=HA32)*('Margin Guidence Table'!$I$1:$I$10000&lt;=ROUND($GS$3,0))*('Margin Guidence Table'!$J$1:$J$10000&gt;=ROUND($GS$3,0)),0),MATCH("DEFAULT_MDA_MEDIAN_MARGIN_GUIDENCE",'Margin Guidence Table'!$A$1:$AG$1,0))),0))</f>
        <v>0</v>
      </c>
      <c r="HH32" s="784">
        <f t="array" ref="HH32">IF('Customer Inputs'!$W$12="End",0,IFERROR(IF($HC32="SEGMENT",INDEX('Margin Guidence Table'!$A$1:$AG$10000,MATCH(1,('Margin Guidence Table'!$A$1:$A$10000=HA32)*('Margin Guidence Table'!$I$1:$I$10000&lt;=ROUND($GS$3,0))*('Margin Guidence Table'!$J$1:$J$10000&gt;=ROUND($GS$3,0)),0),MATCH("MDA_MAX_MARGIN_GUIDENCE",'Margin Guidence Table'!$A$1:$AG$1,0)),INDEX('Margin Guidence Table'!$A$1:$AG$10000,MATCH(1,('Margin Guidence Table'!$A$1:$A$10000=HA32)*('Margin Guidence Table'!$I$1:$I$10000&lt;=ROUND($GS$3,0))*('Margin Guidence Table'!$J$1:$J$10000&gt;=ROUND($GS$3,0)),0),MATCH("DEFAULT_MDA_MAX_MARGIN_GUIDENCE",'Margin Guidence Table'!$A$1:$AG$1,0))),0))</f>
        <v>0</v>
      </c>
      <c r="HI32" s="784">
        <f t="array" ref="HI32">IF('Customer Inputs'!$W$12="End",0,IFERROR(IF($HC32="SEGMENT",INDEX('Margin Guidence Table'!$A$1:$AG$10000,MATCH(1,('Margin Guidence Table'!$A$1:$A$10000=HA32)*('Margin Guidence Table'!$I$1:$I$10000&lt;=ROUND($GS$3,0))*('Margin Guidence Table'!$J$1:$J$10000&gt;=ROUND($GS$3,0)),0),MATCH("PA_PCT_SALES",'Margin Guidence Table'!$A$1:$AG$1,0)),INDEX('Margin Guidence Table'!$A$1:$AG$10000,MATCH(1,('Margin Guidence Table'!$A$1:$A$10000=HA32)*('Margin Guidence Table'!$I$1:$I$10000&lt;=ROUND($GS$3,0))*('Margin Guidence Table'!$J$1:$J$10000&gt;=ROUND($GS$3,0)),0),MATCH("DEFAULT_PA_PCT_SALES",'Margin Guidence Table'!$A$1:$AG$1,0))),0))</f>
        <v>0</v>
      </c>
      <c r="HJ32" s="784">
        <f t="array" ref="HJ32">IF('Customer Inputs'!$W$12="End",0,IFERROR(IF($HC32="SEGMENT",INDEX('Margin Guidence Table'!$A$1:$AG$10000,MATCH(1,('Margin Guidence Table'!$A$1:$A$10000=HA32)*('Margin Guidence Table'!$I$1:$I$10000&lt;=ROUND($GS$3,0))*('Margin Guidence Table'!$J$1:$J$10000&gt;=ROUND($GS$3,0)),0),MATCH("SELF_FUND_PCT_SALES",'Margin Guidence Table'!$A$1:$AG$1,0)),INDEX('Margin Guidence Table'!$A$1:$AG$10000,MATCH(1,('Margin Guidence Table'!$A$1:$A$10000=HA32)*('Margin Guidence Table'!$I$1:$I$10000&lt;=ROUND($GS$3,0))*('Margin Guidence Table'!$J$1:$J$10000&gt;=ROUND($GS$3,0)),0),MATCH("DEFAULT_SELF_FUND_PCT_SALES",'Margin Guidence Table'!$A$1:$AG$1,0))),0))</f>
        <v>0</v>
      </c>
      <c r="HK32" s="784">
        <f t="array" ref="HK32">IF('Customer Inputs'!$W$12="End",0,IF($GT$2="Existing",IFERROR(SUMIFS('Existing Customers'!$V:$V,'Existing Customers'!$H:$H,$GR32,'Existing Customers'!$A:$A,$GS$1)/SUMIFS('Existing Customers'!$Q:$Q,'Existing Customers'!$H:$H,$GR32,'Existing Customers'!$A:$A,$GS$1),0),IFERROR(IF($HC32="SEGMENT",INDEX('Margin Guidence Table'!$A$1:$AG$10000,MATCH(1,('Margin Guidence Table'!$A$1:$A$10000=HA32)*('Margin Guidence Table'!$I$1:$I$10000&lt;=ROUND($GS$3,0))*('Margin Guidence Table'!$J$1:$J$10000&gt;=ROUND($GS$3,0)),0),MATCH("CIA_MEDIAN_MARGIN_GUIDENCE",'Margin Guidence Table'!$A$1:$AG$1,0)),INDEX('Margin Guidence Table'!$A$1:$AG$10000,MATCH(1,('Margin Guidence Table'!$A$1:$A$10000=HA32)*('Margin Guidence Table'!$I$1:$I$10000&lt;=ROUND($GS$3,0))*('Margin Guidence Table'!$J$1:$J$10000&gt;=ROUND($GS$3,0)),0),MATCH("DEFAULT_CIA_MEDIAN_MARGIN_GUIDENCE",'Margin Guidence Table'!$A$1:$AG$1,0))),0)))</f>
        <v>0</v>
      </c>
      <c r="HL32" s="126"/>
      <c r="HM32" s="18">
        <f t="array" ref="HM32">IF('Customer Inputs'!$W$13="End",0,IFERROR(IF($HZ32="SEGMENT",INDEX('Margin Guidence Table'!$A$1:$AG$10000,MATCH(1,('Margin Guidence Table'!$A$1:$A$10000=$HX32)*('Margin Guidence Table'!$I$1:$I$10000&lt;=ROUND($HP$3,0))*('Margin Guidence Table'!$J$1:$J$10000&gt;=ROUND($HP$3,0)),0),MATCH("PCT_SALES",'Margin Guidence Table'!$A$1:$AG$1,0)),INDEX('Margin Guidence Table'!$A$1:$AG$10000,MATCH(1,('Margin Guidence Table'!$A$1:$A$10000=$HX32)*('Margin Guidence Table'!$I$1:$I$10000&lt;=ROUND($HP$3,0))*('Margin Guidence Table'!$J$1:$J$10000&gt;=ROUND($HP$3,0)),0),MATCH("DEFAULT_PCT_SALES",'Margin Guidence Table'!$A$1:$AG$1,0))),0))</f>
        <v>0</v>
      </c>
      <c r="HN32" s="297" t="e">
        <f t="shared" si="46"/>
        <v>#DIV/0!</v>
      </c>
      <c r="HO32" s="99" t="s">
        <v>86</v>
      </c>
      <c r="HP32" s="91">
        <f>IF('Customer Inputs'!$W$13="End",0,IFERROR(IF(AND($HP$2&lt;&gt;"Enter Spend&gt;&gt;&gt;",$HQ$2="EXISTING"),SUMIFS('Existing Customers'!$Q:$Q,'Existing Customers'!$A:$A,$HP$1,'Existing Customers'!$H:$H,$HO32)*$HP$4,$HP$3*$HN32),0))</f>
        <v>0</v>
      </c>
      <c r="HQ32" s="86">
        <f>IF('Customer Inputs'!$W$13="End",0,IFERROR(IF(AND($HP$2&lt;&gt;"Enter Spend&gt;&gt;&gt;",$HQ$2="EXISTING"),SUMIFS('Existing Customers'!$N:$N,'Existing Customers'!$A:$A,$HP$1,'Existing Customers'!$H:$H,$HO32)*$HP$4,$HP32/$IA32),0))</f>
        <v>0</v>
      </c>
      <c r="HR32" s="92">
        <f>IF('Customer Inputs'!$W$13="End",0,IFERROR(IF(AND($HP$2&lt;&gt;"Enter Spend&gt;&gt;&gt;",$HQ$2="EXISTING"),SUMIFS('Existing Customers'!$O:$O,'Existing Customers'!$H:$H,$HO32,'Existing Customers'!$A:$A,$HP$1)*$HP$4,$HQ32*$HP$8),0))</f>
        <v>0</v>
      </c>
      <c r="HS32" s="92">
        <f>IF('Customer Inputs'!$W$13="End",0,IFERROR(IF(AND($HP$2&lt;&gt;"Enter Spend&gt;&gt;&gt;",$HQ$2="EXISTING"),SUMIFS('Existing Customers'!$P:$P,'Existing Customers'!$A:$A,$HP$1,'Existing Customers'!$H:$H,$HO32)*$HP$4,$HP32/$IB32),0))</f>
        <v>0</v>
      </c>
      <c r="HT32" s="93">
        <f>IF('Customer Inputs'!$W$13="End",0,IFERROR(IF(AND($HP$2&lt;&gt;"Enter Spend&gt;&gt;&gt;",$HQ$2="EXISTING"),SUMIFS('Existing Customers'!$V:$V,'Existing Customers'!$H:$H,$HO32,'Existing Customers'!$A:$A,$HP$1)*$HP$4,0),0))</f>
        <v>0</v>
      </c>
      <c r="HU32" s="93">
        <f>IF('Customer Inputs'!$W$13="End",0,IFERROR(IF(AND($HP$2&lt;&gt;"Enter Spend&gt;&gt;&gt;",$HQ$2="EXISTING"),SUMIFS('Existing Customers'!$R:$R,'Existing Customers'!$H:$H,$HO32,'Existing Customers'!$A:$A,$HP$1)*$HP$4,0),0))</f>
        <v>0</v>
      </c>
      <c r="HV32" s="780">
        <f>IF('Customer Inputs'!$W$13="End",0,IFERROR(IF(AND($HP$2&lt;&gt;"Enter Spend&gt;&gt;&gt;",$HQ$2="EXISTING"),SUMIFS('Existing Customers'!$S:$S,'Existing Customers'!$H:$H,$HO32,'Existing Customers'!$A:$A,$HP$1)/SUMIFS('Existing Customers'!$Q:$Q,'Existing Customers'!$A:$A,$HP$1,'Existing Customers'!$H:$H,$HO32),IF32),0))</f>
        <v>0</v>
      </c>
      <c r="HW32" s="780">
        <f>IF('Customer Inputs'!$W$13="End",0,IFERROR(IF(AND($HP$2&lt;&gt;"Enter Spend&gt;&gt;&gt;",$HQ$2="EXISTING"),SUMIFS('Existing Customers'!$U:$U,'Existing Customers'!$H:$H,$HO32,'Existing Customers'!$A:$A,$HP$1)/SUMIFS('Existing Customers'!$Q:$Q,'Existing Customers'!$A:$A,$HP$1,'Existing Customers'!$H:$H,$HO32),IG32),0))</f>
        <v>0</v>
      </c>
      <c r="HX32" s="783" t="e">
        <f>_xlfn.CONCAT('Customer Inputs'!$AH$13,"_",HO32)</f>
        <v>#N/A</v>
      </c>
      <c r="HY32" s="783">
        <f t="array" ref="HY32">IF('Customer Inputs'!$W$13="End",0,IFERROR(INDEX('Margin Guidence Table'!$A$1:$AG$10000,MATCH(1,('Margin Guidence Table'!$A$1:$A$10000=HX32)*('Margin Guidence Table'!$I$1:$I$10000&lt;=ROUND($HP$3,0))*('Margin Guidence Table'!$J$1:$J$10000&gt;=ROUND($HP$3,0)),0),MATCH("DATA_POINTS",'Margin Guidence Table'!$A$1:$AG$1,0)),0))</f>
        <v>0</v>
      </c>
      <c r="HZ32" s="780" t="str">
        <f t="shared" si="47"/>
        <v>DEFAULT</v>
      </c>
      <c r="IA32" s="780">
        <f t="array" ref="IA32">IF('Customer Inputs'!$W$13="End",0,IFERROR(IF($HZ32="SEGMENT",INDEX('Margin Guidence Table'!$A$1:$AG$10000,MATCH(1,('Margin Guidence Table'!$A$1:$A$10000=HX32)*('Margin Guidence Table'!$I$1:$I$10000&lt;=ROUND($HP$3,0))*('Margin Guidence Table'!$J$1:$J$10000&gt;=ROUND($HP$3,0)),0),MATCH("SALES_CASE",'Margin Guidence Table'!$A$1:$AG$1,0)),INDEX('Margin Guidence Table'!$A$1:$AG$10000,MATCH(1,('Margin Guidence Table'!$A$1:$A$10000=HX32)*('Margin Guidence Table'!$I$1:$I$10000&lt;=ROUND($HP$3,0))*('Margin Guidence Table'!$J$1:$J$10000&gt;=ROUND($HP$3,0)),0),MATCH("DEFAULT_SALES_CASE",'Margin Guidence Table'!$A$1:$AG$1,0))),0))</f>
        <v>0</v>
      </c>
      <c r="IB32" s="780">
        <f t="array" ref="IB32">IF('Customer Inputs'!$W$13="End",0,IFERROR(IF($HZ32="SEGMENT",INDEX('Margin Guidence Table'!$A$1:$AG$10000,MATCH(1,('Margin Guidence Table'!$A$1:$A$10000=HX32)*('Margin Guidence Table'!$I$1:$I$10000&lt;=ROUND($HP$3,0))*('Margin Guidence Table'!$J$1:$J$10000&gt;=ROUND($HP$3,0)),0),MATCH("SALES_LBS",'Margin Guidence Table'!$A$1:$AG$1,0)),INDEX('Margin Guidence Table'!$A$1:$AG$10000,MATCH(1,('Margin Guidence Table'!$A$1:$A$10000=HX32)*('Margin Guidence Table'!$I$1:$I$10000&lt;=ROUND($HP$3,0))*('Margin Guidence Table'!$J$1:$J$10000&gt;=ROUND($HP$3,0)),0),MATCH("DEFAULT_SALES_LBS",'Margin Guidence Table'!$A$1:$AG$1,0))),0))</f>
        <v>0</v>
      </c>
      <c r="IC32" s="784">
        <f t="array" ref="IC32">IF('Customer Inputs'!$W$13="End",0,IFERROR(IF($HZ32="SEGMENT",INDEX('Margin Guidence Table'!$A$1:$AG$10000,MATCH(1,('Margin Guidence Table'!$A$1:$A$10000=HX32)*('Margin Guidence Table'!$I$1:$I$10000&lt;=ROUND($HP$3,0))*('Margin Guidence Table'!$J$1:$J$10000&gt;=ROUND($HP$3,0)),0),MATCH("MDA_MIN_MARGIN_GUIDENCE",'Margin Guidence Table'!$A$1:$AG$1,0)),INDEX('Margin Guidence Table'!$A$1:$AG$10000,MATCH(1,('Margin Guidence Table'!$A$1:$A$10000=HX32)*('Margin Guidence Table'!$I$1:$I$10000&lt;=ROUND($HP$3,0))*('Margin Guidence Table'!$J$1:$J$10000&gt;=ROUND($HP$3,0)),0),MATCH("DEFAULT_MDA_MIN_MARGIN_GUIDENCE",'Margin Guidence Table'!$A$1:$AG$1,0))),0))</f>
        <v>0</v>
      </c>
      <c r="ID32" s="784">
        <f t="array" ref="ID32">IF('Customer Inputs'!$W$13="End",0,IFERROR(IF($HZ32="SEGMENT",INDEX('Margin Guidence Table'!$A$1:$AG$10000,MATCH(1,('Margin Guidence Table'!$A$1:$A$10000=HX32)*('Margin Guidence Table'!$I$1:$I$10000&lt;=ROUND($HP$3,0))*('Margin Guidence Table'!$J$1:$J$10000&gt;=ROUND($HP$3,0)),0),MATCH("MDA_MEDIAN_MARGIN_GUIDENCE",'Margin Guidence Table'!$A$1:$AG$1,0)),INDEX('Margin Guidence Table'!$A$1:$AG$10000,MATCH(1,('Margin Guidence Table'!$A$1:$A$10000=HX32)*('Margin Guidence Table'!$I$1:$I$10000&lt;=ROUND($HP$3,0))*('Margin Guidence Table'!$J$1:$J$10000&gt;=ROUND($HP$3,0)),0),MATCH("DEFAULT_MDA_MEDIAN_MARGIN_GUIDENCE",'Margin Guidence Table'!$A$1:$AG$1,0))),0))</f>
        <v>0</v>
      </c>
      <c r="IE32" s="784">
        <f t="array" ref="IE32">IF('Customer Inputs'!$W$13="End",0,IFERROR(IF($HZ32="SEGMENT",INDEX('Margin Guidence Table'!$A$1:$AG$10000,MATCH(1,('Margin Guidence Table'!$A$1:$A$10000=HX32)*('Margin Guidence Table'!$I$1:$I$10000&lt;=ROUND($HP$3,0))*('Margin Guidence Table'!$J$1:$J$10000&gt;=ROUND($HP$3,0)),0),MATCH("MDA_MAX_MARGIN_GUIDENCE",'Margin Guidence Table'!$A$1:$AG$1,0)),INDEX('Margin Guidence Table'!$A$1:$AG$10000,MATCH(1,('Margin Guidence Table'!$A$1:$A$10000=HX32)*('Margin Guidence Table'!$I$1:$I$10000&lt;=ROUND($HP$3,0))*('Margin Guidence Table'!$J$1:$J$10000&gt;=ROUND($HP$3,0)),0),MATCH("DEFAULT_MDA_MAX_MARGIN_GUIDENCE",'Margin Guidence Table'!$A$1:$AG$1,0))),0))</f>
        <v>0</v>
      </c>
      <c r="IF32" s="784">
        <f t="array" ref="IF32">IF('Customer Inputs'!$W$13="End",0,IFERROR(IF($HZ32="SEGMENT",INDEX('Margin Guidence Table'!$A$1:$AG$10000,MATCH(1,('Margin Guidence Table'!$A$1:$A$10000=HX32)*('Margin Guidence Table'!$I$1:$I$10000&lt;=ROUND($HP$3,0))*('Margin Guidence Table'!$J$1:$J$10000&gt;=ROUND($HP$3,0)),0),MATCH("PA_PCT_SALES",'Margin Guidence Table'!$A$1:$AG$1,0)),INDEX('Margin Guidence Table'!$A$1:$AG$10000,MATCH(1,('Margin Guidence Table'!$A$1:$A$10000=HX32)*('Margin Guidence Table'!$I$1:$I$10000&lt;=ROUND($HP$3,0))*('Margin Guidence Table'!$J$1:$J$10000&gt;=ROUND($HP$3,0)),0),MATCH("DEFAULT_PA_PCT_SALES",'Margin Guidence Table'!$A$1:$AG$1,0))),0))</f>
        <v>0</v>
      </c>
      <c r="IG32" s="784">
        <f t="array" ref="IG32">IF('Customer Inputs'!$W$13="End",0,IFERROR(IF($HZ32="SEGMENT",INDEX('Margin Guidence Table'!$A$1:$AG$10000,MATCH(1,('Margin Guidence Table'!$A$1:$A$10000=HX32)*('Margin Guidence Table'!$I$1:$I$10000&lt;=ROUND($HP$3,0))*('Margin Guidence Table'!$J$1:$J$10000&gt;=ROUND($HP$3,0)),0),MATCH("SELF_FUND_PCT_SALES",'Margin Guidence Table'!$A$1:$AG$1,0)),INDEX('Margin Guidence Table'!$A$1:$AG$10000,MATCH(1,('Margin Guidence Table'!$A$1:$A$10000=HX32)*('Margin Guidence Table'!$I$1:$I$10000&lt;=ROUND($HP$3,0))*('Margin Guidence Table'!$J$1:$J$10000&gt;=ROUND($HP$3,0)),0),MATCH("DEFAULT_SELF_FUND_PCT_SALES",'Margin Guidence Table'!$A$1:$AG$1,0))),0))</f>
        <v>0</v>
      </c>
      <c r="IH32" s="784">
        <f t="array" ref="IH32">IF('Customer Inputs'!$W$13="End",0,IF($HQ$2="Existing",IFERROR(SUMIFS('Existing Customers'!$V:$V,'Existing Customers'!$H:$H,$HO32,'Existing Customers'!$A:$A,$HP$1)/SUMIFS('Existing Customers'!$Q:$Q,'Existing Customers'!$H:$H,$HO32,'Existing Customers'!$A:$A,$HP$1),0),IFERROR(IF($HZ32="SEGMENT",INDEX('Margin Guidence Table'!$A$1:$AG$10000,MATCH(1,('Margin Guidence Table'!$A$1:$A$10000=HX32)*('Margin Guidence Table'!$I$1:$I$10000&lt;=ROUND($HP$3,0))*('Margin Guidence Table'!$J$1:$J$10000&gt;=ROUND($HP$3,0)),0),MATCH("CIA_MEDIAN_MARGIN_GUIDENCE",'Margin Guidence Table'!$A$1:$AG$1,0)),INDEX('Margin Guidence Table'!$A$1:$AG$10000,MATCH(1,('Margin Guidence Table'!$A$1:$A$10000=HX32)*('Margin Guidence Table'!$I$1:$I$10000&lt;=ROUND($HP$3,0))*('Margin Guidence Table'!$J$1:$J$10000&gt;=ROUND($HP$3,0)),0),MATCH("DEFAULT_CIA_MEDIAN_MARGIN_GUIDENCE",'Margin Guidence Table'!$A$1:$AG$1,0))),0)))</f>
        <v>0</v>
      </c>
      <c r="II32" s="126"/>
      <c r="IJ32" s="18">
        <f t="array" ref="IJ32">IF('Customer Inputs'!$W$14="End",0,IFERROR(IF($IW32="SEGMENT",INDEX('Margin Guidence Table'!$A:$AC,MATCH(1,('Margin Guidence Table'!$A:$A=$IU32)*('Margin Guidence Table'!$H:$H&lt;=ROUND($IM$3,0))*('Margin Guidence Table'!$G:$G&gt;=ROUND($IM$3,0)),0),MATCH("PCT_SALES",'Margin Guidence Table'!$A$1:$AG$1,0)),INDEX('Margin Guidence Table'!$A:$AC,MATCH(1,('Margin Guidence Table'!$A:$A=$IU32)*('Margin Guidence Table'!$H:$H&lt;=ROUND($IM$3,0))*('Margin Guidence Table'!$G:$G&gt;=ROUND($IM$3,0)),0),MATCH("DEFAULT_PCT_SALES",'Margin Guidence Table'!$A$1:$AG$1,0))),0))</f>
        <v>0</v>
      </c>
      <c r="IK32" s="297" t="e">
        <f t="shared" si="48"/>
        <v>#DIV/0!</v>
      </c>
      <c r="IL32" s="99" t="s">
        <v>86</v>
      </c>
      <c r="IM32" s="91">
        <f>IF('Customer Inputs'!$W$14="End",0,IFERROR(IF(AND($IM$2&lt;&gt;"Enter Spend&gt;&gt;&gt;",$IN$2="EXISTING"),SUMIFS('Existing Customers'!$Q:$Q,'Existing Customers'!$A:$A,$IM$1,'Existing Customers'!$H:$H,$IL32)*$IM$4,$IM$3*$IK32),0))</f>
        <v>0</v>
      </c>
      <c r="IN32" s="86">
        <f>IF('Customer Inputs'!$W$14="End",0,IFERROR(IF(AND($IM$2&lt;&gt;"Enter Spend&gt;&gt;&gt;",$IN$2="EXISTING"),SUMIFS('Existing Customers'!$N:$N,'Existing Customers'!$A:$A,$IM$1,'Existing Customers'!$H:$H,$IL32)*$IM$4,$IM32/$IX32),0))</f>
        <v>0</v>
      </c>
      <c r="IO32" s="92">
        <f>IF('Customer Inputs'!$W$14="End",0,IFERROR(IF(AND($IM$2&lt;&gt;"Enter Spend&gt;&gt;&gt;",$IN$2="EXISTING"),SUMIFS('Existing Customers'!$O:$O,'Existing Customers'!$H:$H,$IL32,'Existing Customers'!$A:$A,$IM$1)*$IM$4,$IN32*$IM$8),0))</f>
        <v>0</v>
      </c>
      <c r="IP32" s="92">
        <f>IF('Customer Inputs'!$W$14="End",0,IFERROR(IF(AND($IM$2&lt;&gt;"Enter Spend&gt;&gt;&gt;",$IN$2="EXISTING"),SUMIFS('Existing Customers'!$P:$P,'Existing Customers'!$A:$A,$IM$1,'Existing Customers'!$H:$H,$IL32)*$IM$4,$IM32/$IY32),0))</f>
        <v>0</v>
      </c>
      <c r="IQ32" s="303">
        <f>IF('Customer Inputs'!$W$14="End",0,IFERROR(IF(AND($IM$2&lt;&gt;"Enter Spend&gt;&gt;&gt;",$IN$2="EXISTING"),SUMIFS('Existing Customers'!$V:$V,'Existing Customers'!$H:$H,$IL32,'Existing Customers'!$A:$A,$IM$1)*$IM$4,0),0))</f>
        <v>0</v>
      </c>
      <c r="IR32" s="93">
        <f>IF('Customer Inputs'!$W$14="End",0,IFERROR(IF(AND($IM$2&lt;&gt;"Enter Spend&gt;&gt;&gt;",$IN$2="EXISTING"),SUMIFS('Existing Customers'!$R:$R,'Existing Customers'!$H:$H,$IL32,'Existing Customers'!$A:$A,$IM$1)*$IM$4,0),0))</f>
        <v>0</v>
      </c>
      <c r="IS32" s="780">
        <f>IF('Customer Inputs'!$W$14="End",0,IFERROR(IF(AND($IM$2&lt;&gt;"Enter Spend&gt;&gt;&gt;",$IN$2="EXISTING"),SUMIFS('Existing Customers'!$S:$S,'Existing Customers'!$H:$H,$IL32,'Existing Customers'!$A:$A,$IM$1)/SUMIFS('Existing Customers'!$Q:$Q,'Existing Customers'!$A:$A,$IM$1,'Existing Customers'!$H:$H,$IL32),JC32),0))</f>
        <v>0</v>
      </c>
      <c r="IT32" s="780">
        <f>IF('Customer Inputs'!$W$14="End",0,IFERROR(IF(AND($IM$2&lt;&gt;"Enter Spend&gt;&gt;&gt;",$IN$2="EXISTING"),SUMIFS('Existing Customers'!$U:$U,'Existing Customers'!$H:$H,$IL32,'Existing Customers'!$A:$A,$IM$1)/SUMIFS('Existing Customers'!$Q:$Q,'Existing Customers'!$A:$A,$IM$1,'Existing Customers'!$H:$H,$IL32),JD32),0))</f>
        <v>0</v>
      </c>
      <c r="IU32" s="783" t="e">
        <f>_xlfn.CONCAT('Customer Inputs'!$AH$14,"_",IL32)</f>
        <v>#N/A</v>
      </c>
      <c r="IV32" s="783">
        <f t="array" ref="IV32">IF('Customer Inputs'!$W$14="End",0,IFERROR(INDEX('Margin Guidence Table'!$A$1:$AG$10000,MATCH(1,('Margin Guidence Table'!$A$1:$A$10000=IU32)*('Margin Guidence Table'!$I$1:$I$10000&lt;=ROUND($IM$3,0))*('Margin Guidence Table'!$J$1:$J$10000&gt;=ROUND($IM$3,0)),0),MATCH("DATA_POINTS",'Margin Guidence Table'!$A$1:$AG$1,0)),0))</f>
        <v>0</v>
      </c>
      <c r="IW32" s="780" t="str">
        <f t="shared" si="49"/>
        <v>DEFAULT</v>
      </c>
      <c r="IX32" s="780">
        <f t="array" ref="IX32">IF('Customer Inputs'!$W$14="End",0,IFERROR(IF($IW32="SEGMENT",INDEX('Margin Guidence Table'!$A$1:$AG$10000,MATCH(1,('Margin Guidence Table'!$A$1:$A$10000=IU32)*('Margin Guidence Table'!$I$1:$I$10000&lt;=ROUND($IM$3,0))*('Margin Guidence Table'!$J$1:$J$10000&gt;=ROUND($IM$3,0)),0),MATCH("SALES_CASE",'Margin Guidence Table'!$A$1:$AG$1,0)),INDEX('Margin Guidence Table'!$A$1:$AG$10000,MATCH(1,('Margin Guidence Table'!$A$1:$A$10000=IU32)*('Margin Guidence Table'!$I$1:$I$10000&lt;=ROUND($IM$3,0))*('Margin Guidence Table'!$J$1:$J$10000&gt;=ROUND($IM$3,0)),0),MATCH("DEFAULT_SALES_CASE",'Margin Guidence Table'!$A$1:$AG$1,0))),0))</f>
        <v>0</v>
      </c>
      <c r="IY32" s="780">
        <f t="array" ref="IY32">IF('Customer Inputs'!$W$14="End",0,IFERROR(IF($IW32="SEGMENT",INDEX('Margin Guidence Table'!$A$1:$AG$10000,MATCH(1,('Margin Guidence Table'!$A$1:$A$10000=IU32)*('Margin Guidence Table'!$I$1:$I$10000&lt;=ROUND($IM$3,0))*('Margin Guidence Table'!$J$1:$J$10000&gt;=ROUND($IM$3,0)),0),MATCH("SALES_LBS",'Margin Guidence Table'!$A$1:$AG$1,0)),INDEX('Margin Guidence Table'!$A$1:$AG$10000,MATCH(1,('Margin Guidence Table'!$A$1:$A$10000=IU32)*('Margin Guidence Table'!$I$1:$I$10000&lt;=ROUND($IM$3,0))*('Margin Guidence Table'!$J$1:$J$10000&gt;=ROUND($IM$3,0)),0),MATCH("DEFAULT_SALES_LBS",'Margin Guidence Table'!$A$1:$AG$1,0))),0))</f>
        <v>0</v>
      </c>
      <c r="IZ32" s="784">
        <f t="array" ref="IZ32">IF('Customer Inputs'!$W$14="End",0,IFERROR(IF($IW32="SEGMENT",INDEX('Margin Guidence Table'!$A$1:$AG$10000,MATCH(1,('Margin Guidence Table'!$A$1:$A$10000=IU32)*('Margin Guidence Table'!$I$1:$I$10000&lt;=ROUND($IM$3,0))*('Margin Guidence Table'!$J$1:$J$10000&gt;=ROUND($IM$3,0)),0),MATCH("MDA_MIN_MARGIN_GUIDENCE",'Margin Guidence Table'!$A$1:$AG$1,0)),INDEX('Margin Guidence Table'!$A$1:$AG$10000,MATCH(1,('Margin Guidence Table'!$A$1:$A$10000=IU32)*('Margin Guidence Table'!$I$1:$I$10000&lt;=ROUND($IM$3,0))*('Margin Guidence Table'!$J$1:$J$10000&gt;=ROUND($IM$3,0)),0),MATCH("DEFAULT_MDA_MIN_MARGIN_GUIDENCE",'Margin Guidence Table'!$A$1:$AG$1,0))),0))</f>
        <v>0</v>
      </c>
      <c r="JA32" s="784">
        <f t="array" ref="JA32">IF('Customer Inputs'!$W$14="End",0,IFERROR(IF($IW32="SEGMENT",INDEX('Margin Guidence Table'!$A$1:$AG$10000,MATCH(1,('Margin Guidence Table'!$A$1:$A$10000=IU32)*('Margin Guidence Table'!$I$1:$I$10000&lt;=ROUND($IM$3,0))*('Margin Guidence Table'!$J$1:$J$10000&gt;=ROUND($IM$3,0)),0),MATCH("MDA_MEDIAN_MARGIN_GUIDENCE",'Margin Guidence Table'!$A$1:$AG$1,0)),INDEX('Margin Guidence Table'!$A$1:$AG$10000,MATCH(1,('Margin Guidence Table'!$A$1:$A$10000=IU32)*('Margin Guidence Table'!$I$1:$I$10000&lt;=ROUND($IM$3,0))*('Margin Guidence Table'!$J$1:$J$10000&gt;=ROUND($IM$3,0)),0),MATCH("DEFAULT_MDA_MEDIAN_MARGIN_GUIDENCE",'Margin Guidence Table'!$A$1:$AG$1,0))),0))</f>
        <v>0</v>
      </c>
      <c r="JB32" s="784">
        <f t="array" ref="JB32">IF('Customer Inputs'!$W$14="End",0,IFERROR(IF($IW32="SEGMENT",INDEX('Margin Guidence Table'!$A$1:$AG$10000,MATCH(1,('Margin Guidence Table'!$A$1:$A$10000=IU32)*('Margin Guidence Table'!$I$1:$I$10000&lt;=ROUND($IM$3,0))*('Margin Guidence Table'!$J$1:$J$10000&gt;=ROUND($IM$3,0)),0),MATCH("MDA_MAX_MARGIN_GUIDENCE",'Margin Guidence Table'!$A$1:$AG$1,0)),INDEX('Margin Guidence Table'!$A$1:$AG$10000,MATCH(1,('Margin Guidence Table'!$A$1:$A$10000=IU32)*('Margin Guidence Table'!$I$1:$I$10000&lt;=ROUND($IM$3,0))*('Margin Guidence Table'!$J$1:$J$10000&gt;=ROUND($IM$3,0)),0),MATCH("DEFAULT_MDA_MAX_MARGIN_GUIDENCE",'Margin Guidence Table'!$A$1:$AG$1,0))),0))</f>
        <v>0</v>
      </c>
      <c r="JC32" s="784">
        <f t="array" ref="JC32">IF('Customer Inputs'!$W$14="End",0,IFERROR(IF($IW32="SEGMENT",INDEX('Margin Guidence Table'!$A$1:$AG$10000,MATCH(1,('Margin Guidence Table'!$A$1:$A$10000=IU32)*('Margin Guidence Table'!$I$1:$I$10000&lt;=ROUND($IM$3,0))*('Margin Guidence Table'!$J$1:$J$10000&gt;=ROUND($IM$3,0)),0),MATCH("PA_PCT_SALES",'Margin Guidence Table'!$A$1:$AG$1,0)),INDEX('Margin Guidence Table'!$A$1:$AG$10000,MATCH(1,('Margin Guidence Table'!$A$1:$A$10000=IU32)*('Margin Guidence Table'!$I$1:$I$10000&lt;=ROUND($IM$3,0))*('Margin Guidence Table'!$J$1:$J$10000&gt;=ROUND($IM$3,0)),0),MATCH("DEFAULT_PA_PCT_SALES",'Margin Guidence Table'!$A$1:$AG$1,0))),0))</f>
        <v>0</v>
      </c>
      <c r="JD32" s="784">
        <f t="array" ref="JD32">IF('Customer Inputs'!$W$14="End",0,IFERROR(IF($IW32="SEGMENT",INDEX('Margin Guidence Table'!$A$1:$AG$10000,MATCH(1,('Margin Guidence Table'!$A$1:$A$10000=IU32)*('Margin Guidence Table'!$I$1:$I$10000&lt;=ROUND($IM$3,0))*('Margin Guidence Table'!$J$1:$J$10000&gt;=ROUND($IM$3,0)),0),MATCH("SELF_FUND_PCT_SALES",'Margin Guidence Table'!$A$1:$AG$1,0)),INDEX('Margin Guidence Table'!$A$1:$AG$10000,MATCH(1,('Margin Guidence Table'!$A$1:$A$10000=IU32)*('Margin Guidence Table'!$I$1:$I$10000&lt;=ROUND($IM$3,0))*('Margin Guidence Table'!$J$1:$J$10000&gt;=ROUND($IM$3,0)),0),MATCH("DEFAULT_SELF_FUND_PCT_SALES",'Margin Guidence Table'!$A$1:$AG$1,0))),0))</f>
        <v>0</v>
      </c>
      <c r="JE32" s="784">
        <f t="array" ref="JE32">IF('Customer Inputs'!$W$14="End",0,IF($IN$2="Existing",IFERROR(SUMIFS('Existing Customers'!$V:$V,'Existing Customers'!$H:$H,$IL32,'Existing Customers'!$A:$A,$IM$1)/SUMIFS('Existing Customers'!$Q:$Q,'Existing Customers'!$H:$H,$IL32,'Existing Customers'!$A:$A,$IM$1),0),IFERROR(IF($IW32="SEGMENT",INDEX('Margin Guidence Table'!$A$1:$AG$10000,MATCH(1,('Margin Guidence Table'!$A$1:$A$10000=IU32)*('Margin Guidence Table'!$I$1:$I$10000&lt;=ROUND($IM$3,0))*('Margin Guidence Table'!$J$1:$J$10000&gt;=ROUND($IM$3,0)),0),MATCH("CIA_MEDIAN_MARGIN_GUIDENCE",'Margin Guidence Table'!$A$1:$AG$1,0)),INDEX('Margin Guidence Table'!$A$1:$AG$10000,MATCH(1,('Margin Guidence Table'!$A$1:$A$10000=IU32)*('Margin Guidence Table'!$I$1:$I$10000&lt;=ROUND($IM$3,0))*('Margin Guidence Table'!$J$1:$J$10000&gt;=ROUND($IM$3,0)),0),MATCH("DEFAULT_CIA_MEDIAN_MARGIN_GUIDENCE",'Margin Guidence Table'!$A$1:$AG$1,0))),0)))</f>
        <v>0</v>
      </c>
      <c r="JF32" s="126"/>
      <c r="JG32" s="18">
        <f t="array" ref="JG32">IF('Customer Inputs'!$W$15="End",0,IFERROR(IF($JT32="SEGMENT",INDEX('Margin Guidence Table'!$A$1:$AG$10000,MATCH(1,('Margin Guidence Table'!$A$1:$A$10000=$JR32)*('Margin Guidence Table'!$I$1:$I$10000&lt;=ROUND($JJ$3,0))*('Margin Guidence Table'!$J$1:$J$10000&gt;=ROUND($JJ$3,0)),0),MATCH("PCT_SALES",'Margin Guidence Table'!$A$1:$AG$1,0)),INDEX('Margin Guidence Table'!$A$1:$AG$10000,MATCH(1,('Margin Guidence Table'!$A$1:$A$10000=$JR32)*('Margin Guidence Table'!$I$1:$I$10000&lt;=ROUND($JJ$3,0))*('Margin Guidence Table'!$J$1:$J$10000&gt;=ROUND($JJ$3,0)),0),MATCH("DEFAULT_PCT_SALES",'Margin Guidence Table'!$A$1:$AG$1,0))),0))</f>
        <v>0</v>
      </c>
      <c r="JH32" s="297" t="e">
        <f t="shared" si="50"/>
        <v>#DIV/0!</v>
      </c>
      <c r="JI32" s="99" t="s">
        <v>86</v>
      </c>
      <c r="JJ32" s="91">
        <f>IF('Customer Inputs'!$W$15="End",0,IFERROR(IF(AND($JJ$2&lt;&gt;"Enter Spend&gt;&gt;&gt;",$JK$2="EXISTING"),SUMIFS('Existing Customers'!$Q:$Q,'Existing Customers'!$A:$A,$JJ$1,'Existing Customers'!$H:$H,$JI32)*$JJ$4,$JJ$3*$JH32),0))</f>
        <v>0</v>
      </c>
      <c r="JK32" s="86">
        <f>IF('Customer Inputs'!$W$15="End",0,IFERROR(IF(AND($JJ$2&lt;&gt;"Enter Spend&gt;&gt;&gt;",$JK$2="EXISTING"),SUMIFS('Existing Customers'!$N:$N,'Existing Customers'!$A:$A,$JJ$1,'Existing Customers'!$H:$H,$JI32)*$JJ$4,$JJ32/$JU32),0))</f>
        <v>0</v>
      </c>
      <c r="JL32" s="92">
        <f>IF('Customer Inputs'!$W$15="End",0,IFERROR(IF(AND($JJ$2&lt;&gt;"Enter Spend&gt;&gt;&gt;",$JK$2="EXISTING"),SUMIFS('Existing Customers'!$O:$O,'Existing Customers'!$H:$H,$JI32,'Existing Customers'!$A:$A,$JJ$1)*$JJ$4,$JK32*$JJ$8),0))</f>
        <v>0</v>
      </c>
      <c r="JM32" s="92">
        <f>IF('Customer Inputs'!$W$15="End",0,IFERROR(IF(AND($JJ$2&lt;&gt;"Enter Spend&gt;&gt;&gt;",$JK$2="EXISTING"),SUMIFS('Existing Customers'!$P:$P,'Existing Customers'!$A:$A,$JJ$1,'Existing Customers'!$H:$H,$JI32)*$JJ$4,$JJ32/$JV32),0))</f>
        <v>0</v>
      </c>
      <c r="JN32" s="303">
        <f>IF('Customer Inputs'!$W$15="End",0,IFERROR(IF(AND($JJ$2&lt;&gt;"Enter Spend&gt;&gt;&gt;",$JK$2="EXISTING"),SUMIFS('Existing Customers'!$V:$V,'Existing Customers'!$H:$H,$JI32,'Existing Customers'!$A:$A,$JJ$1)*$JJ$4,0),0))</f>
        <v>0</v>
      </c>
      <c r="JO32" s="93">
        <f>IF('Customer Inputs'!$W$15="End",0,IFERROR(IF(AND($JJ$2&lt;&gt;"Enter Spend&gt;&gt;&gt;",$JK$2="EXISTING"),SUMIFS('Existing Customers'!$R:$R,'Existing Customers'!$H:$H,$JI32,'Existing Customers'!$A:$A,$JJ$1)*$JJ$4,0),0))</f>
        <v>0</v>
      </c>
      <c r="JP32" s="780">
        <f>IF('Customer Inputs'!$W$15="End",0,IFERROR(IF(AND($JJ$2&lt;&gt;"Enter Spend&gt;&gt;&gt;",$JK$2="EXISTING"),SUMIFS('Existing Customers'!$S:$S,'Existing Customers'!$H:$H,$JI32,'Existing Customers'!$A:$A,$JJ$1)/SUMIFS('Existing Customers'!$Q:$Q,'Existing Customers'!$A:$A,$JJ$1,'Existing Customers'!$H:$H,$JI32),JZ32),0))</f>
        <v>0</v>
      </c>
      <c r="JQ32" s="780">
        <f>IF('Customer Inputs'!$W$15="End",0,IFERROR(IF(AND($JJ$2&lt;&gt;"Enter Spend&gt;&gt;&gt;",$JK$2="EXISTING"),SUMIFS('Existing Customers'!$U:$U,'Existing Customers'!$H:$H,$JI32,'Existing Customers'!$A:$A,$JJ$1)/SUMIFS('Existing Customers'!$Q:$Q,'Existing Customers'!$A:$A,$JJ$1,'Existing Customers'!$H:$H,$JI32),KA32),0))</f>
        <v>0</v>
      </c>
      <c r="JR32" s="783" t="e">
        <f>_xlfn.CONCAT('Customer Inputs'!$AH$15,"_",JI32)</f>
        <v>#N/A</v>
      </c>
      <c r="JS32" s="783">
        <f t="array" ref="JS32">IF('Customer Inputs'!$W$15="End",0,IFERROR(INDEX('Margin Guidence Table'!$A$1:$AG$10000,MATCH(1,('Margin Guidence Table'!$A$1:$A$10000=JR32)*('Margin Guidence Table'!$I$1:$I$10000&lt;=ROUND($JJ$3,0))*('Margin Guidence Table'!$J$1:$J$10000&gt;=ROUND($JJ$3,0)),0),MATCH("DATA_POINTS",'Margin Guidence Table'!$A$1:$AG$1,0)),0))</f>
        <v>0</v>
      </c>
      <c r="JT32" s="780" t="str">
        <f t="shared" si="51"/>
        <v>DEFAULT</v>
      </c>
      <c r="JU32" s="780">
        <f t="array" ref="JU32">IF('Customer Inputs'!$W$15="End",0,IFERROR(IF($JT32="SEGMENT",INDEX('Margin Guidence Table'!$A$1:$AG$10000,MATCH(1,('Margin Guidence Table'!$A$1:$A$10000=JR32)*('Margin Guidence Table'!$I$1:$I$10000&lt;=ROUND($JJ$3,0))*('Margin Guidence Table'!$J$1:$J$10000&gt;=ROUND($JJ$3,0)),0),MATCH("SALES_CASE",'Margin Guidence Table'!$A$1:$AG$1,0)),INDEX('Margin Guidence Table'!$A$1:$AG$10000,MATCH(1,('Margin Guidence Table'!$A$1:$A$10000=JR32)*('Margin Guidence Table'!$I$1:$I$10000&lt;=ROUND($JJ$3,0))*('Margin Guidence Table'!$J$1:$J$10000&gt;=ROUND($JJ$3,0)),0),MATCH("DEFAULT_SALES_CASE",'Margin Guidence Table'!$A$1:$AG$1,0))),0))</f>
        <v>0</v>
      </c>
      <c r="JV32" s="780">
        <f t="array" ref="JV32">IF('Customer Inputs'!$W$15="End",0,IFERROR(IF($JT32="SEGMENT",INDEX('Margin Guidence Table'!$A$1:$AG$10000,MATCH(1,('Margin Guidence Table'!$A$1:$A$10000=JR32)*('Margin Guidence Table'!$I$1:$I$10000&lt;=ROUND($JJ$3,0))*('Margin Guidence Table'!$J$1:$J$10000&gt;=ROUND($JJ$3,0)),0),MATCH("SALES_LBS",'Margin Guidence Table'!$A$1:$AG$1,0)),INDEX('Margin Guidence Table'!$A$1:$AG$10000,MATCH(1,('Margin Guidence Table'!$A$1:$A$10000=JR32)*('Margin Guidence Table'!$I$1:$I$10000&lt;=ROUND($JJ$3,0))*('Margin Guidence Table'!$J$1:$J$10000&gt;=ROUND($JJ$3,0)),0),MATCH("DEFAULT_SALES_LBS",'Margin Guidence Table'!$A$1:$AG$1,0))),0))</f>
        <v>0</v>
      </c>
      <c r="JW32" s="784">
        <f t="array" ref="JW32">IF('Customer Inputs'!$W$15="End",0,IFERROR(IF($JT32="SEGMENT",INDEX('Margin Guidence Table'!$A$1:$AG$10000,MATCH(1,('Margin Guidence Table'!$A$1:$A$10000=JR32)*('Margin Guidence Table'!$I$1:$I$10000&lt;=ROUND($JJ$3,0))*('Margin Guidence Table'!$J$1:$J$10000&gt;=ROUND($JJ$3,0)),0),MATCH("MDA_MIN_MARGIN_GUIDENCE",'Margin Guidence Table'!$A$1:$AG$1,0)),INDEX('Margin Guidence Table'!$A$1:$AG$10000,MATCH(1,('Margin Guidence Table'!$A$1:$A$10000=JR32)*('Margin Guidence Table'!$I$1:$I$10000&lt;=ROUND($JJ$3,0))*('Margin Guidence Table'!$J$1:$J$10000&gt;=ROUND($JJ$3,0)),0),MATCH("DEFAULT_MDA_MIN_MARGIN_GUIDENCE",'Margin Guidence Table'!$A$1:$AG$1,0))),0))</f>
        <v>0</v>
      </c>
      <c r="JX32" s="784">
        <f t="array" ref="JX32">IF('Customer Inputs'!$W$15="End",0,IFERROR(IF($JT32="SEGMENT",INDEX('Margin Guidence Table'!$A$1:$AG$10000,MATCH(1,('Margin Guidence Table'!$A$1:$A$10000=JR32)*('Margin Guidence Table'!$I$1:$I$10000&lt;=ROUND($JJ$3,0))*('Margin Guidence Table'!$J$1:$J$10000&gt;=ROUND($JJ$3,0)),0),MATCH("MDA_MEDIAN_MARGIN_GUIDENCE",'Margin Guidence Table'!$A$1:$AG$1,0)),INDEX('Margin Guidence Table'!$A$1:$AG$10000,MATCH(1,('Margin Guidence Table'!$A$1:$A$10000=JR32)*('Margin Guidence Table'!$I$1:$I$10000&lt;=ROUND($JJ$3,0))*('Margin Guidence Table'!$J$1:$J$10000&gt;=ROUND($JJ$3,0)),0),MATCH("DEFAULT_MDA_MEDIAN_MARGIN_GUIDENCE",'Margin Guidence Table'!$A$1:$AG$1,0))),0))</f>
        <v>0</v>
      </c>
      <c r="JY32" s="784">
        <f t="array" ref="JY32">IF('Customer Inputs'!$W$15="End",0,IFERROR(IF($JT32="SEGMENT",INDEX('Margin Guidence Table'!$A$1:$AG$10000,MATCH(1,('Margin Guidence Table'!$A$1:$A$10000=JR32)*('Margin Guidence Table'!$I$1:$I$10000&lt;=ROUND($JJ$3,0))*('Margin Guidence Table'!$J$1:$J$10000&gt;=ROUND($JJ$3,0)),0),MATCH("MDA_MAX_MARGIN_GUIDENCE",'Margin Guidence Table'!$A$1:$AG$1,0)),INDEX('Margin Guidence Table'!$A$1:$AG$10000,MATCH(1,('Margin Guidence Table'!$A$1:$A$10000=JR32)*('Margin Guidence Table'!$I$1:$I$10000&lt;=ROUND($JJ$3,0))*('Margin Guidence Table'!$J$1:$J$10000&gt;=ROUND($JJ$3,0)),0),MATCH("DEFAULT_MDA_MAX_MARGIN_GUIDENCE",'Margin Guidence Table'!$A$1:$AG$1,0))),0))</f>
        <v>0</v>
      </c>
      <c r="JZ32" s="784">
        <f t="array" ref="JZ32">IF('Customer Inputs'!$W$15="End",0,IFERROR(IF($JT32="SEGMENT",INDEX('Margin Guidence Table'!$A$1:$AG$10000,MATCH(1,('Margin Guidence Table'!$A$1:$A$10000=JR32)*('Margin Guidence Table'!$I$1:$I$10000&lt;=ROUND($JJ$3,0))*('Margin Guidence Table'!$J$1:$J$10000&gt;=ROUND($JJ$3,0)),0),MATCH("PA_PCT_SALES",'Margin Guidence Table'!$A$1:$AG$1,0)),INDEX('Margin Guidence Table'!$A$1:$AG$10000,MATCH(1,('Margin Guidence Table'!$A$1:$A$10000=JR32)*('Margin Guidence Table'!$I$1:$I$10000&lt;=ROUND($JJ$3,0))*('Margin Guidence Table'!$J$1:$J$10000&gt;=ROUND($JJ$3,0)),0),MATCH("DEFAULT_PA_PCT_SALES",'Margin Guidence Table'!$A$1:$AG$1,0))),0))</f>
        <v>0</v>
      </c>
      <c r="KA32" s="784" cm="1">
        <f t="array" ref="KA32">IF('Customer Inputs'!$W$15="End",0,IFERROR(IF($JT32="SEGMENT",INDEX('Margin Guidence Table'!$A$1:$AG$10000,MATCH(1,('Margin Guidence Table'!$A$1:$A$10000=JR32)*('Margin Guidence Table'!$I$1:$I$10000&lt;=ROUND($JJ$3,0))*('Margin Guidence Table'!$J$1:$J$10000&gt;=ROUND($JJ$3,0)),0),MATCH("SELF_FUND_PCT_SALES",'Margin Guidence Table'!$A$1:$AG$1,0)),INDEX('Margin Guidence Table'!$A$1:$AG$10000,MATCH(1,('Margin Guidence Table'!$A$1:$A$10000=JR32)*('Margin Guidence Table'!$I$1:$I$10000&lt;=ROUND($JJ$3,0))*('Margin Guidence Table'!$J$1:$J$10000&gt;=ROUND($JJ$3,0)),0),MATCH("DEFAULT_SELF_FUND_PCT_SALES",'Margin Guidence Table'!$A$1:$AG$1,0))),0))</f>
        <v>0</v>
      </c>
      <c r="KB32" s="784">
        <f t="array" ref="KB32">IF('Customer Inputs'!$W$15="End",0,IF($JK$2="Existing",IFERROR(SUMIFS('Existing Customers'!$V:$V,'Existing Customers'!$H:$H,$JI32,'Existing Customers'!$A:$A,$JJ$1)/SUMIFS('Existing Customers'!$Q:$Q,'Existing Customers'!$H:$H,$JI32,'Existing Customers'!$A:$A,$JJ$1),0),IFERROR(IF($JT32="SEGMENT",INDEX('Margin Guidence Table'!$A$1:$AG$10000,MATCH(1,('Margin Guidence Table'!$A$1:$A$10000=JR32)*('Margin Guidence Table'!$I$1:$I$10000&lt;=ROUND($JJ$3,0))*('Margin Guidence Table'!$J$1:$J$10000&gt;=ROUND($JJ$3,0)),0),MATCH("CIA_MEDIAN_MARGIN_GUIDENCE",'Margin Guidence Table'!$A$1:$AG$1,0)),INDEX('Margin Guidence Table'!$A$1:$AG$10000,MATCH(1,('Margin Guidence Table'!$A$1:$A$10000=JR32)*('Margin Guidence Table'!$I$1:$I$10000&lt;=ROUND($JJ$3,0))*('Margin Guidence Table'!$J$1:$J$10000&gt;=ROUND($JJ$3,0)),0),MATCH("DEFAULT_CIA_MEDIAN_MARGIN_GUIDENCE",'Margin Guidence Table'!$A$1:$AG$1,0))),0)))</f>
        <v>0</v>
      </c>
      <c r="KC32" s="784"/>
      <c r="KD32" s="18">
        <f t="array" ref="KD32">IF('Customer Inputs'!$W$16="End",0,IFERROR(IF($KQ32="SEGMENT",INDEX('Margin Guidence Table'!$A$1:$AG$10000,MATCH(1,('Margin Guidence Table'!$A$1:$A$10000=$KO32)*('Margin Guidence Table'!$I$1:$I$10000&lt;=ROUND($KG$3,0))*('Margin Guidence Table'!$J$1:$J$10000&gt;=ROUND($KG$3,0)),0),MATCH("PCT_SALES",'Margin Guidence Table'!$A$1:$AG$1,0)),INDEX('Margin Guidence Table'!$A$1:$AG$10000,MATCH(1,('Margin Guidence Table'!$A$1:$A$10000=$KO32)*('Margin Guidence Table'!$I$1:$I$10000&lt;=ROUND($KG$3,0))*('Margin Guidence Table'!$J$1:$J$10000&gt;=ROUND($KG$3,0)),0),MATCH("DEFAULT_PCT_SALES",'Margin Guidence Table'!$A$1:$AG$1,0))),0))</f>
        <v>0</v>
      </c>
      <c r="KE32" s="1713" t="e">
        <f t="shared" si="52"/>
        <v>#DIV/0!</v>
      </c>
      <c r="KF32" s="99" t="s">
        <v>86</v>
      </c>
      <c r="KG32" s="91">
        <f>IF('Customer Inputs'!$W$16="End",0,IFERROR(IF(AND($KG$2&lt;&gt;"Enter Spend&gt;&gt;&gt;",$KH$2="EXISTING"),SUMIFS('Existing Customers'!$Q:$Q,'Existing Customers'!$A:$A,$KG$1,'Existing Customers'!$H:$H,$KF32)*$KG$4,$KG$3*$KE32),0))</f>
        <v>0</v>
      </c>
      <c r="KH32" s="86">
        <f>IF('Customer Inputs'!$W$16="End",0,IFERROR(IF(AND($KG$2&lt;&gt;"Enter Spend&gt;&gt;&gt;",$KH$2="EXISTING"),SUMIFS('Existing Customers'!$N:$N,'Existing Customers'!$A:$A,$KG$1,'Existing Customers'!$H:$H,$KF32)*$KG$4,$KG32/$KR32),0))</f>
        <v>0</v>
      </c>
      <c r="KI32" s="92">
        <f>IF('Customer Inputs'!$W$16="End",0,IFERROR(IF(AND($KG$2&lt;&gt;"Enter Spend&gt;&gt;&gt;",$KH$2="EXISTING"),SUMIFS('Existing Customers'!$O:$O,'Existing Customers'!$H:$H,$KF32,'Existing Customers'!$A:$A,$KG$1)*$KG$4,$KH32*$KG$8),0))</f>
        <v>0</v>
      </c>
      <c r="KJ32" s="92">
        <f>IF('Customer Inputs'!$W$16="End",0,IFERROR(IF(AND($KG$2&lt;&gt;"Enter Spend&gt;&gt;&gt;",$KH$2="EXISTING"),SUMIFS('Existing Customers'!$P:$P,'Existing Customers'!$A:$A,$KG$1,'Existing Customers'!$H:$H,$KF32)*$KG$4,$KG32/$KS32),0))</f>
        <v>0</v>
      </c>
      <c r="KK32" s="303">
        <f>IF('Customer Inputs'!$W$16="End",0,IFERROR(IF(AND($KG$2&lt;&gt;"Enter Spend&gt;&gt;&gt;",$KH$2="EXISTING"),SUMIFS('Existing Customers'!$V:$V,'Existing Customers'!$H:$H,$KF32,'Existing Customers'!$A:$A,$KG$1)*$KG$4,0),0))</f>
        <v>0</v>
      </c>
      <c r="KL32" s="93">
        <f>IF('Customer Inputs'!$W$16="End",0,IFERROR(IF(AND($KG$2&lt;&gt;"Enter Spend&gt;&gt;&gt;",$KH$2="EXISTING"),SUMIFS('Existing Customers'!$R:$R,'Existing Customers'!$H:$H,$KF32,'Existing Customers'!$A:$A,$KG$1)*$KG$4,0),0))</f>
        <v>0</v>
      </c>
      <c r="KM32" s="780">
        <f>IF('Customer Inputs'!$W$16="End",0,IFERROR(IF(AND($KG$2&lt;&gt;"Enter Spend&gt;&gt;&gt;",$KH$2="EXISTING"),SUMIFS('Existing Customers'!$S:$S,'Existing Customers'!$H:$H,$KF32,'Existing Customers'!$A:$A,$KG$1)/SUMIFS('Existing Customers'!$Q:$Q,'Existing Customers'!$A:$A,$KG$1,'Existing Customers'!$H:$H,$KF32),KW32),0))</f>
        <v>0</v>
      </c>
      <c r="KN32" s="780">
        <f>IF('Customer Inputs'!$W$16="End",0,IFERROR(IF(AND($KG$2&lt;&gt;"Enter Spend&gt;&gt;&gt;",$KH$2="EXISTING"),SUMIFS('Existing Customers'!$U:$U,'Existing Customers'!$H:$H,$KF32,'Existing Customers'!$A:$A,$KG$1)/SUMIFS('Existing Customers'!$Q:$Q,'Existing Customers'!$A:$A,$KG$1,'Existing Customers'!$H:$H,$KF32),KX32),0))</f>
        <v>0</v>
      </c>
      <c r="KO32" s="783" t="e">
        <f>_xlfn.CONCAT('Customer Inputs'!$AH$16,"_",KF32)</f>
        <v>#N/A</v>
      </c>
      <c r="KP32" s="783">
        <f t="array" ref="KP32">IF('Customer Inputs'!$W$16="End",0,IFERROR(INDEX('Margin Guidence Table'!$A$1:$AG$10000,MATCH(1,('Margin Guidence Table'!$A$1:$A$10000=KO32)*('Margin Guidence Table'!$I$1:$I$10000&lt;=ROUND($KG$3,0))*('Margin Guidence Table'!$J$1:$J$10000&gt;=ROUND($KG$3,0)),0),MATCH("DATA_POINTS",'Margin Guidence Table'!$A$1:$AG$1,0)),0))</f>
        <v>0</v>
      </c>
      <c r="KQ32" s="780" t="str">
        <f t="shared" si="53"/>
        <v>DEFAULT</v>
      </c>
      <c r="KR32" s="780">
        <f t="array" ref="KR32">IF('Customer Inputs'!$W$16="End",0,IFERROR(IF($KQ32="SEGMENT",INDEX('Margin Guidence Table'!$A$1:$AG$10000,MATCH(1,('Margin Guidence Table'!$A$1:$A$10000=KO32)*('Margin Guidence Table'!$I$1:$I$10000&lt;=ROUND($KG$3,0))*('Margin Guidence Table'!$J$1:$J$10000&gt;=ROUND($KG$3,0)),0),MATCH("SALES_CASE",'Margin Guidence Table'!$A$1:$AG$1,0)),INDEX('Margin Guidence Table'!$A$1:$AG$10000,MATCH(1,('Margin Guidence Table'!$A$1:$A$10000=KO32)*('Margin Guidence Table'!$I$1:$I$10000&lt;=ROUND($KG$3,0))*('Margin Guidence Table'!$J$1:$J$10000&gt;=ROUND($KG$3,0)),0),MATCH("DEFAULT_SALES_CASE",'Margin Guidence Table'!$A$1:$AG$1,0))),0))</f>
        <v>0</v>
      </c>
      <c r="KS32" s="780">
        <f t="array" ref="KS32">IF('Customer Inputs'!$W$16="End",0,IFERROR(IF($KQ32="SEGMENT",INDEX('Margin Guidence Table'!$A$1:$AG$10000,MATCH(1,('Margin Guidence Table'!$A$1:$A$10000=KO32)*('Margin Guidence Table'!$I$1:$I$10000&lt;=ROUND($KG$3,0))*('Margin Guidence Table'!$J$1:$J$10000&gt;=ROUND($KG$3,0)),0),MATCH("SALES_LBS",'Margin Guidence Table'!$A$1:$AG$1,0)),INDEX('Margin Guidence Table'!$A$1:$AG$10000,MATCH(1,('Margin Guidence Table'!$A$1:$A$10000=KO32)*('Margin Guidence Table'!$I$1:$I$10000&lt;=ROUND($KG$3,0))*('Margin Guidence Table'!$J$1:$J$10000&gt;=ROUND($KG$3,0)),0),MATCH("DEFAULT_SALES_LBS",'Margin Guidence Table'!$A$1:$AG$1,0))),0))</f>
        <v>0</v>
      </c>
      <c r="KT32" s="784">
        <f t="array" ref="KT32">IF('Customer Inputs'!$W$16="End",0,IFERROR(IF($KQ32="SEGMENT",INDEX('Margin Guidence Table'!$A$1:$AG$10000,MATCH(1,('Margin Guidence Table'!$A$1:$A$10000=KO32)*('Margin Guidence Table'!$I$1:$I$10000&lt;=ROUND($KG$3,0))*('Margin Guidence Table'!$J$1:$J$10000&gt;=ROUND($KG$3,0)),0),MATCH("MDA_MIN_MARGIN_GUIDENCE",'Margin Guidence Table'!$A$1:$AG$1,0)),INDEX('Margin Guidence Table'!$A$1:$AG$10000,MATCH(1,('Margin Guidence Table'!$A$1:$A$10000=KO32)*('Margin Guidence Table'!$I$1:$I$10000&lt;=ROUND($KG$3,0))*('Margin Guidence Table'!$J$1:$J$10000&gt;=ROUND($KG$3,0)),0),MATCH("DEFAULT_MDA_MIN_MARGIN_GUIDENCE",'Margin Guidence Table'!$A$1:$AG$1,0))),0))</f>
        <v>0</v>
      </c>
      <c r="KU32" s="784">
        <f t="array" ref="KU32">IF('Customer Inputs'!$W$16="End",0,IFERROR(IF($KQ32="SEGMENT",INDEX('Margin Guidence Table'!$A$1:$AG$10000,MATCH(1,('Margin Guidence Table'!$A$1:$A$10000=KO32)*('Margin Guidence Table'!$I$1:$I$10000&lt;=ROUND($KG$3,0))*('Margin Guidence Table'!$J$1:$J$10000&gt;=ROUND($KG$3,0)),0),MATCH("MDA_MEDIAN_MARGIN_GUIDENCE",'Margin Guidence Table'!$A$1:$AG$1,0)),INDEX('Margin Guidence Table'!$A$1:$AG$10000,MATCH(1,('Margin Guidence Table'!$A$1:$A$10000=KO32)*('Margin Guidence Table'!$I$1:$I$10000&lt;=ROUND($KG$3,0))*('Margin Guidence Table'!$J$1:$J$10000&gt;=ROUND($KG$3,0)),0),MATCH("DEFAULT_MDA_MEDIAN_MARGIN_GUIDENCE",'Margin Guidence Table'!$A$1:$AG$1,0))),0))</f>
        <v>0</v>
      </c>
      <c r="KV32" s="784">
        <f t="array" ref="KV32">IF('Customer Inputs'!$W$16="End",0,IFERROR(IF($KQ32="SEGMENT",INDEX('Margin Guidence Table'!$A$1:$AG$10000,MATCH(1,('Margin Guidence Table'!$A$1:$A$10000=KO32)*('Margin Guidence Table'!$I$1:$I$10000&lt;=ROUND($KG$3,0))*('Margin Guidence Table'!$J$1:$J$10000&gt;=ROUND($KG$3,0)),0),MATCH("MDA_MAX_MARGIN_GUIDENCE",'Margin Guidence Table'!$A$1:$AG$1,0)),INDEX('Margin Guidence Table'!$A$1:$AG$10000,MATCH(1,('Margin Guidence Table'!$A$1:$A$10000=KO32)*('Margin Guidence Table'!$I$1:$I$10000&lt;=ROUND($KG$3,0))*('Margin Guidence Table'!$J$1:$J$10000&gt;=ROUND($KG$3,0)),0),MATCH("DEFAULT_MDA_MAX_MARGIN_GUIDENCE",'Margin Guidence Table'!$A$1:$AG$1,0))),0))</f>
        <v>0</v>
      </c>
      <c r="KW32" s="784">
        <f t="array" ref="KW32">IF('Customer Inputs'!$W$16="End",0,IFERROR(IF($KQ32="SEGMENT",INDEX('Margin Guidence Table'!$A$1:$AG$10000,MATCH(1,('Margin Guidence Table'!$A$1:$A$10000=KO32)*('Margin Guidence Table'!$I$1:$I$10000&lt;=ROUND($KG$3,0))*('Margin Guidence Table'!$J$1:$J$10000&gt;=ROUND($KG$3,0)),0),MATCH("PA_PCT_SALES",'Margin Guidence Table'!$A$1:$AG$1,0)),INDEX('Margin Guidence Table'!$A$1:$AG$10000,MATCH(1,('Margin Guidence Table'!$A$1:$A$10000=KO32)*('Margin Guidence Table'!$I$1:$I$10000&lt;=ROUND($KG$3,0))*('Margin Guidence Table'!$J$1:$J$10000&gt;=ROUND($KG$3,0)),0),MATCH("DEFAULT_PA_PCT_SALES",'Margin Guidence Table'!$A$1:$AG$1,0))),0))</f>
        <v>0</v>
      </c>
      <c r="KX32" s="784">
        <f t="array" ref="KX32">IF('Customer Inputs'!$W$16="End",0,IFERROR(IF($KQ32="SEGMENT",INDEX('Margin Guidence Table'!$A$1:$AG$10000,MATCH(1,('Margin Guidence Table'!$A$1:$A$10000=KO32)*('Margin Guidence Table'!$I$1:$I$10000&lt;=ROUND($KG$3,0))*('Margin Guidence Table'!$J$1:$J$10000&gt;=ROUND($KG$3,0)),0),MATCH("SELF_FUND_PCT_SALES",'Margin Guidence Table'!$A$1:$AG$1,0)),INDEX('Margin Guidence Table'!$A$1:$AG$10000,MATCH(1,('Margin Guidence Table'!$A$1:$A$10000=KO32)*('Margin Guidence Table'!$I$1:$I$10000&lt;=ROUND($KG$3,0))*('Margin Guidence Table'!$J$1:$J$10000&gt;=ROUND($KG$3,0)),0),MATCH("DEFAULT_SELF_FUND_PCT_SALES",'Margin Guidence Table'!$A$1:$AG$1,0))),0))</f>
        <v>0</v>
      </c>
      <c r="KY32" s="784">
        <f t="array" ref="KY32">IF('Customer Inputs'!$W$16="End",0,IF($KH$2="Existing",IFERROR(SUMIFS('Existing Customers'!$V:$V,'Existing Customers'!$H:$H,$KF32,'Existing Customers'!$A:$A,$KG$1)/SUMIFS('Existing Customers'!$Q:$Q,'Existing Customers'!$H:$H,$KF32,'Existing Customers'!$A:$A,$KG$1),0),IFERROR(IF($KQ32="SEGMENT",INDEX('Margin Guidence Table'!$A$1:$AG$10000,MATCH(1,('Margin Guidence Table'!$A$1:$A$10000=KO32)*('Margin Guidence Table'!$I$1:$I$10000&lt;=ROUND($KG$3,0))*('Margin Guidence Table'!$J$1:$J$10000&gt;=ROUND($KG$3,0)),0),MATCH("CIA_MEDIAN_MARGIN_GUIDENCE",'Margin Guidence Table'!$A$1:$AG$1,0)),INDEX('Margin Guidence Table'!$A$1:$AG$10000,MATCH(1,('Margin Guidence Table'!$A$1:$A$10000=KO32)*('Margin Guidence Table'!$I$1:$I$10000&lt;=ROUND($KG$3,0))*('Margin Guidence Table'!$J$1:$J$10000&gt;=ROUND($KG$3,0)),0),MATCH("DEFAULT_CIA_MEDIAN_MARGIN_GUIDENCE",'Margin Guidence Table'!$A$1:$AG$1,0))),0)))</f>
        <v>0</v>
      </c>
      <c r="KZ32" s="784"/>
      <c r="LA32" s="18">
        <f t="array" ref="LA32">IF('Customer Inputs'!$W$17="End",0,IFERROR(IF($LN32="SEGMENT",INDEX('Margin Guidence Table'!$A$1:$AG$10000,MATCH(1,('Margin Guidence Table'!$A$1:$A$10000=$LL32)*('Margin Guidence Table'!$I$1:$I$10000&lt;=ROUND($LD$3,0))*('Margin Guidence Table'!$J$1:$J$10000&gt;=ROUND($LD$3,0)),0),MATCH("PCT_SALES",'Margin Guidence Table'!$A$1:$AG$1,0)),INDEX('Margin Guidence Table'!$A$1:$AG$10000,MATCH(1,('Margin Guidence Table'!$A$1:$A$10000=$LL32)*('Margin Guidence Table'!$I$1:$I$10000&lt;=ROUND($LD$3,0))*('Margin Guidence Table'!$J$1:$J$10000&gt;=ROUND($LD$3,0)),0),MATCH("DEFAULT_PCT_SALES",'Margin Guidence Table'!$A$1:$AG$1,0))),0))</f>
        <v>0</v>
      </c>
      <c r="LB32" s="1713" t="e">
        <f t="shared" si="54"/>
        <v>#DIV/0!</v>
      </c>
      <c r="LC32" s="99" t="s">
        <v>86</v>
      </c>
      <c r="LD32" s="91">
        <f>IF('Customer Inputs'!$W$17="End",0,IFERROR(IF(AND($LD$2&lt;&gt;"Enter Spend&gt;&gt;&gt;",$LE$2="EXISTING"),SUMIFS('Existing Customers'!$Q:$Q,'Existing Customers'!$A:$A,$LD$1,'Existing Customers'!$H:$H,$LC32)*$LD$4,$LD$3*$LB32),0))</f>
        <v>0</v>
      </c>
      <c r="LE32" s="86">
        <f>IF('Customer Inputs'!$W$17="End",0,IFERROR(IF(AND($LD$2&lt;&gt;"Enter Spend&gt;&gt;&gt;",$LE$2="EXISTING"),SUMIFS('Existing Customers'!$N:$N,'Existing Customers'!$A:$A,$LD$1,'Existing Customers'!$H:$H,$LC32)*$LD$4,$LD32/$LO32),0))</f>
        <v>0</v>
      </c>
      <c r="LF32" s="92">
        <f>IF('Customer Inputs'!$W$17="End",0,IFERROR(IF(AND($LD$2&lt;&gt;"Enter Spend&gt;&gt;&gt;",$LE$2="EXISTING"),SUMIFS('Existing Customers'!$O:$O,'Existing Customers'!$H:$H,$LC32,'Existing Customers'!$A:$A,$LD$1)*$LD$4,$LE32*$LD$8),0))</f>
        <v>0</v>
      </c>
      <c r="LG32" s="92">
        <f>IF('Customer Inputs'!$W$17="End",0,IFERROR(IF(AND($LD$2&lt;&gt;"Enter Spend&gt;&gt;&gt;",$LE$2="EXISTING"),SUMIFS('Existing Customers'!$P:$P,'Existing Customers'!$A:$A,$LD$1,'Existing Customers'!$H:$H,$LC32)*$LD$4,$LD32/$LP32),0))</f>
        <v>0</v>
      </c>
      <c r="LH32" s="303">
        <f>IF('Customer Inputs'!$W$17="End",0,IFERROR(IF(AND($LD$2&lt;&gt;"Enter Spend&gt;&gt;&gt;",$LE$2="EXISTING"),SUMIFS('Existing Customers'!$V:$V,'Existing Customers'!$H:$H,$LC32,'Existing Customers'!$A:$A,$LD$1)*$LD$4,0),0))</f>
        <v>0</v>
      </c>
      <c r="LI32" s="93">
        <f>IF('Customer Inputs'!$W$17="End",0,IFERROR(IF(AND($LD$2&lt;&gt;"Enter Spend&gt;&gt;&gt;",$LE$2="EXISTING"),SUMIFS('Existing Customers'!$R:$R,'Existing Customers'!$H:$H,$LC32,'Existing Customers'!$A:$A,$LD$1)*$LD$4,0),0))</f>
        <v>0</v>
      </c>
      <c r="LJ32" s="780">
        <f>IF('Customer Inputs'!$W$17="End",0,IFERROR(IF(AND($LD$2&lt;&gt;"Enter Spend&gt;&gt;&gt;",$LE$2="EXISTING"),SUMIFS('Existing Customers'!$S:$S,'Existing Customers'!$H:$H,$LC32,'Existing Customers'!$A:$A,$LD$1)/SUMIFS('Existing Customers'!$Q:$Q,'Existing Customers'!$A:$A,$LD$1,'Existing Customers'!$H:$H,$LC32),LT32),0))</f>
        <v>0</v>
      </c>
      <c r="LK32" s="780">
        <f>IF('Customer Inputs'!$W$17="End",0,IFERROR(IF(AND($LD$2&lt;&gt;"Enter Spend&gt;&gt;&gt;",$LE$2="EXISTING"),SUMIFS('Existing Customers'!$U:$U,'Existing Customers'!$H:$H,$LC32,'Existing Customers'!$A:$A,$LD$1)/SUMIFS('Existing Customers'!$Q:$Q,'Existing Customers'!$A:$A,$LD$1,'Existing Customers'!$H:$H,$LC32),LU32),0))</f>
        <v>0</v>
      </c>
      <c r="LL32" s="783" t="e">
        <f>_xlfn.CONCAT('Customer Inputs'!$AH$17,"_",LC32)</f>
        <v>#N/A</v>
      </c>
      <c r="LM32" s="783">
        <f t="array" ref="LM32">IF('Customer Inputs'!$W$17="End",0,IFERROR(INDEX('Margin Guidence Table'!$A$1:$AG$10000,MATCH(1,('Margin Guidence Table'!$A$1:$A$10000=LL32)*('Margin Guidence Table'!$I$1:$I$10000&lt;=ROUND($LD$3,0))*('Margin Guidence Table'!$J$1:$J$10000&gt;=ROUND($LD$3,0)),0),MATCH("DATA_POINTS",'Margin Guidence Table'!$A$1:$AG$1,0)),0))</f>
        <v>0</v>
      </c>
      <c r="LN32" s="780" t="str">
        <f t="shared" si="55"/>
        <v>DEFAULT</v>
      </c>
      <c r="LO32" s="780">
        <f t="array" ref="LO32">IF('Customer Inputs'!$W$17="End",0,IFERROR(IF($LN32="SEGMENT",INDEX('Margin Guidence Table'!$A$1:$AG$10000,MATCH(1,('Margin Guidence Table'!$A$1:$A$10000=LL32)*('Margin Guidence Table'!$I$1:$I$10000&lt;=ROUND($LD$3,0))*('Margin Guidence Table'!$J$1:$J$10000&gt;=ROUND($LD$3,0)),0),MATCH("SALES_CASE",'Margin Guidence Table'!$A$1:$AG$1,0)),INDEX('Margin Guidence Table'!$A$1:$AG$10000,MATCH(1,('Margin Guidence Table'!$A$1:$A$10000=LL32)*('Margin Guidence Table'!$I$1:$I$10000&lt;=ROUND($LD$3,0))*('Margin Guidence Table'!$J$1:$J$10000&gt;=ROUND($LD$3,0)),0),MATCH("DEFAULT_SALES_CASE",'Margin Guidence Table'!$A$1:$AG$1,0))),0))</f>
        <v>0</v>
      </c>
      <c r="LP32" s="780">
        <f t="array" ref="LP32">IF('Customer Inputs'!$W$17="End",0,IFERROR(IF($LN32="SEGMENT",INDEX('Margin Guidence Table'!$A$1:$AG$10000,MATCH(1,('Margin Guidence Table'!$A$1:$A$10000=LL32)*('Margin Guidence Table'!$I$1:$I$10000&lt;=ROUND($LD$3,0))*('Margin Guidence Table'!$J$1:$J$10000&gt;=ROUND($LD$3,0)),0),MATCH("SALES_LBS",'Margin Guidence Table'!$A$1:$AG$1,0)),INDEX('Margin Guidence Table'!$A$1:$AG$10000,MATCH(1,('Margin Guidence Table'!$A$1:$A$10000=LL32)*('Margin Guidence Table'!$I$1:$I$10000&lt;=ROUND($LD$3,0))*('Margin Guidence Table'!$J$1:$J$10000&gt;=ROUND($LD$3,0)),0),MATCH("DEFAULT_SALES_LBS",'Margin Guidence Table'!$A$1:$AG$1,0))),0))</f>
        <v>0</v>
      </c>
      <c r="LQ32" s="784">
        <f t="array" ref="LQ32">IF('Customer Inputs'!$W$17="End",0,IFERROR(IF($LN32="SEGMENT",INDEX('Margin Guidence Table'!$A$1:$AG$10000,MATCH(1,('Margin Guidence Table'!$A$1:$A$10000=LL32)*('Margin Guidence Table'!$I$1:$I$10000&lt;=ROUND($LD$3,0))*('Margin Guidence Table'!$J$1:$J$10000&gt;=ROUND($LD$3,0)),0),MATCH("MDA_MIN_MARGIN_GUIDENCE",'Margin Guidence Table'!$A$1:$AG$1,0)),INDEX('Margin Guidence Table'!$A$1:$AG$10000,MATCH(1,('Margin Guidence Table'!$A$1:$A$10000=LL32)*('Margin Guidence Table'!$I$1:$I$10000&lt;=ROUND($LD$3,0))*('Margin Guidence Table'!$J$1:$J$10000&gt;=ROUND($LD$3,0)),0),MATCH("DEFAULT_MDA_MIN_MARGIN_GUIDENCE",'Margin Guidence Table'!$A$1:$AG$1,0))),0))</f>
        <v>0</v>
      </c>
      <c r="LR32" s="784">
        <f t="array" ref="LR32">IF('Customer Inputs'!$W$17="End",0,IFERROR(IF($LN32="SEGMENT",INDEX('Margin Guidence Table'!$A$1:$AG$10000,MATCH(1,('Margin Guidence Table'!$A$1:$A$10000=LL32)*('Margin Guidence Table'!$I$1:$I$10000&lt;=ROUND($LD$3,0))*('Margin Guidence Table'!$J$1:$J$10000&gt;=ROUND($LD$3,0)),0),MATCH("MDA_MEDIAN_MARGIN_GUIDENCE",'Margin Guidence Table'!$A$1:$AG$1,0)),INDEX('Margin Guidence Table'!$A$1:$AG$10000,MATCH(1,('Margin Guidence Table'!$A$1:$A$10000=LL32)*('Margin Guidence Table'!$I$1:$I$10000&lt;=ROUND($LD$3,0))*('Margin Guidence Table'!$J$1:$J$10000&gt;=ROUND($LD$3,0)),0),MATCH("DEFAULT_MDA_MEDIAN_MARGIN_GUIDENCE",'Margin Guidence Table'!$A$1:$AG$1,0))),0))</f>
        <v>0</v>
      </c>
      <c r="LS32" s="784">
        <f t="array" ref="LS32">IF('Customer Inputs'!$W$17="End",0,IFERROR(IF($LN32="SEGMENT",INDEX('Margin Guidence Table'!$A$1:$AG$10000,MATCH(1,('Margin Guidence Table'!$A$1:$A$10000=LL32)*('Margin Guidence Table'!$I$1:$I$10000&lt;=ROUND($LD$3,0))*('Margin Guidence Table'!$J$1:$J$10000&gt;=ROUND($LD$3,0)),0),MATCH("MDA_MAX_MARGIN_GUIDENCE",'Margin Guidence Table'!$A$1:$AG$1,0)),INDEX('Margin Guidence Table'!$A$1:$AG$10000,MATCH(1,('Margin Guidence Table'!$A$1:$A$10000=LL32)*('Margin Guidence Table'!$I$1:$I$10000&lt;=ROUND($LD$3,0))*('Margin Guidence Table'!$J$1:$J$10000&gt;=ROUND($LD$3,0)),0),MATCH("DEFAULT_MDA_MAX_MARGIN_GUIDENCE",'Margin Guidence Table'!$A$1:$AG$1,0))),0))</f>
        <v>0</v>
      </c>
      <c r="LT32" s="784">
        <f t="array" ref="LT32">IF('Customer Inputs'!$W$17="End",0,IFERROR(IF($LN32="SEGMENT",INDEX('Margin Guidence Table'!$A$1:$AG$10000,MATCH(1,('Margin Guidence Table'!$A$1:$A$10000=LL32)*('Margin Guidence Table'!$I$1:$I$10000&lt;=ROUND($LD$3,0))*('Margin Guidence Table'!$J$1:$J$10000&gt;=ROUND($LD$3,0)),0),MATCH("PA_PCT_SALES",'Margin Guidence Table'!$A$1:$AG$1,0)),INDEX('Margin Guidence Table'!$A$1:$AG$10000,MATCH(1,('Margin Guidence Table'!$A$1:$A$10000=LL32)*('Margin Guidence Table'!$I$1:$I$10000&lt;=ROUND($LD$3,0))*('Margin Guidence Table'!$J$1:$J$10000&gt;=ROUND($LD$3,0)),0),MATCH("DEFAULT_PA_PCT_SALES",'Margin Guidence Table'!$A$1:$AG$1,0))),0))</f>
        <v>0</v>
      </c>
      <c r="LU32" s="784">
        <f t="array" ref="LU32">IF('Customer Inputs'!$W$17="End",0,IFERROR(IF($LN32="SEGMENT",INDEX('Margin Guidence Table'!$A$1:$AG$10000,MATCH(1,('Margin Guidence Table'!$A$1:$A$10000=LL32)*('Margin Guidence Table'!$I$1:$I$10000&lt;=ROUND($LD$3,0))*('Margin Guidence Table'!$J$1:$J$10000&gt;=ROUND($LD$3,0)),0),MATCH("SELF_FUND_PCT_SALES",'Margin Guidence Table'!$A$1:$AG$1,0)),INDEX('Margin Guidence Table'!$A$1:$AG$10000,MATCH(1,('Margin Guidence Table'!$A$1:$A$10000=LL32)*('Margin Guidence Table'!$I$1:$I$10000&lt;=ROUND($LD$3,0))*('Margin Guidence Table'!$J$1:$J$10000&gt;=ROUND($LD$3,0)),0),MATCH("DEFAULT_SELF_FUND_PCT_SALES",'Margin Guidence Table'!$A$1:$AG$1,0))),0))</f>
        <v>0</v>
      </c>
      <c r="LV32" s="784">
        <f t="array" ref="LV32">IF('Customer Inputs'!$W$17="End",0,IF($LE$2="Existing",IFERROR(SUMIFS('Existing Customers'!$V:$V,'Existing Customers'!$H:$H,$LC32,'Existing Customers'!$A:$A,$LD$1)/SUMIFS('Existing Customers'!$Q:$Q,'Existing Customers'!$H:$H,$LC32,'Existing Customers'!$A:$A,$LD$1),0),IFERROR(IF($LN32="SEGMENT",INDEX('Margin Guidence Table'!$A$1:$AG$10000,MATCH(1,('Margin Guidence Table'!$A$1:$A$10000=LL32)*('Margin Guidence Table'!$I$1:$I$10000&lt;=ROUND($LD$3,0))*('Margin Guidence Table'!$J$1:$J$10000&gt;=ROUND($LD$3,0)),0),MATCH("CIA_MEDIAN_MARGIN_GUIDENCE",'Margin Guidence Table'!$A$1:$AG$1,0)),INDEX('Margin Guidence Table'!$A$1:$AG$10000,MATCH(1,('Margin Guidence Table'!$A$1:$A$10000=LL32)*('Margin Guidence Table'!$I$1:$I$10000&lt;=ROUND($LD$3,0))*('Margin Guidence Table'!$J$1:$J$10000&gt;=ROUND($LD$3,0)),0),MATCH("DEFAULT_CIA_MEDIAN_MARGIN_GUIDENCE",'Margin Guidence Table'!$A$1:$AG$1,0))),0)))</f>
        <v>0</v>
      </c>
      <c r="LW32" s="784"/>
      <c r="LX32" s="18">
        <f t="array" ref="LX32">IF('Customer Inputs'!$W$18="End",0,IFERROR(IF($MK32="SEGMENT",INDEX('Margin Guidence Table'!$A$1:$AG$10000,MATCH(1,('Margin Guidence Table'!$A$1:$A$10000=$MI32)*('Margin Guidence Table'!$I$1:$I$10000&lt;=ROUND($MA$3,0))*('Margin Guidence Table'!$J$1:$J$10000&gt;=ROUND($MA$3,0)),0),MATCH("PCT_SALES",'Margin Guidence Table'!$A$1:$AG$1,0)),INDEX('Margin Guidence Table'!$A$1:$AG$10000,MATCH(1,('Margin Guidence Table'!$A$1:$A$10000=$MI32)*('Margin Guidence Table'!$I$1:$I$10000&lt;=ROUND($MA$3,0))*('Margin Guidence Table'!$J$1:$J$10000&gt;=ROUND($MA$3,0)),0),MATCH("DEFAULT_PCT_SALES",'Margin Guidence Table'!$A$1:$AG$1,0))),0))</f>
        <v>0</v>
      </c>
      <c r="LY32" s="1713" t="e">
        <f t="shared" si="56"/>
        <v>#DIV/0!</v>
      </c>
      <c r="LZ32" s="99" t="s">
        <v>86</v>
      </c>
      <c r="MA32" s="91">
        <f>IF('Customer Inputs'!$W$18="End",0,IFERROR(IF(AND($MA$2&lt;&gt;"Enter Spend&gt;&gt;&gt;",$MB$2="EXISTING"),SUMIFS('Existing Customers'!$Q:$Q,'Existing Customers'!$A:$A,$MA$1,'Existing Customers'!$H:$H,$LZ32)*$MA$4,$MA$3*$LY32),0))</f>
        <v>0</v>
      </c>
      <c r="MB32" s="86">
        <f>IF('Customer Inputs'!$W$18="End",0,IFERROR(IF(AND($MA$2&lt;&gt;"Enter Spend&gt;&gt;&gt;",$MB$2="EXISTING"),SUMIFS('Existing Customers'!$N:$N,'Existing Customers'!$A:$A,$MA$1,'Existing Customers'!$H:$H,$LZ32)*$MA$4,$MA32/$ML32),0))</f>
        <v>0</v>
      </c>
      <c r="MC32" s="92">
        <f>IF('Customer Inputs'!$W$18="End",0,IFERROR(IF(AND($MA$2&lt;&gt;"Enter Spend&gt;&gt;&gt;",$MB$2="EXISTING"),SUMIFS('Existing Customers'!$O:$O,'Existing Customers'!$H:$H,$LZ32,'Existing Customers'!$A:$A,$MA$1)*$MA$4,$MB32*$MA$8),0))</f>
        <v>0</v>
      </c>
      <c r="MD32" s="92">
        <f>IF('Customer Inputs'!$W$18="End",0,IFERROR(IF(AND($MA$2&lt;&gt;"Enter Spend&gt;&gt;&gt;",$MB$2="EXISTING"),SUMIFS('Existing Customers'!$P:$P,'Existing Customers'!$A:$A,$MA$1,'Existing Customers'!$H:$H,$LZ32)*$MA$4,$MA32/$MM32),0))</f>
        <v>0</v>
      </c>
      <c r="ME32" s="303">
        <f>IF('Customer Inputs'!$W$18="End",0,IFERROR(IF(AND($MA$2&lt;&gt;"Enter Spend&gt;&gt;&gt;",$MB$2="EXISTING"),SUMIFS('Existing Customers'!$V:$V,'Existing Customers'!$H:$H,$LZ32,'Existing Customers'!$A:$A,$MA$1)*$MA$4,0),0))</f>
        <v>0</v>
      </c>
      <c r="MF32" s="93">
        <f>IF('Customer Inputs'!$W$18="End",0,IFERROR(IF(AND($MA$2&lt;&gt;"Enter Spend&gt;&gt;&gt;",$MB$2="EXISTING"),SUMIFS('Existing Customers'!$R:$R,'Existing Customers'!$H:$H,$LZ32,'Existing Customers'!$A:$A,$MA$1)*$MA$4,0),0))</f>
        <v>0</v>
      </c>
      <c r="MG32" s="780">
        <f>IF('Customer Inputs'!$W$18="End",0,IFERROR(IF(AND($MA$2&lt;&gt;"Enter Spend&gt;&gt;&gt;",$MB$2="EXISTING"),SUMIFS('Existing Customers'!$S:$S,'Existing Customers'!$H:$H,$LZ32,'Existing Customers'!$A:$A,$MA$1)/SUMIFS('Existing Customers'!$Q:$Q,'Existing Customers'!$A:$A,$MA$1,'Existing Customers'!$H:$H,$LZ32),MQ32),0))</f>
        <v>0</v>
      </c>
      <c r="MH32" s="780">
        <f>IF('Customer Inputs'!$W$18="End",0,IFERROR(IF(AND($MA$2&lt;&gt;"Enter Spend&gt;&gt;&gt;",$MB$2="EXISTING"),SUMIFS('Existing Customers'!$U:$U,'Existing Customers'!$H:$H,$LZ32,'Existing Customers'!$A:$A,$MA$1)/SUMIFS('Existing Customers'!$Q:$Q,'Existing Customers'!$A:$A,$MA$1,'Existing Customers'!$H:$H,$LZ32),MR32),0))</f>
        <v>0</v>
      </c>
      <c r="MI32" s="783" t="e">
        <f>_xlfn.CONCAT('Customer Inputs'!$AH$18,"_",LZ32)</f>
        <v>#N/A</v>
      </c>
      <c r="MJ32" s="783">
        <f t="array" ref="MJ32">IF('Customer Inputs'!$W$18="End",0,IFERROR(INDEX('Margin Guidence Table'!$A$1:$AG$10000,MATCH(1,('Margin Guidence Table'!$A$1:$A$10000=MI32)*('Margin Guidence Table'!$I$1:$I$10000&lt;=ROUND($MA$3,0))*('Margin Guidence Table'!$J$1:$J$10000&gt;=ROUND($MA$3,0)),0),MATCH("DATA_POINTS",'Margin Guidence Table'!$A$1:$AG$1,0)),0))</f>
        <v>0</v>
      </c>
      <c r="MK32" s="780" t="str">
        <f t="shared" si="57"/>
        <v>DEFAULT</v>
      </c>
      <c r="ML32" s="780">
        <f t="array" ref="ML32">IF('Customer Inputs'!$W$18="End",0,IFERROR(IF($MK32="SEGMENT",INDEX('Margin Guidence Table'!$A$1:$AG$10000,MATCH(1,('Margin Guidence Table'!$A$1:$A$10000=MI32)*('Margin Guidence Table'!$I$1:$I$10000&lt;=ROUND($MA$3,0))*('Margin Guidence Table'!$J$1:$J$10000&gt;=ROUND($MA$3,0)),0),MATCH("SALES_CASE",'Margin Guidence Table'!$A$1:$AG$1,0)),INDEX('Margin Guidence Table'!$A$1:$AG$10000,MATCH(1,('Margin Guidence Table'!$A$1:$A$10000=MI32)*('Margin Guidence Table'!$I$1:$I$10000&lt;=ROUND($MA$3,0))*('Margin Guidence Table'!$J$1:$J$10000&gt;=ROUND($MA$3,0)),0),MATCH("DEFAULT_SALES_CASE",'Margin Guidence Table'!$A$1:$AG$1,0))),0))</f>
        <v>0</v>
      </c>
      <c r="MM32" s="780">
        <f t="array" ref="MM32">IF('Customer Inputs'!$W$18="End",0,IFERROR(IF($MK32="SEGMENT",INDEX('Margin Guidence Table'!$A$1:$AG$10000,MATCH(1,('Margin Guidence Table'!$A$1:$A$10000=MI32)*('Margin Guidence Table'!$I$1:$I$10000&lt;=ROUND($MA$3,0))*('Margin Guidence Table'!$J$1:$J$10000&gt;=ROUND($MA$3,0)),0),MATCH("SALES_LBS",'Margin Guidence Table'!$A$1:$AG$1,0)),INDEX('Margin Guidence Table'!$A$1:$AG$10000,MATCH(1,('Margin Guidence Table'!$A$1:$A$10000=MI32)*('Margin Guidence Table'!$I$1:$I$10000&lt;=ROUND($MA$3,0))*('Margin Guidence Table'!$J$1:$J$10000&gt;=ROUND($MA$3,0)),0),MATCH("DEFAULT_SALES_LBS",'Margin Guidence Table'!$A$1:$AG$1,0))),0))</f>
        <v>0</v>
      </c>
      <c r="MN32" s="784">
        <f t="array" ref="MN32">IF('Customer Inputs'!$W$18="End",0,IFERROR(IF($MK32="SEGMENT",INDEX('Margin Guidence Table'!$A$1:$AG$10000,MATCH(1,('Margin Guidence Table'!$A$1:$A$10000=MI32)*('Margin Guidence Table'!$I$1:$I$10000&lt;=ROUND($MA$3,0))*('Margin Guidence Table'!$J$1:$J$10000&gt;=ROUND($MA$3,0)),0),MATCH("MDA_MIN_MARGIN_GUIDENCE",'Margin Guidence Table'!$A$1:$AG$1,0)),INDEX('Margin Guidence Table'!$A$1:$AG$10000,MATCH(1,('Margin Guidence Table'!$A$1:$A$10000=MI32)*('Margin Guidence Table'!$I$1:$I$10000&lt;=ROUND($MA$3,0))*('Margin Guidence Table'!$J$1:$J$10000&gt;=ROUND($MA$3,0)),0),MATCH("DEFAULT_MDA_MIN_MARGIN_GUIDENCE",'Margin Guidence Table'!$A$1:$AG$1,0))),0))</f>
        <v>0</v>
      </c>
      <c r="MO32" s="784">
        <f t="array" ref="MO32">IF('Customer Inputs'!$W$18="End",0,IFERROR(IF($MK32="SEGMENT",INDEX('Margin Guidence Table'!$A$1:$AG$10000,MATCH(1,('Margin Guidence Table'!$A$1:$A$10000=MI32)*('Margin Guidence Table'!$I$1:$I$10000&lt;=ROUND($MA$3,0))*('Margin Guidence Table'!$J$1:$J$10000&gt;=ROUND($MA$3,0)),0),MATCH("MDA_MEDIAN_MARGIN_GUIDENCE",'Margin Guidence Table'!$A$1:$AG$1,0)),INDEX('Margin Guidence Table'!$A$1:$AG$10000,MATCH(1,('Margin Guidence Table'!$A$1:$A$10000=MI32)*('Margin Guidence Table'!$I$1:$I$10000&lt;=ROUND($MA$3,0))*('Margin Guidence Table'!$J$1:$J$10000&gt;=ROUND($MA$3,0)),0),MATCH("DEFAULT_MDA_MEDIAN_MARGIN_GUIDENCE",'Margin Guidence Table'!$A$1:$AG$1,0))),0))</f>
        <v>0</v>
      </c>
      <c r="MP32" s="784">
        <f t="array" ref="MP32">IF('Customer Inputs'!$W$18="End",0,IFERROR(IF($MK32="SEGMENT",INDEX('Margin Guidence Table'!$A$1:$AG$10000,MATCH(1,('Margin Guidence Table'!$A$1:$A$10000=MI32)*('Margin Guidence Table'!$I$1:$I$10000&lt;=ROUND($MA$3,0))*('Margin Guidence Table'!$J$1:$J$10000&gt;=ROUND($MA$3,0)),0),MATCH("MDA_MAX_MARGIN_GUIDENCE",'Margin Guidence Table'!$A$1:$AG$1,0)),INDEX('Margin Guidence Table'!$A$1:$AG$10000,MATCH(1,('Margin Guidence Table'!$A$1:$A$10000=MI32)*('Margin Guidence Table'!$I$1:$I$10000&lt;=ROUND($MA$3,0))*('Margin Guidence Table'!$J$1:$J$10000&gt;=ROUND($MA$3,0)),0),MATCH("DEFAULT_MDA_MAX_MARGIN_GUIDENCE",'Margin Guidence Table'!$A$1:$AG$1,0))),0))</f>
        <v>0</v>
      </c>
      <c r="MQ32" s="784">
        <f t="array" ref="MQ32">IF('Customer Inputs'!$W$18="End",0,IFERROR(IF($MK32="SEGMENT",INDEX('Margin Guidence Table'!$A$1:$AG$10000,MATCH(1,('Margin Guidence Table'!$A$1:$A$10000=MI32)*('Margin Guidence Table'!$I$1:$I$10000&lt;=ROUND($MA$3,0))*('Margin Guidence Table'!$J$1:$J$10000&gt;=ROUND($MA$3,0)),0),MATCH("PA_PCT_SALES",'Margin Guidence Table'!$A$1:$AG$1,0)),INDEX('Margin Guidence Table'!$A$1:$AG$10000,MATCH(1,('Margin Guidence Table'!$A$1:$A$10000=MI32)*('Margin Guidence Table'!$I$1:$I$10000&lt;=ROUND($MA$3,0))*('Margin Guidence Table'!$J$1:$J$10000&gt;=ROUND($MA$3,0)),0),MATCH("DEFAULT_PA_PCT_SALES",'Margin Guidence Table'!$A$1:$AG$1,0))),0))</f>
        <v>0</v>
      </c>
      <c r="MR32" s="784">
        <f t="array" ref="MR32">IF('Customer Inputs'!$W$18="End",0,IFERROR(IF($MK32="SEGMENT",INDEX('Margin Guidence Table'!$A$1:$AG$10000,MATCH(1,('Margin Guidence Table'!$A$1:$A$10000=MI32)*('Margin Guidence Table'!$I$1:$I$10000&lt;=ROUND($MA$3,0))*('Margin Guidence Table'!$J$1:$J$10000&gt;=ROUND($MA$3,0)),0),MATCH("SELF_FUND_PCT_SALES",'Margin Guidence Table'!$A$1:$AG$1,0)),INDEX('Margin Guidence Table'!$A$1:$AG$10000,MATCH(1,('Margin Guidence Table'!$A$1:$A$10000=MI32)*('Margin Guidence Table'!$I$1:$I$10000&lt;=ROUND($MA$3,0))*('Margin Guidence Table'!$J$1:$J$10000&gt;=ROUND($MA$3,0)),0),MATCH("DEFAULT_SELF_FUND_PCT_SALES",'Margin Guidence Table'!$A$1:$AG$1,0))),0))</f>
        <v>0</v>
      </c>
      <c r="MS32" s="784">
        <f t="array" ref="MS32">IF('Customer Inputs'!$W$18="End",0,IF($MB$2="Existing",IFERROR(SUMIFS('Existing Customers'!$V:$V,'Existing Customers'!$H:$H,$LZ32,'Existing Customers'!$A:$A,$MA$1)/SUMIFS('Existing Customers'!$Q:$Q,'Existing Customers'!$H:$H,$LZ32,'Existing Customers'!$A:$A,$MA$1),0),IFERROR(IF($MK32="SEGMENT",INDEX('Margin Guidence Table'!$A$1:$AG$10000,MATCH(1,('Margin Guidence Table'!$A$1:$A$10000=MI32)*('Margin Guidence Table'!$I$1:$I$10000&lt;=ROUND($MA$3,0))*('Margin Guidence Table'!$J$1:$J$10000&gt;=ROUND($MA$3,0)),0),MATCH("CIA_MEDIAN_MARGIN_GUIDENCE",'Margin Guidence Table'!$A$1:$AG$1,0)),INDEX('Margin Guidence Table'!$A$1:$AG$10000,MATCH(1,('Margin Guidence Table'!$A$1:$A$10000=MI32)*('Margin Guidence Table'!$I$1:$I$10000&lt;=ROUND($MA$3,0))*('Margin Guidence Table'!$J$1:$J$10000&gt;=ROUND($MA$3,0)),0),MATCH("DEFAULT_CIA_MEDIAN_MARGIN_GUIDENCE",'Margin Guidence Table'!$A$1:$AG$1,0))),0)))</f>
        <v>0</v>
      </c>
      <c r="MT32" s="784"/>
      <c r="MU32" s="18">
        <f t="array" ref="MU32">IF('Customer Inputs'!$W$19="End",0,IFERROR(IF($NH32="SEGMENT",INDEX('Margin Guidence Table'!$A$1:$AG$10000,MATCH(1,('Margin Guidence Table'!$A$1:$A$10000=$NF32)*('Margin Guidence Table'!$I$1:$I$10000&lt;=ROUND($MX$3,0))*('Margin Guidence Table'!$J$1:$J$10000&gt;=ROUND($MX$3,0)),0),MATCH("PCT_SALES",'Margin Guidence Table'!$A$1:$AG$1,0)),INDEX('Margin Guidence Table'!$A$1:$AG$10000,MATCH(1,('Margin Guidence Table'!$A$1:$A$10000=$NF32)*('Margin Guidence Table'!$I$1:$I$10000&lt;=ROUND($MX$3,0))*('Margin Guidence Table'!$J$1:$J$10000&gt;=ROUND($MX$3,0)),0),MATCH("DEFAULT_PCT_SALES",'Margin Guidence Table'!$A$1:$AG$1,0))),0))</f>
        <v>0</v>
      </c>
      <c r="MV32" s="1713" t="e">
        <f t="shared" si="58"/>
        <v>#DIV/0!</v>
      </c>
      <c r="MW32" s="99" t="s">
        <v>86</v>
      </c>
      <c r="MX32" s="91">
        <f>IF('Customer Inputs'!$W$19="End",0,IFERROR(IF(AND($MX$2&lt;&gt;"Enter Spend&gt;&gt;&gt;",$MY$2="EXISTING"),SUMIFS('Existing Customers'!$Q:$Q,'Existing Customers'!$A:$A,$MX$1,'Existing Customers'!$H:$H,$MW32)*$MX$4,$MX$3*$MV32),0))</f>
        <v>0</v>
      </c>
      <c r="MY32" s="86">
        <f>IF('Customer Inputs'!$W$19="End",0,IFERROR(IF(AND($MX$2&lt;&gt;"Enter Spend&gt;&gt;&gt;",$MY$2="EXISTING"),SUMIFS('Existing Customers'!$N:$N,'Existing Customers'!$A:$A,$MX$1,'Existing Customers'!$H:$H,$MW32)*$MX$4,$MX32/$NI32),0))</f>
        <v>0</v>
      </c>
      <c r="MZ32" s="92">
        <f>IF('Customer Inputs'!$W$19="End",0,IFERROR(IF(AND($MX$2&lt;&gt;"Enter Spend&gt;&gt;&gt;",$MY$2="EXISTING"),SUMIFS('Existing Customers'!$O:$O,'Existing Customers'!$H:$H,$MW32,'Existing Customers'!$A:$A,$MX$1)*$MX$4,$MY32*$MX$8),0))</f>
        <v>0</v>
      </c>
      <c r="NA32" s="92">
        <f>IF('Customer Inputs'!$W$19="End",0,IFERROR(IF(AND($MX$2&lt;&gt;"Enter Spend&gt;&gt;&gt;",$MY$2="EXISTING"),SUMIFS('Existing Customers'!$P:$P,'Existing Customers'!$A:$A,$MX$1,'Existing Customers'!$H:$H,$MW32)*$MX$4,$MX32/$NJ32),0))</f>
        <v>0</v>
      </c>
      <c r="NB32" s="303">
        <f>IF('Customer Inputs'!$W$19="End",0,IFERROR(IF(AND($MX$2&lt;&gt;"Enter Spend&gt;&gt;&gt;",$MY$2="EXISTING"),SUMIFS('Existing Customers'!$V:$V,'Existing Customers'!$H:$H,$MW32,'Existing Customers'!$A:$A,$MX$1)*$MX$4,0),0))</f>
        <v>0</v>
      </c>
      <c r="NC32" s="93">
        <f>IF('Customer Inputs'!$W$19="End",0,IFERROR(IF(AND($MX$2&lt;&gt;"Enter Spend&gt;&gt;&gt;",$MY$2="EXISTING"),SUMIFS('Existing Customers'!$R:$R,'Existing Customers'!$H:$H,$MW32,'Existing Customers'!$A:$A,$MX$1)*$MX$4,0),0))</f>
        <v>0</v>
      </c>
      <c r="ND32" s="780">
        <f>IF('Customer Inputs'!$W$19="End",0,IFERROR(IF(AND($MX$2&lt;&gt;"Enter Spend&gt;&gt;&gt;",$MY$2="EXISTING"),SUMIFS('Existing Customers'!$S:$S,'Existing Customers'!$H:$H,$MW32,'Existing Customers'!$A:$A,$MX$1)/SUMIFS('Existing Customers'!$Q:$Q,'Existing Customers'!$A:$A,$MX$1,'Existing Customers'!$H:$H,$MW32),NN32),0))</f>
        <v>0</v>
      </c>
      <c r="NE32" s="780">
        <f>IF('Customer Inputs'!$W$19="End",0,IFERROR(IF(AND($MX$2&lt;&gt;"Enter Spend&gt;&gt;&gt;",$MY$2="EXISTING"),SUMIFS('Existing Customers'!$U:$U,'Existing Customers'!$H:$H,$MW32,'Existing Customers'!$A:$A,$MX$1)/SUMIFS('Existing Customers'!$Q:$Q,'Existing Customers'!$A:$A,$MX$1,'Existing Customers'!$H:$H,$MW32),NO32),0))</f>
        <v>0</v>
      </c>
      <c r="NF32" s="783" t="e">
        <f>_xlfn.CONCAT('Customer Inputs'!$AH$19,"_",MW32)</f>
        <v>#N/A</v>
      </c>
      <c r="NG32" s="783">
        <f t="array" ref="NG32">IF('Customer Inputs'!$W$19="End",0,IFERROR(INDEX('Margin Guidence Table'!$A$1:$AG$10000,MATCH(1,('Margin Guidence Table'!$A$1:$A$10000=NF32)*('Margin Guidence Table'!$I$1:$I$10000&lt;=ROUND($MX$3,0))*('Margin Guidence Table'!$J$1:$J$10000&gt;=ROUND($MX$3,0)),0),MATCH("DATA_POINTS",'Margin Guidence Table'!$A$1:$AG$1,0)),0))</f>
        <v>0</v>
      </c>
      <c r="NH32" s="780" t="str">
        <f t="shared" si="59"/>
        <v>DEFAULT</v>
      </c>
      <c r="NI32" s="780">
        <f t="array" ref="NI32">IF('Customer Inputs'!$W$19="End",0,IFERROR(IF($NH32="SEGMENT",INDEX('Margin Guidence Table'!$A$1:$AG$10000,MATCH(1,('Margin Guidence Table'!$A$1:$A$10000=NF32)*('Margin Guidence Table'!$I$1:$I$10000&lt;=ROUND($MX$3,0))*('Margin Guidence Table'!$J$1:$J$10000&gt;=ROUND($MX$3,0)),0),MATCH("SALES_CASE",'Margin Guidence Table'!$A$1:$AG$1,0)),INDEX('Margin Guidence Table'!$A$1:$AG$10000,MATCH(1,('Margin Guidence Table'!$A$1:$A$10000=NF32)*('Margin Guidence Table'!$I$1:$I$10000&lt;=ROUND($MX$3,0))*('Margin Guidence Table'!$J$1:$J$10000&gt;=ROUND($MX$3,0)),0),MATCH("DEFAULT_SALES_CASE",'Margin Guidence Table'!$A$1:$AG$1,0))),0))</f>
        <v>0</v>
      </c>
      <c r="NJ32" s="780">
        <f t="array" ref="NJ32">IF('Customer Inputs'!$W$19="End",0,IFERROR(IF($NH32="SEGMENT",INDEX('Margin Guidence Table'!$A$1:$AG$10000,MATCH(1,('Margin Guidence Table'!$A$1:$A$10000=NF32)*('Margin Guidence Table'!$I$1:$I$10000&lt;=ROUND($MX$3,0))*('Margin Guidence Table'!$J$1:$J$10000&gt;=ROUND($MX$3,0)),0),MATCH("SALES_LBS",'Margin Guidence Table'!$A$1:$AG$1,0)),INDEX('Margin Guidence Table'!$A$1:$AG$10000,MATCH(1,('Margin Guidence Table'!$A$1:$A$10000=NF32)*('Margin Guidence Table'!$I$1:$I$10000&lt;=ROUND($MX$3,0))*('Margin Guidence Table'!$J$1:$J$10000&gt;=ROUND($MX$3,0)),0),MATCH("DEFAULT_SALES_LBS",'Margin Guidence Table'!$A$1:$AG$1,0))),0))</f>
        <v>0</v>
      </c>
      <c r="NK32" s="784">
        <f t="array" ref="NK32">IF('Customer Inputs'!$W$19="End",0,IFERROR(IF($NH32="SEGMENT",INDEX('Margin Guidence Table'!$A$1:$AG$10000,MATCH(1,('Margin Guidence Table'!$A$1:$A$10000=NF32)*('Margin Guidence Table'!$I$1:$I$10000&lt;=ROUND($MX$3,0))*('Margin Guidence Table'!$J$1:$J$10000&gt;=ROUND($MX$3,0)),0),MATCH("MDA_MIN_MARGIN_GUIDENCE",'Margin Guidence Table'!$A$1:$AG$1,0)),INDEX('Margin Guidence Table'!$A$1:$AG$10000,MATCH(1,('Margin Guidence Table'!$A$1:$A$10000=NF32)*('Margin Guidence Table'!$I$1:$I$10000&lt;=ROUND($MX$3,0))*('Margin Guidence Table'!$J$1:$J$10000&gt;=ROUND($MX$3,0)),0),MATCH("DEFAULT_MDA_MIN_MARGIN_GUIDENCE",'Margin Guidence Table'!$A$1:$AG$1,0))),0))</f>
        <v>0</v>
      </c>
      <c r="NL32" s="784">
        <f t="array" ref="NL32">IF('Customer Inputs'!$W$19="End",0,IFERROR(IF($NH32="SEGMENT",INDEX('Margin Guidence Table'!$A$1:$AG$10000,MATCH(1,('Margin Guidence Table'!$A$1:$A$10000=NF32)*('Margin Guidence Table'!$I$1:$I$10000&lt;=ROUND($MX$3,0))*('Margin Guidence Table'!$J$1:$J$10000&gt;=ROUND($MX$3,0)),0),MATCH("MDA_MEDIAN_MARGIN_GUIDENCE",'Margin Guidence Table'!$A$1:$AG$1,0)),INDEX('Margin Guidence Table'!$A$1:$AG$10000,MATCH(1,('Margin Guidence Table'!$A$1:$A$10000=NF32)*('Margin Guidence Table'!$I$1:$I$10000&lt;=ROUND($MX$3,0))*('Margin Guidence Table'!$J$1:$J$10000&gt;=ROUND($MX$3,0)),0),MATCH("DEFAULT_MDA_MEDIAN_MARGIN_GUIDENCE",'Margin Guidence Table'!$A$1:$AG$1,0))),0))</f>
        <v>0</v>
      </c>
      <c r="NM32" s="784">
        <f t="array" ref="NM32">IF('Customer Inputs'!$W$19="End",0,IFERROR(IF($NH32="SEGMENT",INDEX('Margin Guidence Table'!$A$1:$AG$10000,MATCH(1,('Margin Guidence Table'!$A$1:$A$10000=NF32)*('Margin Guidence Table'!$I$1:$I$10000&lt;=ROUND($MX$3,0))*('Margin Guidence Table'!$J$1:$J$10000&gt;=ROUND($MX$3,0)),0),MATCH("MDA_MAX_MARGIN_GUIDENCE",'Margin Guidence Table'!$A$1:$AG$1,0)),INDEX('Margin Guidence Table'!$A$1:$AG$10000,MATCH(1,('Margin Guidence Table'!$A$1:$A$10000=NF32)*('Margin Guidence Table'!$I$1:$I$10000&lt;=ROUND($MX$3,0))*('Margin Guidence Table'!$J$1:$J$10000&gt;=ROUND($MX$3,0)),0),MATCH("DEFAULT_MDA_MAX_MARGIN_GUIDENCE",'Margin Guidence Table'!$A$1:$AG$1,0))),0))</f>
        <v>0</v>
      </c>
      <c r="NN32" s="784">
        <f t="array" ref="NN32">IF('Customer Inputs'!$W$19="End",0,IFERROR(IF($NH32="SEGMENT",INDEX('Margin Guidence Table'!$A$1:$AG$10000,MATCH(1,('Margin Guidence Table'!$A$1:$A$10000=NF32)*('Margin Guidence Table'!$I$1:$I$10000&lt;=ROUND($MX$3,0))*('Margin Guidence Table'!$J$1:$J$10000&gt;=ROUND($MX$3,0)),0),MATCH("PA_PCT_SALES",'Margin Guidence Table'!$A$1:$AG$1,0)),INDEX('Margin Guidence Table'!$A$1:$AG$10000,MATCH(1,('Margin Guidence Table'!$A$1:$A$10000=NF32)*('Margin Guidence Table'!$I$1:$I$10000&lt;=ROUND($MX$3,0))*('Margin Guidence Table'!$J$1:$J$10000&gt;=ROUND($MX$3,0)),0),MATCH("DEFAULT_PA_PCT_SALES",'Margin Guidence Table'!$A$1:$AG$1,0))),0))</f>
        <v>0</v>
      </c>
      <c r="NO32" s="784">
        <f t="array" ref="NO32">IF('Customer Inputs'!$W$19="End",0,IFERROR(IF($NH32="SEGMENT",INDEX('Margin Guidence Table'!$A$1:$AG$10000,MATCH(1,('Margin Guidence Table'!$A$1:$A$10000=NF32)*('Margin Guidence Table'!$I$1:$I$10000&lt;=ROUND($MX$3,0))*('Margin Guidence Table'!$J$1:$J$10000&gt;=ROUND($MX$3,0)),0),MATCH("SELF_FUND_PCT_SALES",'Margin Guidence Table'!$A$1:$AG$1,0)),INDEX('Margin Guidence Table'!$A$1:$AG$10000,MATCH(1,('Margin Guidence Table'!$A$1:$A$10000=NF32)*('Margin Guidence Table'!$I$1:$I$10000&lt;=ROUND($MX$3,0))*('Margin Guidence Table'!$J$1:$J$10000&gt;=ROUND($MX$3,0)),0),MATCH("DEFAULT_SELF_FUND_PCT_SALES",'Margin Guidence Table'!$A$1:$AG$1,0))),0))</f>
        <v>0</v>
      </c>
      <c r="NP32" s="784">
        <f t="array" ref="NP32">IF('Customer Inputs'!$W$19="End",0,IF($MY$2="Existing",IFERROR(SUMIFS('Existing Customers'!$V:$V,'Existing Customers'!$H:$H,$MW32,'Existing Customers'!$A:$A,$MX$1)/SUMIFS('Existing Customers'!$Q:$Q,'Existing Customers'!$H:$H,$MW32,'Existing Customers'!$A:$A,$MX$1),0),IFERROR(IF($NH32="SEGMENT",INDEX('Margin Guidence Table'!$A$1:$AG$10000,MATCH(1,('Margin Guidence Table'!$A$1:$A$10000=NF32)*('Margin Guidence Table'!$I$1:$I$10000&lt;=ROUND($MX$3,0))*('Margin Guidence Table'!$J$1:$J$10000&gt;=ROUND($MX$3,0)),0),MATCH("CIA_MEDIAN_MARGIN_GUIDENCE",'Margin Guidence Table'!$A$1:$AG$1,0)),INDEX('Margin Guidence Table'!$A$1:$AG$10000,MATCH(1,('Margin Guidence Table'!$A$1:$A$10000=NF32)*('Margin Guidence Table'!$I$1:$I$10000&lt;=ROUND($MX$3,0))*('Margin Guidence Table'!$J$1:$J$10000&gt;=ROUND($MX$3,0)),0),MATCH("DEFAULT_CIA_MEDIAN_MARGIN_GUIDENCE",'Margin Guidence Table'!$A$1:$AG$1,0))),0)))</f>
        <v>0</v>
      </c>
      <c r="NQ32" s="784"/>
      <c r="NR32" s="18">
        <f t="array" ref="NR32">IF('Customer Inputs'!$W$20="End",0,IFERROR(IF($OE32="SEGMENT",INDEX('Margin Guidence Table'!$A$1:$AG$10000,MATCH(1,('Margin Guidence Table'!$A$1:$A$10000=$OC32)*('Margin Guidence Table'!$I$1:$I$10000&lt;=ROUND($NU$3,0))*('Margin Guidence Table'!$J$1:$J$10000&gt;=ROUND($NU$3,0)),0),MATCH("PCT_SALES",'Margin Guidence Table'!$A$1:$AG$1,0)),INDEX('Margin Guidence Table'!$A$1:$AG$10000,MATCH(1,('Margin Guidence Table'!$A$1:$A$10000=$OC32)*('Margin Guidence Table'!$I$1:$I$10000&lt;=ROUND($NU$3,0))*('Margin Guidence Table'!$J$1:$J$10000&gt;=ROUND($NU$3,0)),0),MATCH("DEFAULT_PCT_SALES",'Margin Guidence Table'!$A$1:$AG$1,0))),0))</f>
        <v>0</v>
      </c>
      <c r="NS32" s="1713" t="e">
        <f t="shared" si="60"/>
        <v>#DIV/0!</v>
      </c>
      <c r="NT32" s="99" t="s">
        <v>86</v>
      </c>
      <c r="NU32" s="91">
        <f>IF('Customer Inputs'!$W$20="End",0,IFERROR(IF(AND($NU$2&lt;&gt;"Enter Spend&gt;&gt;&gt;",$NV$2="EXISTING"),SUMIFS('Existing Customers'!$Q:$Q,'Existing Customers'!$A:$A,$NU$1,'Existing Customers'!$H:$H,$NT32)*$NU$4,$NU$3*$NS32),0))</f>
        <v>0</v>
      </c>
      <c r="NV32" s="86">
        <f>IF('Customer Inputs'!$W$20="End",0,IFERROR(IF(AND($NU$2&lt;&gt;"Enter Spend&gt;&gt;&gt;",$NV$2="EXISTING"),SUMIFS('Existing Customers'!$N:$N,'Existing Customers'!$A:$A,$NU$1,'Existing Customers'!$H:$H,$NT32)*$NU$4,$NU32/$OF32),0))</f>
        <v>0</v>
      </c>
      <c r="NW32" s="92">
        <f>IF('Customer Inputs'!$W$20="End",0,IFERROR(IF(AND($NU$2&lt;&gt;"Enter Spend&gt;&gt;&gt;",$NV$2="EXISTING"),SUMIFS('Existing Customers'!$O:$O,'Existing Customers'!$H:$H,$NT32,'Existing Customers'!$A:$A,$NU$1)*$NU$4,$NV32*$NU$8),0))</f>
        <v>0</v>
      </c>
      <c r="NX32" s="92">
        <f>IF('Customer Inputs'!$W$20="End",0,IFERROR(IF(AND($NU$2&lt;&gt;"Enter Spend&gt;&gt;&gt;",$NV$2="EXISTING"),SUMIFS('Existing Customers'!$P:$P,'Existing Customers'!$A:$A,$NU$1,'Existing Customers'!$H:$H,$NT32)*$NU$4,$NU32/$OG32),0))</f>
        <v>0</v>
      </c>
      <c r="NY32" s="303">
        <f>IF('Customer Inputs'!$W$20="End",0,IFERROR(IF(AND($NU$2&lt;&gt;"Enter Spend&gt;&gt;&gt;",$NV$2="EXISTING"),SUMIFS('Existing Customers'!$V:$V,'Existing Customers'!$H:$H,$NT32,'Existing Customers'!$A:$A,$NU$1)*$NU$4,0),0))</f>
        <v>0</v>
      </c>
      <c r="NZ32" s="93">
        <f>IF('Customer Inputs'!$W$20="End",0,IFERROR(IF(AND($NU$2&lt;&gt;"Enter Spend&gt;&gt;&gt;",$NV$2="EXISTING"),SUMIFS('Existing Customers'!$R:$R,'Existing Customers'!$H:$H,$NT32,'Existing Customers'!$A:$A,$NU$1)*$NU$4,0),0))</f>
        <v>0</v>
      </c>
      <c r="OA32" s="780">
        <f>IF('Customer Inputs'!$W$20="End",0,IFERROR(IF(AND($NU$2&lt;&gt;"Enter Spend&gt;&gt;&gt;",$NV$2="EXISTING"),SUMIFS('Existing Customers'!$S:$S,'Existing Customers'!$H:$H,$NT32,'Existing Customers'!$A:$A,$NU$1)/SUMIFS('Existing Customers'!$Q:$Q,'Existing Customers'!$A:$A,$NU$1,'Existing Customers'!$H:$H,$NT32),OK32),0))</f>
        <v>0</v>
      </c>
      <c r="OB32" s="780">
        <f>IF('Customer Inputs'!$W$20="End",0,IFERROR(IF(AND($NU$2&lt;&gt;"Enter Spend&gt;&gt;&gt;",$NV$2="EXISTING"),SUMIFS('Existing Customers'!$U:$U,'Existing Customers'!$H:$H,$NT32,'Existing Customers'!$A:$A,$NU$1)/SUMIFS('Existing Customers'!$Q:$Q,'Existing Customers'!$A:$A,$NU$1,'Existing Customers'!$H:$H,$NT32),OL32),0))</f>
        <v>0</v>
      </c>
      <c r="OC32" s="783" t="e">
        <f>_xlfn.CONCAT('Customer Inputs'!$AH$20,"_",NT32)</f>
        <v>#N/A</v>
      </c>
      <c r="OD32" s="783">
        <f t="array" ref="OD32">IF('Customer Inputs'!$W$20="End",0,IFERROR(INDEX('Margin Guidence Table'!$A$1:$AG$10000,MATCH(1,('Margin Guidence Table'!$A$1:$A$10000=OC32)*('Margin Guidence Table'!$I$1:$I$10000&lt;=ROUND($NU$3,0))*('Margin Guidence Table'!$J$1:$J$10000&gt;=ROUND($NU$3,0)),0),MATCH("DATA_POINTS",'Margin Guidence Table'!$A$1:$AG$1,0)),0))</f>
        <v>0</v>
      </c>
      <c r="OE32" s="780" t="str">
        <f t="shared" si="61"/>
        <v>DEFAULT</v>
      </c>
      <c r="OF32" s="780">
        <f t="array" ref="OF32">IF('Customer Inputs'!$W$20="End",0,IFERROR(IF($OE32="SEGMENT",INDEX('Margin Guidence Table'!$A$1:$AG$10000,MATCH(1,('Margin Guidence Table'!$A$1:$A$10000=OC32)*('Margin Guidence Table'!$I$1:$I$10000&lt;=ROUND($NU$3,0))*('Margin Guidence Table'!$J$1:$J$10000&gt;=ROUND($NU$3,0)),0),MATCH("SALES_CASE",'Margin Guidence Table'!$A$1:$AG$1,0)),INDEX('Margin Guidence Table'!$A$1:$AG$10000,MATCH(1,('Margin Guidence Table'!$A$1:$A$10000=OC32)*('Margin Guidence Table'!$I$1:$I$10000&lt;=ROUND($NU$3,0))*('Margin Guidence Table'!$J$1:$J$10000&gt;=ROUND($NU$3,0)),0),MATCH("DEFAULT_SALES_CASE",'Margin Guidence Table'!$A$1:$AG$1,0))),0))</f>
        <v>0</v>
      </c>
      <c r="OG32" s="780">
        <f t="array" ref="OG32">IF('Customer Inputs'!$W$20="End",0,IFERROR(IF($OE32="SEGMENT",INDEX('Margin Guidence Table'!$A$1:$AG$10000,MATCH(1,('Margin Guidence Table'!$A$1:$A$10000=OC32)*('Margin Guidence Table'!$I$1:$I$10000&lt;=ROUND($NU$3,0))*('Margin Guidence Table'!$J$1:$J$10000&gt;=ROUND($NU$3,0)),0),MATCH("SALES_LBS",'Margin Guidence Table'!$A$1:$AG$1,0)),INDEX('Margin Guidence Table'!$A$1:$AG$10000,MATCH(1,('Margin Guidence Table'!$A$1:$A$10000=OC32)*('Margin Guidence Table'!$I$1:$I$10000&lt;=ROUND($NU$3,0))*('Margin Guidence Table'!$J$1:$J$10000&gt;=ROUND($NU$3,0)),0),MATCH("DEFAULT_SALES_LBS",'Margin Guidence Table'!$A$1:$AG$1,0))),0))</f>
        <v>0</v>
      </c>
      <c r="OH32" s="784">
        <f t="array" ref="OH32">IF('Customer Inputs'!$W$20="End",0,IFERROR(IF($OE32="SEGMENT",INDEX('Margin Guidence Table'!$A$1:$AG$10000,MATCH(1,('Margin Guidence Table'!$A$1:$A$10000=OC32)*('Margin Guidence Table'!$I$1:$I$10000&lt;=ROUND($NU$3,0))*('Margin Guidence Table'!$J$1:$J$10000&gt;=ROUND($NU$3,0)),0),MATCH("MDA_MIN_MARGIN_GUIDENCE",'Margin Guidence Table'!$A$1:$AG$1,0)),INDEX('Margin Guidence Table'!$A$1:$AG$10000,MATCH(1,('Margin Guidence Table'!$A$1:$A$10000=OC32)*('Margin Guidence Table'!$I$1:$I$10000&lt;=ROUND($NU$3,0))*('Margin Guidence Table'!$J$1:$J$10000&gt;=ROUND($NU$3,0)),0),MATCH("DEFAULT_MDA_MIN_MARGIN_GUIDENCE",'Margin Guidence Table'!$A$1:$AG$1,0))),0))</f>
        <v>0</v>
      </c>
      <c r="OI32" s="784">
        <f t="array" ref="OI32">IF('Customer Inputs'!$W$20="End",0,IFERROR(IF($OE32="SEGMENT",INDEX('Margin Guidence Table'!$A$1:$AG$10000,MATCH(1,('Margin Guidence Table'!$A$1:$A$10000=OC32)*('Margin Guidence Table'!$I$1:$I$10000&lt;=ROUND($NU$3,0))*('Margin Guidence Table'!$J$1:$J$10000&gt;=ROUND($NU$3,0)),0),MATCH("MDA_MEDIAN_MARGIN_GUIDENCE",'Margin Guidence Table'!$A$1:$AG$1,0)),INDEX('Margin Guidence Table'!$A$1:$AG$10000,MATCH(1,('Margin Guidence Table'!$A$1:$A$10000=OC32)*('Margin Guidence Table'!$I$1:$I$10000&lt;=ROUND($NU$3,0))*('Margin Guidence Table'!$J$1:$J$10000&gt;=ROUND($NU$3,0)),0),MATCH("DEFAULT_MDA_MEDIAN_MARGIN_GUIDENCE",'Margin Guidence Table'!$A$1:$AG$1,0))),0))</f>
        <v>0</v>
      </c>
      <c r="OJ32" s="784">
        <f t="array" ref="OJ32">IF('Customer Inputs'!$W$20="End",0,IFERROR(IF($OE32="SEGMENT",INDEX('Margin Guidence Table'!$A$1:$AG$10000,MATCH(1,('Margin Guidence Table'!$A$1:$A$10000=OC32)*('Margin Guidence Table'!$I$1:$I$10000&lt;=ROUND($NU$3,0))*('Margin Guidence Table'!$J$1:$J$10000&gt;=ROUND($NU$3,0)),0),MATCH("MDA_MAX_MARGIN_GUIDENCE",'Margin Guidence Table'!$A$1:$AG$1,0)),INDEX('Margin Guidence Table'!$A$1:$AG$10000,MATCH(1,('Margin Guidence Table'!$A$1:$A$10000=OC32)*('Margin Guidence Table'!$I$1:$I$10000&lt;=ROUND($NU$3,0))*('Margin Guidence Table'!$J$1:$J$10000&gt;=ROUND($NU$3,0)),0),MATCH("DEFAULT_MDA_MAX_MARGIN_GUIDENCE",'Margin Guidence Table'!$A$1:$AG$1,0))),0))</f>
        <v>0</v>
      </c>
      <c r="OK32" s="784">
        <f t="array" ref="OK32">IF('Customer Inputs'!$W$20="End",0,IFERROR(IF($OE32="SEGMENT",INDEX('Margin Guidence Table'!$A$1:$AG$10000,MATCH(1,('Margin Guidence Table'!$A$1:$A$10000=OC32)*('Margin Guidence Table'!$I$1:$I$10000&lt;=ROUND($NU$3,0))*('Margin Guidence Table'!$J$1:$J$10000&gt;=ROUND($NU$3,0)),0),MATCH("PA_PCT_SALES",'Margin Guidence Table'!$A$1:$AG$1,0)),INDEX('Margin Guidence Table'!$A$1:$AG$10000,MATCH(1,('Margin Guidence Table'!$A$1:$A$10000=OC32)*('Margin Guidence Table'!$I$1:$I$10000&lt;=ROUND($NU$3,0))*('Margin Guidence Table'!$J$1:$J$10000&gt;=ROUND($NU$3,0)),0),MATCH("DEFAULT_PA_PCT_SALES",'Margin Guidence Table'!$A$1:$AG$1,0))),0))</f>
        <v>0</v>
      </c>
      <c r="OL32" s="784">
        <f t="array" ref="OL32">IF('Customer Inputs'!$W$20="End",0,IFERROR(IF($OE32="SEGMENT",INDEX('Margin Guidence Table'!$A$1:$AG$10000,MATCH(1,('Margin Guidence Table'!$A$1:$A$10000=OC32)*('Margin Guidence Table'!$I$1:$I$10000&lt;=ROUND($NU$3,0))*('Margin Guidence Table'!$J$1:$J$10000&gt;=ROUND($NU$3,0)),0),MATCH("SELF_FUND_PCT_SALES",'Margin Guidence Table'!$A$1:$AG$1,0)),INDEX('Margin Guidence Table'!$A$1:$AG$10000,MATCH(1,('Margin Guidence Table'!$A$1:$A$10000=OC32)*('Margin Guidence Table'!$I$1:$I$10000&lt;=ROUND($NU$3,0))*('Margin Guidence Table'!$J$1:$J$10000&gt;=ROUND($NU$3,0)),0),MATCH("DEFAULT_SELF_FUND_PCT_SALES",'Margin Guidence Table'!$A$1:$AG$1,0))),0))</f>
        <v>0</v>
      </c>
      <c r="OM32" s="784">
        <f t="array" ref="OM32">IF('Customer Inputs'!$W$20="End",0,IF($NV$2="Existing",IFERROR(SUMIFS('Existing Customers'!$V:$V,'Existing Customers'!$H:$H,$NT32,'Existing Customers'!$A:$A,$NU$1)/SUMIFS('Existing Customers'!$Q:$Q,'Existing Customers'!$H:$H,$NT32,'Existing Customers'!$A:$A,$NU$1),0),IFERROR(IF($OE32="SEGMENT",INDEX('Margin Guidence Table'!$A$1:$AG$10000,MATCH(1,('Margin Guidence Table'!$A$1:$A$10000=OC32)*('Margin Guidence Table'!$I$1:$I$10000&lt;=ROUND($NU$3,0))*('Margin Guidence Table'!$J$1:$J$10000&gt;=ROUND($NU$3,0)),0),MATCH("CIA_MEDIAN_MARGIN_GUIDENCE",'Margin Guidence Table'!$A$1:$AG$1,0)),INDEX('Margin Guidence Table'!$A$1:$AG$10000,MATCH(1,('Margin Guidence Table'!$A$1:$A$10000=OC32)*('Margin Guidence Table'!$I$1:$I$10000&lt;=ROUND($NU$3,0))*('Margin Guidence Table'!$J$1:$J$10000&gt;=ROUND($NU$3,0)),0),MATCH("DEFAULT_CIA_MEDIAN_MARGIN_GUIDENCE",'Margin Guidence Table'!$A$1:$AG$1,0))),0)))</f>
        <v>0</v>
      </c>
      <c r="ON32" s="784"/>
      <c r="OO32" s="18">
        <f t="array" ref="OO32">IF('Customer Inputs'!$W$21="End",0,IFERROR(IF($PB32="SEGMENT",INDEX('Margin Guidence Table'!$A$1:$AG$10000,MATCH(1,('Margin Guidence Table'!$A$1:$A$10000=$OZ32)*('Margin Guidence Table'!$I$1:$I$10000&lt;=ROUND($OR$3,0))*('Margin Guidence Table'!$J$1:$J$10000&gt;=ROUND($OR$3,0)),0),MATCH("PCT_SALES",'Margin Guidence Table'!$A$1:$AG$1,0)),INDEX('Margin Guidence Table'!$A$1:$AG$10000,MATCH(1,('Margin Guidence Table'!$A$1:$A$10000=$OZ32)*('Margin Guidence Table'!$I$1:$I$10000&lt;=ROUND($OR$3,0))*('Margin Guidence Table'!$J$1:$J$10000&gt;=ROUND($OR$3,0)),0),MATCH("DEFAULT_PCT_SALES",'Margin Guidence Table'!$A$1:$AG$1,0))),0))</f>
        <v>0</v>
      </c>
      <c r="OP32" s="1713" t="e">
        <f t="shared" si="62"/>
        <v>#DIV/0!</v>
      </c>
      <c r="OQ32" s="99" t="s">
        <v>86</v>
      </c>
      <c r="OR32" s="91">
        <f>IF('Customer Inputs'!$W$21="End",0,IFERROR(IF(AND($OR$2&lt;&gt;"Enter Spend&gt;&gt;&gt;",$OS$2="EXISTING"),SUMIFS('Existing Customers'!$Q:$Q,'Existing Customers'!$A:$A,$OR$1,'Existing Customers'!$H:$H,$OQ32)*$OR$4,$OR$3*$OP32),0))</f>
        <v>0</v>
      </c>
      <c r="OS32" s="86">
        <f>IF('Customer Inputs'!$W$21="End",0,IFERROR(IF(AND($OR$2&lt;&gt;"Enter Spend&gt;&gt;&gt;",$OS$2="EXISTING"),SUMIFS('Existing Customers'!$N:$N,'Existing Customers'!$A:$A,$OR$1,'Existing Customers'!$H:$H,$OQ32)*$OR$4,$OR32/$PC32),0))</f>
        <v>0</v>
      </c>
      <c r="OT32" s="92">
        <f>IF('Customer Inputs'!$W$21="End",0,IFERROR(IF(AND($OR$2&lt;&gt;"Enter Spend&gt;&gt;&gt;",$OS$2="EXISTING"),SUMIFS('Existing Customers'!$O:$O,'Existing Customers'!$H:$H,$OQ32,'Existing Customers'!$A:$A,$OR$1)*$OR$4,$OS32*$OR$8),0))</f>
        <v>0</v>
      </c>
      <c r="OU32" s="92">
        <f>IF('Customer Inputs'!$W$21="End",0,IFERROR(IF(AND($OR$2&lt;&gt;"Enter Spend&gt;&gt;&gt;",$OS$2="EXISTING"),SUMIFS('Existing Customers'!$P:$P,'Existing Customers'!$A:$A,$OR$1,'Existing Customers'!$H:$H,$OQ32)*$OR$4,$OR32/$PD32),0))</f>
        <v>0</v>
      </c>
      <c r="OV32" s="303">
        <f>IF('Customer Inputs'!$W$21="End",0,IFERROR(IF(AND($OR$2&lt;&gt;"Enter Spend&gt;&gt;&gt;",$OS$2="EXISTING"),SUMIFS('Existing Customers'!$V:$V,'Existing Customers'!$H:$H,$OQ32,'Existing Customers'!$A:$A,$OR$1)*$OR$4,0),0))</f>
        <v>0</v>
      </c>
      <c r="OW32" s="93">
        <f>IF('Customer Inputs'!$W$21="End",0,IFERROR(IF(AND($OR$2&lt;&gt;"Enter Spend&gt;&gt;&gt;",$OS$2="EXISTING"),SUMIFS('Existing Customers'!$R:$R,'Existing Customers'!$H:$H,$OP32,'Existing Customers'!$A:$A,$OR$1)*$OR$4,0),0))</f>
        <v>0</v>
      </c>
      <c r="OX32" s="780">
        <f>IF('Customer Inputs'!$W$21="End",0,IFERROR(IF(AND($OR$2&lt;&gt;"Enter Spend&gt;&gt;&gt;",$OS$2="EXISTING"),SUMIFS('Existing Customers'!$S:$S,'Existing Customers'!$H:$H,$OQ32,'Existing Customers'!$A:$A,$OR$1)/SUMIFS('Existing Customers'!$Q:$Q,'Existing Customers'!$A:$A,$OR$1,'Existing Customers'!$H:$H,$OQ32),PH32),0))</f>
        <v>0</v>
      </c>
      <c r="OY32" s="780">
        <f>IF('Customer Inputs'!$W$21="End",0,IFERROR(IF(AND($OR$2&lt;&gt;"Enter Spend&gt;&gt;&gt;",$OS$2="EXISTING"),SUMIFS('Existing Customers'!$U:$U,'Existing Customers'!$H:$H,$OQ32,'Existing Customers'!$A:$A,$OR$1)/SUMIFS('Existing Customers'!$Q:$Q,'Existing Customers'!$A:$A,$OR$1,'Existing Customers'!$H:$H,$OQ32),PI32),0))</f>
        <v>0</v>
      </c>
      <c r="OZ32" s="783" t="e">
        <f>_xlfn.CONCAT('Customer Inputs'!$AH$21,"_",OQ32)</f>
        <v>#N/A</v>
      </c>
      <c r="PA32" s="783">
        <f t="array" ref="PA32">IF('Customer Inputs'!$W$22="End",0,IFERROR(INDEX('Margin Guidence Table'!$A$1:$AG$10000,MATCH(1,('Margin Guidence Table'!$A$1:$A$10000=OZ32)*('Margin Guidence Table'!$I$1:$I$10000&lt;=ROUND($OR$3,0))*('Margin Guidence Table'!$J$1:$J$10000&gt;=ROUND($OR$3,0)),0),MATCH("DATA_POINTS",'Margin Guidence Table'!$A$1:$AG$1,0)),0))</f>
        <v>0</v>
      </c>
      <c r="PB32" s="780" t="str">
        <f t="shared" si="63"/>
        <v>DEFAULT</v>
      </c>
      <c r="PC32" s="780">
        <f t="array" ref="PC32">IF('Customer Inputs'!$W$21="End",0,IFERROR(IF($PB32="SEGMENT",INDEX('Margin Guidence Table'!$A$1:$AG$10000,MATCH(1,('Margin Guidence Table'!$A$1:$A$10000=OZ32)*('Margin Guidence Table'!$I$1:$I$10000&lt;=ROUND($OR$3,0))*('Margin Guidence Table'!$J$1:$J$10000&gt;=ROUND($OR$3,0)),0),MATCH("SALES_CASE",'Margin Guidence Table'!$A$1:$AG$1,0)),INDEX('Margin Guidence Table'!$A$1:$AG$10000,MATCH(1,('Margin Guidence Table'!$A$1:$A$10000=OZ32)*('Margin Guidence Table'!$I$1:$I$10000&lt;=ROUND($OR$3,0))*('Margin Guidence Table'!$J$1:$J$10000&gt;=ROUND($OR$3,0)),0),MATCH("DEFAULT_SALES_CASE",'Margin Guidence Table'!$A$1:$AG$1,0))),0))</f>
        <v>0</v>
      </c>
      <c r="PD32" s="780">
        <f t="array" ref="PD32">IF('Customer Inputs'!$W$21="End",0,IFERROR(IF($PB32="SEGMENT",INDEX('Margin Guidence Table'!$A$1:$AG$10000,MATCH(1,('Margin Guidence Table'!$A$1:$A$10000=OZ32)*('Margin Guidence Table'!$I$1:$I$10000&lt;=ROUND($OR$3,0))*('Margin Guidence Table'!$J$1:$J$10000&gt;=ROUND($OR$3,0)),0),MATCH("SALES_LBS",'Margin Guidence Table'!$A$1:$AG$1,0)),INDEX('Margin Guidence Table'!$A$1:$AG$10000,MATCH(1,('Margin Guidence Table'!$A$1:$A$10000=OZ32)*('Margin Guidence Table'!$I$1:$I$10000&lt;=ROUND($OR$3,0))*('Margin Guidence Table'!$J$1:$J$10000&gt;=ROUND($OR$3,0)),0),MATCH("DEFAULT_SALES_LBS",'Margin Guidence Table'!$A$1:$AG$1,0))),0))</f>
        <v>0</v>
      </c>
      <c r="PE32" s="784">
        <f t="array" ref="PE32">IF('Customer Inputs'!$W$21="End",0,IFERROR(IF($PB32="SEGMENT",INDEX('Margin Guidence Table'!$A$1:$AG$10000,MATCH(1,('Margin Guidence Table'!$A$1:$A$10000=OZ32)*('Margin Guidence Table'!$I$1:$I$10000&lt;=ROUND($OR$3,0))*('Margin Guidence Table'!$J$1:$J$10000&gt;=ROUND($OR$3,0)),0),MATCH("MDA_MIN_MARGIN_GUIDENCE",'Margin Guidence Table'!$A$1:$AG$1,0)),INDEX('Margin Guidence Table'!$A$1:$AG$10000,MATCH(1,('Margin Guidence Table'!$A$1:$A$10000=OZ32)*('Margin Guidence Table'!$I$1:$I$10000&lt;=ROUND($OR$3,0))*('Margin Guidence Table'!$J$1:$J$10000&gt;=ROUND($OR$3,0)),0),MATCH("DEFAULT_MDA_MIN_MARGIN_GUIDENCE",'Margin Guidence Table'!$A$1:$AG$1,0))),0))</f>
        <v>0</v>
      </c>
      <c r="PF32" s="784">
        <f t="array" ref="PF32">IF('Customer Inputs'!$W$21="End",0,IFERROR(IF($PB32="SEGMENT",INDEX('Margin Guidence Table'!$A$1:$AG$10000,MATCH(1,('Margin Guidence Table'!$A$1:$A$10000=OZ32)*('Margin Guidence Table'!$I$1:$I$10000&lt;=ROUND($OR$3,0))*('Margin Guidence Table'!$J$1:$J$10000&gt;=ROUND($OR$3,0)),0),MATCH("MDA_MEDIAN_MARGIN_GUIDENCE",'Margin Guidence Table'!$A$1:$AG$1,0)),INDEX('Margin Guidence Table'!$A$1:$AG$10000,MATCH(1,('Margin Guidence Table'!$A$1:$A$10000=OZ32)*('Margin Guidence Table'!$I$1:$I$10000&lt;=ROUND($OR$3,0))*('Margin Guidence Table'!$J$1:$J$10000&gt;=ROUND($OR$3,0)),0),MATCH("DEFAULT_MDA_MEDIAN_MARGIN_GUIDENCE",'Margin Guidence Table'!$A$1:$AG$1,0))),0))</f>
        <v>0</v>
      </c>
      <c r="PG32" s="784">
        <f t="array" ref="PG32">IF('Customer Inputs'!$W$21="End",0,IFERROR(IF($PB32="SEGMENT",INDEX('Margin Guidence Table'!$A$1:$AG$10000,MATCH(1,('Margin Guidence Table'!$A$1:$A$10000=OZ32)*('Margin Guidence Table'!$I$1:$I$10000&lt;=ROUND($OR$3,0))*('Margin Guidence Table'!$J$1:$J$10000&gt;=ROUND($OR$3,0)),0),MATCH("MDA_MAX_MARGIN_GUIDENCE",'Margin Guidence Table'!$A$1:$AG$1,0)),INDEX('Margin Guidence Table'!$A$1:$AG$10000,MATCH(1,('Margin Guidence Table'!$A$1:$A$10000=OZ32)*('Margin Guidence Table'!$I$1:$I$10000&lt;=ROUND($OR$3,0))*('Margin Guidence Table'!$J$1:$J$10000&gt;=ROUND($OR$3,0)),0),MATCH("DEFAULT_MDA_MAX_MARGIN_GUIDENCE",'Margin Guidence Table'!$A$1:$AG$1,0))),0))</f>
        <v>0</v>
      </c>
      <c r="PH32" s="784">
        <f t="array" ref="PH32">IF('Customer Inputs'!$W$21="End",0,IFERROR(IF($PB32="SEGMENT",INDEX('Margin Guidence Table'!$A$1:$AG$10000,MATCH(1,('Margin Guidence Table'!$A$1:$A$10000=OZ32)*('Margin Guidence Table'!$I$1:$I$10000&lt;=ROUND($OR$3,0))*('Margin Guidence Table'!$J$1:$J$10000&gt;=ROUND($OR$3,0)),0),MATCH("PA_PCT_SALES",'Margin Guidence Table'!$A$1:$AG$1,0)),INDEX('Margin Guidence Table'!$A$1:$AG$10000,MATCH(1,('Margin Guidence Table'!$A$1:$A$10000=OZ32)*('Margin Guidence Table'!$I$1:$I$10000&lt;=ROUND($OR$3,0))*('Margin Guidence Table'!$J$1:$J$10000&gt;=ROUND($OR$3,0)),0),MATCH("DEFAULT_PA_PCT_SALES",'Margin Guidence Table'!$A$1:$AG$1,0))),0))</f>
        <v>0</v>
      </c>
      <c r="PI32" s="784">
        <f t="array" ref="PI32">IF('Customer Inputs'!$W$21="End",0,IFERROR(IF($PB32="SEGMENT",INDEX('Margin Guidence Table'!$A$1:$AG$10000,MATCH(1,('Margin Guidence Table'!$A$1:$A$10000=OZ32)*('Margin Guidence Table'!$I$1:$I$10000&lt;=ROUND($OR$3,0))*('Margin Guidence Table'!$J$1:$J$10000&gt;=ROUND($OR$3,0)),0),MATCH("SELF_FUND_PCT_SALES",'Margin Guidence Table'!$A$1:$AG$1,0)),INDEX('Margin Guidence Table'!$A$1:$AG$10000,MATCH(1,('Margin Guidence Table'!$A$1:$A$10000=OZ32)*('Margin Guidence Table'!$I$1:$I$10000&lt;=ROUND($OR$3,0))*('Margin Guidence Table'!$J$1:$J$10000&gt;=ROUND($OR$3,0)),0),MATCH("DEFAULT_SELF_FUND_PCT_SALES",'Margin Guidence Table'!$A$1:$AG$1,0))),0))</f>
        <v>0</v>
      </c>
      <c r="PJ32" s="784">
        <f t="array" ref="PJ32">IF('Customer Inputs'!$W$21="End",0,IF($OS$2="Existing",IFERROR(SUMIFS('Existing Customers'!$V:$V,'Existing Customers'!$H:$H,$OQ32,'Existing Customers'!$A:$A,$OR$1)/SUMIFS('Existing Customers'!$Q:$Q,'Existing Customers'!$H:$H,$OQ32,'Existing Customers'!$A:$A,$OR$1),0),IFERROR(IF($PB32="SEGMENT",INDEX('Margin Guidence Table'!$A$1:$AG$10000,MATCH(1,('Margin Guidence Table'!$A$1:$A$10000=OZ32)*('Margin Guidence Table'!$I$1:$I$10000&lt;=ROUND($OR$3,0))*('Margin Guidence Table'!$J$1:$J$10000&gt;=ROUND($OR$3,0)),0),MATCH("CIA_MEDIAN_MARGIN_GUIDENCE",'Margin Guidence Table'!$A$1:$AG$1,0)),INDEX('Margin Guidence Table'!$A$1:$AG$10000,MATCH(1,('Margin Guidence Table'!$A$1:$A$10000=OZ32)*('Margin Guidence Table'!$I$1:$I$10000&lt;=ROUND($OR$3,0))*('Margin Guidence Table'!$J$1:$J$10000&gt;=ROUND($OR$3,0)),0),MATCH("DEFAULT_CIA_MEDIAN_MARGIN_GUIDENCE",'Margin Guidence Table'!$A$1:$AG$1,0))),0)))</f>
        <v>0</v>
      </c>
      <c r="PK32" s="784"/>
      <c r="PL32" s="18">
        <f t="array" ref="PL32">IF('Customer Inputs'!$W$22="End",0,IFERROR(IF($PY32="SEGMENT",INDEX('Margin Guidence Table'!$A$1:$AG$10000,MATCH(1,('Margin Guidence Table'!$A$1:$A$10000=$PW32)*('Margin Guidence Table'!$I$1:$I$10000&lt;=ROUND($PO$3,0))*('Margin Guidence Table'!$J$1:$J$10000&gt;=ROUND($PO$3,0)),0),MATCH("PCT_SALES",'Margin Guidence Table'!$A$1:$AG$1,0)),INDEX('Margin Guidence Table'!$A$1:$AG$10000,MATCH(1,('Margin Guidence Table'!$A$1:$A$10000=$PW32)*('Margin Guidence Table'!$I$1:$I$10000&lt;=ROUND($PO$3,0))*('Margin Guidence Table'!$J$1:$J$10000&gt;=ROUND($PO$3,0)),0),MATCH("DEFAULT_PCT_SALES",'Margin Guidence Table'!$A$1:$AG$1,0))),0))</f>
        <v>0</v>
      </c>
      <c r="PM32" s="1713" t="e">
        <f t="shared" si="64"/>
        <v>#DIV/0!</v>
      </c>
      <c r="PN32" s="99" t="s">
        <v>86</v>
      </c>
      <c r="PO32" s="91">
        <f>IF('Customer Inputs'!$W$22="End",0,IFERROR(IF(AND($PO$2&lt;&gt;"Enter Spend&gt;&gt;&gt;",$PP$2="EXISTING"),SUMIFS('Existing Customers'!$Q:$Q,'Existing Customers'!$A:$A,$PO$1,'Existing Customers'!$H:$H,$PN32)*$PO$4,$PO$3*$PM32),0))</f>
        <v>0</v>
      </c>
      <c r="PP32" s="86">
        <f>IF('Customer Inputs'!$W$22="End",0,IFERROR(IF(AND($PO$2&lt;&gt;"Enter Spend&gt;&gt;&gt;",$PP$2="EXISTING"),SUMIFS('Existing Customers'!$N:$N,'Existing Customers'!$A:$A,$PO$1,'Existing Customers'!$H:$H,$PN32)*$PO$4,$PO32/$PZ32),0))</f>
        <v>0</v>
      </c>
      <c r="PQ32" s="92">
        <f>IF('Customer Inputs'!$W$22="End",0,IFERROR(IF(AND($PO$2&lt;&gt;"Enter Spend&gt;&gt;&gt;",$PP$2="EXISTING"),SUMIFS('Existing Customers'!$O:$O,'Existing Customers'!$H:$H,$PN32,'Existing Customers'!$A:$A,$PO$1)*$PO$4,$PP32*$PO$8),0))</f>
        <v>0</v>
      </c>
      <c r="PR32" s="92">
        <f>IF('Customer Inputs'!$W$22="End",0,IFERROR(IF(AND($PO$2&lt;&gt;"Enter Spend&gt;&gt;&gt;",$PP$2="EXISTING"),SUMIFS('Existing Customers'!$P:$P,'Existing Customers'!$A:$A,$PO$1,'Existing Customers'!$H:$H,$PN32)*$PO$4,$PO32/$QA32),0))</f>
        <v>0</v>
      </c>
      <c r="PS32" s="303">
        <f>IF('Customer Inputs'!$W$22="End",0,IFERROR(IF(AND($PO$2&lt;&gt;"Enter Spend&gt;&gt;&gt;",$PP$2="EXISTING"),SUMIFS('Existing Customers'!$V:$V,'Existing Customers'!$H:$H,$PN32,'Existing Customers'!$A:$A,$PO$1)*$PO$4,0),0))</f>
        <v>0</v>
      </c>
      <c r="PT32" s="93">
        <f>IF('Customer Inputs'!$W$22="End",0,IFERROR(IF(AND($PO$2&lt;&gt;"Enter Spend&gt;&gt;&gt;",$PP$2="EXISTING"),SUMIFS('Existing Customers'!$R:$R,'Existing Customers'!$H:$H,$PN32,'Existing Customers'!$A:$A,$PO$1)*$PO$4,0),0))</f>
        <v>0</v>
      </c>
      <c r="PU32" s="780">
        <f>IF('Customer Inputs'!$W$22="End",0,IFERROR(IF(AND($PO$2&lt;&gt;"Enter Spend&gt;&gt;&gt;",$PP$2="EXISTING"),SUMIFS('Existing Customers'!$S:$S,'Existing Customers'!$H:$H,$PN32,'Existing Customers'!$A:$A,$PO$1)/SUMIFS('Existing Customers'!$Q:$Q,'Existing Customers'!$A:$A,$PO$1,'Existing Customers'!$H:$H,$PN32),QE32),0))</f>
        <v>0</v>
      </c>
      <c r="PV32" s="780">
        <f>IF('Customer Inputs'!$W$22="End",0,IFERROR(IF(AND($PO$2&lt;&gt;"Enter Spend&gt;&gt;&gt;",$PP$2="EXISTING"),SUMIFS('Existing Customers'!$U:$U,'Existing Customers'!$H:$H,$PN32,'Existing Customers'!$A:$A,$PO$1)/SUMIFS('Existing Customers'!$Q:$Q,'Existing Customers'!$A:$A,$PO$1,'Existing Customers'!$H:$H,$PN32),QF32),0))</f>
        <v>0</v>
      </c>
      <c r="PW32" s="783" t="e">
        <f>_xlfn.CONCAT('Customer Inputs'!$AH$22,"_",PN32)</f>
        <v>#N/A</v>
      </c>
      <c r="PX32" s="783">
        <f t="array" ref="PX32">IF('Customer Inputs'!$W$22="End",0,IFERROR(INDEX('Margin Guidence Table'!$A$1:$AG$10000,MATCH(1,('Margin Guidence Table'!$A$1:$A$10000=PW32)*('Margin Guidence Table'!$I$1:$I$10000&lt;=ROUND($PO$3,0))*('Margin Guidence Table'!$J$1:$J$10000&gt;=ROUND($PO$3,0)),0),MATCH("DATA_POINTS",'Margin Guidence Table'!$A$1:$AG$1,0)),0))</f>
        <v>0</v>
      </c>
      <c r="PY32" s="780" t="str">
        <f t="shared" si="65"/>
        <v>DEFAULT</v>
      </c>
      <c r="PZ32" s="780">
        <f t="array" ref="PZ32">IF('Customer Inputs'!$W$22="End",0,IFERROR(IF($PY32="SEGMENT",INDEX('Margin Guidence Table'!$A$1:$AG$10000,MATCH(1,('Margin Guidence Table'!$A$1:$A$10000=PW32)*('Margin Guidence Table'!$I$1:$I$10000&lt;=ROUND($PO$3,0))*('Margin Guidence Table'!$J$1:$J$10000&gt;=ROUND($PO$3,0)),0),MATCH("SALES_CASE",'Margin Guidence Table'!$A$1:$AG$1,0)),INDEX('Margin Guidence Table'!$A$1:$AG$10000,MATCH(1,('Margin Guidence Table'!$A$1:$A$10000=PW32)*('Margin Guidence Table'!$I$1:$I$10000&lt;=ROUND($PO$3,0))*('Margin Guidence Table'!$J$1:$J$10000&gt;=ROUND($PO$3,0)),0),MATCH("DEFAULT_SALES_CASE",'Margin Guidence Table'!$A$1:$AG$1,0))),0))</f>
        <v>0</v>
      </c>
      <c r="QA32" s="780">
        <f t="array" ref="QA32">IF('Customer Inputs'!$W$22="End",0,IFERROR(IF($PY32="SEGMENT",INDEX('Margin Guidence Table'!$A$1:$AG$10000,MATCH(1,('Margin Guidence Table'!$A$1:$A$10000=PW32)*('Margin Guidence Table'!$I$1:$I$10000&lt;=ROUND($PO$3,0))*('Margin Guidence Table'!$J$1:$J$10000&gt;=ROUND($PO$3,0)),0),MATCH("SALES_LBS",'Margin Guidence Table'!$A$1:$AG$1,0)),INDEX('Margin Guidence Table'!$A$1:$AG$10000,MATCH(1,('Margin Guidence Table'!$A$1:$A$10000=PW32)*('Margin Guidence Table'!$I$1:$I$10000&lt;=ROUND($PO$3,0))*('Margin Guidence Table'!$J$1:$J$10000&gt;=ROUND($PO$3,0)),0),MATCH("DEFAULT_SALES_LBS",'Margin Guidence Table'!$A$1:$AG$1,0))),0))</f>
        <v>0</v>
      </c>
      <c r="QB32" s="784">
        <f t="array" ref="QB32">IF('Customer Inputs'!$W$22="End",0,IFERROR(IF($PY32="SEGMENT",INDEX('Margin Guidence Table'!$A$1:$AG$10000,MATCH(1,('Margin Guidence Table'!$A$1:$A$10000=PW32)*('Margin Guidence Table'!$I$1:$I$10000&lt;=ROUND($PO$3,0))*('Margin Guidence Table'!$J$1:$J$10000&gt;=ROUND($PO$3,0)),0),MATCH("MDA_MIN_MARGIN_GUIDENCE",'Margin Guidence Table'!$A$1:$AG$1,0)),INDEX('Margin Guidence Table'!$A$1:$AG$10000,MATCH(1,('Margin Guidence Table'!$A$1:$A$10000=PW32)*('Margin Guidence Table'!$I$1:$I$10000&lt;=ROUND($PO$3,0))*('Margin Guidence Table'!$J$1:$J$10000&gt;=ROUND($PO$3,0)),0),MATCH("DEFAULT_MDA_MIN_MARGIN_GUIDENCE",'Margin Guidence Table'!$A$1:$AG$1,0))),0))</f>
        <v>0</v>
      </c>
      <c r="QC32" s="784">
        <f t="array" ref="QC32">IF('Customer Inputs'!$W$22="End",0,IFERROR(IF($PY32="SEGMENT",INDEX('Margin Guidence Table'!$A$1:$AG$10000,MATCH(1,('Margin Guidence Table'!$A$1:$A$10000=PW32)*('Margin Guidence Table'!$I$1:$I$10000&lt;=ROUND($PO$3,0))*('Margin Guidence Table'!$J$1:$J$10000&gt;=ROUND($PO$3,0)),0),MATCH("MDA_MEDIAN_MARGIN_GUIDENCE",'Margin Guidence Table'!$A$1:$AG$1,0)),INDEX('Margin Guidence Table'!$A$1:$AG$10000,MATCH(1,('Margin Guidence Table'!$A$1:$A$10000=PW32)*('Margin Guidence Table'!$I$1:$I$10000&lt;=ROUND($PO$3,0))*('Margin Guidence Table'!$J$1:$J$10000&gt;=ROUND($PO$3,0)),0),MATCH("DEFAULT_MDA_MEDIAN_MARGIN_GUIDENCE",'Margin Guidence Table'!$A$1:$AG$1,0))),0))</f>
        <v>0</v>
      </c>
      <c r="QD32" s="784">
        <f t="array" ref="QD32">IF('Customer Inputs'!$W$22="End",0,IFERROR(IF($PY32="SEGMENT",INDEX('Margin Guidence Table'!$A$1:$AG$10000,MATCH(1,('Margin Guidence Table'!$A$1:$A$10000=PW32)*('Margin Guidence Table'!$I$1:$I$10000&lt;=ROUND($PO$3,0))*('Margin Guidence Table'!$J$1:$J$10000&gt;=ROUND($PO$3,0)),0),MATCH("MDA_MAX_MARGIN_GUIDENCE",'Margin Guidence Table'!$A$1:$AG$1,0)),INDEX('Margin Guidence Table'!$A$1:$AG$10000,MATCH(1,('Margin Guidence Table'!$A$1:$A$10000=PW32)*('Margin Guidence Table'!$I$1:$I$10000&lt;=ROUND($PO$3,0))*('Margin Guidence Table'!$J$1:$J$10000&gt;=ROUND($PO$3,0)),0),MATCH("DEFAULT_MDA_MAX_MARGIN_GUIDENCE",'Margin Guidence Table'!$A$1:$AG$1,0))),0))</f>
        <v>0</v>
      </c>
      <c r="QE32" s="784">
        <f t="array" ref="QE32">IF('Customer Inputs'!$W$22="End",0,IFERROR(IF($PY32="SEGMENT",INDEX('Margin Guidence Table'!$A$1:$AG$10000,MATCH(1,('Margin Guidence Table'!$A$1:$A$10000=PW32)*('Margin Guidence Table'!$I$1:$I$10000&lt;=ROUND($PO$3,0))*('Margin Guidence Table'!$J$1:$J$10000&gt;=ROUND($PO$3,0)),0),MATCH("PA_PCT_SALES",'Margin Guidence Table'!$A$1:$AG$1,0)),INDEX('Margin Guidence Table'!$A$1:$AG$10000,MATCH(1,('Margin Guidence Table'!$A$1:$A$10000=PW32)*('Margin Guidence Table'!$I$1:$I$10000&lt;=ROUND($PO$3,0))*('Margin Guidence Table'!$J$1:$J$10000&gt;=ROUND($PO$3,0)),0),MATCH("DEFAULT_PA_PCT_SALES",'Margin Guidence Table'!$A$1:$AG$1,0))),0))</f>
        <v>0</v>
      </c>
      <c r="QF32" s="784">
        <f t="array" ref="QF32">IF('Customer Inputs'!$W$22="End",0,IFERROR(IF($PY32="SEGMENT",INDEX('Margin Guidence Table'!$A$1:$AG$10000,MATCH(1,('Margin Guidence Table'!$A$1:$A$10000=PW32)*('Margin Guidence Table'!$I$1:$I$10000&lt;=ROUND($PO$3,0))*('Margin Guidence Table'!$J$1:$J$10000&gt;=ROUND($PO$3,0)),0),MATCH("SELF_FUND_PCT_SALES",'Margin Guidence Table'!$A$1:$AG$1,0)),INDEX('Margin Guidence Table'!$A$1:$AG$10000,MATCH(1,('Margin Guidence Table'!$A$1:$A$10000=PW32)*('Margin Guidence Table'!$I$1:$I$10000&lt;=ROUND($PO$3,0))*('Margin Guidence Table'!$J$1:$J$10000&gt;=ROUND($PO$3,0)),0),MATCH("DEFAULT_SELF_FUND_PCT_SALES",'Margin Guidence Table'!$A$1:$AG$1,0))),0))</f>
        <v>0</v>
      </c>
      <c r="QG32" s="784">
        <f t="array" ref="QG32">IF('Customer Inputs'!$W$22="End",0,IF($PP$2="Existing",IFERROR(SUMIFS('Existing Customers'!$V:$V,'Existing Customers'!$H:$H,$PN32,'Existing Customers'!$A:$A,$PO$1)/SUMIFS('Existing Customers'!$Q:$Q,'Existing Customers'!$H:$H,$PN32,'Existing Customers'!$A:$A,$PO$1),0),IFERROR(IF($PY32="SEGMENT",INDEX('Margin Guidence Table'!$A$1:$AG$10000,MATCH(1,('Margin Guidence Table'!$A$1:$A$10000=PW32)*('Margin Guidence Table'!$I$1:$I$10000&lt;=ROUND($PO$3,0))*('Margin Guidence Table'!$J$1:$J$10000&gt;=ROUND($PO$3,0)),0),MATCH("CIA_MEDIAN_MARGIN_GUIDENCE",'Margin Guidence Table'!$A$1:$AG$1,0)),INDEX('Margin Guidence Table'!$A$1:$AG$10000,MATCH(1,('Margin Guidence Table'!$A$1:$A$10000=PW32)*('Margin Guidence Table'!$I$1:$I$10000&lt;=ROUND($PO$3,0))*('Margin Guidence Table'!$J$1:$J$10000&gt;=ROUND($PO$3,0)),0),MATCH("DEFAULT_CIA_MEDIAN_MARGIN_GUIDENCE",'Margin Guidence Table'!$A$1:$AG$1,0))),0)))</f>
        <v>0</v>
      </c>
      <c r="QH32" s="784"/>
      <c r="QI32" s="18">
        <f t="array" ref="QI32">IF('Customer Inputs'!$W$23="End",0,IFERROR(IF($QV32="SEGMENT",INDEX('Margin Guidence Table'!$A$1:$AG$10000,MATCH(1,('Margin Guidence Table'!$A$1:$A$10000=$QT32)*('Margin Guidence Table'!$I$1:$I$10000&lt;=ROUND($QL$3,0))*('Margin Guidence Table'!$J$1:$J$10000&gt;=ROUND($QL$3,0)),0),MATCH("PCT_SALES",'Margin Guidence Table'!$A$1:$AG$1,0)),INDEX('Margin Guidence Table'!$A$1:$AG$10000,MATCH(1,('Margin Guidence Table'!$A$1:$A$10000=$QT32)*('Margin Guidence Table'!$I$1:$I$10000&lt;=ROUND($QL$3,0))*('Margin Guidence Table'!$J$1:$J$10000&gt;=ROUND($QL$3,0)),0),MATCH("DEFAULT_PCT_SALES",'Margin Guidence Table'!$A$1:$AG$1,0))),0))</f>
        <v>0</v>
      </c>
      <c r="QJ32" s="1713" t="e">
        <f t="shared" si="66"/>
        <v>#DIV/0!</v>
      </c>
      <c r="QK32" s="99" t="s">
        <v>86</v>
      </c>
      <c r="QL32" s="91">
        <f>IF('Customer Inputs'!$W$23="End",0,IFERROR(IF(AND($QL$2&lt;&gt;"Enter Spend&gt;&gt;&gt;",$QM$2="EXISTING"),SUMIFS('Existing Customers'!$Q:$Q,'Existing Customers'!$A:$A,$QL$1,'Existing Customers'!$H:$H,$QK32)*$QL$4,$QL$3*$QJ32),0))</f>
        <v>0</v>
      </c>
      <c r="QM32" s="86">
        <f>IF('Customer Inputs'!$W$23="End",0,IFERROR(IF(AND($QL$2&lt;&gt;"Enter Spend&gt;&gt;&gt;",$QM$2="EXISTING"),SUMIFS('Existing Customers'!$N:$N,'Existing Customers'!$A:$A,$QL$1,'Existing Customers'!$H:$H,$QK32)*$QL$4,$QL32/$QW32),0))</f>
        <v>0</v>
      </c>
      <c r="QN32" s="92">
        <f>IF('Customer Inputs'!$W$23="End",0,IFERROR(IF(AND($QL$2&lt;&gt;"Enter Spend&gt;&gt;&gt;",$QM$2="EXISTING"),SUMIFS('Existing Customers'!$O:$O,'Existing Customers'!$H:$H,$QK32,'Existing Customers'!$A:$A,$QL$1)*$QL$4,$QM32*$QL$8),0))</f>
        <v>0</v>
      </c>
      <c r="QO32" s="92">
        <f>IF('Customer Inputs'!$W$23="End",0,IFERROR(IF(AND($QL$2&lt;&gt;"Enter Spend&gt;&gt;&gt;",$QM$2="EXISTING"),SUMIFS('Existing Customers'!$P:$P,'Existing Customers'!$A:$A,$QL$1,'Existing Customers'!$H:$H,$QK32)*$QL$4,$QL32/$QX32),0))</f>
        <v>0</v>
      </c>
      <c r="QP32" s="303">
        <f>IF('Customer Inputs'!$W$23="End",0,IFERROR(IF(AND($QL$2&lt;&gt;"Enter Spend&gt;&gt;&gt;",$QM$2="EXISTING"),SUMIFS('Existing Customers'!$V:$V,'Existing Customers'!$H:$H,$QK32,'Existing Customers'!$A:$A,$QL$1)*$QL$4,0),0))</f>
        <v>0</v>
      </c>
      <c r="QQ32" s="93">
        <f>IF('Customer Inputs'!$W$23="End",0,IFERROR(IF(AND($QL$2&lt;&gt;"Enter Spend&gt;&gt;&gt;",$QM$2="EXISTING"),SUMIFS('Existing Customers'!$R:$R,'Existing Customers'!$H:$H,$QK32,'Existing Customers'!$A:$A,$QL$1)*$QL$4,0),0))</f>
        <v>0</v>
      </c>
      <c r="QR32" s="780">
        <f>IF('Customer Inputs'!$W$23="End",0,IFERROR(IF(AND($QL$2&lt;&gt;"Enter Spend&gt;&gt;&gt;",$QM$2="EXISTING"),SUMIFS('Existing Customers'!$S:$S,'Existing Customers'!$H:$H,$QK32,'Existing Customers'!$A:$A,$QL$1)/SUMIFS('Existing Customers'!$Q:$Q,'Existing Customers'!$A:$A,$QL$1,'Existing Customers'!$H:$H,$QK32),RB32),0))</f>
        <v>0</v>
      </c>
      <c r="QS32" s="780">
        <f>IF('Customer Inputs'!$W$23="End",0,IFERROR(IF(AND($QL$2&lt;&gt;"Enter Spend&gt;&gt;&gt;",$QM$2="EXISTING"),SUMIFS('Existing Customers'!$U:$U,'Existing Customers'!$H:$H,$QK32,'Existing Customers'!$A:$A,$QL$1)/SUMIFS('Existing Customers'!$Q:$Q,'Existing Customers'!$A:$A,$QL$1,'Existing Customers'!$H:$H,$QK32),RC32),0))</f>
        <v>0</v>
      </c>
      <c r="QT32" s="783" t="e">
        <f>_xlfn.CONCAT('Customer Inputs'!$AH$23,"_",QK32)</f>
        <v>#N/A</v>
      </c>
      <c r="QU32" s="783">
        <f t="array" ref="QU32">IF('Customer Inputs'!$W$23="End",0,IFERROR(INDEX('Margin Guidence Table'!$A$1:$AG$10000,MATCH(1,('Margin Guidence Table'!$A$1:$A$10000=QT32)*('Margin Guidence Table'!$I$1:$I$10000&lt;=ROUND($QL$3,0))*('Margin Guidence Table'!$J$1:$J$10000&gt;=ROUND($QL$3,0)),0),MATCH("DATA_POINTS",'Margin Guidence Table'!$A$1:$AG$1,0)),0))</f>
        <v>0</v>
      </c>
      <c r="QV32" s="780" t="str">
        <f t="shared" si="67"/>
        <v>DEFAULT</v>
      </c>
      <c r="QW32" s="780">
        <f t="array" ref="QW32">IF('Customer Inputs'!$W$23="End",0,IFERROR(IF($QV32="SEGMENT",INDEX('Margin Guidence Table'!$A$1:$AG$10000,MATCH(1,('Margin Guidence Table'!$A$1:$A$10000=QT32)*('Margin Guidence Table'!$I$1:$I$10000&lt;=ROUND($QL$3,0))*('Margin Guidence Table'!$J$1:$J$10000&gt;=ROUND($QL$3,0)),0),MATCH("SALES_CASE",'Margin Guidence Table'!$A$1:$AG$1,0)),INDEX('Margin Guidence Table'!$A$1:$AG$10000,MATCH(1,('Margin Guidence Table'!$A$1:$A$10000=QT32)*('Margin Guidence Table'!$I$1:$I$10000&lt;=ROUND($QL$3,0))*('Margin Guidence Table'!$J$1:$J$10000&gt;=ROUND($QL$3,0)),0),MATCH("DEFAULT_SALES_CASE",'Margin Guidence Table'!$A$1:$AG$1,0))),0))</f>
        <v>0</v>
      </c>
      <c r="QX32" s="780">
        <f t="array" ref="QX32">IF('Customer Inputs'!$W$23="End",0,IFERROR(IF($QV32="SEGMENT",INDEX('Margin Guidence Table'!$A$1:$AG$10000,MATCH(1,('Margin Guidence Table'!$A$1:$A$10000=QT32)*('Margin Guidence Table'!$I$1:$I$10000&lt;=ROUND($QL$3,0))*('Margin Guidence Table'!$J$1:$J$10000&gt;=ROUND($QL$3,0)),0),MATCH("SALES_LBS",'Margin Guidence Table'!$A$1:$AG$1,0)),INDEX('Margin Guidence Table'!$A$1:$AG$10000,MATCH(1,('Margin Guidence Table'!$A$1:$A$10000=QT32)*('Margin Guidence Table'!$I$1:$I$10000&lt;=ROUND($QL$3,0))*('Margin Guidence Table'!$J$1:$J$10000&gt;=ROUND($QL$3,0)),0),MATCH("DEFAULT_SALES_LBS",'Margin Guidence Table'!$A$1:$AG$1,0))),0))</f>
        <v>0</v>
      </c>
      <c r="QY32" s="784">
        <f t="array" ref="QY32">IF('Customer Inputs'!$W$23="End",0,IFERROR(IF($QV32="SEGMENT",INDEX('Margin Guidence Table'!$A$1:$AG$10000,MATCH(1,('Margin Guidence Table'!$A$1:$A$10000=QT32)*('Margin Guidence Table'!$I$1:$I$10000&lt;=ROUND($QL$3,0))*('Margin Guidence Table'!$J$1:$J$10000&gt;=ROUND($QL$3,0)),0),MATCH("MDA_MIN_MARGIN_GUIDENCE",'Margin Guidence Table'!$A$1:$AG$1,0)),INDEX('Margin Guidence Table'!$A$1:$AG$10000,MATCH(1,('Margin Guidence Table'!$A$1:$A$10000=QT32)*('Margin Guidence Table'!$I$1:$I$10000&lt;=ROUND($QL$3,0))*('Margin Guidence Table'!$J$1:$J$10000&gt;=ROUND($QL$3,0)),0),MATCH("DEFAULT_MDA_MIN_MARGIN_GUIDENCE",'Margin Guidence Table'!$A$1:$AG$1,0))),0))</f>
        <v>0</v>
      </c>
      <c r="QZ32" s="784">
        <f t="array" ref="QZ32">IF('Customer Inputs'!$W$23="End",0,IFERROR(IF($QV32="SEGMENT",INDEX('Margin Guidence Table'!$A$1:$AG$10000,MATCH(1,('Margin Guidence Table'!$A$1:$A$10000=QT32)*('Margin Guidence Table'!$I$1:$I$10000&lt;=ROUND($QL$3,0))*('Margin Guidence Table'!$J$1:$J$10000&gt;=ROUND($QL$3,0)),0),MATCH("MDA_MEDIAN_MARGIN_GUIDENCE",'Margin Guidence Table'!$A$1:$AG$1,0)),INDEX('Margin Guidence Table'!$A$1:$AG$10000,MATCH(1,('Margin Guidence Table'!$A$1:$A$10000=QT32)*('Margin Guidence Table'!$I$1:$I$10000&lt;=ROUND($QL$3,0))*('Margin Guidence Table'!$J$1:$J$10000&gt;=ROUND($QL$3,0)),0),MATCH("DEFAULT_MDA_MEDIAN_MARGIN_GUIDENCE",'Margin Guidence Table'!$A$1:$AG$1,0))),0))</f>
        <v>0</v>
      </c>
      <c r="RA32" s="784">
        <f t="array" ref="RA32">IF('Customer Inputs'!$W$23="End",0,IFERROR(IF($QV32="SEGMENT",INDEX('Margin Guidence Table'!$A$1:$AG$10000,MATCH(1,('Margin Guidence Table'!$A$1:$A$10000=QT32)*('Margin Guidence Table'!$I$1:$I$10000&lt;=ROUND($QL$3,0))*('Margin Guidence Table'!$J$1:$J$10000&gt;=ROUND($QL$3,0)),0),MATCH("MDA_MAX_MARGIN_GUIDENCE",'Margin Guidence Table'!$A$1:$AG$1,0)),INDEX('Margin Guidence Table'!$A$1:$AG$10000,MATCH(1,('Margin Guidence Table'!$A$1:$A$10000=QT32)*('Margin Guidence Table'!$I$1:$I$10000&lt;=ROUND($QL$3,0))*('Margin Guidence Table'!$J$1:$J$10000&gt;=ROUND($QL$3,0)),0),MATCH("DEFAULT_MDA_MAX_MARGIN_GUIDENCE",'Margin Guidence Table'!$A$1:$AG$1,0))),0))</f>
        <v>0</v>
      </c>
      <c r="RB32" s="784">
        <f t="array" ref="RB32">IF('Customer Inputs'!$W$23="End",0,IFERROR(IF($QV32="SEGMENT",INDEX('Margin Guidence Table'!$A$1:$AG$10000,MATCH(1,('Margin Guidence Table'!$A$1:$A$10000=QT32)*('Margin Guidence Table'!$I$1:$I$10000&lt;=ROUND($QL$3,0))*('Margin Guidence Table'!$J$1:$J$10000&gt;=ROUND($QL$3,0)),0),MATCH("PA_PCT_SALES",'Margin Guidence Table'!$A$1:$AG$1,0)),INDEX('Margin Guidence Table'!$A$1:$AG$10000,MATCH(1,('Margin Guidence Table'!$A$1:$A$10000=QT32)*('Margin Guidence Table'!$I$1:$I$10000&lt;=ROUND($QL$3,0))*('Margin Guidence Table'!$J$1:$J$10000&gt;=ROUND($QL$3,0)),0),MATCH("DEFAULT_PA_PCT_SALES",'Margin Guidence Table'!$A$1:$AG$1,0))),0))</f>
        <v>0</v>
      </c>
      <c r="RC32" s="784">
        <f t="array" ref="RC32">IF('Customer Inputs'!$W$23="End",0,IFERROR(IF($QV32="SEGMENT",INDEX('Margin Guidence Table'!$A$1:$AG$10000,MATCH(1,('Margin Guidence Table'!$A$1:$A$10000=QT32)*('Margin Guidence Table'!$I$1:$I$10000&lt;=ROUND($QL$3,0))*('Margin Guidence Table'!$J$1:$J$10000&gt;=ROUND($QL$3,0)),0),MATCH("SELF_FUND_PCT_SALES",'Margin Guidence Table'!$A$1:$AG$1,0)),INDEX('Margin Guidence Table'!$A$1:$AG$10000,MATCH(1,('Margin Guidence Table'!$A$1:$A$10000=QT32)*('Margin Guidence Table'!$I$1:$I$10000&lt;=ROUND($QL$3,0))*('Margin Guidence Table'!$J$1:$J$10000&gt;=ROUND($QL$3,0)),0),MATCH("DEFAULT_SELF_FUND_PCT_SALES",'Margin Guidence Table'!$A$1:$AG$1,0))),0))</f>
        <v>0</v>
      </c>
      <c r="RD32" s="784">
        <f t="array" ref="RD32">IF('Customer Inputs'!$W$23="End",0,IF($QM$2="Existing",IFERROR(SUMIFS('Existing Customers'!$V:$V,'Existing Customers'!$H:$H,$QK32,'Existing Customers'!$A:$A,$QL$1)/SUMIFS('Existing Customers'!$Q:$Q,'Existing Customers'!$H:$H,$QK32,'Existing Customers'!$A:$A,$QL$1),0),IFERROR(IF($QV32="SEGMENT",INDEX('Margin Guidence Table'!$A$1:$AG$10000,MATCH(1,('Margin Guidence Table'!$A$1:$A$10000=QT32)*('Margin Guidence Table'!$I$1:$I$10000&lt;=ROUND($QL$3,0))*('Margin Guidence Table'!$J$1:$J$10000&gt;=ROUND($QL$3,0)),0),MATCH("CIA_MEDIAN_MARGIN_GUIDENCE",'Margin Guidence Table'!$A$1:$AG$1,0)),INDEX('Margin Guidence Table'!$A$1:$AG$10000,MATCH(1,('Margin Guidence Table'!$A$1:$A$10000=QT32)*('Margin Guidence Table'!$I$1:$I$10000&lt;=ROUND($QL$3,0))*('Margin Guidence Table'!$J$1:$J$10000&gt;=ROUND($QL$3,0)),0),MATCH("DEFAULT_CIA_MEDIAN_MARGIN_GUIDENCE",'Margin Guidence Table'!$A$1:$AG$1,0))),0)))</f>
        <v>0</v>
      </c>
      <c r="RE32" s="784"/>
      <c r="RF32" s="18">
        <f t="array" ref="RF32">IF('Customer Inputs'!$W$24="End",0,IFERROR(IF($RS32="SEGMENT",INDEX('Margin Guidence Table'!$A$1:$AG$10000,MATCH(1,('Margin Guidence Table'!$A$1:$A$10000=$RQ32)*('Margin Guidence Table'!$I$1:$I$10000&lt;=ROUND($RI$3,0))*('Margin Guidence Table'!$J$1:$J$10000&gt;=ROUND($RI$3,0)),0),MATCH("PCT_SALES",'Margin Guidence Table'!$A$1:$AG$1,0)),INDEX('Margin Guidence Table'!$A$1:$AG$10000,MATCH(1,('Margin Guidence Table'!$A$1:$A$10000=$RQ32)*('Margin Guidence Table'!$I$1:$I$10000&lt;=ROUND($RI$3,0))*('Margin Guidence Table'!$J$1:$J$10000&gt;=ROUND($RI$3,0)),0),MATCH("DEFAULT_PCT_SALES",'Margin Guidence Table'!$A$1:$AG$1,0))),0))</f>
        <v>0</v>
      </c>
      <c r="RG32" s="1713" t="e">
        <f t="shared" si="68"/>
        <v>#DIV/0!</v>
      </c>
      <c r="RH32" s="99" t="s">
        <v>86</v>
      </c>
      <c r="RI32" s="91">
        <f>IF('Customer Inputs'!$W$24="End",0,IFERROR(IF(AND($RI$2&lt;&gt;"Enter Spend&gt;&gt;&gt;",$RJ$2="EXISTING"),SUMIFS('Existing Customers'!$Q:$Q,'Existing Customers'!$A:$A,$RI$1,'Existing Customers'!$H:$H,$RH32)*$RI$4,$RI$3*$RG32),0))</f>
        <v>0</v>
      </c>
      <c r="RJ32" s="86">
        <f>IF('Customer Inputs'!$W$24="End",0,IFERROR(IF(AND($RI$2&lt;&gt;"Enter Spend&gt;&gt;&gt;",$RJ$2="EXISTING"),SUMIFS('Existing Customers'!$N:$N,'Existing Customers'!$A:$A,$RI$1,'Existing Customers'!$H:$H,$RH32)*$RI$4,$RI32/$RT32),0))</f>
        <v>0</v>
      </c>
      <c r="RK32" s="92">
        <f>IF('Customer Inputs'!$W$24="End",0,IFERROR(IF(AND($RI$2&lt;&gt;"Enter Spend&gt;&gt;&gt;",$RJ$2="EXISTING"),SUMIFS('Existing Customers'!$O:$O,'Existing Customers'!$H:$H,$RH32,'Existing Customers'!$A:$A,$RI$1)*$RI$4,$RJ32*$RI$8),0))</f>
        <v>0</v>
      </c>
      <c r="RL32" s="92">
        <f>IF('Customer Inputs'!$W$24="End",0,IFERROR(IF(AND($RI$2&lt;&gt;"Enter Spend&gt;&gt;&gt;",$RJ$2="EXISTING"),SUMIFS('Existing Customers'!$P:$P,'Existing Customers'!$A:$A,$RI$1,'Existing Customers'!$H:$H,$RH32)*$RI$4,$RI32/$RU32),0))</f>
        <v>0</v>
      </c>
      <c r="RM32" s="303">
        <f>IF('Customer Inputs'!$W$24="End",0,IFERROR(IF(AND($RI$2&lt;&gt;"Enter Spend&gt;&gt;&gt;",$RJ$2="EXISTING"),SUMIFS('Existing Customers'!$V:$V,'Existing Customers'!$H:$H,$RH32,'Existing Customers'!$A:$A,$RI$1)*$RI$4,0),0))</f>
        <v>0</v>
      </c>
      <c r="RN32" s="93">
        <f>IF('Customer Inputs'!$W$24="End",0,IFERROR(IF(AND($RI$2&lt;&gt;"Enter Spend&gt;&gt;&gt;",$RJ$2="EXISTING"),SUMIFS('Existing Customers'!$R:$R,'Existing Customers'!$H:$H,$RH32,'Existing Customers'!$A:$A,$RI$1)*$RI$4,0),0))</f>
        <v>0</v>
      </c>
      <c r="RO32" s="780">
        <f>IF('Customer Inputs'!$W$24="End",0,IFERROR(IF(AND($RI$2&lt;&gt;"Enter Spend&gt;&gt;&gt;",$RJ$2="EXISTING"),SUMIFS('Existing Customers'!$S:$S,'Existing Customers'!$H:$H,$RH32,'Existing Customers'!$A:$A,$RI$1)/SUMIFS('Existing Customers'!$Q:$Q,'Existing Customers'!$A:$A,$RI$1,'Existing Customers'!$H:$H,$RH32),RY32),0))</f>
        <v>0</v>
      </c>
      <c r="RP32" s="780">
        <f>IF('Customer Inputs'!$W$24="End",0,IFERROR(IF(AND($RI$2&lt;&gt;"Enter Spend&gt;&gt;&gt;",$RJ$2="EXISTING"),SUMIFS('Existing Customers'!$U:$U,'Existing Customers'!$H:$H,$RH32,'Existing Customers'!$A:$A,$RI$1)/SUMIFS('Existing Customers'!$Q:$Q,'Existing Customers'!$A:$A,$RI$1,'Existing Customers'!$H:$H,$RH32),RZ32),0))</f>
        <v>0</v>
      </c>
      <c r="RQ32" s="783" t="e">
        <f>_xlfn.CONCAT('Customer Inputs'!$AH$24,"_",RH32)</f>
        <v>#N/A</v>
      </c>
      <c r="RR32" s="783">
        <f t="array" ref="RR32">IF('Customer Inputs'!$W$24="End",0,IFERROR(INDEX('Margin Guidence Table'!$A$1:$AG$10000,MATCH(1,('Margin Guidence Table'!$A$1:$A$10000=RQ32)*('Margin Guidence Table'!$I$1:$I$10000&lt;=ROUND($RI$3,0))*('Margin Guidence Table'!$J$1:$J$10000&gt;=ROUND($RI$3,0)),0),MATCH("DATA_POINTS",'Margin Guidence Table'!$A$1:$AG$1,0)),0))</f>
        <v>0</v>
      </c>
      <c r="RS32" s="780" t="str">
        <f t="shared" si="69"/>
        <v>DEFAULT</v>
      </c>
      <c r="RT32" s="780">
        <f t="array" ref="RT32">IF('Customer Inputs'!$W$24="End",0,IFERROR(IF($RS32="SEGMENT",INDEX('Margin Guidence Table'!$A$1:$AG$10000,MATCH(1,('Margin Guidence Table'!$A$1:$A$10000=RQ32)*('Margin Guidence Table'!$I$1:$I$10000&lt;=ROUND($RI$3,0))*('Margin Guidence Table'!$J$1:$J$10000&gt;=ROUND($RI$3,0)),0),MATCH("SALES_CASE",'Margin Guidence Table'!$A$1:$AG$1,0)),INDEX('Margin Guidence Table'!$A$1:$AG$10000,MATCH(1,('Margin Guidence Table'!$A$1:$A$10000=RQ32)*('Margin Guidence Table'!$I$1:$I$10000&lt;=ROUND($RI$3,0))*('Margin Guidence Table'!$J$1:$J$10000&gt;=ROUND($RI$3,0)),0),MATCH("DEFAULT_SALES_CASE",'Margin Guidence Table'!$A$1:$AG$1,0))),0))</f>
        <v>0</v>
      </c>
      <c r="RU32" s="780">
        <f t="array" ref="RU32">IF('Customer Inputs'!$W$24="End",0,IFERROR(IF($RS32="SEGMENT",INDEX('Margin Guidence Table'!$A$1:$AG$10000,MATCH(1,('Margin Guidence Table'!$A$1:$A$10000=RQ32)*('Margin Guidence Table'!$I$1:$I$10000&lt;=ROUND($RI$3,0))*('Margin Guidence Table'!$J$1:$J$10000&gt;=ROUND($RI$3,0)),0),MATCH("SALES_LBS",'Margin Guidence Table'!$A$1:$AG$1,0)),INDEX('Margin Guidence Table'!$A$1:$AG$10000,MATCH(1,('Margin Guidence Table'!$A$1:$A$10000=RQ32)*('Margin Guidence Table'!$I$1:$I$10000&lt;=ROUND($RI$3,0))*('Margin Guidence Table'!$J$1:$J$10000&gt;=ROUND($RI$3,0)),0),MATCH("DEFAULT_SALES_LBS",'Margin Guidence Table'!$A$1:$AG$1,0))),0))</f>
        <v>0</v>
      </c>
      <c r="RV32" s="784">
        <f t="array" ref="RV32">IF('Customer Inputs'!$W$24="End",0,IFERROR(IF($RS32="SEGMENT",INDEX('Margin Guidence Table'!$A$1:$AG$10000,MATCH(1,('Margin Guidence Table'!$A$1:$A$10000=RQ32)*('Margin Guidence Table'!$I$1:$I$10000&lt;=ROUND($RI$3,0))*('Margin Guidence Table'!$J$1:$J$10000&gt;=ROUND($RI$3,0)),0),MATCH("MDA_MIN_MARGIN_GUIDENCE",'Margin Guidence Table'!$A$1:$AG$1,0)),INDEX('Margin Guidence Table'!$A$1:$AG$10000,MATCH(1,('Margin Guidence Table'!$A$1:$A$10000=RQ32)*('Margin Guidence Table'!$I$1:$I$10000&lt;=ROUND($RI$3,0))*('Margin Guidence Table'!$J$1:$J$10000&gt;=ROUND($RI$3,0)),0),MATCH("DEFAULT_MDA_MIN_MARGIN_GUIDENCE",'Margin Guidence Table'!$A$1:$AG$1,0))),0))</f>
        <v>0</v>
      </c>
      <c r="RW32" s="784">
        <f t="array" ref="RW32">IF('Customer Inputs'!$W$24="End",0,IFERROR(IF($RS32="SEGMENT",INDEX('Margin Guidence Table'!$A$1:$AG$10000,MATCH(1,('Margin Guidence Table'!$A$1:$A$10000=RQ32)*('Margin Guidence Table'!$I$1:$I$10000&lt;=ROUND($RI$3,0))*('Margin Guidence Table'!$J$1:$J$10000&gt;=ROUND($RI$3,0)),0),MATCH("MDA_MEDIAN_MARGIN_GUIDENCE",'Margin Guidence Table'!$A$1:$AG$1,0)),INDEX('Margin Guidence Table'!$A$1:$AG$10000,MATCH(1,('Margin Guidence Table'!$A$1:$A$10000=RQ32)*('Margin Guidence Table'!$I$1:$I$10000&lt;=ROUND($RI$3,0))*('Margin Guidence Table'!$J$1:$J$10000&gt;=ROUND($RI$3,0)),0),MATCH("DEFAULT_MDA_MEDIAN_MARGIN_GUIDENCE",'Margin Guidence Table'!$A$1:$AG$1,0))),0))</f>
        <v>0</v>
      </c>
      <c r="RX32" s="784">
        <f t="array" ref="RX32">IF('Customer Inputs'!$W$24="End",0,IFERROR(IF($RS32="SEGMENT",INDEX('Margin Guidence Table'!$A$1:$AG$10000,MATCH(1,('Margin Guidence Table'!$A$1:$A$10000=RQ32)*('Margin Guidence Table'!$I$1:$I$10000&lt;=ROUND($RI$3,0))*('Margin Guidence Table'!$J$1:$J$10000&gt;=ROUND($RI$3,0)),0),MATCH("MDA_MAX_MARGIN_GUIDENCE",'Margin Guidence Table'!$A$1:$AG$1,0)),INDEX('Margin Guidence Table'!$A$1:$AG$10000,MATCH(1,('Margin Guidence Table'!$A$1:$A$10000=RQ32)*('Margin Guidence Table'!$I$1:$I$10000&lt;=ROUND($RI$3,0))*('Margin Guidence Table'!$J$1:$J$10000&gt;=ROUND($RI$3,0)),0),MATCH("DEFAULT_MDA_MAX_MARGIN_GUIDENCE",'Margin Guidence Table'!$A$1:$AG$1,0))),0))</f>
        <v>0</v>
      </c>
      <c r="RY32" s="784">
        <f t="array" ref="RY32">IF('Customer Inputs'!$W$24="End",0,IFERROR(IF($RS32="SEGMENT",INDEX('Margin Guidence Table'!$A$1:$AG$10000,MATCH(1,('Margin Guidence Table'!$A$1:$A$10000=RQ32)*('Margin Guidence Table'!$I$1:$I$10000&lt;=ROUND($RI$3,0))*('Margin Guidence Table'!$J$1:$J$10000&gt;=ROUND($RI$3,0)),0),MATCH("PA_PCT_SALES",'Margin Guidence Table'!$A$1:$AG$1,0)),INDEX('Margin Guidence Table'!$A$1:$AG$10000,MATCH(1,('Margin Guidence Table'!$A$1:$A$10000=RQ32)*('Margin Guidence Table'!$I$1:$I$10000&lt;=ROUND($RI$3,0))*('Margin Guidence Table'!$J$1:$J$10000&gt;=ROUND($RI$3,0)),0),MATCH("DEFAULT_PA_PCT_SALES",'Margin Guidence Table'!$A$1:$AG$1,0))),0))</f>
        <v>0</v>
      </c>
      <c r="RZ32" s="784">
        <f t="array" ref="RZ32">IF('Customer Inputs'!$W$24="End",0,IFERROR(IF($RS32="SEGMENT",INDEX('Margin Guidence Table'!$A$1:$AG$10000,MATCH(1,('Margin Guidence Table'!$A$1:$A$10000=RQ32)*('Margin Guidence Table'!$I$1:$I$10000&lt;=ROUND($RI$3,0))*('Margin Guidence Table'!$J$1:$J$10000&gt;=ROUND($RI$3,0)),0),MATCH("SELF_FUND_PCT_SALES",'Margin Guidence Table'!$A$1:$AG$1,0)),INDEX('Margin Guidence Table'!$A$1:$AG$10000,MATCH(1,('Margin Guidence Table'!$A$1:$A$10000=RQ32)*('Margin Guidence Table'!$I$1:$I$10000&lt;=ROUND($RI$3,0))*('Margin Guidence Table'!$J$1:$J$10000&gt;=ROUND($RI$3,0)),0),MATCH("DEFAULT_SELF_FUND_PCT_SALES",'Margin Guidence Table'!$A$1:$AG$1,0))),0))</f>
        <v>0</v>
      </c>
      <c r="SA32" s="784">
        <f t="array" ref="SA32">IF('Customer Inputs'!$W$24="End",0,IF($RJ$2="Existing",IFERROR(SUMIFS('Existing Customers'!$V:$V,'Existing Customers'!$H:$H,$RH32,'Existing Customers'!$A:$A,$RI$1)/SUMIFS('Existing Customers'!$Q:$Q,'Existing Customers'!$H:$H,$RH32,'Existing Customers'!$A:$A,$RI$1),0),IFERROR(IF($RS32="SEGMENT",INDEX('Margin Guidence Table'!$A$1:$AG$10000,MATCH(1,('Margin Guidence Table'!$A$1:$A$10000=RQ32)*('Margin Guidence Table'!$I$1:$I$10000&lt;=ROUND($RI$3,0))*('Margin Guidence Table'!$J$1:$J$10000&gt;=ROUND($RI$3,0)),0),MATCH("CIA_MEDIAN_MARGIN_GUIDENCE",'Margin Guidence Table'!$A$1:$AG$1,0)),INDEX('Margin Guidence Table'!$A$1:$AG$10000,MATCH(1,('Margin Guidence Table'!$A$1:$A$10000=RQ32)*('Margin Guidence Table'!$I$1:$I$10000&lt;=ROUND($RI$3,0))*('Margin Guidence Table'!$J$1:$J$10000&gt;=ROUND($RI$3,0)),0),MATCH("DEFAULT_CIA_MEDIAN_MARGIN_GUIDENCE",'Margin Guidence Table'!$A$1:$AG$1,0))),0)))</f>
        <v>0</v>
      </c>
      <c r="SB32" s="784"/>
      <c r="SC32" s="18">
        <f t="array" ref="SC32">IF('Customer Inputs'!$W$25="End",0,IFERROR(IF($SP32="SEGMENT",INDEX('Margin Guidence Table'!$A$1:$AG$10000,MATCH(1,('Margin Guidence Table'!$A$1:$A$10000=$SN32)*('Margin Guidence Table'!$I$1:$I$10000&lt;=ROUND($SF$3,0))*('Margin Guidence Table'!$J$1:$J$10000&gt;=ROUND($SF$3,0)),0),MATCH("PCT_SALES",'Margin Guidence Table'!$A$1:$AG$1,0)),INDEX('Margin Guidence Table'!$A$1:$AG$10000,MATCH(1,('Margin Guidence Table'!$A$1:$A$10000=$SN32)*('Margin Guidence Table'!$I$1:$I$10000&lt;=ROUND($SF$3,0))*('Margin Guidence Table'!$J$1:$J$10000&gt;=ROUND($SF$3,0)),0),MATCH("DEFAULT_PCT_SALES",'Margin Guidence Table'!$A$1:$AG$1,0))),0))</f>
        <v>0</v>
      </c>
      <c r="SD32" s="1713" t="e">
        <f t="shared" si="70"/>
        <v>#DIV/0!</v>
      </c>
      <c r="SE32" s="99" t="s">
        <v>86</v>
      </c>
      <c r="SF32" s="91">
        <f>IF('Customer Inputs'!$W$25="End",0,IFERROR(IF(AND($SF$2&lt;&gt;"Enter Spend&gt;&gt;&gt;",$SG$2="EXISTING"),SUMIFS('Existing Customers'!$Q:$Q,'Existing Customers'!$A:$A,$SF$1,'Existing Customers'!$H:$H,$SE32)*$SF$4,$SF$3*$SD32),0))</f>
        <v>0</v>
      </c>
      <c r="SG32" s="86">
        <f>IF('Customer Inputs'!$W$25="End",0,IFERROR(IF(AND($SF$2&lt;&gt;"Enter Spend&gt;&gt;&gt;",$SG$2="EXISTING"),SUMIFS('Existing Customers'!$N:$N,'Existing Customers'!$A:$A,$SF$1,'Existing Customers'!$H:$H,$SE32)*$SF$4,$SF32/$SQ32),0))</f>
        <v>0</v>
      </c>
      <c r="SH32" s="92">
        <f>IF('Customer Inputs'!$W$25="End",0,IFERROR(IF(AND($SF$2&lt;&gt;"Enter Spend&gt;&gt;&gt;",$SG$2="EXISTING"),SUMIFS('Existing Customers'!$O:$O,'Existing Customers'!$H:$H,$SE32,'Existing Customers'!$A:$A,$SF$1)*$SF$4,$SG32*$SF$8),0))</f>
        <v>0</v>
      </c>
      <c r="SI32" s="92">
        <f>IF('Customer Inputs'!$W$25="End",0,IFERROR(IF(AND($SF$2&lt;&gt;"Enter Spend&gt;&gt;&gt;",$SG$2="EXISTING"),SUMIFS('Existing Customers'!$P:$P,'Existing Customers'!$A:$A,$SF$1,'Existing Customers'!$H:$H,$SE32)*$SF$4,$SF32/$SR32),0))</f>
        <v>0</v>
      </c>
      <c r="SJ32" s="303">
        <f>IF('Customer Inputs'!$W$25="End",0,IFERROR(IF(AND($SF$2&lt;&gt;"Enter Spend&gt;&gt;&gt;",$SG$2="EXISTING"),SUMIFS('Existing Customers'!$V:$V,'Existing Customers'!$H:$H,$SE32,'Existing Customers'!$A:$A,$SF$1)*$SF$4,0),0))</f>
        <v>0</v>
      </c>
      <c r="SK32" s="93">
        <f>IF('Customer Inputs'!$W$25="End",0,IFERROR(IF(AND($SF$2&lt;&gt;"Enter Spend&gt;&gt;&gt;",$SG$2="EXISTING"),SUMIFS('Existing Customers'!$R:$R,'Existing Customers'!$H:$H,$SE32,'Existing Customers'!$A:$A,$SF$1)*$SF$4,0),0))</f>
        <v>0</v>
      </c>
      <c r="SL32" s="780">
        <f>IF('Customer Inputs'!$W$25="End",0,IFERROR(IF(AND($SF$2&lt;&gt;"Enter Spend&gt;&gt;&gt;",$SG$2="EXISTING"),SUMIFS('Existing Customers'!$S:$S,'Existing Customers'!$H:$H,$SE32,'Existing Customers'!$A:$A,$SF$1)/SUMIFS('Existing Customers'!$Q:$Q,'Existing Customers'!$A:$A,$SF$1,'Existing Customers'!$H:$H,$SE32),SV32),0))</f>
        <v>0</v>
      </c>
      <c r="SM32" s="780">
        <f>IF('Customer Inputs'!$W$25="End",0,IFERROR(IF(AND($SF$2&lt;&gt;"Enter Spend&gt;&gt;&gt;",$SG$2="EXISTING"),SUMIFS('Existing Customers'!$U:$U,'Existing Customers'!$H:$H,$SE32,'Existing Customers'!$A:$A,$SF$1)/SUMIFS('Existing Customers'!$Q:$Q,'Existing Customers'!$A:$A,$SF$1,'Existing Customers'!$H:$H,$SE32),SW32),0))</f>
        <v>0</v>
      </c>
      <c r="SN32" s="783" t="e">
        <f>_xlfn.CONCAT('Customer Inputs'!$AH$25,"_",SE32)</f>
        <v>#N/A</v>
      </c>
      <c r="SO32" s="783">
        <f t="array" ref="SO32">IF('Customer Inputs'!$W$25="End",0,IFERROR(INDEX('Margin Guidence Table'!$A$1:$AG$10000,MATCH(1,('Margin Guidence Table'!$A$1:$A$10000=SN32)*('Margin Guidence Table'!$I$1:$I$10000&lt;=ROUND($SF$3,0))*('Margin Guidence Table'!$J$1:$J$10000&gt;=ROUND($SF$3,0)),0),MATCH("DATA_POINTS",'Margin Guidence Table'!$A$1:$AG$1,0)),0))</f>
        <v>0</v>
      </c>
      <c r="SP32" s="780" t="str">
        <f t="shared" si="71"/>
        <v>DEFAULT</v>
      </c>
      <c r="SQ32" s="780">
        <f t="array" ref="SQ32">IF('Customer Inputs'!$W$25="End",0,IFERROR(IF($SP32="SEGMENT",INDEX('Margin Guidence Table'!$A$1:$AG$10000,MATCH(1,('Margin Guidence Table'!$A$1:$A$10000=SN32)*('Margin Guidence Table'!$I$1:$I$10000&lt;=ROUND($SF$3,0))*('Margin Guidence Table'!$J$1:$J$10000&gt;=ROUND($SF$3,0)),0),MATCH("SALES_CASE",'Margin Guidence Table'!$A$1:$AG$1,0)),INDEX('Margin Guidence Table'!$A$1:$AG$10000,MATCH(1,('Margin Guidence Table'!$A$1:$A$10000=SN32)*('Margin Guidence Table'!$I$1:$I$10000&lt;=ROUND($SF$3,0))*('Margin Guidence Table'!$J$1:$J$10000&gt;=ROUND($SF$3,0)),0),MATCH("DEFAULT_SALES_CASE",'Margin Guidence Table'!$A$1:$AG$1,0))),0))</f>
        <v>0</v>
      </c>
      <c r="SR32" s="780">
        <f t="array" ref="SR32">IF('Customer Inputs'!$W$25="End",0,IFERROR(IF($SP32="SEGMENT",INDEX('Margin Guidence Table'!$A$1:$AG$10000,MATCH(1,('Margin Guidence Table'!$A$1:$A$10000=SN32)*('Margin Guidence Table'!$I$1:$I$10000&lt;=ROUND($SF$3,0))*('Margin Guidence Table'!$J$1:$J$10000&gt;=ROUND($SF$3,0)),0),MATCH("SALES_LBS",'Margin Guidence Table'!$A$1:$AG$1,0)),INDEX('Margin Guidence Table'!$A$1:$AG$10000,MATCH(1,('Margin Guidence Table'!$A$1:$A$10000=SN32)*('Margin Guidence Table'!$I$1:$I$10000&lt;=ROUND($SF$3,0))*('Margin Guidence Table'!$J$1:$J$10000&gt;=ROUND($SF$3,0)),0),MATCH("DEFAULT_SALES_LBS",'Margin Guidence Table'!$A$1:$AG$1,0))),0))</f>
        <v>0</v>
      </c>
      <c r="SS32" s="784">
        <f t="array" ref="SS32">IF('Customer Inputs'!$W$25="End",0,IFERROR(IF($SP32="SEGMENT",INDEX('Margin Guidence Table'!$A$1:$AG$10000,MATCH(1,('Margin Guidence Table'!$A$1:$A$10000=SN32)*('Margin Guidence Table'!$I$1:$I$10000&lt;=ROUND($SF$3,0))*('Margin Guidence Table'!$J$1:$J$10000&gt;=ROUND($SF$3,0)),0),MATCH("MDA_MIN_MARGIN_GUIDENCE",'Margin Guidence Table'!$A$1:$AG$1,0)),INDEX('Margin Guidence Table'!$A$1:$AG$10000,MATCH(1,('Margin Guidence Table'!$A$1:$A$10000=SN32)*('Margin Guidence Table'!$I$1:$I$10000&lt;=ROUND($SF$3,0))*('Margin Guidence Table'!$J$1:$J$10000&gt;=ROUND($SF$3,0)),0),MATCH("DEFAULT_MDA_MIN_MARGIN_GUIDENCE",'Margin Guidence Table'!$A$1:$AG$1,0))),0))</f>
        <v>0</v>
      </c>
      <c r="ST32" s="784">
        <f t="array" ref="ST32">IF('Customer Inputs'!$W$25="End",0,IFERROR(IF($SP32="SEGMENT",INDEX('Margin Guidence Table'!$A$1:$AG$10000,MATCH(1,('Margin Guidence Table'!$A$1:$A$10000=SN32)*('Margin Guidence Table'!$I$1:$I$10000&lt;=ROUND($SF$3,0))*('Margin Guidence Table'!$J$1:$J$10000&gt;=ROUND($SF$3,0)),0),MATCH("MDA_MEDIAN_MARGIN_GUIDENCE",'Margin Guidence Table'!$A$1:$AG$1,0)),INDEX('Margin Guidence Table'!$A$1:$AG$10000,MATCH(1,('Margin Guidence Table'!$A$1:$A$10000=SN32)*('Margin Guidence Table'!$I$1:$I$10000&lt;=ROUND($SF$3,0))*('Margin Guidence Table'!$J$1:$J$10000&gt;=ROUND($SF$3,0)),0),MATCH("DEFAULT_MDA_MEDIAN_MARGIN_GUIDENCE",'Margin Guidence Table'!$A$1:$AG$1,0))),0))</f>
        <v>0</v>
      </c>
      <c r="SU32" s="784">
        <f t="array" ref="SU32">IF('Customer Inputs'!$W$25="End",0,IFERROR(IF($SP32="SEGMENT",INDEX('Margin Guidence Table'!$A$1:$AG$10000,MATCH(1,('Margin Guidence Table'!$A$1:$A$10000=SN32)*('Margin Guidence Table'!$I$1:$I$10000&lt;=ROUND($SF$3,0))*('Margin Guidence Table'!$J$1:$J$10000&gt;=ROUND($SF$3,0)),0),MATCH("MDA_MAX_MARGIN_GUIDENCE",'Margin Guidence Table'!$A$1:$AG$1,0)),INDEX('Margin Guidence Table'!$A$1:$AG$10000,MATCH(1,('Margin Guidence Table'!$A$1:$A$10000=SN32)*('Margin Guidence Table'!$I$1:$I$10000&lt;=ROUND($SF$3,0))*('Margin Guidence Table'!$J$1:$J$10000&gt;=ROUND($SF$3,0)),0),MATCH("DEFAULT_MDA_MAX_MARGIN_GUIDENCE",'Margin Guidence Table'!$A$1:$AG$1,0))),0))</f>
        <v>0</v>
      </c>
      <c r="SV32" s="784">
        <f t="array" ref="SV32">IF('Customer Inputs'!$W$25="End",0,IFERROR(IF($SP32="SEGMENT",INDEX('Margin Guidence Table'!$A$1:$AG$10000,MATCH(1,('Margin Guidence Table'!$A$1:$A$10000=SN32)*('Margin Guidence Table'!$I$1:$I$10000&lt;=ROUND($SF$3,0))*('Margin Guidence Table'!$J$1:$J$10000&gt;=ROUND($SF$3,0)),0),MATCH("PA_PCT_SALES",'Margin Guidence Table'!$A$1:$AG$1,0)),INDEX('Margin Guidence Table'!$A$1:$AG$10000,MATCH(1,('Margin Guidence Table'!$A$1:$A$10000=SN32)*('Margin Guidence Table'!$I$1:$I$10000&lt;=ROUND($SF$3,0))*('Margin Guidence Table'!$J$1:$J$10000&gt;=ROUND($SF$3,0)),0),MATCH("DEFAULT_PA_PCT_SALES",'Margin Guidence Table'!$A$1:$AG$1,0))),0))</f>
        <v>0</v>
      </c>
      <c r="SW32" s="784">
        <f t="array" ref="SW32">IF('Customer Inputs'!$W$25="End",0,IFERROR(IF($SP32="SEGMENT",INDEX('Margin Guidence Table'!$A$1:$AG$10000,MATCH(1,('Margin Guidence Table'!$A$1:$A$10000=SN32)*('Margin Guidence Table'!$I$1:$I$10000&lt;=ROUND($SF$3,0))*('Margin Guidence Table'!$J$1:$J$10000&gt;=ROUND($SF$3,0)),0),MATCH("SELF_FUND_PCT_SALES",'Margin Guidence Table'!$A$1:$AG$1,0)),INDEX('Margin Guidence Table'!$A$1:$AG$10000,MATCH(1,('Margin Guidence Table'!$A$1:$A$10000=SN32)*('Margin Guidence Table'!$I$1:$I$10000&lt;=ROUND($SF$3,0))*('Margin Guidence Table'!$J$1:$J$10000&gt;=ROUND($SF$3,0)),0),MATCH("DEFAULT_SELF_FUND_PCT_SALES",'Margin Guidence Table'!$A$1:$AG$1,0))),0))</f>
        <v>0</v>
      </c>
      <c r="SX32" s="784">
        <f t="array" ref="SX32">IF('Customer Inputs'!$W$25="End",0,IF($SG$2="Existing",IFERROR(SUMIFS('Existing Customers'!$V:$V,'Existing Customers'!$H:$H,$SE32,'Existing Customers'!$A:$A,$SF$1)/SUMIFS('Existing Customers'!$Q:$Q,'Existing Customers'!$H:$H,$SE32,'Existing Customers'!$A:$A,$SF$1),0),IFERROR(IF($SP32="SEGMENT",INDEX('Margin Guidence Table'!$A$1:$AG$10000,MATCH(1,('Margin Guidence Table'!$A$1:$A$10000=SN32)*('Margin Guidence Table'!$I$1:$I$10000&lt;=ROUND($SF$3,0))*('Margin Guidence Table'!$J$1:$J$10000&gt;=ROUND($SF$3,0)),0),MATCH("CIA_MEDIAN_MARGIN_GUIDENCE",'Margin Guidence Table'!$A$1:$AG$1,0)),INDEX('Margin Guidence Table'!$A$1:$AG$10000,MATCH(1,('Margin Guidence Table'!$A$1:$A$10000=SN32)*('Margin Guidence Table'!$I$1:$I$10000&lt;=ROUND($SF$3,0))*('Margin Guidence Table'!$J$1:$J$10000&gt;=ROUND($SF$3,0)),0),MATCH("DEFAULT_CIA_MEDIAN_MARGIN_GUIDENCE",'Margin Guidence Table'!$A$1:$AG$1,0))),0)))</f>
        <v>0</v>
      </c>
      <c r="SY32" s="784"/>
      <c r="SZ32" s="1705"/>
      <c r="TA32" s="99" t="s">
        <v>86</v>
      </c>
      <c r="TB32" s="94"/>
      <c r="TC32" s="86"/>
      <c r="TD32" s="86"/>
      <c r="TE32" s="86"/>
      <c r="TF32" s="111"/>
      <c r="TG32" s="95"/>
      <c r="TH32" s="126"/>
      <c r="TI32" s="1705"/>
      <c r="TJ32" s="99" t="s">
        <v>86</v>
      </c>
      <c r="TK32" s="94"/>
      <c r="TL32" s="86"/>
      <c r="TM32" s="86"/>
      <c r="TN32" s="86"/>
      <c r="TO32" s="111"/>
      <c r="TP32" s="95"/>
      <c r="TQ32" s="1705"/>
      <c r="TR32" s="1705"/>
    </row>
    <row r="33" spans="1:538" ht="15.75" thickBot="1" x14ac:dyDescent="0.3">
      <c r="A33" s="1705"/>
      <c r="B33" s="99" t="s">
        <v>88</v>
      </c>
      <c r="C33" s="346">
        <f t="shared" si="0"/>
        <v>0</v>
      </c>
      <c r="D33" s="358">
        <f t="shared" si="1"/>
        <v>0</v>
      </c>
      <c r="E33" s="358">
        <f t="shared" si="2"/>
        <v>0</v>
      </c>
      <c r="F33" s="358">
        <f t="shared" si="3"/>
        <v>0</v>
      </c>
      <c r="G33" s="1428">
        <f t="shared" si="4"/>
        <v>0</v>
      </c>
      <c r="H33" s="1428">
        <f t="shared" si="5"/>
        <v>0</v>
      </c>
      <c r="I33" s="359">
        <f t="shared" si="6"/>
        <v>0</v>
      </c>
      <c r="J33" s="358">
        <f t="shared" si="7"/>
        <v>0</v>
      </c>
      <c r="K33" s="778">
        <f t="shared" si="8"/>
        <v>0</v>
      </c>
      <c r="L33" s="778">
        <f t="shared" si="9"/>
        <v>0</v>
      </c>
      <c r="M33" s="778">
        <f t="shared" si="10"/>
        <v>0</v>
      </c>
      <c r="N33" s="1428">
        <f>IF('PIM Model'!D29="$/CS",IFERROR(ROUND(SUM(BX33*$BV$35+CU33*$CS$35+DR33*$DP$35+EO33*$EM$35+FL33*$FJ$35+GI33*$GG$35+HF33*$HD$35+IC33*$IA$35+IZ33*$IX$35+JW33*$JU$35+KT33*$KR$35+LQ33*$LO$35+MN33*$ML$35+NK33*$NI$35+OH33*$OF$35+PE33*$PC$35+QB33*$PZ$35+QY33*$QW$35+RV33*$RT$35+SS33*$SQ$35)/$G$35,2),0),IF('PIM Model'!D29="$/LB",IFERROR(ROUND(SUM(BX33*$BW$35+CU33*$CT$35+DR33*$DQ$35+EO33*$EN$35+FL33*$FK$35+GI33*$GH$35+HF33*$HE$35+IC33*$IB$35+IZ33*$IY$35+JW33*$JV$35+KT33*$KS$35+LQ33*$LP$35+MN33*$MM$35+NK33*$NJ$35+OH33*$OG$35+PE33*$PD$35+QB33*$QA$35+QY33*$QX$35+RV33*$RU$35+SS33*$SR$35)/$H$35,2),0),0))</f>
        <v>0</v>
      </c>
      <c r="O33" s="1428">
        <f>IF('PIM Model'!D29="$/CS",IFERROR(ROUND(SUM(BY33*$BV$35+CV33*$CS$35+DS33*$DP$35+EP33*$EM$35+FM33*$FJ$35+GJ33*$GG$35+HG33*$HD$35+ID33*$IA$35+JA33*$IX$35+JX33*$JU$35+KU33*$KR$35+LR33*$LO$35+MO33*$ML$35+NL33*$NI$35+OI33*$OF$35+PF33*$PC$35+QC33*$PZ$35+QZ33*$QW$35+RW33*$RT$35+ST33*$SQ$35)/$G$35,2),0),IF('PIM Model'!D29="$/LB",IFERROR(ROUND(SUM(BY33*$BW$35+CV33*$CT$35+DS33*$DQ$35+EP33*$EN$35+FM33*$FK$35+GJ33*$GH$35+HG33*$HE$35+ID33*$IB$35+JA33*$IY$35+JX33*$JV$35+KU33*$KS$35+LR33*$LP$35+MO33*$MM$35+NL33*$NJ$35+OI33*$OG$35+PF33*$PD$35+QC33*$QA$35+QZ33*$QX$35+RW33*$RU$35+ST33*$SR$35)/$H$35,2),0),0))</f>
        <v>0</v>
      </c>
      <c r="P33" s="1428">
        <f>IF('PIM Model'!D29="$/CS",IFERROR(ROUND(SUM(BZ33*$BV$35+CW33*$CS$35+DT33*$DP$35+EQ33*$EM$35+FN33*$FJ$35+GK33*$GG$35+HH33*$HD$35+IE33*$IA$35+JB33*$IX$35+JY33*$JU$35+KV33*$KR$35+LS33*$LO$35+MP33*$ML$35+NM33*$NI$35+OJ33*$OF$35+PG33*$PC$35+QD33*$PZ$35+RA33*$QW$35+RX33*$RT$35+SU33*$SQ$35)/$G$35,2),0),IF('PIM Model'!D29="$/LB",IFERROR(ROUND(SUM(BZ33*$BW$35+CW33*$CT$35+DT33*$DQ$35+EQ33*$EN$35+FN33*$FK$35+GK33*$GH$35+HH33*$HE$35+IE33*$IB$35+JB33*$IY$35+JY33*$JV$35+KV33*$KS$35+LS33*$LP$35+MP33*$MM$35+NM33*$NJ$35+OJ33*$OG$35+PG33*$PD$35+QD33*$QA$35+RA33*$QX$35+RX33*$RU$35+SU33*$SR$35)/$H$35,2),0),0))</f>
        <v>0</v>
      </c>
      <c r="Q33" s="358">
        <f t="shared" si="11"/>
        <v>0</v>
      </c>
      <c r="R33" s="358">
        <f t="shared" si="12"/>
        <v>0</v>
      </c>
      <c r="S33" s="779">
        <f t="shared" si="13"/>
        <v>0</v>
      </c>
      <c r="T33" s="779">
        <f t="shared" si="14"/>
        <v>0</v>
      </c>
      <c r="U33" s="779">
        <f t="shared" si="15"/>
        <v>0</v>
      </c>
      <c r="V33" s="779">
        <f t="shared" si="16"/>
        <v>0</v>
      </c>
      <c r="W33" s="779">
        <f t="shared" si="17"/>
        <v>0</v>
      </c>
      <c r="X33" s="1705"/>
      <c r="Y33" s="1705" t="str">
        <f>'PIM Model'!E29</f>
        <v>INCLUDE</v>
      </c>
      <c r="Z33" s="1705">
        <f t="shared" si="18"/>
        <v>0</v>
      </c>
      <c r="AA33" s="1705">
        <f t="shared" si="19"/>
        <v>0</v>
      </c>
      <c r="AB33" s="99" t="s">
        <v>88</v>
      </c>
      <c r="AC33" s="107">
        <f t="shared" si="20"/>
        <v>0</v>
      </c>
      <c r="AD33" s="108">
        <f t="shared" si="21"/>
        <v>0</v>
      </c>
      <c r="AE33" s="108">
        <f t="shared" si="22"/>
        <v>0</v>
      </c>
      <c r="AF33" s="108">
        <f t="shared" si="23"/>
        <v>0</v>
      </c>
      <c r="AG33" s="110">
        <f t="shared" si="24"/>
        <v>0</v>
      </c>
      <c r="AH33" s="114">
        <f t="shared" si="25"/>
        <v>0</v>
      </c>
      <c r="AI33" s="301"/>
      <c r="AJ33" s="99" t="s">
        <v>88</v>
      </c>
      <c r="AK33" s="346">
        <f t="shared" si="26"/>
        <v>0</v>
      </c>
      <c r="AL33" s="347">
        <f t="shared" si="26"/>
        <v>0</v>
      </c>
      <c r="AM33" s="347">
        <f t="shared" si="26"/>
        <v>0</v>
      </c>
      <c r="AN33" s="350">
        <f t="shared" si="27"/>
        <v>0</v>
      </c>
      <c r="AO33" s="351">
        <f t="shared" si="28"/>
        <v>0</v>
      </c>
      <c r="AP33" s="301"/>
      <c r="AQ33" s="99" t="s">
        <v>88</v>
      </c>
      <c r="AR33" s="346">
        <f t="shared" si="29"/>
        <v>0</v>
      </c>
      <c r="AS33" s="347">
        <f t="shared" si="30"/>
        <v>0</v>
      </c>
      <c r="AT33" s="351"/>
      <c r="AU33" s="301"/>
      <c r="AV33" s="1708" t="str">
        <f>IF('PIM Ranges'!$AK31='PIM Ranges'!$AY$11,IF($AR33&lt;'PIM Ranges'!$AZ$11,"Q1",IF($AR33&lt;'PIM Ranges'!$BA$11,"Q2",IF($AR33&lt;'PIM Ranges'!$BB$11,"Q3",IF($AR33&lt;'PIM Ranges'!$BC$11,"Q4","Q5")))),IF('PIM Ranges'!$AK31='PIM Ranges'!$AY$12,IF($AR33&lt;'PIM Ranges'!$AZ$12,"Q1",IF($AR33&lt;'PIM Ranges'!$BA$12,"Q2",IF($AR33&lt;'PIM Ranges'!$BB$12,"Q3",IF($AR33&lt;'PIM Ranges'!$BC$12,"Q4","Q5")))),IF('PIM Ranges'!$AK31='PIM Ranges'!$AY$13,IF($AR33&lt;'PIM Ranges'!$AZ$13,"Q1",IF($AR33&lt;'PIM Ranges'!$BA$13,"Q2",IF($AR33&lt;'PIM Ranges'!$BB$13,"Q3",IF($AR33&lt;'PIM Ranges'!$BC$13,"Q4","Q5")))),IF('PIM Ranges'!$AK31='PIM Ranges'!$AY$14,IF($AR33&lt;'PIM Ranges'!$AZ$14,"Q1",IF($AR33&lt;'PIM Ranges'!$BA$14,"Q2",IF($AR33&lt;'PIM Ranges'!$BB$14,"Q3",IF($AR33&lt;'PIM Ranges'!$BC$14,"Q4","Q5")))),IF('PIM Ranges'!$AK31='PIM Ranges'!$AY$15,IF($AR33&lt;'PIM Ranges'!$AZ$15,"Q1",IF($AR33&lt;'PIM Ranges'!$BA$15,"Q2",IF($AR33&lt;'PIM Ranges'!$BB$15,"Q3",IF($AR33&lt;'PIM Ranges'!$BC$15,"Q4","Q5")))),IF('PIM Ranges'!$AK31='PIM Ranges'!$AY$16,IF($AR33&lt;'PIM Ranges'!$AZ$16,"Q1",IF($AR33&lt;'PIM Ranges'!$BA$16,"Q2",IF($AR33&lt;'PIM Ranges'!$BB$16,"Q3",IF($AR33&lt;'PIM Ranges'!$BC$16,"Q4","Q5")))),IF('PIM Ranges'!$AK31='PIM Ranges'!$AY$17,IF($AR33&lt;'PIM Ranges'!$AZ$17,"Q1",IF($AR33&lt;'PIM Ranges'!$BA$17,"Q2",IF($AR33&lt;'PIM Ranges'!$BB$17,"Q3",IF($AR33&lt;'PIM Ranges'!$BC$17,"Q4","Q5")))),IF('PIM Ranges'!$AK31='PIM Ranges'!$AY$18,IF($AR33&lt;'PIM Ranges'!$AZ$18,"Q1",IF($AR33&lt;'PIM Ranges'!$BA$18,"Q2",IF($AR33&lt;'PIM Ranges'!$BB$18,"Q3",IF($AR33&lt;'PIM Ranges'!$BC$18,"Q4","Q5")))),IF('PIM Ranges'!$AK31='PIM Ranges'!$AY$19,IF($AR33&lt;'PIM Ranges'!$AZ$19,"Q1",IF($AR33&lt;'PIM Ranges'!$BA$19,"Q2",IF($AR33&lt;'PIM Ranges'!$BB$19,"Q3",IF($AR33&lt;'PIM Ranges'!$BC$19,"Q4","Q5")))),IF('PIM Ranges'!$AK31='PIM Ranges'!$AY$20,IF($AR33&lt;'PIM Ranges'!$AZ$20,"Q1",IF($AR33&lt;'PIM Ranges'!$BA$20,"Q2",IF($AR33&lt;'PIM Ranges'!$BB$20,"Q3",IF($AR33&lt;'PIM Ranges'!$BC$20,"Q4","Q5")))),IF('PIM Ranges'!$AK31='PIM Ranges'!$AY$21,IF($AR33&lt;'PIM Ranges'!$AZ$21,"Q1",IF($AR33&lt;'PIM Ranges'!$BA$21,"Q2",IF($AR33&lt;'PIM Ranges'!$BB$21,"Q3",IF($AR33&lt;'PIM Ranges'!$BC$21,"Q4","Q5")))),IF('PIM Ranges'!$AK31='PIM Ranges'!$AY$22,IF($AR33&lt;'PIM Ranges'!$AZ$22,"Q1",IF($AR33&lt;'PIM Ranges'!$BA$22,"Q2",IF($AR33&lt;'PIM Ranges'!$BB$22,"Q3",IF($AR33&lt;'PIM Ranges'!$BC$22,"Q4","Q5")))),IF('PIM Ranges'!$AK31='PIM Ranges'!$AY$23,IF($AR33&lt;'PIM Ranges'!$AZ$23,"Q1",IF($AR33&lt;'PIM Ranges'!$BA$23,"Q2",IF($AR33&lt;'PIM Ranges'!$BB$23,"Q3",IF($AR33&lt;'PIM Ranges'!$BC$23,"Q4","Q5")))),IF('PIM Ranges'!$AK31='PIM Ranges'!$AY$24,IF($AR33&lt;'PIM Ranges'!$AZ$24,"Q1",IF($AR33&lt;'PIM Ranges'!$BA$24,"Q2",IF($AR33&lt;'PIM Ranges'!$BB$24,"Q3",IF($AR33&lt;'PIM Ranges'!$BC$24,"Q4","Q5")))),IF('PIM Ranges'!$AK31='PIM Ranges'!$AY$25,IF($AR33&lt;'PIM Ranges'!$AZ$25,"Q1",IF($AR33&lt;'PIM Ranges'!$BA$25,"Q2",IF($AR33&lt;'PIM Ranges'!$BB$25,"Q3",IF($AR33&lt;'PIM Ranges'!$BC$25,"Q4","Q5")))),IF('PIM Ranges'!$AK31='PIM Ranges'!$AY$26,IF($AR33&lt;'PIM Ranges'!$AZ$26,"Q1",IF($AR33&lt;'PIM Ranges'!$BA$26,"Q2",IF($AR33&lt;'PIM Ranges'!$BB$26,"Q3",IF($AR33&lt;'PIM Ranges'!$BC$26,"Q4","Q5")))),IF('PIM Ranges'!$AK31='PIM Ranges'!$AY$27,IF($AR33&lt;'PIM Ranges'!$AZ$27,"Q1",IF($AR33&lt;'PIM Ranges'!$BA$27,"Q2",IF($AR33&lt;'PIM Ranges'!$BB$27,"Q3",IF($AR33&lt;'PIM Ranges'!$BC$27,"Q4","Q5")))),IF('PIM Ranges'!$AK31='PIM Ranges'!$AY$28,IF($AR33&lt;'PIM Ranges'!$AZ$28,"Q1",IF($AR33&lt;'PIM Ranges'!$BA$28,"Q2",IF($AR33&lt;'PIM Ranges'!$BB$28,"Q3",IF($AR33&lt;'PIM Ranges'!$BC$28,"Q4","Q5")))),IF('PIM Ranges'!$AK31='PIM Ranges'!$AY$29,IF($AR33&lt;'PIM Ranges'!$AZ$29,"Q1",IF($AR33&lt;'PIM Ranges'!$BA$29,"Q2",IF($AR33&lt;'PIM Ranges'!$BB$29,"Q3",IF($AR33&lt;'PIM Ranges'!$BC$29,"Q4","Q5")))),IF('PIM Ranges'!$AK31='PIM Ranges'!$AY$30,IF($AR33&lt;'PIM Ranges'!$AZ$30,"Q1",IF($AR33&lt;'PIM Ranges'!$BA$30,"Q2",IF($AR33&lt;'PIM Ranges'!$BB$30,"Q3",IF($AR33&lt;'PIM Ranges'!$BC$30,"Q4","Q5")))),IF('PIM Ranges'!$AK31='PIM Ranges'!$AY$31,IF($AR33&lt;'PIM Ranges'!$AZ$31,"Q1",IF($AR33&lt;'PIM Ranges'!$BA$31,"Q2",IF($AR33&lt;'PIM Ranges'!$BB$31,"Q3",IF($AR33&lt;'PIM Ranges'!$BC$31,"Q4","Q5")))),IF('PIM Ranges'!$AK31='PIM Ranges'!$AY$32,IF($AR33&lt;'PIM Ranges'!$AZ$32,"Q1",IF($AR33&lt;'PIM Ranges'!$BA$32,"Q2",IF($AR33&lt;'PIM Ranges'!$BB$32,"Q3",IF($AR33&lt;'PIM Ranges'!$BC$32,"Q4","Q5"))))))))))))))))))))))))))</f>
        <v>Q1</v>
      </c>
      <c r="AW33" s="301">
        <f>VLOOKUP($AQ33&amp;$AV33,'IMargin Quartiles'!$A:$F,6,FALSE)</f>
        <v>0.13</v>
      </c>
      <c r="AX33" s="301"/>
      <c r="AY33" s="1708" t="str">
        <f>IF('PIM Ranges'!$AK31='PIM Ranges'!$AY$11,IF('PIM Ranges'!$AL31&lt;'PIM Ranges'!$AZ$11,"Q1",IF('PIM Ranges'!$AL31&lt;'PIM Ranges'!$BA$11,"Q2",IF('PIM Ranges'!$AL31&lt;'PIM Ranges'!$BB$11,"Q3",IF('PIM Ranges'!$AL31&lt;'PIM Ranges'!$BC$11,"Q4","Q5")))),IF('PIM Ranges'!$AK31='PIM Ranges'!$AY$12,IF('PIM Ranges'!$AL31&lt;'PIM Ranges'!$AZ$12,"Q1",IF('PIM Ranges'!$AL31&lt;'PIM Ranges'!$BA$12,"Q2",IF('PIM Ranges'!$AL31&lt;'PIM Ranges'!$BB$12,"Q3",IF('PIM Ranges'!$AL31&lt;'PIM Ranges'!$BC$12,"Q4","Q5")))),IF('PIM Ranges'!$AK31='PIM Ranges'!$AY$13,IF('PIM Ranges'!$AL31&lt;'PIM Ranges'!$AZ$13,"Q1",IF('PIM Ranges'!$AL31&lt;'PIM Ranges'!$BA$13,"Q2",IF('PIM Ranges'!$AL31&lt;'PIM Ranges'!$BB$13,"Q3",IF('PIM Ranges'!$AL31&lt;'PIM Ranges'!$BC$13,"Q4","Q5")))),IF('PIM Ranges'!$AK31='PIM Ranges'!$AY$14,IF('PIM Ranges'!$AL31&lt;'PIM Ranges'!$AZ$14,"Q1",IF('PIM Ranges'!$AL31&lt;'PIM Ranges'!$BA$14,"Q2",IF('PIM Ranges'!$AL31&lt;'PIM Ranges'!$BB$14,"Q3",IF('PIM Ranges'!$AL31&lt;'PIM Ranges'!$BC$14,"Q4","Q5")))),IF('PIM Ranges'!$AK31='PIM Ranges'!$AY$15,IF('PIM Ranges'!$AL31&lt;'PIM Ranges'!$AZ$15,"Q1",IF('PIM Ranges'!$AL31&lt;'PIM Ranges'!$BA$15,"Q2",IF('PIM Ranges'!$AL31&lt;'PIM Ranges'!$BB$15,"Q3",IF('PIM Ranges'!$AL31&lt;'PIM Ranges'!$BC$15,"Q4","Q5")))),IF('PIM Ranges'!$AK31='PIM Ranges'!$AY$16,IF('PIM Ranges'!$AL31&lt;'PIM Ranges'!$AZ$16,"Q1",IF('PIM Ranges'!$AL31&lt;'PIM Ranges'!$BA$16,"Q2",IF('PIM Ranges'!$AL31&lt;'PIM Ranges'!$BB$16,"Q3",IF('PIM Ranges'!$AL31&lt;'PIM Ranges'!$BC$16,"Q4","Q5")))),IF('PIM Ranges'!$AK31='PIM Ranges'!$AY$17,IF('PIM Ranges'!$AL31&lt;'PIM Ranges'!$AZ$17,"Q1",IF('PIM Ranges'!$AL31&lt;'PIM Ranges'!$BA$17,"Q2",IF('PIM Ranges'!$AL31&lt;'PIM Ranges'!$BB$17,"Q3",IF('PIM Ranges'!$AL31&lt;'PIM Ranges'!$BC$17,"Q4","Q5")))),IF('PIM Ranges'!$AK31='PIM Ranges'!$AY$18,IF('PIM Ranges'!$AL31&lt;'PIM Ranges'!$AZ$18,"Q1",IF('PIM Ranges'!$AL31&lt;'PIM Ranges'!$BA$18,"Q2",IF('PIM Ranges'!$AL31&lt;'PIM Ranges'!$BB$18,"Q3",IF('PIM Ranges'!$AL31&lt;'PIM Ranges'!$BC$18,"Q4","Q5")))),IF('PIM Ranges'!$AK31='PIM Ranges'!$AY$19,IF('PIM Ranges'!$AL31&lt;'PIM Ranges'!$AZ$19,"Q1",IF('PIM Ranges'!$AL31&lt;'PIM Ranges'!$BA$19,"Q2",IF('PIM Ranges'!$AL31&lt;'PIM Ranges'!$BB$19,"Q3",IF('PIM Ranges'!$AL31&lt;'PIM Ranges'!$BC$19,"Q4","Q5")))),IF('PIM Ranges'!$AK31='PIM Ranges'!$AY$20,IF('PIM Ranges'!$AL31&lt;'PIM Ranges'!$AZ$20,"Q1",IF('PIM Ranges'!$AL31&lt;'PIM Ranges'!$BA$20,"Q2",IF('PIM Ranges'!$AL31&lt;'PIM Ranges'!$BB$20,"Q3",IF('PIM Ranges'!$AL31&lt;'PIM Ranges'!$BC$20,"Q4","Q5")))),IF('PIM Ranges'!$AK31='PIM Ranges'!$AY$21,IF('PIM Ranges'!$AL31&lt;'PIM Ranges'!$AZ$21,"Q1",IF('PIM Ranges'!$AL31&lt;'PIM Ranges'!$BA$21,"Q2",IF('PIM Ranges'!$AL31&lt;'PIM Ranges'!$BB$21,"Q3",IF('PIM Ranges'!$AL31&lt;'PIM Ranges'!$BC$21,"Q4","Q5")))),IF('PIM Ranges'!$AK31='PIM Ranges'!$AY$22,IF('PIM Ranges'!$AL31&lt;'PIM Ranges'!$AZ$22,"Q1",IF('PIM Ranges'!$AL31&lt;'PIM Ranges'!$BA$22,"Q2",IF('PIM Ranges'!$AL31&lt;'PIM Ranges'!$BB$22,"Q3",IF('PIM Ranges'!$AL31&lt;'PIM Ranges'!$BC$22,"Q4","Q5")))),IF('PIM Ranges'!$AK31='PIM Ranges'!$AY$23,IF('PIM Ranges'!$AL31&lt;'PIM Ranges'!$AZ$23,"Q1",IF('PIM Ranges'!$AL31&lt;'PIM Ranges'!$BA$23,"Q2",IF('PIM Ranges'!$AL31&lt;'PIM Ranges'!$BB$23,"Q3",IF('PIM Ranges'!$AL31&lt;'PIM Ranges'!$BC$23,"Q4","Q5")))),IF('PIM Ranges'!$AK31='PIM Ranges'!$AY$24,IF('PIM Ranges'!$AL31&lt;'PIM Ranges'!$AZ$24,"Q1",IF('PIM Ranges'!$AL31&lt;'PIM Ranges'!$BA$24,"Q2",IF('PIM Ranges'!$AL31&lt;'PIM Ranges'!$BB$24,"Q3",IF('PIM Ranges'!$AL31&lt;'PIM Ranges'!$BC$24,"Q4","Q5")))),IF('PIM Ranges'!$AK31='PIM Ranges'!$AY$25,IF('PIM Ranges'!$AL31&lt;'PIM Ranges'!$AZ$25,"Q1",IF('PIM Ranges'!$AL31&lt;'PIM Ranges'!$BA$25,"Q2",IF('PIM Ranges'!$AL31&lt;'PIM Ranges'!$BB$25,"Q3",IF('PIM Ranges'!$AL31&lt;'PIM Ranges'!$BC$25,"Q4","Q5")))),IF('PIM Ranges'!$AK31='PIM Ranges'!$AY$26,IF('PIM Ranges'!$AL31&lt;'PIM Ranges'!$AZ$26,"Q1",IF('PIM Ranges'!$AL31&lt;'PIM Ranges'!$BA$26,"Q2",IF('PIM Ranges'!$AL31&lt;'PIM Ranges'!$BB$26,"Q3",IF('PIM Ranges'!$AL31&lt;'PIM Ranges'!$BC$26,"Q4","Q5")))),IF('PIM Ranges'!$AK31='PIM Ranges'!$AY$27,IF('PIM Ranges'!$AL31&lt;'PIM Ranges'!$AZ$27,"Q1",IF('PIM Ranges'!$AL31&lt;'PIM Ranges'!$BA$27,"Q2",IF('PIM Ranges'!$AL31&lt;'PIM Ranges'!$BB$27,"Q3",IF('PIM Ranges'!$AL31&lt;'PIM Ranges'!$BC$27,"Q4","Q5")))),IF('PIM Ranges'!$AK31='PIM Ranges'!$AY$28,IF('PIM Ranges'!$AL31&lt;'PIM Ranges'!$AZ$28,"Q1",IF('PIM Ranges'!$AL31&lt;'PIM Ranges'!$BA$28,"Q2",IF('PIM Ranges'!$AL31&lt;'PIM Ranges'!$BB$28,"Q3",IF('PIM Ranges'!$AL31&lt;'PIM Ranges'!$BC$28,"Q4","Q5")))),IF('PIM Ranges'!$AK31='PIM Ranges'!$AY$29,IF('PIM Ranges'!$AL31&lt;'PIM Ranges'!$AZ$29,"Q1",IF('PIM Ranges'!$AL31&lt;'PIM Ranges'!$BA$29,"Q2",IF('PIM Ranges'!$AL31&lt;'PIM Ranges'!$BB$29,"Q3",IF('PIM Ranges'!$AL31&lt;'PIM Ranges'!$BC$29,"Q4","Q5")))),IF('PIM Ranges'!$AK31='PIM Ranges'!$AY$30,IF('PIM Ranges'!$AL31&lt;'PIM Ranges'!$AZ$30,"Q1",IF('PIM Ranges'!$AL31&lt;'PIM Ranges'!$BA$30,"Q2",IF('PIM Ranges'!$AL31&lt;'PIM Ranges'!$BB$30,"Q3",IF('PIM Ranges'!$AL31&lt;'PIM Ranges'!$BC$30,"Q4","Q5")))),IF('PIM Ranges'!$AK31='PIM Ranges'!$AY$31,IF('PIM Ranges'!$AL31&lt;'PIM Ranges'!$AZ$31,"Q1",IF('PIM Ranges'!$AL31&lt;'PIM Ranges'!$BA$31,"Q2",IF('PIM Ranges'!$AL31&lt;'PIM Ranges'!$BB$31,"Q3",IF('PIM Ranges'!$AL31&lt;'PIM Ranges'!$BC$31,"Q4","Q5")))),IF('PIM Ranges'!$AK31='PIM Ranges'!$AY$32,IF('PIM Ranges'!$AL31&lt;'PIM Ranges'!$AZ$32,"Q1",IF('PIM Ranges'!$AL31&lt;'PIM Ranges'!$BA$32,"Q2",IF('PIM Ranges'!$AL31&lt;'PIM Ranges'!$BB$32,"Q3",IF('PIM Ranges'!$AL31&lt;'PIM Ranges'!$BC$32,"Q4","Q5"))))))))))))))))))))))))))</f>
        <v>Q1</v>
      </c>
      <c r="AZ33" s="301">
        <f t="shared" si="31"/>
        <v>0</v>
      </c>
      <c r="BA33" s="39">
        <f>'PIM Model'!C29</f>
        <v>0</v>
      </c>
      <c r="BB33" s="301"/>
      <c r="BC33" s="301"/>
      <c r="BD33" s="301" t="e">
        <f t="shared" si="72"/>
        <v>#DIV/0!</v>
      </c>
      <c r="BE33" s="301"/>
      <c r="BF33" s="301"/>
      <c r="BG33" s="105">
        <v>22</v>
      </c>
      <c r="BH33" s="18">
        <f t="array" ref="BH33">IF('Customer Inputs'!$W$6="End",0,IFERROR(IF($BU33="SEGMENT",INDEX('Margin Guidence Table'!$A$1:$AG$10000,MATCH(1,('Margin Guidence Table'!$A$1:$A$10000=$BS33)*('Margin Guidence Table'!$I$1:$I$10000&lt;=ROUND($BK$3,0))*('Margin Guidence Table'!$J$1:$J$10000&gt;=ROUND($BK$3,0)),0),MATCH("PCT_SALES",'Margin Guidence Table'!$A$1:$AG$1,0)),INDEX('Margin Guidence Table'!$A$1:$AG$10000,MATCH(1,('Margin Guidence Table'!$A$1:$A$10000=$BS33)*('Margin Guidence Table'!$I$1:$I$10000&lt;=ROUND($BK$3,0))*('Margin Guidence Table'!$J$1:$J$10000&gt;=ROUND($BK$3,0)),0),MATCH("DEFAULT_PCT_SALES",'Margin Guidence Table'!$A$1:$AG$1,0))),0))</f>
        <v>0</v>
      </c>
      <c r="BI33" s="297" t="e">
        <f t="shared" si="32"/>
        <v>#DIV/0!</v>
      </c>
      <c r="BJ33" s="99" t="s">
        <v>88</v>
      </c>
      <c r="BK33" s="91">
        <f>IF('Customer Inputs'!$W$6="End",0,IFERROR(IF(AND($BK$2&lt;&gt;"Enter Spend&gt;&gt;&gt;",$BL$2="EXISTING"),SUMIFS('Existing Customers'!$Q:$Q,'Existing Customers'!$A:$A,$BK$1,'Existing Customers'!$H:$H,$BJ33)*$BK$4,$BK$3*$BI33),0))</f>
        <v>0</v>
      </c>
      <c r="BL33" s="92">
        <f>IF('Customer Inputs'!$W$6="End",0,IFERROR(IF(AND($BK$2&lt;&gt;"Enter Spend&gt;&gt;&gt;",$BL$2="EXISTING"),SUMIFS('Existing Customers'!$N:$N,'Existing Customers'!$A:$A,$BK$1,'Existing Customers'!$H:$H,$BJ33)*$BK$4,$BK33/$BV33),0))</f>
        <v>0</v>
      </c>
      <c r="BM33" s="92">
        <f>IF('Customer Inputs'!$W$6="End",0,IFERROR(IF(AND($BK$2&lt;&gt;"Enter Spend&gt;&gt;&gt;",$BL$2="EXISTING"),SUMIFS('Existing Customers'!$O:$O,'Existing Customers'!$H:$H,$BJ33,'Existing Customers'!$A:$A,$BK$1)*$BK$4,$BL33*$BK$8),0))</f>
        <v>0</v>
      </c>
      <c r="BN33" s="92">
        <f>IF('Customer Inputs'!$W$6="End",0,IFERROR(IF(AND($BK$2&lt;&gt;"Enter Spend&gt;&gt;&gt;",$BL$2="EXISTING"),SUMIFS('Existing Customers'!$P:$P,'Existing Customers'!$A:$A,$BK$1,'Existing Customers'!$H:$H,$BJ33)*$BK$4,$BK33/$BW33),0))</f>
        <v>0</v>
      </c>
      <c r="BO33" s="303">
        <f>IF('Customer Inputs'!$W$6="End",0,IFERROR(IF(AND($BK$2&lt;&gt;"Enter Spend&gt;&gt;&gt;",$BL$2="EXISTING"),SUMIFS('Existing Customers'!$V:$V,'Existing Customers'!$H:$H,$BJ33,'Existing Customers'!$A:$A,$BK$1)*$BK$4,0),0))</f>
        <v>0</v>
      </c>
      <c r="BP33" s="93">
        <f>IF('Customer Inputs'!$W$6="End",0,IFERROR(IF(AND($BK$2&lt;&gt;"Enter Spend&gt;&gt;&gt;",$BL$2="EXISTING"),SUMIFS('Existing Customers'!$R:$R,'Existing Customers'!$H:$H,$BJ33,'Existing Customers'!$A:$A,$BK$1)*$BK$4,0),0))</f>
        <v>0</v>
      </c>
      <c r="BQ33" s="93">
        <f>IF('Customer Inputs'!$W$6="End",0,IFERROR(IF(AND($BK$2&lt;&gt;"Enter Spend&gt;&gt;&gt;",$BL$2="EXISTING"),SUMIFS('Existing Customers'!$S:$S,'Existing Customers'!$H:$H,$BJ33,'Existing Customers'!$A:$A,$BK$1)/SUMIFS('Existing Customers'!$Q:$Q,'Existing Customers'!$A:$A,$BK$1,'Existing Customers'!$H:$H,$BJ33),CA33),0))</f>
        <v>0</v>
      </c>
      <c r="BR33" s="93">
        <f>IF('Customer Inputs'!$W$6="End",0,IFERROR(IF(AND($BK$2&lt;&gt;"Enter Spend&gt;&gt;&gt;",$BL$2="EXISTING"),SUMIFS('Existing Customers'!$U:$U,'Existing Customers'!$H:$H,$BJ33,'Existing Customers'!$A:$A,$BK$1)/SUMIFS('Existing Customers'!$Q:$Q,'Existing Customers'!$A:$A,$BK$1,'Existing Customers'!$H:$H,$BJ33),CB33),0))</f>
        <v>0</v>
      </c>
      <c r="BS33" s="782" t="e">
        <f>_xlfn.CONCAT('Customer Inputs'!$AH$6,"_",BJ33)</f>
        <v>#N/A</v>
      </c>
      <c r="BT33" s="783">
        <f t="array" ref="BT33">IF('Customer Inputs'!$W$6="End",0,IFERROR(INDEX('Margin Guidence Table'!$A$1:$AG$10000,MATCH(1,('Margin Guidence Table'!$A$1:$A$10000=$BS33)*('Margin Guidence Table'!$I$1:$I$10000&lt;=ROUND($BK$3,0))*('Margin Guidence Table'!$J$1:$J$10000&gt;=ROUND($BK$3,0)),0),MATCH("DATA_POINTS",'Margin Guidence Table'!$A$1:$AG$1,0)),0))</f>
        <v>0</v>
      </c>
      <c r="BU33" s="780" t="str">
        <f t="shared" si="33"/>
        <v>DEFAULT</v>
      </c>
      <c r="BV33" s="780">
        <f t="array" ref="BV33">IF('Customer Inputs'!$W$6="End",0,IFERROR(IF($BU33="SEGMENT",INDEX('Margin Guidence Table'!$A$1:$AG$10000,MATCH(1,('Margin Guidence Table'!$A$1:$A$10000=$BS33)*('Margin Guidence Table'!$I$1:$I$10000&lt;=ROUND($BK$3,0))*('Margin Guidence Table'!$J$1:$J$10000&gt;=ROUND($BK$3,0)),0),MATCH("SALES_CASE",'Margin Guidence Table'!$A$1:$AG$1,0)),INDEX('Margin Guidence Table'!$A$1:$AG$10000,MATCH(1,('Margin Guidence Table'!$A$1:$A$10000=$BS33)*('Margin Guidence Table'!$I$1:$I$10000&lt;=ROUND($BK$3,0))*('Margin Guidence Table'!$J$1:$J$10000&gt;=ROUND($BK$3,0)),0),MATCH("DEFAULT_SALES_CASE",'Margin Guidence Table'!$A$1:$AG$1,0))),0))</f>
        <v>0</v>
      </c>
      <c r="BW33" s="780">
        <f t="array" ref="BW33">IF('Customer Inputs'!$W$6="End",0,IFERROR(IF($BU33="SEGMENT",INDEX('Margin Guidence Table'!$A$1:$AG$10000,MATCH(1,('Margin Guidence Table'!$A$1:$A$10000=$BS33)*('Margin Guidence Table'!$I$1:$I$10000&lt;=ROUND($BK$3,0))*('Margin Guidence Table'!$J$1:$J$10000&gt;=ROUND($BK$3,0)),0),MATCH("SALES_LBS",'Margin Guidence Table'!$A$1:$AG$1,0)),INDEX('Margin Guidence Table'!$A$1:$AG$10000,MATCH(1,('Margin Guidence Table'!$A$1:$A$10000=$BS33)*('Margin Guidence Table'!$I$1:$I$10000&lt;=ROUND($BK$3,0))*('Margin Guidence Table'!$J$1:$J$10000&gt;=ROUND($BK$3,0)),0),MATCH("DEFAULT_SALES_LBS",'Margin Guidence Table'!$A$1:$AG$1,0))),0))</f>
        <v>0</v>
      </c>
      <c r="BX33" s="784">
        <f t="array" ref="BX33">IF('Customer Inputs'!$W$6="End",0,IFERROR(IF($BU33="SEGMENT",INDEX('Margin Guidence Table'!$A$1:$AG$10000,MATCH(1,('Margin Guidence Table'!$A$1:$A$10000=$BS33)*('Margin Guidence Table'!$I$1:$I$10000&lt;=ROUND($BK$3,0))*('Margin Guidence Table'!$J$1:$J$10000&gt;=ROUND($BK$3,0)),0),MATCH("MDA_MIN_MARGIN_GUIDENCE",'Margin Guidence Table'!$A$1:$AG$1,0)),INDEX('Margin Guidence Table'!$A$1:$AG$10000,MATCH(1,('Margin Guidence Table'!$A$1:$A$10000=$BS33)*('Margin Guidence Table'!$I$1:$I$10000&lt;=ROUND($BK$3,0))*('Margin Guidence Table'!$J$1:$J$10000&gt;=ROUND($BK$3,0)),0),MATCH("DEFAULT_MDA_MIN_MARGIN_GUIDENCE",'Margin Guidence Table'!$A$1:$AG$1,0))),0))</f>
        <v>0</v>
      </c>
      <c r="BY33" s="784">
        <f t="array" ref="BY33">IF('Customer Inputs'!$W$6="End",0,IFERROR(IF($BU33="SEGMENT",INDEX('Margin Guidence Table'!$A$1:$AG$10000,MATCH(1,('Margin Guidence Table'!$A$1:$A$10000=$BS33)*('Margin Guidence Table'!$I$1:$I$10000&lt;=ROUND($BK$3,0))*('Margin Guidence Table'!$J$1:$J$10000&gt;=ROUND($BK$3,0)),0),MATCH("MDA_MEDIAN_MARGIN_GUIDENCE",'Margin Guidence Table'!$A$1:$AG$1,0)),INDEX('Margin Guidence Table'!$A$1:$AG$10000,MATCH(1,('Margin Guidence Table'!$A$1:$A$10000=$BS33)*('Margin Guidence Table'!$I$1:$I$10000&lt;=ROUND($BK$3,0))*('Margin Guidence Table'!$J$1:$J$10000&gt;=ROUND($BK$3,0)),0),MATCH("DEFAULT_MDA_MEDIAN_MARGIN_GUIDENCE",'Margin Guidence Table'!$A$1:$AG$1,0))),0))</f>
        <v>0</v>
      </c>
      <c r="BZ33" s="784">
        <f t="array" ref="BZ33">IF('Customer Inputs'!$W$6="End",0,IFERROR(IF($BU33="SEGMENT",INDEX('Margin Guidence Table'!$A$1:$AG$10000,MATCH(1,('Margin Guidence Table'!$A$1:$A$10000=$BS33)*('Margin Guidence Table'!$I$1:$I$10000&lt;=ROUND($BK$3,0))*('Margin Guidence Table'!$J$1:$J$10000&gt;=ROUND($BK$3,0)),0),MATCH("MDA_MAX_MARGIN_GUIDENCE",'Margin Guidence Table'!$A$1:$AG$1,0)),INDEX('Margin Guidence Table'!$A$1:$AG$10000,MATCH(1,('Margin Guidence Table'!$A$1:$A$10000=$BS33)*('Margin Guidence Table'!$I$1:$I$10000&lt;=ROUND($BK$3,0))*('Margin Guidence Table'!$J$1:$J$10000&gt;=ROUND($BK$3,0)),0),MATCH("DEFAULT_MDA_MAX_MARGIN_GUIDENCE",'Margin Guidence Table'!$A$1:$AG$1,0))),0))</f>
        <v>0</v>
      </c>
      <c r="CA33" s="784">
        <f t="array" ref="CA33">IF('Customer Inputs'!$W$6="End",0,IFERROR(IF($BU33="SEGMENT",INDEX('Margin Guidence Table'!$A$1:$AG$10000,MATCH(1,('Margin Guidence Table'!$A$1:$A$10000=$BS33)*('Margin Guidence Table'!$I$1:$I$10000&lt;=ROUND($BK$3,0))*('Margin Guidence Table'!$J$1:$J$10000&gt;=ROUND($BK$3,0)),0),MATCH("PA_PCT_SALES",'Margin Guidence Table'!$A$1:$AG$1,0)),INDEX('Margin Guidence Table'!$A$1:$AG$10000,MATCH(1,('Margin Guidence Table'!$A$1:$A$10000=$BS33)*('Margin Guidence Table'!$I$1:$I$10000&lt;=ROUND($BK$3,0))*('Margin Guidence Table'!$J$1:$J$10000&gt;=ROUND($BK$3,0)),0),MATCH("DEFAULT_PA_PCT_SALES",'Margin Guidence Table'!$A$1:$AG$1,0))),0))</f>
        <v>0</v>
      </c>
      <c r="CB33" s="784">
        <f t="array" ref="CB33">IF('Customer Inputs'!$W$6="End",0,IFERROR(IF($BU33="SEGMENT",INDEX('Margin Guidence Table'!$A$1:$AG$10000,MATCH(1,('Margin Guidence Table'!$A$1:$A$10000=$BS33)*('Margin Guidence Table'!$I$1:$I$10000&lt;=ROUND($BK$3,0))*('Margin Guidence Table'!$J$1:$J$10000&gt;=ROUND($BK$3,0)),0),MATCH("SELF_FUND_PCT_SALES",'Margin Guidence Table'!$A$1:$AG$1,0)),INDEX('Margin Guidence Table'!$A$1:$AG$10000,MATCH(1,('Margin Guidence Table'!$A$1:$A$10000=$BS33)*('Margin Guidence Table'!$I$1:$I$10000&lt;=ROUND($BK$3,0))*('Margin Guidence Table'!$J$1:$J$10000&gt;=ROUND($BK$3,0)),0),MATCH("DEFAULT_SELF_FUND_PCT_SALES",'Margin Guidence Table'!$A$1:$AG$1,0))),0))</f>
        <v>0</v>
      </c>
      <c r="CC33" s="784">
        <f t="array" ref="CC33">IF('Customer Inputs'!$W$6="End",0,IF($BL$2="Existing",IFERROR(SUMIFS('Existing Customers'!$V:$V,'Existing Customers'!$H:$H,$BJ33,'Existing Customers'!$A:$A,$BK$1)/SUMIFS('Existing Customers'!$Q:$Q,'Existing Customers'!$H:$H,$BJ33,'Existing Customers'!$A:$A,$BK$1),0),IFERROR(IF($BU33="SEGMENT",INDEX('Margin Guidence Table'!$A$1:$AG$10000,MATCH(1,('Margin Guidence Table'!$A$1:$A$10000=$BS33)*('Margin Guidence Table'!$I$1:$I$10000&lt;=ROUND($BK$3,0))*('Margin Guidence Table'!$J$1:$J$10000&gt;=ROUND($BK$3,0)),0),MATCH("CIA_MEDIAN_MARGIN_GUIDENCE",'Margin Guidence Table'!$A$1:$AG$1,0)),INDEX('Margin Guidence Table'!$A$1:$AG$10000,MATCH(1,('Margin Guidence Table'!$A$1:$A$10000=$BS33)*('Margin Guidence Table'!$I$1:$I$10000&lt;=ROUND($BK$3,0))*('Margin Guidence Table'!$J$1:$J$10000&gt;=ROUND($BK$3,0)),0),MATCH("DEFAULT_CIA_MEDIAN_MARGIN_GUIDENCE",'Margin Guidence Table'!$A$1:$AG$1,0))),0)))</f>
        <v>0</v>
      </c>
      <c r="CD33" s="126"/>
      <c r="CE33" s="18">
        <f t="array" ref="CE33">IF('Customer Inputs'!$W$7="End",0,IFERROR(IF($CR33="SEGMENT",INDEX('Margin Guidence Table'!$A$1:$AG$10000,MATCH(1,('Margin Guidence Table'!$A$1:$A$10000=$CP33)*('Margin Guidence Table'!$I$1:$I$10000&lt;=ROUND($CH$3,0))*('Margin Guidence Table'!$J$1:$J$10000&gt;=ROUND($CH$3,0)),0),MATCH("PCT_SALES",'Margin Guidence Table'!$A$1:$AG$1,0)),INDEX('Margin Guidence Table'!$A$1:$AG$10000,MATCH(1,('Margin Guidence Table'!$A$1:$A$10000=$CP33)*('Margin Guidence Table'!$I$1:$I$10000&lt;=ROUND($CH$3,0))*('Margin Guidence Table'!$J$1:$J$10000&gt;=ROUND($CH$3,0)),0),MATCH("DEFAULT_PCT_SALES",'Margin Guidence Table'!$A$1:$AG$1,0))),0))</f>
        <v>0</v>
      </c>
      <c r="CF33" s="297" t="e">
        <f t="shared" si="34"/>
        <v>#DIV/0!</v>
      </c>
      <c r="CG33" s="99" t="s">
        <v>88</v>
      </c>
      <c r="CH33" s="91">
        <f>IF('Customer Inputs'!$W$7="End",0,IFERROR(IF(AND($CH$2&lt;&gt;"Enter Spend&gt;&gt;&gt;",$CI$2="EXISTING"),SUMIFS('Existing Customers'!$Q:$Q,'Existing Customers'!$A:$A,$CH$1,'Existing Customers'!$H:$H,$CG33)*$CH$4,$CH$3*$CF33),0))</f>
        <v>0</v>
      </c>
      <c r="CI33" s="86">
        <f>IF('Customer Inputs'!$W$7="End",0,IFERROR(IF(AND($CH$2&lt;&gt;"Enter Spend&gt;&gt;&gt;",$CI$2="EXISTING"),SUMIFS('Existing Customers'!$N:$N,'Existing Customers'!$A:$A,$CH$1,'Existing Customers'!$H:$H,$CG33)*$CH$4,$CH33/$CS33),0))</f>
        <v>0</v>
      </c>
      <c r="CJ33" s="92">
        <f>IF('Customer Inputs'!$W$7="End",0,IFERROR(IF(AND($CH$2&lt;&gt;"Enter Spend&gt;&gt;&gt;",$CI$2="EXISTING"),SUMIFS('Existing Customers'!$O:$O,'Existing Customers'!$H:$H,$CG33,'Existing Customers'!$A:$A,$CH$1)*$CH$4,$CI33*$CH$8),0))</f>
        <v>0</v>
      </c>
      <c r="CK33" s="92">
        <f>IF('Customer Inputs'!$W$7="End",0,IFERROR(IF(AND($CH$2&lt;&gt;"Enter Spend&gt;&gt;&gt;",$CI$2="EXISTING"),SUMIFS('Existing Customers'!$P:$P,'Existing Customers'!$A:$A,$CH$1,'Existing Customers'!$H:$H,$CG33)*$CH$4,$CH33/$CT33),0))</f>
        <v>0</v>
      </c>
      <c r="CL33" s="93">
        <f>IF('Customer Inputs'!$W$7="End",0,IFERROR(IF(AND($CH$2&lt;&gt;"Enter Spend&gt;&gt;&gt;",$CI$2="EXISTING"),SUMIFS('Existing Customers'!$V:$V,'Existing Customers'!$H:$H,$CG33,'Existing Customers'!$A:$A,$CH$1)*$CH$4,0),0))</f>
        <v>0</v>
      </c>
      <c r="CM33" s="93">
        <f>IF('Customer Inputs'!$W$7="End",0,IFERROR(IF(AND($CH$2&lt;&gt;"Enter Spend&gt;&gt;&gt;",$CI$2="EXISTING"),SUMIFS('Existing Customers'!$R:$R,'Existing Customers'!$H:$H,$CG33,'Existing Customers'!$A:$A,$CH$1)*$CH$4,0),0))</f>
        <v>0</v>
      </c>
      <c r="CN33" s="780">
        <f>IF('Customer Inputs'!$W$7="End",0,IFERROR(IF(AND($CH$2&lt;&gt;"Enter Spend&gt;&gt;&gt;",$CI$2="EXISTING"),SUMIFS('Existing Customers'!$S:$S,'Existing Customers'!$H:$H,$CG33,'Existing Customers'!$A:$A,$CH$1)/SUMIFS('Existing Customers'!$Q:$Q,'Existing Customers'!$A:$A,$CH$1,'Existing Customers'!$H:$H,$CG33),CX33),0))</f>
        <v>0</v>
      </c>
      <c r="CO33" s="780">
        <f>IF('Customer Inputs'!$W$7="End",0,IFERROR(IF(AND($CH$2&lt;&gt;"Enter Spend&gt;&gt;&gt;",$CI$2="EXISTING"),SUMIFS('Existing Customers'!$U:$U,'Existing Customers'!$H:$H,$CG33,'Existing Customers'!$A:$A,$CH$1)/SUMIFS('Existing Customers'!$Q:$Q,'Existing Customers'!$A:$A,$CH$1,'Existing Customers'!$H:$H,$CG33),CY33),0))</f>
        <v>0</v>
      </c>
      <c r="CP33" s="783" t="e">
        <f>_xlfn.CONCAT('Customer Inputs'!$AH$7,"_",CG33)</f>
        <v>#N/A</v>
      </c>
      <c r="CQ33" s="783">
        <f t="array" ref="CQ33">IFERROR(INDEX('Margin Guidence Table'!$A$1:$AG$10000,MATCH(1,('Margin Guidence Table'!$A$1:$A$10000=$CP33)*('Margin Guidence Table'!$I$1:$I$10000&lt;=ROUND($CH$3,0))*('Margin Guidence Table'!$J$1:$J$10000&gt;=ROUND($CH$3,0)),0),MATCH("DATA_POINTS",'Margin Guidence Table'!$A$1:$AG$1,0)),0)</f>
        <v>0</v>
      </c>
      <c r="CR33" s="780" t="str">
        <f t="shared" si="35"/>
        <v>DEFAULT</v>
      </c>
      <c r="CS33" s="780">
        <f t="array" ref="CS33">IF('Customer Inputs'!$W$7="End",0,IFERROR(IF($CR33="SEGMENT",INDEX('Margin Guidence Table'!$A$1:$AG$10000,MATCH(1,('Margin Guidence Table'!$A$1:$A$10000=$CP33)*('Margin Guidence Table'!$I$1:$I$10000&lt;=ROUND($CH$3,0))*('Margin Guidence Table'!$J$1:$J$10000&gt;=ROUND($CH$3,0)),0),MATCH("SALES_CASE",'Margin Guidence Table'!$A$1:$AG$1,0)),INDEX('Margin Guidence Table'!$A$1:$AG$10000,MATCH(1,('Margin Guidence Table'!$A$1:$A$10000=$CP33)*('Margin Guidence Table'!$I$1:$I$10000&lt;=ROUND($CH$3,0))*('Margin Guidence Table'!$J$1:$J$10000&gt;=ROUND($CH$3,0)),0),MATCH("DEFAULT_SALES_CASE",'Margin Guidence Table'!$A$1:$AG$1,0))),0))</f>
        <v>0</v>
      </c>
      <c r="CT33" s="780">
        <f t="array" ref="CT33">IF('Customer Inputs'!$W$7="End",0,IFERROR(IF($CR33="SEGMENT",INDEX('Margin Guidence Table'!$A$1:$AG$10000,MATCH(1,('Margin Guidence Table'!$A$1:$A$10000=$CP33)*('Margin Guidence Table'!$I$1:$I$10000&lt;=ROUND($CH$3,0))*('Margin Guidence Table'!$J$1:$J$10000&gt;=ROUND($CH$3,0)),0),MATCH("SALES_LBS",'Margin Guidence Table'!$A$1:$AG$1,0)),INDEX('Margin Guidence Table'!$A$1:$AG$10000,MATCH(1,('Margin Guidence Table'!$A$1:$A$10000=$CP33)*('Margin Guidence Table'!$I$1:$I$10000&lt;=ROUND($CH$3,0))*('Margin Guidence Table'!$J$1:$J$10000&gt;=ROUND($CH$3,0)),0),MATCH("DEFAULT_SALES_LBS",'Margin Guidence Table'!$A$1:$AG$1,0))),0))</f>
        <v>0</v>
      </c>
      <c r="CU33" s="784">
        <f t="array" ref="CU33">IF('Customer Inputs'!$W$7="End",0,IFERROR(IF($CR33="SEGMENT",INDEX('Margin Guidence Table'!$A$1:$AG$10000,MATCH(1,('Margin Guidence Table'!$A$1:$A$10000=$CP33)*('Margin Guidence Table'!$I$1:$I$10000&lt;=ROUND($CH$3,0))*('Margin Guidence Table'!$J$1:$J$10000&gt;=ROUND($CH$3,0)),0),MATCH("MDA_MIN_MARGIN_GUIDENCE",'Margin Guidence Table'!$A$1:$AG$1,0)),INDEX('Margin Guidence Table'!$A$1:$AG$10000,MATCH(1,('Margin Guidence Table'!$A$1:$A$10000=$CP33)*('Margin Guidence Table'!$I$1:$I$10000&lt;=ROUND($CH$3,0))*('Margin Guidence Table'!$J$1:$J$10000&gt;=ROUND($CH$3,0)),0),MATCH("DEFAULT_MDA_MIN_MARGIN_GUIDENCE",'Margin Guidence Table'!$A$1:$AG$1,0))),0))</f>
        <v>0</v>
      </c>
      <c r="CV33" s="784">
        <f t="array" ref="CV33">IF('Customer Inputs'!$W$7="End",0,IFERROR(IF($CR33="SEGMENT",INDEX('Margin Guidence Table'!$A$1:$AG$10000,MATCH(1,('Margin Guidence Table'!$A$1:$A$10000=$CP33)*('Margin Guidence Table'!$I$1:$I$10000&lt;=ROUND($CH$3,0))*('Margin Guidence Table'!$J$1:$J$10000&gt;=ROUND($CH$3,0)),0),MATCH("MDA_MEDIAN_MARGIN_GUIDENCE",'Margin Guidence Table'!$A$1:$AG$1,0)),INDEX('Margin Guidence Table'!$A$1:$AG$10000,MATCH(1,('Margin Guidence Table'!$A$1:$A$10000=$CP33)*('Margin Guidence Table'!$I$1:$I$10000&lt;=ROUND($CH$3,0))*('Margin Guidence Table'!$J$1:$J$10000&gt;=ROUND($CH$3,0)),0),MATCH("DEFAULT_MDA_MEDIAN_MARGIN_GUIDENCE",'Margin Guidence Table'!$A$1:$AG$1,0))),0))</f>
        <v>0</v>
      </c>
      <c r="CW33" s="784">
        <f t="array" ref="CW33">IF('Customer Inputs'!$W$7="End",0,IFERROR(IF($CR33="SEGMENT",INDEX('Margin Guidence Table'!$A$1:$AG$10000,MATCH(1,('Margin Guidence Table'!$A$1:$A$10000=$CP33)*('Margin Guidence Table'!$I$1:$I$10000&lt;=ROUND($CH$3,0))*('Margin Guidence Table'!$J$1:$J$10000&gt;=ROUND($CH$3,0)),0),MATCH("MDA_MAX_MARGIN_GUIDENCE",'Margin Guidence Table'!$A$1:$AG$1,0)),INDEX('Margin Guidence Table'!$A$1:$AG$10000,MATCH(1,('Margin Guidence Table'!$A$1:$A$10000=$CP33)*('Margin Guidence Table'!$I$1:$I$10000&lt;=ROUND($CH$3,0))*('Margin Guidence Table'!$J$1:$J$10000&gt;=ROUND($CH$3,0)),0),MATCH("DEFAULT_MDA_MAX_MARGIN_GUIDENCE",'Margin Guidence Table'!$A$1:$AG$1,0))),0))</f>
        <v>0</v>
      </c>
      <c r="CX33" s="784">
        <f t="array" ref="CX33">IF('Customer Inputs'!$W$7="End",0,IFERROR(IF($CR33="SEGMENT",INDEX('Margin Guidence Table'!$A$1:$AG$10000,MATCH(1,('Margin Guidence Table'!$A$1:$A$10000=$CP33)*('Margin Guidence Table'!$I$1:$I$10000&lt;=ROUND($CH$3,0))*('Margin Guidence Table'!$J$1:$J$10000&gt;=ROUND($CH$3,0)),0),MATCH("PA_PCT_SALES",'Margin Guidence Table'!$A$1:$AG$1,0)),INDEX('Margin Guidence Table'!$A$1:$AG$10000,MATCH(1,('Margin Guidence Table'!$A$1:$A$10000=$CP33)*('Margin Guidence Table'!$I$1:$I$10000&lt;=ROUND($CH$3,0))*('Margin Guidence Table'!$J$1:$J$10000&gt;=ROUND($CH$3,0)),0),MATCH("DEFAULT_PA_PCT_SALES",'Margin Guidence Table'!$A$1:$AG$1,0))),0))</f>
        <v>0</v>
      </c>
      <c r="CY33" s="784">
        <f t="array" ref="CY33">IF('Customer Inputs'!$W$7="End",0,IFERROR(IF($CR33="SEGMENT",INDEX('Margin Guidence Table'!$A$1:$AG$10000,MATCH(1,('Margin Guidence Table'!$A$1:$A$10000=$CP33)*('Margin Guidence Table'!$I$1:$I$10000&lt;=ROUND($CH$3,0))*('Margin Guidence Table'!$J$1:$J$10000&gt;=ROUND($CH$3,0)),0),MATCH("SELF_FUND_PCT_SALES",'Margin Guidence Table'!$A$1:$AG$1,0)),INDEX('Margin Guidence Table'!$A$1:$AG$10000,MATCH(1,('Margin Guidence Table'!$A$1:$A$10000=$CP33)*('Margin Guidence Table'!$I$1:$I$10000&lt;=ROUND($CH$3,0))*('Margin Guidence Table'!$J$1:$J$10000&gt;=ROUND($CH$3,0)),0),MATCH("DEFAULT_SELF_FUND_PCT_SALES",'Margin Guidence Table'!$A$1:$AG$1,0))),0))</f>
        <v>0</v>
      </c>
      <c r="CZ33" s="784">
        <f t="array" ref="CZ33">IF('Customer Inputs'!$W$7="End",0,IF($CI$2="Existing",IFERROR(SUMIFS('Existing Customers'!$V:$V,'Existing Customers'!$H:$H,$CG33,'Existing Customers'!$A:$A,$CH$1)/SUMIFS('Existing Customers'!$Q:$Q,'Existing Customers'!$H:$H,$CG33,'Existing Customers'!$A:$A,$CH$1),0),IFERROR(IF($CR33="SEGMENT",INDEX('Margin Guidence Table'!$A$1:$AG$10000,MATCH(1,('Margin Guidence Table'!$A$1:$A$10000=$CP33)*('Margin Guidence Table'!$I$1:$I$10000&lt;=ROUND($CH$3,0))*('Margin Guidence Table'!$J$1:$J$10000&gt;=ROUND($CH$3,0)),0),MATCH("CIA_MEDIAN_MARGIN_GUIDENCE",'Margin Guidence Table'!$A$1:$AG$1,0)),INDEX('Margin Guidence Table'!$A$1:$AG$10000,MATCH(1,('Margin Guidence Table'!$A$1:$A$10000=$CP33)*('Margin Guidence Table'!$I$1:$I$10000&lt;=ROUND($CH$3,0))*('Margin Guidence Table'!$J$1:$J$10000&gt;=ROUND($CH$3,0)),0),MATCH("DEFAULT_CIA_MEDIAN_MARGIN_GUIDENCE",'Margin Guidence Table'!$A$1:$AG$1,0))),0)))</f>
        <v>0</v>
      </c>
      <c r="DA33" s="126"/>
      <c r="DB33" s="18">
        <f t="array" ref="DB33">IF('Customer Inputs'!$W$8="End",0,IFERROR(IF($DO33="SEGMENT",INDEX('Margin Guidence Table'!$A$1:$AG$10000,MATCH(1,('Margin Guidence Table'!$A$1:$A$10000=$DM33)*('Margin Guidence Table'!$I$1:$I$10000&lt;=ROUND($DE$3,0))*('Margin Guidence Table'!$J$1:$J$10000&gt;=ROUND($DE$3,0)),0),MATCH("PCT_SALES",'Margin Guidence Table'!$A$1:$AG$1,0)),INDEX('Margin Guidence Table'!$A$1:$AG$10000,MATCH(1,('Margin Guidence Table'!$A$1:$A$10000=$DM33)*('Margin Guidence Table'!$I$1:$I$10000&lt;=ROUND($DE$3,0))*('Margin Guidence Table'!$J$1:$J$10000&gt;=ROUND($DE$3,0)),0),MATCH("DEFAULT_PCT_SALES",'Margin Guidence Table'!$A$1:$AG$1,0))),0))</f>
        <v>0</v>
      </c>
      <c r="DC33" s="297" t="e">
        <f t="shared" si="36"/>
        <v>#DIV/0!</v>
      </c>
      <c r="DD33" s="99" t="s">
        <v>88</v>
      </c>
      <c r="DE33" s="91">
        <f>IF('Customer Inputs'!$W$8="End",0,IFERROR(IF(AND($DE$2&lt;&gt;"Enter Spend&gt;&gt;&gt;",$DF$2="EXISTING"),SUMIFS('Existing Customers'!$Q:$Q,'Existing Customers'!$A:$A,$DE$1,'Existing Customers'!$H:$H,$DD33)*$DE$4,$DE$3*$DC33),0))</f>
        <v>0</v>
      </c>
      <c r="DF33" s="86">
        <f>IF('Customer Inputs'!$W$8="End",0,IFERROR(IF(AND($DE$2&lt;&gt;"Enter Spend&gt;&gt;&gt;",$DF$2="EXISTING"),SUMIFS('Existing Customers'!$N:$N,'Existing Customers'!$A:$A,$DE$1,'Existing Customers'!$H:$H,$DD33)*$DE$4,$DE33/$DP33),0))</f>
        <v>0</v>
      </c>
      <c r="DG33" s="92">
        <f>IF('Customer Inputs'!$W$8="End",0,IFERROR(IF(AND($DE$2&lt;&gt;"Enter Spend&gt;&gt;&gt;",$DF$2="EXISTING"),SUMIFS('Existing Customers'!$O:$O,'Existing Customers'!$H:$H,$DD33,'Existing Customers'!$A:$A,$DE$1)*$DE$4,$DF33*$DE$8),0))</f>
        <v>0</v>
      </c>
      <c r="DH33" s="92">
        <f>IF('Customer Inputs'!$W$8="End",0,IFERROR(IF(AND($DE$2&lt;&gt;"Enter Spend&gt;&gt;&gt;",$DF$2="EXISTING"),SUMIFS('Existing Customers'!$P:$P,'Existing Customers'!$A:$A,$DE$1,'Existing Customers'!$H:$H,$DD33)*$DE$4,$DE33/$DQ33),0))</f>
        <v>0</v>
      </c>
      <c r="DI33" s="93">
        <f>IF('Customer Inputs'!$W$8="End",0,IFERROR(IF(AND($DE$2&lt;&gt;"Enter Spend&gt;&gt;&gt;",$DF$2="EXISTING"),SUMIFS('Existing Customers'!$V:$V,'Existing Customers'!$H:$H,$DD33,'Existing Customers'!$A:$A,$DE$1)*$DE$4,0),0))</f>
        <v>0</v>
      </c>
      <c r="DJ33" s="93">
        <f>IF('Customer Inputs'!$W$8="End",0,IFERROR(IF(AND($DE$2&lt;&gt;"Enter Spend&gt;&gt;&gt;",$DF$2="EXISTING"),SUMIFS('Existing Customers'!$R:$R,'Existing Customers'!$H:$H,$DD33,'Existing Customers'!$A:$A,$DE$1)*$DE$4,0),0))</f>
        <v>0</v>
      </c>
      <c r="DK33" s="780">
        <f>IF('Customer Inputs'!$W$8="End",0,IFERROR(IF(AND($DE$2&lt;&gt;"Enter Spend&gt;&gt;&gt;",$DF$2="EXISTING"),SUMIFS('Existing Customers'!$S:$S,'Existing Customers'!$H:$H,$DD33,'Existing Customers'!$A:$A,$DE$1)/SUMIFS('Existing Customers'!$Q:$Q,'Existing Customers'!$A:$A,$DE$1,'Existing Customers'!$H:$H,$DD33),DU33),0))</f>
        <v>0</v>
      </c>
      <c r="DL33" s="780">
        <f>IF('Customer Inputs'!$W$8="End",0,IFERROR(IF(AND($DE$2&lt;&gt;"Enter Spend&gt;&gt;&gt;",$DF$2="EXISTING"),SUMIFS('Existing Customers'!$U:$U,'Existing Customers'!$H:$H,$DD33,'Existing Customers'!$A:$A,$DE$1)/SUMIFS('Existing Customers'!$Q:$Q,'Existing Customers'!$A:$A,$DE$1,'Existing Customers'!$H:$H,$DD33),DV33),0))</f>
        <v>0</v>
      </c>
      <c r="DM33" s="783" t="e">
        <f>_xlfn.CONCAT('Customer Inputs'!$AH$8,"_",DD33)</f>
        <v>#N/A</v>
      </c>
      <c r="DN33" s="783">
        <f t="array" ref="DN33">IF('Customer Inputs'!$W$8="End",0,IFERROR(INDEX('Margin Guidence Table'!$A$1:$AG$10000,MATCH(1,('Margin Guidence Table'!$A$1:$A$10000=DM33)*('Margin Guidence Table'!$I$1:$I$10000&lt;=ROUND($DE$3,0))*('Margin Guidence Table'!$J$1:$J$10000&gt;=ROUND($DE$3,0)),0),MATCH("DATA_POINTS",'Margin Guidence Table'!$A$1:$AG$1,0)),0))</f>
        <v>0</v>
      </c>
      <c r="DO33" s="780" t="str">
        <f t="shared" si="37"/>
        <v>DEFAULT</v>
      </c>
      <c r="DP33" s="780">
        <f t="array" ref="DP33">IF('Customer Inputs'!$W$8="End",0,IFERROR(IF($DO33="SEGMENT",INDEX('Margin Guidence Table'!$A$1:$AG$10000,MATCH(1,('Margin Guidence Table'!$A$1:$A$10000=DM33)*('Margin Guidence Table'!$I$1:$I$10000&lt;=ROUND($DE$3,0))*('Margin Guidence Table'!$J$1:$J$10000&gt;=ROUND($DE$3,0)),0),MATCH("SALES_CASE",'Margin Guidence Table'!$A$1:$AG$1,0)),INDEX('Margin Guidence Table'!$A$1:$AG$10000,MATCH(1,('Margin Guidence Table'!$A$1:$A$10000=DM33)*('Margin Guidence Table'!$I$1:$I$10000&lt;=ROUND($DE$3,0))*('Margin Guidence Table'!$J$1:$J$10000&gt;=ROUND($DE$3,0)),0),MATCH("DEFAULT_SALES_CASE",'Margin Guidence Table'!$A$1:$AG$1,0))),0))</f>
        <v>0</v>
      </c>
      <c r="DQ33" s="780">
        <f t="array" ref="DQ33">IF('Customer Inputs'!$W$8="End",0,IFERROR(IF($DO33="SEGMENT",INDEX('Margin Guidence Table'!$A$1:$AG$10000,MATCH(1,('Margin Guidence Table'!$A$1:$A$10000=DM33)*('Margin Guidence Table'!$I$1:$I$10000&lt;=ROUND($DE$3,0))*('Margin Guidence Table'!$J$1:$J$10000&gt;=ROUND($DE$3,0)),0),MATCH("SALES_LBS",'Margin Guidence Table'!$A$1:$AG$1,0)),INDEX('Margin Guidence Table'!$A$1:$AG$10000,MATCH(1,('Margin Guidence Table'!$A$1:$A$10000=DM33)*('Margin Guidence Table'!$I$1:$I$10000&lt;=ROUND($DE$3,0))*('Margin Guidence Table'!$J$1:$J$10000&gt;=ROUND($DE$3,0)),0),MATCH("DEFAULT_SALES_LBS",'Margin Guidence Table'!$A$1:$AG$1,0))),0))</f>
        <v>0</v>
      </c>
      <c r="DR33" s="784">
        <f t="array" ref="DR33">IF('Customer Inputs'!$W$8="End",0,IFERROR(IF($DO33="SEGMENT",INDEX('Margin Guidence Table'!$A$1:$AG$10000,MATCH(1,('Margin Guidence Table'!$A$1:$A$10000=DM33)*('Margin Guidence Table'!$I$1:$I$10000&lt;=ROUND($DE$3,0))*('Margin Guidence Table'!$J$1:$J$10000&gt;=ROUND($DE$3,0)),0),MATCH("MDA_MIN_MARGIN_GUIDENCE",'Margin Guidence Table'!$A$1:$AG$1,0)),INDEX('Margin Guidence Table'!$A$1:$AG$10000,MATCH(1,('Margin Guidence Table'!$A$1:$A$10000=DM33)*('Margin Guidence Table'!$I$1:$I$10000&lt;=ROUND($DE$3,0))*('Margin Guidence Table'!$J$1:$J$10000&gt;=ROUND($DE$3,0)),0),MATCH("DEFAULT_MDA_MIN_MARGIN_GUIDENCE",'Margin Guidence Table'!$A$1:$AG$1,0))),0))</f>
        <v>0</v>
      </c>
      <c r="DS33" s="784">
        <f t="array" ref="DS33">IF('Customer Inputs'!$W$8="End",0,IFERROR(IF($DO33="SEGMENT",INDEX('Margin Guidence Table'!$A$1:$AG$10000,MATCH(1,('Margin Guidence Table'!$A$1:$A$10000=DM33)*('Margin Guidence Table'!$I$1:$I$10000&lt;=ROUND($DE$3,0))*('Margin Guidence Table'!$J$1:$J$10000&gt;=ROUND($DE$3,0)),0),MATCH("MDA_MEDIAN_MARGIN_GUIDENCE",'Margin Guidence Table'!$A$1:$AG$1,0)),INDEX('Margin Guidence Table'!$A$1:$AG$10000,MATCH(1,('Margin Guidence Table'!$A$1:$A$10000=DM33)*('Margin Guidence Table'!$I$1:$I$10000&lt;=ROUND($DE$3,0))*('Margin Guidence Table'!$J$1:$J$10000&gt;=ROUND($DE$3,0)),0),MATCH("DEFAULT_MDA_MEDIAN_MARGIN_GUIDENCE",'Margin Guidence Table'!$A$1:$AG$1,0))),0))</f>
        <v>0</v>
      </c>
      <c r="DT33" s="784">
        <f t="array" ref="DT33">IF('Customer Inputs'!$W$8="End",0,IFERROR(IF($DO33="SEGMENT",INDEX('Margin Guidence Table'!$A$1:$AG$10000,MATCH(1,('Margin Guidence Table'!$A$1:$A$10000=DM33)*('Margin Guidence Table'!$I$1:$I$10000&lt;=ROUND($DE$3,0))*('Margin Guidence Table'!$J$1:$J$10000&gt;=ROUND($DE$3,0)),0),MATCH("MDA_MAX_MARGIN_GUIDENCE",'Margin Guidence Table'!$A$1:$AG$1,0)),INDEX('Margin Guidence Table'!$A$1:$AG$10000,MATCH(1,('Margin Guidence Table'!$A$1:$A$10000=DM33)*('Margin Guidence Table'!$I$1:$I$10000&lt;=ROUND($DE$3,0))*('Margin Guidence Table'!$J$1:$J$10000&gt;=ROUND($DE$3,0)),0),MATCH("DEFAULT_MDA_MAX_MARGIN_GUIDENCE",'Margin Guidence Table'!$A$1:$AG$1,0))),0))</f>
        <v>0</v>
      </c>
      <c r="DU33" s="784">
        <f t="array" ref="DU33">IF('Customer Inputs'!$W$8="End",0,IFERROR(IF($DO33="SEGMENT",INDEX('Margin Guidence Table'!$A$1:$AG$10000,MATCH(1,('Margin Guidence Table'!$A$1:$A$10000=DM33)*('Margin Guidence Table'!$I$1:$I$10000&lt;=ROUND($DE$3,0))*('Margin Guidence Table'!$J$1:$J$10000&gt;=ROUND($DE$3,0)),0),MATCH("PA_PCT_SALES",'Margin Guidence Table'!$A$1:$AG$1,0)),INDEX('Margin Guidence Table'!$A$1:$AG$10000,MATCH(1,('Margin Guidence Table'!$A$1:$A$10000=DM33)*('Margin Guidence Table'!$I$1:$I$10000&lt;=ROUND($DE$3,0))*('Margin Guidence Table'!$J$1:$J$10000&gt;=ROUND($DE$3,0)),0),MATCH("DEFAULT_PA_PCT_SALES",'Margin Guidence Table'!$A$1:$AG$1,0))),0))</f>
        <v>0</v>
      </c>
      <c r="DV33" s="784">
        <f t="array" ref="DV33">IF('Customer Inputs'!$W$8="End",0,IFERROR(IF($DO33="SEGMENT",INDEX('Margin Guidence Table'!$A$1:$AG$10000,MATCH(1,('Margin Guidence Table'!$A$1:$A$10000=DM33)*('Margin Guidence Table'!$I$1:$I$10000&lt;=ROUND($DE$3,0))*('Margin Guidence Table'!$J$1:$J$10000&gt;=ROUND($DE$3,0)),0),MATCH("SELF_FUND_PCT_SALES",'Margin Guidence Table'!$A$1:$AG$1,0)),INDEX('Margin Guidence Table'!$A$1:$AG$10000,MATCH(1,('Margin Guidence Table'!$A$1:$A$10000=DM33)*('Margin Guidence Table'!$I$1:$I$10000&lt;=ROUND($DE$3,0))*('Margin Guidence Table'!$J$1:$J$10000&gt;=ROUND($DE$3,0)),0),MATCH("DEFAULT_SELF_FUND_PCT_SALES",'Margin Guidence Table'!$A$1:$AG$1,0))),0))</f>
        <v>0</v>
      </c>
      <c r="DW33" s="784">
        <f t="array" ref="DW33">IF('Customer Inputs'!$W$8="End",0,IF($DF$2="Existing",IFERROR(SUMIFS('Existing Customers'!$V:$V,'Existing Customers'!$H:$H,$DD33,'Existing Customers'!$A:$A,$DE$1)/SUMIFS('Existing Customers'!$Q:$Q,'Existing Customers'!$H:$H,$DD33,'Existing Customers'!$A:$A,$DE$1),0),IFERROR(IF($DO33="SEGMENT",INDEX('Margin Guidence Table'!$A$1:$AG$10000,MATCH(1,('Margin Guidence Table'!$A$1:$A$10000=DM33)*('Margin Guidence Table'!$I$1:$I$10000&lt;=ROUND($DE$3,0))*('Margin Guidence Table'!$J$1:$J$10000&gt;=ROUND($DE$3,0)),0),MATCH("CIA_MEDIAN_MARGIN_GUIDENCE",'Margin Guidence Table'!$A$1:$AG$1,0)),INDEX('Margin Guidence Table'!$A$1:$AG$10000,MATCH(1,('Margin Guidence Table'!$A$1:$A$10000=DM33)*('Margin Guidence Table'!$I$1:$I$10000&lt;=ROUND($DE$3,0))*('Margin Guidence Table'!$J$1:$J$10000&gt;=ROUND($DE$3,0)),0),MATCH("DEFAULT_CIA_MEDIAN_MARGIN_GUIDENCE",'Margin Guidence Table'!$A$1:$AG$1,0))),0)))</f>
        <v>0</v>
      </c>
      <c r="DX33" s="126"/>
      <c r="DY33" s="18">
        <f t="array" ref="DY33">IF('Customer Inputs'!$W$9="End",0,IFERROR(IF($EL33="SEGMENT",INDEX('Margin Guidence Table'!$A$1:$AG$10000,MATCH(1,('Margin Guidence Table'!$A$1:$A$10000=$EJ33)*('Margin Guidence Table'!$I$1:$I$10000&lt;=ROUND($EB$3,0))*('Margin Guidence Table'!$J$1:$J$10000&gt;=ROUND($EB$3,0)),0),MATCH("PCT_SALES",'Margin Guidence Table'!$A$1:$AG$1,0)),INDEX('Margin Guidence Table'!$A$1:$AG$10000,MATCH(1,('Margin Guidence Table'!$A$1:$A$10000=$EJ33)*('Margin Guidence Table'!$I$1:$I$10000&lt;=ROUND($EB$3,0))*('Margin Guidence Table'!$J$1:$J$10000&gt;=ROUND($EB$3,0)),0),MATCH("DEFAULT_PCT_SALES",'Margin Guidence Table'!$A$1:$AG$1,0))),0))</f>
        <v>0</v>
      </c>
      <c r="DZ33" s="297" t="e">
        <f t="shared" si="38"/>
        <v>#DIV/0!</v>
      </c>
      <c r="EA33" s="99" t="s">
        <v>88</v>
      </c>
      <c r="EB33" s="91">
        <f>IF('Customer Inputs'!$W$9="End",0,IFERROR(IF(AND($EB$2&lt;&gt;"Enter Spend&gt;&gt;&gt;",$EC$2="EXISTING"),SUMIFS('Existing Customers'!$Q:$Q,'Existing Customers'!$A:$A,$EB$1,'Existing Customers'!$H:$H,$EA33)*$EB$4,$EB$3*$DZ33),0))</f>
        <v>0</v>
      </c>
      <c r="EC33" s="86">
        <f>IF('Customer Inputs'!$W$9="End",0,IFERROR(IF(AND($EB$2&lt;&gt;"Enter Spend&gt;&gt;&gt;",$EC$2="EXISTING"),SUMIFS('Existing Customers'!$N:$N,'Existing Customers'!$A:$A,$EB$1,'Existing Customers'!$H:$H,$EA33)*$EB$4,$EB33/$EM33),0))</f>
        <v>0</v>
      </c>
      <c r="ED33" s="92">
        <f>IF('Customer Inputs'!$W$9="End",0,IFERROR(IF(AND($EB$2&lt;&gt;"Enter Spend&gt;&gt;&gt;",$EC$2="EXISTING"),SUMIFS('Existing Customers'!$O:$O,'Existing Customers'!$H:$H,$EA33,'Existing Customers'!$A:$A,$EB$1)*$EB$4,$EC33*$EB$8),0))</f>
        <v>0</v>
      </c>
      <c r="EE33" s="92">
        <f>IF('Customer Inputs'!$W$9="End",0,IFERROR(IF(AND($EB$2&lt;&gt;"Enter Spend&gt;&gt;&gt;",$EC$2="EXISTING"),SUMIFS('Existing Customers'!$P:$P,'Existing Customers'!$A:$A,$EB$1,'Existing Customers'!$H:$H,$EA33)*$EB$4,$EB33/$EN33),0))</f>
        <v>0</v>
      </c>
      <c r="EF33" s="93">
        <f>IF('Customer Inputs'!$W$9="End",0,IFERROR(IF(AND($EB$2&lt;&gt;"Enter Spend&gt;&gt;&gt;",$EC$2="EXISTING"),SUMIFS('Existing Customers'!$V:$V,'Existing Customers'!$H:$H,$EA33,'Existing Customers'!$A:$A,$EB$1)*$EB$4,0),0))</f>
        <v>0</v>
      </c>
      <c r="EG33" s="93">
        <f>IF('Customer Inputs'!$W$9="End",0,IFERROR(IF(AND($EB$2&lt;&gt;"Enter Spend&gt;&gt;&gt;",$EC$2="EXISTING"),SUMIFS('Existing Customers'!$R:$R,'Existing Customers'!$H:$H,$EA33,'Existing Customers'!$A:$A,$EB$1)*$EB$4,0),0))</f>
        <v>0</v>
      </c>
      <c r="EH33" s="780">
        <f>IF('Customer Inputs'!$W$9="End",0,IFERROR(IF(AND($EB$2&lt;&gt;"Enter Spend&gt;&gt;&gt;",$EC$2="EXISTING"),SUMIFS('Existing Customers'!$S:$S,'Existing Customers'!$H:$H,$EA33,'Existing Customers'!$A:$A,$EB$1)/SUMIFS('Existing Customers'!$Q:$Q,'Existing Customers'!$A:$A,$EB$1,'Existing Customers'!$H:$H,$EA33),ER33),0))</f>
        <v>0</v>
      </c>
      <c r="EI33" s="780">
        <f>IF('Customer Inputs'!$W$9="End",0,IFERROR(IF(AND($EB$2&lt;&gt;"Enter Spend&gt;&gt;&gt;",$EC$2="EXISTING"),SUMIFS('Existing Customers'!$U:$U,'Existing Customers'!$H:$H,$EA33,'Existing Customers'!$A:$A,$EB$1)/SUMIFS('Existing Customers'!$Q:$Q,'Existing Customers'!$A:$A,$EB$1,'Existing Customers'!$H:$H,$EA33),ES33),0))</f>
        <v>0</v>
      </c>
      <c r="EJ33" s="783" t="e">
        <f>_xlfn.CONCAT('Customer Inputs'!$AH$9,"_",EA33)</f>
        <v>#N/A</v>
      </c>
      <c r="EK33" s="783">
        <f t="array" ref="EK33">IF('Customer Inputs'!$W$9="End",0,IFERROR(INDEX('Margin Guidence Table'!$A$1:$AG$10000,MATCH(1,('Margin Guidence Table'!$A$1:$A$10000=EJ33)*('Margin Guidence Table'!$I$1:$I$10000&lt;=ROUND($EB$3,0))*('Margin Guidence Table'!$J$1:$J$10000&gt;=ROUND($EB$3,0)),0),MATCH("DATA_POINTS",'Margin Guidence Table'!$A$1:$AG$1,0)),0))</f>
        <v>0</v>
      </c>
      <c r="EL33" s="780" t="str">
        <f t="shared" si="39"/>
        <v>DEFAULT</v>
      </c>
      <c r="EM33" s="780">
        <f t="array" ref="EM33">IF('Customer Inputs'!$W$9="End",0,IFERROR(IF($EL33="SEGMENT",INDEX('Margin Guidence Table'!$A$1:$AG$10000,MATCH(1,('Margin Guidence Table'!$A$1:$A$10000=EJ33)*('Margin Guidence Table'!$I$1:$I$10000&lt;=ROUND($EB$3,0))*('Margin Guidence Table'!$J$1:$J$10000&gt;=ROUND($EB$3,0)),0),MATCH("SALES_CASE",'Margin Guidence Table'!$A$1:$AG$1,0)),INDEX('Margin Guidence Table'!$A$1:$AG$10000,MATCH(1,('Margin Guidence Table'!$A$1:$A$10000=EJ33)*('Margin Guidence Table'!$I$1:$I$10000&lt;=ROUND($EB$3,0))*('Margin Guidence Table'!$J$1:$J$10000&gt;=ROUND($EB$3,0)),0),MATCH("DEFAULT_SALES_CASE",'Margin Guidence Table'!$A$1:$AG$1,0))),0))</f>
        <v>0</v>
      </c>
      <c r="EN33" s="780">
        <f t="array" ref="EN33">IF('Customer Inputs'!$W$9="End",0,IFERROR(IF($EL33="SEGMENT",INDEX('Margin Guidence Table'!$A$1:$AG$10000,MATCH(1,('Margin Guidence Table'!$A$1:$A$10000=EJ33)*('Margin Guidence Table'!$I$1:$I$10000&lt;=ROUND($EB$3,0))*('Margin Guidence Table'!$J$1:$J$10000&gt;=ROUND($EB$3,0)),0),MATCH("SALES_LBS",'Margin Guidence Table'!$A$1:$AG$1,0)),INDEX('Margin Guidence Table'!$A$1:$AG$10000,MATCH(1,('Margin Guidence Table'!$A$1:$A$10000=EJ33)*('Margin Guidence Table'!$I$1:$I$10000&lt;=ROUND($EB$3,0))*('Margin Guidence Table'!$J$1:$J$10000&gt;=ROUND($EB$3,0)),0),MATCH("DEFAULT_SALES_LBS",'Margin Guidence Table'!$A$1:$AG$1,0))),0))</f>
        <v>0</v>
      </c>
      <c r="EO33" s="784">
        <f t="array" ref="EO33">IF('Customer Inputs'!$W$9="End",0,IFERROR(IF($EL33="SEGMENT",INDEX('Margin Guidence Table'!$A$1:$AG$10000,MATCH(1,('Margin Guidence Table'!$A$1:$A$10000=EJ33)*('Margin Guidence Table'!$I$1:$I$10000&lt;=ROUND($EB$3,0))*('Margin Guidence Table'!$J$1:$J$10000&gt;=ROUND($EB$3,0)),0),MATCH("MDA_MIN_MARGIN_GUIDENCE",'Margin Guidence Table'!$A$1:$AG$1,0)),INDEX('Margin Guidence Table'!$A$1:$AG$10000,MATCH(1,('Margin Guidence Table'!$A$1:$A$10000=EJ33)*('Margin Guidence Table'!$I$1:$I$10000&lt;=ROUND($EB$3,0))*('Margin Guidence Table'!$J$1:$J$10000&gt;=ROUND($EB$3,0)),0),MATCH("DEFAULT_MDA_MIN_MARGIN_GUIDENCE",'Margin Guidence Table'!$A$1:$AG$1,0))),0))</f>
        <v>0</v>
      </c>
      <c r="EP33" s="784">
        <f t="array" ref="EP33">IF('Customer Inputs'!$W$9="End",0,IFERROR(IF($EL33="SEGMENT",INDEX('Margin Guidence Table'!$A$1:$AG$10000,MATCH(1,('Margin Guidence Table'!$A$1:$A$10000=EJ33)*('Margin Guidence Table'!$I$1:$I$10000&lt;=ROUND($EB$3,0))*('Margin Guidence Table'!$J$1:$J$10000&gt;=ROUND($EB$3,0)),0),MATCH("MDA_MEDIAN_MARGIN_GUIDENCE",'Margin Guidence Table'!$A$1:$AG$1,0)),INDEX('Margin Guidence Table'!$A$1:$AG$10000,MATCH(1,('Margin Guidence Table'!$A$1:$A$10000=EJ33)*('Margin Guidence Table'!$I$1:$I$10000&lt;=ROUND($EB$3,0))*('Margin Guidence Table'!$J$1:$J$10000&gt;=ROUND($EB$3,0)),0),MATCH("DEFAULT_MDA_MEDIAN_MARGIN_GUIDENCE",'Margin Guidence Table'!$A$1:$AG$1,0))),0))</f>
        <v>0</v>
      </c>
      <c r="EQ33" s="784">
        <f t="array" ref="EQ33">IF('Customer Inputs'!$W$9="End",0,IFERROR(IF($EL33="SEGMENT",INDEX('Margin Guidence Table'!$A$1:$AG$10000,MATCH(1,('Margin Guidence Table'!$A$1:$A$10000=EJ33)*('Margin Guidence Table'!$I$1:$I$10000&lt;=ROUND($EB$3,0))*('Margin Guidence Table'!$J$1:$J$10000&gt;=ROUND($EB$3,0)),0),MATCH("MDA_MAX_MARGIN_GUIDENCE",'Margin Guidence Table'!$A$1:$AG$1,0)),INDEX('Margin Guidence Table'!$A$1:$AG$10000,MATCH(1,('Margin Guidence Table'!$A$1:$A$10000=EJ33)*('Margin Guidence Table'!$I$1:$I$10000&lt;=ROUND($EB$3,0))*('Margin Guidence Table'!$J$1:$J$10000&gt;=ROUND($EB$3,0)),0),MATCH("DEFAULT_MDA_MAX_MARGIN_GUIDENCE",'Margin Guidence Table'!$A$1:$AG$1,0))),0))</f>
        <v>0</v>
      </c>
      <c r="ER33" s="784">
        <f t="array" ref="ER33">IF('Customer Inputs'!$W$9="End",0,IFERROR(IF($EL33="SEGMENT",INDEX('Margin Guidence Table'!$A$1:$AG$10000,MATCH(1,('Margin Guidence Table'!$A$1:$A$10000=EJ33)*('Margin Guidence Table'!$I$1:$I$10000&lt;=ROUND($EB$3,0))*('Margin Guidence Table'!$J$1:$J$10000&gt;=ROUND($EB$3,0)),0),MATCH("PA_PCT_SALES",'Margin Guidence Table'!$A$1:$AG$1,0)),INDEX('Margin Guidence Table'!$A$1:$AG$10000,MATCH(1,('Margin Guidence Table'!$A$1:$A$10000=EJ33)*('Margin Guidence Table'!$I$1:$I$10000&lt;=ROUND($EB$3,0))*('Margin Guidence Table'!$J$1:$J$10000&gt;=ROUND($EB$3,0)),0),MATCH("DEFAULT_PA_PCT_SALES",'Margin Guidence Table'!$A$1:$AG$1,0))),0))</f>
        <v>0</v>
      </c>
      <c r="ES33" s="784">
        <f t="array" ref="ES33">IF('Customer Inputs'!$W$9="End",0,IFERROR(IF($EL33="SEGMENT",INDEX('Margin Guidence Table'!$A$1:$AG$10000,MATCH(1,('Margin Guidence Table'!$A$1:$A$10000=EJ33)*('Margin Guidence Table'!$I$1:$I$10000&lt;=ROUND($EB$3,0))*('Margin Guidence Table'!$J$1:$J$10000&gt;=ROUND($EB$3,0)),0),MATCH("SELF_FUND_PCT_SALES",'Margin Guidence Table'!$A$1:$AG$1,0)),INDEX('Margin Guidence Table'!$A$1:$AG$10000,MATCH(1,('Margin Guidence Table'!$A$1:$A$10000=EJ33)*('Margin Guidence Table'!$I$1:$I$10000&lt;=ROUND($EB$3,0))*('Margin Guidence Table'!$J$1:$J$10000&gt;=ROUND($EB$3,0)),0),MATCH("DEFAULT_SELF_FUND_PCT_SALES",'Margin Guidence Table'!$A$1:$AG$1,0))),0))</f>
        <v>0</v>
      </c>
      <c r="ET33" s="784">
        <f t="array" ref="ET33">IF('Customer Inputs'!$W$9="End",0,IF($EC$2="Existing",IFERROR(SUMIFS('Existing Customers'!$V:$V,'Existing Customers'!$H:$H,$EA33,'Existing Customers'!$A:$A,$EB$1)/SUMIFS('Existing Customers'!$Q:$Q,'Existing Customers'!$H:$H,$EA33,'Existing Customers'!$A:$A,$EB$1),0),IFERROR(IF($EL33="SEGMENT",INDEX('Margin Guidence Table'!$A$1:$AG$10000,MATCH(1,('Margin Guidence Table'!$A$1:$A$10000=EJ33)*('Margin Guidence Table'!$I$1:$I$10000&lt;=ROUND($EB$3,0))*('Margin Guidence Table'!$J$1:$J$10000&gt;=ROUND($EB$3,0)),0),MATCH("CIA_MEDIAN_MARGIN_GUIDENCE",'Margin Guidence Table'!$A$1:$AG$1,0)),INDEX('Margin Guidence Table'!$A$1:$AG$10000,MATCH(1,('Margin Guidence Table'!$A$1:$A$10000=EJ33)*('Margin Guidence Table'!$I$1:$I$10000&lt;=ROUND($EB$3,0))*('Margin Guidence Table'!$J$1:$J$10000&gt;=ROUND($EB$3,0)),0),MATCH("DEFAULT_CIA_MEDIAN_MARGIN_GUIDENCE",'Margin Guidence Table'!$A$1:$AG$1,0))),0)))</f>
        <v>0</v>
      </c>
      <c r="EU33" s="126"/>
      <c r="EV33" s="18">
        <f t="array" ref="EV33">IF('Customer Inputs'!$W$10="End",0,IFERROR(IF($FI33="SEGMENT",INDEX('Margin Guidence Table'!$A$1:$AG$10000,MATCH(1,('Margin Guidence Table'!$A$1:$A$10000=$FG33)*('Margin Guidence Table'!$I$1:$I$10000&lt;=ROUND($EY$3,0))*('Margin Guidence Table'!$J$1:$J$10000&gt;=ROUND($EY$3,0)),0),MATCH("PCT_SALES",'Margin Guidence Table'!$A$1:$AG$1,0)),INDEX('Margin Guidence Table'!$A$1:$AG$10000,MATCH(1,('Margin Guidence Table'!$A$1:$A$10000=$FG33)*('Margin Guidence Table'!$I$1:$I$10000&lt;=ROUND($EY$3,0))*('Margin Guidence Table'!$J$1:$J$10000&gt;=ROUND($EY$3,0)),0),MATCH("DEFAULT_PCT_SALES",'Margin Guidence Table'!$A$1:$AG$1,0))),0))</f>
        <v>0</v>
      </c>
      <c r="EW33" s="297" t="e">
        <f t="shared" si="40"/>
        <v>#DIV/0!</v>
      </c>
      <c r="EX33" s="99" t="s">
        <v>88</v>
      </c>
      <c r="EY33" s="91">
        <f>IF('Customer Inputs'!$W$10="End",0,IFERROR(IF(AND($EY$2&lt;&gt;"Enter Spend&gt;&gt;&gt;",$EZ$2="EXISTING"),SUMIFS('Existing Customers'!$Q:$Q,'Existing Customers'!$A:$A,$EY$1,'Existing Customers'!$H:$H,$EX33)*$EY$4,$EY$3*$EW33),0))</f>
        <v>0</v>
      </c>
      <c r="EZ33" s="86">
        <f>IF('Customer Inputs'!$W$10="End",0,IFERROR(IF(AND($EY$2&lt;&gt;"Enter Spend&gt;&gt;&gt;",$EZ$2="EXISTING"),SUMIFS('Existing Customers'!$N:$N,'Existing Customers'!$A:$A,$EY$1,'Existing Customers'!$H:$H,$EX33)*$EY$4,$EY33/$FJ33),0))</f>
        <v>0</v>
      </c>
      <c r="FA33" s="92">
        <f>IF('Customer Inputs'!$W$10="End",0,IFERROR(IF(AND($EY$2&lt;&gt;"Enter Spend&gt;&gt;&gt;",$EZ$2="EXISTING"),SUMIFS('Existing Customers'!$O:$O,'Existing Customers'!$H:$H,$EX33,'Existing Customers'!$A:$A,$EY$1)*$EY$4,$EZ33*$EY$8),0))</f>
        <v>0</v>
      </c>
      <c r="FB33" s="92">
        <f>IF('Customer Inputs'!$W$10="End",0,IFERROR(IF(AND($EY$2&lt;&gt;"Enter Spend&gt;&gt;&gt;",$EZ$2="EXISTING"),SUMIFS('Existing Customers'!$P:$P,'Existing Customers'!$A:$A,$EY$1,'Existing Customers'!$H:$H,$EX33)*$EY$4,$EY33/$FK33),0))</f>
        <v>0</v>
      </c>
      <c r="FC33" s="93">
        <f>IF('Customer Inputs'!$W$10="End",0,IFERROR(IF(AND($EY$2&lt;&gt;"Enter Spend&gt;&gt;&gt;",$EZ$2="EXISTING"),SUMIFS('Existing Customers'!$V:$V,'Existing Customers'!$H:$H,$EX33,'Existing Customers'!$A:$A,$EY$1)*$EY$4,0),0))</f>
        <v>0</v>
      </c>
      <c r="FD33" s="93">
        <f>IF('Customer Inputs'!$W$10="End",0,IFERROR(IF(AND($EY$2&lt;&gt;"Enter Spend&gt;&gt;&gt;",$EZ$2="EXISTING"),SUMIFS('Existing Customers'!$R:$R,'Existing Customers'!$H:$H,$EX33,'Existing Customers'!$A:$A,$EY$1)*$EY$4,0),0))</f>
        <v>0</v>
      </c>
      <c r="FE33" s="780">
        <f>IF('Customer Inputs'!$W$10="End",0,IFERROR(IF(AND($EY$2&lt;&gt;"Enter Spend&gt;&gt;&gt;",$EZ$2="EXISTING"),SUMIFS('Existing Customers'!$S:$S,'Existing Customers'!$H:$H,$EX33,'Existing Customers'!$A:$A,$EY$1)/SUMIFS('Existing Customers'!$Q:$Q,'Existing Customers'!$A:$A,$EY$1,'Existing Customers'!$H:$H,$EX33),FO33),0))</f>
        <v>0</v>
      </c>
      <c r="FF33" s="780">
        <f>IF('Customer Inputs'!$W$10="End",0,IFERROR(IF(AND($EY$2&lt;&gt;"Enter Spend&gt;&gt;&gt;",$EZ$2="EXISTING"),SUMIFS('Existing Customers'!$U:$U,'Existing Customers'!$H:$H,$EX33,'Existing Customers'!$A:$A,$EY$1)/SUMIFS('Existing Customers'!$Q:$Q,'Existing Customers'!$A:$A,$EY$1,'Existing Customers'!$H:$H,$EX33),FP33),0))</f>
        <v>0</v>
      </c>
      <c r="FG33" s="783" t="e">
        <f>_xlfn.CONCAT('Customer Inputs'!$AH$10,"_",EX33)</f>
        <v>#N/A</v>
      </c>
      <c r="FH33" s="783">
        <f t="array" ref="FH33">IF('Customer Inputs'!$W$10="End",0,IFERROR(INDEX('Margin Guidence Table'!$A$1:$AG$10000,MATCH(1,('Margin Guidence Table'!$A$1:$A$10000=FG33)*('Margin Guidence Table'!$I$1:$I$10000&lt;=ROUND($EY$3,0))*('Margin Guidence Table'!$J$1:$J$10000&gt;=ROUND($EY$3,0)),0),MATCH("DATA_POINTS",'Margin Guidence Table'!$A$1:$AG$1,0)),0))</f>
        <v>0</v>
      </c>
      <c r="FI33" s="780" t="str">
        <f t="shared" si="41"/>
        <v>DEFAULT</v>
      </c>
      <c r="FJ33" s="780">
        <f t="array" ref="FJ33">IF('Customer Inputs'!$W$10="End",0,IFERROR(IF($FI33="SEGMENT",INDEX('Margin Guidence Table'!$A$1:$AG$10000,MATCH(1,('Margin Guidence Table'!$A$1:$A$10000=FG33)*('Margin Guidence Table'!$I$1:$I$10000&lt;=ROUND($EY$3,0))*('Margin Guidence Table'!$J$1:$J$10000&gt;=ROUND($EY$3,0)),0),MATCH("SALES_CASE",'Margin Guidence Table'!$A$1:$AG$1,0)),INDEX('Margin Guidence Table'!$A$1:$AG$10000,MATCH(1,('Margin Guidence Table'!$A$1:$A$10000=FG33)*('Margin Guidence Table'!$I$1:$I$10000&lt;=ROUND($EY$3,0))*('Margin Guidence Table'!$J$1:$J$10000&gt;=ROUND($EY$3,0)),0),MATCH("DEFAULT_SALES_CASE",'Margin Guidence Table'!$A$1:$AG$1,0))),0))</f>
        <v>0</v>
      </c>
      <c r="FK33" s="780">
        <f t="array" ref="FK33">IF('Customer Inputs'!$W$10="End",0,IFERROR(IF($FI33="SEGMENT",INDEX('Margin Guidence Table'!$A$1:$AG$10000,MATCH(1,('Margin Guidence Table'!$A$1:$A$10000=FG33)*('Margin Guidence Table'!$I$1:$I$10000&lt;=ROUND($EY$3,0))*('Margin Guidence Table'!$J$1:$J$10000&gt;=ROUND($EY$3,0)),0),MATCH("SALES_LBS",'Margin Guidence Table'!$A$1:$AG$1,0)),INDEX('Margin Guidence Table'!$A$1:$AG$10000,MATCH(1,('Margin Guidence Table'!$A$1:$A$10000=FG33)*('Margin Guidence Table'!$I$1:$I$10000&lt;=ROUND($EY$3,0))*('Margin Guidence Table'!$J$1:$J$10000&gt;=ROUND($EY$3,0)),0),MATCH("DEFAULT_SALES_LBS",'Margin Guidence Table'!$A$1:$AG$1,0))),0))</f>
        <v>0</v>
      </c>
      <c r="FL33" s="784">
        <f t="array" ref="FL33">IF('Customer Inputs'!$W$10="End",0,IFERROR(IF($FI33="SEGMENT",INDEX('Margin Guidence Table'!$A$1:$AG$10000,MATCH(1,('Margin Guidence Table'!$A$1:$A$10000=FG33)*('Margin Guidence Table'!$I$1:$I$10000&lt;=ROUND($EY$3,0))*('Margin Guidence Table'!$J$1:$J$10000&gt;=ROUND($EY$3,0)),0),MATCH("MDA_MIN_MARGIN_GUIDENCE",'Margin Guidence Table'!$A$1:$AG$1,0)),INDEX('Margin Guidence Table'!$A$1:$AG$10000,MATCH(1,('Margin Guidence Table'!$A$1:$A$10000=FG33)*('Margin Guidence Table'!$I$1:$I$10000&lt;=ROUND($EY$3,0))*('Margin Guidence Table'!$J$1:$J$10000&gt;=ROUND($EY$3,0)),0),MATCH("DEFAULT_MDA_MIN_MARGIN_GUIDENCE",'Margin Guidence Table'!$A$1:$AG$1,0))),0))</f>
        <v>0</v>
      </c>
      <c r="FM33" s="784">
        <f t="array" ref="FM33">IF('Customer Inputs'!$W$10="End",0,IFERROR(IF($FI33="SEGMENT",INDEX('Margin Guidence Table'!$A$1:$AG$10000,MATCH(1,('Margin Guidence Table'!$A$1:$A$10000=FG33)*('Margin Guidence Table'!$I$1:$I$10000&lt;=ROUND($EY$3,0))*('Margin Guidence Table'!$J$1:$J$10000&gt;=ROUND($EY$3,0)),0),MATCH("MDA_MEDIAN_MARGIN_GUIDENCE",'Margin Guidence Table'!$A$1:$AG$1,0)),INDEX('Margin Guidence Table'!$A$1:$AG$10000,MATCH(1,('Margin Guidence Table'!$A$1:$A$10000=FG33)*('Margin Guidence Table'!$I$1:$I$10000&lt;=ROUND($EY$3,0))*('Margin Guidence Table'!$J$1:$J$10000&gt;=ROUND($EY$3,0)),0),MATCH("DEFAULT_MDA_MEDIAN_MARGIN_GUIDENCE",'Margin Guidence Table'!$A$1:$AG$1,0))),0))</f>
        <v>0</v>
      </c>
      <c r="FN33" s="784">
        <f t="array" ref="FN33">IF('Customer Inputs'!$W$10="End",0,IFERROR(IF($FI33="SEGMENT",INDEX('Margin Guidence Table'!$A$1:$AG$10000,MATCH(1,('Margin Guidence Table'!$A$1:$A$10000=FG33)*('Margin Guidence Table'!$I$1:$I$10000&lt;=ROUND($EY$3,0))*('Margin Guidence Table'!$J$1:$J$10000&gt;=ROUND($EY$3,0)),0),MATCH("MDA_MAX_MARGIN_GUIDENCE",'Margin Guidence Table'!$A$1:$AG$1,0)),INDEX('Margin Guidence Table'!$A$1:$AG$10000,MATCH(1,('Margin Guidence Table'!$A$1:$A$10000=FG33)*('Margin Guidence Table'!$I$1:$I$10000&lt;=ROUND($EY$3,0))*('Margin Guidence Table'!$J$1:$J$10000&gt;=ROUND($EY$3,0)),0),MATCH("DEFAULT_MDA_MAX_MARGIN_GUIDENCE",'Margin Guidence Table'!$A$1:$AG$1,0))),0))</f>
        <v>0</v>
      </c>
      <c r="FO33" s="784">
        <f t="array" ref="FO33">IF('Customer Inputs'!$W$10="End",0,IFERROR(IF($FI33="SEGMENT",INDEX('Margin Guidence Table'!$A$1:$AG$10000,MATCH(1,('Margin Guidence Table'!$A$1:$A$10000=FG33)*('Margin Guidence Table'!$I$1:$I$10000&lt;=ROUND($EY$3,0))*('Margin Guidence Table'!$J$1:$J$10000&gt;=ROUND($EY$3,0)),0),MATCH("PA_PCT_SALES",'Margin Guidence Table'!$A$1:$AG$1,0)),INDEX('Margin Guidence Table'!$A$1:$AG$10000,MATCH(1,('Margin Guidence Table'!$A$1:$A$10000=FG33)*('Margin Guidence Table'!$I$1:$I$10000&lt;=ROUND($EY$3,0))*('Margin Guidence Table'!$J$1:$J$10000&gt;=ROUND($EY$3,0)),0),MATCH("DEFAULT_PA_PCT_SALES",'Margin Guidence Table'!$A$1:$AG$1,0))),0))</f>
        <v>0</v>
      </c>
      <c r="FP33" s="784">
        <f t="array" ref="FP33">IF('Customer Inputs'!$W$10="End",0,IFERROR(IF($FI33="SEGMENT",INDEX('Margin Guidence Table'!$A$1:$AG$10000,MATCH(1,('Margin Guidence Table'!$A$1:$A$10000=FG33)*('Margin Guidence Table'!$I$1:$I$10000&lt;=ROUND($EY$3,0))*('Margin Guidence Table'!$J$1:$J$10000&gt;=ROUND($EY$3,0)),0),MATCH("SELF_FUND_PCT_SALES",'Margin Guidence Table'!$A$1:$AG$1,0)),INDEX('Margin Guidence Table'!$A$1:$AG$10000,MATCH(1,('Margin Guidence Table'!$A$1:$A$10000=FG33)*('Margin Guidence Table'!$I$1:$I$10000&lt;=ROUND($EY$3,0))*('Margin Guidence Table'!$J$1:$J$10000&gt;=ROUND($EY$3,0)),0),MATCH("DEFAULT_SELF_FUND_PCT_SALES",'Margin Guidence Table'!$A$1:$AG$1,0))),0))</f>
        <v>0</v>
      </c>
      <c r="FQ33" s="784">
        <f t="array" ref="FQ33">IF('Customer Inputs'!$W$10="End",0,IF($EZ$2="Existing",IFERROR(SUMIFS('Existing Customers'!$V:$V,'Existing Customers'!$H:$H,$EX33,'Existing Customers'!$A:$A,$EY$1)/SUMIFS('Existing Customers'!$Q:$Q,'Existing Customers'!$H:$H,$EX33,'Existing Customers'!$A:$A,$EY$1),0),IFERROR(IF($FI33="SEGMENT",INDEX('Margin Guidence Table'!$A$1:$AG$10000,MATCH(1,('Margin Guidence Table'!$A$1:$A$10000=FG33)*('Margin Guidence Table'!$I$1:$I$10000&lt;=ROUND($EY$3,0))*('Margin Guidence Table'!$J$1:$J$10000&gt;=ROUND($EY$3,0)),0),MATCH("CIA_MEDIAN_MARGIN_GUIDENCE",'Margin Guidence Table'!$A$1:$AG$1,0)),INDEX('Margin Guidence Table'!$A$1:$AG$10000,MATCH(1,('Margin Guidence Table'!$A$1:$A$10000=FG33)*('Margin Guidence Table'!$I$1:$I$10000&lt;=ROUND($EY$3,0))*('Margin Guidence Table'!$J$1:$J$10000&gt;=ROUND($EY$3,0)),0),MATCH("DEFAULT_CIA_MEDIAN_MARGIN_GUIDENCE",'Margin Guidence Table'!$A$1:$AG$1,0))),0)))</f>
        <v>0</v>
      </c>
      <c r="FR33" s="126"/>
      <c r="FS33" s="18">
        <f t="array" ref="FS33">IF('Customer Inputs'!$W$11="End",0,IFERROR(IF($GF33="SEGMENT",INDEX('Margin Guidence Table'!$A$1:$AG$10000,MATCH(1,('Margin Guidence Table'!$A$1:$A$10000=$GD33)*('Margin Guidence Table'!$I$1:$I$10000&lt;=ROUND($FV$3,0))*('Margin Guidence Table'!$J$1:$J$10000&gt;=ROUND($FV$3,0)),0),MATCH("PCT_SALES",'Margin Guidence Table'!$A$1:$AG$1,0)),INDEX('Margin Guidence Table'!$A$1:$AG$10000,MATCH(1,('Margin Guidence Table'!$A$1:$A$10000=$GD33)*('Margin Guidence Table'!$I$1:$I$10000&lt;=ROUND($FV$3,0))*('Margin Guidence Table'!$J$1:$J$10000&gt;=ROUND($FV$3,0)),0),MATCH("DEFAULT_PCT_SALES",'Margin Guidence Table'!$A$1:$AG$1,0))),0))</f>
        <v>0</v>
      </c>
      <c r="FT33" s="297" t="e">
        <f t="shared" si="42"/>
        <v>#DIV/0!</v>
      </c>
      <c r="FU33" s="99" t="s">
        <v>88</v>
      </c>
      <c r="FV33" s="91">
        <f>IF('Customer Inputs'!$W$11="End",0,IFERROR(IF(AND($FV$2&lt;&gt;"Enter Spend&gt;&gt;&gt;",$FW$2="EXISTING"),SUMIFS('Existing Customers'!$Q:$Q,'Existing Customers'!$A:$A,$FV$1,'Existing Customers'!$H:$H,$FU33)*$FV$4,$FV$3*$FT33),0))</f>
        <v>0</v>
      </c>
      <c r="FW33" s="86">
        <f>IF('Customer Inputs'!$W$11="End",0,IFERROR(IF(AND($FV$2&lt;&gt;"Enter Spend&gt;&gt;&gt;",$FW$2="EXISTING"),SUMIFS('Existing Customers'!$N:$N,'Existing Customers'!$A:$A,$FV$1,'Existing Customers'!$H:$H,$FU33)*$FV$4,$FV33/$GG33),0))</f>
        <v>0</v>
      </c>
      <c r="FX33" s="92">
        <f>IF('Customer Inputs'!$W$11="End",0,IFERROR(IF(AND($FV$2&lt;&gt;"Enter Spend&gt;&gt;&gt;",$FW$2="EXISTING"),SUMIFS('Existing Customers'!$O:$O,'Existing Customers'!$H:$H,$FU33,'Existing Customers'!$A:$A,$FV$1)*$FV$4,$FW33*$FV$8),0))</f>
        <v>0</v>
      </c>
      <c r="FY33" s="92">
        <f>IF('Customer Inputs'!$W$11="End",0,IFERROR(IF(AND($FV$2&lt;&gt;"Enter Spend&gt;&gt;&gt;",$FW$2="EXISTING"),SUMIFS('Existing Customers'!$P:$P,'Existing Customers'!$A:$A,$FV$1,'Existing Customers'!$H:$H,$FU33)*$FV$4,$FV33/$GH33),0))</f>
        <v>0</v>
      </c>
      <c r="FZ33" s="93">
        <f>IF('Customer Inputs'!$W$11="End",0,IFERROR(IF(AND($FV$2&lt;&gt;"Enter Spend&gt;&gt;&gt;",$FW$2="EXISTING"),SUMIFS('Existing Customers'!$V:$V,'Existing Customers'!$H:$H,$FU33,'Existing Customers'!$A:$A,$FV$1)*$FV$4,0),0))</f>
        <v>0</v>
      </c>
      <c r="GA33" s="93">
        <f>IF('Customer Inputs'!$W$11="End",0,IFERROR(IF(AND($FV$2&lt;&gt;"Enter Spend&gt;&gt;&gt;",$FW$2="EXISTING"),SUMIFS('Existing Customers'!$R:$R,'Existing Customers'!$H:$H,$FU33,'Existing Customers'!$A:$A,$FV$1)*$FV$4,0),0))</f>
        <v>0</v>
      </c>
      <c r="GB33" s="780">
        <f>IF('Customer Inputs'!$W$11="End",0,IFERROR(IF(AND($FV$2&lt;&gt;"Enter Spend&gt;&gt;&gt;",$FW$2="EXISTING"),SUMIFS('Existing Customers'!$S:$S,'Existing Customers'!$H:$H,$FU33,'Existing Customers'!$A:$A,$FV$1)/SUMIFS('Existing Customers'!$Q:$Q,'Existing Customers'!$A:$A,$FV$1,'Existing Customers'!$H:$H,$FU33),GL33),0))</f>
        <v>0</v>
      </c>
      <c r="GC33" s="780">
        <f>IF('Customer Inputs'!$W$11="End",0,IFERROR(IF(AND($FV$2&lt;&gt;"Enter Spend&gt;&gt;&gt;",$FW$2="EXISTING"),SUMIFS('Existing Customers'!$U:$U,'Existing Customers'!$H:$H,$FU33,'Existing Customers'!$A:$A,$FV$1)/SUMIFS('Existing Customers'!$Q:$Q,'Existing Customers'!$A:$A,$FV$1,'Existing Customers'!$H:$H,$FU33),GM33),0))</f>
        <v>0</v>
      </c>
      <c r="GD33" s="783" t="e">
        <f>_xlfn.CONCAT('Customer Inputs'!$AH$11,"_",FU33)</f>
        <v>#N/A</v>
      </c>
      <c r="GE33" s="783">
        <f t="array" ref="GE33">IF('Customer Inputs'!$W$11="End",0,IFERROR(INDEX('Margin Guidence Table'!$A$1:$AG$10000,MATCH(1,('Margin Guidence Table'!$A$1:$A$10000=GD33)*('Margin Guidence Table'!$I$1:$I$10000&lt;=ROUND($FV$3,0))*('Margin Guidence Table'!$J$1:$J$10000&gt;=ROUND($FV$3,0)),0),MATCH("DATA_POINTS",'Margin Guidence Table'!$A$1:$AG$1,0)),0))</f>
        <v>0</v>
      </c>
      <c r="GF33" s="780" t="str">
        <f t="shared" si="43"/>
        <v>DEFAULT</v>
      </c>
      <c r="GG33" s="780">
        <f t="array" ref="GG33">IF('Customer Inputs'!$W$11="End",0,IFERROR(IF($GF33="SEGMENT",INDEX('Margin Guidence Table'!$A$1:$AG$10000,MATCH(1,('Margin Guidence Table'!$A$1:$A$10000=GD33)*('Margin Guidence Table'!$I$1:$I$10000&lt;=ROUND($FV$3,0))*('Margin Guidence Table'!$J$1:$J$10000&gt;=ROUND($FV$3,0)),0),MATCH("SALES_CASE",'Margin Guidence Table'!$A$1:$AG$1,0)),INDEX('Margin Guidence Table'!$A$1:$AG$10000,MATCH(1,('Margin Guidence Table'!$A$1:$A$10000=GD33)*('Margin Guidence Table'!$I$1:$I$10000&lt;=ROUND($FV$3,0))*('Margin Guidence Table'!$J$1:$J$10000&gt;=ROUND($FV$3,0)),0),MATCH("DEFAULT_SALES_CASE",'Margin Guidence Table'!$A$1:$AG$1,0))),0))</f>
        <v>0</v>
      </c>
      <c r="GH33" s="780">
        <f t="array" ref="GH33">IF('Customer Inputs'!$W$11="End",0,IFERROR(IF($GF33="SEGMENT",INDEX('Margin Guidence Table'!$A$1:$AG$10000,MATCH(1,('Margin Guidence Table'!$A$1:$A$10000=GD33)*('Margin Guidence Table'!$I$1:$I$10000&lt;=ROUND($FV$3,0))*('Margin Guidence Table'!$J$1:$J$10000&gt;=ROUND($FV$3,0)),0),MATCH("SALES_LBS",'Margin Guidence Table'!$A$1:$AG$1,0)),INDEX('Margin Guidence Table'!$A$1:$AG$10000,MATCH(1,('Margin Guidence Table'!$A$1:$A$10000=GD33)*('Margin Guidence Table'!$I$1:$I$10000&lt;=ROUND($FV$3,0))*('Margin Guidence Table'!$J$1:$J$10000&gt;=ROUND($FV$3,0)),0),MATCH("DEFAULT_SALES_LBS",'Margin Guidence Table'!$A$1:$AG$1,0))),0))</f>
        <v>0</v>
      </c>
      <c r="GI33" s="784">
        <f t="array" ref="GI33">IF('Customer Inputs'!$W$11="End",0,IFERROR(IF($GF33="SEGMENT",INDEX('Margin Guidence Table'!$A$1:$AG$10000,MATCH(1,('Margin Guidence Table'!$A$1:$A$10000=GD33)*('Margin Guidence Table'!$I$1:$I$10000&lt;=ROUND($FV$3,0))*('Margin Guidence Table'!$J$1:$J$10000&gt;=ROUND($FV$3,0)),0),MATCH("MDA_MIN_MARGIN_GUIDENCE",'Margin Guidence Table'!$A$1:$AG$1,0)),INDEX('Margin Guidence Table'!$A$1:$AG$10000,MATCH(1,('Margin Guidence Table'!$A$1:$A$10000=GD33)*('Margin Guidence Table'!$I$1:$I$10000&lt;=ROUND($FV$3,0))*('Margin Guidence Table'!$J$1:$J$10000&gt;=ROUND($FV$3,0)),0),MATCH("DEFAULT_MDA_MIN_MARGIN_GUIDENCE",'Margin Guidence Table'!$A$1:$AG$1,0))),0))</f>
        <v>0</v>
      </c>
      <c r="GJ33" s="784">
        <f t="array" ref="GJ33">IF('Customer Inputs'!$W$11="End",0,IFERROR(IF($GF33="SEGMENT",INDEX('Margin Guidence Table'!$A$1:$AG$10000,MATCH(1,('Margin Guidence Table'!$A$1:$A$10000=GD33)*('Margin Guidence Table'!$I$1:$I$10000&lt;=ROUND($FV$3,0))*('Margin Guidence Table'!$J$1:$J$10000&gt;=ROUND($FV$3,0)),0),MATCH("MDA_MEDIAN_MARGIN_GUIDENCE",'Margin Guidence Table'!$A$1:$AG$1,0)),INDEX('Margin Guidence Table'!$A$1:$AG$10000,MATCH(1,('Margin Guidence Table'!$A$1:$A$10000=GD33)*('Margin Guidence Table'!$I$1:$I$10000&lt;=ROUND($FV$3,0))*('Margin Guidence Table'!$J$1:$J$10000&gt;=ROUND($FV$3,0)),0),MATCH("DEFAULT_MDA_MEDIAN_MARGIN_GUIDENCE",'Margin Guidence Table'!$A$1:$AG$1,0))),0))</f>
        <v>0</v>
      </c>
      <c r="GK33" s="784">
        <f t="array" ref="GK33">IF('Customer Inputs'!$W$11="End",0,IFERROR(IF($GF33="SEGMENT",INDEX('Margin Guidence Table'!$A$1:$AG$10000,MATCH(1,('Margin Guidence Table'!$A$1:$A$10000=GD33)*('Margin Guidence Table'!$I$1:$I$10000&lt;=ROUND($FV$3,0))*('Margin Guidence Table'!$J$1:$J$10000&gt;=ROUND($FV$3,0)),0),MATCH("MDA_MAX_MARGIN_GUIDENCE",'Margin Guidence Table'!$A$1:$AG$1,0)),INDEX('Margin Guidence Table'!$A$1:$AG$10000,MATCH(1,('Margin Guidence Table'!$A$1:$A$10000=GD33)*('Margin Guidence Table'!$I$1:$I$10000&lt;=ROUND($FV$3,0))*('Margin Guidence Table'!$J$1:$J$10000&gt;=ROUND($FV$3,0)),0),MATCH("DEFAULT_MDA_MAX_MARGIN_GUIDENCE",'Margin Guidence Table'!$A$1:$AG$1,0))),0))</f>
        <v>0</v>
      </c>
      <c r="GL33" s="784">
        <f t="array" ref="GL33">IF('Customer Inputs'!$W$11="End",0,IFERROR(IF($GF33="SEGMENT",INDEX('Margin Guidence Table'!$A$1:$AG$10000,MATCH(1,('Margin Guidence Table'!$A$1:$A$10000=GD33)*('Margin Guidence Table'!$I$1:$I$10000&lt;=ROUND($FV$3,0))*('Margin Guidence Table'!$J$1:$J$10000&gt;=ROUND($FV$3,0)),0),MATCH("PA_PCT_SALES",'Margin Guidence Table'!$A$1:$AG$1,0)),INDEX('Margin Guidence Table'!$A$1:$AG$10000,MATCH(1,('Margin Guidence Table'!$A$1:$A$10000=GD33)*('Margin Guidence Table'!$I$1:$I$10000&lt;=ROUND($FV$3,0))*('Margin Guidence Table'!$J$1:$J$10000&gt;=ROUND($FV$3,0)),0),MATCH("DEFAULT_PA_PCT_SALES",'Margin Guidence Table'!$A$1:$AG$1,0))),0))</f>
        <v>0</v>
      </c>
      <c r="GM33" s="784">
        <f t="array" ref="GM33">IF('Customer Inputs'!$W$11="End",0,IFERROR(IF($GF33="SEGMENT",INDEX('Margin Guidence Table'!$A$1:$AG$10000,MATCH(1,('Margin Guidence Table'!$A$1:$A$10000=GD33)*('Margin Guidence Table'!$I$1:$I$10000&lt;=ROUND($FV$3,0))*('Margin Guidence Table'!$J$1:$J$10000&gt;=ROUND($FV$3,0)),0),MATCH("SELF_FUND_PCT_SALES",'Margin Guidence Table'!$A$1:$AG$1,0)),INDEX('Margin Guidence Table'!$A$1:$AG$10000,MATCH(1,('Margin Guidence Table'!$A$1:$A$10000=GD33)*('Margin Guidence Table'!$I$1:$I$10000&lt;=ROUND($FV$3,0))*('Margin Guidence Table'!$J$1:$J$10000&gt;=ROUND($FV$3,0)),0),MATCH("DEFAULT_SELF_FUND_PCT_SALES",'Margin Guidence Table'!$A$1:$AG$1,0))),0))</f>
        <v>0</v>
      </c>
      <c r="GN33" s="784">
        <f t="array" ref="GN33">IF('Customer Inputs'!$W$11="End",0,IF($FW$2="Existing",IFERROR(SUMIFS('Existing Customers'!$V:$V,'Existing Customers'!$H:$H,$FU33,'Existing Customers'!$A:$A,$FV$1)/SUMIFS('Existing Customers'!$Q:$Q,'Existing Customers'!$H:$H,$FU33,'Existing Customers'!$A:$A,$FV$1),0),IFERROR(IF($GF33="SEGMENT",INDEX('Margin Guidence Table'!$A$1:$AG$10000,MATCH(1,('Margin Guidence Table'!$A$1:$A$10000=GD33)*('Margin Guidence Table'!$I$1:$I$10000&lt;=ROUND($FV$3,0))*('Margin Guidence Table'!$J$1:$J$10000&gt;=ROUND($FV$3,0)),0),MATCH("CIA_MEDIAN_MARGIN_GUIDENCE",'Margin Guidence Table'!$A$1:$AG$1,0)),INDEX('Margin Guidence Table'!$A$1:$AG$10000,MATCH(1,('Margin Guidence Table'!$A$1:$A$10000=GD33)*('Margin Guidence Table'!$I$1:$I$10000&lt;=ROUND($FV$3,0))*('Margin Guidence Table'!$J$1:$J$10000&gt;=ROUND($FV$3,0)),0),MATCH("DEFAULT_CIA_MEDIAN_MARGIN_GUIDENCE",'Margin Guidence Table'!$A$1:$AG$1,0))),0)))</f>
        <v>0</v>
      </c>
      <c r="GO33" s="126"/>
      <c r="GP33" s="18">
        <f t="array" ref="GP33">IF('Customer Inputs'!$W$12="End",0,IFERROR(IF($HC33="SEGMENT",INDEX('Margin Guidence Table'!$A$1:$AG$10000,MATCH(1,('Margin Guidence Table'!$A$1:$A$10000=$HA33)*('Margin Guidence Table'!$I$1:$I$10000&lt;=ROUND($GS$3,0))*('Margin Guidence Table'!$J$1:$J$10000&gt;=ROUND($GS$3,0)),0),MATCH("PCT_SALES",'Margin Guidence Table'!$A$1:$AG$1,0)),INDEX('Margin Guidence Table'!$A$1:$AG$10000,MATCH(1,('Margin Guidence Table'!$A$1:$A$10000=$HA33)*('Margin Guidence Table'!$I$1:$I$10000&lt;=ROUND($GS$3,0))*('Margin Guidence Table'!$J$1:$J$10000&gt;=ROUND($GS$3,0)),0),MATCH("DEFAULT_PCT_SALES",'Margin Guidence Table'!$A$1:$AG$1,0))),0))</f>
        <v>0</v>
      </c>
      <c r="GQ33" s="297" t="e">
        <f t="shared" si="44"/>
        <v>#DIV/0!</v>
      </c>
      <c r="GR33" s="99" t="s">
        <v>88</v>
      </c>
      <c r="GS33" s="91">
        <f>IF('Customer Inputs'!$W$12="End",0,IFERROR(IF(AND($GS$2&lt;&gt;"Enter Spend&gt;&gt;&gt;",$GT$2="EXISTING"),SUMIFS('Existing Customers'!$Q:$Q,'Existing Customers'!$A:$A,$GS$1,'Existing Customers'!$H:$H,$GR33)*$GS$4,$GS$3*$GQ33),0))</f>
        <v>0</v>
      </c>
      <c r="GT33" s="86">
        <f>IF('Customer Inputs'!$W$12="End",0,IFERROR(IF(AND($GS$2&lt;&gt;"Enter Spend&gt;&gt;&gt;",$GT$2="EXISTING"),SUMIFS('Existing Customers'!$N:$N,'Existing Customers'!$A:$A,$GS$1,'Existing Customers'!$H:$H,$GR33)*$GS$4,$GS33/$HD33),0))</f>
        <v>0</v>
      </c>
      <c r="GU33" s="92">
        <f>IF('Customer Inputs'!$W$12="End",0,IFERROR(IF(AND($GS$2&lt;&gt;"Enter Spend&gt;&gt;&gt;",$GT$2="EXISTING"),SUMIFS('Existing Customers'!$O:$O,'Existing Customers'!$H:$H,$GR33,'Existing Customers'!$A:$A,$GS$1)*$GS$4,$GT33*$GS$8),0))</f>
        <v>0</v>
      </c>
      <c r="GV33" s="92">
        <f>IF('Customer Inputs'!$W$12="End",0,IFERROR(IF(AND($GS$2&lt;&gt;"Enter Spend&gt;&gt;&gt;",$GT$2="EXISTING"),SUMIFS('Existing Customers'!$P:$P,'Existing Customers'!$A:$A,$GS$1,'Existing Customers'!$H:$H,$GR33)*$GS$4,$GS33/$HE33),0))</f>
        <v>0</v>
      </c>
      <c r="GW33" s="93">
        <f>IF('Customer Inputs'!$W$12="End",0,IFERROR(IF(AND($GS$2&lt;&gt;"Enter Spend&gt;&gt;&gt;",$GT$2="EXISTING"),SUMIFS('Existing Customers'!$V:$V,'Existing Customers'!$H:$H,$GR33,'Existing Customers'!$A:$A,$GS$1)*$GS$4,0),0))</f>
        <v>0</v>
      </c>
      <c r="GX33" s="93">
        <f>IF('Customer Inputs'!$W$12="End",0,IFERROR(IF(AND($GS$2&lt;&gt;"Enter Spend&gt;&gt;&gt;",$GT$2="EXISTING"),SUMIFS('Existing Customers'!$R:$R,'Existing Customers'!$H:$H,$GR33,'Existing Customers'!$A:$A,$GS$1)*$GS$4,0),0))</f>
        <v>0</v>
      </c>
      <c r="GY33" s="780">
        <f>IF('Customer Inputs'!$W$12="End",0,IFERROR(IF(AND($GS$2&lt;&gt;"Enter Spend&gt;&gt;&gt;",$GT$2="EXISTING"),SUMIFS('Existing Customers'!$S:$S,'Existing Customers'!$H:$H,$GR33,'Existing Customers'!$A:$A,$GS$1)/SUMIFS('Existing Customers'!$Q:$Q,'Existing Customers'!$A:$A,$GS$1,'Existing Customers'!$H:$H,$GR33),HI33),0))</f>
        <v>0</v>
      </c>
      <c r="GZ33" s="780">
        <f>IF('Customer Inputs'!$W$12="End",0,IFERROR(IF(AND($GS$2&lt;&gt;"Enter Spend&gt;&gt;&gt;",$GT$2="EXISTING"),SUMIFS('Existing Customers'!$U:$U,'Existing Customers'!$H:$H,$GR33,'Existing Customers'!$A:$A,$GS$1)/SUMIFS('Existing Customers'!$Q:$Q,'Existing Customers'!$A:$A,$GS$1,'Existing Customers'!$H:$H,$GR33),HJ33),0))</f>
        <v>0</v>
      </c>
      <c r="HA33" s="783" t="e">
        <f>_xlfn.CONCAT('Customer Inputs'!$AH$12,"_",GR33)</f>
        <v>#N/A</v>
      </c>
      <c r="HB33" s="783">
        <f t="array" ref="HB33">IF('Customer Inputs'!$W$12="End",0,IFERROR(INDEX('Margin Guidence Table'!$A$1:$AG$10000,MATCH(1,('Margin Guidence Table'!$A$1:$A$10000=HA33)*('Margin Guidence Table'!$I$1:$I$10000&lt;=ROUND($GS$3,0))*('Margin Guidence Table'!$J$1:$J$10000&gt;=ROUND($GS$3,0)),0),MATCH("DATA_POINTS",'Margin Guidence Table'!$A$1:$AG$1,0)),0))</f>
        <v>0</v>
      </c>
      <c r="HC33" s="780" t="str">
        <f t="shared" si="45"/>
        <v>DEFAULT</v>
      </c>
      <c r="HD33" s="780">
        <f t="array" ref="HD33">IF('Customer Inputs'!$W$12="End",0,IFERROR(IF($HC33="SEGMENT",INDEX('Margin Guidence Table'!$A$1:$AG$10000,MATCH(1,('Margin Guidence Table'!$A$1:$A$10000=HA33)*('Margin Guidence Table'!$I$1:$I$10000&lt;=ROUND($GS$3,0))*('Margin Guidence Table'!$J$1:$J$10000&gt;=ROUND($GS$3,0)),0),MATCH("SALES_CASE",'Margin Guidence Table'!$A$1:$AG$1,0)),INDEX('Margin Guidence Table'!$A$1:$AG$10000,MATCH(1,('Margin Guidence Table'!$A$1:$A$10000=HA33)*('Margin Guidence Table'!$I$1:$I$10000&lt;=ROUND($GS$3,0))*('Margin Guidence Table'!$J$1:$J$10000&gt;=ROUND($GS$3,0)),0),MATCH("DEFAULT_SALES_CASE",'Margin Guidence Table'!$A$1:$AG$1,0))),0))</f>
        <v>0</v>
      </c>
      <c r="HE33" s="780">
        <f t="array" ref="HE33">IF('Customer Inputs'!$W$12="End",0,IFERROR(IF($HC33="SEGMENT",INDEX('Margin Guidence Table'!$A$1:$AG$10000,MATCH(1,('Margin Guidence Table'!$A$1:$A$10000=HA33)*('Margin Guidence Table'!$I$1:$I$10000&lt;=ROUND($GS$3,0))*('Margin Guidence Table'!$J$1:$J$10000&gt;=ROUND($GS$3,0)),0),MATCH("SALES_LBS",'Margin Guidence Table'!$A$1:$AG$1,0)),INDEX('Margin Guidence Table'!$A$1:$AG$10000,MATCH(1,('Margin Guidence Table'!$A$1:$A$10000=HA33)*('Margin Guidence Table'!$I$1:$I$10000&lt;=ROUND($GS$3,0))*('Margin Guidence Table'!$J$1:$J$10000&gt;=ROUND($GS$3,0)),0),MATCH("DEFAULT_SALES_LBS",'Margin Guidence Table'!$A$1:$AG$1,0))),0))</f>
        <v>0</v>
      </c>
      <c r="HF33" s="784">
        <f t="array" ref="HF33">IF('Customer Inputs'!$W$12="End",0,IFERROR(IF($HC33="SEGMENT",INDEX('Margin Guidence Table'!$A$1:$AG$10000,MATCH(1,('Margin Guidence Table'!$A$1:$A$10000=HA33)*('Margin Guidence Table'!$I$1:$I$10000&lt;=ROUND($GS$3,0))*('Margin Guidence Table'!$J$1:$J$10000&gt;=ROUND($GS$3,0)),0),MATCH("MDA_MIN_MARGIN_GUIDENCE",'Margin Guidence Table'!$A$1:$AG$1,0)),INDEX('Margin Guidence Table'!$A$1:$AG$10000,MATCH(1,('Margin Guidence Table'!$A$1:$A$10000=HA33)*('Margin Guidence Table'!$I$1:$I$10000&lt;=ROUND($GS$3,0))*('Margin Guidence Table'!$J$1:$J$10000&gt;=ROUND($GS$3,0)),0),MATCH("DEFAULT_MDA_MIN_MARGIN_GUIDENCE",'Margin Guidence Table'!$A$1:$AG$1,0))),0))</f>
        <v>0</v>
      </c>
      <c r="HG33" s="784">
        <f t="array" ref="HG33">IF('Customer Inputs'!$W$12="End",0,IFERROR(IF($HC33="SEGMENT",INDEX('Margin Guidence Table'!$A$1:$AG$10000,MATCH(1,('Margin Guidence Table'!$A$1:$A$10000=HA33)*('Margin Guidence Table'!$I$1:$I$10000&lt;=ROUND($GS$3,0))*('Margin Guidence Table'!$J$1:$J$10000&gt;=ROUND($GS$3,0)),0),MATCH("MDA_MEDIAN_MARGIN_GUIDENCE",'Margin Guidence Table'!$A$1:$AG$1,0)),INDEX('Margin Guidence Table'!$A$1:$AG$10000,MATCH(1,('Margin Guidence Table'!$A$1:$A$10000=HA33)*('Margin Guidence Table'!$I$1:$I$10000&lt;=ROUND($GS$3,0))*('Margin Guidence Table'!$J$1:$J$10000&gt;=ROUND($GS$3,0)),0),MATCH("DEFAULT_MDA_MEDIAN_MARGIN_GUIDENCE",'Margin Guidence Table'!$A$1:$AG$1,0))),0))</f>
        <v>0</v>
      </c>
      <c r="HH33" s="784">
        <f t="array" ref="HH33">IF('Customer Inputs'!$W$12="End",0,IFERROR(IF($HC33="SEGMENT",INDEX('Margin Guidence Table'!$A$1:$AG$10000,MATCH(1,('Margin Guidence Table'!$A$1:$A$10000=HA33)*('Margin Guidence Table'!$I$1:$I$10000&lt;=ROUND($GS$3,0))*('Margin Guidence Table'!$J$1:$J$10000&gt;=ROUND($GS$3,0)),0),MATCH("MDA_MAX_MARGIN_GUIDENCE",'Margin Guidence Table'!$A$1:$AG$1,0)),INDEX('Margin Guidence Table'!$A$1:$AG$10000,MATCH(1,('Margin Guidence Table'!$A$1:$A$10000=HA33)*('Margin Guidence Table'!$I$1:$I$10000&lt;=ROUND($GS$3,0))*('Margin Guidence Table'!$J$1:$J$10000&gt;=ROUND($GS$3,0)),0),MATCH("DEFAULT_MDA_MAX_MARGIN_GUIDENCE",'Margin Guidence Table'!$A$1:$AG$1,0))),0))</f>
        <v>0</v>
      </c>
      <c r="HI33" s="784">
        <f t="array" ref="HI33">IF('Customer Inputs'!$W$12="End",0,IFERROR(IF($HC33="SEGMENT",INDEX('Margin Guidence Table'!$A$1:$AG$10000,MATCH(1,('Margin Guidence Table'!$A$1:$A$10000=HA33)*('Margin Guidence Table'!$I$1:$I$10000&lt;=ROUND($GS$3,0))*('Margin Guidence Table'!$J$1:$J$10000&gt;=ROUND($GS$3,0)),0),MATCH("PA_PCT_SALES",'Margin Guidence Table'!$A$1:$AG$1,0)),INDEX('Margin Guidence Table'!$A$1:$AG$10000,MATCH(1,('Margin Guidence Table'!$A$1:$A$10000=HA33)*('Margin Guidence Table'!$I$1:$I$10000&lt;=ROUND($GS$3,0))*('Margin Guidence Table'!$J$1:$J$10000&gt;=ROUND($GS$3,0)),0),MATCH("DEFAULT_PA_PCT_SALES",'Margin Guidence Table'!$A$1:$AG$1,0))),0))</f>
        <v>0</v>
      </c>
      <c r="HJ33" s="784">
        <f t="array" ref="HJ33">IF('Customer Inputs'!$W$12="End",0,IFERROR(IF($HC33="SEGMENT",INDEX('Margin Guidence Table'!$A$1:$AG$10000,MATCH(1,('Margin Guidence Table'!$A$1:$A$10000=HA33)*('Margin Guidence Table'!$I$1:$I$10000&lt;=ROUND($GS$3,0))*('Margin Guidence Table'!$J$1:$J$10000&gt;=ROUND($GS$3,0)),0),MATCH("SELF_FUND_PCT_SALES",'Margin Guidence Table'!$A$1:$AG$1,0)),INDEX('Margin Guidence Table'!$A$1:$AG$10000,MATCH(1,('Margin Guidence Table'!$A$1:$A$10000=HA33)*('Margin Guidence Table'!$I$1:$I$10000&lt;=ROUND($GS$3,0))*('Margin Guidence Table'!$J$1:$J$10000&gt;=ROUND($GS$3,0)),0),MATCH("DEFAULT_SELF_FUND_PCT_SALES",'Margin Guidence Table'!$A$1:$AG$1,0))),0))</f>
        <v>0</v>
      </c>
      <c r="HK33" s="784">
        <f t="array" ref="HK33">IF('Customer Inputs'!$W$12="End",0,IF($GT$2="Existing",IFERROR(SUMIFS('Existing Customers'!$V:$V,'Existing Customers'!$H:$H,$GR33,'Existing Customers'!$A:$A,$GS$1)/SUMIFS('Existing Customers'!$Q:$Q,'Existing Customers'!$H:$H,$GR33,'Existing Customers'!$A:$A,$GS$1),0),IFERROR(IF($HC33="SEGMENT",INDEX('Margin Guidence Table'!$A$1:$AG$10000,MATCH(1,('Margin Guidence Table'!$A$1:$A$10000=HA33)*('Margin Guidence Table'!$I$1:$I$10000&lt;=ROUND($GS$3,0))*('Margin Guidence Table'!$J$1:$J$10000&gt;=ROUND($GS$3,0)),0),MATCH("CIA_MEDIAN_MARGIN_GUIDENCE",'Margin Guidence Table'!$A$1:$AG$1,0)),INDEX('Margin Guidence Table'!$A$1:$AG$10000,MATCH(1,('Margin Guidence Table'!$A$1:$A$10000=HA33)*('Margin Guidence Table'!$I$1:$I$10000&lt;=ROUND($GS$3,0))*('Margin Guidence Table'!$J$1:$J$10000&gt;=ROUND($GS$3,0)),0),MATCH("DEFAULT_CIA_MEDIAN_MARGIN_GUIDENCE",'Margin Guidence Table'!$A$1:$AG$1,0))),0)))</f>
        <v>0</v>
      </c>
      <c r="HL33" s="126"/>
      <c r="HM33" s="18">
        <f t="array" ref="HM33">IF('Customer Inputs'!$W$13="End",0,IFERROR(IF($HZ33="SEGMENT",INDEX('Margin Guidence Table'!$A$1:$AG$10000,MATCH(1,('Margin Guidence Table'!$A$1:$A$10000=$HX33)*('Margin Guidence Table'!$I$1:$I$10000&lt;=ROUND($HP$3,0))*('Margin Guidence Table'!$J$1:$J$10000&gt;=ROUND($HP$3,0)),0),MATCH("PCT_SALES",'Margin Guidence Table'!$A$1:$AG$1,0)),INDEX('Margin Guidence Table'!$A$1:$AG$10000,MATCH(1,('Margin Guidence Table'!$A$1:$A$10000=$HX33)*('Margin Guidence Table'!$I$1:$I$10000&lt;=ROUND($HP$3,0))*('Margin Guidence Table'!$J$1:$J$10000&gt;=ROUND($HP$3,0)),0),MATCH("DEFAULT_PCT_SALES",'Margin Guidence Table'!$A$1:$AG$1,0))),0))</f>
        <v>0</v>
      </c>
      <c r="HN33" s="297" t="e">
        <f t="shared" si="46"/>
        <v>#DIV/0!</v>
      </c>
      <c r="HO33" s="99" t="s">
        <v>88</v>
      </c>
      <c r="HP33" s="91">
        <f>IF('Customer Inputs'!$W$13="End",0,IFERROR(IF(AND($HP$2&lt;&gt;"Enter Spend&gt;&gt;&gt;",$HQ$2="EXISTING"),SUMIFS('Existing Customers'!$Q:$Q,'Existing Customers'!$A:$A,$HP$1,'Existing Customers'!$H:$H,$HO33)*$HP$4,$HP$3*$HN33),0))</f>
        <v>0</v>
      </c>
      <c r="HQ33" s="86">
        <f>IF('Customer Inputs'!$W$13="End",0,IFERROR(IF(AND($HP$2&lt;&gt;"Enter Spend&gt;&gt;&gt;",$HQ$2="EXISTING"),SUMIFS('Existing Customers'!$N:$N,'Existing Customers'!$A:$A,$HP$1,'Existing Customers'!$H:$H,$HO33)*$HP$4,$HP33/$IA33),0))</f>
        <v>0</v>
      </c>
      <c r="HR33" s="92">
        <f>IF('Customer Inputs'!$W$13="End",0,IFERROR(IF(AND($HP$2&lt;&gt;"Enter Spend&gt;&gt;&gt;",$HQ$2="EXISTING"),SUMIFS('Existing Customers'!$O:$O,'Existing Customers'!$H:$H,$HO33,'Existing Customers'!$A:$A,$HP$1)*$HP$4,$HQ33*$HP$8),0))</f>
        <v>0</v>
      </c>
      <c r="HS33" s="92">
        <f>IF('Customer Inputs'!$W$13="End",0,IFERROR(IF(AND($HP$2&lt;&gt;"Enter Spend&gt;&gt;&gt;",$HQ$2="EXISTING"),SUMIFS('Existing Customers'!$P:$P,'Existing Customers'!$A:$A,$HP$1,'Existing Customers'!$H:$H,$HO33)*$HP$4,$HP33/$IB33),0))</f>
        <v>0</v>
      </c>
      <c r="HT33" s="93">
        <f>IF('Customer Inputs'!$W$13="End",0,IFERROR(IF(AND($HP$2&lt;&gt;"Enter Spend&gt;&gt;&gt;",$HQ$2="EXISTING"),SUMIFS('Existing Customers'!$V:$V,'Existing Customers'!$H:$H,$HO33,'Existing Customers'!$A:$A,$HP$1)*$HP$4,0),0))</f>
        <v>0</v>
      </c>
      <c r="HU33" s="93">
        <f>IF('Customer Inputs'!$W$13="End",0,IFERROR(IF(AND($HP$2&lt;&gt;"Enter Spend&gt;&gt;&gt;",$HQ$2="EXISTING"),SUMIFS('Existing Customers'!$R:$R,'Existing Customers'!$H:$H,$HO33,'Existing Customers'!$A:$A,$HP$1)*$HP$4,0),0))</f>
        <v>0</v>
      </c>
      <c r="HV33" s="780">
        <f>IF('Customer Inputs'!$W$13="End",0,IFERROR(IF(AND($HP$2&lt;&gt;"Enter Spend&gt;&gt;&gt;",$HQ$2="EXISTING"),SUMIFS('Existing Customers'!$S:$S,'Existing Customers'!$H:$H,$HO33,'Existing Customers'!$A:$A,$HP$1)/SUMIFS('Existing Customers'!$Q:$Q,'Existing Customers'!$A:$A,$HP$1,'Existing Customers'!$H:$H,$HO33),IF33),0))</f>
        <v>0</v>
      </c>
      <c r="HW33" s="780">
        <f>IF('Customer Inputs'!$W$13="End",0,IFERROR(IF(AND($HP$2&lt;&gt;"Enter Spend&gt;&gt;&gt;",$HQ$2="EXISTING"),SUMIFS('Existing Customers'!$U:$U,'Existing Customers'!$H:$H,$HO33,'Existing Customers'!$A:$A,$HP$1)/SUMIFS('Existing Customers'!$Q:$Q,'Existing Customers'!$A:$A,$HP$1,'Existing Customers'!$H:$H,$HO33),IG33),0))</f>
        <v>0</v>
      </c>
      <c r="HX33" s="783" t="e">
        <f>_xlfn.CONCAT('Customer Inputs'!$AH$13,"_",HO33)</f>
        <v>#N/A</v>
      </c>
      <c r="HY33" s="783">
        <f t="array" ref="HY33">IF('Customer Inputs'!$W$13="End",0,IFERROR(INDEX('Margin Guidence Table'!$A$1:$AG$10000,MATCH(1,('Margin Guidence Table'!$A$1:$A$10000=HX33)*('Margin Guidence Table'!$I$1:$I$10000&lt;=ROUND($HP$3,0))*('Margin Guidence Table'!$J$1:$J$10000&gt;=ROUND($HP$3,0)),0),MATCH("DATA_POINTS",'Margin Guidence Table'!$A$1:$AG$1,0)),0))</f>
        <v>0</v>
      </c>
      <c r="HZ33" s="780" t="str">
        <f t="shared" si="47"/>
        <v>DEFAULT</v>
      </c>
      <c r="IA33" s="780">
        <f t="array" ref="IA33">IF('Customer Inputs'!$W$13="End",0,IFERROR(IF($HZ33="SEGMENT",INDEX('Margin Guidence Table'!$A$1:$AG$10000,MATCH(1,('Margin Guidence Table'!$A$1:$A$10000=HX33)*('Margin Guidence Table'!$I$1:$I$10000&lt;=ROUND($HP$3,0))*('Margin Guidence Table'!$J$1:$J$10000&gt;=ROUND($HP$3,0)),0),MATCH("SALES_CASE",'Margin Guidence Table'!$A$1:$AG$1,0)),INDEX('Margin Guidence Table'!$A$1:$AG$10000,MATCH(1,('Margin Guidence Table'!$A$1:$A$10000=HX33)*('Margin Guidence Table'!$I$1:$I$10000&lt;=ROUND($HP$3,0))*('Margin Guidence Table'!$J$1:$J$10000&gt;=ROUND($HP$3,0)),0),MATCH("DEFAULT_SALES_CASE",'Margin Guidence Table'!$A$1:$AG$1,0))),0))</f>
        <v>0</v>
      </c>
      <c r="IB33" s="780">
        <f t="array" ref="IB33">IF('Customer Inputs'!$W$13="End",0,IFERROR(IF($HZ33="SEGMENT",INDEX('Margin Guidence Table'!$A$1:$AG$10000,MATCH(1,('Margin Guidence Table'!$A$1:$A$10000=HX33)*('Margin Guidence Table'!$I$1:$I$10000&lt;=ROUND($HP$3,0))*('Margin Guidence Table'!$J$1:$J$10000&gt;=ROUND($HP$3,0)),0),MATCH("SALES_LBS",'Margin Guidence Table'!$A$1:$AG$1,0)),INDEX('Margin Guidence Table'!$A$1:$AG$10000,MATCH(1,('Margin Guidence Table'!$A$1:$A$10000=HX33)*('Margin Guidence Table'!$I$1:$I$10000&lt;=ROUND($HP$3,0))*('Margin Guidence Table'!$J$1:$J$10000&gt;=ROUND($HP$3,0)),0),MATCH("DEFAULT_SALES_LBS",'Margin Guidence Table'!$A$1:$AG$1,0))),0))</f>
        <v>0</v>
      </c>
      <c r="IC33" s="784">
        <f t="array" ref="IC33">IF('Customer Inputs'!$W$13="End",0,IFERROR(IF($HZ33="SEGMENT",INDEX('Margin Guidence Table'!$A$1:$AG$10000,MATCH(1,('Margin Guidence Table'!$A$1:$A$10000=HX33)*('Margin Guidence Table'!$I$1:$I$10000&lt;=ROUND($HP$3,0))*('Margin Guidence Table'!$J$1:$J$10000&gt;=ROUND($HP$3,0)),0),MATCH("MDA_MIN_MARGIN_GUIDENCE",'Margin Guidence Table'!$A$1:$AG$1,0)),INDEX('Margin Guidence Table'!$A$1:$AG$10000,MATCH(1,('Margin Guidence Table'!$A$1:$A$10000=HX33)*('Margin Guidence Table'!$I$1:$I$10000&lt;=ROUND($HP$3,0))*('Margin Guidence Table'!$J$1:$J$10000&gt;=ROUND($HP$3,0)),0),MATCH("DEFAULT_MDA_MIN_MARGIN_GUIDENCE",'Margin Guidence Table'!$A$1:$AG$1,0))),0))</f>
        <v>0</v>
      </c>
      <c r="ID33" s="784">
        <f t="array" ref="ID33">IF('Customer Inputs'!$W$13="End",0,IFERROR(IF($HZ33="SEGMENT",INDEX('Margin Guidence Table'!$A$1:$AG$10000,MATCH(1,('Margin Guidence Table'!$A$1:$A$10000=HX33)*('Margin Guidence Table'!$I$1:$I$10000&lt;=ROUND($HP$3,0))*('Margin Guidence Table'!$J$1:$J$10000&gt;=ROUND($HP$3,0)),0),MATCH("MDA_MEDIAN_MARGIN_GUIDENCE",'Margin Guidence Table'!$A$1:$AG$1,0)),INDEX('Margin Guidence Table'!$A$1:$AG$10000,MATCH(1,('Margin Guidence Table'!$A$1:$A$10000=HX33)*('Margin Guidence Table'!$I$1:$I$10000&lt;=ROUND($HP$3,0))*('Margin Guidence Table'!$J$1:$J$10000&gt;=ROUND($HP$3,0)),0),MATCH("DEFAULT_MDA_MEDIAN_MARGIN_GUIDENCE",'Margin Guidence Table'!$A$1:$AG$1,0))),0))</f>
        <v>0</v>
      </c>
      <c r="IE33" s="784">
        <f t="array" ref="IE33">IF('Customer Inputs'!$W$13="End",0,IFERROR(IF($HZ33="SEGMENT",INDEX('Margin Guidence Table'!$A$1:$AG$10000,MATCH(1,('Margin Guidence Table'!$A$1:$A$10000=HX33)*('Margin Guidence Table'!$I$1:$I$10000&lt;=ROUND($HP$3,0))*('Margin Guidence Table'!$J$1:$J$10000&gt;=ROUND($HP$3,0)),0),MATCH("MDA_MAX_MARGIN_GUIDENCE",'Margin Guidence Table'!$A$1:$AG$1,0)),INDEX('Margin Guidence Table'!$A$1:$AG$10000,MATCH(1,('Margin Guidence Table'!$A$1:$A$10000=HX33)*('Margin Guidence Table'!$I$1:$I$10000&lt;=ROUND($HP$3,0))*('Margin Guidence Table'!$J$1:$J$10000&gt;=ROUND($HP$3,0)),0),MATCH("DEFAULT_MDA_MAX_MARGIN_GUIDENCE",'Margin Guidence Table'!$A$1:$AG$1,0))),0))</f>
        <v>0</v>
      </c>
      <c r="IF33" s="784">
        <f t="array" ref="IF33">IF('Customer Inputs'!$W$13="End",0,IFERROR(IF($HZ33="SEGMENT",INDEX('Margin Guidence Table'!$A$1:$AG$10000,MATCH(1,('Margin Guidence Table'!$A$1:$A$10000=HX33)*('Margin Guidence Table'!$I$1:$I$10000&lt;=ROUND($HP$3,0))*('Margin Guidence Table'!$J$1:$J$10000&gt;=ROUND($HP$3,0)),0),MATCH("PA_PCT_SALES",'Margin Guidence Table'!$A$1:$AG$1,0)),INDEX('Margin Guidence Table'!$A$1:$AG$10000,MATCH(1,('Margin Guidence Table'!$A$1:$A$10000=HX33)*('Margin Guidence Table'!$I$1:$I$10000&lt;=ROUND($HP$3,0))*('Margin Guidence Table'!$J$1:$J$10000&gt;=ROUND($HP$3,0)),0),MATCH("DEFAULT_PA_PCT_SALES",'Margin Guidence Table'!$A$1:$AG$1,0))),0))</f>
        <v>0</v>
      </c>
      <c r="IG33" s="784">
        <f t="array" ref="IG33">IF('Customer Inputs'!$W$13="End",0,IFERROR(IF($HZ33="SEGMENT",INDEX('Margin Guidence Table'!$A$1:$AG$10000,MATCH(1,('Margin Guidence Table'!$A$1:$A$10000=HX33)*('Margin Guidence Table'!$I$1:$I$10000&lt;=ROUND($HP$3,0))*('Margin Guidence Table'!$J$1:$J$10000&gt;=ROUND($HP$3,0)),0),MATCH("SELF_FUND_PCT_SALES",'Margin Guidence Table'!$A$1:$AG$1,0)),INDEX('Margin Guidence Table'!$A$1:$AG$10000,MATCH(1,('Margin Guidence Table'!$A$1:$A$10000=HX33)*('Margin Guidence Table'!$I$1:$I$10000&lt;=ROUND($HP$3,0))*('Margin Guidence Table'!$J$1:$J$10000&gt;=ROUND($HP$3,0)),0),MATCH("DEFAULT_SELF_FUND_PCT_SALES",'Margin Guidence Table'!$A$1:$AG$1,0))),0))</f>
        <v>0</v>
      </c>
      <c r="IH33" s="784">
        <f t="array" ref="IH33">IF('Customer Inputs'!$W$13="End",0,IF($HQ$2="Existing",IFERROR(SUMIFS('Existing Customers'!$V:$V,'Existing Customers'!$H:$H,$HO33,'Existing Customers'!$A:$A,$HP$1)/SUMIFS('Existing Customers'!$Q:$Q,'Existing Customers'!$H:$H,$HO33,'Existing Customers'!$A:$A,$HP$1),0),IFERROR(IF($HZ33="SEGMENT",INDEX('Margin Guidence Table'!$A$1:$AG$10000,MATCH(1,('Margin Guidence Table'!$A$1:$A$10000=HX33)*('Margin Guidence Table'!$I$1:$I$10000&lt;=ROUND($HP$3,0))*('Margin Guidence Table'!$J$1:$J$10000&gt;=ROUND($HP$3,0)),0),MATCH("CIA_MEDIAN_MARGIN_GUIDENCE",'Margin Guidence Table'!$A$1:$AG$1,0)),INDEX('Margin Guidence Table'!$A$1:$AG$10000,MATCH(1,('Margin Guidence Table'!$A$1:$A$10000=HX33)*('Margin Guidence Table'!$I$1:$I$10000&lt;=ROUND($HP$3,0))*('Margin Guidence Table'!$J$1:$J$10000&gt;=ROUND($HP$3,0)),0),MATCH("DEFAULT_CIA_MEDIAN_MARGIN_GUIDENCE",'Margin Guidence Table'!$A$1:$AG$1,0))),0)))</f>
        <v>0</v>
      </c>
      <c r="II33" s="126"/>
      <c r="IJ33" s="18">
        <f t="array" ref="IJ33">IF('Customer Inputs'!$W$14="End",0,IFERROR(IF($IW33="SEGMENT",INDEX('Margin Guidence Table'!$A:$AC,MATCH(1,('Margin Guidence Table'!$A:$A=$IU33)*('Margin Guidence Table'!$H:$H&lt;=ROUND($IM$3,0))*('Margin Guidence Table'!$G:$G&gt;=ROUND($IM$3,0)),0),MATCH("PCT_SALES",'Margin Guidence Table'!$A$1:$AG$1,0)),INDEX('Margin Guidence Table'!$A:$AC,MATCH(1,('Margin Guidence Table'!$A:$A=$IU33)*('Margin Guidence Table'!$H:$H&lt;=ROUND($IM$3,0))*('Margin Guidence Table'!$G:$G&gt;=ROUND($IM$3,0)),0),MATCH("DEFAULT_PCT_SALES",'Margin Guidence Table'!$A$1:$AG$1,0))),0))</f>
        <v>0</v>
      </c>
      <c r="IK33" s="297" t="e">
        <f t="shared" si="48"/>
        <v>#DIV/0!</v>
      </c>
      <c r="IL33" s="99" t="s">
        <v>88</v>
      </c>
      <c r="IM33" s="91">
        <f>IF('Customer Inputs'!$W$14="End",0,IFERROR(IF(AND($IM$2&lt;&gt;"Enter Spend&gt;&gt;&gt;",$IN$2="EXISTING"),SUMIFS('Existing Customers'!$Q:$Q,'Existing Customers'!$A:$A,$IM$1,'Existing Customers'!$H:$H,$IL33)*$IM$4,$IM$3*$IK33),0))</f>
        <v>0</v>
      </c>
      <c r="IN33" s="86">
        <f>IF('Customer Inputs'!$W$14="End",0,IFERROR(IF(AND($IM$2&lt;&gt;"Enter Spend&gt;&gt;&gt;",$IN$2="EXISTING"),SUMIFS('Existing Customers'!$N:$N,'Existing Customers'!$A:$A,$IM$1,'Existing Customers'!$H:$H,$IL33)*$IM$4,$IM33/$IX33),0))</f>
        <v>0</v>
      </c>
      <c r="IO33" s="92">
        <f>IF('Customer Inputs'!$W$14="End",0,IFERROR(IF(AND($IM$2&lt;&gt;"Enter Spend&gt;&gt;&gt;",$IN$2="EXISTING"),SUMIFS('Existing Customers'!$O:$O,'Existing Customers'!$H:$H,$IL33,'Existing Customers'!$A:$A,$IM$1)*$IM$4,$IN33*$IM$8),0))</f>
        <v>0</v>
      </c>
      <c r="IP33" s="92">
        <f>IF('Customer Inputs'!$W$14="End",0,IFERROR(IF(AND($IM$2&lt;&gt;"Enter Spend&gt;&gt;&gt;",$IN$2="EXISTING"),SUMIFS('Existing Customers'!$P:$P,'Existing Customers'!$A:$A,$IM$1,'Existing Customers'!$H:$H,$IL33)*$IM$4,$IM33/$IY33),0))</f>
        <v>0</v>
      </c>
      <c r="IQ33" s="303">
        <f>IF('Customer Inputs'!$W$14="End",0,IFERROR(IF(AND($IM$2&lt;&gt;"Enter Spend&gt;&gt;&gt;",$IN$2="EXISTING"),SUMIFS('Existing Customers'!$V:$V,'Existing Customers'!$H:$H,$IL33,'Existing Customers'!$A:$A,$IM$1)*$IM$4,0),0))</f>
        <v>0</v>
      </c>
      <c r="IR33" s="93">
        <f>IF('Customer Inputs'!$W$14="End",0,IFERROR(IF(AND($IM$2&lt;&gt;"Enter Spend&gt;&gt;&gt;",$IN$2="EXISTING"),SUMIFS('Existing Customers'!$R:$R,'Existing Customers'!$H:$H,$IL33,'Existing Customers'!$A:$A,$IM$1)*$IM$4,0),0))</f>
        <v>0</v>
      </c>
      <c r="IS33" s="780">
        <f>IF('Customer Inputs'!$W$14="End",0,IFERROR(IF(AND($IM$2&lt;&gt;"Enter Spend&gt;&gt;&gt;",$IN$2="EXISTING"),SUMIFS('Existing Customers'!$S:$S,'Existing Customers'!$H:$H,$IL33,'Existing Customers'!$A:$A,$IM$1)/SUMIFS('Existing Customers'!$Q:$Q,'Existing Customers'!$A:$A,$IM$1,'Existing Customers'!$H:$H,$IL33),JC33),0))</f>
        <v>0</v>
      </c>
      <c r="IT33" s="780">
        <f>IF('Customer Inputs'!$W$14="End",0,IFERROR(IF(AND($IM$2&lt;&gt;"Enter Spend&gt;&gt;&gt;",$IN$2="EXISTING"),SUMIFS('Existing Customers'!$U:$U,'Existing Customers'!$H:$H,$IL33,'Existing Customers'!$A:$A,$IM$1)/SUMIFS('Existing Customers'!$Q:$Q,'Existing Customers'!$A:$A,$IM$1,'Existing Customers'!$H:$H,$IL33),JD33),0))</f>
        <v>0</v>
      </c>
      <c r="IU33" s="783" t="e">
        <f>_xlfn.CONCAT('Customer Inputs'!$AH$14,"_",IL33)</f>
        <v>#N/A</v>
      </c>
      <c r="IV33" s="783">
        <f t="array" ref="IV33">IF('Customer Inputs'!$W$14="End",0,IFERROR(INDEX('Margin Guidence Table'!$A$1:$AG$10000,MATCH(1,('Margin Guidence Table'!$A$1:$A$10000=IU33)*('Margin Guidence Table'!$I$1:$I$10000&lt;=ROUND($IM$3,0))*('Margin Guidence Table'!$J$1:$J$10000&gt;=ROUND($IM$3,0)),0),MATCH("DATA_POINTS",'Margin Guidence Table'!$A$1:$AG$1,0)),0))</f>
        <v>0</v>
      </c>
      <c r="IW33" s="780" t="str">
        <f t="shared" si="49"/>
        <v>DEFAULT</v>
      </c>
      <c r="IX33" s="780">
        <f t="array" ref="IX33">IF('Customer Inputs'!$W$14="End",0,IFERROR(IF($IW33="SEGMENT",INDEX('Margin Guidence Table'!$A$1:$AG$10000,MATCH(1,('Margin Guidence Table'!$A$1:$A$10000=IU33)*('Margin Guidence Table'!$I$1:$I$10000&lt;=ROUND($IM$3,0))*('Margin Guidence Table'!$J$1:$J$10000&gt;=ROUND($IM$3,0)),0),MATCH("SALES_CASE",'Margin Guidence Table'!$A$1:$AG$1,0)),INDEX('Margin Guidence Table'!$A$1:$AG$10000,MATCH(1,('Margin Guidence Table'!$A$1:$A$10000=IU33)*('Margin Guidence Table'!$I$1:$I$10000&lt;=ROUND($IM$3,0))*('Margin Guidence Table'!$J$1:$J$10000&gt;=ROUND($IM$3,0)),0),MATCH("DEFAULT_SALES_CASE",'Margin Guidence Table'!$A$1:$AG$1,0))),0))</f>
        <v>0</v>
      </c>
      <c r="IY33" s="780">
        <f t="array" ref="IY33">IF('Customer Inputs'!$W$14="End",0,IFERROR(IF($IW33="SEGMENT",INDEX('Margin Guidence Table'!$A$1:$AG$10000,MATCH(1,('Margin Guidence Table'!$A$1:$A$10000=IU33)*('Margin Guidence Table'!$I$1:$I$10000&lt;=ROUND($IM$3,0))*('Margin Guidence Table'!$J$1:$J$10000&gt;=ROUND($IM$3,0)),0),MATCH("SALES_LBS",'Margin Guidence Table'!$A$1:$AG$1,0)),INDEX('Margin Guidence Table'!$A$1:$AG$10000,MATCH(1,('Margin Guidence Table'!$A$1:$A$10000=IU33)*('Margin Guidence Table'!$I$1:$I$10000&lt;=ROUND($IM$3,0))*('Margin Guidence Table'!$J$1:$J$10000&gt;=ROUND($IM$3,0)),0),MATCH("DEFAULT_SALES_LBS",'Margin Guidence Table'!$A$1:$AG$1,0))),0))</f>
        <v>0</v>
      </c>
      <c r="IZ33" s="784">
        <f t="array" ref="IZ33">IF('Customer Inputs'!$W$14="End",0,IFERROR(IF($IW33="SEGMENT",INDEX('Margin Guidence Table'!$A$1:$AG$10000,MATCH(1,('Margin Guidence Table'!$A$1:$A$10000=IU33)*('Margin Guidence Table'!$I$1:$I$10000&lt;=ROUND($IM$3,0))*('Margin Guidence Table'!$J$1:$J$10000&gt;=ROUND($IM$3,0)),0),MATCH("MDA_MIN_MARGIN_GUIDENCE",'Margin Guidence Table'!$A$1:$AG$1,0)),INDEX('Margin Guidence Table'!$A$1:$AG$10000,MATCH(1,('Margin Guidence Table'!$A$1:$A$10000=IU33)*('Margin Guidence Table'!$I$1:$I$10000&lt;=ROUND($IM$3,0))*('Margin Guidence Table'!$J$1:$J$10000&gt;=ROUND($IM$3,0)),0),MATCH("DEFAULT_MDA_MIN_MARGIN_GUIDENCE",'Margin Guidence Table'!$A$1:$AG$1,0))),0))</f>
        <v>0</v>
      </c>
      <c r="JA33" s="784">
        <f t="array" ref="JA33">IF('Customer Inputs'!$W$14="End",0,IFERROR(IF($IW33="SEGMENT",INDEX('Margin Guidence Table'!$A$1:$AG$10000,MATCH(1,('Margin Guidence Table'!$A$1:$A$10000=IU33)*('Margin Guidence Table'!$I$1:$I$10000&lt;=ROUND($IM$3,0))*('Margin Guidence Table'!$J$1:$J$10000&gt;=ROUND($IM$3,0)),0),MATCH("MDA_MEDIAN_MARGIN_GUIDENCE",'Margin Guidence Table'!$A$1:$AG$1,0)),INDEX('Margin Guidence Table'!$A$1:$AG$10000,MATCH(1,('Margin Guidence Table'!$A$1:$A$10000=IU33)*('Margin Guidence Table'!$I$1:$I$10000&lt;=ROUND($IM$3,0))*('Margin Guidence Table'!$J$1:$J$10000&gt;=ROUND($IM$3,0)),0),MATCH("DEFAULT_MDA_MEDIAN_MARGIN_GUIDENCE",'Margin Guidence Table'!$A$1:$AG$1,0))),0))</f>
        <v>0</v>
      </c>
      <c r="JB33" s="784">
        <f t="array" ref="JB33">IF('Customer Inputs'!$W$14="End",0,IFERROR(IF($IW33="SEGMENT",INDEX('Margin Guidence Table'!$A$1:$AG$10000,MATCH(1,('Margin Guidence Table'!$A$1:$A$10000=IU33)*('Margin Guidence Table'!$I$1:$I$10000&lt;=ROUND($IM$3,0))*('Margin Guidence Table'!$J$1:$J$10000&gt;=ROUND($IM$3,0)),0),MATCH("MDA_MAX_MARGIN_GUIDENCE",'Margin Guidence Table'!$A$1:$AG$1,0)),INDEX('Margin Guidence Table'!$A$1:$AG$10000,MATCH(1,('Margin Guidence Table'!$A$1:$A$10000=IU33)*('Margin Guidence Table'!$I$1:$I$10000&lt;=ROUND($IM$3,0))*('Margin Guidence Table'!$J$1:$J$10000&gt;=ROUND($IM$3,0)),0),MATCH("DEFAULT_MDA_MAX_MARGIN_GUIDENCE",'Margin Guidence Table'!$A$1:$AG$1,0))),0))</f>
        <v>0</v>
      </c>
      <c r="JC33" s="784">
        <f t="array" ref="JC33">IF('Customer Inputs'!$W$14="End",0,IFERROR(IF($IW33="SEGMENT",INDEX('Margin Guidence Table'!$A$1:$AG$10000,MATCH(1,('Margin Guidence Table'!$A$1:$A$10000=IU33)*('Margin Guidence Table'!$I$1:$I$10000&lt;=ROUND($IM$3,0))*('Margin Guidence Table'!$J$1:$J$10000&gt;=ROUND($IM$3,0)),0),MATCH("PA_PCT_SALES",'Margin Guidence Table'!$A$1:$AG$1,0)),INDEX('Margin Guidence Table'!$A$1:$AG$10000,MATCH(1,('Margin Guidence Table'!$A$1:$A$10000=IU33)*('Margin Guidence Table'!$I$1:$I$10000&lt;=ROUND($IM$3,0))*('Margin Guidence Table'!$J$1:$J$10000&gt;=ROUND($IM$3,0)),0),MATCH("DEFAULT_PA_PCT_SALES",'Margin Guidence Table'!$A$1:$AG$1,0))),0))</f>
        <v>0</v>
      </c>
      <c r="JD33" s="784">
        <f t="array" ref="JD33">IF('Customer Inputs'!$W$14="End",0,IFERROR(IF($IW33="SEGMENT",INDEX('Margin Guidence Table'!$A$1:$AG$10000,MATCH(1,('Margin Guidence Table'!$A$1:$A$10000=IU33)*('Margin Guidence Table'!$I$1:$I$10000&lt;=ROUND($IM$3,0))*('Margin Guidence Table'!$J$1:$J$10000&gt;=ROUND($IM$3,0)),0),MATCH("SELF_FUND_PCT_SALES",'Margin Guidence Table'!$A$1:$AG$1,0)),INDEX('Margin Guidence Table'!$A$1:$AG$10000,MATCH(1,('Margin Guidence Table'!$A$1:$A$10000=IU33)*('Margin Guidence Table'!$I$1:$I$10000&lt;=ROUND($IM$3,0))*('Margin Guidence Table'!$J$1:$J$10000&gt;=ROUND($IM$3,0)),0),MATCH("DEFAULT_SELF_FUND_PCT_SALES",'Margin Guidence Table'!$A$1:$AG$1,0))),0))</f>
        <v>0</v>
      </c>
      <c r="JE33" s="784">
        <f t="array" ref="JE33">IF('Customer Inputs'!$W$14="End",0,IF($IN$2="Existing",IFERROR(SUMIFS('Existing Customers'!$V:$V,'Existing Customers'!$H:$H,$IL33,'Existing Customers'!$A:$A,$IM$1)/SUMIFS('Existing Customers'!$Q:$Q,'Existing Customers'!$H:$H,$IL33,'Existing Customers'!$A:$A,$IM$1),0),IFERROR(IF($IW33="SEGMENT",INDEX('Margin Guidence Table'!$A$1:$AG$10000,MATCH(1,('Margin Guidence Table'!$A$1:$A$10000=IU33)*('Margin Guidence Table'!$I$1:$I$10000&lt;=ROUND($IM$3,0))*('Margin Guidence Table'!$J$1:$J$10000&gt;=ROUND($IM$3,0)),0),MATCH("CIA_MEDIAN_MARGIN_GUIDENCE",'Margin Guidence Table'!$A$1:$AG$1,0)),INDEX('Margin Guidence Table'!$A$1:$AG$10000,MATCH(1,('Margin Guidence Table'!$A$1:$A$10000=IU33)*('Margin Guidence Table'!$I$1:$I$10000&lt;=ROUND($IM$3,0))*('Margin Guidence Table'!$J$1:$J$10000&gt;=ROUND($IM$3,0)),0),MATCH("DEFAULT_CIA_MEDIAN_MARGIN_GUIDENCE",'Margin Guidence Table'!$A$1:$AG$1,0))),0)))</f>
        <v>0</v>
      </c>
      <c r="JF33" s="126"/>
      <c r="JG33" s="18">
        <f t="array" ref="JG33">IF('Customer Inputs'!$W$15="End",0,IFERROR(IF($JT33="SEGMENT",INDEX('Margin Guidence Table'!$A$1:$AG$10000,MATCH(1,('Margin Guidence Table'!$A$1:$A$10000=$JR33)*('Margin Guidence Table'!$I$1:$I$10000&lt;=ROUND($JJ$3,0))*('Margin Guidence Table'!$J$1:$J$10000&gt;=ROUND($JJ$3,0)),0),MATCH("PCT_SALES",'Margin Guidence Table'!$A$1:$AG$1,0)),INDEX('Margin Guidence Table'!$A$1:$AG$10000,MATCH(1,('Margin Guidence Table'!$A$1:$A$10000=$JR33)*('Margin Guidence Table'!$I$1:$I$10000&lt;=ROUND($JJ$3,0))*('Margin Guidence Table'!$J$1:$J$10000&gt;=ROUND($JJ$3,0)),0),MATCH("DEFAULT_PCT_SALES",'Margin Guidence Table'!$A$1:$AG$1,0))),0))</f>
        <v>0</v>
      </c>
      <c r="JH33" s="297" t="e">
        <f t="shared" si="50"/>
        <v>#DIV/0!</v>
      </c>
      <c r="JI33" s="99" t="s">
        <v>88</v>
      </c>
      <c r="JJ33" s="91">
        <f>IF('Customer Inputs'!$W$15="End",0,IFERROR(IF(AND($JJ$2&lt;&gt;"Enter Spend&gt;&gt;&gt;",$JK$2="EXISTING"),SUMIFS('Existing Customers'!$Q:$Q,'Existing Customers'!$A:$A,$JJ$1,'Existing Customers'!$H:$H,$JI33)*$JJ$4,$JJ$3*$JH33),0))</f>
        <v>0</v>
      </c>
      <c r="JK33" s="86">
        <f>IF('Customer Inputs'!$W$15="End",0,IFERROR(IF(AND($JJ$2&lt;&gt;"Enter Spend&gt;&gt;&gt;",$JK$2="EXISTING"),SUMIFS('Existing Customers'!$N:$N,'Existing Customers'!$A:$A,$JJ$1,'Existing Customers'!$H:$H,$JI33)*$JJ$4,$JJ33/$JU33),0))</f>
        <v>0</v>
      </c>
      <c r="JL33" s="92">
        <f>IF('Customer Inputs'!$W$15="End",0,IFERROR(IF(AND($JJ$2&lt;&gt;"Enter Spend&gt;&gt;&gt;",$JK$2="EXISTING"),SUMIFS('Existing Customers'!$O:$O,'Existing Customers'!$H:$H,$JI33,'Existing Customers'!$A:$A,$JJ$1)*$JJ$4,$JK33*$JJ$8),0))</f>
        <v>0</v>
      </c>
      <c r="JM33" s="92">
        <f>IF('Customer Inputs'!$W$15="End",0,IFERROR(IF(AND($JJ$2&lt;&gt;"Enter Spend&gt;&gt;&gt;",$JK$2="EXISTING"),SUMIFS('Existing Customers'!$P:$P,'Existing Customers'!$A:$A,$JJ$1,'Existing Customers'!$H:$H,$JI33)*$JJ$4,$JJ33/$JV33),0))</f>
        <v>0</v>
      </c>
      <c r="JN33" s="303">
        <f>IF('Customer Inputs'!$W$15="End",0,IFERROR(IF(AND($JJ$2&lt;&gt;"Enter Spend&gt;&gt;&gt;",$JK$2="EXISTING"),SUMIFS('Existing Customers'!$V:$V,'Existing Customers'!$H:$H,$JI33,'Existing Customers'!$A:$A,$JJ$1)*$JJ$4,0),0))</f>
        <v>0</v>
      </c>
      <c r="JO33" s="93">
        <f>IF('Customer Inputs'!$W$15="End",0,IFERROR(IF(AND($JJ$2&lt;&gt;"Enter Spend&gt;&gt;&gt;",$JK$2="EXISTING"),SUMIFS('Existing Customers'!$R:$R,'Existing Customers'!$H:$H,$JI33,'Existing Customers'!$A:$A,$JJ$1)*$JJ$4,0),0))</f>
        <v>0</v>
      </c>
      <c r="JP33" s="780">
        <f>IF('Customer Inputs'!$W$15="End",0,IFERROR(IF(AND($JJ$2&lt;&gt;"Enter Spend&gt;&gt;&gt;",$JK$2="EXISTING"),SUMIFS('Existing Customers'!$S:$S,'Existing Customers'!$H:$H,$JI33,'Existing Customers'!$A:$A,$JJ$1)/SUMIFS('Existing Customers'!$Q:$Q,'Existing Customers'!$A:$A,$JJ$1,'Existing Customers'!$H:$H,$JI33),JZ33),0))</f>
        <v>0</v>
      </c>
      <c r="JQ33" s="780">
        <f>IF('Customer Inputs'!$W$15="End",0,IFERROR(IF(AND($JJ$2&lt;&gt;"Enter Spend&gt;&gt;&gt;",$JK$2="EXISTING"),SUMIFS('Existing Customers'!$U:$U,'Existing Customers'!$H:$H,$JI33,'Existing Customers'!$A:$A,$JJ$1)/SUMIFS('Existing Customers'!$Q:$Q,'Existing Customers'!$A:$A,$JJ$1,'Existing Customers'!$H:$H,$JI33),KA33),0))</f>
        <v>0</v>
      </c>
      <c r="JR33" s="783" t="e">
        <f>_xlfn.CONCAT('Customer Inputs'!$AH$15,"_",JI33)</f>
        <v>#N/A</v>
      </c>
      <c r="JS33" s="783">
        <f t="array" ref="JS33">IF('Customer Inputs'!$W$15="End",0,IFERROR(INDEX('Margin Guidence Table'!$A$1:$AG$10000,MATCH(1,('Margin Guidence Table'!$A$1:$A$10000=JR33)*('Margin Guidence Table'!$I$1:$I$10000&lt;=ROUND($JJ$3,0))*('Margin Guidence Table'!$J$1:$J$10000&gt;=ROUND($JJ$3,0)),0),MATCH("DATA_POINTS",'Margin Guidence Table'!$A$1:$AG$1,0)),0))</f>
        <v>0</v>
      </c>
      <c r="JT33" s="780" t="str">
        <f t="shared" si="51"/>
        <v>DEFAULT</v>
      </c>
      <c r="JU33" s="780">
        <f t="array" ref="JU33">IF('Customer Inputs'!$W$15="End",0,IFERROR(IF($JT33="SEGMENT",INDEX('Margin Guidence Table'!$A$1:$AG$10000,MATCH(1,('Margin Guidence Table'!$A$1:$A$10000=JR33)*('Margin Guidence Table'!$I$1:$I$10000&lt;=ROUND($JJ$3,0))*('Margin Guidence Table'!$J$1:$J$10000&gt;=ROUND($JJ$3,0)),0),MATCH("SALES_CASE",'Margin Guidence Table'!$A$1:$AG$1,0)),INDEX('Margin Guidence Table'!$A$1:$AG$10000,MATCH(1,('Margin Guidence Table'!$A$1:$A$10000=JR33)*('Margin Guidence Table'!$I$1:$I$10000&lt;=ROUND($JJ$3,0))*('Margin Guidence Table'!$J$1:$J$10000&gt;=ROUND($JJ$3,0)),0),MATCH("DEFAULT_SALES_CASE",'Margin Guidence Table'!$A$1:$AG$1,0))),0))</f>
        <v>0</v>
      </c>
      <c r="JV33" s="780">
        <f t="array" ref="JV33">IF('Customer Inputs'!$W$15="End",0,IFERROR(IF($JT33="SEGMENT",INDEX('Margin Guidence Table'!$A$1:$AG$10000,MATCH(1,('Margin Guidence Table'!$A$1:$A$10000=JR33)*('Margin Guidence Table'!$I$1:$I$10000&lt;=ROUND($JJ$3,0))*('Margin Guidence Table'!$J$1:$J$10000&gt;=ROUND($JJ$3,0)),0),MATCH("SALES_LBS",'Margin Guidence Table'!$A$1:$AG$1,0)),INDEX('Margin Guidence Table'!$A$1:$AG$10000,MATCH(1,('Margin Guidence Table'!$A$1:$A$10000=JR33)*('Margin Guidence Table'!$I$1:$I$10000&lt;=ROUND($JJ$3,0))*('Margin Guidence Table'!$J$1:$J$10000&gt;=ROUND($JJ$3,0)),0),MATCH("DEFAULT_SALES_LBS",'Margin Guidence Table'!$A$1:$AG$1,0))),0))</f>
        <v>0</v>
      </c>
      <c r="JW33" s="784">
        <f t="array" ref="JW33">IF('Customer Inputs'!$W$15="End",0,IFERROR(IF($JT33="SEGMENT",INDEX('Margin Guidence Table'!$A$1:$AG$10000,MATCH(1,('Margin Guidence Table'!$A$1:$A$10000=JR33)*('Margin Guidence Table'!$I$1:$I$10000&lt;=ROUND($JJ$3,0))*('Margin Guidence Table'!$J$1:$J$10000&gt;=ROUND($JJ$3,0)),0),MATCH("MDA_MIN_MARGIN_GUIDENCE",'Margin Guidence Table'!$A$1:$AG$1,0)),INDEX('Margin Guidence Table'!$A$1:$AG$10000,MATCH(1,('Margin Guidence Table'!$A$1:$A$10000=JR33)*('Margin Guidence Table'!$I$1:$I$10000&lt;=ROUND($JJ$3,0))*('Margin Guidence Table'!$J$1:$J$10000&gt;=ROUND($JJ$3,0)),0),MATCH("DEFAULT_MDA_MIN_MARGIN_GUIDENCE",'Margin Guidence Table'!$A$1:$AG$1,0))),0))</f>
        <v>0</v>
      </c>
      <c r="JX33" s="784">
        <f t="array" ref="JX33">IF('Customer Inputs'!$W$15="End",0,IFERROR(IF($JT33="SEGMENT",INDEX('Margin Guidence Table'!$A$1:$AG$10000,MATCH(1,('Margin Guidence Table'!$A$1:$A$10000=JR33)*('Margin Guidence Table'!$I$1:$I$10000&lt;=ROUND($JJ$3,0))*('Margin Guidence Table'!$J$1:$J$10000&gt;=ROUND($JJ$3,0)),0),MATCH("MDA_MEDIAN_MARGIN_GUIDENCE",'Margin Guidence Table'!$A$1:$AG$1,0)),INDEX('Margin Guidence Table'!$A$1:$AG$10000,MATCH(1,('Margin Guidence Table'!$A$1:$A$10000=JR33)*('Margin Guidence Table'!$I$1:$I$10000&lt;=ROUND($JJ$3,0))*('Margin Guidence Table'!$J$1:$J$10000&gt;=ROUND($JJ$3,0)),0),MATCH("DEFAULT_MDA_MEDIAN_MARGIN_GUIDENCE",'Margin Guidence Table'!$A$1:$AG$1,0))),0))</f>
        <v>0</v>
      </c>
      <c r="JY33" s="784">
        <f t="array" ref="JY33">IF('Customer Inputs'!$W$15="End",0,IFERROR(IF($JT33="SEGMENT",INDEX('Margin Guidence Table'!$A$1:$AG$10000,MATCH(1,('Margin Guidence Table'!$A$1:$A$10000=JR33)*('Margin Guidence Table'!$I$1:$I$10000&lt;=ROUND($JJ$3,0))*('Margin Guidence Table'!$J$1:$J$10000&gt;=ROUND($JJ$3,0)),0),MATCH("MDA_MAX_MARGIN_GUIDENCE",'Margin Guidence Table'!$A$1:$AG$1,0)),INDEX('Margin Guidence Table'!$A$1:$AG$10000,MATCH(1,('Margin Guidence Table'!$A$1:$A$10000=JR33)*('Margin Guidence Table'!$I$1:$I$10000&lt;=ROUND($JJ$3,0))*('Margin Guidence Table'!$J$1:$J$10000&gt;=ROUND($JJ$3,0)),0),MATCH("DEFAULT_MDA_MAX_MARGIN_GUIDENCE",'Margin Guidence Table'!$A$1:$AG$1,0))),0))</f>
        <v>0</v>
      </c>
      <c r="JZ33" s="784">
        <f t="array" ref="JZ33">IF('Customer Inputs'!$W$15="End",0,IFERROR(IF($JT33="SEGMENT",INDEX('Margin Guidence Table'!$A$1:$AG$10000,MATCH(1,('Margin Guidence Table'!$A$1:$A$10000=JR33)*('Margin Guidence Table'!$I$1:$I$10000&lt;=ROUND($JJ$3,0))*('Margin Guidence Table'!$J$1:$J$10000&gt;=ROUND($JJ$3,0)),0),MATCH("PA_PCT_SALES",'Margin Guidence Table'!$A$1:$AG$1,0)),INDEX('Margin Guidence Table'!$A$1:$AG$10000,MATCH(1,('Margin Guidence Table'!$A$1:$A$10000=JR33)*('Margin Guidence Table'!$I$1:$I$10000&lt;=ROUND($JJ$3,0))*('Margin Guidence Table'!$J$1:$J$10000&gt;=ROUND($JJ$3,0)),0),MATCH("DEFAULT_PA_PCT_SALES",'Margin Guidence Table'!$A$1:$AG$1,0))),0))</f>
        <v>0</v>
      </c>
      <c r="KA33" s="784" cm="1">
        <f t="array" ref="KA33">IF('Customer Inputs'!$W$15="End",0,IFERROR(IF($JT33="SEGMENT",INDEX('Margin Guidence Table'!$A$1:$AG$10000,MATCH(1,('Margin Guidence Table'!$A$1:$A$10000=JR33)*('Margin Guidence Table'!$I$1:$I$10000&lt;=ROUND($JJ$3,0))*('Margin Guidence Table'!$J$1:$J$10000&gt;=ROUND($JJ$3,0)),0),MATCH("SELF_FUND_PCT_SALES",'Margin Guidence Table'!$A$1:$AG$1,0)),INDEX('Margin Guidence Table'!$A$1:$AG$10000,MATCH(1,('Margin Guidence Table'!$A$1:$A$10000=JR33)*('Margin Guidence Table'!$I$1:$I$10000&lt;=ROUND($JJ$3,0))*('Margin Guidence Table'!$J$1:$J$10000&gt;=ROUND($JJ$3,0)),0),MATCH("DEFAULT_SELF_FUND_PCT_SALES",'Margin Guidence Table'!$A$1:$AG$1,0))),0))</f>
        <v>0</v>
      </c>
      <c r="KB33" s="784">
        <f t="array" ref="KB33">IF('Customer Inputs'!$W$15="End",0,IF($JK$2="Existing",IFERROR(SUMIFS('Existing Customers'!$V:$V,'Existing Customers'!$H:$H,$JI33,'Existing Customers'!$A:$A,$JJ$1)/SUMIFS('Existing Customers'!$Q:$Q,'Existing Customers'!$H:$H,$JI33,'Existing Customers'!$A:$A,$JJ$1),0),IFERROR(IF($JT33="SEGMENT",INDEX('Margin Guidence Table'!$A$1:$AG$10000,MATCH(1,('Margin Guidence Table'!$A$1:$A$10000=JR33)*('Margin Guidence Table'!$I$1:$I$10000&lt;=ROUND($JJ$3,0))*('Margin Guidence Table'!$J$1:$J$10000&gt;=ROUND($JJ$3,0)),0),MATCH("CIA_MEDIAN_MARGIN_GUIDENCE",'Margin Guidence Table'!$A$1:$AG$1,0)),INDEX('Margin Guidence Table'!$A$1:$AG$10000,MATCH(1,('Margin Guidence Table'!$A$1:$A$10000=JR33)*('Margin Guidence Table'!$I$1:$I$10000&lt;=ROUND($JJ$3,0))*('Margin Guidence Table'!$J$1:$J$10000&gt;=ROUND($JJ$3,0)),0),MATCH("DEFAULT_CIA_MEDIAN_MARGIN_GUIDENCE",'Margin Guidence Table'!$A$1:$AG$1,0))),0)))</f>
        <v>0</v>
      </c>
      <c r="KC33" s="784"/>
      <c r="KD33" s="18">
        <f t="array" ref="KD33">IF('Customer Inputs'!$W$16="End",0,IFERROR(IF($KQ33="SEGMENT",INDEX('Margin Guidence Table'!$A$1:$AG$10000,MATCH(1,('Margin Guidence Table'!$A$1:$A$10000=$KO33)*('Margin Guidence Table'!$I$1:$I$10000&lt;=ROUND($KG$3,0))*('Margin Guidence Table'!$J$1:$J$10000&gt;=ROUND($KG$3,0)),0),MATCH("PCT_SALES",'Margin Guidence Table'!$A$1:$AG$1,0)),INDEX('Margin Guidence Table'!$A$1:$AG$10000,MATCH(1,('Margin Guidence Table'!$A$1:$A$10000=$KO33)*('Margin Guidence Table'!$I$1:$I$10000&lt;=ROUND($KG$3,0))*('Margin Guidence Table'!$J$1:$J$10000&gt;=ROUND($KG$3,0)),0),MATCH("DEFAULT_PCT_SALES",'Margin Guidence Table'!$A$1:$AG$1,0))),0))</f>
        <v>0</v>
      </c>
      <c r="KE33" s="1713" t="e">
        <f t="shared" si="52"/>
        <v>#DIV/0!</v>
      </c>
      <c r="KF33" s="99" t="s">
        <v>88</v>
      </c>
      <c r="KG33" s="91">
        <f>IF('Customer Inputs'!$W$16="End",0,IFERROR(IF(AND($KG$2&lt;&gt;"Enter Spend&gt;&gt;&gt;",$KH$2="EXISTING"),SUMIFS('Existing Customers'!$Q:$Q,'Existing Customers'!$A:$A,$KG$1,'Existing Customers'!$H:$H,$KF33)*$KG$4,$KG$3*$KE33),0))</f>
        <v>0</v>
      </c>
      <c r="KH33" s="86">
        <f>IF('Customer Inputs'!$W$16="End",0,IFERROR(IF(AND($KG$2&lt;&gt;"Enter Spend&gt;&gt;&gt;",$KH$2="EXISTING"),SUMIFS('Existing Customers'!$N:$N,'Existing Customers'!$A:$A,$KG$1,'Existing Customers'!$H:$H,$KF33)*$KG$4,$KG33/$KR33),0))</f>
        <v>0</v>
      </c>
      <c r="KI33" s="92">
        <f>IF('Customer Inputs'!$W$16="End",0,IFERROR(IF(AND($KG$2&lt;&gt;"Enter Spend&gt;&gt;&gt;",$KH$2="EXISTING"),SUMIFS('Existing Customers'!$O:$O,'Existing Customers'!$H:$H,$KF33,'Existing Customers'!$A:$A,$KG$1)*$KG$4,$KH33*$KG$8),0))</f>
        <v>0</v>
      </c>
      <c r="KJ33" s="92">
        <f>IF('Customer Inputs'!$W$16="End",0,IFERROR(IF(AND($KG$2&lt;&gt;"Enter Spend&gt;&gt;&gt;",$KH$2="EXISTING"),SUMIFS('Existing Customers'!$P:$P,'Existing Customers'!$A:$A,$KG$1,'Existing Customers'!$H:$H,$KF33)*$KG$4,$KG33/$KS33),0))</f>
        <v>0</v>
      </c>
      <c r="KK33" s="303">
        <f>IF('Customer Inputs'!$W$16="End",0,IFERROR(IF(AND($KG$2&lt;&gt;"Enter Spend&gt;&gt;&gt;",$KH$2="EXISTING"),SUMIFS('Existing Customers'!$V:$V,'Existing Customers'!$H:$H,$KF33,'Existing Customers'!$A:$A,$KG$1)*$KG$4,0),0))</f>
        <v>0</v>
      </c>
      <c r="KL33" s="93">
        <f>IF('Customer Inputs'!$W$16="End",0,IFERROR(IF(AND($KG$2&lt;&gt;"Enter Spend&gt;&gt;&gt;",$KH$2="EXISTING"),SUMIFS('Existing Customers'!$R:$R,'Existing Customers'!$H:$H,$KF33,'Existing Customers'!$A:$A,$KG$1)*$KG$4,0),0))</f>
        <v>0</v>
      </c>
      <c r="KM33" s="780">
        <f>IF('Customer Inputs'!$W$16="End",0,IFERROR(IF(AND($KG$2&lt;&gt;"Enter Spend&gt;&gt;&gt;",$KH$2="EXISTING"),SUMIFS('Existing Customers'!$S:$S,'Existing Customers'!$H:$H,$KF33,'Existing Customers'!$A:$A,$KG$1)/SUMIFS('Existing Customers'!$Q:$Q,'Existing Customers'!$A:$A,$KG$1,'Existing Customers'!$H:$H,$KF33),KW33),0))</f>
        <v>0</v>
      </c>
      <c r="KN33" s="780">
        <f>IF('Customer Inputs'!$W$16="End",0,IFERROR(IF(AND($KG$2&lt;&gt;"Enter Spend&gt;&gt;&gt;",$KH$2="EXISTING"),SUMIFS('Existing Customers'!$U:$U,'Existing Customers'!$H:$H,$KF33,'Existing Customers'!$A:$A,$KG$1)/SUMIFS('Existing Customers'!$Q:$Q,'Existing Customers'!$A:$A,$KG$1,'Existing Customers'!$H:$H,$KF33),KX33),0))</f>
        <v>0</v>
      </c>
      <c r="KO33" s="783" t="e">
        <f>_xlfn.CONCAT('Customer Inputs'!$AH$16,"_",KF33)</f>
        <v>#N/A</v>
      </c>
      <c r="KP33" s="783">
        <f t="array" ref="KP33">IF('Customer Inputs'!$W$16="End",0,IFERROR(INDEX('Margin Guidence Table'!$A$1:$AG$10000,MATCH(1,('Margin Guidence Table'!$A$1:$A$10000=KO33)*('Margin Guidence Table'!$I$1:$I$10000&lt;=ROUND($KG$3,0))*('Margin Guidence Table'!$J$1:$J$10000&gt;=ROUND($KG$3,0)),0),MATCH("DATA_POINTS",'Margin Guidence Table'!$A$1:$AG$1,0)),0))</f>
        <v>0</v>
      </c>
      <c r="KQ33" s="780" t="str">
        <f t="shared" si="53"/>
        <v>DEFAULT</v>
      </c>
      <c r="KR33" s="780">
        <f t="array" ref="KR33">IF('Customer Inputs'!$W$16="End",0,IFERROR(IF($KQ33="SEGMENT",INDEX('Margin Guidence Table'!$A$1:$AG$10000,MATCH(1,('Margin Guidence Table'!$A$1:$A$10000=KO33)*('Margin Guidence Table'!$I$1:$I$10000&lt;=ROUND($KG$3,0))*('Margin Guidence Table'!$J$1:$J$10000&gt;=ROUND($KG$3,0)),0),MATCH("SALES_CASE",'Margin Guidence Table'!$A$1:$AG$1,0)),INDEX('Margin Guidence Table'!$A$1:$AG$10000,MATCH(1,('Margin Guidence Table'!$A$1:$A$10000=KO33)*('Margin Guidence Table'!$I$1:$I$10000&lt;=ROUND($KG$3,0))*('Margin Guidence Table'!$J$1:$J$10000&gt;=ROUND($KG$3,0)),0),MATCH("DEFAULT_SALES_CASE",'Margin Guidence Table'!$A$1:$AG$1,0))),0))</f>
        <v>0</v>
      </c>
      <c r="KS33" s="780">
        <f t="array" ref="KS33">IF('Customer Inputs'!$W$16="End",0,IFERROR(IF($KQ33="SEGMENT",INDEX('Margin Guidence Table'!$A$1:$AG$10000,MATCH(1,('Margin Guidence Table'!$A$1:$A$10000=KO33)*('Margin Guidence Table'!$I$1:$I$10000&lt;=ROUND($KG$3,0))*('Margin Guidence Table'!$J$1:$J$10000&gt;=ROUND($KG$3,0)),0),MATCH("SALES_LBS",'Margin Guidence Table'!$A$1:$AG$1,0)),INDEX('Margin Guidence Table'!$A$1:$AG$10000,MATCH(1,('Margin Guidence Table'!$A$1:$A$10000=KO33)*('Margin Guidence Table'!$I$1:$I$10000&lt;=ROUND($KG$3,0))*('Margin Guidence Table'!$J$1:$J$10000&gt;=ROUND($KG$3,0)),0),MATCH("DEFAULT_SALES_LBS",'Margin Guidence Table'!$A$1:$AG$1,0))),0))</f>
        <v>0</v>
      </c>
      <c r="KT33" s="784">
        <f t="array" ref="KT33">IF('Customer Inputs'!$W$16="End",0,IFERROR(IF($KQ33="SEGMENT",INDEX('Margin Guidence Table'!$A$1:$AG$10000,MATCH(1,('Margin Guidence Table'!$A$1:$A$10000=KO33)*('Margin Guidence Table'!$I$1:$I$10000&lt;=ROUND($KG$3,0))*('Margin Guidence Table'!$J$1:$J$10000&gt;=ROUND($KG$3,0)),0),MATCH("MDA_MIN_MARGIN_GUIDENCE",'Margin Guidence Table'!$A$1:$AG$1,0)),INDEX('Margin Guidence Table'!$A$1:$AG$10000,MATCH(1,('Margin Guidence Table'!$A$1:$A$10000=KO33)*('Margin Guidence Table'!$I$1:$I$10000&lt;=ROUND($KG$3,0))*('Margin Guidence Table'!$J$1:$J$10000&gt;=ROUND($KG$3,0)),0),MATCH("DEFAULT_MDA_MIN_MARGIN_GUIDENCE",'Margin Guidence Table'!$A$1:$AG$1,0))),0))</f>
        <v>0</v>
      </c>
      <c r="KU33" s="784">
        <f t="array" ref="KU33">IF('Customer Inputs'!$W$16="End",0,IFERROR(IF($KQ33="SEGMENT",INDEX('Margin Guidence Table'!$A$1:$AG$10000,MATCH(1,('Margin Guidence Table'!$A$1:$A$10000=KO33)*('Margin Guidence Table'!$I$1:$I$10000&lt;=ROUND($KG$3,0))*('Margin Guidence Table'!$J$1:$J$10000&gt;=ROUND($KG$3,0)),0),MATCH("MDA_MEDIAN_MARGIN_GUIDENCE",'Margin Guidence Table'!$A$1:$AG$1,0)),INDEX('Margin Guidence Table'!$A$1:$AG$10000,MATCH(1,('Margin Guidence Table'!$A$1:$A$10000=KO33)*('Margin Guidence Table'!$I$1:$I$10000&lt;=ROUND($KG$3,0))*('Margin Guidence Table'!$J$1:$J$10000&gt;=ROUND($KG$3,0)),0),MATCH("DEFAULT_MDA_MEDIAN_MARGIN_GUIDENCE",'Margin Guidence Table'!$A$1:$AG$1,0))),0))</f>
        <v>0</v>
      </c>
      <c r="KV33" s="784">
        <f t="array" ref="KV33">IF('Customer Inputs'!$W$16="End",0,IFERROR(IF($KQ33="SEGMENT",INDEX('Margin Guidence Table'!$A$1:$AG$10000,MATCH(1,('Margin Guidence Table'!$A$1:$A$10000=KO33)*('Margin Guidence Table'!$I$1:$I$10000&lt;=ROUND($KG$3,0))*('Margin Guidence Table'!$J$1:$J$10000&gt;=ROUND($KG$3,0)),0),MATCH("MDA_MAX_MARGIN_GUIDENCE",'Margin Guidence Table'!$A$1:$AG$1,0)),INDEX('Margin Guidence Table'!$A$1:$AG$10000,MATCH(1,('Margin Guidence Table'!$A$1:$A$10000=KO33)*('Margin Guidence Table'!$I$1:$I$10000&lt;=ROUND($KG$3,0))*('Margin Guidence Table'!$J$1:$J$10000&gt;=ROUND($KG$3,0)),0),MATCH("DEFAULT_MDA_MAX_MARGIN_GUIDENCE",'Margin Guidence Table'!$A$1:$AG$1,0))),0))</f>
        <v>0</v>
      </c>
      <c r="KW33" s="784">
        <f t="array" ref="KW33">IF('Customer Inputs'!$W$16="End",0,IFERROR(IF($KQ33="SEGMENT",INDEX('Margin Guidence Table'!$A$1:$AG$10000,MATCH(1,('Margin Guidence Table'!$A$1:$A$10000=KO33)*('Margin Guidence Table'!$I$1:$I$10000&lt;=ROUND($KG$3,0))*('Margin Guidence Table'!$J$1:$J$10000&gt;=ROUND($KG$3,0)),0),MATCH("PA_PCT_SALES",'Margin Guidence Table'!$A$1:$AG$1,0)),INDEX('Margin Guidence Table'!$A$1:$AG$10000,MATCH(1,('Margin Guidence Table'!$A$1:$A$10000=KO33)*('Margin Guidence Table'!$I$1:$I$10000&lt;=ROUND($KG$3,0))*('Margin Guidence Table'!$J$1:$J$10000&gt;=ROUND($KG$3,0)),0),MATCH("DEFAULT_PA_PCT_SALES",'Margin Guidence Table'!$A$1:$AG$1,0))),0))</f>
        <v>0</v>
      </c>
      <c r="KX33" s="784">
        <f t="array" ref="KX33">IF('Customer Inputs'!$W$16="End",0,IFERROR(IF($KQ33="SEGMENT",INDEX('Margin Guidence Table'!$A$1:$AG$10000,MATCH(1,('Margin Guidence Table'!$A$1:$A$10000=KO33)*('Margin Guidence Table'!$I$1:$I$10000&lt;=ROUND($KG$3,0))*('Margin Guidence Table'!$J$1:$J$10000&gt;=ROUND($KG$3,0)),0),MATCH("SELF_FUND_PCT_SALES",'Margin Guidence Table'!$A$1:$AG$1,0)),INDEX('Margin Guidence Table'!$A$1:$AG$10000,MATCH(1,('Margin Guidence Table'!$A$1:$A$10000=KO33)*('Margin Guidence Table'!$I$1:$I$10000&lt;=ROUND($KG$3,0))*('Margin Guidence Table'!$J$1:$J$10000&gt;=ROUND($KG$3,0)),0),MATCH("DEFAULT_SELF_FUND_PCT_SALES",'Margin Guidence Table'!$A$1:$AG$1,0))),0))</f>
        <v>0</v>
      </c>
      <c r="KY33" s="784">
        <f t="array" ref="KY33">IF('Customer Inputs'!$W$16="End",0,IF($KH$2="Existing",IFERROR(SUMIFS('Existing Customers'!$V:$V,'Existing Customers'!$H:$H,$KF33,'Existing Customers'!$A:$A,$KG$1)/SUMIFS('Existing Customers'!$Q:$Q,'Existing Customers'!$H:$H,$KF33,'Existing Customers'!$A:$A,$KG$1),0),IFERROR(IF($KQ33="SEGMENT",INDEX('Margin Guidence Table'!$A$1:$AG$10000,MATCH(1,('Margin Guidence Table'!$A$1:$A$10000=KO33)*('Margin Guidence Table'!$I$1:$I$10000&lt;=ROUND($KG$3,0))*('Margin Guidence Table'!$J$1:$J$10000&gt;=ROUND($KG$3,0)),0),MATCH("CIA_MEDIAN_MARGIN_GUIDENCE",'Margin Guidence Table'!$A$1:$AG$1,0)),INDEX('Margin Guidence Table'!$A$1:$AG$10000,MATCH(1,('Margin Guidence Table'!$A$1:$A$10000=KO33)*('Margin Guidence Table'!$I$1:$I$10000&lt;=ROUND($KG$3,0))*('Margin Guidence Table'!$J$1:$J$10000&gt;=ROUND($KG$3,0)),0),MATCH("DEFAULT_CIA_MEDIAN_MARGIN_GUIDENCE",'Margin Guidence Table'!$A$1:$AG$1,0))),0)))</f>
        <v>0</v>
      </c>
      <c r="KZ33" s="784"/>
      <c r="LA33" s="18">
        <f t="array" ref="LA33">IF('Customer Inputs'!$W$17="End",0,IFERROR(IF($LN33="SEGMENT",INDEX('Margin Guidence Table'!$A$1:$AG$10000,MATCH(1,('Margin Guidence Table'!$A$1:$A$10000=$LL33)*('Margin Guidence Table'!$I$1:$I$10000&lt;=ROUND($LD$3,0))*('Margin Guidence Table'!$J$1:$J$10000&gt;=ROUND($LD$3,0)),0),MATCH("PCT_SALES",'Margin Guidence Table'!$A$1:$AG$1,0)),INDEX('Margin Guidence Table'!$A$1:$AG$10000,MATCH(1,('Margin Guidence Table'!$A$1:$A$10000=$LL33)*('Margin Guidence Table'!$I$1:$I$10000&lt;=ROUND($LD$3,0))*('Margin Guidence Table'!$J$1:$J$10000&gt;=ROUND($LD$3,0)),0),MATCH("DEFAULT_PCT_SALES",'Margin Guidence Table'!$A$1:$AG$1,0))),0))</f>
        <v>0</v>
      </c>
      <c r="LB33" s="1713" t="e">
        <f t="shared" si="54"/>
        <v>#DIV/0!</v>
      </c>
      <c r="LC33" s="99" t="s">
        <v>88</v>
      </c>
      <c r="LD33" s="91">
        <f>IF('Customer Inputs'!$W$17="End",0,IFERROR(IF(AND($LD$2&lt;&gt;"Enter Spend&gt;&gt;&gt;",$LE$2="EXISTING"),SUMIFS('Existing Customers'!$Q:$Q,'Existing Customers'!$A:$A,$LD$1,'Existing Customers'!$H:$H,$LC33)*$LD$4,$LD$3*$LB33),0))</f>
        <v>0</v>
      </c>
      <c r="LE33" s="86">
        <f>IF('Customer Inputs'!$W$17="End",0,IFERROR(IF(AND($LD$2&lt;&gt;"Enter Spend&gt;&gt;&gt;",$LE$2="EXISTING"),SUMIFS('Existing Customers'!$N:$N,'Existing Customers'!$A:$A,$LD$1,'Existing Customers'!$H:$H,$LC33)*$LD$4,$LD33/$LO33),0))</f>
        <v>0</v>
      </c>
      <c r="LF33" s="92">
        <f>IF('Customer Inputs'!$W$17="End",0,IFERROR(IF(AND($LD$2&lt;&gt;"Enter Spend&gt;&gt;&gt;",$LE$2="EXISTING"),SUMIFS('Existing Customers'!$O:$O,'Existing Customers'!$H:$H,$LC33,'Existing Customers'!$A:$A,$LD$1)*$LD$4,$LE33*$LD$8),0))</f>
        <v>0</v>
      </c>
      <c r="LG33" s="92">
        <f>IF('Customer Inputs'!$W$17="End",0,IFERROR(IF(AND($LD$2&lt;&gt;"Enter Spend&gt;&gt;&gt;",$LE$2="EXISTING"),SUMIFS('Existing Customers'!$P:$P,'Existing Customers'!$A:$A,$LD$1,'Existing Customers'!$H:$H,$LC33)*$LD$4,$LD33/$LP33),0))</f>
        <v>0</v>
      </c>
      <c r="LH33" s="303">
        <f>IF('Customer Inputs'!$W$17="End",0,IFERROR(IF(AND($LD$2&lt;&gt;"Enter Spend&gt;&gt;&gt;",$LE$2="EXISTING"),SUMIFS('Existing Customers'!$V:$V,'Existing Customers'!$H:$H,$LC33,'Existing Customers'!$A:$A,$LD$1)*$LD$4,0),0))</f>
        <v>0</v>
      </c>
      <c r="LI33" s="93">
        <f>IF('Customer Inputs'!$W$17="End",0,IFERROR(IF(AND($LD$2&lt;&gt;"Enter Spend&gt;&gt;&gt;",$LE$2="EXISTING"),SUMIFS('Existing Customers'!$R:$R,'Existing Customers'!$H:$H,$LC33,'Existing Customers'!$A:$A,$LD$1)*$LD$4,0),0))</f>
        <v>0</v>
      </c>
      <c r="LJ33" s="780">
        <f>IF('Customer Inputs'!$W$17="End",0,IFERROR(IF(AND($LD$2&lt;&gt;"Enter Spend&gt;&gt;&gt;",$LE$2="EXISTING"),SUMIFS('Existing Customers'!$S:$S,'Existing Customers'!$H:$H,$LC33,'Existing Customers'!$A:$A,$LD$1)/SUMIFS('Existing Customers'!$Q:$Q,'Existing Customers'!$A:$A,$LD$1,'Existing Customers'!$H:$H,$LC33),LT33),0))</f>
        <v>0</v>
      </c>
      <c r="LK33" s="780">
        <f>IF('Customer Inputs'!$W$17="End",0,IFERROR(IF(AND($LD$2&lt;&gt;"Enter Spend&gt;&gt;&gt;",$LE$2="EXISTING"),SUMIFS('Existing Customers'!$U:$U,'Existing Customers'!$H:$H,$LC33,'Existing Customers'!$A:$A,$LD$1)/SUMIFS('Existing Customers'!$Q:$Q,'Existing Customers'!$A:$A,$LD$1,'Existing Customers'!$H:$H,$LC33),LU33),0))</f>
        <v>0</v>
      </c>
      <c r="LL33" s="783" t="e">
        <f>_xlfn.CONCAT('Customer Inputs'!$AH$17,"_",LC33)</f>
        <v>#N/A</v>
      </c>
      <c r="LM33" s="783">
        <f t="array" ref="LM33">IF('Customer Inputs'!$W$17="End",0,IFERROR(INDEX('Margin Guidence Table'!$A$1:$AG$10000,MATCH(1,('Margin Guidence Table'!$A$1:$A$10000=LL33)*('Margin Guidence Table'!$I$1:$I$10000&lt;=ROUND($LD$3,0))*('Margin Guidence Table'!$J$1:$J$10000&gt;=ROUND($LD$3,0)),0),MATCH("DATA_POINTS",'Margin Guidence Table'!$A$1:$AG$1,0)),0))</f>
        <v>0</v>
      </c>
      <c r="LN33" s="780" t="str">
        <f t="shared" si="55"/>
        <v>DEFAULT</v>
      </c>
      <c r="LO33" s="780">
        <f t="array" ref="LO33">IF('Customer Inputs'!$W$17="End",0,IFERROR(IF($LN33="SEGMENT",INDEX('Margin Guidence Table'!$A$1:$AG$10000,MATCH(1,('Margin Guidence Table'!$A$1:$A$10000=LL33)*('Margin Guidence Table'!$I$1:$I$10000&lt;=ROUND($LD$3,0))*('Margin Guidence Table'!$J$1:$J$10000&gt;=ROUND($LD$3,0)),0),MATCH("SALES_CASE",'Margin Guidence Table'!$A$1:$AG$1,0)),INDEX('Margin Guidence Table'!$A$1:$AG$10000,MATCH(1,('Margin Guidence Table'!$A$1:$A$10000=LL33)*('Margin Guidence Table'!$I$1:$I$10000&lt;=ROUND($LD$3,0))*('Margin Guidence Table'!$J$1:$J$10000&gt;=ROUND($LD$3,0)),0),MATCH("DEFAULT_SALES_CASE",'Margin Guidence Table'!$A$1:$AG$1,0))),0))</f>
        <v>0</v>
      </c>
      <c r="LP33" s="780">
        <f t="array" ref="LP33">IF('Customer Inputs'!$W$17="End",0,IFERROR(IF($LN33="SEGMENT",INDEX('Margin Guidence Table'!$A$1:$AG$10000,MATCH(1,('Margin Guidence Table'!$A$1:$A$10000=LL33)*('Margin Guidence Table'!$I$1:$I$10000&lt;=ROUND($LD$3,0))*('Margin Guidence Table'!$J$1:$J$10000&gt;=ROUND($LD$3,0)),0),MATCH("SALES_LBS",'Margin Guidence Table'!$A$1:$AG$1,0)),INDEX('Margin Guidence Table'!$A$1:$AG$10000,MATCH(1,('Margin Guidence Table'!$A$1:$A$10000=LL33)*('Margin Guidence Table'!$I$1:$I$10000&lt;=ROUND($LD$3,0))*('Margin Guidence Table'!$J$1:$J$10000&gt;=ROUND($LD$3,0)),0),MATCH("DEFAULT_SALES_LBS",'Margin Guidence Table'!$A$1:$AG$1,0))),0))</f>
        <v>0</v>
      </c>
      <c r="LQ33" s="784">
        <f t="array" ref="LQ33">IF('Customer Inputs'!$W$17="End",0,IFERROR(IF($LN33="SEGMENT",INDEX('Margin Guidence Table'!$A$1:$AG$10000,MATCH(1,('Margin Guidence Table'!$A$1:$A$10000=LL33)*('Margin Guidence Table'!$I$1:$I$10000&lt;=ROUND($LD$3,0))*('Margin Guidence Table'!$J$1:$J$10000&gt;=ROUND($LD$3,0)),0),MATCH("MDA_MIN_MARGIN_GUIDENCE",'Margin Guidence Table'!$A$1:$AG$1,0)),INDEX('Margin Guidence Table'!$A$1:$AG$10000,MATCH(1,('Margin Guidence Table'!$A$1:$A$10000=LL33)*('Margin Guidence Table'!$I$1:$I$10000&lt;=ROUND($LD$3,0))*('Margin Guidence Table'!$J$1:$J$10000&gt;=ROUND($LD$3,0)),0),MATCH("DEFAULT_MDA_MIN_MARGIN_GUIDENCE",'Margin Guidence Table'!$A$1:$AG$1,0))),0))</f>
        <v>0</v>
      </c>
      <c r="LR33" s="784">
        <f t="array" ref="LR33">IF('Customer Inputs'!$W$17="End",0,IFERROR(IF($LN33="SEGMENT",INDEX('Margin Guidence Table'!$A$1:$AG$10000,MATCH(1,('Margin Guidence Table'!$A$1:$A$10000=LL33)*('Margin Guidence Table'!$I$1:$I$10000&lt;=ROUND($LD$3,0))*('Margin Guidence Table'!$J$1:$J$10000&gt;=ROUND($LD$3,0)),0),MATCH("MDA_MEDIAN_MARGIN_GUIDENCE",'Margin Guidence Table'!$A$1:$AG$1,0)),INDEX('Margin Guidence Table'!$A$1:$AG$10000,MATCH(1,('Margin Guidence Table'!$A$1:$A$10000=LL33)*('Margin Guidence Table'!$I$1:$I$10000&lt;=ROUND($LD$3,0))*('Margin Guidence Table'!$J$1:$J$10000&gt;=ROUND($LD$3,0)),0),MATCH("DEFAULT_MDA_MEDIAN_MARGIN_GUIDENCE",'Margin Guidence Table'!$A$1:$AG$1,0))),0))</f>
        <v>0</v>
      </c>
      <c r="LS33" s="784">
        <f t="array" ref="LS33">IF('Customer Inputs'!$W$17="End",0,IFERROR(IF($LN33="SEGMENT",INDEX('Margin Guidence Table'!$A$1:$AG$10000,MATCH(1,('Margin Guidence Table'!$A$1:$A$10000=LL33)*('Margin Guidence Table'!$I$1:$I$10000&lt;=ROUND($LD$3,0))*('Margin Guidence Table'!$J$1:$J$10000&gt;=ROUND($LD$3,0)),0),MATCH("MDA_MAX_MARGIN_GUIDENCE",'Margin Guidence Table'!$A$1:$AG$1,0)),INDEX('Margin Guidence Table'!$A$1:$AG$10000,MATCH(1,('Margin Guidence Table'!$A$1:$A$10000=LL33)*('Margin Guidence Table'!$I$1:$I$10000&lt;=ROUND($LD$3,0))*('Margin Guidence Table'!$J$1:$J$10000&gt;=ROUND($LD$3,0)),0),MATCH("DEFAULT_MDA_MAX_MARGIN_GUIDENCE",'Margin Guidence Table'!$A$1:$AG$1,0))),0))</f>
        <v>0</v>
      </c>
      <c r="LT33" s="784">
        <f t="array" ref="LT33">IF('Customer Inputs'!$W$17="End",0,IFERROR(IF($LN33="SEGMENT",INDEX('Margin Guidence Table'!$A$1:$AG$10000,MATCH(1,('Margin Guidence Table'!$A$1:$A$10000=LL33)*('Margin Guidence Table'!$I$1:$I$10000&lt;=ROUND($LD$3,0))*('Margin Guidence Table'!$J$1:$J$10000&gt;=ROUND($LD$3,0)),0),MATCH("PA_PCT_SALES",'Margin Guidence Table'!$A$1:$AG$1,0)),INDEX('Margin Guidence Table'!$A$1:$AG$10000,MATCH(1,('Margin Guidence Table'!$A$1:$A$10000=LL33)*('Margin Guidence Table'!$I$1:$I$10000&lt;=ROUND($LD$3,0))*('Margin Guidence Table'!$J$1:$J$10000&gt;=ROUND($LD$3,0)),0),MATCH("DEFAULT_PA_PCT_SALES",'Margin Guidence Table'!$A$1:$AG$1,0))),0))</f>
        <v>0</v>
      </c>
      <c r="LU33" s="784">
        <f t="array" ref="LU33">IF('Customer Inputs'!$W$17="End",0,IFERROR(IF($LN33="SEGMENT",INDEX('Margin Guidence Table'!$A$1:$AG$10000,MATCH(1,('Margin Guidence Table'!$A$1:$A$10000=LL33)*('Margin Guidence Table'!$I$1:$I$10000&lt;=ROUND($LD$3,0))*('Margin Guidence Table'!$J$1:$J$10000&gt;=ROUND($LD$3,0)),0),MATCH("SELF_FUND_PCT_SALES",'Margin Guidence Table'!$A$1:$AG$1,0)),INDEX('Margin Guidence Table'!$A$1:$AG$10000,MATCH(1,('Margin Guidence Table'!$A$1:$A$10000=LL33)*('Margin Guidence Table'!$I$1:$I$10000&lt;=ROUND($LD$3,0))*('Margin Guidence Table'!$J$1:$J$10000&gt;=ROUND($LD$3,0)),0),MATCH("DEFAULT_SELF_FUND_PCT_SALES",'Margin Guidence Table'!$A$1:$AG$1,0))),0))</f>
        <v>0</v>
      </c>
      <c r="LV33" s="784">
        <f t="array" ref="LV33">IF('Customer Inputs'!$W$17="End",0,IF($LE$2="Existing",IFERROR(SUMIFS('Existing Customers'!$V:$V,'Existing Customers'!$H:$H,$LC33,'Existing Customers'!$A:$A,$LD$1)/SUMIFS('Existing Customers'!$Q:$Q,'Existing Customers'!$H:$H,$LC33,'Existing Customers'!$A:$A,$LD$1),0),IFERROR(IF($LN33="SEGMENT",INDEX('Margin Guidence Table'!$A$1:$AG$10000,MATCH(1,('Margin Guidence Table'!$A$1:$A$10000=LL33)*('Margin Guidence Table'!$I$1:$I$10000&lt;=ROUND($LD$3,0))*('Margin Guidence Table'!$J$1:$J$10000&gt;=ROUND($LD$3,0)),0),MATCH("CIA_MEDIAN_MARGIN_GUIDENCE",'Margin Guidence Table'!$A$1:$AG$1,0)),INDEX('Margin Guidence Table'!$A$1:$AG$10000,MATCH(1,('Margin Guidence Table'!$A$1:$A$10000=LL33)*('Margin Guidence Table'!$I$1:$I$10000&lt;=ROUND($LD$3,0))*('Margin Guidence Table'!$J$1:$J$10000&gt;=ROUND($LD$3,0)),0),MATCH("DEFAULT_CIA_MEDIAN_MARGIN_GUIDENCE",'Margin Guidence Table'!$A$1:$AG$1,0))),0)))</f>
        <v>0</v>
      </c>
      <c r="LW33" s="784"/>
      <c r="LX33" s="18">
        <f t="array" ref="LX33">IF('Customer Inputs'!$W$18="End",0,IFERROR(IF($MK33="SEGMENT",INDEX('Margin Guidence Table'!$A$1:$AG$10000,MATCH(1,('Margin Guidence Table'!$A$1:$A$10000=$MI33)*('Margin Guidence Table'!$I$1:$I$10000&lt;=ROUND($MA$3,0))*('Margin Guidence Table'!$J$1:$J$10000&gt;=ROUND($MA$3,0)),0),MATCH("PCT_SALES",'Margin Guidence Table'!$A$1:$AG$1,0)),INDEX('Margin Guidence Table'!$A$1:$AG$10000,MATCH(1,('Margin Guidence Table'!$A$1:$A$10000=$MI33)*('Margin Guidence Table'!$I$1:$I$10000&lt;=ROUND($MA$3,0))*('Margin Guidence Table'!$J$1:$J$10000&gt;=ROUND($MA$3,0)),0),MATCH("DEFAULT_PCT_SALES",'Margin Guidence Table'!$A$1:$AG$1,0))),0))</f>
        <v>0</v>
      </c>
      <c r="LY33" s="1713" t="e">
        <f t="shared" si="56"/>
        <v>#DIV/0!</v>
      </c>
      <c r="LZ33" s="99" t="s">
        <v>88</v>
      </c>
      <c r="MA33" s="91">
        <f>IF('Customer Inputs'!$W$18="End",0,IFERROR(IF(AND($MA$2&lt;&gt;"Enter Spend&gt;&gt;&gt;",$MB$2="EXISTING"),SUMIFS('Existing Customers'!$Q:$Q,'Existing Customers'!$A:$A,$MA$1,'Existing Customers'!$H:$H,$LZ33)*$MA$4,$MA$3*$LY33),0))</f>
        <v>0</v>
      </c>
      <c r="MB33" s="86">
        <f>IF('Customer Inputs'!$W$18="End",0,IFERROR(IF(AND($MA$2&lt;&gt;"Enter Spend&gt;&gt;&gt;",$MB$2="EXISTING"),SUMIFS('Existing Customers'!$N:$N,'Existing Customers'!$A:$A,$MA$1,'Existing Customers'!$H:$H,$LZ33)*$MA$4,$MA33/$ML33),0))</f>
        <v>0</v>
      </c>
      <c r="MC33" s="92">
        <f>IF('Customer Inputs'!$W$18="End",0,IFERROR(IF(AND($MA$2&lt;&gt;"Enter Spend&gt;&gt;&gt;",$MB$2="EXISTING"),SUMIFS('Existing Customers'!$O:$O,'Existing Customers'!$H:$H,$LZ33,'Existing Customers'!$A:$A,$MA$1)*$MA$4,$MB33*$MA$8),0))</f>
        <v>0</v>
      </c>
      <c r="MD33" s="92">
        <f>IF('Customer Inputs'!$W$18="End",0,IFERROR(IF(AND($MA$2&lt;&gt;"Enter Spend&gt;&gt;&gt;",$MB$2="EXISTING"),SUMIFS('Existing Customers'!$P:$P,'Existing Customers'!$A:$A,$MA$1,'Existing Customers'!$H:$H,$LZ33)*$MA$4,$MA33/$MM33),0))</f>
        <v>0</v>
      </c>
      <c r="ME33" s="303">
        <f>IF('Customer Inputs'!$W$18="End",0,IFERROR(IF(AND($MA$2&lt;&gt;"Enter Spend&gt;&gt;&gt;",$MB$2="EXISTING"),SUMIFS('Existing Customers'!$V:$V,'Existing Customers'!$H:$H,$LZ33,'Existing Customers'!$A:$A,$MA$1)*$MA$4,0),0))</f>
        <v>0</v>
      </c>
      <c r="MF33" s="93">
        <f>IF('Customer Inputs'!$W$18="End",0,IFERROR(IF(AND($MA$2&lt;&gt;"Enter Spend&gt;&gt;&gt;",$MB$2="EXISTING"),SUMIFS('Existing Customers'!$R:$R,'Existing Customers'!$H:$H,$LZ33,'Existing Customers'!$A:$A,$MA$1)*$MA$4,0),0))</f>
        <v>0</v>
      </c>
      <c r="MG33" s="780">
        <f>IF('Customer Inputs'!$W$18="End",0,IFERROR(IF(AND($MA$2&lt;&gt;"Enter Spend&gt;&gt;&gt;",$MB$2="EXISTING"),SUMIFS('Existing Customers'!$S:$S,'Existing Customers'!$H:$H,$LZ33,'Existing Customers'!$A:$A,$MA$1)/SUMIFS('Existing Customers'!$Q:$Q,'Existing Customers'!$A:$A,$MA$1,'Existing Customers'!$H:$H,$LZ33),MQ33),0))</f>
        <v>0</v>
      </c>
      <c r="MH33" s="780">
        <f>IF('Customer Inputs'!$W$18="End",0,IFERROR(IF(AND($MA$2&lt;&gt;"Enter Spend&gt;&gt;&gt;",$MB$2="EXISTING"),SUMIFS('Existing Customers'!$U:$U,'Existing Customers'!$H:$H,$LZ33,'Existing Customers'!$A:$A,$MA$1)/SUMIFS('Existing Customers'!$Q:$Q,'Existing Customers'!$A:$A,$MA$1,'Existing Customers'!$H:$H,$LZ33),MR33),0))</f>
        <v>0</v>
      </c>
      <c r="MI33" s="783" t="e">
        <f>_xlfn.CONCAT('Customer Inputs'!$AH$18,"_",LZ33)</f>
        <v>#N/A</v>
      </c>
      <c r="MJ33" s="783">
        <f t="array" ref="MJ33">IF('Customer Inputs'!$W$18="End",0,IFERROR(INDEX('Margin Guidence Table'!$A$1:$AG$10000,MATCH(1,('Margin Guidence Table'!$A$1:$A$10000=MI33)*('Margin Guidence Table'!$I$1:$I$10000&lt;=ROUND($MA$3,0))*('Margin Guidence Table'!$J$1:$J$10000&gt;=ROUND($MA$3,0)),0),MATCH("DATA_POINTS",'Margin Guidence Table'!$A$1:$AG$1,0)),0))</f>
        <v>0</v>
      </c>
      <c r="MK33" s="780" t="str">
        <f t="shared" si="57"/>
        <v>DEFAULT</v>
      </c>
      <c r="ML33" s="780">
        <f t="array" ref="ML33">IF('Customer Inputs'!$W$18="End",0,IFERROR(IF($MK33="SEGMENT",INDEX('Margin Guidence Table'!$A$1:$AG$10000,MATCH(1,('Margin Guidence Table'!$A$1:$A$10000=MI33)*('Margin Guidence Table'!$I$1:$I$10000&lt;=ROUND($MA$3,0))*('Margin Guidence Table'!$J$1:$J$10000&gt;=ROUND($MA$3,0)),0),MATCH("SALES_CASE",'Margin Guidence Table'!$A$1:$AG$1,0)),INDEX('Margin Guidence Table'!$A$1:$AG$10000,MATCH(1,('Margin Guidence Table'!$A$1:$A$10000=MI33)*('Margin Guidence Table'!$I$1:$I$10000&lt;=ROUND($MA$3,0))*('Margin Guidence Table'!$J$1:$J$10000&gt;=ROUND($MA$3,0)),0),MATCH("DEFAULT_SALES_CASE",'Margin Guidence Table'!$A$1:$AG$1,0))),0))</f>
        <v>0</v>
      </c>
      <c r="MM33" s="780">
        <f t="array" ref="MM33">IF('Customer Inputs'!$W$18="End",0,IFERROR(IF($MK33="SEGMENT",INDEX('Margin Guidence Table'!$A$1:$AG$10000,MATCH(1,('Margin Guidence Table'!$A$1:$A$10000=MI33)*('Margin Guidence Table'!$I$1:$I$10000&lt;=ROUND($MA$3,0))*('Margin Guidence Table'!$J$1:$J$10000&gt;=ROUND($MA$3,0)),0),MATCH("SALES_LBS",'Margin Guidence Table'!$A$1:$AG$1,0)),INDEX('Margin Guidence Table'!$A$1:$AG$10000,MATCH(1,('Margin Guidence Table'!$A$1:$A$10000=MI33)*('Margin Guidence Table'!$I$1:$I$10000&lt;=ROUND($MA$3,0))*('Margin Guidence Table'!$J$1:$J$10000&gt;=ROUND($MA$3,0)),0),MATCH("DEFAULT_SALES_LBS",'Margin Guidence Table'!$A$1:$AG$1,0))),0))</f>
        <v>0</v>
      </c>
      <c r="MN33" s="784">
        <f t="array" ref="MN33">IF('Customer Inputs'!$W$18="End",0,IFERROR(IF($MK33="SEGMENT",INDEX('Margin Guidence Table'!$A$1:$AG$10000,MATCH(1,('Margin Guidence Table'!$A$1:$A$10000=MI33)*('Margin Guidence Table'!$I$1:$I$10000&lt;=ROUND($MA$3,0))*('Margin Guidence Table'!$J$1:$J$10000&gt;=ROUND($MA$3,0)),0),MATCH("MDA_MIN_MARGIN_GUIDENCE",'Margin Guidence Table'!$A$1:$AG$1,0)),INDEX('Margin Guidence Table'!$A$1:$AG$10000,MATCH(1,('Margin Guidence Table'!$A$1:$A$10000=MI33)*('Margin Guidence Table'!$I$1:$I$10000&lt;=ROUND($MA$3,0))*('Margin Guidence Table'!$J$1:$J$10000&gt;=ROUND($MA$3,0)),0),MATCH("DEFAULT_MDA_MIN_MARGIN_GUIDENCE",'Margin Guidence Table'!$A$1:$AG$1,0))),0))</f>
        <v>0</v>
      </c>
      <c r="MO33" s="784">
        <f t="array" ref="MO33">IF('Customer Inputs'!$W$18="End",0,IFERROR(IF($MK33="SEGMENT",INDEX('Margin Guidence Table'!$A$1:$AG$10000,MATCH(1,('Margin Guidence Table'!$A$1:$A$10000=MI33)*('Margin Guidence Table'!$I$1:$I$10000&lt;=ROUND($MA$3,0))*('Margin Guidence Table'!$J$1:$J$10000&gt;=ROUND($MA$3,0)),0),MATCH("MDA_MEDIAN_MARGIN_GUIDENCE",'Margin Guidence Table'!$A$1:$AG$1,0)),INDEX('Margin Guidence Table'!$A$1:$AG$10000,MATCH(1,('Margin Guidence Table'!$A$1:$A$10000=MI33)*('Margin Guidence Table'!$I$1:$I$10000&lt;=ROUND($MA$3,0))*('Margin Guidence Table'!$J$1:$J$10000&gt;=ROUND($MA$3,0)),0),MATCH("DEFAULT_MDA_MEDIAN_MARGIN_GUIDENCE",'Margin Guidence Table'!$A$1:$AG$1,0))),0))</f>
        <v>0</v>
      </c>
      <c r="MP33" s="784">
        <f t="array" ref="MP33">IF('Customer Inputs'!$W$18="End",0,IFERROR(IF($MK33="SEGMENT",INDEX('Margin Guidence Table'!$A$1:$AG$10000,MATCH(1,('Margin Guidence Table'!$A$1:$A$10000=MI33)*('Margin Guidence Table'!$I$1:$I$10000&lt;=ROUND($MA$3,0))*('Margin Guidence Table'!$J$1:$J$10000&gt;=ROUND($MA$3,0)),0),MATCH("MDA_MAX_MARGIN_GUIDENCE",'Margin Guidence Table'!$A$1:$AG$1,0)),INDEX('Margin Guidence Table'!$A$1:$AG$10000,MATCH(1,('Margin Guidence Table'!$A$1:$A$10000=MI33)*('Margin Guidence Table'!$I$1:$I$10000&lt;=ROUND($MA$3,0))*('Margin Guidence Table'!$J$1:$J$10000&gt;=ROUND($MA$3,0)),0),MATCH("DEFAULT_MDA_MAX_MARGIN_GUIDENCE",'Margin Guidence Table'!$A$1:$AG$1,0))),0))</f>
        <v>0</v>
      </c>
      <c r="MQ33" s="784">
        <f t="array" ref="MQ33">IF('Customer Inputs'!$W$18="End",0,IFERROR(IF($MK33="SEGMENT",INDEX('Margin Guidence Table'!$A$1:$AG$10000,MATCH(1,('Margin Guidence Table'!$A$1:$A$10000=MI33)*('Margin Guidence Table'!$I$1:$I$10000&lt;=ROUND($MA$3,0))*('Margin Guidence Table'!$J$1:$J$10000&gt;=ROUND($MA$3,0)),0),MATCH("PA_PCT_SALES",'Margin Guidence Table'!$A$1:$AG$1,0)),INDEX('Margin Guidence Table'!$A$1:$AG$10000,MATCH(1,('Margin Guidence Table'!$A$1:$A$10000=MI33)*('Margin Guidence Table'!$I$1:$I$10000&lt;=ROUND($MA$3,0))*('Margin Guidence Table'!$J$1:$J$10000&gt;=ROUND($MA$3,0)),0),MATCH("DEFAULT_PA_PCT_SALES",'Margin Guidence Table'!$A$1:$AG$1,0))),0))</f>
        <v>0</v>
      </c>
      <c r="MR33" s="784">
        <f t="array" ref="MR33">IF('Customer Inputs'!$W$18="End",0,IFERROR(IF($MK33="SEGMENT",INDEX('Margin Guidence Table'!$A$1:$AG$10000,MATCH(1,('Margin Guidence Table'!$A$1:$A$10000=MI33)*('Margin Guidence Table'!$I$1:$I$10000&lt;=ROUND($MA$3,0))*('Margin Guidence Table'!$J$1:$J$10000&gt;=ROUND($MA$3,0)),0),MATCH("SELF_FUND_PCT_SALES",'Margin Guidence Table'!$A$1:$AG$1,0)),INDEX('Margin Guidence Table'!$A$1:$AG$10000,MATCH(1,('Margin Guidence Table'!$A$1:$A$10000=MI33)*('Margin Guidence Table'!$I$1:$I$10000&lt;=ROUND($MA$3,0))*('Margin Guidence Table'!$J$1:$J$10000&gt;=ROUND($MA$3,0)),0),MATCH("DEFAULT_SELF_FUND_PCT_SALES",'Margin Guidence Table'!$A$1:$AG$1,0))),0))</f>
        <v>0</v>
      </c>
      <c r="MS33" s="784">
        <f t="array" ref="MS33">IF('Customer Inputs'!$W$18="End",0,IF($MB$2="Existing",IFERROR(SUMIFS('Existing Customers'!$V:$V,'Existing Customers'!$H:$H,$LZ33,'Existing Customers'!$A:$A,$MA$1)/SUMIFS('Existing Customers'!$Q:$Q,'Existing Customers'!$H:$H,$LZ33,'Existing Customers'!$A:$A,$MA$1),0),IFERROR(IF($MK33="SEGMENT",INDEX('Margin Guidence Table'!$A$1:$AG$10000,MATCH(1,('Margin Guidence Table'!$A$1:$A$10000=MI33)*('Margin Guidence Table'!$I$1:$I$10000&lt;=ROUND($MA$3,0))*('Margin Guidence Table'!$J$1:$J$10000&gt;=ROUND($MA$3,0)),0),MATCH("CIA_MEDIAN_MARGIN_GUIDENCE",'Margin Guidence Table'!$A$1:$AG$1,0)),INDEX('Margin Guidence Table'!$A$1:$AG$10000,MATCH(1,('Margin Guidence Table'!$A$1:$A$10000=MI33)*('Margin Guidence Table'!$I$1:$I$10000&lt;=ROUND($MA$3,0))*('Margin Guidence Table'!$J$1:$J$10000&gt;=ROUND($MA$3,0)),0),MATCH("DEFAULT_CIA_MEDIAN_MARGIN_GUIDENCE",'Margin Guidence Table'!$A$1:$AG$1,0))),0)))</f>
        <v>0</v>
      </c>
      <c r="MT33" s="784"/>
      <c r="MU33" s="18">
        <f t="array" ref="MU33">IF('Customer Inputs'!$W$19="End",0,IFERROR(IF($NH33="SEGMENT",INDEX('Margin Guidence Table'!$A$1:$AG$10000,MATCH(1,('Margin Guidence Table'!$A$1:$A$10000=$NF33)*('Margin Guidence Table'!$I$1:$I$10000&lt;=ROUND($MX$3,0))*('Margin Guidence Table'!$J$1:$J$10000&gt;=ROUND($MX$3,0)),0),MATCH("PCT_SALES",'Margin Guidence Table'!$A$1:$AG$1,0)),INDEX('Margin Guidence Table'!$A$1:$AG$10000,MATCH(1,('Margin Guidence Table'!$A$1:$A$10000=$NF33)*('Margin Guidence Table'!$I$1:$I$10000&lt;=ROUND($MX$3,0))*('Margin Guidence Table'!$J$1:$J$10000&gt;=ROUND($MX$3,0)),0),MATCH("DEFAULT_PCT_SALES",'Margin Guidence Table'!$A$1:$AG$1,0))),0))</f>
        <v>0</v>
      </c>
      <c r="MV33" s="1713" t="e">
        <f t="shared" si="58"/>
        <v>#DIV/0!</v>
      </c>
      <c r="MW33" s="99" t="s">
        <v>88</v>
      </c>
      <c r="MX33" s="91">
        <f>IF('Customer Inputs'!$W$19="End",0,IFERROR(IF(AND($MX$2&lt;&gt;"Enter Spend&gt;&gt;&gt;",$MY$2="EXISTING"),SUMIFS('Existing Customers'!$Q:$Q,'Existing Customers'!$A:$A,$MX$1,'Existing Customers'!$H:$H,$MW33)*$MX$4,$MX$3*$MV33),0))</f>
        <v>0</v>
      </c>
      <c r="MY33" s="86">
        <f>IF('Customer Inputs'!$W$19="End",0,IFERROR(IF(AND($MX$2&lt;&gt;"Enter Spend&gt;&gt;&gt;",$MY$2="EXISTING"),SUMIFS('Existing Customers'!$N:$N,'Existing Customers'!$A:$A,$MX$1,'Existing Customers'!$H:$H,$MW33)*$MX$4,$MX33/$NI33),0))</f>
        <v>0</v>
      </c>
      <c r="MZ33" s="92">
        <f>IF('Customer Inputs'!$W$19="End",0,IFERROR(IF(AND($MX$2&lt;&gt;"Enter Spend&gt;&gt;&gt;",$MY$2="EXISTING"),SUMIFS('Existing Customers'!$O:$O,'Existing Customers'!$H:$H,$MW33,'Existing Customers'!$A:$A,$MX$1)*$MX$4,$MY33*$MX$8),0))</f>
        <v>0</v>
      </c>
      <c r="NA33" s="92">
        <f>IF('Customer Inputs'!$W$19="End",0,IFERROR(IF(AND($MX$2&lt;&gt;"Enter Spend&gt;&gt;&gt;",$MY$2="EXISTING"),SUMIFS('Existing Customers'!$P:$P,'Existing Customers'!$A:$A,$MX$1,'Existing Customers'!$H:$H,$MW33)*$MX$4,$MX33/$NJ33),0))</f>
        <v>0</v>
      </c>
      <c r="NB33" s="303">
        <f>IF('Customer Inputs'!$W$19="End",0,IFERROR(IF(AND($MX$2&lt;&gt;"Enter Spend&gt;&gt;&gt;",$MY$2="EXISTING"),SUMIFS('Existing Customers'!$V:$V,'Existing Customers'!$H:$H,$MW33,'Existing Customers'!$A:$A,$MX$1)*$MX$4,0),0))</f>
        <v>0</v>
      </c>
      <c r="NC33" s="93">
        <f>IF('Customer Inputs'!$W$19="End",0,IFERROR(IF(AND($MX$2&lt;&gt;"Enter Spend&gt;&gt;&gt;",$MY$2="EXISTING"),SUMIFS('Existing Customers'!$R:$R,'Existing Customers'!$H:$H,$MW33,'Existing Customers'!$A:$A,$MX$1)*$MX$4,0),0))</f>
        <v>0</v>
      </c>
      <c r="ND33" s="780">
        <f>IF('Customer Inputs'!$W$19="End",0,IFERROR(IF(AND($MX$2&lt;&gt;"Enter Spend&gt;&gt;&gt;",$MY$2="EXISTING"),SUMIFS('Existing Customers'!$S:$S,'Existing Customers'!$H:$H,$MW33,'Existing Customers'!$A:$A,$MX$1)/SUMIFS('Existing Customers'!$Q:$Q,'Existing Customers'!$A:$A,$MX$1,'Existing Customers'!$H:$H,$MW33),NN33),0))</f>
        <v>0</v>
      </c>
      <c r="NE33" s="780">
        <f>IF('Customer Inputs'!$W$19="End",0,IFERROR(IF(AND($MX$2&lt;&gt;"Enter Spend&gt;&gt;&gt;",$MY$2="EXISTING"),SUMIFS('Existing Customers'!$U:$U,'Existing Customers'!$H:$H,$MW33,'Existing Customers'!$A:$A,$MX$1)/SUMIFS('Existing Customers'!$Q:$Q,'Existing Customers'!$A:$A,$MX$1,'Existing Customers'!$H:$H,$MW33),NO33),0))</f>
        <v>0</v>
      </c>
      <c r="NF33" s="783" t="e">
        <f>_xlfn.CONCAT('Customer Inputs'!$AH$19,"_",MW33)</f>
        <v>#N/A</v>
      </c>
      <c r="NG33" s="783">
        <f t="array" ref="NG33">IF('Customer Inputs'!$W$19="End",0,IFERROR(INDEX('Margin Guidence Table'!$A$1:$AG$10000,MATCH(1,('Margin Guidence Table'!$A$1:$A$10000=NF33)*('Margin Guidence Table'!$I$1:$I$10000&lt;=ROUND($MX$3,0))*('Margin Guidence Table'!$J$1:$J$10000&gt;=ROUND($MX$3,0)),0),MATCH("DATA_POINTS",'Margin Guidence Table'!$A$1:$AG$1,0)),0))</f>
        <v>0</v>
      </c>
      <c r="NH33" s="780" t="str">
        <f t="shared" si="59"/>
        <v>DEFAULT</v>
      </c>
      <c r="NI33" s="780">
        <f t="array" ref="NI33">IF('Customer Inputs'!$W$19="End",0,IFERROR(IF($NH33="SEGMENT",INDEX('Margin Guidence Table'!$A$1:$AG$10000,MATCH(1,('Margin Guidence Table'!$A$1:$A$10000=NF33)*('Margin Guidence Table'!$I$1:$I$10000&lt;=ROUND($MX$3,0))*('Margin Guidence Table'!$J$1:$J$10000&gt;=ROUND($MX$3,0)),0),MATCH("SALES_CASE",'Margin Guidence Table'!$A$1:$AG$1,0)),INDEX('Margin Guidence Table'!$A$1:$AG$10000,MATCH(1,('Margin Guidence Table'!$A$1:$A$10000=NF33)*('Margin Guidence Table'!$I$1:$I$10000&lt;=ROUND($MX$3,0))*('Margin Guidence Table'!$J$1:$J$10000&gt;=ROUND($MX$3,0)),0),MATCH("DEFAULT_SALES_CASE",'Margin Guidence Table'!$A$1:$AG$1,0))),0))</f>
        <v>0</v>
      </c>
      <c r="NJ33" s="780">
        <f t="array" ref="NJ33">IF('Customer Inputs'!$W$19="End",0,IFERROR(IF($NH33="SEGMENT",INDEX('Margin Guidence Table'!$A$1:$AG$10000,MATCH(1,('Margin Guidence Table'!$A$1:$A$10000=NF33)*('Margin Guidence Table'!$I$1:$I$10000&lt;=ROUND($MX$3,0))*('Margin Guidence Table'!$J$1:$J$10000&gt;=ROUND($MX$3,0)),0),MATCH("SALES_LBS",'Margin Guidence Table'!$A$1:$AG$1,0)),INDEX('Margin Guidence Table'!$A$1:$AG$10000,MATCH(1,('Margin Guidence Table'!$A$1:$A$10000=NF33)*('Margin Guidence Table'!$I$1:$I$10000&lt;=ROUND($MX$3,0))*('Margin Guidence Table'!$J$1:$J$10000&gt;=ROUND($MX$3,0)),0),MATCH("DEFAULT_SALES_LBS",'Margin Guidence Table'!$A$1:$AG$1,0))),0))</f>
        <v>0</v>
      </c>
      <c r="NK33" s="784">
        <f t="array" ref="NK33">IF('Customer Inputs'!$W$19="End",0,IFERROR(IF($NH33="SEGMENT",INDEX('Margin Guidence Table'!$A$1:$AG$10000,MATCH(1,('Margin Guidence Table'!$A$1:$A$10000=NF33)*('Margin Guidence Table'!$I$1:$I$10000&lt;=ROUND($MX$3,0))*('Margin Guidence Table'!$J$1:$J$10000&gt;=ROUND($MX$3,0)),0),MATCH("MDA_MIN_MARGIN_GUIDENCE",'Margin Guidence Table'!$A$1:$AG$1,0)),INDEX('Margin Guidence Table'!$A$1:$AG$10000,MATCH(1,('Margin Guidence Table'!$A$1:$A$10000=NF33)*('Margin Guidence Table'!$I$1:$I$10000&lt;=ROUND($MX$3,0))*('Margin Guidence Table'!$J$1:$J$10000&gt;=ROUND($MX$3,0)),0),MATCH("DEFAULT_MDA_MIN_MARGIN_GUIDENCE",'Margin Guidence Table'!$A$1:$AG$1,0))),0))</f>
        <v>0</v>
      </c>
      <c r="NL33" s="784">
        <f t="array" ref="NL33">IF('Customer Inputs'!$W$19="End",0,IFERROR(IF($NH33="SEGMENT",INDEX('Margin Guidence Table'!$A$1:$AG$10000,MATCH(1,('Margin Guidence Table'!$A$1:$A$10000=NF33)*('Margin Guidence Table'!$I$1:$I$10000&lt;=ROUND($MX$3,0))*('Margin Guidence Table'!$J$1:$J$10000&gt;=ROUND($MX$3,0)),0),MATCH("MDA_MEDIAN_MARGIN_GUIDENCE",'Margin Guidence Table'!$A$1:$AG$1,0)),INDEX('Margin Guidence Table'!$A$1:$AG$10000,MATCH(1,('Margin Guidence Table'!$A$1:$A$10000=NF33)*('Margin Guidence Table'!$I$1:$I$10000&lt;=ROUND($MX$3,0))*('Margin Guidence Table'!$J$1:$J$10000&gt;=ROUND($MX$3,0)),0),MATCH("DEFAULT_MDA_MEDIAN_MARGIN_GUIDENCE",'Margin Guidence Table'!$A$1:$AG$1,0))),0))</f>
        <v>0</v>
      </c>
      <c r="NM33" s="784">
        <f t="array" ref="NM33">IF('Customer Inputs'!$W$19="End",0,IFERROR(IF($NH33="SEGMENT",INDEX('Margin Guidence Table'!$A$1:$AG$10000,MATCH(1,('Margin Guidence Table'!$A$1:$A$10000=NF33)*('Margin Guidence Table'!$I$1:$I$10000&lt;=ROUND($MX$3,0))*('Margin Guidence Table'!$J$1:$J$10000&gt;=ROUND($MX$3,0)),0),MATCH("MDA_MAX_MARGIN_GUIDENCE",'Margin Guidence Table'!$A$1:$AG$1,0)),INDEX('Margin Guidence Table'!$A$1:$AG$10000,MATCH(1,('Margin Guidence Table'!$A$1:$A$10000=NF33)*('Margin Guidence Table'!$I$1:$I$10000&lt;=ROUND($MX$3,0))*('Margin Guidence Table'!$J$1:$J$10000&gt;=ROUND($MX$3,0)),0),MATCH("DEFAULT_MDA_MAX_MARGIN_GUIDENCE",'Margin Guidence Table'!$A$1:$AG$1,0))),0))</f>
        <v>0</v>
      </c>
      <c r="NN33" s="784">
        <f t="array" ref="NN33">IF('Customer Inputs'!$W$19="End",0,IFERROR(IF($NH33="SEGMENT",INDEX('Margin Guidence Table'!$A$1:$AG$10000,MATCH(1,('Margin Guidence Table'!$A$1:$A$10000=NF33)*('Margin Guidence Table'!$I$1:$I$10000&lt;=ROUND($MX$3,0))*('Margin Guidence Table'!$J$1:$J$10000&gt;=ROUND($MX$3,0)),0),MATCH("PA_PCT_SALES",'Margin Guidence Table'!$A$1:$AG$1,0)),INDEX('Margin Guidence Table'!$A$1:$AG$10000,MATCH(1,('Margin Guidence Table'!$A$1:$A$10000=NF33)*('Margin Guidence Table'!$I$1:$I$10000&lt;=ROUND($MX$3,0))*('Margin Guidence Table'!$J$1:$J$10000&gt;=ROUND($MX$3,0)),0),MATCH("DEFAULT_PA_PCT_SALES",'Margin Guidence Table'!$A$1:$AG$1,0))),0))</f>
        <v>0</v>
      </c>
      <c r="NO33" s="784">
        <f t="array" ref="NO33">IF('Customer Inputs'!$W$19="End",0,IFERROR(IF($NH33="SEGMENT",INDEX('Margin Guidence Table'!$A$1:$AG$10000,MATCH(1,('Margin Guidence Table'!$A$1:$A$10000=NF33)*('Margin Guidence Table'!$I$1:$I$10000&lt;=ROUND($MX$3,0))*('Margin Guidence Table'!$J$1:$J$10000&gt;=ROUND($MX$3,0)),0),MATCH("SELF_FUND_PCT_SALES",'Margin Guidence Table'!$A$1:$AG$1,0)),INDEX('Margin Guidence Table'!$A$1:$AG$10000,MATCH(1,('Margin Guidence Table'!$A$1:$A$10000=NF33)*('Margin Guidence Table'!$I$1:$I$10000&lt;=ROUND($MX$3,0))*('Margin Guidence Table'!$J$1:$J$10000&gt;=ROUND($MX$3,0)),0),MATCH("DEFAULT_SELF_FUND_PCT_SALES",'Margin Guidence Table'!$A$1:$AG$1,0))),0))</f>
        <v>0</v>
      </c>
      <c r="NP33" s="784">
        <f t="array" ref="NP33">IF('Customer Inputs'!$W$19="End",0,IF($MY$2="Existing",IFERROR(SUMIFS('Existing Customers'!$V:$V,'Existing Customers'!$H:$H,$MW33,'Existing Customers'!$A:$A,$MX$1)/SUMIFS('Existing Customers'!$Q:$Q,'Existing Customers'!$H:$H,$MW33,'Existing Customers'!$A:$A,$MX$1),0),IFERROR(IF($NH33="SEGMENT",INDEX('Margin Guidence Table'!$A$1:$AG$10000,MATCH(1,('Margin Guidence Table'!$A$1:$A$10000=NF33)*('Margin Guidence Table'!$I$1:$I$10000&lt;=ROUND($MX$3,0))*('Margin Guidence Table'!$J$1:$J$10000&gt;=ROUND($MX$3,0)),0),MATCH("CIA_MEDIAN_MARGIN_GUIDENCE",'Margin Guidence Table'!$A$1:$AG$1,0)),INDEX('Margin Guidence Table'!$A$1:$AG$10000,MATCH(1,('Margin Guidence Table'!$A$1:$A$10000=NF33)*('Margin Guidence Table'!$I$1:$I$10000&lt;=ROUND($MX$3,0))*('Margin Guidence Table'!$J$1:$J$10000&gt;=ROUND($MX$3,0)),0),MATCH("DEFAULT_CIA_MEDIAN_MARGIN_GUIDENCE",'Margin Guidence Table'!$A$1:$AG$1,0))),0)))</f>
        <v>0</v>
      </c>
      <c r="NQ33" s="784"/>
      <c r="NR33" s="18">
        <f t="array" ref="NR33">IF('Customer Inputs'!$W$20="End",0,IFERROR(IF($OE33="SEGMENT",INDEX('Margin Guidence Table'!$A$1:$AG$10000,MATCH(1,('Margin Guidence Table'!$A$1:$A$10000=$OC33)*('Margin Guidence Table'!$I$1:$I$10000&lt;=ROUND($NU$3,0))*('Margin Guidence Table'!$J$1:$J$10000&gt;=ROUND($NU$3,0)),0),MATCH("PCT_SALES",'Margin Guidence Table'!$A$1:$AG$1,0)),INDEX('Margin Guidence Table'!$A$1:$AG$10000,MATCH(1,('Margin Guidence Table'!$A$1:$A$10000=$OC33)*('Margin Guidence Table'!$I$1:$I$10000&lt;=ROUND($NU$3,0))*('Margin Guidence Table'!$J$1:$J$10000&gt;=ROUND($NU$3,0)),0),MATCH("DEFAULT_PCT_SALES",'Margin Guidence Table'!$A$1:$AG$1,0))),0))</f>
        <v>0</v>
      </c>
      <c r="NS33" s="1713" t="e">
        <f t="shared" si="60"/>
        <v>#DIV/0!</v>
      </c>
      <c r="NT33" s="99" t="s">
        <v>88</v>
      </c>
      <c r="NU33" s="91">
        <f>IF('Customer Inputs'!$W$20="End",0,IFERROR(IF(AND($NU$2&lt;&gt;"Enter Spend&gt;&gt;&gt;",$NV$2="EXISTING"),SUMIFS('Existing Customers'!$Q:$Q,'Existing Customers'!$A:$A,$NU$1,'Existing Customers'!$H:$H,$NT33)*$NU$4,$NU$3*$NS33),0))</f>
        <v>0</v>
      </c>
      <c r="NV33" s="86">
        <f>IF('Customer Inputs'!$W$20="End",0,IFERROR(IF(AND($NU$2&lt;&gt;"Enter Spend&gt;&gt;&gt;",$NV$2="EXISTING"),SUMIFS('Existing Customers'!$N:$N,'Existing Customers'!$A:$A,$NU$1,'Existing Customers'!$H:$H,$NT33)*$NU$4,$NU33/$OF33),0))</f>
        <v>0</v>
      </c>
      <c r="NW33" s="92">
        <f>IF('Customer Inputs'!$W$20="End",0,IFERROR(IF(AND($NU$2&lt;&gt;"Enter Spend&gt;&gt;&gt;",$NV$2="EXISTING"),SUMIFS('Existing Customers'!$O:$O,'Existing Customers'!$H:$H,$NT33,'Existing Customers'!$A:$A,$NU$1)*$NU$4,$NV33*$NU$8),0))</f>
        <v>0</v>
      </c>
      <c r="NX33" s="92">
        <f>IF('Customer Inputs'!$W$20="End",0,IFERROR(IF(AND($NU$2&lt;&gt;"Enter Spend&gt;&gt;&gt;",$NV$2="EXISTING"),SUMIFS('Existing Customers'!$P:$P,'Existing Customers'!$A:$A,$NU$1,'Existing Customers'!$H:$H,$NT33)*$NU$4,$NU33/$OG33),0))</f>
        <v>0</v>
      </c>
      <c r="NY33" s="303">
        <f>IF('Customer Inputs'!$W$20="End",0,IFERROR(IF(AND($NU$2&lt;&gt;"Enter Spend&gt;&gt;&gt;",$NV$2="EXISTING"),SUMIFS('Existing Customers'!$V:$V,'Existing Customers'!$H:$H,$NT33,'Existing Customers'!$A:$A,$NU$1)*$NU$4,0),0))</f>
        <v>0</v>
      </c>
      <c r="NZ33" s="93">
        <f>IF('Customer Inputs'!$W$20="End",0,IFERROR(IF(AND($NU$2&lt;&gt;"Enter Spend&gt;&gt;&gt;",$NV$2="EXISTING"),SUMIFS('Existing Customers'!$R:$R,'Existing Customers'!$H:$H,$NT33,'Existing Customers'!$A:$A,$NU$1)*$NU$4,0),0))</f>
        <v>0</v>
      </c>
      <c r="OA33" s="780">
        <f>IF('Customer Inputs'!$W$20="End",0,IFERROR(IF(AND($NU$2&lt;&gt;"Enter Spend&gt;&gt;&gt;",$NV$2="EXISTING"),SUMIFS('Existing Customers'!$S:$S,'Existing Customers'!$H:$H,$NT33,'Existing Customers'!$A:$A,$NU$1)/SUMIFS('Existing Customers'!$Q:$Q,'Existing Customers'!$A:$A,$NU$1,'Existing Customers'!$H:$H,$NT33),OK33),0))</f>
        <v>0</v>
      </c>
      <c r="OB33" s="780">
        <f>IF('Customer Inputs'!$W$20="End",0,IFERROR(IF(AND($NU$2&lt;&gt;"Enter Spend&gt;&gt;&gt;",$NV$2="EXISTING"),SUMIFS('Existing Customers'!$U:$U,'Existing Customers'!$H:$H,$NT33,'Existing Customers'!$A:$A,$NU$1)/SUMIFS('Existing Customers'!$Q:$Q,'Existing Customers'!$A:$A,$NU$1,'Existing Customers'!$H:$H,$NT33),OL33),0))</f>
        <v>0</v>
      </c>
      <c r="OC33" s="783" t="e">
        <f>_xlfn.CONCAT('Customer Inputs'!$AH$20,"_",NT33)</f>
        <v>#N/A</v>
      </c>
      <c r="OD33" s="783">
        <f t="array" ref="OD33">IF('Customer Inputs'!$W$20="End",0,IFERROR(INDEX('Margin Guidence Table'!$A$1:$AG$10000,MATCH(1,('Margin Guidence Table'!$A$1:$A$10000=OC33)*('Margin Guidence Table'!$I$1:$I$10000&lt;=ROUND($NU$3,0))*('Margin Guidence Table'!$J$1:$J$10000&gt;=ROUND($NU$3,0)),0),MATCH("DATA_POINTS",'Margin Guidence Table'!$A$1:$AG$1,0)),0))</f>
        <v>0</v>
      </c>
      <c r="OE33" s="780" t="str">
        <f t="shared" si="61"/>
        <v>DEFAULT</v>
      </c>
      <c r="OF33" s="780">
        <f t="array" ref="OF33">IF('Customer Inputs'!$W$20="End",0,IFERROR(IF($OE33="SEGMENT",INDEX('Margin Guidence Table'!$A$1:$AG$10000,MATCH(1,('Margin Guidence Table'!$A$1:$A$10000=OC33)*('Margin Guidence Table'!$I$1:$I$10000&lt;=ROUND($NU$3,0))*('Margin Guidence Table'!$J$1:$J$10000&gt;=ROUND($NU$3,0)),0),MATCH("SALES_CASE",'Margin Guidence Table'!$A$1:$AG$1,0)),INDEX('Margin Guidence Table'!$A$1:$AG$10000,MATCH(1,('Margin Guidence Table'!$A$1:$A$10000=OC33)*('Margin Guidence Table'!$I$1:$I$10000&lt;=ROUND($NU$3,0))*('Margin Guidence Table'!$J$1:$J$10000&gt;=ROUND($NU$3,0)),0),MATCH("DEFAULT_SALES_CASE",'Margin Guidence Table'!$A$1:$AG$1,0))),0))</f>
        <v>0</v>
      </c>
      <c r="OG33" s="780">
        <f t="array" ref="OG33">IF('Customer Inputs'!$W$20="End",0,IFERROR(IF($OE33="SEGMENT",INDEX('Margin Guidence Table'!$A$1:$AG$10000,MATCH(1,('Margin Guidence Table'!$A$1:$A$10000=OC33)*('Margin Guidence Table'!$I$1:$I$10000&lt;=ROUND($NU$3,0))*('Margin Guidence Table'!$J$1:$J$10000&gt;=ROUND($NU$3,0)),0),MATCH("SALES_LBS",'Margin Guidence Table'!$A$1:$AG$1,0)),INDEX('Margin Guidence Table'!$A$1:$AG$10000,MATCH(1,('Margin Guidence Table'!$A$1:$A$10000=OC33)*('Margin Guidence Table'!$I$1:$I$10000&lt;=ROUND($NU$3,0))*('Margin Guidence Table'!$J$1:$J$10000&gt;=ROUND($NU$3,0)),0),MATCH("DEFAULT_SALES_LBS",'Margin Guidence Table'!$A$1:$AG$1,0))),0))</f>
        <v>0</v>
      </c>
      <c r="OH33" s="784">
        <f t="array" ref="OH33">IF('Customer Inputs'!$W$20="End",0,IFERROR(IF($OE33="SEGMENT",INDEX('Margin Guidence Table'!$A$1:$AG$10000,MATCH(1,('Margin Guidence Table'!$A$1:$A$10000=OC33)*('Margin Guidence Table'!$I$1:$I$10000&lt;=ROUND($NU$3,0))*('Margin Guidence Table'!$J$1:$J$10000&gt;=ROUND($NU$3,0)),0),MATCH("MDA_MIN_MARGIN_GUIDENCE",'Margin Guidence Table'!$A$1:$AG$1,0)),INDEX('Margin Guidence Table'!$A$1:$AG$10000,MATCH(1,('Margin Guidence Table'!$A$1:$A$10000=OC33)*('Margin Guidence Table'!$I$1:$I$10000&lt;=ROUND($NU$3,0))*('Margin Guidence Table'!$J$1:$J$10000&gt;=ROUND($NU$3,0)),0),MATCH("DEFAULT_MDA_MIN_MARGIN_GUIDENCE",'Margin Guidence Table'!$A$1:$AG$1,0))),0))</f>
        <v>0</v>
      </c>
      <c r="OI33" s="784">
        <f t="array" ref="OI33">IF('Customer Inputs'!$W$20="End",0,IFERROR(IF($OE33="SEGMENT",INDEX('Margin Guidence Table'!$A$1:$AG$10000,MATCH(1,('Margin Guidence Table'!$A$1:$A$10000=OC33)*('Margin Guidence Table'!$I$1:$I$10000&lt;=ROUND($NU$3,0))*('Margin Guidence Table'!$J$1:$J$10000&gt;=ROUND($NU$3,0)),0),MATCH("MDA_MEDIAN_MARGIN_GUIDENCE",'Margin Guidence Table'!$A$1:$AG$1,0)),INDEX('Margin Guidence Table'!$A$1:$AG$10000,MATCH(1,('Margin Guidence Table'!$A$1:$A$10000=OC33)*('Margin Guidence Table'!$I$1:$I$10000&lt;=ROUND($NU$3,0))*('Margin Guidence Table'!$J$1:$J$10000&gt;=ROUND($NU$3,0)),0),MATCH("DEFAULT_MDA_MEDIAN_MARGIN_GUIDENCE",'Margin Guidence Table'!$A$1:$AG$1,0))),0))</f>
        <v>0</v>
      </c>
      <c r="OJ33" s="784">
        <f t="array" ref="OJ33">IF('Customer Inputs'!$W$20="End",0,IFERROR(IF($OE33="SEGMENT",INDEX('Margin Guidence Table'!$A$1:$AG$10000,MATCH(1,('Margin Guidence Table'!$A$1:$A$10000=OC33)*('Margin Guidence Table'!$I$1:$I$10000&lt;=ROUND($NU$3,0))*('Margin Guidence Table'!$J$1:$J$10000&gt;=ROUND($NU$3,0)),0),MATCH("MDA_MAX_MARGIN_GUIDENCE",'Margin Guidence Table'!$A$1:$AG$1,0)),INDEX('Margin Guidence Table'!$A$1:$AG$10000,MATCH(1,('Margin Guidence Table'!$A$1:$A$10000=OC33)*('Margin Guidence Table'!$I$1:$I$10000&lt;=ROUND($NU$3,0))*('Margin Guidence Table'!$J$1:$J$10000&gt;=ROUND($NU$3,0)),0),MATCH("DEFAULT_MDA_MAX_MARGIN_GUIDENCE",'Margin Guidence Table'!$A$1:$AG$1,0))),0))</f>
        <v>0</v>
      </c>
      <c r="OK33" s="784">
        <f t="array" ref="OK33">IF('Customer Inputs'!$W$20="End",0,IFERROR(IF($OE33="SEGMENT",INDEX('Margin Guidence Table'!$A$1:$AG$10000,MATCH(1,('Margin Guidence Table'!$A$1:$A$10000=OC33)*('Margin Guidence Table'!$I$1:$I$10000&lt;=ROUND($NU$3,0))*('Margin Guidence Table'!$J$1:$J$10000&gt;=ROUND($NU$3,0)),0),MATCH("PA_PCT_SALES",'Margin Guidence Table'!$A$1:$AG$1,0)),INDEX('Margin Guidence Table'!$A$1:$AG$10000,MATCH(1,('Margin Guidence Table'!$A$1:$A$10000=OC33)*('Margin Guidence Table'!$I$1:$I$10000&lt;=ROUND($NU$3,0))*('Margin Guidence Table'!$J$1:$J$10000&gt;=ROUND($NU$3,0)),0),MATCH("DEFAULT_PA_PCT_SALES",'Margin Guidence Table'!$A$1:$AG$1,0))),0))</f>
        <v>0</v>
      </c>
      <c r="OL33" s="784">
        <f t="array" ref="OL33">IF('Customer Inputs'!$W$20="End",0,IFERROR(IF($OE33="SEGMENT",INDEX('Margin Guidence Table'!$A$1:$AG$10000,MATCH(1,('Margin Guidence Table'!$A$1:$A$10000=OC33)*('Margin Guidence Table'!$I$1:$I$10000&lt;=ROUND($NU$3,0))*('Margin Guidence Table'!$J$1:$J$10000&gt;=ROUND($NU$3,0)),0),MATCH("SELF_FUND_PCT_SALES",'Margin Guidence Table'!$A$1:$AG$1,0)),INDEX('Margin Guidence Table'!$A$1:$AG$10000,MATCH(1,('Margin Guidence Table'!$A$1:$A$10000=OC33)*('Margin Guidence Table'!$I$1:$I$10000&lt;=ROUND($NU$3,0))*('Margin Guidence Table'!$J$1:$J$10000&gt;=ROUND($NU$3,0)),0),MATCH("DEFAULT_SELF_FUND_PCT_SALES",'Margin Guidence Table'!$A$1:$AG$1,0))),0))</f>
        <v>0</v>
      </c>
      <c r="OM33" s="784">
        <f t="array" ref="OM33">IF('Customer Inputs'!$W$20="End",0,IF($NV$2="Existing",IFERROR(SUMIFS('Existing Customers'!$V:$V,'Existing Customers'!$H:$H,$NT33,'Existing Customers'!$A:$A,$NU$1)/SUMIFS('Existing Customers'!$Q:$Q,'Existing Customers'!$H:$H,$NT33,'Existing Customers'!$A:$A,$NU$1),0),IFERROR(IF($OE33="SEGMENT",INDEX('Margin Guidence Table'!$A$1:$AG$10000,MATCH(1,('Margin Guidence Table'!$A$1:$A$10000=OC33)*('Margin Guidence Table'!$I$1:$I$10000&lt;=ROUND($NU$3,0))*('Margin Guidence Table'!$J$1:$J$10000&gt;=ROUND($NU$3,0)),0),MATCH("CIA_MEDIAN_MARGIN_GUIDENCE",'Margin Guidence Table'!$A$1:$AG$1,0)),INDEX('Margin Guidence Table'!$A$1:$AG$10000,MATCH(1,('Margin Guidence Table'!$A$1:$A$10000=OC33)*('Margin Guidence Table'!$I$1:$I$10000&lt;=ROUND($NU$3,0))*('Margin Guidence Table'!$J$1:$J$10000&gt;=ROUND($NU$3,0)),0),MATCH("DEFAULT_CIA_MEDIAN_MARGIN_GUIDENCE",'Margin Guidence Table'!$A$1:$AG$1,0))),0)))</f>
        <v>0</v>
      </c>
      <c r="ON33" s="784"/>
      <c r="OO33" s="18">
        <f t="array" ref="OO33">IF('Customer Inputs'!$W$21="End",0,IFERROR(IF($PB33="SEGMENT",INDEX('Margin Guidence Table'!$A$1:$AG$10000,MATCH(1,('Margin Guidence Table'!$A$1:$A$10000=$OZ33)*('Margin Guidence Table'!$I$1:$I$10000&lt;=ROUND($OR$3,0))*('Margin Guidence Table'!$J$1:$J$10000&gt;=ROUND($OR$3,0)),0),MATCH("PCT_SALES",'Margin Guidence Table'!$A$1:$AG$1,0)),INDEX('Margin Guidence Table'!$A$1:$AG$10000,MATCH(1,('Margin Guidence Table'!$A$1:$A$10000=$OZ33)*('Margin Guidence Table'!$I$1:$I$10000&lt;=ROUND($OR$3,0))*('Margin Guidence Table'!$J$1:$J$10000&gt;=ROUND($OR$3,0)),0),MATCH("DEFAULT_PCT_SALES",'Margin Guidence Table'!$A$1:$AG$1,0))),0))</f>
        <v>0</v>
      </c>
      <c r="OP33" s="1713" t="e">
        <f t="shared" si="62"/>
        <v>#DIV/0!</v>
      </c>
      <c r="OQ33" s="99" t="s">
        <v>88</v>
      </c>
      <c r="OR33" s="91">
        <f>IF('Customer Inputs'!$W$21="End",0,IFERROR(IF(AND($OR$2&lt;&gt;"Enter Spend&gt;&gt;&gt;",$OS$2="EXISTING"),SUMIFS('Existing Customers'!$Q:$Q,'Existing Customers'!$A:$A,$OR$1,'Existing Customers'!$H:$H,$OQ33)*$OR$4,$OR$3*$OP33),0))</f>
        <v>0</v>
      </c>
      <c r="OS33" s="86">
        <f>IF('Customer Inputs'!$W$21="End",0,IFERROR(IF(AND($OR$2&lt;&gt;"Enter Spend&gt;&gt;&gt;",$OS$2="EXISTING"),SUMIFS('Existing Customers'!$N:$N,'Existing Customers'!$A:$A,$OR$1,'Existing Customers'!$H:$H,$OQ33)*$OR$4,$OR33/$PC33),0))</f>
        <v>0</v>
      </c>
      <c r="OT33" s="92">
        <f>IF('Customer Inputs'!$W$21="End",0,IFERROR(IF(AND($OR$2&lt;&gt;"Enter Spend&gt;&gt;&gt;",$OS$2="EXISTING"),SUMIFS('Existing Customers'!$O:$O,'Existing Customers'!$H:$H,$OQ33,'Existing Customers'!$A:$A,$OR$1)*$OR$4,$OS33*$OR$8),0))</f>
        <v>0</v>
      </c>
      <c r="OU33" s="92">
        <f>IF('Customer Inputs'!$W$21="End",0,IFERROR(IF(AND($OR$2&lt;&gt;"Enter Spend&gt;&gt;&gt;",$OS$2="EXISTING"),SUMIFS('Existing Customers'!$P:$P,'Existing Customers'!$A:$A,$OR$1,'Existing Customers'!$H:$H,$OQ33)*$OR$4,$OR33/$PD33),0))</f>
        <v>0</v>
      </c>
      <c r="OV33" s="303">
        <f>IF('Customer Inputs'!$W$21="End",0,IFERROR(IF(AND($OR$2&lt;&gt;"Enter Spend&gt;&gt;&gt;",$OS$2="EXISTING"),SUMIFS('Existing Customers'!$V:$V,'Existing Customers'!$H:$H,$OQ33,'Existing Customers'!$A:$A,$OR$1)*$OR$4,0),0))</f>
        <v>0</v>
      </c>
      <c r="OW33" s="93">
        <f>IF('Customer Inputs'!$W$21="End",0,IFERROR(IF(AND($OR$2&lt;&gt;"Enter Spend&gt;&gt;&gt;",$OS$2="EXISTING"),SUMIFS('Existing Customers'!$R:$R,'Existing Customers'!$H:$H,$OP33,'Existing Customers'!$A:$A,$OR$1)*$OR$4,0),0))</f>
        <v>0</v>
      </c>
      <c r="OX33" s="780">
        <f>IF('Customer Inputs'!$W$21="End",0,IFERROR(IF(AND($OR$2&lt;&gt;"Enter Spend&gt;&gt;&gt;",$OS$2="EXISTING"),SUMIFS('Existing Customers'!$S:$S,'Existing Customers'!$H:$H,$OQ33,'Existing Customers'!$A:$A,$OR$1)/SUMIFS('Existing Customers'!$Q:$Q,'Existing Customers'!$A:$A,$OR$1,'Existing Customers'!$H:$H,$OQ33),PH33),0))</f>
        <v>0</v>
      </c>
      <c r="OY33" s="780">
        <f>IF('Customer Inputs'!$W$21="End",0,IFERROR(IF(AND($OR$2&lt;&gt;"Enter Spend&gt;&gt;&gt;",$OS$2="EXISTING"),SUMIFS('Existing Customers'!$U:$U,'Existing Customers'!$H:$H,$OQ33,'Existing Customers'!$A:$A,$OR$1)/SUMIFS('Existing Customers'!$Q:$Q,'Existing Customers'!$A:$A,$OR$1,'Existing Customers'!$H:$H,$OQ33),PI33),0))</f>
        <v>0</v>
      </c>
      <c r="OZ33" s="783" t="e">
        <f>_xlfn.CONCAT('Customer Inputs'!$AH$21,"_",OQ33)</f>
        <v>#N/A</v>
      </c>
      <c r="PA33" s="783">
        <f t="array" ref="PA33">IF('Customer Inputs'!$W$22="End",0,IFERROR(INDEX('Margin Guidence Table'!$A$1:$AG$10000,MATCH(1,('Margin Guidence Table'!$A$1:$A$10000=OZ33)*('Margin Guidence Table'!$I$1:$I$10000&lt;=ROUND($OR$3,0))*('Margin Guidence Table'!$J$1:$J$10000&gt;=ROUND($OR$3,0)),0),MATCH("DATA_POINTS",'Margin Guidence Table'!$A$1:$AG$1,0)),0))</f>
        <v>0</v>
      </c>
      <c r="PB33" s="780" t="str">
        <f t="shared" si="63"/>
        <v>DEFAULT</v>
      </c>
      <c r="PC33" s="780">
        <f t="array" ref="PC33">IF('Customer Inputs'!$W$21="End",0,IFERROR(IF($PB33="SEGMENT",INDEX('Margin Guidence Table'!$A$1:$AG$10000,MATCH(1,('Margin Guidence Table'!$A$1:$A$10000=OZ33)*('Margin Guidence Table'!$I$1:$I$10000&lt;=ROUND($OR$3,0))*('Margin Guidence Table'!$J$1:$J$10000&gt;=ROUND($OR$3,0)),0),MATCH("SALES_CASE",'Margin Guidence Table'!$A$1:$AG$1,0)),INDEX('Margin Guidence Table'!$A$1:$AG$10000,MATCH(1,('Margin Guidence Table'!$A$1:$A$10000=OZ33)*('Margin Guidence Table'!$I$1:$I$10000&lt;=ROUND($OR$3,0))*('Margin Guidence Table'!$J$1:$J$10000&gt;=ROUND($OR$3,0)),0),MATCH("DEFAULT_SALES_CASE",'Margin Guidence Table'!$A$1:$AG$1,0))),0))</f>
        <v>0</v>
      </c>
      <c r="PD33" s="780">
        <f t="array" ref="PD33">IF('Customer Inputs'!$W$21="End",0,IFERROR(IF($PB33="SEGMENT",INDEX('Margin Guidence Table'!$A$1:$AG$10000,MATCH(1,('Margin Guidence Table'!$A$1:$A$10000=OZ33)*('Margin Guidence Table'!$I$1:$I$10000&lt;=ROUND($OR$3,0))*('Margin Guidence Table'!$J$1:$J$10000&gt;=ROUND($OR$3,0)),0),MATCH("SALES_LBS",'Margin Guidence Table'!$A$1:$AG$1,0)),INDEX('Margin Guidence Table'!$A$1:$AG$10000,MATCH(1,('Margin Guidence Table'!$A$1:$A$10000=OZ33)*('Margin Guidence Table'!$I$1:$I$10000&lt;=ROUND($OR$3,0))*('Margin Guidence Table'!$J$1:$J$10000&gt;=ROUND($OR$3,0)),0),MATCH("DEFAULT_SALES_LBS",'Margin Guidence Table'!$A$1:$AG$1,0))),0))</f>
        <v>0</v>
      </c>
      <c r="PE33" s="784">
        <f t="array" ref="PE33">IF('Customer Inputs'!$W$21="End",0,IFERROR(IF($PB33="SEGMENT",INDEX('Margin Guidence Table'!$A$1:$AG$10000,MATCH(1,('Margin Guidence Table'!$A$1:$A$10000=OZ33)*('Margin Guidence Table'!$I$1:$I$10000&lt;=ROUND($OR$3,0))*('Margin Guidence Table'!$J$1:$J$10000&gt;=ROUND($OR$3,0)),0),MATCH("MDA_MIN_MARGIN_GUIDENCE",'Margin Guidence Table'!$A$1:$AG$1,0)),INDEX('Margin Guidence Table'!$A$1:$AG$10000,MATCH(1,('Margin Guidence Table'!$A$1:$A$10000=OZ33)*('Margin Guidence Table'!$I$1:$I$10000&lt;=ROUND($OR$3,0))*('Margin Guidence Table'!$J$1:$J$10000&gt;=ROUND($OR$3,0)),0),MATCH("DEFAULT_MDA_MIN_MARGIN_GUIDENCE",'Margin Guidence Table'!$A$1:$AG$1,0))),0))</f>
        <v>0</v>
      </c>
      <c r="PF33" s="784">
        <f t="array" ref="PF33">IF('Customer Inputs'!$W$21="End",0,IFERROR(IF($PB33="SEGMENT",INDEX('Margin Guidence Table'!$A$1:$AG$10000,MATCH(1,('Margin Guidence Table'!$A$1:$A$10000=OZ33)*('Margin Guidence Table'!$I$1:$I$10000&lt;=ROUND($OR$3,0))*('Margin Guidence Table'!$J$1:$J$10000&gt;=ROUND($OR$3,0)),0),MATCH("MDA_MEDIAN_MARGIN_GUIDENCE",'Margin Guidence Table'!$A$1:$AG$1,0)),INDEX('Margin Guidence Table'!$A$1:$AG$10000,MATCH(1,('Margin Guidence Table'!$A$1:$A$10000=OZ33)*('Margin Guidence Table'!$I$1:$I$10000&lt;=ROUND($OR$3,0))*('Margin Guidence Table'!$J$1:$J$10000&gt;=ROUND($OR$3,0)),0),MATCH("DEFAULT_MDA_MEDIAN_MARGIN_GUIDENCE",'Margin Guidence Table'!$A$1:$AG$1,0))),0))</f>
        <v>0</v>
      </c>
      <c r="PG33" s="784">
        <f t="array" ref="PG33">IF('Customer Inputs'!$W$21="End",0,IFERROR(IF($PB33="SEGMENT",INDEX('Margin Guidence Table'!$A$1:$AG$10000,MATCH(1,('Margin Guidence Table'!$A$1:$A$10000=OZ33)*('Margin Guidence Table'!$I$1:$I$10000&lt;=ROUND($OR$3,0))*('Margin Guidence Table'!$J$1:$J$10000&gt;=ROUND($OR$3,0)),0),MATCH("MDA_MAX_MARGIN_GUIDENCE",'Margin Guidence Table'!$A$1:$AG$1,0)),INDEX('Margin Guidence Table'!$A$1:$AG$10000,MATCH(1,('Margin Guidence Table'!$A$1:$A$10000=OZ33)*('Margin Guidence Table'!$I$1:$I$10000&lt;=ROUND($OR$3,0))*('Margin Guidence Table'!$J$1:$J$10000&gt;=ROUND($OR$3,0)),0),MATCH("DEFAULT_MDA_MAX_MARGIN_GUIDENCE",'Margin Guidence Table'!$A$1:$AG$1,0))),0))</f>
        <v>0</v>
      </c>
      <c r="PH33" s="784">
        <f t="array" ref="PH33">IF('Customer Inputs'!$W$21="End",0,IFERROR(IF($PB33="SEGMENT",INDEX('Margin Guidence Table'!$A$1:$AG$10000,MATCH(1,('Margin Guidence Table'!$A$1:$A$10000=OZ33)*('Margin Guidence Table'!$I$1:$I$10000&lt;=ROUND($OR$3,0))*('Margin Guidence Table'!$J$1:$J$10000&gt;=ROUND($OR$3,0)),0),MATCH("PA_PCT_SALES",'Margin Guidence Table'!$A$1:$AG$1,0)),INDEX('Margin Guidence Table'!$A$1:$AG$10000,MATCH(1,('Margin Guidence Table'!$A$1:$A$10000=OZ33)*('Margin Guidence Table'!$I$1:$I$10000&lt;=ROUND($OR$3,0))*('Margin Guidence Table'!$J$1:$J$10000&gt;=ROUND($OR$3,0)),0),MATCH("DEFAULT_PA_PCT_SALES",'Margin Guidence Table'!$A$1:$AG$1,0))),0))</f>
        <v>0</v>
      </c>
      <c r="PI33" s="784">
        <f t="array" ref="PI33">IF('Customer Inputs'!$W$21="End",0,IFERROR(IF($PB33="SEGMENT",INDEX('Margin Guidence Table'!$A$1:$AG$10000,MATCH(1,('Margin Guidence Table'!$A$1:$A$10000=OZ33)*('Margin Guidence Table'!$I$1:$I$10000&lt;=ROUND($OR$3,0))*('Margin Guidence Table'!$J$1:$J$10000&gt;=ROUND($OR$3,0)),0),MATCH("SELF_FUND_PCT_SALES",'Margin Guidence Table'!$A$1:$AG$1,0)),INDEX('Margin Guidence Table'!$A$1:$AG$10000,MATCH(1,('Margin Guidence Table'!$A$1:$A$10000=OZ33)*('Margin Guidence Table'!$I$1:$I$10000&lt;=ROUND($OR$3,0))*('Margin Guidence Table'!$J$1:$J$10000&gt;=ROUND($OR$3,0)),0),MATCH("DEFAULT_SELF_FUND_PCT_SALES",'Margin Guidence Table'!$A$1:$AG$1,0))),0))</f>
        <v>0</v>
      </c>
      <c r="PJ33" s="784">
        <f t="array" ref="PJ33">IF('Customer Inputs'!$W$21="End",0,IF($OS$2="Existing",IFERROR(SUMIFS('Existing Customers'!$V:$V,'Existing Customers'!$H:$H,$OQ33,'Existing Customers'!$A:$A,$OR$1)/SUMIFS('Existing Customers'!$Q:$Q,'Existing Customers'!$H:$H,$OQ33,'Existing Customers'!$A:$A,$OR$1),0),IFERROR(IF($PB33="SEGMENT",INDEX('Margin Guidence Table'!$A$1:$AG$10000,MATCH(1,('Margin Guidence Table'!$A$1:$A$10000=OZ33)*('Margin Guidence Table'!$I$1:$I$10000&lt;=ROUND($OR$3,0))*('Margin Guidence Table'!$J$1:$J$10000&gt;=ROUND($OR$3,0)),0),MATCH("CIA_MEDIAN_MARGIN_GUIDENCE",'Margin Guidence Table'!$A$1:$AG$1,0)),INDEX('Margin Guidence Table'!$A$1:$AG$10000,MATCH(1,('Margin Guidence Table'!$A$1:$A$10000=OZ33)*('Margin Guidence Table'!$I$1:$I$10000&lt;=ROUND($OR$3,0))*('Margin Guidence Table'!$J$1:$J$10000&gt;=ROUND($OR$3,0)),0),MATCH("DEFAULT_CIA_MEDIAN_MARGIN_GUIDENCE",'Margin Guidence Table'!$A$1:$AG$1,0))),0)))</f>
        <v>0</v>
      </c>
      <c r="PK33" s="784"/>
      <c r="PL33" s="18">
        <f t="array" ref="PL33">IF('Customer Inputs'!$W$22="End",0,IFERROR(IF($PY33="SEGMENT",INDEX('Margin Guidence Table'!$A$1:$AG$10000,MATCH(1,('Margin Guidence Table'!$A$1:$A$10000=$PW33)*('Margin Guidence Table'!$I$1:$I$10000&lt;=ROUND($PO$3,0))*('Margin Guidence Table'!$J$1:$J$10000&gt;=ROUND($PO$3,0)),0),MATCH("PCT_SALES",'Margin Guidence Table'!$A$1:$AG$1,0)),INDEX('Margin Guidence Table'!$A$1:$AG$10000,MATCH(1,('Margin Guidence Table'!$A$1:$A$10000=$PW33)*('Margin Guidence Table'!$I$1:$I$10000&lt;=ROUND($PO$3,0))*('Margin Guidence Table'!$J$1:$J$10000&gt;=ROUND($PO$3,0)),0),MATCH("DEFAULT_PCT_SALES",'Margin Guidence Table'!$A$1:$AG$1,0))),0))</f>
        <v>0</v>
      </c>
      <c r="PM33" s="1713" t="e">
        <f t="shared" si="64"/>
        <v>#DIV/0!</v>
      </c>
      <c r="PN33" s="99" t="s">
        <v>88</v>
      </c>
      <c r="PO33" s="91">
        <f>IF('Customer Inputs'!$W$22="End",0,IFERROR(IF(AND($PO$2&lt;&gt;"Enter Spend&gt;&gt;&gt;",$PP$2="EXISTING"),SUMIFS('Existing Customers'!$Q:$Q,'Existing Customers'!$A:$A,$PO$1,'Existing Customers'!$H:$H,$PN33)*$PO$4,$PO$3*$PM33),0))</f>
        <v>0</v>
      </c>
      <c r="PP33" s="86">
        <f>IF('Customer Inputs'!$W$22="End",0,IFERROR(IF(AND($PO$2&lt;&gt;"Enter Spend&gt;&gt;&gt;",$PP$2="EXISTING"),SUMIFS('Existing Customers'!$N:$N,'Existing Customers'!$A:$A,$PO$1,'Existing Customers'!$H:$H,$PN33)*$PO$4,$PO33/$PZ33),0))</f>
        <v>0</v>
      </c>
      <c r="PQ33" s="92">
        <f>IF('Customer Inputs'!$W$22="End",0,IFERROR(IF(AND($PO$2&lt;&gt;"Enter Spend&gt;&gt;&gt;",$PP$2="EXISTING"),SUMIFS('Existing Customers'!$O:$O,'Existing Customers'!$H:$H,$PN33,'Existing Customers'!$A:$A,$PO$1)*$PO$4,$PP33*$PO$8),0))</f>
        <v>0</v>
      </c>
      <c r="PR33" s="92">
        <f>IF('Customer Inputs'!$W$22="End",0,IFERROR(IF(AND($PO$2&lt;&gt;"Enter Spend&gt;&gt;&gt;",$PP$2="EXISTING"),SUMIFS('Existing Customers'!$P:$P,'Existing Customers'!$A:$A,$PO$1,'Existing Customers'!$H:$H,$PN33)*$PO$4,$PO33/$QA33),0))</f>
        <v>0</v>
      </c>
      <c r="PS33" s="303">
        <f>IF('Customer Inputs'!$W$22="End",0,IFERROR(IF(AND($PO$2&lt;&gt;"Enter Spend&gt;&gt;&gt;",$PP$2="EXISTING"),SUMIFS('Existing Customers'!$V:$V,'Existing Customers'!$H:$H,$PN33,'Existing Customers'!$A:$A,$PO$1)*$PO$4,0),0))</f>
        <v>0</v>
      </c>
      <c r="PT33" s="93">
        <f>IF('Customer Inputs'!$W$22="End",0,IFERROR(IF(AND($PO$2&lt;&gt;"Enter Spend&gt;&gt;&gt;",$PP$2="EXISTING"),SUMIFS('Existing Customers'!$R:$R,'Existing Customers'!$H:$H,$PN33,'Existing Customers'!$A:$A,$PO$1)*$PO$4,0),0))</f>
        <v>0</v>
      </c>
      <c r="PU33" s="780">
        <f>IF('Customer Inputs'!$W$22="End",0,IFERROR(IF(AND($PO$2&lt;&gt;"Enter Spend&gt;&gt;&gt;",$PP$2="EXISTING"),SUMIFS('Existing Customers'!$S:$S,'Existing Customers'!$H:$H,$PN33,'Existing Customers'!$A:$A,$PO$1)/SUMIFS('Existing Customers'!$Q:$Q,'Existing Customers'!$A:$A,$PO$1,'Existing Customers'!$H:$H,$PN33),QE33),0))</f>
        <v>0</v>
      </c>
      <c r="PV33" s="780">
        <f>IF('Customer Inputs'!$W$22="End",0,IFERROR(IF(AND($PO$2&lt;&gt;"Enter Spend&gt;&gt;&gt;",$PP$2="EXISTING"),SUMIFS('Existing Customers'!$U:$U,'Existing Customers'!$H:$H,$PN33,'Existing Customers'!$A:$A,$PO$1)/SUMIFS('Existing Customers'!$Q:$Q,'Existing Customers'!$A:$A,$PO$1,'Existing Customers'!$H:$H,$PN33),QF33),0))</f>
        <v>0</v>
      </c>
      <c r="PW33" s="783" t="e">
        <f>_xlfn.CONCAT('Customer Inputs'!$AH$22,"_",PN33)</f>
        <v>#N/A</v>
      </c>
      <c r="PX33" s="783">
        <f t="array" ref="PX33">IF('Customer Inputs'!$W$22="End",0,IFERROR(INDEX('Margin Guidence Table'!$A$1:$AG$10000,MATCH(1,('Margin Guidence Table'!$A$1:$A$10000=PW33)*('Margin Guidence Table'!$I$1:$I$10000&lt;=ROUND($PO$3,0))*('Margin Guidence Table'!$J$1:$J$10000&gt;=ROUND($PO$3,0)),0),MATCH("DATA_POINTS",'Margin Guidence Table'!$A$1:$AG$1,0)),0))</f>
        <v>0</v>
      </c>
      <c r="PY33" s="780" t="str">
        <f t="shared" si="65"/>
        <v>DEFAULT</v>
      </c>
      <c r="PZ33" s="780">
        <f t="array" ref="PZ33">IF('Customer Inputs'!$W$22="End",0,IFERROR(IF($PY33="SEGMENT",INDEX('Margin Guidence Table'!$A$1:$AG$10000,MATCH(1,('Margin Guidence Table'!$A$1:$A$10000=PW33)*('Margin Guidence Table'!$I$1:$I$10000&lt;=ROUND($PO$3,0))*('Margin Guidence Table'!$J$1:$J$10000&gt;=ROUND($PO$3,0)),0),MATCH("SALES_CASE",'Margin Guidence Table'!$A$1:$AG$1,0)),INDEX('Margin Guidence Table'!$A$1:$AG$10000,MATCH(1,('Margin Guidence Table'!$A$1:$A$10000=PW33)*('Margin Guidence Table'!$I$1:$I$10000&lt;=ROUND($PO$3,0))*('Margin Guidence Table'!$J$1:$J$10000&gt;=ROUND($PO$3,0)),0),MATCH("DEFAULT_SALES_CASE",'Margin Guidence Table'!$A$1:$AG$1,0))),0))</f>
        <v>0</v>
      </c>
      <c r="QA33" s="780">
        <f t="array" ref="QA33">IF('Customer Inputs'!$W$22="End",0,IFERROR(IF($PY33="SEGMENT",INDEX('Margin Guidence Table'!$A$1:$AG$10000,MATCH(1,('Margin Guidence Table'!$A$1:$A$10000=PW33)*('Margin Guidence Table'!$I$1:$I$10000&lt;=ROUND($PO$3,0))*('Margin Guidence Table'!$J$1:$J$10000&gt;=ROUND($PO$3,0)),0),MATCH("SALES_LBS",'Margin Guidence Table'!$A$1:$AG$1,0)),INDEX('Margin Guidence Table'!$A$1:$AG$10000,MATCH(1,('Margin Guidence Table'!$A$1:$A$10000=PW33)*('Margin Guidence Table'!$I$1:$I$10000&lt;=ROUND($PO$3,0))*('Margin Guidence Table'!$J$1:$J$10000&gt;=ROUND($PO$3,0)),0),MATCH("DEFAULT_SALES_LBS",'Margin Guidence Table'!$A$1:$AG$1,0))),0))</f>
        <v>0</v>
      </c>
      <c r="QB33" s="784">
        <f t="array" ref="QB33">IF('Customer Inputs'!$W$22="End",0,IFERROR(IF($PY33="SEGMENT",INDEX('Margin Guidence Table'!$A$1:$AG$10000,MATCH(1,('Margin Guidence Table'!$A$1:$A$10000=PW33)*('Margin Guidence Table'!$I$1:$I$10000&lt;=ROUND($PO$3,0))*('Margin Guidence Table'!$J$1:$J$10000&gt;=ROUND($PO$3,0)),0),MATCH("MDA_MIN_MARGIN_GUIDENCE",'Margin Guidence Table'!$A$1:$AG$1,0)),INDEX('Margin Guidence Table'!$A$1:$AG$10000,MATCH(1,('Margin Guidence Table'!$A$1:$A$10000=PW33)*('Margin Guidence Table'!$I$1:$I$10000&lt;=ROUND($PO$3,0))*('Margin Guidence Table'!$J$1:$J$10000&gt;=ROUND($PO$3,0)),0),MATCH("DEFAULT_MDA_MIN_MARGIN_GUIDENCE",'Margin Guidence Table'!$A$1:$AG$1,0))),0))</f>
        <v>0</v>
      </c>
      <c r="QC33" s="784">
        <f t="array" ref="QC33">IF('Customer Inputs'!$W$22="End",0,IFERROR(IF($PY33="SEGMENT",INDEX('Margin Guidence Table'!$A$1:$AG$10000,MATCH(1,('Margin Guidence Table'!$A$1:$A$10000=PW33)*('Margin Guidence Table'!$I$1:$I$10000&lt;=ROUND($PO$3,0))*('Margin Guidence Table'!$J$1:$J$10000&gt;=ROUND($PO$3,0)),0),MATCH("MDA_MEDIAN_MARGIN_GUIDENCE",'Margin Guidence Table'!$A$1:$AG$1,0)),INDEX('Margin Guidence Table'!$A$1:$AG$10000,MATCH(1,('Margin Guidence Table'!$A$1:$A$10000=PW33)*('Margin Guidence Table'!$I$1:$I$10000&lt;=ROUND($PO$3,0))*('Margin Guidence Table'!$J$1:$J$10000&gt;=ROUND($PO$3,0)),0),MATCH("DEFAULT_MDA_MEDIAN_MARGIN_GUIDENCE",'Margin Guidence Table'!$A$1:$AG$1,0))),0))</f>
        <v>0</v>
      </c>
      <c r="QD33" s="784">
        <f t="array" ref="QD33">IF('Customer Inputs'!$W$22="End",0,IFERROR(IF($PY33="SEGMENT",INDEX('Margin Guidence Table'!$A$1:$AG$10000,MATCH(1,('Margin Guidence Table'!$A$1:$A$10000=PW33)*('Margin Guidence Table'!$I$1:$I$10000&lt;=ROUND($PO$3,0))*('Margin Guidence Table'!$J$1:$J$10000&gt;=ROUND($PO$3,0)),0),MATCH("MDA_MAX_MARGIN_GUIDENCE",'Margin Guidence Table'!$A$1:$AG$1,0)),INDEX('Margin Guidence Table'!$A$1:$AG$10000,MATCH(1,('Margin Guidence Table'!$A$1:$A$10000=PW33)*('Margin Guidence Table'!$I$1:$I$10000&lt;=ROUND($PO$3,0))*('Margin Guidence Table'!$J$1:$J$10000&gt;=ROUND($PO$3,0)),0),MATCH("DEFAULT_MDA_MAX_MARGIN_GUIDENCE",'Margin Guidence Table'!$A$1:$AG$1,0))),0))</f>
        <v>0</v>
      </c>
      <c r="QE33" s="784">
        <f t="array" ref="QE33">IF('Customer Inputs'!$W$22="End",0,IFERROR(IF($PY33="SEGMENT",INDEX('Margin Guidence Table'!$A$1:$AG$10000,MATCH(1,('Margin Guidence Table'!$A$1:$A$10000=PW33)*('Margin Guidence Table'!$I$1:$I$10000&lt;=ROUND($PO$3,0))*('Margin Guidence Table'!$J$1:$J$10000&gt;=ROUND($PO$3,0)),0),MATCH("PA_PCT_SALES",'Margin Guidence Table'!$A$1:$AG$1,0)),INDEX('Margin Guidence Table'!$A$1:$AG$10000,MATCH(1,('Margin Guidence Table'!$A$1:$A$10000=PW33)*('Margin Guidence Table'!$I$1:$I$10000&lt;=ROUND($PO$3,0))*('Margin Guidence Table'!$J$1:$J$10000&gt;=ROUND($PO$3,0)),0),MATCH("DEFAULT_PA_PCT_SALES",'Margin Guidence Table'!$A$1:$AG$1,0))),0))</f>
        <v>0</v>
      </c>
      <c r="QF33" s="784">
        <f t="array" ref="QF33">IF('Customer Inputs'!$W$22="End",0,IFERROR(IF($PY33="SEGMENT",INDEX('Margin Guidence Table'!$A$1:$AG$10000,MATCH(1,('Margin Guidence Table'!$A$1:$A$10000=PW33)*('Margin Guidence Table'!$I$1:$I$10000&lt;=ROUND($PO$3,0))*('Margin Guidence Table'!$J$1:$J$10000&gt;=ROUND($PO$3,0)),0),MATCH("SELF_FUND_PCT_SALES",'Margin Guidence Table'!$A$1:$AG$1,0)),INDEX('Margin Guidence Table'!$A$1:$AG$10000,MATCH(1,('Margin Guidence Table'!$A$1:$A$10000=PW33)*('Margin Guidence Table'!$I$1:$I$10000&lt;=ROUND($PO$3,0))*('Margin Guidence Table'!$J$1:$J$10000&gt;=ROUND($PO$3,0)),0),MATCH("DEFAULT_SELF_FUND_PCT_SALES",'Margin Guidence Table'!$A$1:$AG$1,0))),0))</f>
        <v>0</v>
      </c>
      <c r="QG33" s="784">
        <f t="array" ref="QG33">IF('Customer Inputs'!$W$22="End",0,IF($PP$2="Existing",IFERROR(SUMIFS('Existing Customers'!$V:$V,'Existing Customers'!$H:$H,$PN33,'Existing Customers'!$A:$A,$PO$1)/SUMIFS('Existing Customers'!$Q:$Q,'Existing Customers'!$H:$H,$PN33,'Existing Customers'!$A:$A,$PO$1),0),IFERROR(IF($PY33="SEGMENT",INDEX('Margin Guidence Table'!$A$1:$AG$10000,MATCH(1,('Margin Guidence Table'!$A$1:$A$10000=PW33)*('Margin Guidence Table'!$I$1:$I$10000&lt;=ROUND($PO$3,0))*('Margin Guidence Table'!$J$1:$J$10000&gt;=ROUND($PO$3,0)),0),MATCH("CIA_MEDIAN_MARGIN_GUIDENCE",'Margin Guidence Table'!$A$1:$AG$1,0)),INDEX('Margin Guidence Table'!$A$1:$AG$10000,MATCH(1,('Margin Guidence Table'!$A$1:$A$10000=PW33)*('Margin Guidence Table'!$I$1:$I$10000&lt;=ROUND($PO$3,0))*('Margin Guidence Table'!$J$1:$J$10000&gt;=ROUND($PO$3,0)),0),MATCH("DEFAULT_CIA_MEDIAN_MARGIN_GUIDENCE",'Margin Guidence Table'!$A$1:$AG$1,0))),0)))</f>
        <v>0</v>
      </c>
      <c r="QH33" s="784"/>
      <c r="QI33" s="18">
        <f t="array" ref="QI33">IF('Customer Inputs'!$W$23="End",0,IFERROR(IF($QV33="SEGMENT",INDEX('Margin Guidence Table'!$A$1:$AG$10000,MATCH(1,('Margin Guidence Table'!$A$1:$A$10000=$QT33)*('Margin Guidence Table'!$I$1:$I$10000&lt;=ROUND($QL$3,0))*('Margin Guidence Table'!$J$1:$J$10000&gt;=ROUND($QL$3,0)),0),MATCH("PCT_SALES",'Margin Guidence Table'!$A$1:$AG$1,0)),INDEX('Margin Guidence Table'!$A$1:$AG$10000,MATCH(1,('Margin Guidence Table'!$A$1:$A$10000=$QT33)*('Margin Guidence Table'!$I$1:$I$10000&lt;=ROUND($QL$3,0))*('Margin Guidence Table'!$J$1:$J$10000&gt;=ROUND($QL$3,0)),0),MATCH("DEFAULT_PCT_SALES",'Margin Guidence Table'!$A$1:$AG$1,0))),0))</f>
        <v>0</v>
      </c>
      <c r="QJ33" s="1713" t="e">
        <f t="shared" si="66"/>
        <v>#DIV/0!</v>
      </c>
      <c r="QK33" s="99" t="s">
        <v>88</v>
      </c>
      <c r="QL33" s="91">
        <f>IF('Customer Inputs'!$W$23="End",0,IFERROR(IF(AND($QL$2&lt;&gt;"Enter Spend&gt;&gt;&gt;",$QM$2="EXISTING"),SUMIFS('Existing Customers'!$Q:$Q,'Existing Customers'!$A:$A,$QL$1,'Existing Customers'!$H:$H,$QK33)*$QL$4,$QL$3*$QJ33),0))</f>
        <v>0</v>
      </c>
      <c r="QM33" s="86">
        <f>IF('Customer Inputs'!$W$23="End",0,IFERROR(IF(AND($QL$2&lt;&gt;"Enter Spend&gt;&gt;&gt;",$QM$2="EXISTING"),SUMIFS('Existing Customers'!$N:$N,'Existing Customers'!$A:$A,$QL$1,'Existing Customers'!$H:$H,$QK33)*$QL$4,$QL33/$QW33),0))</f>
        <v>0</v>
      </c>
      <c r="QN33" s="92">
        <f>IF('Customer Inputs'!$W$23="End",0,IFERROR(IF(AND($QL$2&lt;&gt;"Enter Spend&gt;&gt;&gt;",$QM$2="EXISTING"),SUMIFS('Existing Customers'!$O:$O,'Existing Customers'!$H:$H,$QK33,'Existing Customers'!$A:$A,$QL$1)*$QL$4,$QM33*$QL$8),0))</f>
        <v>0</v>
      </c>
      <c r="QO33" s="92">
        <f>IF('Customer Inputs'!$W$23="End",0,IFERROR(IF(AND($QL$2&lt;&gt;"Enter Spend&gt;&gt;&gt;",$QM$2="EXISTING"),SUMIFS('Existing Customers'!$P:$P,'Existing Customers'!$A:$A,$QL$1,'Existing Customers'!$H:$H,$QK33)*$QL$4,$QL33/$QX33),0))</f>
        <v>0</v>
      </c>
      <c r="QP33" s="303">
        <f>IF('Customer Inputs'!$W$23="End",0,IFERROR(IF(AND($QL$2&lt;&gt;"Enter Spend&gt;&gt;&gt;",$QM$2="EXISTING"),SUMIFS('Existing Customers'!$V:$V,'Existing Customers'!$H:$H,$QK33,'Existing Customers'!$A:$A,$QL$1)*$QL$4,0),0))</f>
        <v>0</v>
      </c>
      <c r="QQ33" s="93">
        <f>IF('Customer Inputs'!$W$23="End",0,IFERROR(IF(AND($QL$2&lt;&gt;"Enter Spend&gt;&gt;&gt;",$QM$2="EXISTING"),SUMIFS('Existing Customers'!$R:$R,'Existing Customers'!$H:$H,$QK33,'Existing Customers'!$A:$A,$QL$1)*$QL$4,0),0))</f>
        <v>0</v>
      </c>
      <c r="QR33" s="780">
        <f>IF('Customer Inputs'!$W$23="End",0,IFERROR(IF(AND($QL$2&lt;&gt;"Enter Spend&gt;&gt;&gt;",$QM$2="EXISTING"),SUMIFS('Existing Customers'!$S:$S,'Existing Customers'!$H:$H,$QK33,'Existing Customers'!$A:$A,$QL$1)/SUMIFS('Existing Customers'!$Q:$Q,'Existing Customers'!$A:$A,$QL$1,'Existing Customers'!$H:$H,$QK33),RB33),0))</f>
        <v>0</v>
      </c>
      <c r="QS33" s="780">
        <f>IF('Customer Inputs'!$W$23="End",0,IFERROR(IF(AND($QL$2&lt;&gt;"Enter Spend&gt;&gt;&gt;",$QM$2="EXISTING"),SUMIFS('Existing Customers'!$U:$U,'Existing Customers'!$H:$H,$QK33,'Existing Customers'!$A:$A,$QL$1)/SUMIFS('Existing Customers'!$Q:$Q,'Existing Customers'!$A:$A,$QL$1,'Existing Customers'!$H:$H,$QK33),RC33),0))</f>
        <v>0</v>
      </c>
      <c r="QT33" s="783" t="e">
        <f>_xlfn.CONCAT('Customer Inputs'!$AH$23,"_",QK33)</f>
        <v>#N/A</v>
      </c>
      <c r="QU33" s="783">
        <f t="array" ref="QU33">IF('Customer Inputs'!$W$23="End",0,IFERROR(INDEX('Margin Guidence Table'!$A$1:$AG$10000,MATCH(1,('Margin Guidence Table'!$A$1:$A$10000=QT33)*('Margin Guidence Table'!$I$1:$I$10000&lt;=ROUND($QL$3,0))*('Margin Guidence Table'!$J$1:$J$10000&gt;=ROUND($QL$3,0)),0),MATCH("DATA_POINTS",'Margin Guidence Table'!$A$1:$AG$1,0)),0))</f>
        <v>0</v>
      </c>
      <c r="QV33" s="780" t="str">
        <f t="shared" si="67"/>
        <v>DEFAULT</v>
      </c>
      <c r="QW33" s="780">
        <f t="array" ref="QW33">IF('Customer Inputs'!$W$23="End",0,IFERROR(IF($QV33="SEGMENT",INDEX('Margin Guidence Table'!$A$1:$AG$10000,MATCH(1,('Margin Guidence Table'!$A$1:$A$10000=QT33)*('Margin Guidence Table'!$I$1:$I$10000&lt;=ROUND($QL$3,0))*('Margin Guidence Table'!$J$1:$J$10000&gt;=ROUND($QL$3,0)),0),MATCH("SALES_CASE",'Margin Guidence Table'!$A$1:$AG$1,0)),INDEX('Margin Guidence Table'!$A$1:$AG$10000,MATCH(1,('Margin Guidence Table'!$A$1:$A$10000=QT33)*('Margin Guidence Table'!$I$1:$I$10000&lt;=ROUND($QL$3,0))*('Margin Guidence Table'!$J$1:$J$10000&gt;=ROUND($QL$3,0)),0),MATCH("DEFAULT_SALES_CASE",'Margin Guidence Table'!$A$1:$AG$1,0))),0))</f>
        <v>0</v>
      </c>
      <c r="QX33" s="780">
        <f t="array" ref="QX33">IF('Customer Inputs'!$W$23="End",0,IFERROR(IF($QV33="SEGMENT",INDEX('Margin Guidence Table'!$A$1:$AG$10000,MATCH(1,('Margin Guidence Table'!$A$1:$A$10000=QT33)*('Margin Guidence Table'!$I$1:$I$10000&lt;=ROUND($QL$3,0))*('Margin Guidence Table'!$J$1:$J$10000&gt;=ROUND($QL$3,0)),0),MATCH("SALES_LBS",'Margin Guidence Table'!$A$1:$AG$1,0)),INDEX('Margin Guidence Table'!$A$1:$AG$10000,MATCH(1,('Margin Guidence Table'!$A$1:$A$10000=QT33)*('Margin Guidence Table'!$I$1:$I$10000&lt;=ROUND($QL$3,0))*('Margin Guidence Table'!$J$1:$J$10000&gt;=ROUND($QL$3,0)),0),MATCH("DEFAULT_SALES_LBS",'Margin Guidence Table'!$A$1:$AG$1,0))),0))</f>
        <v>0</v>
      </c>
      <c r="QY33" s="784">
        <f t="array" ref="QY33">IF('Customer Inputs'!$W$23="End",0,IFERROR(IF($QV33="SEGMENT",INDEX('Margin Guidence Table'!$A$1:$AG$10000,MATCH(1,('Margin Guidence Table'!$A$1:$A$10000=QT33)*('Margin Guidence Table'!$I$1:$I$10000&lt;=ROUND($QL$3,0))*('Margin Guidence Table'!$J$1:$J$10000&gt;=ROUND($QL$3,0)),0),MATCH("MDA_MIN_MARGIN_GUIDENCE",'Margin Guidence Table'!$A$1:$AG$1,0)),INDEX('Margin Guidence Table'!$A$1:$AG$10000,MATCH(1,('Margin Guidence Table'!$A$1:$A$10000=QT33)*('Margin Guidence Table'!$I$1:$I$10000&lt;=ROUND($QL$3,0))*('Margin Guidence Table'!$J$1:$J$10000&gt;=ROUND($QL$3,0)),0),MATCH("DEFAULT_MDA_MIN_MARGIN_GUIDENCE",'Margin Guidence Table'!$A$1:$AG$1,0))),0))</f>
        <v>0</v>
      </c>
      <c r="QZ33" s="784">
        <f t="array" ref="QZ33">IF('Customer Inputs'!$W$23="End",0,IFERROR(IF($QV33="SEGMENT",INDEX('Margin Guidence Table'!$A$1:$AG$10000,MATCH(1,('Margin Guidence Table'!$A$1:$A$10000=QT33)*('Margin Guidence Table'!$I$1:$I$10000&lt;=ROUND($QL$3,0))*('Margin Guidence Table'!$J$1:$J$10000&gt;=ROUND($QL$3,0)),0),MATCH("MDA_MEDIAN_MARGIN_GUIDENCE",'Margin Guidence Table'!$A$1:$AG$1,0)),INDEX('Margin Guidence Table'!$A$1:$AG$10000,MATCH(1,('Margin Guidence Table'!$A$1:$A$10000=QT33)*('Margin Guidence Table'!$I$1:$I$10000&lt;=ROUND($QL$3,0))*('Margin Guidence Table'!$J$1:$J$10000&gt;=ROUND($QL$3,0)),0),MATCH("DEFAULT_MDA_MEDIAN_MARGIN_GUIDENCE",'Margin Guidence Table'!$A$1:$AG$1,0))),0))</f>
        <v>0</v>
      </c>
      <c r="RA33" s="784">
        <f t="array" ref="RA33">IF('Customer Inputs'!$W$23="End",0,IFERROR(IF($QV33="SEGMENT",INDEX('Margin Guidence Table'!$A$1:$AG$10000,MATCH(1,('Margin Guidence Table'!$A$1:$A$10000=QT33)*('Margin Guidence Table'!$I$1:$I$10000&lt;=ROUND($QL$3,0))*('Margin Guidence Table'!$J$1:$J$10000&gt;=ROUND($QL$3,0)),0),MATCH("MDA_MAX_MARGIN_GUIDENCE",'Margin Guidence Table'!$A$1:$AG$1,0)),INDEX('Margin Guidence Table'!$A$1:$AG$10000,MATCH(1,('Margin Guidence Table'!$A$1:$A$10000=QT33)*('Margin Guidence Table'!$I$1:$I$10000&lt;=ROUND($QL$3,0))*('Margin Guidence Table'!$J$1:$J$10000&gt;=ROUND($QL$3,0)),0),MATCH("DEFAULT_MDA_MAX_MARGIN_GUIDENCE",'Margin Guidence Table'!$A$1:$AG$1,0))),0))</f>
        <v>0</v>
      </c>
      <c r="RB33" s="784">
        <f t="array" ref="RB33">IF('Customer Inputs'!$W$23="End",0,IFERROR(IF($QV33="SEGMENT",INDEX('Margin Guidence Table'!$A$1:$AG$10000,MATCH(1,('Margin Guidence Table'!$A$1:$A$10000=QT33)*('Margin Guidence Table'!$I$1:$I$10000&lt;=ROUND($QL$3,0))*('Margin Guidence Table'!$J$1:$J$10000&gt;=ROUND($QL$3,0)),0),MATCH("PA_PCT_SALES",'Margin Guidence Table'!$A$1:$AG$1,0)),INDEX('Margin Guidence Table'!$A$1:$AG$10000,MATCH(1,('Margin Guidence Table'!$A$1:$A$10000=QT33)*('Margin Guidence Table'!$I$1:$I$10000&lt;=ROUND($QL$3,0))*('Margin Guidence Table'!$J$1:$J$10000&gt;=ROUND($QL$3,0)),0),MATCH("DEFAULT_PA_PCT_SALES",'Margin Guidence Table'!$A$1:$AG$1,0))),0))</f>
        <v>0</v>
      </c>
      <c r="RC33" s="784">
        <f t="array" ref="RC33">IF('Customer Inputs'!$W$23="End",0,IFERROR(IF($QV33="SEGMENT",INDEX('Margin Guidence Table'!$A$1:$AG$10000,MATCH(1,('Margin Guidence Table'!$A$1:$A$10000=QT33)*('Margin Guidence Table'!$I$1:$I$10000&lt;=ROUND($QL$3,0))*('Margin Guidence Table'!$J$1:$J$10000&gt;=ROUND($QL$3,0)),0),MATCH("SELF_FUND_PCT_SALES",'Margin Guidence Table'!$A$1:$AG$1,0)),INDEX('Margin Guidence Table'!$A$1:$AG$10000,MATCH(1,('Margin Guidence Table'!$A$1:$A$10000=QT33)*('Margin Guidence Table'!$I$1:$I$10000&lt;=ROUND($QL$3,0))*('Margin Guidence Table'!$J$1:$J$10000&gt;=ROUND($QL$3,0)),0),MATCH("DEFAULT_SELF_FUND_PCT_SALES",'Margin Guidence Table'!$A$1:$AG$1,0))),0))</f>
        <v>0</v>
      </c>
      <c r="RD33" s="784">
        <f t="array" ref="RD33">IF('Customer Inputs'!$W$23="End",0,IF($QM$2="Existing",IFERROR(SUMIFS('Existing Customers'!$V:$V,'Existing Customers'!$H:$H,$QK33,'Existing Customers'!$A:$A,$QL$1)/SUMIFS('Existing Customers'!$Q:$Q,'Existing Customers'!$H:$H,$QK33,'Existing Customers'!$A:$A,$QL$1),0),IFERROR(IF($QV33="SEGMENT",INDEX('Margin Guidence Table'!$A$1:$AG$10000,MATCH(1,('Margin Guidence Table'!$A$1:$A$10000=QT33)*('Margin Guidence Table'!$I$1:$I$10000&lt;=ROUND($QL$3,0))*('Margin Guidence Table'!$J$1:$J$10000&gt;=ROUND($QL$3,0)),0),MATCH("CIA_MEDIAN_MARGIN_GUIDENCE",'Margin Guidence Table'!$A$1:$AG$1,0)),INDEX('Margin Guidence Table'!$A$1:$AG$10000,MATCH(1,('Margin Guidence Table'!$A$1:$A$10000=QT33)*('Margin Guidence Table'!$I$1:$I$10000&lt;=ROUND($QL$3,0))*('Margin Guidence Table'!$J$1:$J$10000&gt;=ROUND($QL$3,0)),0),MATCH("DEFAULT_CIA_MEDIAN_MARGIN_GUIDENCE",'Margin Guidence Table'!$A$1:$AG$1,0))),0)))</f>
        <v>0</v>
      </c>
      <c r="RE33" s="784"/>
      <c r="RF33" s="18">
        <f t="array" ref="RF33">IF('Customer Inputs'!$W$24="End",0,IFERROR(IF($RS33="SEGMENT",INDEX('Margin Guidence Table'!$A$1:$AG$10000,MATCH(1,('Margin Guidence Table'!$A$1:$A$10000=$RQ33)*('Margin Guidence Table'!$I$1:$I$10000&lt;=ROUND($RI$3,0))*('Margin Guidence Table'!$J$1:$J$10000&gt;=ROUND($RI$3,0)),0),MATCH("PCT_SALES",'Margin Guidence Table'!$A$1:$AG$1,0)),INDEX('Margin Guidence Table'!$A$1:$AG$10000,MATCH(1,('Margin Guidence Table'!$A$1:$A$10000=$RQ33)*('Margin Guidence Table'!$I$1:$I$10000&lt;=ROUND($RI$3,0))*('Margin Guidence Table'!$J$1:$J$10000&gt;=ROUND($RI$3,0)),0),MATCH("DEFAULT_PCT_SALES",'Margin Guidence Table'!$A$1:$AG$1,0))),0))</f>
        <v>0</v>
      </c>
      <c r="RG33" s="1713" t="e">
        <f t="shared" si="68"/>
        <v>#DIV/0!</v>
      </c>
      <c r="RH33" s="99" t="s">
        <v>88</v>
      </c>
      <c r="RI33" s="91">
        <f>IF('Customer Inputs'!$W$24="End",0,IFERROR(IF(AND($RI$2&lt;&gt;"Enter Spend&gt;&gt;&gt;",$RJ$2="EXISTING"),SUMIFS('Existing Customers'!$Q:$Q,'Existing Customers'!$A:$A,$RI$1,'Existing Customers'!$H:$H,$RH33)*$RI$4,$RI$3*$RG33),0))</f>
        <v>0</v>
      </c>
      <c r="RJ33" s="86">
        <f>IF('Customer Inputs'!$W$24="End",0,IFERROR(IF(AND($RI$2&lt;&gt;"Enter Spend&gt;&gt;&gt;",$RJ$2="EXISTING"),SUMIFS('Existing Customers'!$N:$N,'Existing Customers'!$A:$A,$RI$1,'Existing Customers'!$H:$H,$RH33)*$RI$4,$RI33/$RT33),0))</f>
        <v>0</v>
      </c>
      <c r="RK33" s="92">
        <f>IF('Customer Inputs'!$W$24="End",0,IFERROR(IF(AND($RI$2&lt;&gt;"Enter Spend&gt;&gt;&gt;",$RJ$2="EXISTING"),SUMIFS('Existing Customers'!$O:$O,'Existing Customers'!$H:$H,$RH33,'Existing Customers'!$A:$A,$RI$1)*$RI$4,$RJ33*$RI$8),0))</f>
        <v>0</v>
      </c>
      <c r="RL33" s="92">
        <f>IF('Customer Inputs'!$W$24="End",0,IFERROR(IF(AND($RI$2&lt;&gt;"Enter Spend&gt;&gt;&gt;",$RJ$2="EXISTING"),SUMIFS('Existing Customers'!$P:$P,'Existing Customers'!$A:$A,$RI$1,'Existing Customers'!$H:$H,$RH33)*$RI$4,$RI33/$RU33),0))</f>
        <v>0</v>
      </c>
      <c r="RM33" s="303">
        <f>IF('Customer Inputs'!$W$24="End",0,IFERROR(IF(AND($RI$2&lt;&gt;"Enter Spend&gt;&gt;&gt;",$RJ$2="EXISTING"),SUMIFS('Existing Customers'!$V:$V,'Existing Customers'!$H:$H,$RH33,'Existing Customers'!$A:$A,$RI$1)*$RI$4,0),0))</f>
        <v>0</v>
      </c>
      <c r="RN33" s="93">
        <f>IF('Customer Inputs'!$W$24="End",0,IFERROR(IF(AND($RI$2&lt;&gt;"Enter Spend&gt;&gt;&gt;",$RJ$2="EXISTING"),SUMIFS('Existing Customers'!$R:$R,'Existing Customers'!$H:$H,$RH33,'Existing Customers'!$A:$A,$RI$1)*$RI$4,0),0))</f>
        <v>0</v>
      </c>
      <c r="RO33" s="780">
        <f>IF('Customer Inputs'!$W$24="End",0,IFERROR(IF(AND($RI$2&lt;&gt;"Enter Spend&gt;&gt;&gt;",$RJ$2="EXISTING"),SUMIFS('Existing Customers'!$S:$S,'Existing Customers'!$H:$H,$RH33,'Existing Customers'!$A:$A,$RI$1)/SUMIFS('Existing Customers'!$Q:$Q,'Existing Customers'!$A:$A,$RI$1,'Existing Customers'!$H:$H,$RH33),RY33),0))</f>
        <v>0</v>
      </c>
      <c r="RP33" s="780">
        <f>IF('Customer Inputs'!$W$24="End",0,IFERROR(IF(AND($RI$2&lt;&gt;"Enter Spend&gt;&gt;&gt;",$RJ$2="EXISTING"),SUMIFS('Existing Customers'!$U:$U,'Existing Customers'!$H:$H,$RH33,'Existing Customers'!$A:$A,$RI$1)/SUMIFS('Existing Customers'!$Q:$Q,'Existing Customers'!$A:$A,$RI$1,'Existing Customers'!$H:$H,$RH33),RZ33),0))</f>
        <v>0</v>
      </c>
      <c r="RQ33" s="783" t="e">
        <f>_xlfn.CONCAT('Customer Inputs'!$AH$24,"_",RH33)</f>
        <v>#N/A</v>
      </c>
      <c r="RR33" s="783">
        <f t="array" ref="RR33">IF('Customer Inputs'!$W$24="End",0,IFERROR(INDEX('Margin Guidence Table'!$A$1:$AG$10000,MATCH(1,('Margin Guidence Table'!$A$1:$A$10000=RQ33)*('Margin Guidence Table'!$I$1:$I$10000&lt;=ROUND($RI$3,0))*('Margin Guidence Table'!$J$1:$J$10000&gt;=ROUND($RI$3,0)),0),MATCH("DATA_POINTS",'Margin Guidence Table'!$A$1:$AG$1,0)),0))</f>
        <v>0</v>
      </c>
      <c r="RS33" s="780" t="str">
        <f t="shared" si="69"/>
        <v>DEFAULT</v>
      </c>
      <c r="RT33" s="780">
        <f t="array" ref="RT33">IF('Customer Inputs'!$W$24="End",0,IFERROR(IF($RS33="SEGMENT",INDEX('Margin Guidence Table'!$A$1:$AG$10000,MATCH(1,('Margin Guidence Table'!$A$1:$A$10000=RQ33)*('Margin Guidence Table'!$I$1:$I$10000&lt;=ROUND($RI$3,0))*('Margin Guidence Table'!$J$1:$J$10000&gt;=ROUND($RI$3,0)),0),MATCH("SALES_CASE",'Margin Guidence Table'!$A$1:$AG$1,0)),INDEX('Margin Guidence Table'!$A$1:$AG$10000,MATCH(1,('Margin Guidence Table'!$A$1:$A$10000=RQ33)*('Margin Guidence Table'!$I$1:$I$10000&lt;=ROUND($RI$3,0))*('Margin Guidence Table'!$J$1:$J$10000&gt;=ROUND($RI$3,0)),0),MATCH("DEFAULT_SALES_CASE",'Margin Guidence Table'!$A$1:$AG$1,0))),0))</f>
        <v>0</v>
      </c>
      <c r="RU33" s="780">
        <f t="array" ref="RU33">IF('Customer Inputs'!$W$24="End",0,IFERROR(IF($RS33="SEGMENT",INDEX('Margin Guidence Table'!$A$1:$AG$10000,MATCH(1,('Margin Guidence Table'!$A$1:$A$10000=RQ33)*('Margin Guidence Table'!$I$1:$I$10000&lt;=ROUND($RI$3,0))*('Margin Guidence Table'!$J$1:$J$10000&gt;=ROUND($RI$3,0)),0),MATCH("SALES_LBS",'Margin Guidence Table'!$A$1:$AG$1,0)),INDEX('Margin Guidence Table'!$A$1:$AG$10000,MATCH(1,('Margin Guidence Table'!$A$1:$A$10000=RQ33)*('Margin Guidence Table'!$I$1:$I$10000&lt;=ROUND($RI$3,0))*('Margin Guidence Table'!$J$1:$J$10000&gt;=ROUND($RI$3,0)),0),MATCH("DEFAULT_SALES_LBS",'Margin Guidence Table'!$A$1:$AG$1,0))),0))</f>
        <v>0</v>
      </c>
      <c r="RV33" s="784">
        <f t="array" ref="RV33">IF('Customer Inputs'!$W$24="End",0,IFERROR(IF($RS33="SEGMENT",INDEX('Margin Guidence Table'!$A$1:$AG$10000,MATCH(1,('Margin Guidence Table'!$A$1:$A$10000=RQ33)*('Margin Guidence Table'!$I$1:$I$10000&lt;=ROUND($RI$3,0))*('Margin Guidence Table'!$J$1:$J$10000&gt;=ROUND($RI$3,0)),0),MATCH("MDA_MIN_MARGIN_GUIDENCE",'Margin Guidence Table'!$A$1:$AG$1,0)),INDEX('Margin Guidence Table'!$A$1:$AG$10000,MATCH(1,('Margin Guidence Table'!$A$1:$A$10000=RQ33)*('Margin Guidence Table'!$I$1:$I$10000&lt;=ROUND($RI$3,0))*('Margin Guidence Table'!$J$1:$J$10000&gt;=ROUND($RI$3,0)),0),MATCH("DEFAULT_MDA_MIN_MARGIN_GUIDENCE",'Margin Guidence Table'!$A$1:$AG$1,0))),0))</f>
        <v>0</v>
      </c>
      <c r="RW33" s="784">
        <f t="array" ref="RW33">IF('Customer Inputs'!$W$24="End",0,IFERROR(IF($RS33="SEGMENT",INDEX('Margin Guidence Table'!$A$1:$AG$10000,MATCH(1,('Margin Guidence Table'!$A$1:$A$10000=RQ33)*('Margin Guidence Table'!$I$1:$I$10000&lt;=ROUND($RI$3,0))*('Margin Guidence Table'!$J$1:$J$10000&gt;=ROUND($RI$3,0)),0),MATCH("MDA_MEDIAN_MARGIN_GUIDENCE",'Margin Guidence Table'!$A$1:$AG$1,0)),INDEX('Margin Guidence Table'!$A$1:$AG$10000,MATCH(1,('Margin Guidence Table'!$A$1:$A$10000=RQ33)*('Margin Guidence Table'!$I$1:$I$10000&lt;=ROUND($RI$3,0))*('Margin Guidence Table'!$J$1:$J$10000&gt;=ROUND($RI$3,0)),0),MATCH("DEFAULT_MDA_MEDIAN_MARGIN_GUIDENCE",'Margin Guidence Table'!$A$1:$AG$1,0))),0))</f>
        <v>0</v>
      </c>
      <c r="RX33" s="784">
        <f t="array" ref="RX33">IF('Customer Inputs'!$W$24="End",0,IFERROR(IF($RS33="SEGMENT",INDEX('Margin Guidence Table'!$A$1:$AG$10000,MATCH(1,('Margin Guidence Table'!$A$1:$A$10000=RQ33)*('Margin Guidence Table'!$I$1:$I$10000&lt;=ROUND($RI$3,0))*('Margin Guidence Table'!$J$1:$J$10000&gt;=ROUND($RI$3,0)),0),MATCH("MDA_MAX_MARGIN_GUIDENCE",'Margin Guidence Table'!$A$1:$AG$1,0)),INDEX('Margin Guidence Table'!$A$1:$AG$10000,MATCH(1,('Margin Guidence Table'!$A$1:$A$10000=RQ33)*('Margin Guidence Table'!$I$1:$I$10000&lt;=ROUND($RI$3,0))*('Margin Guidence Table'!$J$1:$J$10000&gt;=ROUND($RI$3,0)),0),MATCH("DEFAULT_MDA_MAX_MARGIN_GUIDENCE",'Margin Guidence Table'!$A$1:$AG$1,0))),0))</f>
        <v>0</v>
      </c>
      <c r="RY33" s="784">
        <f t="array" ref="RY33">IF('Customer Inputs'!$W$24="End",0,IFERROR(IF($RS33="SEGMENT",INDEX('Margin Guidence Table'!$A$1:$AG$10000,MATCH(1,('Margin Guidence Table'!$A$1:$A$10000=RQ33)*('Margin Guidence Table'!$I$1:$I$10000&lt;=ROUND($RI$3,0))*('Margin Guidence Table'!$J$1:$J$10000&gt;=ROUND($RI$3,0)),0),MATCH("PA_PCT_SALES",'Margin Guidence Table'!$A$1:$AG$1,0)),INDEX('Margin Guidence Table'!$A$1:$AG$10000,MATCH(1,('Margin Guidence Table'!$A$1:$A$10000=RQ33)*('Margin Guidence Table'!$I$1:$I$10000&lt;=ROUND($RI$3,0))*('Margin Guidence Table'!$J$1:$J$10000&gt;=ROUND($RI$3,0)),0),MATCH("DEFAULT_PA_PCT_SALES",'Margin Guidence Table'!$A$1:$AG$1,0))),0))</f>
        <v>0</v>
      </c>
      <c r="RZ33" s="784">
        <f t="array" ref="RZ33">IF('Customer Inputs'!$W$24="End",0,IFERROR(IF($RS33="SEGMENT",INDEX('Margin Guidence Table'!$A$1:$AG$10000,MATCH(1,('Margin Guidence Table'!$A$1:$A$10000=RQ33)*('Margin Guidence Table'!$I$1:$I$10000&lt;=ROUND($RI$3,0))*('Margin Guidence Table'!$J$1:$J$10000&gt;=ROUND($RI$3,0)),0),MATCH("SELF_FUND_PCT_SALES",'Margin Guidence Table'!$A$1:$AG$1,0)),INDEX('Margin Guidence Table'!$A$1:$AG$10000,MATCH(1,('Margin Guidence Table'!$A$1:$A$10000=RQ33)*('Margin Guidence Table'!$I$1:$I$10000&lt;=ROUND($RI$3,0))*('Margin Guidence Table'!$J$1:$J$10000&gt;=ROUND($RI$3,0)),0),MATCH("DEFAULT_SELF_FUND_PCT_SALES",'Margin Guidence Table'!$A$1:$AG$1,0))),0))</f>
        <v>0</v>
      </c>
      <c r="SA33" s="784">
        <f t="array" ref="SA33">IF('Customer Inputs'!$W$24="End",0,IF($RJ$2="Existing",IFERROR(SUMIFS('Existing Customers'!$V:$V,'Existing Customers'!$H:$H,$RH33,'Existing Customers'!$A:$A,$RI$1)/SUMIFS('Existing Customers'!$Q:$Q,'Existing Customers'!$H:$H,$RH33,'Existing Customers'!$A:$A,$RI$1),0),IFERROR(IF($RS33="SEGMENT",INDEX('Margin Guidence Table'!$A$1:$AG$10000,MATCH(1,('Margin Guidence Table'!$A$1:$A$10000=RQ33)*('Margin Guidence Table'!$I$1:$I$10000&lt;=ROUND($RI$3,0))*('Margin Guidence Table'!$J$1:$J$10000&gt;=ROUND($RI$3,0)),0),MATCH("CIA_MEDIAN_MARGIN_GUIDENCE",'Margin Guidence Table'!$A$1:$AG$1,0)),INDEX('Margin Guidence Table'!$A$1:$AG$10000,MATCH(1,('Margin Guidence Table'!$A$1:$A$10000=RQ33)*('Margin Guidence Table'!$I$1:$I$10000&lt;=ROUND($RI$3,0))*('Margin Guidence Table'!$J$1:$J$10000&gt;=ROUND($RI$3,0)),0),MATCH("DEFAULT_CIA_MEDIAN_MARGIN_GUIDENCE",'Margin Guidence Table'!$A$1:$AG$1,0))),0)))</f>
        <v>0</v>
      </c>
      <c r="SB33" s="784"/>
      <c r="SC33" s="18">
        <f t="array" ref="SC33">IF('Customer Inputs'!$W$25="End",0,IFERROR(IF($SP33="SEGMENT",INDEX('Margin Guidence Table'!$A$1:$AG$10000,MATCH(1,('Margin Guidence Table'!$A$1:$A$10000=$SN33)*('Margin Guidence Table'!$I$1:$I$10000&lt;=ROUND($SF$3,0))*('Margin Guidence Table'!$J$1:$J$10000&gt;=ROUND($SF$3,0)),0),MATCH("PCT_SALES",'Margin Guidence Table'!$A$1:$AG$1,0)),INDEX('Margin Guidence Table'!$A$1:$AG$10000,MATCH(1,('Margin Guidence Table'!$A$1:$A$10000=$SN33)*('Margin Guidence Table'!$I$1:$I$10000&lt;=ROUND($SF$3,0))*('Margin Guidence Table'!$J$1:$J$10000&gt;=ROUND($SF$3,0)),0),MATCH("DEFAULT_PCT_SALES",'Margin Guidence Table'!$A$1:$AG$1,0))),0))</f>
        <v>0</v>
      </c>
      <c r="SD33" s="1713" t="e">
        <f t="shared" si="70"/>
        <v>#DIV/0!</v>
      </c>
      <c r="SE33" s="99" t="s">
        <v>88</v>
      </c>
      <c r="SF33" s="91">
        <f>IF('Customer Inputs'!$W$25="End",0,IFERROR(IF(AND($SF$2&lt;&gt;"Enter Spend&gt;&gt;&gt;",$SG$2="EXISTING"),SUMIFS('Existing Customers'!$Q:$Q,'Existing Customers'!$A:$A,$SF$1,'Existing Customers'!$H:$H,$SE33)*$SF$4,$SF$3*$SD33),0))</f>
        <v>0</v>
      </c>
      <c r="SG33" s="86">
        <f>IF('Customer Inputs'!$W$25="End",0,IFERROR(IF(AND($SF$2&lt;&gt;"Enter Spend&gt;&gt;&gt;",$SG$2="EXISTING"),SUMIFS('Existing Customers'!$N:$N,'Existing Customers'!$A:$A,$SF$1,'Existing Customers'!$H:$H,$SE33)*$SF$4,$SF33/$SQ33),0))</f>
        <v>0</v>
      </c>
      <c r="SH33" s="92">
        <f>IF('Customer Inputs'!$W$25="End",0,IFERROR(IF(AND($SF$2&lt;&gt;"Enter Spend&gt;&gt;&gt;",$SG$2="EXISTING"),SUMIFS('Existing Customers'!$O:$O,'Existing Customers'!$H:$H,$SE33,'Existing Customers'!$A:$A,$SF$1)*$SF$4,$SG33*$SF$8),0))</f>
        <v>0</v>
      </c>
      <c r="SI33" s="92">
        <f>IF('Customer Inputs'!$W$25="End",0,IFERROR(IF(AND($SF$2&lt;&gt;"Enter Spend&gt;&gt;&gt;",$SG$2="EXISTING"),SUMIFS('Existing Customers'!$P:$P,'Existing Customers'!$A:$A,$SF$1,'Existing Customers'!$H:$H,$SE33)*$SF$4,$SF33/$SR33),0))</f>
        <v>0</v>
      </c>
      <c r="SJ33" s="303">
        <f>IF('Customer Inputs'!$W$25="End",0,IFERROR(IF(AND($SF$2&lt;&gt;"Enter Spend&gt;&gt;&gt;",$SG$2="EXISTING"),SUMIFS('Existing Customers'!$V:$V,'Existing Customers'!$H:$H,$SE33,'Existing Customers'!$A:$A,$SF$1)*$SF$4,0),0))</f>
        <v>0</v>
      </c>
      <c r="SK33" s="93">
        <f>IF('Customer Inputs'!$W$25="End",0,IFERROR(IF(AND($SF$2&lt;&gt;"Enter Spend&gt;&gt;&gt;",$SG$2="EXISTING"),SUMIFS('Existing Customers'!$R:$R,'Existing Customers'!$H:$H,$SE33,'Existing Customers'!$A:$A,$SF$1)*$SF$4,0),0))</f>
        <v>0</v>
      </c>
      <c r="SL33" s="780">
        <f>IF('Customer Inputs'!$W$25="End",0,IFERROR(IF(AND($SF$2&lt;&gt;"Enter Spend&gt;&gt;&gt;",$SG$2="EXISTING"),SUMIFS('Existing Customers'!$S:$S,'Existing Customers'!$H:$H,$SE33,'Existing Customers'!$A:$A,$SF$1)/SUMIFS('Existing Customers'!$Q:$Q,'Existing Customers'!$A:$A,$SF$1,'Existing Customers'!$H:$H,$SE33),SV33),0))</f>
        <v>0</v>
      </c>
      <c r="SM33" s="780">
        <f>IF('Customer Inputs'!$W$25="End",0,IFERROR(IF(AND($SF$2&lt;&gt;"Enter Spend&gt;&gt;&gt;",$SG$2="EXISTING"),SUMIFS('Existing Customers'!$U:$U,'Existing Customers'!$H:$H,$SE33,'Existing Customers'!$A:$A,$SF$1)/SUMIFS('Existing Customers'!$Q:$Q,'Existing Customers'!$A:$A,$SF$1,'Existing Customers'!$H:$H,$SE33),SW33),0))</f>
        <v>0</v>
      </c>
      <c r="SN33" s="783" t="e">
        <f>_xlfn.CONCAT('Customer Inputs'!$AH$25,"_",SE33)</f>
        <v>#N/A</v>
      </c>
      <c r="SO33" s="783">
        <f t="array" ref="SO33">IF('Customer Inputs'!$W$25="End",0,IFERROR(INDEX('Margin Guidence Table'!$A$1:$AG$10000,MATCH(1,('Margin Guidence Table'!$A$1:$A$10000=SN33)*('Margin Guidence Table'!$I$1:$I$10000&lt;=ROUND($SF$3,0))*('Margin Guidence Table'!$J$1:$J$10000&gt;=ROUND($SF$3,0)),0),MATCH("DATA_POINTS",'Margin Guidence Table'!$A$1:$AG$1,0)),0))</f>
        <v>0</v>
      </c>
      <c r="SP33" s="780" t="str">
        <f t="shared" si="71"/>
        <v>DEFAULT</v>
      </c>
      <c r="SQ33" s="780">
        <f t="array" ref="SQ33">IF('Customer Inputs'!$W$25="End",0,IFERROR(IF($SP33="SEGMENT",INDEX('Margin Guidence Table'!$A$1:$AG$10000,MATCH(1,('Margin Guidence Table'!$A$1:$A$10000=SN33)*('Margin Guidence Table'!$I$1:$I$10000&lt;=ROUND($SF$3,0))*('Margin Guidence Table'!$J$1:$J$10000&gt;=ROUND($SF$3,0)),0),MATCH("SALES_CASE",'Margin Guidence Table'!$A$1:$AG$1,0)),INDEX('Margin Guidence Table'!$A$1:$AG$10000,MATCH(1,('Margin Guidence Table'!$A$1:$A$10000=SN33)*('Margin Guidence Table'!$I$1:$I$10000&lt;=ROUND($SF$3,0))*('Margin Guidence Table'!$J$1:$J$10000&gt;=ROUND($SF$3,0)),0),MATCH("DEFAULT_SALES_CASE",'Margin Guidence Table'!$A$1:$AG$1,0))),0))</f>
        <v>0</v>
      </c>
      <c r="SR33" s="780">
        <f t="array" ref="SR33">IF('Customer Inputs'!$W$25="End",0,IFERROR(IF($SP33="SEGMENT",INDEX('Margin Guidence Table'!$A$1:$AG$10000,MATCH(1,('Margin Guidence Table'!$A$1:$A$10000=SN33)*('Margin Guidence Table'!$I$1:$I$10000&lt;=ROUND($SF$3,0))*('Margin Guidence Table'!$J$1:$J$10000&gt;=ROUND($SF$3,0)),0),MATCH("SALES_LBS",'Margin Guidence Table'!$A$1:$AG$1,0)),INDEX('Margin Guidence Table'!$A$1:$AG$10000,MATCH(1,('Margin Guidence Table'!$A$1:$A$10000=SN33)*('Margin Guidence Table'!$I$1:$I$10000&lt;=ROUND($SF$3,0))*('Margin Guidence Table'!$J$1:$J$10000&gt;=ROUND($SF$3,0)),0),MATCH("DEFAULT_SALES_LBS",'Margin Guidence Table'!$A$1:$AG$1,0))),0))</f>
        <v>0</v>
      </c>
      <c r="SS33" s="784">
        <f t="array" ref="SS33">IF('Customer Inputs'!$W$25="End",0,IFERROR(IF($SP33="SEGMENT",INDEX('Margin Guidence Table'!$A$1:$AG$10000,MATCH(1,('Margin Guidence Table'!$A$1:$A$10000=SN33)*('Margin Guidence Table'!$I$1:$I$10000&lt;=ROUND($SF$3,0))*('Margin Guidence Table'!$J$1:$J$10000&gt;=ROUND($SF$3,0)),0),MATCH("MDA_MIN_MARGIN_GUIDENCE",'Margin Guidence Table'!$A$1:$AG$1,0)),INDEX('Margin Guidence Table'!$A$1:$AG$10000,MATCH(1,('Margin Guidence Table'!$A$1:$A$10000=SN33)*('Margin Guidence Table'!$I$1:$I$10000&lt;=ROUND($SF$3,0))*('Margin Guidence Table'!$J$1:$J$10000&gt;=ROUND($SF$3,0)),0),MATCH("DEFAULT_MDA_MIN_MARGIN_GUIDENCE",'Margin Guidence Table'!$A$1:$AG$1,0))),0))</f>
        <v>0</v>
      </c>
      <c r="ST33" s="784">
        <f t="array" ref="ST33">IF('Customer Inputs'!$W$25="End",0,IFERROR(IF($SP33="SEGMENT",INDEX('Margin Guidence Table'!$A$1:$AG$10000,MATCH(1,('Margin Guidence Table'!$A$1:$A$10000=SN33)*('Margin Guidence Table'!$I$1:$I$10000&lt;=ROUND($SF$3,0))*('Margin Guidence Table'!$J$1:$J$10000&gt;=ROUND($SF$3,0)),0),MATCH("MDA_MEDIAN_MARGIN_GUIDENCE",'Margin Guidence Table'!$A$1:$AG$1,0)),INDEX('Margin Guidence Table'!$A$1:$AG$10000,MATCH(1,('Margin Guidence Table'!$A$1:$A$10000=SN33)*('Margin Guidence Table'!$I$1:$I$10000&lt;=ROUND($SF$3,0))*('Margin Guidence Table'!$J$1:$J$10000&gt;=ROUND($SF$3,0)),0),MATCH("DEFAULT_MDA_MEDIAN_MARGIN_GUIDENCE",'Margin Guidence Table'!$A$1:$AG$1,0))),0))</f>
        <v>0</v>
      </c>
      <c r="SU33" s="784">
        <f t="array" ref="SU33">IF('Customer Inputs'!$W$25="End",0,IFERROR(IF($SP33="SEGMENT",INDEX('Margin Guidence Table'!$A$1:$AG$10000,MATCH(1,('Margin Guidence Table'!$A$1:$A$10000=SN33)*('Margin Guidence Table'!$I$1:$I$10000&lt;=ROUND($SF$3,0))*('Margin Guidence Table'!$J$1:$J$10000&gt;=ROUND($SF$3,0)),0),MATCH("MDA_MAX_MARGIN_GUIDENCE",'Margin Guidence Table'!$A$1:$AG$1,0)),INDEX('Margin Guidence Table'!$A$1:$AG$10000,MATCH(1,('Margin Guidence Table'!$A$1:$A$10000=SN33)*('Margin Guidence Table'!$I$1:$I$10000&lt;=ROUND($SF$3,0))*('Margin Guidence Table'!$J$1:$J$10000&gt;=ROUND($SF$3,0)),0),MATCH("DEFAULT_MDA_MAX_MARGIN_GUIDENCE",'Margin Guidence Table'!$A$1:$AG$1,0))),0))</f>
        <v>0</v>
      </c>
      <c r="SV33" s="784">
        <f t="array" ref="SV33">IF('Customer Inputs'!$W$25="End",0,IFERROR(IF($SP33="SEGMENT",INDEX('Margin Guidence Table'!$A$1:$AG$10000,MATCH(1,('Margin Guidence Table'!$A$1:$A$10000=SN33)*('Margin Guidence Table'!$I$1:$I$10000&lt;=ROUND($SF$3,0))*('Margin Guidence Table'!$J$1:$J$10000&gt;=ROUND($SF$3,0)),0),MATCH("PA_PCT_SALES",'Margin Guidence Table'!$A$1:$AG$1,0)),INDEX('Margin Guidence Table'!$A$1:$AG$10000,MATCH(1,('Margin Guidence Table'!$A$1:$A$10000=SN33)*('Margin Guidence Table'!$I$1:$I$10000&lt;=ROUND($SF$3,0))*('Margin Guidence Table'!$J$1:$J$10000&gt;=ROUND($SF$3,0)),0),MATCH("DEFAULT_PA_PCT_SALES",'Margin Guidence Table'!$A$1:$AG$1,0))),0))</f>
        <v>0</v>
      </c>
      <c r="SW33" s="784">
        <f t="array" ref="SW33">IF('Customer Inputs'!$W$25="End",0,IFERROR(IF($SP33="SEGMENT",INDEX('Margin Guidence Table'!$A$1:$AG$10000,MATCH(1,('Margin Guidence Table'!$A$1:$A$10000=SN33)*('Margin Guidence Table'!$I$1:$I$10000&lt;=ROUND($SF$3,0))*('Margin Guidence Table'!$J$1:$J$10000&gt;=ROUND($SF$3,0)),0),MATCH("SELF_FUND_PCT_SALES",'Margin Guidence Table'!$A$1:$AG$1,0)),INDEX('Margin Guidence Table'!$A$1:$AG$10000,MATCH(1,('Margin Guidence Table'!$A$1:$A$10000=SN33)*('Margin Guidence Table'!$I$1:$I$10000&lt;=ROUND($SF$3,0))*('Margin Guidence Table'!$J$1:$J$10000&gt;=ROUND($SF$3,0)),0),MATCH("DEFAULT_SELF_FUND_PCT_SALES",'Margin Guidence Table'!$A$1:$AG$1,0))),0))</f>
        <v>0</v>
      </c>
      <c r="SX33" s="784">
        <f t="array" ref="SX33">IF('Customer Inputs'!$W$25="End",0,IF($SG$2="Existing",IFERROR(SUMIFS('Existing Customers'!$V:$V,'Existing Customers'!$H:$H,$SE33,'Existing Customers'!$A:$A,$SF$1)/SUMIFS('Existing Customers'!$Q:$Q,'Existing Customers'!$H:$H,$SE33,'Existing Customers'!$A:$A,$SF$1),0),IFERROR(IF($SP33="SEGMENT",INDEX('Margin Guidence Table'!$A$1:$AG$10000,MATCH(1,('Margin Guidence Table'!$A$1:$A$10000=SN33)*('Margin Guidence Table'!$I$1:$I$10000&lt;=ROUND($SF$3,0))*('Margin Guidence Table'!$J$1:$J$10000&gt;=ROUND($SF$3,0)),0),MATCH("CIA_MEDIAN_MARGIN_GUIDENCE",'Margin Guidence Table'!$A$1:$AG$1,0)),INDEX('Margin Guidence Table'!$A$1:$AG$10000,MATCH(1,('Margin Guidence Table'!$A$1:$A$10000=SN33)*('Margin Guidence Table'!$I$1:$I$10000&lt;=ROUND($SF$3,0))*('Margin Guidence Table'!$J$1:$J$10000&gt;=ROUND($SF$3,0)),0),MATCH("DEFAULT_CIA_MEDIAN_MARGIN_GUIDENCE",'Margin Guidence Table'!$A$1:$AG$1,0))),0)))</f>
        <v>0</v>
      </c>
      <c r="SY33" s="784"/>
      <c r="SZ33" s="1705"/>
      <c r="TA33" s="99" t="s">
        <v>88</v>
      </c>
      <c r="TB33" s="94"/>
      <c r="TC33" s="86"/>
      <c r="TD33" s="86"/>
      <c r="TE33" s="86"/>
      <c r="TF33" s="111"/>
      <c r="TG33" s="95"/>
      <c r="TH33" s="126"/>
      <c r="TI33" s="1705"/>
      <c r="TJ33" s="99" t="s">
        <v>88</v>
      </c>
      <c r="TK33" s="94"/>
      <c r="TL33" s="86"/>
      <c r="TM33" s="86"/>
      <c r="TN33" s="86"/>
      <c r="TO33" s="111"/>
      <c r="TP33" s="95"/>
      <c r="TQ33" s="1705"/>
      <c r="TR33" s="1705"/>
    </row>
    <row r="34" spans="1:538" ht="15.75" thickBot="1" x14ac:dyDescent="0.3">
      <c r="A34" s="1705"/>
      <c r="B34" s="100" t="s">
        <v>87</v>
      </c>
      <c r="C34" s="346">
        <f t="shared" si="0"/>
        <v>0</v>
      </c>
      <c r="D34" s="358">
        <f t="shared" si="1"/>
        <v>0</v>
      </c>
      <c r="E34" s="358">
        <f t="shared" si="2"/>
        <v>0</v>
      </c>
      <c r="F34" s="358">
        <f t="shared" si="3"/>
        <v>0</v>
      </c>
      <c r="G34" s="1428">
        <f t="shared" si="4"/>
        <v>0</v>
      </c>
      <c r="H34" s="1428">
        <f t="shared" si="5"/>
        <v>0</v>
      </c>
      <c r="I34" s="359">
        <f t="shared" si="6"/>
        <v>0</v>
      </c>
      <c r="J34" s="358">
        <f t="shared" si="7"/>
        <v>0</v>
      </c>
      <c r="K34" s="778">
        <f t="shared" si="8"/>
        <v>0</v>
      </c>
      <c r="L34" s="778">
        <f t="shared" si="9"/>
        <v>0</v>
      </c>
      <c r="M34" s="778">
        <f t="shared" si="10"/>
        <v>0</v>
      </c>
      <c r="N34" s="1428">
        <f>IF('PIM Model'!D30="$/CS",IFERROR(ROUND(SUM(BX34*$BV$35+CU34*$CS$35+DR34*$DP$35+EO34*$EM$35+FL34*$FJ$35+GI34*$GG$35+HF34*$HD$35+IC34*$IA$35+IZ34*$IX$35+JW34*$JU$35+KT34*$KR$35+LQ34*$LO$35+MN34*$ML$35+NK34*$NI$35+OH34*$OF$35+PE34*$PC$35+QB34*$PZ$35+QY34*$QW$35+RV34*$RT$35+SS34*$SQ$35)/$G$35,2),0),IF('PIM Model'!D30="$/LB",IFERROR(ROUND(SUM(BX34*$BW$35+CU34*$CT$35+DR34*$DQ$35+EO34*$EN$35+FL34*$FK$35+GI34*$GH$35+HF34*$HE$35+IC34*$IB$35+IZ34*$IY$35+JW34*$JV$35+KT34*$KS$35+LQ34*$LP$35+MN34*$MM$35+NK34*$NJ$35+OH34*$OG$35+PE34*$PD$35+QB34*$QA$35+QY34*$QX$35+RV34*$RU$35+SS34*$SR$35)/$H$35,2),0),0))</f>
        <v>0</v>
      </c>
      <c r="O34" s="1428">
        <f>IF('PIM Model'!D30="$/CS",IFERROR(ROUND(SUM(BY34*$BV$35+CV34*$CS$35+DS34*$DP$35+EP34*$EM$35+FM34*$FJ$35+GJ34*$GG$35+HG34*$HD$35+ID34*$IA$35+JA34*$IX$35+JX34*$JU$35+KU34*$KR$35+LR34*$LO$35+MO34*$ML$35+NL34*$NI$35+OI34*$OF$35+PF34*$PC$35+QC34*$PZ$35+QZ34*$QW$35+RW34*$RT$35+ST34*$SQ$35)/$G$35,2),0),IF('PIM Model'!D30="$/LB",IFERROR(ROUND(SUM(BY34*$BW$35+CV34*$CT$35+DS34*$DQ$35+EP34*$EN$35+FM34*$FK$35+GJ34*$GH$35+HG34*$HE$35+ID34*$IB$35+JA34*$IY$35+JX34*$JV$35+KU34*$KS$35+LR34*$LP$35+MO34*$MM$35+NL34*$NJ$35+OI34*$OG$35+PF34*$PD$35+QC34*$QA$35+QZ34*$QX$35+RW34*$RU$35+ST34*$SR$35)/$H$35,2),0),0))</f>
        <v>0</v>
      </c>
      <c r="P34" s="1428">
        <f>IF('PIM Model'!D30="$/CS",IFERROR(ROUND(SUM(BZ34*$BV$35+CW34*$CS$35+DT34*$DP$35+EQ34*$EM$35+FN34*$FJ$35+GK34*$GG$35+HH34*$HD$35+IE34*$IA$35+JB34*$IX$35+JY34*$JU$35+KV34*$KR$35+LS34*$LO$35+MP34*$ML$35+NM34*$NI$35+OJ34*$OF$35+PG34*$PC$35+QD34*$PZ$35+RA34*$QW$35+RX34*$RT$35+SU34*$SQ$35)/$G$35,2),0),IF('PIM Model'!D30="$/LB",IFERROR(ROUND(SUM(BZ34*$BW$35+CW34*$CT$35+DT34*$DQ$35+EQ34*$EN$35+FN34*$FK$35+GK34*$GH$35+HH34*$HE$35+IE34*$IB$35+JB34*$IY$35+JY34*$JV$35+KV34*$KS$35+LS34*$LP$35+MP34*$MM$35+NM34*$NJ$35+OJ34*$OG$35+PG34*$PD$35+QD34*$QA$35+RA34*$QX$35+RX34*$RU$35+SU34*$SR$35)/$H$35,2),0),0))</f>
        <v>0</v>
      </c>
      <c r="Q34" s="358">
        <f t="shared" si="11"/>
        <v>0</v>
      </c>
      <c r="R34" s="358">
        <f t="shared" si="12"/>
        <v>0</v>
      </c>
      <c r="S34" s="779">
        <f t="shared" si="13"/>
        <v>0</v>
      </c>
      <c r="T34" s="779">
        <f t="shared" si="14"/>
        <v>0</v>
      </c>
      <c r="U34" s="779">
        <f t="shared" si="15"/>
        <v>0</v>
      </c>
      <c r="V34" s="779">
        <f t="shared" si="16"/>
        <v>0</v>
      </c>
      <c r="W34" s="779">
        <f t="shared" si="17"/>
        <v>0</v>
      </c>
      <c r="X34" s="1705"/>
      <c r="Y34" s="1705" t="str">
        <f>'PIM Model'!E30</f>
        <v>INCLUDE</v>
      </c>
      <c r="Z34" s="1705">
        <f t="shared" si="18"/>
        <v>0</v>
      </c>
      <c r="AA34" s="1705">
        <f t="shared" si="19"/>
        <v>0</v>
      </c>
      <c r="AB34" s="100" t="s">
        <v>87</v>
      </c>
      <c r="AC34" s="107">
        <f t="shared" si="20"/>
        <v>0</v>
      </c>
      <c r="AD34" s="108">
        <f t="shared" si="21"/>
        <v>0</v>
      </c>
      <c r="AE34" s="108">
        <f t="shared" si="22"/>
        <v>0</v>
      </c>
      <c r="AF34" s="108">
        <f t="shared" si="23"/>
        <v>0</v>
      </c>
      <c r="AG34" s="110">
        <f t="shared" si="24"/>
        <v>0</v>
      </c>
      <c r="AH34" s="115">
        <f t="shared" si="25"/>
        <v>0</v>
      </c>
      <c r="AI34" s="301"/>
      <c r="AJ34" s="100" t="s">
        <v>87</v>
      </c>
      <c r="AK34" s="346">
        <f t="shared" si="26"/>
        <v>0</v>
      </c>
      <c r="AL34" s="347">
        <f t="shared" si="26"/>
        <v>0</v>
      </c>
      <c r="AM34" s="347">
        <f t="shared" si="26"/>
        <v>0</v>
      </c>
      <c r="AN34" s="352">
        <f t="shared" si="27"/>
        <v>0</v>
      </c>
      <c r="AO34" s="353">
        <f t="shared" si="28"/>
        <v>0</v>
      </c>
      <c r="AP34" s="301"/>
      <c r="AQ34" s="100" t="s">
        <v>87</v>
      </c>
      <c r="AR34" s="346">
        <f t="shared" si="29"/>
        <v>0</v>
      </c>
      <c r="AS34" s="347">
        <f t="shared" si="30"/>
        <v>0</v>
      </c>
      <c r="AT34" s="353"/>
      <c r="AU34" s="301"/>
      <c r="AV34" s="1708" t="str">
        <f>IF('PIM Ranges'!$AK32='PIM Ranges'!$AY$11,IF($AR34&lt;'PIM Ranges'!$AZ$11,"Q1",IF($AR34&lt;'PIM Ranges'!$BA$11,"Q2",IF($AR34&lt;'PIM Ranges'!$BB$11,"Q3",IF($AR34&lt;'PIM Ranges'!$BC$11,"Q4","Q5")))),IF('PIM Ranges'!$AK32='PIM Ranges'!$AY$12,IF($AR34&lt;'PIM Ranges'!$AZ$12,"Q1",IF($AR34&lt;'PIM Ranges'!$BA$12,"Q2",IF($AR34&lt;'PIM Ranges'!$BB$12,"Q3",IF($AR34&lt;'PIM Ranges'!$BC$12,"Q4","Q5")))),IF('PIM Ranges'!$AK32='PIM Ranges'!$AY$13,IF($AR34&lt;'PIM Ranges'!$AZ$13,"Q1",IF($AR34&lt;'PIM Ranges'!$BA$13,"Q2",IF($AR34&lt;'PIM Ranges'!$BB$13,"Q3",IF($AR34&lt;'PIM Ranges'!$BC$13,"Q4","Q5")))),IF('PIM Ranges'!$AK32='PIM Ranges'!$AY$14,IF($AR34&lt;'PIM Ranges'!$AZ$14,"Q1",IF($AR34&lt;'PIM Ranges'!$BA$14,"Q2",IF($AR34&lt;'PIM Ranges'!$BB$14,"Q3",IF($AR34&lt;'PIM Ranges'!$BC$14,"Q4","Q5")))),IF('PIM Ranges'!$AK32='PIM Ranges'!$AY$15,IF($AR34&lt;'PIM Ranges'!$AZ$15,"Q1",IF($AR34&lt;'PIM Ranges'!$BA$15,"Q2",IF($AR34&lt;'PIM Ranges'!$BB$15,"Q3",IF($AR34&lt;'PIM Ranges'!$BC$15,"Q4","Q5")))),IF('PIM Ranges'!$AK32='PIM Ranges'!$AY$16,IF($AR34&lt;'PIM Ranges'!$AZ$16,"Q1",IF($AR34&lt;'PIM Ranges'!$BA$16,"Q2",IF($AR34&lt;'PIM Ranges'!$BB$16,"Q3",IF($AR34&lt;'PIM Ranges'!$BC$16,"Q4","Q5")))),IF('PIM Ranges'!$AK32='PIM Ranges'!$AY$17,IF($AR34&lt;'PIM Ranges'!$AZ$17,"Q1",IF($AR34&lt;'PIM Ranges'!$BA$17,"Q2",IF($AR34&lt;'PIM Ranges'!$BB$17,"Q3",IF($AR34&lt;'PIM Ranges'!$BC$17,"Q4","Q5")))),IF('PIM Ranges'!$AK32='PIM Ranges'!$AY$18,IF($AR34&lt;'PIM Ranges'!$AZ$18,"Q1",IF($AR34&lt;'PIM Ranges'!$BA$18,"Q2",IF($AR34&lt;'PIM Ranges'!$BB$18,"Q3",IF($AR34&lt;'PIM Ranges'!$BC$18,"Q4","Q5")))),IF('PIM Ranges'!$AK32='PIM Ranges'!$AY$19,IF($AR34&lt;'PIM Ranges'!$AZ$19,"Q1",IF($AR34&lt;'PIM Ranges'!$BA$19,"Q2",IF($AR34&lt;'PIM Ranges'!$BB$19,"Q3",IF($AR34&lt;'PIM Ranges'!$BC$19,"Q4","Q5")))),IF('PIM Ranges'!$AK32='PIM Ranges'!$AY$20,IF($AR34&lt;'PIM Ranges'!$AZ$20,"Q1",IF($AR34&lt;'PIM Ranges'!$BA$20,"Q2",IF($AR34&lt;'PIM Ranges'!$BB$20,"Q3",IF($AR34&lt;'PIM Ranges'!$BC$20,"Q4","Q5")))),IF('PIM Ranges'!$AK32='PIM Ranges'!$AY$21,IF($AR34&lt;'PIM Ranges'!$AZ$21,"Q1",IF($AR34&lt;'PIM Ranges'!$BA$21,"Q2",IF($AR34&lt;'PIM Ranges'!$BB$21,"Q3",IF($AR34&lt;'PIM Ranges'!$BC$21,"Q4","Q5")))),IF('PIM Ranges'!$AK32='PIM Ranges'!$AY$22,IF($AR34&lt;'PIM Ranges'!$AZ$22,"Q1",IF($AR34&lt;'PIM Ranges'!$BA$22,"Q2",IF($AR34&lt;'PIM Ranges'!$BB$22,"Q3",IF($AR34&lt;'PIM Ranges'!$BC$22,"Q4","Q5")))),IF('PIM Ranges'!$AK32='PIM Ranges'!$AY$23,IF($AR34&lt;'PIM Ranges'!$AZ$23,"Q1",IF($AR34&lt;'PIM Ranges'!$BA$23,"Q2",IF($AR34&lt;'PIM Ranges'!$BB$23,"Q3",IF($AR34&lt;'PIM Ranges'!$BC$23,"Q4","Q5")))),IF('PIM Ranges'!$AK32='PIM Ranges'!$AY$24,IF($AR34&lt;'PIM Ranges'!$AZ$24,"Q1",IF($AR34&lt;'PIM Ranges'!$BA$24,"Q2",IF($AR34&lt;'PIM Ranges'!$BB$24,"Q3",IF($AR34&lt;'PIM Ranges'!$BC$24,"Q4","Q5")))),IF('PIM Ranges'!$AK32='PIM Ranges'!$AY$25,IF($AR34&lt;'PIM Ranges'!$AZ$25,"Q1",IF($AR34&lt;'PIM Ranges'!$BA$25,"Q2",IF($AR34&lt;'PIM Ranges'!$BB$25,"Q3",IF($AR34&lt;'PIM Ranges'!$BC$25,"Q4","Q5")))),IF('PIM Ranges'!$AK32='PIM Ranges'!$AY$26,IF($AR34&lt;'PIM Ranges'!$AZ$26,"Q1",IF($AR34&lt;'PIM Ranges'!$BA$26,"Q2",IF($AR34&lt;'PIM Ranges'!$BB$26,"Q3",IF($AR34&lt;'PIM Ranges'!$BC$26,"Q4","Q5")))),IF('PIM Ranges'!$AK32='PIM Ranges'!$AY$27,IF($AR34&lt;'PIM Ranges'!$AZ$27,"Q1",IF($AR34&lt;'PIM Ranges'!$BA$27,"Q2",IF($AR34&lt;'PIM Ranges'!$BB$27,"Q3",IF($AR34&lt;'PIM Ranges'!$BC$27,"Q4","Q5")))),IF('PIM Ranges'!$AK32='PIM Ranges'!$AY$28,IF($AR34&lt;'PIM Ranges'!$AZ$28,"Q1",IF($AR34&lt;'PIM Ranges'!$BA$28,"Q2",IF($AR34&lt;'PIM Ranges'!$BB$28,"Q3",IF($AR34&lt;'PIM Ranges'!$BC$28,"Q4","Q5")))),IF('PIM Ranges'!$AK32='PIM Ranges'!$AY$29,IF($AR34&lt;'PIM Ranges'!$AZ$29,"Q1",IF($AR34&lt;'PIM Ranges'!$BA$29,"Q2",IF($AR34&lt;'PIM Ranges'!$BB$29,"Q3",IF($AR34&lt;'PIM Ranges'!$BC$29,"Q4","Q5")))),IF('PIM Ranges'!$AK32='PIM Ranges'!$AY$30,IF($AR34&lt;'PIM Ranges'!$AZ$30,"Q1",IF($AR34&lt;'PIM Ranges'!$BA$30,"Q2",IF($AR34&lt;'PIM Ranges'!$BB$30,"Q3",IF($AR34&lt;'PIM Ranges'!$BC$30,"Q4","Q5")))),IF('PIM Ranges'!$AK32='PIM Ranges'!$AY$31,IF($AR34&lt;'PIM Ranges'!$AZ$31,"Q1",IF($AR34&lt;'PIM Ranges'!$BA$31,"Q2",IF($AR34&lt;'PIM Ranges'!$BB$31,"Q3",IF($AR34&lt;'PIM Ranges'!$BC$31,"Q4","Q5")))),IF('PIM Ranges'!$AK32='PIM Ranges'!$AY$32,IF($AR34&lt;'PIM Ranges'!$AZ$32,"Q1",IF($AR34&lt;'PIM Ranges'!$BA$32,"Q2",IF($AR34&lt;'PIM Ranges'!$BB$32,"Q3",IF($AR34&lt;'PIM Ranges'!$BC$32,"Q4","Q5"))))))))))))))))))))))))))</f>
        <v>Q1</v>
      </c>
      <c r="AW34" s="301">
        <f>VLOOKUP($AQ34&amp;$AV34,'IMargin Quartiles'!$A:$F,6,FALSE)</f>
        <v>0.11</v>
      </c>
      <c r="AX34" s="301"/>
      <c r="AY34" s="1708" t="str">
        <f>IF('PIM Ranges'!$AK32='PIM Ranges'!$AY$11,IF('PIM Ranges'!$AL32&lt;'PIM Ranges'!$AZ$11,"Q1",IF('PIM Ranges'!$AL32&lt;'PIM Ranges'!$BA$11,"Q2",IF('PIM Ranges'!$AL32&lt;'PIM Ranges'!$BB$11,"Q3",IF('PIM Ranges'!$AL32&lt;'PIM Ranges'!$BC$11,"Q4","Q5")))),IF('PIM Ranges'!$AK32='PIM Ranges'!$AY$12,IF('PIM Ranges'!$AL32&lt;'PIM Ranges'!$AZ$12,"Q1",IF('PIM Ranges'!$AL32&lt;'PIM Ranges'!$BA$12,"Q2",IF('PIM Ranges'!$AL32&lt;'PIM Ranges'!$BB$12,"Q3",IF('PIM Ranges'!$AL32&lt;'PIM Ranges'!$BC$12,"Q4","Q5")))),IF('PIM Ranges'!$AK32='PIM Ranges'!$AY$13,IF('PIM Ranges'!$AL32&lt;'PIM Ranges'!$AZ$13,"Q1",IF('PIM Ranges'!$AL32&lt;'PIM Ranges'!$BA$13,"Q2",IF('PIM Ranges'!$AL32&lt;'PIM Ranges'!$BB$13,"Q3",IF('PIM Ranges'!$AL32&lt;'PIM Ranges'!$BC$13,"Q4","Q5")))),IF('PIM Ranges'!$AK32='PIM Ranges'!$AY$14,IF('PIM Ranges'!$AL32&lt;'PIM Ranges'!$AZ$14,"Q1",IF('PIM Ranges'!$AL32&lt;'PIM Ranges'!$BA$14,"Q2",IF('PIM Ranges'!$AL32&lt;'PIM Ranges'!$BB$14,"Q3",IF('PIM Ranges'!$AL32&lt;'PIM Ranges'!$BC$14,"Q4","Q5")))),IF('PIM Ranges'!$AK32='PIM Ranges'!$AY$15,IF('PIM Ranges'!$AL32&lt;'PIM Ranges'!$AZ$15,"Q1",IF('PIM Ranges'!$AL32&lt;'PIM Ranges'!$BA$15,"Q2",IF('PIM Ranges'!$AL32&lt;'PIM Ranges'!$BB$15,"Q3",IF('PIM Ranges'!$AL32&lt;'PIM Ranges'!$BC$15,"Q4","Q5")))),IF('PIM Ranges'!$AK32='PIM Ranges'!$AY$16,IF('PIM Ranges'!$AL32&lt;'PIM Ranges'!$AZ$16,"Q1",IF('PIM Ranges'!$AL32&lt;'PIM Ranges'!$BA$16,"Q2",IF('PIM Ranges'!$AL32&lt;'PIM Ranges'!$BB$16,"Q3",IF('PIM Ranges'!$AL32&lt;'PIM Ranges'!$BC$16,"Q4","Q5")))),IF('PIM Ranges'!$AK32='PIM Ranges'!$AY$17,IF('PIM Ranges'!$AL32&lt;'PIM Ranges'!$AZ$17,"Q1",IF('PIM Ranges'!$AL32&lt;'PIM Ranges'!$BA$17,"Q2",IF('PIM Ranges'!$AL32&lt;'PIM Ranges'!$BB$17,"Q3",IF('PIM Ranges'!$AL32&lt;'PIM Ranges'!$BC$17,"Q4","Q5")))),IF('PIM Ranges'!$AK32='PIM Ranges'!$AY$18,IF('PIM Ranges'!$AL32&lt;'PIM Ranges'!$AZ$18,"Q1",IF('PIM Ranges'!$AL32&lt;'PIM Ranges'!$BA$18,"Q2",IF('PIM Ranges'!$AL32&lt;'PIM Ranges'!$BB$18,"Q3",IF('PIM Ranges'!$AL32&lt;'PIM Ranges'!$BC$18,"Q4","Q5")))),IF('PIM Ranges'!$AK32='PIM Ranges'!$AY$19,IF('PIM Ranges'!$AL32&lt;'PIM Ranges'!$AZ$19,"Q1",IF('PIM Ranges'!$AL32&lt;'PIM Ranges'!$BA$19,"Q2",IF('PIM Ranges'!$AL32&lt;'PIM Ranges'!$BB$19,"Q3",IF('PIM Ranges'!$AL32&lt;'PIM Ranges'!$BC$19,"Q4","Q5")))),IF('PIM Ranges'!$AK32='PIM Ranges'!$AY$20,IF('PIM Ranges'!$AL32&lt;'PIM Ranges'!$AZ$20,"Q1",IF('PIM Ranges'!$AL32&lt;'PIM Ranges'!$BA$20,"Q2",IF('PIM Ranges'!$AL32&lt;'PIM Ranges'!$BB$20,"Q3",IF('PIM Ranges'!$AL32&lt;'PIM Ranges'!$BC$20,"Q4","Q5")))),IF('PIM Ranges'!$AK32='PIM Ranges'!$AY$21,IF('PIM Ranges'!$AL32&lt;'PIM Ranges'!$AZ$21,"Q1",IF('PIM Ranges'!$AL32&lt;'PIM Ranges'!$BA$21,"Q2",IF('PIM Ranges'!$AL32&lt;'PIM Ranges'!$BB$21,"Q3",IF('PIM Ranges'!$AL32&lt;'PIM Ranges'!$BC$21,"Q4","Q5")))),IF('PIM Ranges'!$AK32='PIM Ranges'!$AY$22,IF('PIM Ranges'!$AL32&lt;'PIM Ranges'!$AZ$22,"Q1",IF('PIM Ranges'!$AL32&lt;'PIM Ranges'!$BA$22,"Q2",IF('PIM Ranges'!$AL32&lt;'PIM Ranges'!$BB$22,"Q3",IF('PIM Ranges'!$AL32&lt;'PIM Ranges'!$BC$22,"Q4","Q5")))),IF('PIM Ranges'!$AK32='PIM Ranges'!$AY$23,IF('PIM Ranges'!$AL32&lt;'PIM Ranges'!$AZ$23,"Q1",IF('PIM Ranges'!$AL32&lt;'PIM Ranges'!$BA$23,"Q2",IF('PIM Ranges'!$AL32&lt;'PIM Ranges'!$BB$23,"Q3",IF('PIM Ranges'!$AL32&lt;'PIM Ranges'!$BC$23,"Q4","Q5")))),IF('PIM Ranges'!$AK32='PIM Ranges'!$AY$24,IF('PIM Ranges'!$AL32&lt;'PIM Ranges'!$AZ$24,"Q1",IF('PIM Ranges'!$AL32&lt;'PIM Ranges'!$BA$24,"Q2",IF('PIM Ranges'!$AL32&lt;'PIM Ranges'!$BB$24,"Q3",IF('PIM Ranges'!$AL32&lt;'PIM Ranges'!$BC$24,"Q4","Q5")))),IF('PIM Ranges'!$AK32='PIM Ranges'!$AY$25,IF('PIM Ranges'!$AL32&lt;'PIM Ranges'!$AZ$25,"Q1",IF('PIM Ranges'!$AL32&lt;'PIM Ranges'!$BA$25,"Q2",IF('PIM Ranges'!$AL32&lt;'PIM Ranges'!$BB$25,"Q3",IF('PIM Ranges'!$AL32&lt;'PIM Ranges'!$BC$25,"Q4","Q5")))),IF('PIM Ranges'!$AK32='PIM Ranges'!$AY$26,IF('PIM Ranges'!$AL32&lt;'PIM Ranges'!$AZ$26,"Q1",IF('PIM Ranges'!$AL32&lt;'PIM Ranges'!$BA$26,"Q2",IF('PIM Ranges'!$AL32&lt;'PIM Ranges'!$BB$26,"Q3",IF('PIM Ranges'!$AL32&lt;'PIM Ranges'!$BC$26,"Q4","Q5")))),IF('PIM Ranges'!$AK32='PIM Ranges'!$AY$27,IF('PIM Ranges'!$AL32&lt;'PIM Ranges'!$AZ$27,"Q1",IF('PIM Ranges'!$AL32&lt;'PIM Ranges'!$BA$27,"Q2",IF('PIM Ranges'!$AL32&lt;'PIM Ranges'!$BB$27,"Q3",IF('PIM Ranges'!$AL32&lt;'PIM Ranges'!$BC$27,"Q4","Q5")))),IF('PIM Ranges'!$AK32='PIM Ranges'!$AY$28,IF('PIM Ranges'!$AL32&lt;'PIM Ranges'!$AZ$28,"Q1",IF('PIM Ranges'!$AL32&lt;'PIM Ranges'!$BA$28,"Q2",IF('PIM Ranges'!$AL32&lt;'PIM Ranges'!$BB$28,"Q3",IF('PIM Ranges'!$AL32&lt;'PIM Ranges'!$BC$28,"Q4","Q5")))),IF('PIM Ranges'!$AK32='PIM Ranges'!$AY$29,IF('PIM Ranges'!$AL32&lt;'PIM Ranges'!$AZ$29,"Q1",IF('PIM Ranges'!$AL32&lt;'PIM Ranges'!$BA$29,"Q2",IF('PIM Ranges'!$AL32&lt;'PIM Ranges'!$BB$29,"Q3",IF('PIM Ranges'!$AL32&lt;'PIM Ranges'!$BC$29,"Q4","Q5")))),IF('PIM Ranges'!$AK32='PIM Ranges'!$AY$30,IF('PIM Ranges'!$AL32&lt;'PIM Ranges'!$AZ$30,"Q1",IF('PIM Ranges'!$AL32&lt;'PIM Ranges'!$BA$30,"Q2",IF('PIM Ranges'!$AL32&lt;'PIM Ranges'!$BB$30,"Q3",IF('PIM Ranges'!$AL32&lt;'PIM Ranges'!$BC$30,"Q4","Q5")))),IF('PIM Ranges'!$AK32='PIM Ranges'!$AY$31,IF('PIM Ranges'!$AL32&lt;'PIM Ranges'!$AZ$31,"Q1",IF('PIM Ranges'!$AL32&lt;'PIM Ranges'!$BA$31,"Q2",IF('PIM Ranges'!$AL32&lt;'PIM Ranges'!$BB$31,"Q3",IF('PIM Ranges'!$AL32&lt;'PIM Ranges'!$BC$31,"Q4","Q5")))),IF('PIM Ranges'!$AK32='PIM Ranges'!$AY$32,IF('PIM Ranges'!$AL32&lt;'PIM Ranges'!$AZ$32,"Q1",IF('PIM Ranges'!$AL32&lt;'PIM Ranges'!$BA$32,"Q2",IF('PIM Ranges'!$AL32&lt;'PIM Ranges'!$BB$32,"Q3",IF('PIM Ranges'!$AL32&lt;'PIM Ranges'!$BC$32,"Q4","Q5"))))))))))))))))))))))))))</f>
        <v>Q1</v>
      </c>
      <c r="AZ34" s="301">
        <f t="shared" si="31"/>
        <v>0</v>
      </c>
      <c r="BA34" s="39">
        <f>'PIM Model'!C30</f>
        <v>0</v>
      </c>
      <c r="BB34" s="301"/>
      <c r="BC34" s="301"/>
      <c r="BD34" s="301" t="e">
        <f t="shared" si="72"/>
        <v>#DIV/0!</v>
      </c>
      <c r="BE34" s="301"/>
      <c r="BF34" s="301"/>
      <c r="BG34" s="105">
        <v>23</v>
      </c>
      <c r="BH34" s="18">
        <f t="array" ref="BH34">IF('Customer Inputs'!$W$6="End",0,IFERROR(IF($BU34="SEGMENT",INDEX('Margin Guidence Table'!$A$1:$AG$10000,MATCH(1,('Margin Guidence Table'!$A$1:$A$10000=$BS34)*('Margin Guidence Table'!$I$1:$I$10000&lt;=ROUND($BK$3,0))*('Margin Guidence Table'!$J$1:$J$10000&gt;=ROUND($BK$3,0)),0),MATCH("PCT_SALES",'Margin Guidence Table'!$A$1:$AG$1,0)),INDEX('Margin Guidence Table'!$A$1:$AG$10000,MATCH(1,('Margin Guidence Table'!$A$1:$A$10000=$BS34)*('Margin Guidence Table'!$I$1:$I$10000&lt;=ROUND($BK$3,0))*('Margin Guidence Table'!$J$1:$J$10000&gt;=ROUND($BK$3,0)),0),MATCH("DEFAULT_PCT_SALES",'Margin Guidence Table'!$A$1:$AG$1,0))),0))</f>
        <v>0</v>
      </c>
      <c r="BI34" s="297" t="e">
        <f t="shared" si="32"/>
        <v>#DIV/0!</v>
      </c>
      <c r="BJ34" s="100" t="s">
        <v>87</v>
      </c>
      <c r="BK34" s="91">
        <f>IF('Customer Inputs'!$W$6="End",0,IFERROR(IF(AND($BK$2&lt;&gt;"Enter Spend&gt;&gt;&gt;",$BL$2="EXISTING"),SUMIFS('Existing Customers'!$Q:$Q,'Existing Customers'!$A:$A,$BK$1,'Existing Customers'!$H:$H,$BJ34)*$BK$4,$BK$3*$BI34),0))</f>
        <v>0</v>
      </c>
      <c r="BL34" s="92">
        <f>IF('Customer Inputs'!$W$6="End",0,IFERROR(IF(AND($BK$2&lt;&gt;"Enter Spend&gt;&gt;&gt;",$BL$2="EXISTING"),SUMIFS('Existing Customers'!$N:$N,'Existing Customers'!$A:$A,$BK$1,'Existing Customers'!$H:$H,$BJ34)*$BK$4,$BK34/$BV34),0))</f>
        <v>0</v>
      </c>
      <c r="BM34" s="92">
        <f>IF('Customer Inputs'!$W$6="End",0,IFERROR(IF(AND($BK$2&lt;&gt;"Enter Spend&gt;&gt;&gt;",$BL$2="EXISTING"),SUMIFS('Existing Customers'!$O:$O,'Existing Customers'!$H:$H,$BJ34,'Existing Customers'!$A:$A,$BK$1)*$BK$4,$BL34*$BK$8),0))</f>
        <v>0</v>
      </c>
      <c r="BN34" s="92">
        <f>IF('Customer Inputs'!$W$6="End",0,IFERROR(IF(AND($BK$2&lt;&gt;"Enter Spend&gt;&gt;&gt;",$BL$2="EXISTING"),SUMIFS('Existing Customers'!$P:$P,'Existing Customers'!$A:$A,$BK$1,'Existing Customers'!$H:$H,$BJ34)*$BK$4,$BK34/$BW34),0))</f>
        <v>0</v>
      </c>
      <c r="BO34" s="303">
        <f>IF('Customer Inputs'!$W$6="End",0,IFERROR(IF(AND($BK$2&lt;&gt;"Enter Spend&gt;&gt;&gt;",$BL$2="EXISTING"),SUMIFS('Existing Customers'!$V:$V,'Existing Customers'!$H:$H,$BJ34,'Existing Customers'!$A:$A,$BK$1)*$BK$4,0),0))</f>
        <v>0</v>
      </c>
      <c r="BP34" s="93">
        <f>IF('Customer Inputs'!$W$6="End",0,IFERROR(IF(AND($BK$2&lt;&gt;"Enter Spend&gt;&gt;&gt;",$BL$2="EXISTING"),SUMIFS('Existing Customers'!$R:$R,'Existing Customers'!$H:$H,$BJ34,'Existing Customers'!$A:$A,$BK$1)*$BK$4,0),0))</f>
        <v>0</v>
      </c>
      <c r="BQ34" s="93">
        <f>IF('Customer Inputs'!$W$6="End",0,IFERROR(IF(AND($BK$2&lt;&gt;"Enter Spend&gt;&gt;&gt;",$BL$2="EXISTING"),SUMIFS('Existing Customers'!$S:$S,'Existing Customers'!$H:$H,$BJ34,'Existing Customers'!$A:$A,$BK$1)/SUMIFS('Existing Customers'!$Q:$Q,'Existing Customers'!$A:$A,$BK$1,'Existing Customers'!$H:$H,$BJ34),CA34),0))</f>
        <v>0</v>
      </c>
      <c r="BR34" s="93">
        <f>IF('Customer Inputs'!$W$6="End",0,IFERROR(IF(AND($BK$2&lt;&gt;"Enter Spend&gt;&gt;&gt;",$BL$2="EXISTING"),SUMIFS('Existing Customers'!$U:$U,'Existing Customers'!$H:$H,$BJ34,'Existing Customers'!$A:$A,$BK$1)/SUMIFS('Existing Customers'!$Q:$Q,'Existing Customers'!$A:$A,$BK$1,'Existing Customers'!$H:$H,$BJ34),CB34),0))</f>
        <v>0</v>
      </c>
      <c r="BS34" s="782" t="e">
        <f>_xlfn.CONCAT('Customer Inputs'!$AH$6,"_",BJ34)</f>
        <v>#N/A</v>
      </c>
      <c r="BT34" s="783">
        <f t="array" ref="BT34">IF('Customer Inputs'!$W$6="End",0,IFERROR(INDEX('Margin Guidence Table'!$A$1:$AG$10000,MATCH(1,('Margin Guidence Table'!$A$1:$A$10000=$BS34)*('Margin Guidence Table'!$I$1:$I$10000&lt;=ROUND($BK$3,0))*('Margin Guidence Table'!$J$1:$J$10000&gt;=ROUND($BK$3,0)),0),MATCH("DATA_POINTS",'Margin Guidence Table'!$A$1:$AG$1,0)),0))</f>
        <v>0</v>
      </c>
      <c r="BU34" s="780" t="str">
        <f t="shared" si="33"/>
        <v>DEFAULT</v>
      </c>
      <c r="BV34" s="780">
        <f t="array" ref="BV34">IF('Customer Inputs'!$W$6="End",0,IFERROR(IF($BU34="SEGMENT",INDEX('Margin Guidence Table'!$A$1:$AG$10000,MATCH(1,('Margin Guidence Table'!$A$1:$A$10000=$BS34)*('Margin Guidence Table'!$I$1:$I$10000&lt;=ROUND($BK$3,0))*('Margin Guidence Table'!$J$1:$J$10000&gt;=ROUND($BK$3,0)),0),MATCH("SALES_CASE",'Margin Guidence Table'!$A$1:$AG$1,0)),INDEX('Margin Guidence Table'!$A$1:$AG$10000,MATCH(1,('Margin Guidence Table'!$A$1:$A$10000=$BS34)*('Margin Guidence Table'!$I$1:$I$10000&lt;=ROUND($BK$3,0))*('Margin Guidence Table'!$J$1:$J$10000&gt;=ROUND($BK$3,0)),0),MATCH("DEFAULT_SALES_CASE",'Margin Guidence Table'!$A$1:$AG$1,0))),0))</f>
        <v>0</v>
      </c>
      <c r="BW34" s="780">
        <f t="array" ref="BW34">IF('Customer Inputs'!$W$6="End",0,IFERROR(IF($BU34="SEGMENT",INDEX('Margin Guidence Table'!$A$1:$AG$10000,MATCH(1,('Margin Guidence Table'!$A$1:$A$10000=$BS34)*('Margin Guidence Table'!$I$1:$I$10000&lt;=ROUND($BK$3,0))*('Margin Guidence Table'!$J$1:$J$10000&gt;=ROUND($BK$3,0)),0),MATCH("SALES_LBS",'Margin Guidence Table'!$A$1:$AG$1,0)),INDEX('Margin Guidence Table'!$A$1:$AG$10000,MATCH(1,('Margin Guidence Table'!$A$1:$A$10000=$BS34)*('Margin Guidence Table'!$I$1:$I$10000&lt;=ROUND($BK$3,0))*('Margin Guidence Table'!$J$1:$J$10000&gt;=ROUND($BK$3,0)),0),MATCH("DEFAULT_SALES_LBS",'Margin Guidence Table'!$A$1:$AG$1,0))),0))</f>
        <v>0</v>
      </c>
      <c r="BX34" s="784">
        <f t="array" ref="BX34">IF('Customer Inputs'!$W$6="End",0,IFERROR(IF($BU34="SEGMENT",INDEX('Margin Guidence Table'!$A$1:$AG$10000,MATCH(1,('Margin Guidence Table'!$A$1:$A$10000=$BS34)*('Margin Guidence Table'!$I$1:$I$10000&lt;=ROUND($BK$3,0))*('Margin Guidence Table'!$J$1:$J$10000&gt;=ROUND($BK$3,0)),0),MATCH("MDA_MIN_MARGIN_GUIDENCE",'Margin Guidence Table'!$A$1:$AG$1,0)),INDEX('Margin Guidence Table'!$A$1:$AG$10000,MATCH(1,('Margin Guidence Table'!$A$1:$A$10000=$BS34)*('Margin Guidence Table'!$I$1:$I$10000&lt;=ROUND($BK$3,0))*('Margin Guidence Table'!$J$1:$J$10000&gt;=ROUND($BK$3,0)),0),MATCH("DEFAULT_MDA_MIN_MARGIN_GUIDENCE",'Margin Guidence Table'!$A$1:$AG$1,0))),0))</f>
        <v>0</v>
      </c>
      <c r="BY34" s="784">
        <f t="array" ref="BY34">IF('Customer Inputs'!$W$6="End",0,IFERROR(IF($BU34="SEGMENT",INDEX('Margin Guidence Table'!$A$1:$AG$10000,MATCH(1,('Margin Guidence Table'!$A$1:$A$10000=$BS34)*('Margin Guidence Table'!$I$1:$I$10000&lt;=ROUND($BK$3,0))*('Margin Guidence Table'!$J$1:$J$10000&gt;=ROUND($BK$3,0)),0),MATCH("MDA_MEDIAN_MARGIN_GUIDENCE",'Margin Guidence Table'!$A$1:$AG$1,0)),INDEX('Margin Guidence Table'!$A$1:$AG$10000,MATCH(1,('Margin Guidence Table'!$A$1:$A$10000=$BS34)*('Margin Guidence Table'!$I$1:$I$10000&lt;=ROUND($BK$3,0))*('Margin Guidence Table'!$J$1:$J$10000&gt;=ROUND($BK$3,0)),0),MATCH("DEFAULT_MDA_MEDIAN_MARGIN_GUIDENCE",'Margin Guidence Table'!$A$1:$AG$1,0))),0))</f>
        <v>0</v>
      </c>
      <c r="BZ34" s="784">
        <f t="array" ref="BZ34">IF('Customer Inputs'!$W$6="End",0,IFERROR(IF($BU34="SEGMENT",INDEX('Margin Guidence Table'!$A$1:$AG$10000,MATCH(1,('Margin Guidence Table'!$A$1:$A$10000=$BS34)*('Margin Guidence Table'!$I$1:$I$10000&lt;=ROUND($BK$3,0))*('Margin Guidence Table'!$J$1:$J$10000&gt;=ROUND($BK$3,0)),0),MATCH("MDA_MAX_MARGIN_GUIDENCE",'Margin Guidence Table'!$A$1:$AG$1,0)),INDEX('Margin Guidence Table'!$A$1:$AG$10000,MATCH(1,('Margin Guidence Table'!$A$1:$A$10000=$BS34)*('Margin Guidence Table'!$I$1:$I$10000&lt;=ROUND($BK$3,0))*('Margin Guidence Table'!$J$1:$J$10000&gt;=ROUND($BK$3,0)),0),MATCH("DEFAULT_MDA_MAX_MARGIN_GUIDENCE",'Margin Guidence Table'!$A$1:$AG$1,0))),0))</f>
        <v>0</v>
      </c>
      <c r="CA34" s="784">
        <f t="array" ref="CA34">IF('Customer Inputs'!$W$6="End",0,IFERROR(IF($BU34="SEGMENT",INDEX('Margin Guidence Table'!$A$1:$AG$10000,MATCH(1,('Margin Guidence Table'!$A$1:$A$10000=$BS34)*('Margin Guidence Table'!$I$1:$I$10000&lt;=ROUND($BK$3,0))*('Margin Guidence Table'!$J$1:$J$10000&gt;=ROUND($BK$3,0)),0),MATCH("PA_PCT_SALES",'Margin Guidence Table'!$A$1:$AG$1,0)),INDEX('Margin Guidence Table'!$A$1:$AG$10000,MATCH(1,('Margin Guidence Table'!$A$1:$A$10000=$BS34)*('Margin Guidence Table'!$I$1:$I$10000&lt;=ROUND($BK$3,0))*('Margin Guidence Table'!$J$1:$J$10000&gt;=ROUND($BK$3,0)),0),MATCH("DEFAULT_PA_PCT_SALES",'Margin Guidence Table'!$A$1:$AG$1,0))),0))</f>
        <v>0</v>
      </c>
      <c r="CB34" s="784">
        <f t="array" ref="CB34">IF('Customer Inputs'!$W$6="End",0,IFERROR(IF($BU34="SEGMENT",INDEX('Margin Guidence Table'!$A$1:$AG$10000,MATCH(1,('Margin Guidence Table'!$A$1:$A$10000=$BS34)*('Margin Guidence Table'!$I$1:$I$10000&lt;=ROUND($BK$3,0))*('Margin Guidence Table'!$J$1:$J$10000&gt;=ROUND($BK$3,0)),0),MATCH("SELF_FUND_PCT_SALES",'Margin Guidence Table'!$A$1:$AG$1,0)),INDEX('Margin Guidence Table'!$A$1:$AG$10000,MATCH(1,('Margin Guidence Table'!$A$1:$A$10000=$BS34)*('Margin Guidence Table'!$I$1:$I$10000&lt;=ROUND($BK$3,0))*('Margin Guidence Table'!$J$1:$J$10000&gt;=ROUND($BK$3,0)),0),MATCH("DEFAULT_SELF_FUND_PCT_SALES",'Margin Guidence Table'!$A$1:$AG$1,0))),0))</f>
        <v>0</v>
      </c>
      <c r="CC34" s="784">
        <f t="array" ref="CC34">IF('Customer Inputs'!$W$6="End",0,IF($BL$2="Existing",IFERROR(SUMIFS('Existing Customers'!$V:$V,'Existing Customers'!$H:$H,$BJ34,'Existing Customers'!$A:$A,$BK$1)/SUMIFS('Existing Customers'!$Q:$Q,'Existing Customers'!$H:$H,$BJ34,'Existing Customers'!$A:$A,$BK$1),0),IFERROR(IF($BU34="SEGMENT",INDEX('Margin Guidence Table'!$A$1:$AG$10000,MATCH(1,('Margin Guidence Table'!$A$1:$A$10000=$BS34)*('Margin Guidence Table'!$I$1:$I$10000&lt;=ROUND($BK$3,0))*('Margin Guidence Table'!$J$1:$J$10000&gt;=ROUND($BK$3,0)),0),MATCH("CIA_MEDIAN_MARGIN_GUIDENCE",'Margin Guidence Table'!$A$1:$AG$1,0)),INDEX('Margin Guidence Table'!$A$1:$AG$10000,MATCH(1,('Margin Guidence Table'!$A$1:$A$10000=$BS34)*('Margin Guidence Table'!$I$1:$I$10000&lt;=ROUND($BK$3,0))*('Margin Guidence Table'!$J$1:$J$10000&gt;=ROUND($BK$3,0)),0),MATCH("DEFAULT_CIA_MEDIAN_MARGIN_GUIDENCE",'Margin Guidence Table'!$A$1:$AG$1,0))),0)))</f>
        <v>0</v>
      </c>
      <c r="CD34" s="126"/>
      <c r="CE34" s="18">
        <f t="array" ref="CE34">IF('Customer Inputs'!$W$7="End",0,IFERROR(IF($CR34="SEGMENT",INDEX('Margin Guidence Table'!$A$1:$AG$10000,MATCH(1,('Margin Guidence Table'!$A$1:$A$10000=$CP34)*('Margin Guidence Table'!$I$1:$I$10000&lt;=ROUND($CH$3,0))*('Margin Guidence Table'!$J$1:$J$10000&gt;=ROUND($CH$3,0)),0),MATCH("PCT_SALES",'Margin Guidence Table'!$A$1:$AG$1,0)),INDEX('Margin Guidence Table'!$A$1:$AG$10000,MATCH(1,('Margin Guidence Table'!$A$1:$A$10000=$CP34)*('Margin Guidence Table'!$I$1:$I$10000&lt;=ROUND($CH$3,0))*('Margin Guidence Table'!$J$1:$J$10000&gt;=ROUND($CH$3,0)),0),MATCH("DEFAULT_PCT_SALES",'Margin Guidence Table'!$A$1:$AG$1,0))),0))</f>
        <v>0</v>
      </c>
      <c r="CF34" s="297" t="e">
        <f t="shared" si="34"/>
        <v>#DIV/0!</v>
      </c>
      <c r="CG34" s="100" t="s">
        <v>87</v>
      </c>
      <c r="CH34" s="91">
        <f>IF('Customer Inputs'!$W$7="End",0,IFERROR(IF(AND($CH$2&lt;&gt;"Enter Spend&gt;&gt;&gt;",$CI$2="EXISTING"),SUMIFS('Existing Customers'!$Q:$Q,'Existing Customers'!$A:$A,$CH$1,'Existing Customers'!$H:$H,$CG34)*$CH$4,$CH$3*$CF34),0))</f>
        <v>0</v>
      </c>
      <c r="CI34" s="86">
        <f>IF('Customer Inputs'!$W$7="End",0,IFERROR(IF(AND($CH$2&lt;&gt;"Enter Spend&gt;&gt;&gt;",$CI$2="EXISTING"),SUMIFS('Existing Customers'!$N:$N,'Existing Customers'!$A:$A,$CH$1,'Existing Customers'!$H:$H,$CG34)*$CH$4,$CH34/$CS34),0))</f>
        <v>0</v>
      </c>
      <c r="CJ34" s="92">
        <f>IF('Customer Inputs'!$W$7="End",0,IFERROR(IF(AND($CH$2&lt;&gt;"Enter Spend&gt;&gt;&gt;",$CI$2="EXISTING"),SUMIFS('Existing Customers'!$O:$O,'Existing Customers'!$H:$H,$CG34,'Existing Customers'!$A:$A,$CH$1)*$CH$4,$CI34*$CH$8),0))</f>
        <v>0</v>
      </c>
      <c r="CK34" s="92">
        <f>IF('Customer Inputs'!$W$7="End",0,IFERROR(IF(AND($CH$2&lt;&gt;"Enter Spend&gt;&gt;&gt;",$CI$2="EXISTING"),SUMIFS('Existing Customers'!$P:$P,'Existing Customers'!$A:$A,$CH$1,'Existing Customers'!$H:$H,$CG34)*$CH$4,$CH34/$CT34),0))</f>
        <v>0</v>
      </c>
      <c r="CL34" s="93">
        <f>IF('Customer Inputs'!$W$7="End",0,IFERROR(IF(AND($CH$2&lt;&gt;"Enter Spend&gt;&gt;&gt;",$CI$2="EXISTING"),SUMIFS('Existing Customers'!$V:$V,'Existing Customers'!$H:$H,$CG34,'Existing Customers'!$A:$A,$CH$1)*$CH$4,0),0))</f>
        <v>0</v>
      </c>
      <c r="CM34" s="93">
        <f>IF('Customer Inputs'!$W$7="End",0,IFERROR(IF(AND($CH$2&lt;&gt;"Enter Spend&gt;&gt;&gt;",$CI$2="EXISTING"),SUMIFS('Existing Customers'!$R:$R,'Existing Customers'!$H:$H,$CG34,'Existing Customers'!$A:$A,$CH$1)*$CH$4,0),0))</f>
        <v>0</v>
      </c>
      <c r="CN34" s="780">
        <f>IF('Customer Inputs'!$W$7="End",0,IFERROR(IF(AND($CH$2&lt;&gt;"Enter Spend&gt;&gt;&gt;",$CI$2="EXISTING"),SUMIFS('Existing Customers'!$S:$S,'Existing Customers'!$H:$H,$CG34,'Existing Customers'!$A:$A,$CH$1)/SUMIFS('Existing Customers'!$Q:$Q,'Existing Customers'!$A:$A,$CH$1,'Existing Customers'!$H:$H,$CG34),CX34),0))</f>
        <v>0</v>
      </c>
      <c r="CO34" s="780">
        <f>IF('Customer Inputs'!$W$7="End",0,IFERROR(IF(AND($CH$2&lt;&gt;"Enter Spend&gt;&gt;&gt;",$CI$2="EXISTING"),SUMIFS('Existing Customers'!$U:$U,'Existing Customers'!$H:$H,$CG34,'Existing Customers'!$A:$A,$CH$1)/SUMIFS('Existing Customers'!$Q:$Q,'Existing Customers'!$A:$A,$CH$1,'Existing Customers'!$H:$H,$CG34),CY34),0))</f>
        <v>0</v>
      </c>
      <c r="CP34" s="783" t="e">
        <f>_xlfn.CONCAT('Customer Inputs'!$AH$7,"_",CG34)</f>
        <v>#N/A</v>
      </c>
      <c r="CQ34" s="783">
        <f t="array" ref="CQ34">IFERROR(INDEX('Margin Guidence Table'!$A$1:$AG$10000,MATCH(1,('Margin Guidence Table'!$A$1:$A$10000=$CP34)*('Margin Guidence Table'!$I$1:$I$10000&lt;=ROUND($CH$3,0))*('Margin Guidence Table'!$J$1:$J$10000&gt;=ROUND($CH$3,0)),0),MATCH("DATA_POINTS",'Margin Guidence Table'!$A$1:$AG$1,0)),0)</f>
        <v>0</v>
      </c>
      <c r="CR34" s="780" t="str">
        <f t="shared" si="35"/>
        <v>DEFAULT</v>
      </c>
      <c r="CS34" s="780">
        <f t="array" ref="CS34">IF('Customer Inputs'!$W$7="End",0,IFERROR(IF($CR34="SEGMENT",INDEX('Margin Guidence Table'!$A$1:$AG$10000,MATCH(1,('Margin Guidence Table'!$A$1:$A$10000=$CP34)*('Margin Guidence Table'!$I$1:$I$10000&lt;=ROUND($CH$3,0))*('Margin Guidence Table'!$J$1:$J$10000&gt;=ROUND($CH$3,0)),0),MATCH("SALES_CASE",'Margin Guidence Table'!$A$1:$AG$1,0)),INDEX('Margin Guidence Table'!$A$1:$AG$10000,MATCH(1,('Margin Guidence Table'!$A$1:$A$10000=$CP34)*('Margin Guidence Table'!$I$1:$I$10000&lt;=ROUND($CH$3,0))*('Margin Guidence Table'!$J$1:$J$10000&gt;=ROUND($CH$3,0)),0),MATCH("DEFAULT_SALES_CASE",'Margin Guidence Table'!$A$1:$AG$1,0))),0))</f>
        <v>0</v>
      </c>
      <c r="CT34" s="780">
        <f t="array" ref="CT34">IF('Customer Inputs'!$W$7="End",0,IFERROR(IF($CR34="SEGMENT",INDEX('Margin Guidence Table'!$A$1:$AG$10000,MATCH(1,('Margin Guidence Table'!$A$1:$A$10000=$CP34)*('Margin Guidence Table'!$I$1:$I$10000&lt;=ROUND($CH$3,0))*('Margin Guidence Table'!$J$1:$J$10000&gt;=ROUND($CH$3,0)),0),MATCH("SALES_LBS",'Margin Guidence Table'!$A$1:$AG$1,0)),INDEX('Margin Guidence Table'!$A$1:$AG$10000,MATCH(1,('Margin Guidence Table'!$A$1:$A$10000=$CP34)*('Margin Guidence Table'!$I$1:$I$10000&lt;=ROUND($CH$3,0))*('Margin Guidence Table'!$J$1:$J$10000&gt;=ROUND($CH$3,0)),0),MATCH("DEFAULT_SALES_LBS",'Margin Guidence Table'!$A$1:$AG$1,0))),0))</f>
        <v>0</v>
      </c>
      <c r="CU34" s="784">
        <f t="array" ref="CU34">IF('Customer Inputs'!$W$7="End",0,IFERROR(IF($CR34="SEGMENT",INDEX('Margin Guidence Table'!$A$1:$AG$10000,MATCH(1,('Margin Guidence Table'!$A$1:$A$10000=$CP34)*('Margin Guidence Table'!$I$1:$I$10000&lt;=ROUND($CH$3,0))*('Margin Guidence Table'!$J$1:$J$10000&gt;=ROUND($CH$3,0)),0),MATCH("MDA_MIN_MARGIN_GUIDENCE",'Margin Guidence Table'!$A$1:$AG$1,0)),INDEX('Margin Guidence Table'!$A$1:$AG$10000,MATCH(1,('Margin Guidence Table'!$A$1:$A$10000=$CP34)*('Margin Guidence Table'!$I$1:$I$10000&lt;=ROUND($CH$3,0))*('Margin Guidence Table'!$J$1:$J$10000&gt;=ROUND($CH$3,0)),0),MATCH("DEFAULT_MDA_MIN_MARGIN_GUIDENCE",'Margin Guidence Table'!$A$1:$AG$1,0))),0))</f>
        <v>0</v>
      </c>
      <c r="CV34" s="784">
        <f t="array" ref="CV34">IF('Customer Inputs'!$W$7="End",0,IFERROR(IF($CR34="SEGMENT",INDEX('Margin Guidence Table'!$A$1:$AG$10000,MATCH(1,('Margin Guidence Table'!$A$1:$A$10000=$CP34)*('Margin Guidence Table'!$I$1:$I$10000&lt;=ROUND($CH$3,0))*('Margin Guidence Table'!$J$1:$J$10000&gt;=ROUND($CH$3,0)),0),MATCH("MDA_MEDIAN_MARGIN_GUIDENCE",'Margin Guidence Table'!$A$1:$AG$1,0)),INDEX('Margin Guidence Table'!$A$1:$AG$10000,MATCH(1,('Margin Guidence Table'!$A$1:$A$10000=$CP34)*('Margin Guidence Table'!$I$1:$I$10000&lt;=ROUND($CH$3,0))*('Margin Guidence Table'!$J$1:$J$10000&gt;=ROUND($CH$3,0)),0),MATCH("DEFAULT_MDA_MEDIAN_MARGIN_GUIDENCE",'Margin Guidence Table'!$A$1:$AG$1,0))),0))</f>
        <v>0</v>
      </c>
      <c r="CW34" s="784">
        <f t="array" ref="CW34">IF('Customer Inputs'!$W$7="End",0,IFERROR(IF($CR34="SEGMENT",INDEX('Margin Guidence Table'!$A$1:$AG$10000,MATCH(1,('Margin Guidence Table'!$A$1:$A$10000=$CP34)*('Margin Guidence Table'!$I$1:$I$10000&lt;=ROUND($CH$3,0))*('Margin Guidence Table'!$J$1:$J$10000&gt;=ROUND($CH$3,0)),0),MATCH("MDA_MAX_MARGIN_GUIDENCE",'Margin Guidence Table'!$A$1:$AG$1,0)),INDEX('Margin Guidence Table'!$A$1:$AG$10000,MATCH(1,('Margin Guidence Table'!$A$1:$A$10000=$CP34)*('Margin Guidence Table'!$I$1:$I$10000&lt;=ROUND($CH$3,0))*('Margin Guidence Table'!$J$1:$J$10000&gt;=ROUND($CH$3,0)),0),MATCH("DEFAULT_MDA_MAX_MARGIN_GUIDENCE",'Margin Guidence Table'!$A$1:$AG$1,0))),0))</f>
        <v>0</v>
      </c>
      <c r="CX34" s="784">
        <f t="array" ref="CX34">IF('Customer Inputs'!$W$7="End",0,IFERROR(IF($CR34="SEGMENT",INDEX('Margin Guidence Table'!$A$1:$AG$10000,MATCH(1,('Margin Guidence Table'!$A$1:$A$10000=$CP34)*('Margin Guidence Table'!$I$1:$I$10000&lt;=ROUND($CH$3,0))*('Margin Guidence Table'!$J$1:$J$10000&gt;=ROUND($CH$3,0)),0),MATCH("PA_PCT_SALES",'Margin Guidence Table'!$A$1:$AG$1,0)),INDEX('Margin Guidence Table'!$A$1:$AG$10000,MATCH(1,('Margin Guidence Table'!$A$1:$A$10000=$CP34)*('Margin Guidence Table'!$I$1:$I$10000&lt;=ROUND($CH$3,0))*('Margin Guidence Table'!$J$1:$J$10000&gt;=ROUND($CH$3,0)),0),MATCH("DEFAULT_PA_PCT_SALES",'Margin Guidence Table'!$A$1:$AG$1,0))),0))</f>
        <v>0</v>
      </c>
      <c r="CY34" s="784">
        <f t="array" ref="CY34">IF('Customer Inputs'!$W$7="End",0,IFERROR(IF($CR34="SEGMENT",INDEX('Margin Guidence Table'!$A$1:$AG$10000,MATCH(1,('Margin Guidence Table'!$A$1:$A$10000=$CP34)*('Margin Guidence Table'!$I$1:$I$10000&lt;=ROUND($CH$3,0))*('Margin Guidence Table'!$J$1:$J$10000&gt;=ROUND($CH$3,0)),0),MATCH("SELF_FUND_PCT_SALES",'Margin Guidence Table'!$A$1:$AG$1,0)),INDEX('Margin Guidence Table'!$A$1:$AG$10000,MATCH(1,('Margin Guidence Table'!$A$1:$A$10000=$CP34)*('Margin Guidence Table'!$I$1:$I$10000&lt;=ROUND($CH$3,0))*('Margin Guidence Table'!$J$1:$J$10000&gt;=ROUND($CH$3,0)),0),MATCH("DEFAULT_SELF_FUND_PCT_SALES",'Margin Guidence Table'!$A$1:$AG$1,0))),0))</f>
        <v>0</v>
      </c>
      <c r="CZ34" s="784">
        <f t="array" ref="CZ34">IF('Customer Inputs'!$W$7="End",0,IF($CI$2="Existing",IFERROR(SUMIFS('Existing Customers'!$V:$V,'Existing Customers'!$H:$H,$CG34,'Existing Customers'!$A:$A,$CH$1)/SUMIFS('Existing Customers'!$Q:$Q,'Existing Customers'!$H:$H,$CG34,'Existing Customers'!$A:$A,$CH$1),0),IFERROR(IF($CR34="SEGMENT",INDEX('Margin Guidence Table'!$A$1:$AG$10000,MATCH(1,('Margin Guidence Table'!$A$1:$A$10000=$CP34)*('Margin Guidence Table'!$I$1:$I$10000&lt;=ROUND($CH$3,0))*('Margin Guidence Table'!$J$1:$J$10000&gt;=ROUND($CH$3,0)),0),MATCH("CIA_MEDIAN_MARGIN_GUIDENCE",'Margin Guidence Table'!$A$1:$AG$1,0)),INDEX('Margin Guidence Table'!$A$1:$AG$10000,MATCH(1,('Margin Guidence Table'!$A$1:$A$10000=$CP34)*('Margin Guidence Table'!$I$1:$I$10000&lt;=ROUND($CH$3,0))*('Margin Guidence Table'!$J$1:$J$10000&gt;=ROUND($CH$3,0)),0),MATCH("DEFAULT_CIA_MEDIAN_MARGIN_GUIDENCE",'Margin Guidence Table'!$A$1:$AG$1,0))),0)))</f>
        <v>0</v>
      </c>
      <c r="DA34" s="126"/>
      <c r="DB34" s="18">
        <f t="array" ref="DB34">IF('Customer Inputs'!$W$8="End",0,IFERROR(IF($DO34="SEGMENT",INDEX('Margin Guidence Table'!$A$1:$AG$10000,MATCH(1,('Margin Guidence Table'!$A$1:$A$10000=$DM34)*('Margin Guidence Table'!$I$1:$I$10000&lt;=ROUND($DE$3,0))*('Margin Guidence Table'!$J$1:$J$10000&gt;=ROUND($DE$3,0)),0),MATCH("PCT_SALES",'Margin Guidence Table'!$A$1:$AG$1,0)),INDEX('Margin Guidence Table'!$A$1:$AG$10000,MATCH(1,('Margin Guidence Table'!$A$1:$A$10000=$DM34)*('Margin Guidence Table'!$I$1:$I$10000&lt;=ROUND($DE$3,0))*('Margin Guidence Table'!$J$1:$J$10000&gt;=ROUND($DE$3,0)),0),MATCH("DEFAULT_PCT_SALES",'Margin Guidence Table'!$A$1:$AG$1,0))),0))</f>
        <v>0</v>
      </c>
      <c r="DC34" s="297" t="e">
        <f t="shared" si="36"/>
        <v>#DIV/0!</v>
      </c>
      <c r="DD34" s="100" t="s">
        <v>87</v>
      </c>
      <c r="DE34" s="91">
        <f>IF('Customer Inputs'!$W$8="End",0,IFERROR(IF(AND($DE$2&lt;&gt;"Enter Spend&gt;&gt;&gt;",$DF$2="EXISTING"),SUMIFS('Existing Customers'!$Q:$Q,'Existing Customers'!$A:$A,$DE$1,'Existing Customers'!$H:$H,$DD34)*$DE$4,$DE$3*$DC34),0))</f>
        <v>0</v>
      </c>
      <c r="DF34" s="86">
        <f>IF('Customer Inputs'!$W$8="End",0,IFERROR(IF(AND($DE$2&lt;&gt;"Enter Spend&gt;&gt;&gt;",$DF$2="EXISTING"),SUMIFS('Existing Customers'!$N:$N,'Existing Customers'!$A:$A,$DE$1,'Existing Customers'!$H:$H,$DD34)*$DE$4,$DE34/$DP34),0))</f>
        <v>0</v>
      </c>
      <c r="DG34" s="92">
        <f>IF('Customer Inputs'!$W$8="End",0,IFERROR(IF(AND($DE$2&lt;&gt;"Enter Spend&gt;&gt;&gt;",$DF$2="EXISTING"),SUMIFS('Existing Customers'!$O:$O,'Existing Customers'!$H:$H,$DD34,'Existing Customers'!$A:$A,$DE$1)*$DE$4,$DF34*$DE$8),0))</f>
        <v>0</v>
      </c>
      <c r="DH34" s="92">
        <f>IF('Customer Inputs'!$W$8="End",0,IFERROR(IF(AND($DE$2&lt;&gt;"Enter Spend&gt;&gt;&gt;",$DF$2="EXISTING"),SUMIFS('Existing Customers'!$P:$P,'Existing Customers'!$A:$A,$DE$1,'Existing Customers'!$H:$H,$DD34)*$DE$4,$DE34/$DQ34),0))</f>
        <v>0</v>
      </c>
      <c r="DI34" s="93">
        <f>IF('Customer Inputs'!$W$8="End",0,IFERROR(IF(AND($DE$2&lt;&gt;"Enter Spend&gt;&gt;&gt;",$DF$2="EXISTING"),SUMIFS('Existing Customers'!$V:$V,'Existing Customers'!$H:$H,$DD34,'Existing Customers'!$A:$A,$DE$1)*$DE$4,0),0))</f>
        <v>0</v>
      </c>
      <c r="DJ34" s="93">
        <f>IF('Customer Inputs'!$W$8="End",0,IFERROR(IF(AND($DE$2&lt;&gt;"Enter Spend&gt;&gt;&gt;",$DF$2="EXISTING"),SUMIFS('Existing Customers'!$R:$R,'Existing Customers'!$H:$H,$DD34,'Existing Customers'!$A:$A,$DE$1)*$DE$4,0),0))</f>
        <v>0</v>
      </c>
      <c r="DK34" s="780">
        <f>IF('Customer Inputs'!$W$8="End",0,IFERROR(IF(AND($DE$2&lt;&gt;"Enter Spend&gt;&gt;&gt;",$DF$2="EXISTING"),SUMIFS('Existing Customers'!$S:$S,'Existing Customers'!$H:$H,$DD34,'Existing Customers'!$A:$A,$DE$1)/SUMIFS('Existing Customers'!$Q:$Q,'Existing Customers'!$A:$A,$DE$1,'Existing Customers'!$H:$H,$DD34),DU34),0))</f>
        <v>0</v>
      </c>
      <c r="DL34" s="780">
        <f>IF('Customer Inputs'!$W$8="End",0,IFERROR(IF(AND($DE$2&lt;&gt;"Enter Spend&gt;&gt;&gt;",$DF$2="EXISTING"),SUMIFS('Existing Customers'!$U:$U,'Existing Customers'!$H:$H,$DD34,'Existing Customers'!$A:$A,$DE$1)/SUMIFS('Existing Customers'!$Q:$Q,'Existing Customers'!$A:$A,$DE$1,'Existing Customers'!$H:$H,$DD34),DV34),0))</f>
        <v>0</v>
      </c>
      <c r="DM34" s="783" t="e">
        <f>_xlfn.CONCAT('Customer Inputs'!$AH$8,"_",DD34)</f>
        <v>#N/A</v>
      </c>
      <c r="DN34" s="783">
        <f t="array" ref="DN34">IF('Customer Inputs'!$W$8="End",0,IFERROR(INDEX('Margin Guidence Table'!$A$1:$AG$10000,MATCH(1,('Margin Guidence Table'!$A$1:$A$10000=DM34)*('Margin Guidence Table'!$I$1:$I$10000&lt;=ROUND($DE$3,0))*('Margin Guidence Table'!$J$1:$J$10000&gt;=ROUND($DE$3,0)),0),MATCH("DATA_POINTS",'Margin Guidence Table'!$A$1:$AG$1,0)),0))</f>
        <v>0</v>
      </c>
      <c r="DO34" s="780" t="str">
        <f t="shared" si="37"/>
        <v>DEFAULT</v>
      </c>
      <c r="DP34" s="780">
        <f t="array" ref="DP34">IF('Customer Inputs'!$W$8="End",0,IFERROR(IF($DO34="SEGMENT",INDEX('Margin Guidence Table'!$A$1:$AG$10000,MATCH(1,('Margin Guidence Table'!$A$1:$A$10000=DM34)*('Margin Guidence Table'!$I$1:$I$10000&lt;=ROUND($DE$3,0))*('Margin Guidence Table'!$J$1:$J$10000&gt;=ROUND($DE$3,0)),0),MATCH("SALES_CASE",'Margin Guidence Table'!$A$1:$AG$1,0)),INDEX('Margin Guidence Table'!$A$1:$AG$10000,MATCH(1,('Margin Guidence Table'!$A$1:$A$10000=DM34)*('Margin Guidence Table'!$I$1:$I$10000&lt;=ROUND($DE$3,0))*('Margin Guidence Table'!$J$1:$J$10000&gt;=ROUND($DE$3,0)),0),MATCH("DEFAULT_SALES_CASE",'Margin Guidence Table'!$A$1:$AG$1,0))),0))</f>
        <v>0</v>
      </c>
      <c r="DQ34" s="780">
        <f t="array" ref="DQ34">IF('Customer Inputs'!$W$8="End",0,IFERROR(IF($DO34="SEGMENT",INDEX('Margin Guidence Table'!$A$1:$AG$10000,MATCH(1,('Margin Guidence Table'!$A$1:$A$10000=DM34)*('Margin Guidence Table'!$I$1:$I$10000&lt;=ROUND($DE$3,0))*('Margin Guidence Table'!$J$1:$J$10000&gt;=ROUND($DE$3,0)),0),MATCH("SALES_LBS",'Margin Guidence Table'!$A$1:$AG$1,0)),INDEX('Margin Guidence Table'!$A$1:$AG$10000,MATCH(1,('Margin Guidence Table'!$A$1:$A$10000=DM34)*('Margin Guidence Table'!$I$1:$I$10000&lt;=ROUND($DE$3,0))*('Margin Guidence Table'!$J$1:$J$10000&gt;=ROUND($DE$3,0)),0),MATCH("DEFAULT_SALES_LBS",'Margin Guidence Table'!$A$1:$AG$1,0))),0))</f>
        <v>0</v>
      </c>
      <c r="DR34" s="784">
        <f t="array" ref="DR34">IF('Customer Inputs'!$W$8="End",0,IFERROR(IF($DO34="SEGMENT",INDEX('Margin Guidence Table'!$A$1:$AG$10000,MATCH(1,('Margin Guidence Table'!$A$1:$A$10000=DM34)*('Margin Guidence Table'!$I$1:$I$10000&lt;=ROUND($DE$3,0))*('Margin Guidence Table'!$J$1:$J$10000&gt;=ROUND($DE$3,0)),0),MATCH("MDA_MIN_MARGIN_GUIDENCE",'Margin Guidence Table'!$A$1:$AG$1,0)),INDEX('Margin Guidence Table'!$A$1:$AG$10000,MATCH(1,('Margin Guidence Table'!$A$1:$A$10000=DM34)*('Margin Guidence Table'!$I$1:$I$10000&lt;=ROUND($DE$3,0))*('Margin Guidence Table'!$J$1:$J$10000&gt;=ROUND($DE$3,0)),0),MATCH("DEFAULT_MDA_MIN_MARGIN_GUIDENCE",'Margin Guidence Table'!$A$1:$AG$1,0))),0))</f>
        <v>0</v>
      </c>
      <c r="DS34" s="784">
        <f t="array" ref="DS34">IF('Customer Inputs'!$W$8="End",0,IFERROR(IF($DO34="SEGMENT",INDEX('Margin Guidence Table'!$A$1:$AG$10000,MATCH(1,('Margin Guidence Table'!$A$1:$A$10000=DM34)*('Margin Guidence Table'!$I$1:$I$10000&lt;=ROUND($DE$3,0))*('Margin Guidence Table'!$J$1:$J$10000&gt;=ROUND($DE$3,0)),0),MATCH("MDA_MEDIAN_MARGIN_GUIDENCE",'Margin Guidence Table'!$A$1:$AG$1,0)),INDEX('Margin Guidence Table'!$A$1:$AG$10000,MATCH(1,('Margin Guidence Table'!$A$1:$A$10000=DM34)*('Margin Guidence Table'!$I$1:$I$10000&lt;=ROUND($DE$3,0))*('Margin Guidence Table'!$J$1:$J$10000&gt;=ROUND($DE$3,0)),0),MATCH("DEFAULT_MDA_MEDIAN_MARGIN_GUIDENCE",'Margin Guidence Table'!$A$1:$AG$1,0))),0))</f>
        <v>0</v>
      </c>
      <c r="DT34" s="784">
        <f t="array" ref="DT34">IF('Customer Inputs'!$W$8="End",0,IFERROR(IF($DO34="SEGMENT",INDEX('Margin Guidence Table'!$A$1:$AG$10000,MATCH(1,('Margin Guidence Table'!$A$1:$A$10000=DM34)*('Margin Guidence Table'!$I$1:$I$10000&lt;=ROUND($DE$3,0))*('Margin Guidence Table'!$J$1:$J$10000&gt;=ROUND($DE$3,0)),0),MATCH("MDA_MAX_MARGIN_GUIDENCE",'Margin Guidence Table'!$A$1:$AG$1,0)),INDEX('Margin Guidence Table'!$A$1:$AG$10000,MATCH(1,('Margin Guidence Table'!$A$1:$A$10000=DM34)*('Margin Guidence Table'!$I$1:$I$10000&lt;=ROUND($DE$3,0))*('Margin Guidence Table'!$J$1:$J$10000&gt;=ROUND($DE$3,0)),0),MATCH("DEFAULT_MDA_MAX_MARGIN_GUIDENCE",'Margin Guidence Table'!$A$1:$AG$1,0))),0))</f>
        <v>0</v>
      </c>
      <c r="DU34" s="784">
        <f t="array" ref="DU34">IF('Customer Inputs'!$W$8="End",0,IFERROR(IF($DO34="SEGMENT",INDEX('Margin Guidence Table'!$A$1:$AG$10000,MATCH(1,('Margin Guidence Table'!$A$1:$A$10000=DM34)*('Margin Guidence Table'!$I$1:$I$10000&lt;=ROUND($DE$3,0))*('Margin Guidence Table'!$J$1:$J$10000&gt;=ROUND($DE$3,0)),0),MATCH("PA_PCT_SALES",'Margin Guidence Table'!$A$1:$AG$1,0)),INDEX('Margin Guidence Table'!$A$1:$AG$10000,MATCH(1,('Margin Guidence Table'!$A$1:$A$10000=DM34)*('Margin Guidence Table'!$I$1:$I$10000&lt;=ROUND($DE$3,0))*('Margin Guidence Table'!$J$1:$J$10000&gt;=ROUND($DE$3,0)),0),MATCH("DEFAULT_PA_PCT_SALES",'Margin Guidence Table'!$A$1:$AG$1,0))),0))</f>
        <v>0</v>
      </c>
      <c r="DV34" s="784">
        <f t="array" ref="DV34">IF('Customer Inputs'!$W$8="End",0,IFERROR(IF($DO34="SEGMENT",INDEX('Margin Guidence Table'!$A$1:$AG$10000,MATCH(1,('Margin Guidence Table'!$A$1:$A$10000=DM34)*('Margin Guidence Table'!$I$1:$I$10000&lt;=ROUND($DE$3,0))*('Margin Guidence Table'!$J$1:$J$10000&gt;=ROUND($DE$3,0)),0),MATCH("SELF_FUND_PCT_SALES",'Margin Guidence Table'!$A$1:$AG$1,0)),INDEX('Margin Guidence Table'!$A$1:$AG$10000,MATCH(1,('Margin Guidence Table'!$A$1:$A$10000=DM34)*('Margin Guidence Table'!$I$1:$I$10000&lt;=ROUND($DE$3,0))*('Margin Guidence Table'!$J$1:$J$10000&gt;=ROUND($DE$3,0)),0),MATCH("DEFAULT_SELF_FUND_PCT_SALES",'Margin Guidence Table'!$A$1:$AG$1,0))),0))</f>
        <v>0</v>
      </c>
      <c r="DW34" s="784">
        <f t="array" ref="DW34">IF('Customer Inputs'!$W$8="End",0,IF($DF$2="Existing",IFERROR(SUMIFS('Existing Customers'!$V:$V,'Existing Customers'!$H:$H,$DD34,'Existing Customers'!$A:$A,$DE$1)/SUMIFS('Existing Customers'!$Q:$Q,'Existing Customers'!$H:$H,$DD34,'Existing Customers'!$A:$A,$DE$1),0),IFERROR(IF($DO34="SEGMENT",INDEX('Margin Guidence Table'!$A$1:$AG$10000,MATCH(1,('Margin Guidence Table'!$A$1:$A$10000=DM34)*('Margin Guidence Table'!$I$1:$I$10000&lt;=ROUND($DE$3,0))*('Margin Guidence Table'!$J$1:$J$10000&gt;=ROUND($DE$3,0)),0),MATCH("CIA_MEDIAN_MARGIN_GUIDENCE",'Margin Guidence Table'!$A$1:$AG$1,0)),INDEX('Margin Guidence Table'!$A$1:$AG$10000,MATCH(1,('Margin Guidence Table'!$A$1:$A$10000=DM34)*('Margin Guidence Table'!$I$1:$I$10000&lt;=ROUND($DE$3,0))*('Margin Guidence Table'!$J$1:$J$10000&gt;=ROUND($DE$3,0)),0),MATCH("DEFAULT_CIA_MEDIAN_MARGIN_GUIDENCE",'Margin Guidence Table'!$A$1:$AG$1,0))),0)))</f>
        <v>0</v>
      </c>
      <c r="DX34" s="126"/>
      <c r="DY34" s="18">
        <f t="array" ref="DY34">IF('Customer Inputs'!$W$9="End",0,IFERROR(IF($EL34="SEGMENT",INDEX('Margin Guidence Table'!$A$1:$AG$10000,MATCH(1,('Margin Guidence Table'!$A$1:$A$10000=$EJ34)*('Margin Guidence Table'!$I$1:$I$10000&lt;=ROUND($EB$3,0))*('Margin Guidence Table'!$J$1:$J$10000&gt;=ROUND($EB$3,0)),0),MATCH("PCT_SALES",'Margin Guidence Table'!$A$1:$AG$1,0)),INDEX('Margin Guidence Table'!$A$1:$AG$10000,MATCH(1,('Margin Guidence Table'!$A$1:$A$10000=$EJ34)*('Margin Guidence Table'!$I$1:$I$10000&lt;=ROUND($EB$3,0))*('Margin Guidence Table'!$J$1:$J$10000&gt;=ROUND($EB$3,0)),0),MATCH("DEFAULT_PCT_SALES",'Margin Guidence Table'!$A$1:$AG$1,0))),0))</f>
        <v>0</v>
      </c>
      <c r="DZ34" s="297" t="e">
        <f t="shared" si="38"/>
        <v>#DIV/0!</v>
      </c>
      <c r="EA34" s="100" t="s">
        <v>87</v>
      </c>
      <c r="EB34" s="91">
        <f>IF('Customer Inputs'!$W$9="End",0,IFERROR(IF(AND($EB$2&lt;&gt;"Enter Spend&gt;&gt;&gt;",$EC$2="EXISTING"),SUMIFS('Existing Customers'!$Q:$Q,'Existing Customers'!$A:$A,$EB$1,'Existing Customers'!$H:$H,$EA34)*$EB$4,$EB$3*$DZ34),0))</f>
        <v>0</v>
      </c>
      <c r="EC34" s="86">
        <f>IF('Customer Inputs'!$W$9="End",0,IFERROR(IF(AND($EB$2&lt;&gt;"Enter Spend&gt;&gt;&gt;",$EC$2="EXISTING"),SUMIFS('Existing Customers'!$N:$N,'Existing Customers'!$A:$A,$EB$1,'Existing Customers'!$H:$H,$EA34)*$EB$4,$EB34/$EM34),0))</f>
        <v>0</v>
      </c>
      <c r="ED34" s="92">
        <f>IF('Customer Inputs'!$W$9="End",0,IFERROR(IF(AND($EB$2&lt;&gt;"Enter Spend&gt;&gt;&gt;",$EC$2="EXISTING"),SUMIFS('Existing Customers'!$O:$O,'Existing Customers'!$H:$H,$EA34,'Existing Customers'!$A:$A,$EB$1)*$EB$4,$EC34*$EB$8),0))</f>
        <v>0</v>
      </c>
      <c r="EE34" s="92">
        <f>IF('Customer Inputs'!$W$9="End",0,IFERROR(IF(AND($EB$2&lt;&gt;"Enter Spend&gt;&gt;&gt;",$EC$2="EXISTING"),SUMIFS('Existing Customers'!$P:$P,'Existing Customers'!$A:$A,$EB$1,'Existing Customers'!$H:$H,$EA34)*$EB$4,$EB34/$EN34),0))</f>
        <v>0</v>
      </c>
      <c r="EF34" s="93">
        <f>IF('Customer Inputs'!$W$9="End",0,IFERROR(IF(AND($EB$2&lt;&gt;"Enter Spend&gt;&gt;&gt;",$EC$2="EXISTING"),SUMIFS('Existing Customers'!$V:$V,'Existing Customers'!$H:$H,$EA34,'Existing Customers'!$A:$A,$EB$1)*$EB$4,0),0))</f>
        <v>0</v>
      </c>
      <c r="EG34" s="93">
        <f>IF('Customer Inputs'!$W$9="End",0,IFERROR(IF(AND($EB$2&lt;&gt;"Enter Spend&gt;&gt;&gt;",$EC$2="EXISTING"),SUMIFS('Existing Customers'!$R:$R,'Existing Customers'!$H:$H,$EA34,'Existing Customers'!$A:$A,$EB$1)*$EB$4,0),0))</f>
        <v>0</v>
      </c>
      <c r="EH34" s="780">
        <f>IF('Customer Inputs'!$W$9="End",0,IFERROR(IF(AND($EB$2&lt;&gt;"Enter Spend&gt;&gt;&gt;",$EC$2="EXISTING"),SUMIFS('Existing Customers'!$S:$S,'Existing Customers'!$H:$H,$EA34,'Existing Customers'!$A:$A,$EB$1)/SUMIFS('Existing Customers'!$Q:$Q,'Existing Customers'!$A:$A,$EB$1,'Existing Customers'!$H:$H,$EA34),ER34),0))</f>
        <v>0</v>
      </c>
      <c r="EI34" s="780">
        <f>IF('Customer Inputs'!$W$9="End",0,IFERROR(IF(AND($EB$2&lt;&gt;"Enter Spend&gt;&gt;&gt;",$EC$2="EXISTING"),SUMIFS('Existing Customers'!$U:$U,'Existing Customers'!$H:$H,$EA34,'Existing Customers'!$A:$A,$EB$1)/SUMIFS('Existing Customers'!$Q:$Q,'Existing Customers'!$A:$A,$EB$1,'Existing Customers'!$H:$H,$EA34),ES34),0))</f>
        <v>0</v>
      </c>
      <c r="EJ34" s="783" t="e">
        <f>_xlfn.CONCAT('Customer Inputs'!$AH$9,"_",EA34)</f>
        <v>#N/A</v>
      </c>
      <c r="EK34" s="783">
        <f t="array" ref="EK34">IF('Customer Inputs'!$W$9="End",0,IFERROR(INDEX('Margin Guidence Table'!$A$1:$AG$10000,MATCH(1,('Margin Guidence Table'!$A$1:$A$10000=EJ34)*('Margin Guidence Table'!$I$1:$I$10000&lt;=ROUND($EB$3,0))*('Margin Guidence Table'!$J$1:$J$10000&gt;=ROUND($EB$3,0)),0),MATCH("DATA_POINTS",'Margin Guidence Table'!$A$1:$AG$1,0)),0))</f>
        <v>0</v>
      </c>
      <c r="EL34" s="780" t="str">
        <f t="shared" si="39"/>
        <v>DEFAULT</v>
      </c>
      <c r="EM34" s="780">
        <f t="array" ref="EM34">IF('Customer Inputs'!$W$9="End",0,IFERROR(IF($EL34="SEGMENT",INDEX('Margin Guidence Table'!$A$1:$AG$10000,MATCH(1,('Margin Guidence Table'!$A$1:$A$10000=EJ34)*('Margin Guidence Table'!$I$1:$I$10000&lt;=ROUND($EB$3,0))*('Margin Guidence Table'!$J$1:$J$10000&gt;=ROUND($EB$3,0)),0),MATCH("SALES_CASE",'Margin Guidence Table'!$A$1:$AG$1,0)),INDEX('Margin Guidence Table'!$A$1:$AG$10000,MATCH(1,('Margin Guidence Table'!$A$1:$A$10000=EJ34)*('Margin Guidence Table'!$I$1:$I$10000&lt;=ROUND($EB$3,0))*('Margin Guidence Table'!$J$1:$J$10000&gt;=ROUND($EB$3,0)),0),MATCH("DEFAULT_SALES_CASE",'Margin Guidence Table'!$A$1:$AG$1,0))),0))</f>
        <v>0</v>
      </c>
      <c r="EN34" s="780">
        <f t="array" ref="EN34">IF('Customer Inputs'!$W$9="End",0,IFERROR(IF($EL34="SEGMENT",INDEX('Margin Guidence Table'!$A$1:$AG$10000,MATCH(1,('Margin Guidence Table'!$A$1:$A$10000=EJ34)*('Margin Guidence Table'!$I$1:$I$10000&lt;=ROUND($EB$3,0))*('Margin Guidence Table'!$J$1:$J$10000&gt;=ROUND($EB$3,0)),0),MATCH("SALES_LBS",'Margin Guidence Table'!$A$1:$AG$1,0)),INDEX('Margin Guidence Table'!$A$1:$AG$10000,MATCH(1,('Margin Guidence Table'!$A$1:$A$10000=EJ34)*('Margin Guidence Table'!$I$1:$I$10000&lt;=ROUND($EB$3,0))*('Margin Guidence Table'!$J$1:$J$10000&gt;=ROUND($EB$3,0)),0),MATCH("DEFAULT_SALES_LBS",'Margin Guidence Table'!$A$1:$AG$1,0))),0))</f>
        <v>0</v>
      </c>
      <c r="EO34" s="784">
        <f t="array" ref="EO34">IF('Customer Inputs'!$W$9="End",0,IFERROR(IF($EL34="SEGMENT",INDEX('Margin Guidence Table'!$A$1:$AG$10000,MATCH(1,('Margin Guidence Table'!$A$1:$A$10000=EJ34)*('Margin Guidence Table'!$I$1:$I$10000&lt;=ROUND($EB$3,0))*('Margin Guidence Table'!$J$1:$J$10000&gt;=ROUND($EB$3,0)),0),MATCH("MDA_MIN_MARGIN_GUIDENCE",'Margin Guidence Table'!$A$1:$AG$1,0)),INDEX('Margin Guidence Table'!$A$1:$AG$10000,MATCH(1,('Margin Guidence Table'!$A$1:$A$10000=EJ34)*('Margin Guidence Table'!$I$1:$I$10000&lt;=ROUND($EB$3,0))*('Margin Guidence Table'!$J$1:$J$10000&gt;=ROUND($EB$3,0)),0),MATCH("DEFAULT_MDA_MIN_MARGIN_GUIDENCE",'Margin Guidence Table'!$A$1:$AG$1,0))),0))</f>
        <v>0</v>
      </c>
      <c r="EP34" s="784">
        <f t="array" ref="EP34">IF('Customer Inputs'!$W$9="End",0,IFERROR(IF($EL34="SEGMENT",INDEX('Margin Guidence Table'!$A$1:$AG$10000,MATCH(1,('Margin Guidence Table'!$A$1:$A$10000=EJ34)*('Margin Guidence Table'!$I$1:$I$10000&lt;=ROUND($EB$3,0))*('Margin Guidence Table'!$J$1:$J$10000&gt;=ROUND($EB$3,0)),0),MATCH("MDA_MEDIAN_MARGIN_GUIDENCE",'Margin Guidence Table'!$A$1:$AG$1,0)),INDEX('Margin Guidence Table'!$A$1:$AG$10000,MATCH(1,('Margin Guidence Table'!$A$1:$A$10000=EJ34)*('Margin Guidence Table'!$I$1:$I$10000&lt;=ROUND($EB$3,0))*('Margin Guidence Table'!$J$1:$J$10000&gt;=ROUND($EB$3,0)),0),MATCH("DEFAULT_MDA_MEDIAN_MARGIN_GUIDENCE",'Margin Guidence Table'!$A$1:$AG$1,0))),0))</f>
        <v>0</v>
      </c>
      <c r="EQ34" s="784">
        <f t="array" ref="EQ34">IF('Customer Inputs'!$W$9="End",0,IFERROR(IF($EL34="SEGMENT",INDEX('Margin Guidence Table'!$A$1:$AG$10000,MATCH(1,('Margin Guidence Table'!$A$1:$A$10000=EJ34)*('Margin Guidence Table'!$I$1:$I$10000&lt;=ROUND($EB$3,0))*('Margin Guidence Table'!$J$1:$J$10000&gt;=ROUND($EB$3,0)),0),MATCH("MDA_MAX_MARGIN_GUIDENCE",'Margin Guidence Table'!$A$1:$AG$1,0)),INDEX('Margin Guidence Table'!$A$1:$AG$10000,MATCH(1,('Margin Guidence Table'!$A$1:$A$10000=EJ34)*('Margin Guidence Table'!$I$1:$I$10000&lt;=ROUND($EB$3,0))*('Margin Guidence Table'!$J$1:$J$10000&gt;=ROUND($EB$3,0)),0),MATCH("DEFAULT_MDA_MAX_MARGIN_GUIDENCE",'Margin Guidence Table'!$A$1:$AG$1,0))),0))</f>
        <v>0</v>
      </c>
      <c r="ER34" s="784">
        <f t="array" ref="ER34">IF('Customer Inputs'!$W$9="End",0,IFERROR(IF($EL34="SEGMENT",INDEX('Margin Guidence Table'!$A$1:$AG$10000,MATCH(1,('Margin Guidence Table'!$A$1:$A$10000=EJ34)*('Margin Guidence Table'!$I$1:$I$10000&lt;=ROUND($EB$3,0))*('Margin Guidence Table'!$J$1:$J$10000&gt;=ROUND($EB$3,0)),0),MATCH("PA_PCT_SALES",'Margin Guidence Table'!$A$1:$AG$1,0)),INDEX('Margin Guidence Table'!$A$1:$AG$10000,MATCH(1,('Margin Guidence Table'!$A$1:$A$10000=EJ34)*('Margin Guidence Table'!$I$1:$I$10000&lt;=ROUND($EB$3,0))*('Margin Guidence Table'!$J$1:$J$10000&gt;=ROUND($EB$3,0)),0),MATCH("DEFAULT_PA_PCT_SALES",'Margin Guidence Table'!$A$1:$AG$1,0))),0))</f>
        <v>0</v>
      </c>
      <c r="ES34" s="784">
        <f t="array" ref="ES34">IF('Customer Inputs'!$W$9="End",0,IFERROR(IF($EL34="SEGMENT",INDEX('Margin Guidence Table'!$A$1:$AG$10000,MATCH(1,('Margin Guidence Table'!$A$1:$A$10000=EJ34)*('Margin Guidence Table'!$I$1:$I$10000&lt;=ROUND($EB$3,0))*('Margin Guidence Table'!$J$1:$J$10000&gt;=ROUND($EB$3,0)),0),MATCH("SELF_FUND_PCT_SALES",'Margin Guidence Table'!$A$1:$AG$1,0)),INDEX('Margin Guidence Table'!$A$1:$AG$10000,MATCH(1,('Margin Guidence Table'!$A$1:$A$10000=EJ34)*('Margin Guidence Table'!$I$1:$I$10000&lt;=ROUND($EB$3,0))*('Margin Guidence Table'!$J$1:$J$10000&gt;=ROUND($EB$3,0)),0),MATCH("DEFAULT_SELF_FUND_PCT_SALES",'Margin Guidence Table'!$A$1:$AG$1,0))),0))</f>
        <v>0</v>
      </c>
      <c r="ET34" s="784">
        <f t="array" ref="ET34">IF('Customer Inputs'!$W$9="End",0,IF($EC$2="Existing",IFERROR(SUMIFS('Existing Customers'!$V:$V,'Existing Customers'!$H:$H,$EA34,'Existing Customers'!$A:$A,$EB$1)/SUMIFS('Existing Customers'!$Q:$Q,'Existing Customers'!$H:$H,$EA34,'Existing Customers'!$A:$A,$EB$1),0),IFERROR(IF($EL34="SEGMENT",INDEX('Margin Guidence Table'!$A$1:$AG$10000,MATCH(1,('Margin Guidence Table'!$A$1:$A$10000=EJ34)*('Margin Guidence Table'!$I$1:$I$10000&lt;=ROUND($EB$3,0))*('Margin Guidence Table'!$J$1:$J$10000&gt;=ROUND($EB$3,0)),0),MATCH("CIA_MEDIAN_MARGIN_GUIDENCE",'Margin Guidence Table'!$A$1:$AG$1,0)),INDEX('Margin Guidence Table'!$A$1:$AG$10000,MATCH(1,('Margin Guidence Table'!$A$1:$A$10000=EJ34)*('Margin Guidence Table'!$I$1:$I$10000&lt;=ROUND($EB$3,0))*('Margin Guidence Table'!$J$1:$J$10000&gt;=ROUND($EB$3,0)),0),MATCH("DEFAULT_CIA_MEDIAN_MARGIN_GUIDENCE",'Margin Guidence Table'!$A$1:$AG$1,0))),0)))</f>
        <v>0</v>
      </c>
      <c r="EU34" s="126"/>
      <c r="EV34" s="18">
        <f t="array" ref="EV34">IF('Customer Inputs'!$W$10="End",0,IFERROR(IF($FI34="SEGMENT",INDEX('Margin Guidence Table'!$A$1:$AG$10000,MATCH(1,('Margin Guidence Table'!$A$1:$A$10000=$FG34)*('Margin Guidence Table'!$I$1:$I$10000&lt;=ROUND($EY$3,0))*('Margin Guidence Table'!$J$1:$J$10000&gt;=ROUND($EY$3,0)),0),MATCH("PCT_SALES",'Margin Guidence Table'!$A$1:$AG$1,0)),INDEX('Margin Guidence Table'!$A$1:$AG$10000,MATCH(1,('Margin Guidence Table'!$A$1:$A$10000=$FG34)*('Margin Guidence Table'!$I$1:$I$10000&lt;=ROUND($EY$3,0))*('Margin Guidence Table'!$J$1:$J$10000&gt;=ROUND($EY$3,0)),0),MATCH("DEFAULT_PCT_SALES",'Margin Guidence Table'!$A$1:$AG$1,0))),0))</f>
        <v>0</v>
      </c>
      <c r="EW34" s="297" t="e">
        <f t="shared" si="40"/>
        <v>#DIV/0!</v>
      </c>
      <c r="EX34" s="100" t="s">
        <v>87</v>
      </c>
      <c r="EY34" s="91">
        <f>IF('Customer Inputs'!$W$10="End",0,IFERROR(IF(AND($EY$2&lt;&gt;"Enter Spend&gt;&gt;&gt;",$EZ$2="EXISTING"),SUMIFS('Existing Customers'!$Q:$Q,'Existing Customers'!$A:$A,$EY$1,'Existing Customers'!$H:$H,$EX34)*$EY$4,$EY$3*$EW34),0))</f>
        <v>0</v>
      </c>
      <c r="EZ34" s="86">
        <f>IF('Customer Inputs'!$W$10="End",0,IFERROR(IF(AND($EY$2&lt;&gt;"Enter Spend&gt;&gt;&gt;",$EZ$2="EXISTING"),SUMIFS('Existing Customers'!$N:$N,'Existing Customers'!$A:$A,$EY$1,'Existing Customers'!$H:$H,$EX34)*$EY$4,$EY34/$FJ34),0))</f>
        <v>0</v>
      </c>
      <c r="FA34" s="92">
        <f>IF('Customer Inputs'!$W$10="End",0,IFERROR(IF(AND($EY$2&lt;&gt;"Enter Spend&gt;&gt;&gt;",$EZ$2="EXISTING"),SUMIFS('Existing Customers'!$O:$O,'Existing Customers'!$H:$H,$EX34,'Existing Customers'!$A:$A,$EY$1)*$EY$4,$EZ34*$EY$8),0))</f>
        <v>0</v>
      </c>
      <c r="FB34" s="92">
        <f>IF('Customer Inputs'!$W$10="End",0,IFERROR(IF(AND($EY$2&lt;&gt;"Enter Spend&gt;&gt;&gt;",$EZ$2="EXISTING"),SUMIFS('Existing Customers'!$P:$P,'Existing Customers'!$A:$A,$EY$1,'Existing Customers'!$H:$H,$EX34)*$EY$4,$EY34/$FK34),0))</f>
        <v>0</v>
      </c>
      <c r="FC34" s="93">
        <f>IF('Customer Inputs'!$W$10="End",0,IFERROR(IF(AND($EY$2&lt;&gt;"Enter Spend&gt;&gt;&gt;",$EZ$2="EXISTING"),SUMIFS('Existing Customers'!$V:$V,'Existing Customers'!$H:$H,$EX34,'Existing Customers'!$A:$A,$EY$1)*$EY$4,0),0))</f>
        <v>0</v>
      </c>
      <c r="FD34" s="93">
        <f>IF('Customer Inputs'!$W$10="End",0,IFERROR(IF(AND($EY$2&lt;&gt;"Enter Spend&gt;&gt;&gt;",$EZ$2="EXISTING"),SUMIFS('Existing Customers'!$R:$R,'Existing Customers'!$H:$H,$EX34,'Existing Customers'!$A:$A,$EY$1)*$EY$4,0),0))</f>
        <v>0</v>
      </c>
      <c r="FE34" s="780">
        <f>IF('Customer Inputs'!$W$10="End",0,IFERROR(IF(AND($EY$2&lt;&gt;"Enter Spend&gt;&gt;&gt;",$EZ$2="EXISTING"),SUMIFS('Existing Customers'!$S:$S,'Existing Customers'!$H:$H,$EX34,'Existing Customers'!$A:$A,$EY$1)/SUMIFS('Existing Customers'!$Q:$Q,'Existing Customers'!$A:$A,$EY$1,'Existing Customers'!$H:$H,$EX34),FO34),0))</f>
        <v>0</v>
      </c>
      <c r="FF34" s="780">
        <f>IF('Customer Inputs'!$W$10="End",0,IFERROR(IF(AND($EY$2&lt;&gt;"Enter Spend&gt;&gt;&gt;",$EZ$2="EXISTING"),SUMIFS('Existing Customers'!$U:$U,'Existing Customers'!$H:$H,$EX34,'Existing Customers'!$A:$A,$EY$1)/SUMIFS('Existing Customers'!$Q:$Q,'Existing Customers'!$A:$A,$EY$1,'Existing Customers'!$H:$H,$EX34),FP34),0))</f>
        <v>0</v>
      </c>
      <c r="FG34" s="783" t="e">
        <f>_xlfn.CONCAT('Customer Inputs'!$AH$10,"_",EX34)</f>
        <v>#N/A</v>
      </c>
      <c r="FH34" s="783">
        <f t="array" ref="FH34">IF('Customer Inputs'!$W$10="End",0,IFERROR(INDEX('Margin Guidence Table'!$A$1:$AG$10000,MATCH(1,('Margin Guidence Table'!$A$1:$A$10000=FG34)*('Margin Guidence Table'!$I$1:$I$10000&lt;=ROUND($EY$3,0))*('Margin Guidence Table'!$J$1:$J$10000&gt;=ROUND($EY$3,0)),0),MATCH("DATA_POINTS",'Margin Guidence Table'!$A$1:$AG$1,0)),0))</f>
        <v>0</v>
      </c>
      <c r="FI34" s="780" t="str">
        <f t="shared" si="41"/>
        <v>DEFAULT</v>
      </c>
      <c r="FJ34" s="780">
        <f t="array" ref="FJ34">IF('Customer Inputs'!$W$10="End",0,IFERROR(IF($FI34="SEGMENT",INDEX('Margin Guidence Table'!$A$1:$AG$10000,MATCH(1,('Margin Guidence Table'!$A$1:$A$10000=FG34)*('Margin Guidence Table'!$I$1:$I$10000&lt;=ROUND($EY$3,0))*('Margin Guidence Table'!$J$1:$J$10000&gt;=ROUND($EY$3,0)),0),MATCH("SALES_CASE",'Margin Guidence Table'!$A$1:$AG$1,0)),INDEX('Margin Guidence Table'!$A$1:$AG$10000,MATCH(1,('Margin Guidence Table'!$A$1:$A$10000=FG34)*('Margin Guidence Table'!$I$1:$I$10000&lt;=ROUND($EY$3,0))*('Margin Guidence Table'!$J$1:$J$10000&gt;=ROUND($EY$3,0)),0),MATCH("DEFAULT_SALES_CASE",'Margin Guidence Table'!$A$1:$AG$1,0))),0))</f>
        <v>0</v>
      </c>
      <c r="FK34" s="780">
        <f t="array" ref="FK34">IF('Customer Inputs'!$W$10="End",0,IFERROR(IF($FI34="SEGMENT",INDEX('Margin Guidence Table'!$A$1:$AG$10000,MATCH(1,('Margin Guidence Table'!$A$1:$A$10000=FG34)*('Margin Guidence Table'!$I$1:$I$10000&lt;=ROUND($EY$3,0))*('Margin Guidence Table'!$J$1:$J$10000&gt;=ROUND($EY$3,0)),0),MATCH("SALES_LBS",'Margin Guidence Table'!$A$1:$AG$1,0)),INDEX('Margin Guidence Table'!$A$1:$AG$10000,MATCH(1,('Margin Guidence Table'!$A$1:$A$10000=FG34)*('Margin Guidence Table'!$I$1:$I$10000&lt;=ROUND($EY$3,0))*('Margin Guidence Table'!$J$1:$J$10000&gt;=ROUND($EY$3,0)),0),MATCH("DEFAULT_SALES_LBS",'Margin Guidence Table'!$A$1:$AG$1,0))),0))</f>
        <v>0</v>
      </c>
      <c r="FL34" s="784">
        <f t="array" ref="FL34">IF('Customer Inputs'!$W$10="End",0,IFERROR(IF($FI34="SEGMENT",INDEX('Margin Guidence Table'!$A$1:$AG$10000,MATCH(1,('Margin Guidence Table'!$A$1:$A$10000=FG34)*('Margin Guidence Table'!$I$1:$I$10000&lt;=ROUND($EY$3,0))*('Margin Guidence Table'!$J$1:$J$10000&gt;=ROUND($EY$3,0)),0),MATCH("MDA_MIN_MARGIN_GUIDENCE",'Margin Guidence Table'!$A$1:$AG$1,0)),INDEX('Margin Guidence Table'!$A$1:$AG$10000,MATCH(1,('Margin Guidence Table'!$A$1:$A$10000=FG34)*('Margin Guidence Table'!$I$1:$I$10000&lt;=ROUND($EY$3,0))*('Margin Guidence Table'!$J$1:$J$10000&gt;=ROUND($EY$3,0)),0),MATCH("DEFAULT_MDA_MIN_MARGIN_GUIDENCE",'Margin Guidence Table'!$A$1:$AG$1,0))),0))</f>
        <v>0</v>
      </c>
      <c r="FM34" s="784">
        <f t="array" ref="FM34">IF('Customer Inputs'!$W$10="End",0,IFERROR(IF($FI34="SEGMENT",INDEX('Margin Guidence Table'!$A$1:$AG$10000,MATCH(1,('Margin Guidence Table'!$A$1:$A$10000=FG34)*('Margin Guidence Table'!$I$1:$I$10000&lt;=ROUND($EY$3,0))*('Margin Guidence Table'!$J$1:$J$10000&gt;=ROUND($EY$3,0)),0),MATCH("MDA_MEDIAN_MARGIN_GUIDENCE",'Margin Guidence Table'!$A$1:$AG$1,0)),INDEX('Margin Guidence Table'!$A$1:$AG$10000,MATCH(1,('Margin Guidence Table'!$A$1:$A$10000=FG34)*('Margin Guidence Table'!$I$1:$I$10000&lt;=ROUND($EY$3,0))*('Margin Guidence Table'!$J$1:$J$10000&gt;=ROUND($EY$3,0)),0),MATCH("DEFAULT_MDA_MEDIAN_MARGIN_GUIDENCE",'Margin Guidence Table'!$A$1:$AG$1,0))),0))</f>
        <v>0</v>
      </c>
      <c r="FN34" s="784">
        <f t="array" ref="FN34">IF('Customer Inputs'!$W$10="End",0,IFERROR(IF($FI34="SEGMENT",INDEX('Margin Guidence Table'!$A$1:$AG$10000,MATCH(1,('Margin Guidence Table'!$A$1:$A$10000=FG34)*('Margin Guidence Table'!$I$1:$I$10000&lt;=ROUND($EY$3,0))*('Margin Guidence Table'!$J$1:$J$10000&gt;=ROUND($EY$3,0)),0),MATCH("MDA_MAX_MARGIN_GUIDENCE",'Margin Guidence Table'!$A$1:$AG$1,0)),INDEX('Margin Guidence Table'!$A$1:$AG$10000,MATCH(1,('Margin Guidence Table'!$A$1:$A$10000=FG34)*('Margin Guidence Table'!$I$1:$I$10000&lt;=ROUND($EY$3,0))*('Margin Guidence Table'!$J$1:$J$10000&gt;=ROUND($EY$3,0)),0),MATCH("DEFAULT_MDA_MAX_MARGIN_GUIDENCE",'Margin Guidence Table'!$A$1:$AG$1,0))),0))</f>
        <v>0</v>
      </c>
      <c r="FO34" s="784">
        <f t="array" ref="FO34">IF('Customer Inputs'!$W$10="End",0,IFERROR(IF($FI34="SEGMENT",INDEX('Margin Guidence Table'!$A$1:$AG$10000,MATCH(1,('Margin Guidence Table'!$A$1:$A$10000=FG34)*('Margin Guidence Table'!$I$1:$I$10000&lt;=ROUND($EY$3,0))*('Margin Guidence Table'!$J$1:$J$10000&gt;=ROUND($EY$3,0)),0),MATCH("PA_PCT_SALES",'Margin Guidence Table'!$A$1:$AG$1,0)),INDEX('Margin Guidence Table'!$A$1:$AG$10000,MATCH(1,('Margin Guidence Table'!$A$1:$A$10000=FG34)*('Margin Guidence Table'!$I$1:$I$10000&lt;=ROUND($EY$3,0))*('Margin Guidence Table'!$J$1:$J$10000&gt;=ROUND($EY$3,0)),0),MATCH("DEFAULT_PA_PCT_SALES",'Margin Guidence Table'!$A$1:$AG$1,0))),0))</f>
        <v>0</v>
      </c>
      <c r="FP34" s="784">
        <f t="array" ref="FP34">IF('Customer Inputs'!$W$10="End",0,IFERROR(IF($FI34="SEGMENT",INDEX('Margin Guidence Table'!$A$1:$AG$10000,MATCH(1,('Margin Guidence Table'!$A$1:$A$10000=FG34)*('Margin Guidence Table'!$I$1:$I$10000&lt;=ROUND($EY$3,0))*('Margin Guidence Table'!$J$1:$J$10000&gt;=ROUND($EY$3,0)),0),MATCH("SELF_FUND_PCT_SALES",'Margin Guidence Table'!$A$1:$AG$1,0)),INDEX('Margin Guidence Table'!$A$1:$AG$10000,MATCH(1,('Margin Guidence Table'!$A$1:$A$10000=FG34)*('Margin Guidence Table'!$I$1:$I$10000&lt;=ROUND($EY$3,0))*('Margin Guidence Table'!$J$1:$J$10000&gt;=ROUND($EY$3,0)),0),MATCH("DEFAULT_SELF_FUND_PCT_SALES",'Margin Guidence Table'!$A$1:$AG$1,0))),0))</f>
        <v>0</v>
      </c>
      <c r="FQ34" s="784">
        <f t="array" ref="FQ34">IF('Customer Inputs'!$W$10="End",0,IF($EZ$2="Existing",IFERROR(SUMIFS('Existing Customers'!$V:$V,'Existing Customers'!$H:$H,$EX34,'Existing Customers'!$A:$A,$EY$1)/SUMIFS('Existing Customers'!$Q:$Q,'Existing Customers'!$H:$H,$EX34,'Existing Customers'!$A:$A,$EY$1),0),IFERROR(IF($FI34="SEGMENT",INDEX('Margin Guidence Table'!$A$1:$AG$10000,MATCH(1,('Margin Guidence Table'!$A$1:$A$10000=FG34)*('Margin Guidence Table'!$I$1:$I$10000&lt;=ROUND($EY$3,0))*('Margin Guidence Table'!$J$1:$J$10000&gt;=ROUND($EY$3,0)),0),MATCH("CIA_MEDIAN_MARGIN_GUIDENCE",'Margin Guidence Table'!$A$1:$AG$1,0)),INDEX('Margin Guidence Table'!$A$1:$AG$10000,MATCH(1,('Margin Guidence Table'!$A$1:$A$10000=FG34)*('Margin Guidence Table'!$I$1:$I$10000&lt;=ROUND($EY$3,0))*('Margin Guidence Table'!$J$1:$J$10000&gt;=ROUND($EY$3,0)),0),MATCH("DEFAULT_CIA_MEDIAN_MARGIN_GUIDENCE",'Margin Guidence Table'!$A$1:$AG$1,0))),0)))</f>
        <v>0</v>
      </c>
      <c r="FR34" s="126"/>
      <c r="FS34" s="18">
        <f t="array" ref="FS34">IF('Customer Inputs'!$W$11="End",0,IFERROR(IF($GF34="SEGMENT",INDEX('Margin Guidence Table'!$A$1:$AG$10000,MATCH(1,('Margin Guidence Table'!$A$1:$A$10000=$GD34)*('Margin Guidence Table'!$I$1:$I$10000&lt;=ROUND($FV$3,0))*('Margin Guidence Table'!$J$1:$J$10000&gt;=ROUND($FV$3,0)),0),MATCH("PCT_SALES",'Margin Guidence Table'!$A$1:$AG$1,0)),INDEX('Margin Guidence Table'!$A$1:$AG$10000,MATCH(1,('Margin Guidence Table'!$A$1:$A$10000=$GD34)*('Margin Guidence Table'!$I$1:$I$10000&lt;=ROUND($FV$3,0))*('Margin Guidence Table'!$J$1:$J$10000&gt;=ROUND($FV$3,0)),0),MATCH("DEFAULT_PCT_SALES",'Margin Guidence Table'!$A$1:$AG$1,0))),0))</f>
        <v>0</v>
      </c>
      <c r="FT34" s="297" t="e">
        <f t="shared" si="42"/>
        <v>#DIV/0!</v>
      </c>
      <c r="FU34" s="100" t="s">
        <v>87</v>
      </c>
      <c r="FV34" s="91">
        <f>IF('Customer Inputs'!$W$11="End",0,IFERROR(IF(AND($FV$2&lt;&gt;"Enter Spend&gt;&gt;&gt;",$FW$2="EXISTING"),SUMIFS('Existing Customers'!$Q:$Q,'Existing Customers'!$A:$A,$FV$1,'Existing Customers'!$H:$H,$FU34)*$FV$4,$FV$3*$FT34),0))</f>
        <v>0</v>
      </c>
      <c r="FW34" s="86">
        <f>IF('Customer Inputs'!$W$11="End",0,IFERROR(IF(AND($FV$2&lt;&gt;"Enter Spend&gt;&gt;&gt;",$FW$2="EXISTING"),SUMIFS('Existing Customers'!$N:$N,'Existing Customers'!$A:$A,$FV$1,'Existing Customers'!$H:$H,$FU34)*$FV$4,$FV34/$GG34),0))</f>
        <v>0</v>
      </c>
      <c r="FX34" s="92">
        <f>IF('Customer Inputs'!$W$11="End",0,IFERROR(IF(AND($FV$2&lt;&gt;"Enter Spend&gt;&gt;&gt;",$FW$2="EXISTING"),SUMIFS('Existing Customers'!$O:$O,'Existing Customers'!$H:$H,$FU34,'Existing Customers'!$A:$A,$FV$1)*$FV$4,$FW34*$FV$8),0))</f>
        <v>0</v>
      </c>
      <c r="FY34" s="92">
        <f>IF('Customer Inputs'!$W$11="End",0,IFERROR(IF(AND($FV$2&lt;&gt;"Enter Spend&gt;&gt;&gt;",$FW$2="EXISTING"),SUMIFS('Existing Customers'!$P:$P,'Existing Customers'!$A:$A,$FV$1,'Existing Customers'!$H:$H,$FU34)*$FV$4,$FV34/$GH34),0))</f>
        <v>0</v>
      </c>
      <c r="FZ34" s="93">
        <f>IF('Customer Inputs'!$W$11="End",0,IFERROR(IF(AND($FV$2&lt;&gt;"Enter Spend&gt;&gt;&gt;",$FW$2="EXISTING"),SUMIFS('Existing Customers'!$V:$V,'Existing Customers'!$H:$H,$FU34,'Existing Customers'!$A:$A,$FV$1)*$FV$4,0),0))</f>
        <v>0</v>
      </c>
      <c r="GA34" s="93">
        <f>IF('Customer Inputs'!$W$11="End",0,IFERROR(IF(AND($FV$2&lt;&gt;"Enter Spend&gt;&gt;&gt;",$FW$2="EXISTING"),SUMIFS('Existing Customers'!$R:$R,'Existing Customers'!$H:$H,$FU34,'Existing Customers'!$A:$A,$FV$1)*$FV$4,0),0))</f>
        <v>0</v>
      </c>
      <c r="GB34" s="780">
        <f>IF('Customer Inputs'!$W$11="End",0,IFERROR(IF(AND($FV$2&lt;&gt;"Enter Spend&gt;&gt;&gt;",$FW$2="EXISTING"),SUMIFS('Existing Customers'!$S:$S,'Existing Customers'!$H:$H,$FU34,'Existing Customers'!$A:$A,$FV$1)/SUMIFS('Existing Customers'!$Q:$Q,'Existing Customers'!$A:$A,$FV$1,'Existing Customers'!$H:$H,$FU34),GL34),0))</f>
        <v>0</v>
      </c>
      <c r="GC34" s="780">
        <f>IF('Customer Inputs'!$W$11="End",0,IFERROR(IF(AND($FV$2&lt;&gt;"Enter Spend&gt;&gt;&gt;",$FW$2="EXISTING"),SUMIFS('Existing Customers'!$U:$U,'Existing Customers'!$H:$H,$FU34,'Existing Customers'!$A:$A,$FV$1)/SUMIFS('Existing Customers'!$Q:$Q,'Existing Customers'!$A:$A,$FV$1,'Existing Customers'!$H:$H,$FU34),GM34),0))</f>
        <v>0</v>
      </c>
      <c r="GD34" s="783" t="e">
        <f>_xlfn.CONCAT('Customer Inputs'!$AH$11,"_",FU34)</f>
        <v>#N/A</v>
      </c>
      <c r="GE34" s="783">
        <f t="array" ref="GE34">IF('Customer Inputs'!$W$11="End",0,IFERROR(INDEX('Margin Guidence Table'!$A$1:$AG$10000,MATCH(1,('Margin Guidence Table'!$A$1:$A$10000=GD34)*('Margin Guidence Table'!$I$1:$I$10000&lt;=ROUND($FV$3,0))*('Margin Guidence Table'!$J$1:$J$10000&gt;=ROUND($FV$3,0)),0),MATCH("DATA_POINTS",'Margin Guidence Table'!$A$1:$AG$1,0)),0))</f>
        <v>0</v>
      </c>
      <c r="GF34" s="780" t="str">
        <f t="shared" si="43"/>
        <v>DEFAULT</v>
      </c>
      <c r="GG34" s="780">
        <f t="array" ref="GG34">IF('Customer Inputs'!$W$11="End",0,IFERROR(IF($GF34="SEGMENT",INDEX('Margin Guidence Table'!$A$1:$AG$10000,MATCH(1,('Margin Guidence Table'!$A$1:$A$10000=GD34)*('Margin Guidence Table'!$I$1:$I$10000&lt;=ROUND($FV$3,0))*('Margin Guidence Table'!$J$1:$J$10000&gt;=ROUND($FV$3,0)),0),MATCH("SALES_CASE",'Margin Guidence Table'!$A$1:$AG$1,0)),INDEX('Margin Guidence Table'!$A$1:$AG$10000,MATCH(1,('Margin Guidence Table'!$A$1:$A$10000=GD34)*('Margin Guidence Table'!$I$1:$I$10000&lt;=ROUND($FV$3,0))*('Margin Guidence Table'!$J$1:$J$10000&gt;=ROUND($FV$3,0)),0),MATCH("DEFAULT_SALES_CASE",'Margin Guidence Table'!$A$1:$AG$1,0))),0))</f>
        <v>0</v>
      </c>
      <c r="GH34" s="780">
        <f t="array" ref="GH34">IF('Customer Inputs'!$W$11="End",0,IFERROR(IF($GF34="SEGMENT",INDEX('Margin Guidence Table'!$A$1:$AG$10000,MATCH(1,('Margin Guidence Table'!$A$1:$A$10000=GD34)*('Margin Guidence Table'!$I$1:$I$10000&lt;=ROUND($FV$3,0))*('Margin Guidence Table'!$J$1:$J$10000&gt;=ROUND($FV$3,0)),0),MATCH("SALES_LBS",'Margin Guidence Table'!$A$1:$AG$1,0)),INDEX('Margin Guidence Table'!$A$1:$AG$10000,MATCH(1,('Margin Guidence Table'!$A$1:$A$10000=GD34)*('Margin Guidence Table'!$I$1:$I$10000&lt;=ROUND($FV$3,0))*('Margin Guidence Table'!$J$1:$J$10000&gt;=ROUND($FV$3,0)),0),MATCH("DEFAULT_SALES_LBS",'Margin Guidence Table'!$A$1:$AG$1,0))),0))</f>
        <v>0</v>
      </c>
      <c r="GI34" s="784">
        <f t="array" ref="GI34">IF('Customer Inputs'!$W$11="End",0,IFERROR(IF($GF34="SEGMENT",INDEX('Margin Guidence Table'!$A$1:$AG$10000,MATCH(1,('Margin Guidence Table'!$A$1:$A$10000=GD34)*('Margin Guidence Table'!$I$1:$I$10000&lt;=ROUND($FV$3,0))*('Margin Guidence Table'!$J$1:$J$10000&gt;=ROUND($FV$3,0)),0),MATCH("MDA_MIN_MARGIN_GUIDENCE",'Margin Guidence Table'!$A$1:$AG$1,0)),INDEX('Margin Guidence Table'!$A$1:$AG$10000,MATCH(1,('Margin Guidence Table'!$A$1:$A$10000=GD34)*('Margin Guidence Table'!$I$1:$I$10000&lt;=ROUND($FV$3,0))*('Margin Guidence Table'!$J$1:$J$10000&gt;=ROUND($FV$3,0)),0),MATCH("DEFAULT_MDA_MIN_MARGIN_GUIDENCE",'Margin Guidence Table'!$A$1:$AG$1,0))),0))</f>
        <v>0</v>
      </c>
      <c r="GJ34" s="784">
        <f t="array" ref="GJ34">IF('Customer Inputs'!$W$11="End",0,IFERROR(IF($GF34="SEGMENT",INDEX('Margin Guidence Table'!$A$1:$AG$10000,MATCH(1,('Margin Guidence Table'!$A$1:$A$10000=GD34)*('Margin Guidence Table'!$I$1:$I$10000&lt;=ROUND($FV$3,0))*('Margin Guidence Table'!$J$1:$J$10000&gt;=ROUND($FV$3,0)),0),MATCH("MDA_MEDIAN_MARGIN_GUIDENCE",'Margin Guidence Table'!$A$1:$AG$1,0)),INDEX('Margin Guidence Table'!$A$1:$AG$10000,MATCH(1,('Margin Guidence Table'!$A$1:$A$10000=GD34)*('Margin Guidence Table'!$I$1:$I$10000&lt;=ROUND($FV$3,0))*('Margin Guidence Table'!$J$1:$J$10000&gt;=ROUND($FV$3,0)),0),MATCH("DEFAULT_MDA_MEDIAN_MARGIN_GUIDENCE",'Margin Guidence Table'!$A$1:$AG$1,0))),0))</f>
        <v>0</v>
      </c>
      <c r="GK34" s="784">
        <f t="array" ref="GK34">IF('Customer Inputs'!$W$11="End",0,IFERROR(IF($GF34="SEGMENT",INDEX('Margin Guidence Table'!$A$1:$AG$10000,MATCH(1,('Margin Guidence Table'!$A$1:$A$10000=GD34)*('Margin Guidence Table'!$I$1:$I$10000&lt;=ROUND($FV$3,0))*('Margin Guidence Table'!$J$1:$J$10000&gt;=ROUND($FV$3,0)),0),MATCH("MDA_MAX_MARGIN_GUIDENCE",'Margin Guidence Table'!$A$1:$AG$1,0)),INDEX('Margin Guidence Table'!$A$1:$AG$10000,MATCH(1,('Margin Guidence Table'!$A$1:$A$10000=GD34)*('Margin Guidence Table'!$I$1:$I$10000&lt;=ROUND($FV$3,0))*('Margin Guidence Table'!$J$1:$J$10000&gt;=ROUND($FV$3,0)),0),MATCH("DEFAULT_MDA_MAX_MARGIN_GUIDENCE",'Margin Guidence Table'!$A$1:$AG$1,0))),0))</f>
        <v>0</v>
      </c>
      <c r="GL34" s="784">
        <f t="array" ref="GL34">IF('Customer Inputs'!$W$11="End",0,IFERROR(IF($GF34="SEGMENT",INDEX('Margin Guidence Table'!$A$1:$AG$10000,MATCH(1,('Margin Guidence Table'!$A$1:$A$10000=GD34)*('Margin Guidence Table'!$I$1:$I$10000&lt;=ROUND($FV$3,0))*('Margin Guidence Table'!$J$1:$J$10000&gt;=ROUND($FV$3,0)),0),MATCH("PA_PCT_SALES",'Margin Guidence Table'!$A$1:$AG$1,0)),INDEX('Margin Guidence Table'!$A$1:$AG$10000,MATCH(1,('Margin Guidence Table'!$A$1:$A$10000=GD34)*('Margin Guidence Table'!$I$1:$I$10000&lt;=ROUND($FV$3,0))*('Margin Guidence Table'!$J$1:$J$10000&gt;=ROUND($FV$3,0)),0),MATCH("DEFAULT_PA_PCT_SALES",'Margin Guidence Table'!$A$1:$AG$1,0))),0))</f>
        <v>0</v>
      </c>
      <c r="GM34" s="784">
        <f t="array" ref="GM34">IF('Customer Inputs'!$W$11="End",0,IFERROR(IF($GF34="SEGMENT",INDEX('Margin Guidence Table'!$A$1:$AG$10000,MATCH(1,('Margin Guidence Table'!$A$1:$A$10000=GD34)*('Margin Guidence Table'!$I$1:$I$10000&lt;=ROUND($FV$3,0))*('Margin Guidence Table'!$J$1:$J$10000&gt;=ROUND($FV$3,0)),0),MATCH("SELF_FUND_PCT_SALES",'Margin Guidence Table'!$A$1:$AG$1,0)),INDEX('Margin Guidence Table'!$A$1:$AG$10000,MATCH(1,('Margin Guidence Table'!$A$1:$A$10000=GD34)*('Margin Guidence Table'!$I$1:$I$10000&lt;=ROUND($FV$3,0))*('Margin Guidence Table'!$J$1:$J$10000&gt;=ROUND($FV$3,0)),0),MATCH("DEFAULT_SELF_FUND_PCT_SALES",'Margin Guidence Table'!$A$1:$AG$1,0))),0))</f>
        <v>0</v>
      </c>
      <c r="GN34" s="784">
        <f t="array" ref="GN34">IF('Customer Inputs'!$W$11="End",0,IF($FW$2="Existing",IFERROR(SUMIFS('Existing Customers'!$V:$V,'Existing Customers'!$H:$H,$FU34,'Existing Customers'!$A:$A,$FV$1)/SUMIFS('Existing Customers'!$Q:$Q,'Existing Customers'!$H:$H,$FU34,'Existing Customers'!$A:$A,$FV$1),0),IFERROR(IF($GF34="SEGMENT",INDEX('Margin Guidence Table'!$A$1:$AG$10000,MATCH(1,('Margin Guidence Table'!$A$1:$A$10000=GD34)*('Margin Guidence Table'!$I$1:$I$10000&lt;=ROUND($FV$3,0))*('Margin Guidence Table'!$J$1:$J$10000&gt;=ROUND($FV$3,0)),0),MATCH("CIA_MEDIAN_MARGIN_GUIDENCE",'Margin Guidence Table'!$A$1:$AG$1,0)),INDEX('Margin Guidence Table'!$A$1:$AG$10000,MATCH(1,('Margin Guidence Table'!$A$1:$A$10000=GD34)*('Margin Guidence Table'!$I$1:$I$10000&lt;=ROUND($FV$3,0))*('Margin Guidence Table'!$J$1:$J$10000&gt;=ROUND($FV$3,0)),0),MATCH("DEFAULT_CIA_MEDIAN_MARGIN_GUIDENCE",'Margin Guidence Table'!$A$1:$AG$1,0))),0)))</f>
        <v>0</v>
      </c>
      <c r="GO34" s="126"/>
      <c r="GP34" s="18">
        <f t="array" ref="GP34">IF('Customer Inputs'!$W$12="End",0,IFERROR(IF($HC34="SEGMENT",INDEX('Margin Guidence Table'!$A$1:$AG$10000,MATCH(1,('Margin Guidence Table'!$A$1:$A$10000=$HA34)*('Margin Guidence Table'!$I$1:$I$10000&lt;=ROUND($GS$3,0))*('Margin Guidence Table'!$J$1:$J$10000&gt;=ROUND($GS$3,0)),0),MATCH("PCT_SALES",'Margin Guidence Table'!$A$1:$AG$1,0)),INDEX('Margin Guidence Table'!$A$1:$AG$10000,MATCH(1,('Margin Guidence Table'!$A$1:$A$10000=$HA34)*('Margin Guidence Table'!$I$1:$I$10000&lt;=ROUND($GS$3,0))*('Margin Guidence Table'!$J$1:$J$10000&gt;=ROUND($GS$3,0)),0),MATCH("DEFAULT_PCT_SALES",'Margin Guidence Table'!$A$1:$AG$1,0))),0))</f>
        <v>0</v>
      </c>
      <c r="GQ34" s="297" t="e">
        <f t="shared" si="44"/>
        <v>#DIV/0!</v>
      </c>
      <c r="GR34" s="100" t="s">
        <v>87</v>
      </c>
      <c r="GS34" s="91">
        <f>IF('Customer Inputs'!$W$12="End",0,IFERROR(IF(AND($GS$2&lt;&gt;"Enter Spend&gt;&gt;&gt;",$GT$2="EXISTING"),SUMIFS('Existing Customers'!$Q:$Q,'Existing Customers'!$A:$A,$GS$1,'Existing Customers'!$H:$H,$GR34)*$GS$4,$GS$3*$GQ34),0))</f>
        <v>0</v>
      </c>
      <c r="GT34" s="86">
        <f>IF('Customer Inputs'!$W$12="End",0,IFERROR(IF(AND($GS$2&lt;&gt;"Enter Spend&gt;&gt;&gt;",$GT$2="EXISTING"),SUMIFS('Existing Customers'!$N:$N,'Existing Customers'!$A:$A,$GS$1,'Existing Customers'!$H:$H,$GR34)*$GS$4,$GS34/$HD34),0))</f>
        <v>0</v>
      </c>
      <c r="GU34" s="92">
        <f>IF('Customer Inputs'!$W$12="End",0,IFERROR(IF(AND($GS$2&lt;&gt;"Enter Spend&gt;&gt;&gt;",$GT$2="EXISTING"),SUMIFS('Existing Customers'!$O:$O,'Existing Customers'!$H:$H,$GR34,'Existing Customers'!$A:$A,$GS$1)*$GS$4,$GT34*$GS$8),0))</f>
        <v>0</v>
      </c>
      <c r="GV34" s="92">
        <f>IF('Customer Inputs'!$W$12="End",0,IFERROR(IF(AND($GS$2&lt;&gt;"Enter Spend&gt;&gt;&gt;",$GT$2="EXISTING"),SUMIFS('Existing Customers'!$P:$P,'Existing Customers'!$A:$A,$GS$1,'Existing Customers'!$H:$H,$GR34)*$GS$4,$GS34/$HE34),0))</f>
        <v>0</v>
      </c>
      <c r="GW34" s="93">
        <f>IF('Customer Inputs'!$W$12="End",0,IFERROR(IF(AND($GS$2&lt;&gt;"Enter Spend&gt;&gt;&gt;",$GT$2="EXISTING"),SUMIFS('Existing Customers'!$V:$V,'Existing Customers'!$H:$H,$GR34,'Existing Customers'!$A:$A,$GS$1)*$GS$4,0),0))</f>
        <v>0</v>
      </c>
      <c r="GX34" s="93">
        <f>IF('Customer Inputs'!$W$12="End",0,IFERROR(IF(AND($GS$2&lt;&gt;"Enter Spend&gt;&gt;&gt;",$GT$2="EXISTING"),SUMIFS('Existing Customers'!$R:$R,'Existing Customers'!$H:$H,$GR34,'Existing Customers'!$A:$A,$GS$1)*$GS$4,0),0))</f>
        <v>0</v>
      </c>
      <c r="GY34" s="780">
        <f>IF('Customer Inputs'!$W$12="End",0,IFERROR(IF(AND($GS$2&lt;&gt;"Enter Spend&gt;&gt;&gt;",$GT$2="EXISTING"),SUMIFS('Existing Customers'!$S:$S,'Existing Customers'!$H:$H,$GR34,'Existing Customers'!$A:$A,$GS$1)/SUMIFS('Existing Customers'!$Q:$Q,'Existing Customers'!$A:$A,$GS$1,'Existing Customers'!$H:$H,$GR34),HI34),0))</f>
        <v>0</v>
      </c>
      <c r="GZ34" s="780">
        <f>IF('Customer Inputs'!$W$12="End",0,IFERROR(IF(AND($GS$2&lt;&gt;"Enter Spend&gt;&gt;&gt;",$GT$2="EXISTING"),SUMIFS('Existing Customers'!$U:$U,'Existing Customers'!$H:$H,$GR34,'Existing Customers'!$A:$A,$GS$1)/SUMIFS('Existing Customers'!$Q:$Q,'Existing Customers'!$A:$A,$GS$1,'Existing Customers'!$H:$H,$GR34),HJ34),0))</f>
        <v>0</v>
      </c>
      <c r="HA34" s="783" t="e">
        <f>_xlfn.CONCAT('Customer Inputs'!$AH$12,"_",GR34)</f>
        <v>#N/A</v>
      </c>
      <c r="HB34" s="783">
        <f t="array" ref="HB34">IF('Customer Inputs'!$W$12="End",0,IFERROR(INDEX('Margin Guidence Table'!$A$1:$AG$10000,MATCH(1,('Margin Guidence Table'!$A$1:$A$10000=HA34)*('Margin Guidence Table'!$I$1:$I$10000&lt;=ROUND($GS$3,0))*('Margin Guidence Table'!$J$1:$J$10000&gt;=ROUND($GS$3,0)),0),MATCH("DATA_POINTS",'Margin Guidence Table'!$A$1:$AG$1,0)),0))</f>
        <v>0</v>
      </c>
      <c r="HC34" s="780" t="str">
        <f t="shared" si="45"/>
        <v>DEFAULT</v>
      </c>
      <c r="HD34" s="780">
        <f t="array" ref="HD34">IF('Customer Inputs'!$W$12="End",0,IFERROR(IF($HC34="SEGMENT",INDEX('Margin Guidence Table'!$A$1:$AG$10000,MATCH(1,('Margin Guidence Table'!$A$1:$A$10000=HA34)*('Margin Guidence Table'!$I$1:$I$10000&lt;=ROUND($GS$3,0))*('Margin Guidence Table'!$J$1:$J$10000&gt;=ROUND($GS$3,0)),0),MATCH("SALES_CASE",'Margin Guidence Table'!$A$1:$AG$1,0)),INDEX('Margin Guidence Table'!$A$1:$AG$10000,MATCH(1,('Margin Guidence Table'!$A$1:$A$10000=HA34)*('Margin Guidence Table'!$I$1:$I$10000&lt;=ROUND($GS$3,0))*('Margin Guidence Table'!$J$1:$J$10000&gt;=ROUND($GS$3,0)),0),MATCH("DEFAULT_SALES_CASE",'Margin Guidence Table'!$A$1:$AG$1,0))),0))</f>
        <v>0</v>
      </c>
      <c r="HE34" s="780">
        <f t="array" ref="HE34">IF('Customer Inputs'!$W$12="End",0,IFERROR(IF($HC34="SEGMENT",INDEX('Margin Guidence Table'!$A$1:$AG$10000,MATCH(1,('Margin Guidence Table'!$A$1:$A$10000=HA34)*('Margin Guidence Table'!$I$1:$I$10000&lt;=ROUND($GS$3,0))*('Margin Guidence Table'!$J$1:$J$10000&gt;=ROUND($GS$3,0)),0),MATCH("SALES_LBS",'Margin Guidence Table'!$A$1:$AG$1,0)),INDEX('Margin Guidence Table'!$A$1:$AG$10000,MATCH(1,('Margin Guidence Table'!$A$1:$A$10000=HA34)*('Margin Guidence Table'!$I$1:$I$10000&lt;=ROUND($GS$3,0))*('Margin Guidence Table'!$J$1:$J$10000&gt;=ROUND($GS$3,0)),0),MATCH("DEFAULT_SALES_LBS",'Margin Guidence Table'!$A$1:$AG$1,0))),0))</f>
        <v>0</v>
      </c>
      <c r="HF34" s="784">
        <f t="array" ref="HF34">IF('Customer Inputs'!$W$12="End",0,IFERROR(IF($HC34="SEGMENT",INDEX('Margin Guidence Table'!$A$1:$AG$10000,MATCH(1,('Margin Guidence Table'!$A$1:$A$10000=HA34)*('Margin Guidence Table'!$I$1:$I$10000&lt;=ROUND($GS$3,0))*('Margin Guidence Table'!$J$1:$J$10000&gt;=ROUND($GS$3,0)),0),MATCH("MDA_MIN_MARGIN_GUIDENCE",'Margin Guidence Table'!$A$1:$AG$1,0)),INDEX('Margin Guidence Table'!$A$1:$AG$10000,MATCH(1,('Margin Guidence Table'!$A$1:$A$10000=HA34)*('Margin Guidence Table'!$I$1:$I$10000&lt;=ROUND($GS$3,0))*('Margin Guidence Table'!$J$1:$J$10000&gt;=ROUND($GS$3,0)),0),MATCH("DEFAULT_MDA_MIN_MARGIN_GUIDENCE",'Margin Guidence Table'!$A$1:$AG$1,0))),0))</f>
        <v>0</v>
      </c>
      <c r="HG34" s="784">
        <f t="array" ref="HG34">IF('Customer Inputs'!$W$12="End",0,IFERROR(IF($HC34="SEGMENT",INDEX('Margin Guidence Table'!$A$1:$AG$10000,MATCH(1,('Margin Guidence Table'!$A$1:$A$10000=HA34)*('Margin Guidence Table'!$I$1:$I$10000&lt;=ROUND($GS$3,0))*('Margin Guidence Table'!$J$1:$J$10000&gt;=ROUND($GS$3,0)),0),MATCH("MDA_MEDIAN_MARGIN_GUIDENCE",'Margin Guidence Table'!$A$1:$AG$1,0)),INDEX('Margin Guidence Table'!$A$1:$AG$10000,MATCH(1,('Margin Guidence Table'!$A$1:$A$10000=HA34)*('Margin Guidence Table'!$I$1:$I$10000&lt;=ROUND($GS$3,0))*('Margin Guidence Table'!$J$1:$J$10000&gt;=ROUND($GS$3,0)),0),MATCH("DEFAULT_MDA_MEDIAN_MARGIN_GUIDENCE",'Margin Guidence Table'!$A$1:$AG$1,0))),0))</f>
        <v>0</v>
      </c>
      <c r="HH34" s="784">
        <f t="array" ref="HH34">IF('Customer Inputs'!$W$12="End",0,IFERROR(IF($HC34="SEGMENT",INDEX('Margin Guidence Table'!$A$1:$AG$10000,MATCH(1,('Margin Guidence Table'!$A$1:$A$10000=HA34)*('Margin Guidence Table'!$I$1:$I$10000&lt;=ROUND($GS$3,0))*('Margin Guidence Table'!$J$1:$J$10000&gt;=ROUND($GS$3,0)),0),MATCH("MDA_MAX_MARGIN_GUIDENCE",'Margin Guidence Table'!$A$1:$AG$1,0)),INDEX('Margin Guidence Table'!$A$1:$AG$10000,MATCH(1,('Margin Guidence Table'!$A$1:$A$10000=HA34)*('Margin Guidence Table'!$I$1:$I$10000&lt;=ROUND($GS$3,0))*('Margin Guidence Table'!$J$1:$J$10000&gt;=ROUND($GS$3,0)),0),MATCH("DEFAULT_MDA_MAX_MARGIN_GUIDENCE",'Margin Guidence Table'!$A$1:$AG$1,0))),0))</f>
        <v>0</v>
      </c>
      <c r="HI34" s="784">
        <f t="array" ref="HI34">IF('Customer Inputs'!$W$12="End",0,IFERROR(IF($HC34="SEGMENT",INDEX('Margin Guidence Table'!$A$1:$AG$10000,MATCH(1,('Margin Guidence Table'!$A$1:$A$10000=HA34)*('Margin Guidence Table'!$I$1:$I$10000&lt;=ROUND($GS$3,0))*('Margin Guidence Table'!$J$1:$J$10000&gt;=ROUND($GS$3,0)),0),MATCH("PA_PCT_SALES",'Margin Guidence Table'!$A$1:$AG$1,0)),INDEX('Margin Guidence Table'!$A$1:$AG$10000,MATCH(1,('Margin Guidence Table'!$A$1:$A$10000=HA34)*('Margin Guidence Table'!$I$1:$I$10000&lt;=ROUND($GS$3,0))*('Margin Guidence Table'!$J$1:$J$10000&gt;=ROUND($GS$3,0)),0),MATCH("DEFAULT_PA_PCT_SALES",'Margin Guidence Table'!$A$1:$AG$1,0))),0))</f>
        <v>0</v>
      </c>
      <c r="HJ34" s="784">
        <f t="array" ref="HJ34">IF('Customer Inputs'!$W$12="End",0,IFERROR(IF($HC34="SEGMENT",INDEX('Margin Guidence Table'!$A$1:$AG$10000,MATCH(1,('Margin Guidence Table'!$A$1:$A$10000=HA34)*('Margin Guidence Table'!$I$1:$I$10000&lt;=ROUND($GS$3,0))*('Margin Guidence Table'!$J$1:$J$10000&gt;=ROUND($GS$3,0)),0),MATCH("SELF_FUND_PCT_SALES",'Margin Guidence Table'!$A$1:$AG$1,0)),INDEX('Margin Guidence Table'!$A$1:$AG$10000,MATCH(1,('Margin Guidence Table'!$A$1:$A$10000=HA34)*('Margin Guidence Table'!$I$1:$I$10000&lt;=ROUND($GS$3,0))*('Margin Guidence Table'!$J$1:$J$10000&gt;=ROUND($GS$3,0)),0),MATCH("DEFAULT_SELF_FUND_PCT_SALES",'Margin Guidence Table'!$A$1:$AG$1,0))),0))</f>
        <v>0</v>
      </c>
      <c r="HK34" s="784">
        <f t="array" ref="HK34">IF('Customer Inputs'!$W$12="End",0,IF($GT$2="Existing",IFERROR(SUMIFS('Existing Customers'!$V:$V,'Existing Customers'!$H:$H,$GR34,'Existing Customers'!$A:$A,$GS$1)/SUMIFS('Existing Customers'!$Q:$Q,'Existing Customers'!$H:$H,$GR34,'Existing Customers'!$A:$A,$GS$1),0),IFERROR(IF($HC34="SEGMENT",INDEX('Margin Guidence Table'!$A$1:$AG$10000,MATCH(1,('Margin Guidence Table'!$A$1:$A$10000=HA34)*('Margin Guidence Table'!$I$1:$I$10000&lt;=ROUND($GS$3,0))*('Margin Guidence Table'!$J$1:$J$10000&gt;=ROUND($GS$3,0)),0),MATCH("CIA_MEDIAN_MARGIN_GUIDENCE",'Margin Guidence Table'!$A$1:$AG$1,0)),INDEX('Margin Guidence Table'!$A$1:$AG$10000,MATCH(1,('Margin Guidence Table'!$A$1:$A$10000=HA34)*('Margin Guidence Table'!$I$1:$I$10000&lt;=ROUND($GS$3,0))*('Margin Guidence Table'!$J$1:$J$10000&gt;=ROUND($GS$3,0)),0),MATCH("DEFAULT_CIA_MEDIAN_MARGIN_GUIDENCE",'Margin Guidence Table'!$A$1:$AG$1,0))),0)))</f>
        <v>0</v>
      </c>
      <c r="HL34" s="126"/>
      <c r="HM34" s="18">
        <f t="array" ref="HM34">IF('Customer Inputs'!$W$13="End",0,IFERROR(IF($HZ34="SEGMENT",INDEX('Margin Guidence Table'!$A$1:$AG$10000,MATCH(1,('Margin Guidence Table'!$A$1:$A$10000=$HX34)*('Margin Guidence Table'!$I$1:$I$10000&lt;=ROUND($HP$3,0))*('Margin Guidence Table'!$J$1:$J$10000&gt;=ROUND($HP$3,0)),0),MATCH("PCT_SALES",'Margin Guidence Table'!$A$1:$AG$1,0)),INDEX('Margin Guidence Table'!$A$1:$AG$10000,MATCH(1,('Margin Guidence Table'!$A$1:$A$10000=$HX34)*('Margin Guidence Table'!$I$1:$I$10000&lt;=ROUND($HP$3,0))*('Margin Guidence Table'!$J$1:$J$10000&gt;=ROUND($HP$3,0)),0),MATCH("DEFAULT_PCT_SALES",'Margin Guidence Table'!$A$1:$AG$1,0))),0))</f>
        <v>0</v>
      </c>
      <c r="HN34" s="297" t="e">
        <f t="shared" si="46"/>
        <v>#DIV/0!</v>
      </c>
      <c r="HO34" s="100" t="s">
        <v>87</v>
      </c>
      <c r="HP34" s="91">
        <f>IF('Customer Inputs'!$W$13="End",0,IFERROR(IF(AND($HP$2&lt;&gt;"Enter Spend&gt;&gt;&gt;",$HQ$2="EXISTING"),SUMIFS('Existing Customers'!$Q:$Q,'Existing Customers'!$A:$A,$HP$1,'Existing Customers'!$H:$H,$HO34)*$HP$4,$HP$3*$HN34),0))</f>
        <v>0</v>
      </c>
      <c r="HQ34" s="86">
        <f>IF('Customer Inputs'!$W$13="End",0,IFERROR(IF(AND($HP$2&lt;&gt;"Enter Spend&gt;&gt;&gt;",$HQ$2="EXISTING"),SUMIFS('Existing Customers'!$N:$N,'Existing Customers'!$A:$A,$HP$1,'Existing Customers'!$H:$H,$HO34)*$HP$4,$HP34/$IA34),0))</f>
        <v>0</v>
      </c>
      <c r="HR34" s="92">
        <f>IF('Customer Inputs'!$W$13="End",0,IFERROR(IF(AND($HP$2&lt;&gt;"Enter Spend&gt;&gt;&gt;",$HQ$2="EXISTING"),SUMIFS('Existing Customers'!$O:$O,'Existing Customers'!$H:$H,$HO34,'Existing Customers'!$A:$A,$HP$1)*$HP$4,$HQ34*$HP$8),0))</f>
        <v>0</v>
      </c>
      <c r="HS34" s="92">
        <f>IF('Customer Inputs'!$W$13="End",0,IFERROR(IF(AND($HP$2&lt;&gt;"Enter Spend&gt;&gt;&gt;",$HQ$2="EXISTING"),SUMIFS('Existing Customers'!$P:$P,'Existing Customers'!$A:$A,$HP$1,'Existing Customers'!$H:$H,$HO34)*$HP$4,$HP34/$IB34),0))</f>
        <v>0</v>
      </c>
      <c r="HT34" s="93">
        <f>IF('Customer Inputs'!$W$13="End",0,IFERROR(IF(AND($HP$2&lt;&gt;"Enter Spend&gt;&gt;&gt;",$HQ$2="EXISTING"),SUMIFS('Existing Customers'!$V:$V,'Existing Customers'!$H:$H,$HO34,'Existing Customers'!$A:$A,$HP$1)*$HP$4,0),0))</f>
        <v>0</v>
      </c>
      <c r="HU34" s="93">
        <f>IF('Customer Inputs'!$W$13="End",0,IFERROR(IF(AND($HP$2&lt;&gt;"Enter Spend&gt;&gt;&gt;",$HQ$2="EXISTING"),SUMIFS('Existing Customers'!$R:$R,'Existing Customers'!$H:$H,$HO34,'Existing Customers'!$A:$A,$HP$1)*$HP$4,0),0))</f>
        <v>0</v>
      </c>
      <c r="HV34" s="780">
        <f>IF('Customer Inputs'!$W$13="End",0,IFERROR(IF(AND($HP$2&lt;&gt;"Enter Spend&gt;&gt;&gt;",$HQ$2="EXISTING"),SUMIFS('Existing Customers'!$S:$S,'Existing Customers'!$H:$H,$HO34,'Existing Customers'!$A:$A,$HP$1)/SUMIFS('Existing Customers'!$Q:$Q,'Existing Customers'!$A:$A,$HP$1,'Existing Customers'!$H:$H,$HO34),IF34),0))</f>
        <v>0</v>
      </c>
      <c r="HW34" s="780">
        <f>IF('Customer Inputs'!$W$13="End",0,IFERROR(IF(AND($HP$2&lt;&gt;"Enter Spend&gt;&gt;&gt;",$HQ$2="EXISTING"),SUMIFS('Existing Customers'!$U:$U,'Existing Customers'!$H:$H,$HO34,'Existing Customers'!$A:$A,$HP$1)/SUMIFS('Existing Customers'!$Q:$Q,'Existing Customers'!$A:$A,$HP$1,'Existing Customers'!$H:$H,$HO34),IG34),0))</f>
        <v>0</v>
      </c>
      <c r="HX34" s="783" t="e">
        <f>_xlfn.CONCAT('Customer Inputs'!$AH$13,"_",HO34)</f>
        <v>#N/A</v>
      </c>
      <c r="HY34" s="783">
        <f t="array" ref="HY34">IF('Customer Inputs'!$W$13="End",0,IFERROR(INDEX('Margin Guidence Table'!$A$1:$AG$10000,MATCH(1,('Margin Guidence Table'!$A$1:$A$10000=HX34)*('Margin Guidence Table'!$I$1:$I$10000&lt;=ROUND($HP$3,0))*('Margin Guidence Table'!$J$1:$J$10000&gt;=ROUND($HP$3,0)),0),MATCH("DATA_POINTS",'Margin Guidence Table'!$A$1:$AG$1,0)),0))</f>
        <v>0</v>
      </c>
      <c r="HZ34" s="780" t="str">
        <f t="shared" si="47"/>
        <v>DEFAULT</v>
      </c>
      <c r="IA34" s="780">
        <f t="array" ref="IA34">IF('Customer Inputs'!$W$13="End",0,IFERROR(IF($HZ34="SEGMENT",INDEX('Margin Guidence Table'!$A$1:$AG$10000,MATCH(1,('Margin Guidence Table'!$A$1:$A$10000=HX34)*('Margin Guidence Table'!$I$1:$I$10000&lt;=ROUND($HP$3,0))*('Margin Guidence Table'!$J$1:$J$10000&gt;=ROUND($HP$3,0)),0),MATCH("SALES_CASE",'Margin Guidence Table'!$A$1:$AG$1,0)),INDEX('Margin Guidence Table'!$A$1:$AG$10000,MATCH(1,('Margin Guidence Table'!$A$1:$A$10000=HX34)*('Margin Guidence Table'!$I$1:$I$10000&lt;=ROUND($HP$3,0))*('Margin Guidence Table'!$J$1:$J$10000&gt;=ROUND($HP$3,0)),0),MATCH("DEFAULT_SALES_CASE",'Margin Guidence Table'!$A$1:$AG$1,0))),0))</f>
        <v>0</v>
      </c>
      <c r="IB34" s="780">
        <f t="array" ref="IB34">IF('Customer Inputs'!$W$13="End",0,IFERROR(IF($HZ34="SEGMENT",INDEX('Margin Guidence Table'!$A$1:$AG$10000,MATCH(1,('Margin Guidence Table'!$A$1:$A$10000=HX34)*('Margin Guidence Table'!$I$1:$I$10000&lt;=ROUND($HP$3,0))*('Margin Guidence Table'!$J$1:$J$10000&gt;=ROUND($HP$3,0)),0),MATCH("SALES_LBS",'Margin Guidence Table'!$A$1:$AG$1,0)),INDEX('Margin Guidence Table'!$A$1:$AG$10000,MATCH(1,('Margin Guidence Table'!$A$1:$A$10000=HX34)*('Margin Guidence Table'!$I$1:$I$10000&lt;=ROUND($HP$3,0))*('Margin Guidence Table'!$J$1:$J$10000&gt;=ROUND($HP$3,0)),0),MATCH("DEFAULT_SALES_LBS",'Margin Guidence Table'!$A$1:$AG$1,0))),0))</f>
        <v>0</v>
      </c>
      <c r="IC34" s="784">
        <f t="array" ref="IC34">IF('Customer Inputs'!$W$13="End",0,IFERROR(IF($HZ34="SEGMENT",INDEX('Margin Guidence Table'!$A$1:$AG$10000,MATCH(1,('Margin Guidence Table'!$A$1:$A$10000=HX34)*('Margin Guidence Table'!$I$1:$I$10000&lt;=ROUND($HP$3,0))*('Margin Guidence Table'!$J$1:$J$10000&gt;=ROUND($HP$3,0)),0),MATCH("MDA_MIN_MARGIN_GUIDENCE",'Margin Guidence Table'!$A$1:$AG$1,0)),INDEX('Margin Guidence Table'!$A$1:$AG$10000,MATCH(1,('Margin Guidence Table'!$A$1:$A$10000=HX34)*('Margin Guidence Table'!$I$1:$I$10000&lt;=ROUND($HP$3,0))*('Margin Guidence Table'!$J$1:$J$10000&gt;=ROUND($HP$3,0)),0),MATCH("DEFAULT_MDA_MIN_MARGIN_GUIDENCE",'Margin Guidence Table'!$A$1:$AG$1,0))),0))</f>
        <v>0</v>
      </c>
      <c r="ID34" s="784">
        <f t="array" ref="ID34">IF('Customer Inputs'!$W$13="End",0,IFERROR(IF($HZ34="SEGMENT",INDEX('Margin Guidence Table'!$A$1:$AG$10000,MATCH(1,('Margin Guidence Table'!$A$1:$A$10000=HX34)*('Margin Guidence Table'!$I$1:$I$10000&lt;=ROUND($HP$3,0))*('Margin Guidence Table'!$J$1:$J$10000&gt;=ROUND($HP$3,0)),0),MATCH("MDA_MEDIAN_MARGIN_GUIDENCE",'Margin Guidence Table'!$A$1:$AG$1,0)),INDEX('Margin Guidence Table'!$A$1:$AG$10000,MATCH(1,('Margin Guidence Table'!$A$1:$A$10000=HX34)*('Margin Guidence Table'!$I$1:$I$10000&lt;=ROUND($HP$3,0))*('Margin Guidence Table'!$J$1:$J$10000&gt;=ROUND($HP$3,0)),0),MATCH("DEFAULT_MDA_MEDIAN_MARGIN_GUIDENCE",'Margin Guidence Table'!$A$1:$AG$1,0))),0))</f>
        <v>0</v>
      </c>
      <c r="IE34" s="784">
        <f t="array" ref="IE34">IF('Customer Inputs'!$W$13="End",0,IFERROR(IF($HZ34="SEGMENT",INDEX('Margin Guidence Table'!$A$1:$AG$10000,MATCH(1,('Margin Guidence Table'!$A$1:$A$10000=HX34)*('Margin Guidence Table'!$I$1:$I$10000&lt;=ROUND($HP$3,0))*('Margin Guidence Table'!$J$1:$J$10000&gt;=ROUND($HP$3,0)),0),MATCH("MDA_MAX_MARGIN_GUIDENCE",'Margin Guidence Table'!$A$1:$AG$1,0)),INDEX('Margin Guidence Table'!$A$1:$AG$10000,MATCH(1,('Margin Guidence Table'!$A$1:$A$10000=HX34)*('Margin Guidence Table'!$I$1:$I$10000&lt;=ROUND($HP$3,0))*('Margin Guidence Table'!$J$1:$J$10000&gt;=ROUND($HP$3,0)),0),MATCH("DEFAULT_MDA_MAX_MARGIN_GUIDENCE",'Margin Guidence Table'!$A$1:$AG$1,0))),0))</f>
        <v>0</v>
      </c>
      <c r="IF34" s="784">
        <f t="array" ref="IF34">IF('Customer Inputs'!$W$13="End",0,IFERROR(IF($HZ34="SEGMENT",INDEX('Margin Guidence Table'!$A$1:$AG$10000,MATCH(1,('Margin Guidence Table'!$A$1:$A$10000=HX34)*('Margin Guidence Table'!$I$1:$I$10000&lt;=ROUND($HP$3,0))*('Margin Guidence Table'!$J$1:$J$10000&gt;=ROUND($HP$3,0)),0),MATCH("PA_PCT_SALES",'Margin Guidence Table'!$A$1:$AG$1,0)),INDEX('Margin Guidence Table'!$A$1:$AG$10000,MATCH(1,('Margin Guidence Table'!$A$1:$A$10000=HX34)*('Margin Guidence Table'!$I$1:$I$10000&lt;=ROUND($HP$3,0))*('Margin Guidence Table'!$J$1:$J$10000&gt;=ROUND($HP$3,0)),0),MATCH("DEFAULT_PA_PCT_SALES",'Margin Guidence Table'!$A$1:$AG$1,0))),0))</f>
        <v>0</v>
      </c>
      <c r="IG34" s="784">
        <f t="array" ref="IG34">IF('Customer Inputs'!$W$13="End",0,IFERROR(IF($HZ34="SEGMENT",INDEX('Margin Guidence Table'!$A$1:$AG$10000,MATCH(1,('Margin Guidence Table'!$A$1:$A$10000=HX34)*('Margin Guidence Table'!$I$1:$I$10000&lt;=ROUND($HP$3,0))*('Margin Guidence Table'!$J$1:$J$10000&gt;=ROUND($HP$3,0)),0),MATCH("SELF_FUND_PCT_SALES",'Margin Guidence Table'!$A$1:$AG$1,0)),INDEX('Margin Guidence Table'!$A$1:$AG$10000,MATCH(1,('Margin Guidence Table'!$A$1:$A$10000=HX34)*('Margin Guidence Table'!$I$1:$I$10000&lt;=ROUND($HP$3,0))*('Margin Guidence Table'!$J$1:$J$10000&gt;=ROUND($HP$3,0)),0),MATCH("DEFAULT_SELF_FUND_PCT_SALES",'Margin Guidence Table'!$A$1:$AG$1,0))),0))</f>
        <v>0</v>
      </c>
      <c r="IH34" s="784">
        <f t="array" ref="IH34">IF('Customer Inputs'!$W$13="End",0,IF($HQ$2="Existing",IFERROR(SUMIFS('Existing Customers'!$V:$V,'Existing Customers'!$H:$H,$HO34,'Existing Customers'!$A:$A,$HP$1)/SUMIFS('Existing Customers'!$Q:$Q,'Existing Customers'!$H:$H,$HO34,'Existing Customers'!$A:$A,$HP$1),0),IFERROR(IF($HZ34="SEGMENT",INDEX('Margin Guidence Table'!$A$1:$AG$10000,MATCH(1,('Margin Guidence Table'!$A$1:$A$10000=HX34)*('Margin Guidence Table'!$I$1:$I$10000&lt;=ROUND($HP$3,0))*('Margin Guidence Table'!$J$1:$J$10000&gt;=ROUND($HP$3,0)),0),MATCH("CIA_MEDIAN_MARGIN_GUIDENCE",'Margin Guidence Table'!$A$1:$AG$1,0)),INDEX('Margin Guidence Table'!$A$1:$AG$10000,MATCH(1,('Margin Guidence Table'!$A$1:$A$10000=HX34)*('Margin Guidence Table'!$I$1:$I$10000&lt;=ROUND($HP$3,0))*('Margin Guidence Table'!$J$1:$J$10000&gt;=ROUND($HP$3,0)),0),MATCH("DEFAULT_CIA_MEDIAN_MARGIN_GUIDENCE",'Margin Guidence Table'!$A$1:$AG$1,0))),0)))</f>
        <v>0</v>
      </c>
      <c r="II34" s="126"/>
      <c r="IJ34" s="18">
        <f t="array" ref="IJ34">IF('Customer Inputs'!$W$14="End",0,IFERROR(IF($IW34="SEGMENT",INDEX('Margin Guidence Table'!$A:$AC,MATCH(1,('Margin Guidence Table'!$A:$A=$IU34)*('Margin Guidence Table'!$H:$H&lt;=ROUND($IM$3,0))*('Margin Guidence Table'!$G:$G&gt;=ROUND($IM$3,0)),0),MATCH("PCT_SALES",'Margin Guidence Table'!$A$1:$AG$1,0)),INDEX('Margin Guidence Table'!$A:$AC,MATCH(1,('Margin Guidence Table'!$A:$A=$IU34)*('Margin Guidence Table'!$H:$H&lt;=ROUND($IM$3,0))*('Margin Guidence Table'!$G:$G&gt;=ROUND($IM$3,0)),0),MATCH("DEFAULT_PCT_SALES",'Margin Guidence Table'!$A$1:$AG$1,0))),0))</f>
        <v>0</v>
      </c>
      <c r="IK34" s="297" t="e">
        <f t="shared" si="48"/>
        <v>#DIV/0!</v>
      </c>
      <c r="IL34" s="100" t="s">
        <v>87</v>
      </c>
      <c r="IM34" s="91">
        <f>IF('Customer Inputs'!$W$14="End",0,IFERROR(IF(AND($IM$2&lt;&gt;"Enter Spend&gt;&gt;&gt;",$IN$2="EXISTING"),SUMIFS('Existing Customers'!$Q:$Q,'Existing Customers'!$A:$A,$IM$1,'Existing Customers'!$H:$H,$IL34)*$IM$4,$IM$3*$IK34),0))</f>
        <v>0</v>
      </c>
      <c r="IN34" s="86">
        <f>IF('Customer Inputs'!$W$14="End",0,IFERROR(IF(AND($IM$2&lt;&gt;"Enter Spend&gt;&gt;&gt;",$IN$2="EXISTING"),SUMIFS('Existing Customers'!$N:$N,'Existing Customers'!$A:$A,$IM$1,'Existing Customers'!$H:$H,$IL34)*$IM$4,$IM34/$IX34),0))</f>
        <v>0</v>
      </c>
      <c r="IO34" s="92">
        <f>IF('Customer Inputs'!$W$14="End",0,IFERROR(IF(AND($IM$2&lt;&gt;"Enter Spend&gt;&gt;&gt;",$IN$2="EXISTING"),SUMIFS('Existing Customers'!$O:$O,'Existing Customers'!$H:$H,$IL34,'Existing Customers'!$A:$A,$IM$1)*$IM$4,$IN34*$IM$8),0))</f>
        <v>0</v>
      </c>
      <c r="IP34" s="92">
        <f>IF('Customer Inputs'!$W$14="End",0,IFERROR(IF(AND($IM$2&lt;&gt;"Enter Spend&gt;&gt;&gt;",$IN$2="EXISTING"),SUMIFS('Existing Customers'!$P:$P,'Existing Customers'!$A:$A,$IM$1,'Existing Customers'!$H:$H,$IL34)*$IM$4,$IM34/$IY34),0))</f>
        <v>0</v>
      </c>
      <c r="IQ34" s="303">
        <f>IF('Customer Inputs'!$W$14="End",0,IFERROR(IF(AND($IM$2&lt;&gt;"Enter Spend&gt;&gt;&gt;",$IN$2="EXISTING"),SUMIFS('Existing Customers'!$V:$V,'Existing Customers'!$H:$H,$IL34,'Existing Customers'!$A:$A,$IM$1)*$IM$4,0),0))</f>
        <v>0</v>
      </c>
      <c r="IR34" s="93">
        <f>IF('Customer Inputs'!$W$14="End",0,IFERROR(IF(AND($IM$2&lt;&gt;"Enter Spend&gt;&gt;&gt;",$IN$2="EXISTING"),SUMIFS('Existing Customers'!$R:$R,'Existing Customers'!$H:$H,$IL34,'Existing Customers'!$A:$A,$IM$1)*$IM$4,0),0))</f>
        <v>0</v>
      </c>
      <c r="IS34" s="780">
        <f>IF('Customer Inputs'!$W$14="End",0,IFERROR(IF(AND($IM$2&lt;&gt;"Enter Spend&gt;&gt;&gt;",$IN$2="EXISTING"),SUMIFS('Existing Customers'!$S:$S,'Existing Customers'!$H:$H,$IL34,'Existing Customers'!$A:$A,$IM$1)/SUMIFS('Existing Customers'!$Q:$Q,'Existing Customers'!$A:$A,$IM$1,'Existing Customers'!$H:$H,$IL34),JC34),0))</f>
        <v>0</v>
      </c>
      <c r="IT34" s="780">
        <f>IF('Customer Inputs'!$W$14="End",0,IFERROR(IF(AND($IM$2&lt;&gt;"Enter Spend&gt;&gt;&gt;",$IN$2="EXISTING"),SUMIFS('Existing Customers'!$U:$U,'Existing Customers'!$H:$H,$IL34,'Existing Customers'!$A:$A,$IM$1)/SUMIFS('Existing Customers'!$Q:$Q,'Existing Customers'!$A:$A,$IM$1,'Existing Customers'!$H:$H,$IL34),JD34),0))</f>
        <v>0</v>
      </c>
      <c r="IU34" s="783" t="e">
        <f>_xlfn.CONCAT('Customer Inputs'!$AH$14,"_",IL34)</f>
        <v>#N/A</v>
      </c>
      <c r="IV34" s="783">
        <f t="array" ref="IV34">IF('Customer Inputs'!$W$14="End",0,IFERROR(INDEX('Margin Guidence Table'!$A$1:$AG$10000,MATCH(1,('Margin Guidence Table'!$A$1:$A$10000=IU34)*('Margin Guidence Table'!$I$1:$I$10000&lt;=ROUND($IM$3,0))*('Margin Guidence Table'!$J$1:$J$10000&gt;=ROUND($IM$3,0)),0),MATCH("DATA_POINTS",'Margin Guidence Table'!$A$1:$AG$1,0)),0))</f>
        <v>0</v>
      </c>
      <c r="IW34" s="780" t="str">
        <f t="shared" si="49"/>
        <v>DEFAULT</v>
      </c>
      <c r="IX34" s="780">
        <f t="array" ref="IX34">IF('Customer Inputs'!$W$14="End",0,IFERROR(IF($IW34="SEGMENT",INDEX('Margin Guidence Table'!$A$1:$AG$10000,MATCH(1,('Margin Guidence Table'!$A$1:$A$10000=IU34)*('Margin Guidence Table'!$I$1:$I$10000&lt;=ROUND($IM$3,0))*('Margin Guidence Table'!$J$1:$J$10000&gt;=ROUND($IM$3,0)),0),MATCH("SALES_CASE",'Margin Guidence Table'!$A$1:$AG$1,0)),INDEX('Margin Guidence Table'!$A$1:$AG$10000,MATCH(1,('Margin Guidence Table'!$A$1:$A$10000=IU34)*('Margin Guidence Table'!$I$1:$I$10000&lt;=ROUND($IM$3,0))*('Margin Guidence Table'!$J$1:$J$10000&gt;=ROUND($IM$3,0)),0),MATCH("DEFAULT_SALES_CASE",'Margin Guidence Table'!$A$1:$AG$1,0))),0))</f>
        <v>0</v>
      </c>
      <c r="IY34" s="780">
        <f t="array" ref="IY34">IF('Customer Inputs'!$W$14="End",0,IFERROR(IF($IW34="SEGMENT",INDEX('Margin Guidence Table'!$A$1:$AG$10000,MATCH(1,('Margin Guidence Table'!$A$1:$A$10000=IU34)*('Margin Guidence Table'!$I$1:$I$10000&lt;=ROUND($IM$3,0))*('Margin Guidence Table'!$J$1:$J$10000&gt;=ROUND($IM$3,0)),0),MATCH("SALES_LBS",'Margin Guidence Table'!$A$1:$AG$1,0)),INDEX('Margin Guidence Table'!$A$1:$AG$10000,MATCH(1,('Margin Guidence Table'!$A$1:$A$10000=IU34)*('Margin Guidence Table'!$I$1:$I$10000&lt;=ROUND($IM$3,0))*('Margin Guidence Table'!$J$1:$J$10000&gt;=ROUND($IM$3,0)),0),MATCH("DEFAULT_SALES_LBS",'Margin Guidence Table'!$A$1:$AG$1,0))),0))</f>
        <v>0</v>
      </c>
      <c r="IZ34" s="784">
        <f t="array" ref="IZ34">IF('Customer Inputs'!$W$14="End",0,IFERROR(IF($IW34="SEGMENT",INDEX('Margin Guidence Table'!$A$1:$AG$10000,MATCH(1,('Margin Guidence Table'!$A$1:$A$10000=IU34)*('Margin Guidence Table'!$I$1:$I$10000&lt;=ROUND($IM$3,0))*('Margin Guidence Table'!$J$1:$J$10000&gt;=ROUND($IM$3,0)),0),MATCH("MDA_MIN_MARGIN_GUIDENCE",'Margin Guidence Table'!$A$1:$AG$1,0)),INDEX('Margin Guidence Table'!$A$1:$AG$10000,MATCH(1,('Margin Guidence Table'!$A$1:$A$10000=IU34)*('Margin Guidence Table'!$I$1:$I$10000&lt;=ROUND($IM$3,0))*('Margin Guidence Table'!$J$1:$J$10000&gt;=ROUND($IM$3,0)),0),MATCH("DEFAULT_MDA_MIN_MARGIN_GUIDENCE",'Margin Guidence Table'!$A$1:$AG$1,0))),0))</f>
        <v>0</v>
      </c>
      <c r="JA34" s="784">
        <f t="array" ref="JA34">IF('Customer Inputs'!$W$14="End",0,IFERROR(IF($IW34="SEGMENT",INDEX('Margin Guidence Table'!$A$1:$AG$10000,MATCH(1,('Margin Guidence Table'!$A$1:$A$10000=IU34)*('Margin Guidence Table'!$I$1:$I$10000&lt;=ROUND($IM$3,0))*('Margin Guidence Table'!$J$1:$J$10000&gt;=ROUND($IM$3,0)),0),MATCH("MDA_MEDIAN_MARGIN_GUIDENCE",'Margin Guidence Table'!$A$1:$AG$1,0)),INDEX('Margin Guidence Table'!$A$1:$AG$10000,MATCH(1,('Margin Guidence Table'!$A$1:$A$10000=IU34)*('Margin Guidence Table'!$I$1:$I$10000&lt;=ROUND($IM$3,0))*('Margin Guidence Table'!$J$1:$J$10000&gt;=ROUND($IM$3,0)),0),MATCH("DEFAULT_MDA_MEDIAN_MARGIN_GUIDENCE",'Margin Guidence Table'!$A$1:$AG$1,0))),0))</f>
        <v>0</v>
      </c>
      <c r="JB34" s="784">
        <f t="array" ref="JB34">IF('Customer Inputs'!$W$14="End",0,IFERROR(IF($IW34="SEGMENT",INDEX('Margin Guidence Table'!$A$1:$AG$10000,MATCH(1,('Margin Guidence Table'!$A$1:$A$10000=IU34)*('Margin Guidence Table'!$I$1:$I$10000&lt;=ROUND($IM$3,0))*('Margin Guidence Table'!$J$1:$J$10000&gt;=ROUND($IM$3,0)),0),MATCH("MDA_MAX_MARGIN_GUIDENCE",'Margin Guidence Table'!$A$1:$AG$1,0)),INDEX('Margin Guidence Table'!$A$1:$AG$10000,MATCH(1,('Margin Guidence Table'!$A$1:$A$10000=IU34)*('Margin Guidence Table'!$I$1:$I$10000&lt;=ROUND($IM$3,0))*('Margin Guidence Table'!$J$1:$J$10000&gt;=ROUND($IM$3,0)),0),MATCH("DEFAULT_MDA_MAX_MARGIN_GUIDENCE",'Margin Guidence Table'!$A$1:$AG$1,0))),0))</f>
        <v>0</v>
      </c>
      <c r="JC34" s="784">
        <f t="array" ref="JC34">IF('Customer Inputs'!$W$14="End",0,IFERROR(IF($IW34="SEGMENT",INDEX('Margin Guidence Table'!$A$1:$AG$10000,MATCH(1,('Margin Guidence Table'!$A$1:$A$10000=IU34)*('Margin Guidence Table'!$I$1:$I$10000&lt;=ROUND($IM$3,0))*('Margin Guidence Table'!$J$1:$J$10000&gt;=ROUND($IM$3,0)),0),MATCH("PA_PCT_SALES",'Margin Guidence Table'!$A$1:$AG$1,0)),INDEX('Margin Guidence Table'!$A$1:$AG$10000,MATCH(1,('Margin Guidence Table'!$A$1:$A$10000=IU34)*('Margin Guidence Table'!$I$1:$I$10000&lt;=ROUND($IM$3,0))*('Margin Guidence Table'!$J$1:$J$10000&gt;=ROUND($IM$3,0)),0),MATCH("DEFAULT_PA_PCT_SALES",'Margin Guidence Table'!$A$1:$AG$1,0))),0))</f>
        <v>0</v>
      </c>
      <c r="JD34" s="784">
        <f t="array" ref="JD34">IF('Customer Inputs'!$W$14="End",0,IFERROR(IF($IW34="SEGMENT",INDEX('Margin Guidence Table'!$A$1:$AG$10000,MATCH(1,('Margin Guidence Table'!$A$1:$A$10000=IU34)*('Margin Guidence Table'!$I$1:$I$10000&lt;=ROUND($IM$3,0))*('Margin Guidence Table'!$J$1:$J$10000&gt;=ROUND($IM$3,0)),0),MATCH("SELF_FUND_PCT_SALES",'Margin Guidence Table'!$A$1:$AG$1,0)),INDEX('Margin Guidence Table'!$A$1:$AG$10000,MATCH(1,('Margin Guidence Table'!$A$1:$A$10000=IU34)*('Margin Guidence Table'!$I$1:$I$10000&lt;=ROUND($IM$3,0))*('Margin Guidence Table'!$J$1:$J$10000&gt;=ROUND($IM$3,0)),0),MATCH("DEFAULT_SELF_FUND_PCT_SALES",'Margin Guidence Table'!$A$1:$AG$1,0))),0))</f>
        <v>0</v>
      </c>
      <c r="JE34" s="784">
        <f t="array" ref="JE34">IF('Customer Inputs'!$W$14="End",0,IF($IN$2="Existing",IFERROR(SUMIFS('Existing Customers'!$V:$V,'Existing Customers'!$H:$H,$IL34,'Existing Customers'!$A:$A,$IM$1)/SUMIFS('Existing Customers'!$Q:$Q,'Existing Customers'!$H:$H,$IL34,'Existing Customers'!$A:$A,$IM$1),0),IFERROR(IF($IW34="SEGMENT",INDEX('Margin Guidence Table'!$A$1:$AG$10000,MATCH(1,('Margin Guidence Table'!$A$1:$A$10000=IU34)*('Margin Guidence Table'!$I$1:$I$10000&lt;=ROUND($IM$3,0))*('Margin Guidence Table'!$J$1:$J$10000&gt;=ROUND($IM$3,0)),0),MATCH("CIA_MEDIAN_MARGIN_GUIDENCE",'Margin Guidence Table'!$A$1:$AG$1,0)),INDEX('Margin Guidence Table'!$A$1:$AG$10000,MATCH(1,('Margin Guidence Table'!$A$1:$A$10000=IU34)*('Margin Guidence Table'!$I$1:$I$10000&lt;=ROUND($IM$3,0))*('Margin Guidence Table'!$J$1:$J$10000&gt;=ROUND($IM$3,0)),0),MATCH("DEFAULT_CIA_MEDIAN_MARGIN_GUIDENCE",'Margin Guidence Table'!$A$1:$AG$1,0))),0)))</f>
        <v>0</v>
      </c>
      <c r="JF34" s="126"/>
      <c r="JG34" s="18">
        <f t="array" ref="JG34">IF('Customer Inputs'!$W$15="End",0,IFERROR(IF($JT34="SEGMENT",INDEX('Margin Guidence Table'!$A$1:$AG$10000,MATCH(1,('Margin Guidence Table'!$A$1:$A$10000=$JR34)*('Margin Guidence Table'!$I$1:$I$10000&lt;=ROUND($JJ$3,0))*('Margin Guidence Table'!$J$1:$J$10000&gt;=ROUND($JJ$3,0)),0),MATCH("PCT_SALES",'Margin Guidence Table'!$A$1:$AG$1,0)),INDEX('Margin Guidence Table'!$A$1:$AG$10000,MATCH(1,('Margin Guidence Table'!$A$1:$A$10000=$JR34)*('Margin Guidence Table'!$I$1:$I$10000&lt;=ROUND($JJ$3,0))*('Margin Guidence Table'!$J$1:$J$10000&gt;=ROUND($JJ$3,0)),0),MATCH("DEFAULT_PCT_SALES",'Margin Guidence Table'!$A$1:$AG$1,0))),0))</f>
        <v>0</v>
      </c>
      <c r="JH34" s="297" t="e">
        <f t="shared" si="50"/>
        <v>#DIV/0!</v>
      </c>
      <c r="JI34" s="100" t="s">
        <v>87</v>
      </c>
      <c r="JJ34" s="91">
        <f>IF('Customer Inputs'!$W$15="End",0,IFERROR(IF(AND($JJ$2&lt;&gt;"Enter Spend&gt;&gt;&gt;",$JK$2="EXISTING"),SUMIFS('Existing Customers'!$Q:$Q,'Existing Customers'!$A:$A,$JJ$1,'Existing Customers'!$H:$H,$JI34)*$JJ$4,$JJ$3*$JH34),0))</f>
        <v>0</v>
      </c>
      <c r="JK34" s="86">
        <f>IF('Customer Inputs'!$W$15="End",0,IFERROR(IF(AND($JJ$2&lt;&gt;"Enter Spend&gt;&gt;&gt;",$JK$2="EXISTING"),SUMIFS('Existing Customers'!$N:$N,'Existing Customers'!$A:$A,$JJ$1,'Existing Customers'!$H:$H,$JI34)*$JJ$4,$JJ34/$JU34),0))</f>
        <v>0</v>
      </c>
      <c r="JL34" s="92">
        <f>IF('Customer Inputs'!$W$15="End",0,IFERROR(IF(AND($JJ$2&lt;&gt;"Enter Spend&gt;&gt;&gt;",$JK$2="EXISTING"),SUMIFS('Existing Customers'!$O:$O,'Existing Customers'!$H:$H,$JI34,'Existing Customers'!$A:$A,$JJ$1)*$JJ$4,$JK34*$JJ$8),0))</f>
        <v>0</v>
      </c>
      <c r="JM34" s="92">
        <f>IF('Customer Inputs'!$W$15="End",0,IFERROR(IF(AND($JJ$2&lt;&gt;"Enter Spend&gt;&gt;&gt;",$JK$2="EXISTING"),SUMIFS('Existing Customers'!$P:$P,'Existing Customers'!$A:$A,$JJ$1,'Existing Customers'!$H:$H,$JI34)*$JJ$4,$JJ34/$JV34),0))</f>
        <v>0</v>
      </c>
      <c r="JN34" s="303">
        <f>IF('Customer Inputs'!$W$15="End",0,IFERROR(IF(AND($JJ$2&lt;&gt;"Enter Spend&gt;&gt;&gt;",$JK$2="EXISTING"),SUMIFS('Existing Customers'!$V:$V,'Existing Customers'!$H:$H,$JI34,'Existing Customers'!$A:$A,$JJ$1)*$JJ$4,0),0))</f>
        <v>0</v>
      </c>
      <c r="JO34" s="93">
        <f>IF('Customer Inputs'!$W$15="End",0,IFERROR(IF(AND($JJ$2&lt;&gt;"Enter Spend&gt;&gt;&gt;",$JK$2="EXISTING"),SUMIFS('Existing Customers'!$R:$R,'Existing Customers'!$H:$H,$JI34,'Existing Customers'!$A:$A,$JJ$1)*$JJ$4,0),0))</f>
        <v>0</v>
      </c>
      <c r="JP34" s="780">
        <f>IF('Customer Inputs'!$W$15="End",0,IFERROR(IF(AND($JJ$2&lt;&gt;"Enter Spend&gt;&gt;&gt;",$JK$2="EXISTING"),SUMIFS('Existing Customers'!$S:$S,'Existing Customers'!$H:$H,$JI34,'Existing Customers'!$A:$A,$JJ$1)/SUMIFS('Existing Customers'!$Q:$Q,'Existing Customers'!$A:$A,$JJ$1,'Existing Customers'!$H:$H,$JI34),JZ34),0))</f>
        <v>0</v>
      </c>
      <c r="JQ34" s="780">
        <f>IF('Customer Inputs'!$W$15="End",0,IFERROR(IF(AND($JJ$2&lt;&gt;"Enter Spend&gt;&gt;&gt;",$JK$2="EXISTING"),SUMIFS('Existing Customers'!$U:$U,'Existing Customers'!$H:$H,$JI34,'Existing Customers'!$A:$A,$JJ$1)/SUMIFS('Existing Customers'!$Q:$Q,'Existing Customers'!$A:$A,$JJ$1,'Existing Customers'!$H:$H,$JI34),KA34),0))</f>
        <v>0</v>
      </c>
      <c r="JR34" s="783" t="e">
        <f>_xlfn.CONCAT('Customer Inputs'!$AH$15,"_",JI34)</f>
        <v>#N/A</v>
      </c>
      <c r="JS34" s="783">
        <f t="array" ref="JS34">IF('Customer Inputs'!$W$15="End",0,IFERROR(INDEX('Margin Guidence Table'!$A$1:$AG$10000,MATCH(1,('Margin Guidence Table'!$A$1:$A$10000=JR34)*('Margin Guidence Table'!$I$1:$I$10000&lt;=ROUND($JJ$3,0))*('Margin Guidence Table'!$J$1:$J$10000&gt;=ROUND($JJ$3,0)),0),MATCH("DATA_POINTS",'Margin Guidence Table'!$A$1:$AG$1,0)),0))</f>
        <v>0</v>
      </c>
      <c r="JT34" s="780" t="str">
        <f t="shared" si="51"/>
        <v>DEFAULT</v>
      </c>
      <c r="JU34" s="780">
        <f t="array" ref="JU34">IF('Customer Inputs'!$W$15="End",0,IFERROR(IF($JT34="SEGMENT",INDEX('Margin Guidence Table'!$A$1:$AG$10000,MATCH(1,('Margin Guidence Table'!$A$1:$A$10000=JR34)*('Margin Guidence Table'!$I$1:$I$10000&lt;=ROUND($JJ$3,0))*('Margin Guidence Table'!$J$1:$J$10000&gt;=ROUND($JJ$3,0)),0),MATCH("SALES_CASE",'Margin Guidence Table'!$A$1:$AG$1,0)),INDEX('Margin Guidence Table'!$A$1:$AG$10000,MATCH(1,('Margin Guidence Table'!$A$1:$A$10000=JR34)*('Margin Guidence Table'!$I$1:$I$10000&lt;=ROUND($JJ$3,0))*('Margin Guidence Table'!$J$1:$J$10000&gt;=ROUND($JJ$3,0)),0),MATCH("DEFAULT_SALES_CASE",'Margin Guidence Table'!$A$1:$AG$1,0))),0))</f>
        <v>0</v>
      </c>
      <c r="JV34" s="780">
        <f t="array" ref="JV34">IF('Customer Inputs'!$W$15="End",0,IFERROR(IF($JT34="SEGMENT",INDEX('Margin Guidence Table'!$A$1:$AG$10000,MATCH(1,('Margin Guidence Table'!$A$1:$A$10000=JR34)*('Margin Guidence Table'!$I$1:$I$10000&lt;=ROUND($JJ$3,0))*('Margin Guidence Table'!$J$1:$J$10000&gt;=ROUND($JJ$3,0)),0),MATCH("SALES_LBS",'Margin Guidence Table'!$A$1:$AG$1,0)),INDEX('Margin Guidence Table'!$A$1:$AG$10000,MATCH(1,('Margin Guidence Table'!$A$1:$A$10000=JR34)*('Margin Guidence Table'!$I$1:$I$10000&lt;=ROUND($JJ$3,0))*('Margin Guidence Table'!$J$1:$J$10000&gt;=ROUND($JJ$3,0)),0),MATCH("DEFAULT_SALES_LBS",'Margin Guidence Table'!$A$1:$AG$1,0))),0))</f>
        <v>0</v>
      </c>
      <c r="JW34" s="784">
        <f t="array" ref="JW34">IF('Customer Inputs'!$W$15="End",0,IFERROR(IF($JT34="SEGMENT",INDEX('Margin Guidence Table'!$A$1:$AG$10000,MATCH(1,('Margin Guidence Table'!$A$1:$A$10000=JR34)*('Margin Guidence Table'!$I$1:$I$10000&lt;=ROUND($JJ$3,0))*('Margin Guidence Table'!$J$1:$J$10000&gt;=ROUND($JJ$3,0)),0),MATCH("MDA_MIN_MARGIN_GUIDENCE",'Margin Guidence Table'!$A$1:$AG$1,0)),INDEX('Margin Guidence Table'!$A$1:$AG$10000,MATCH(1,('Margin Guidence Table'!$A$1:$A$10000=JR34)*('Margin Guidence Table'!$I$1:$I$10000&lt;=ROUND($JJ$3,0))*('Margin Guidence Table'!$J$1:$J$10000&gt;=ROUND($JJ$3,0)),0),MATCH("DEFAULT_MDA_MIN_MARGIN_GUIDENCE",'Margin Guidence Table'!$A$1:$AG$1,0))),0))</f>
        <v>0</v>
      </c>
      <c r="JX34" s="784">
        <f t="array" ref="JX34">IF('Customer Inputs'!$W$15="End",0,IFERROR(IF($JT34="SEGMENT",INDEX('Margin Guidence Table'!$A$1:$AG$10000,MATCH(1,('Margin Guidence Table'!$A$1:$A$10000=JR34)*('Margin Guidence Table'!$I$1:$I$10000&lt;=ROUND($JJ$3,0))*('Margin Guidence Table'!$J$1:$J$10000&gt;=ROUND($JJ$3,0)),0),MATCH("MDA_MEDIAN_MARGIN_GUIDENCE",'Margin Guidence Table'!$A$1:$AG$1,0)),INDEX('Margin Guidence Table'!$A$1:$AG$10000,MATCH(1,('Margin Guidence Table'!$A$1:$A$10000=JR34)*('Margin Guidence Table'!$I$1:$I$10000&lt;=ROUND($JJ$3,0))*('Margin Guidence Table'!$J$1:$J$10000&gt;=ROUND($JJ$3,0)),0),MATCH("DEFAULT_MDA_MEDIAN_MARGIN_GUIDENCE",'Margin Guidence Table'!$A$1:$AG$1,0))),0))</f>
        <v>0</v>
      </c>
      <c r="JY34" s="784">
        <f t="array" ref="JY34">IF('Customer Inputs'!$W$15="End",0,IFERROR(IF($JT34="SEGMENT",INDEX('Margin Guidence Table'!$A$1:$AG$10000,MATCH(1,('Margin Guidence Table'!$A$1:$A$10000=JR34)*('Margin Guidence Table'!$I$1:$I$10000&lt;=ROUND($JJ$3,0))*('Margin Guidence Table'!$J$1:$J$10000&gt;=ROUND($JJ$3,0)),0),MATCH("MDA_MAX_MARGIN_GUIDENCE",'Margin Guidence Table'!$A$1:$AG$1,0)),INDEX('Margin Guidence Table'!$A$1:$AG$10000,MATCH(1,('Margin Guidence Table'!$A$1:$A$10000=JR34)*('Margin Guidence Table'!$I$1:$I$10000&lt;=ROUND($JJ$3,0))*('Margin Guidence Table'!$J$1:$J$10000&gt;=ROUND($JJ$3,0)),0),MATCH("DEFAULT_MDA_MAX_MARGIN_GUIDENCE",'Margin Guidence Table'!$A$1:$AG$1,0))),0))</f>
        <v>0</v>
      </c>
      <c r="JZ34" s="784">
        <f t="array" ref="JZ34">IF('Customer Inputs'!$W$15="End",0,IFERROR(IF($JT34="SEGMENT",INDEX('Margin Guidence Table'!$A$1:$AG$10000,MATCH(1,('Margin Guidence Table'!$A$1:$A$10000=JR34)*('Margin Guidence Table'!$I$1:$I$10000&lt;=ROUND($JJ$3,0))*('Margin Guidence Table'!$J$1:$J$10000&gt;=ROUND($JJ$3,0)),0),MATCH("PA_PCT_SALES",'Margin Guidence Table'!$A$1:$AG$1,0)),INDEX('Margin Guidence Table'!$A$1:$AG$10000,MATCH(1,('Margin Guidence Table'!$A$1:$A$10000=JR34)*('Margin Guidence Table'!$I$1:$I$10000&lt;=ROUND($JJ$3,0))*('Margin Guidence Table'!$J$1:$J$10000&gt;=ROUND($JJ$3,0)),0),MATCH("DEFAULT_PA_PCT_SALES",'Margin Guidence Table'!$A$1:$AG$1,0))),0))</f>
        <v>0</v>
      </c>
      <c r="KA34" s="784" cm="1">
        <f t="array" ref="KA34">IF('Customer Inputs'!$W$15="End",0,IFERROR(IF($JT34="SEGMENT",INDEX('Margin Guidence Table'!$A$1:$AG$10000,MATCH(1,('Margin Guidence Table'!$A$1:$A$10000=JR34)*('Margin Guidence Table'!$I$1:$I$10000&lt;=ROUND($JJ$3,0))*('Margin Guidence Table'!$J$1:$J$10000&gt;=ROUND($JJ$3,0)),0),MATCH("SELF_FUND_PCT_SALES",'Margin Guidence Table'!$A$1:$AG$1,0)),INDEX('Margin Guidence Table'!$A$1:$AG$10000,MATCH(1,('Margin Guidence Table'!$A$1:$A$10000=JR34)*('Margin Guidence Table'!$I$1:$I$10000&lt;=ROUND($JJ$3,0))*('Margin Guidence Table'!$J$1:$J$10000&gt;=ROUND($JJ$3,0)),0),MATCH("DEFAULT_SELF_FUND_PCT_SALES",'Margin Guidence Table'!$A$1:$AG$1,0))),0))</f>
        <v>0</v>
      </c>
      <c r="KB34" s="784">
        <f t="array" ref="KB34">IF('Customer Inputs'!$W$15="End",0,IF($JK$2="Existing",IFERROR(SUMIFS('Existing Customers'!$V:$V,'Existing Customers'!$H:$H,$JI34,'Existing Customers'!$A:$A,$JJ$1)/SUMIFS('Existing Customers'!$Q:$Q,'Existing Customers'!$H:$H,$JI34,'Existing Customers'!$A:$A,$JJ$1),0),IFERROR(IF($JT34="SEGMENT",INDEX('Margin Guidence Table'!$A$1:$AG$10000,MATCH(1,('Margin Guidence Table'!$A$1:$A$10000=JR34)*('Margin Guidence Table'!$I$1:$I$10000&lt;=ROUND($JJ$3,0))*('Margin Guidence Table'!$J$1:$J$10000&gt;=ROUND($JJ$3,0)),0),MATCH("CIA_MEDIAN_MARGIN_GUIDENCE",'Margin Guidence Table'!$A$1:$AG$1,0)),INDEX('Margin Guidence Table'!$A$1:$AG$10000,MATCH(1,('Margin Guidence Table'!$A$1:$A$10000=JR34)*('Margin Guidence Table'!$I$1:$I$10000&lt;=ROUND($JJ$3,0))*('Margin Guidence Table'!$J$1:$J$10000&gt;=ROUND($JJ$3,0)),0),MATCH("DEFAULT_CIA_MEDIAN_MARGIN_GUIDENCE",'Margin Guidence Table'!$A$1:$AG$1,0))),0)))</f>
        <v>0</v>
      </c>
      <c r="KC34" s="784"/>
      <c r="KD34" s="18">
        <f t="array" ref="KD34">IF('Customer Inputs'!$W$16="End",0,IFERROR(IF($KQ34="SEGMENT",INDEX('Margin Guidence Table'!$A$1:$AG$10000,MATCH(1,('Margin Guidence Table'!$A$1:$A$10000=$KO34)*('Margin Guidence Table'!$I$1:$I$10000&lt;=ROUND($KG$3,0))*('Margin Guidence Table'!$J$1:$J$10000&gt;=ROUND($KG$3,0)),0),MATCH("PCT_SALES",'Margin Guidence Table'!$A$1:$AG$1,0)),INDEX('Margin Guidence Table'!$A$1:$AG$10000,MATCH(1,('Margin Guidence Table'!$A$1:$A$10000=$KO34)*('Margin Guidence Table'!$I$1:$I$10000&lt;=ROUND($KG$3,0))*('Margin Guidence Table'!$J$1:$J$10000&gt;=ROUND($KG$3,0)),0),MATCH("DEFAULT_PCT_SALES",'Margin Guidence Table'!$A$1:$AG$1,0))),0))</f>
        <v>0</v>
      </c>
      <c r="KE34" s="1713" t="e">
        <f t="shared" si="52"/>
        <v>#DIV/0!</v>
      </c>
      <c r="KF34" s="100" t="s">
        <v>87</v>
      </c>
      <c r="KG34" s="91">
        <f>IF('Customer Inputs'!$W$16="End",0,IFERROR(IF(AND($KG$2&lt;&gt;"Enter Spend&gt;&gt;&gt;",$KH$2="EXISTING"),SUMIFS('Existing Customers'!$Q:$Q,'Existing Customers'!$A:$A,$KG$1,'Existing Customers'!$H:$H,$KF34)*$KG$4,$KG$3*$KE34),0))</f>
        <v>0</v>
      </c>
      <c r="KH34" s="86">
        <f>IF('Customer Inputs'!$W$16="End",0,IFERROR(IF(AND($KG$2&lt;&gt;"Enter Spend&gt;&gt;&gt;",$KH$2="EXISTING"),SUMIFS('Existing Customers'!$N:$N,'Existing Customers'!$A:$A,$KG$1,'Existing Customers'!$H:$H,$KF34)*$KG$4,$KG34/$KR34),0))</f>
        <v>0</v>
      </c>
      <c r="KI34" s="92">
        <f>IF('Customer Inputs'!$W$16="End",0,IFERROR(IF(AND($KG$2&lt;&gt;"Enter Spend&gt;&gt;&gt;",$KH$2="EXISTING"),SUMIFS('Existing Customers'!$O:$O,'Existing Customers'!$H:$H,$KF34,'Existing Customers'!$A:$A,$KG$1)*$KG$4,$KH34*$KG$8),0))</f>
        <v>0</v>
      </c>
      <c r="KJ34" s="92">
        <f>IF('Customer Inputs'!$W$16="End",0,IFERROR(IF(AND($KG$2&lt;&gt;"Enter Spend&gt;&gt;&gt;",$KH$2="EXISTING"),SUMIFS('Existing Customers'!$P:$P,'Existing Customers'!$A:$A,$KG$1,'Existing Customers'!$H:$H,$KF34)*$KG$4,$KG34/$KS34),0))</f>
        <v>0</v>
      </c>
      <c r="KK34" s="303">
        <f>IF('Customer Inputs'!$W$16="End",0,IFERROR(IF(AND($KG$2&lt;&gt;"Enter Spend&gt;&gt;&gt;",$KH$2="EXISTING"),SUMIFS('Existing Customers'!$V:$V,'Existing Customers'!$H:$H,$KF34,'Existing Customers'!$A:$A,$KG$1)*$KG$4,0),0))</f>
        <v>0</v>
      </c>
      <c r="KL34" s="93">
        <f>IF('Customer Inputs'!$W$16="End",0,IFERROR(IF(AND($KG$2&lt;&gt;"Enter Spend&gt;&gt;&gt;",$KH$2="EXISTING"),SUMIFS('Existing Customers'!$R:$R,'Existing Customers'!$H:$H,$KF34,'Existing Customers'!$A:$A,$KG$1)*$KG$4,0),0))</f>
        <v>0</v>
      </c>
      <c r="KM34" s="780">
        <f>IF('Customer Inputs'!$W$16="End",0,IFERROR(IF(AND($KG$2&lt;&gt;"Enter Spend&gt;&gt;&gt;",$KH$2="EXISTING"),SUMIFS('Existing Customers'!$S:$S,'Existing Customers'!$H:$H,$KF34,'Existing Customers'!$A:$A,$KG$1)/SUMIFS('Existing Customers'!$Q:$Q,'Existing Customers'!$A:$A,$KG$1,'Existing Customers'!$H:$H,$KF34),KW34),0))</f>
        <v>0</v>
      </c>
      <c r="KN34" s="780">
        <f>IF('Customer Inputs'!$W$16="End",0,IFERROR(IF(AND($KG$2&lt;&gt;"Enter Spend&gt;&gt;&gt;",$KH$2="EXISTING"),SUMIFS('Existing Customers'!$U:$U,'Existing Customers'!$H:$H,$KF34,'Existing Customers'!$A:$A,$KG$1)/SUMIFS('Existing Customers'!$Q:$Q,'Existing Customers'!$A:$A,$KG$1,'Existing Customers'!$H:$H,$KF34),KX34),0))</f>
        <v>0</v>
      </c>
      <c r="KO34" s="783" t="e">
        <f>_xlfn.CONCAT('Customer Inputs'!$AH$16,"_",KF34)</f>
        <v>#N/A</v>
      </c>
      <c r="KP34" s="783">
        <f t="array" ref="KP34">IF('Customer Inputs'!$W$16="End",0,IFERROR(INDEX('Margin Guidence Table'!$A$1:$AG$10000,MATCH(1,('Margin Guidence Table'!$A$1:$A$10000=KO34)*('Margin Guidence Table'!$I$1:$I$10000&lt;=ROUND($KG$3,0))*('Margin Guidence Table'!$J$1:$J$10000&gt;=ROUND($KG$3,0)),0),MATCH("DATA_POINTS",'Margin Guidence Table'!$A$1:$AG$1,0)),0))</f>
        <v>0</v>
      </c>
      <c r="KQ34" s="780" t="str">
        <f t="shared" si="53"/>
        <v>DEFAULT</v>
      </c>
      <c r="KR34" s="780">
        <f t="array" ref="KR34">IF('Customer Inputs'!$W$16="End",0,IFERROR(IF($KQ34="SEGMENT",INDEX('Margin Guidence Table'!$A$1:$AG$10000,MATCH(1,('Margin Guidence Table'!$A$1:$A$10000=KO34)*('Margin Guidence Table'!$I$1:$I$10000&lt;=ROUND($KG$3,0))*('Margin Guidence Table'!$J$1:$J$10000&gt;=ROUND($KG$3,0)),0),MATCH("SALES_CASE",'Margin Guidence Table'!$A$1:$AG$1,0)),INDEX('Margin Guidence Table'!$A$1:$AG$10000,MATCH(1,('Margin Guidence Table'!$A$1:$A$10000=KO34)*('Margin Guidence Table'!$I$1:$I$10000&lt;=ROUND($KG$3,0))*('Margin Guidence Table'!$J$1:$J$10000&gt;=ROUND($KG$3,0)),0),MATCH("DEFAULT_SALES_CASE",'Margin Guidence Table'!$A$1:$AG$1,0))),0))</f>
        <v>0</v>
      </c>
      <c r="KS34" s="780">
        <f t="array" ref="KS34">IF('Customer Inputs'!$W$16="End",0,IFERROR(IF($KQ34="SEGMENT",INDEX('Margin Guidence Table'!$A$1:$AG$10000,MATCH(1,('Margin Guidence Table'!$A$1:$A$10000=KO34)*('Margin Guidence Table'!$I$1:$I$10000&lt;=ROUND($KG$3,0))*('Margin Guidence Table'!$J$1:$J$10000&gt;=ROUND($KG$3,0)),0),MATCH("SALES_LBS",'Margin Guidence Table'!$A$1:$AG$1,0)),INDEX('Margin Guidence Table'!$A$1:$AG$10000,MATCH(1,('Margin Guidence Table'!$A$1:$A$10000=KO34)*('Margin Guidence Table'!$I$1:$I$10000&lt;=ROUND($KG$3,0))*('Margin Guidence Table'!$J$1:$J$10000&gt;=ROUND($KG$3,0)),0),MATCH("DEFAULT_SALES_LBS",'Margin Guidence Table'!$A$1:$AG$1,0))),0))</f>
        <v>0</v>
      </c>
      <c r="KT34" s="784">
        <f t="array" ref="KT34">IF('Customer Inputs'!$W$16="End",0,IFERROR(IF($KQ34="SEGMENT",INDEX('Margin Guidence Table'!$A$1:$AG$10000,MATCH(1,('Margin Guidence Table'!$A$1:$A$10000=KO34)*('Margin Guidence Table'!$I$1:$I$10000&lt;=ROUND($KG$3,0))*('Margin Guidence Table'!$J$1:$J$10000&gt;=ROUND($KG$3,0)),0),MATCH("MDA_MIN_MARGIN_GUIDENCE",'Margin Guidence Table'!$A$1:$AG$1,0)),INDEX('Margin Guidence Table'!$A$1:$AG$10000,MATCH(1,('Margin Guidence Table'!$A$1:$A$10000=KO34)*('Margin Guidence Table'!$I$1:$I$10000&lt;=ROUND($KG$3,0))*('Margin Guidence Table'!$J$1:$J$10000&gt;=ROUND($KG$3,0)),0),MATCH("DEFAULT_MDA_MIN_MARGIN_GUIDENCE",'Margin Guidence Table'!$A$1:$AG$1,0))),0))</f>
        <v>0</v>
      </c>
      <c r="KU34" s="784">
        <f t="array" ref="KU34">IF('Customer Inputs'!$W$16="End",0,IFERROR(IF($KQ34="SEGMENT",INDEX('Margin Guidence Table'!$A$1:$AG$10000,MATCH(1,('Margin Guidence Table'!$A$1:$A$10000=KO34)*('Margin Guidence Table'!$I$1:$I$10000&lt;=ROUND($KG$3,0))*('Margin Guidence Table'!$J$1:$J$10000&gt;=ROUND($KG$3,0)),0),MATCH("MDA_MEDIAN_MARGIN_GUIDENCE",'Margin Guidence Table'!$A$1:$AG$1,0)),INDEX('Margin Guidence Table'!$A$1:$AG$10000,MATCH(1,('Margin Guidence Table'!$A$1:$A$10000=KO34)*('Margin Guidence Table'!$I$1:$I$10000&lt;=ROUND($KG$3,0))*('Margin Guidence Table'!$J$1:$J$10000&gt;=ROUND($KG$3,0)),0),MATCH("DEFAULT_MDA_MEDIAN_MARGIN_GUIDENCE",'Margin Guidence Table'!$A$1:$AG$1,0))),0))</f>
        <v>0</v>
      </c>
      <c r="KV34" s="784">
        <f t="array" ref="KV34">IF('Customer Inputs'!$W$16="End",0,IFERROR(IF($KQ34="SEGMENT",INDEX('Margin Guidence Table'!$A$1:$AG$10000,MATCH(1,('Margin Guidence Table'!$A$1:$A$10000=KO34)*('Margin Guidence Table'!$I$1:$I$10000&lt;=ROUND($KG$3,0))*('Margin Guidence Table'!$J$1:$J$10000&gt;=ROUND($KG$3,0)),0),MATCH("MDA_MAX_MARGIN_GUIDENCE",'Margin Guidence Table'!$A$1:$AG$1,0)),INDEX('Margin Guidence Table'!$A$1:$AG$10000,MATCH(1,('Margin Guidence Table'!$A$1:$A$10000=KO34)*('Margin Guidence Table'!$I$1:$I$10000&lt;=ROUND($KG$3,0))*('Margin Guidence Table'!$J$1:$J$10000&gt;=ROUND($KG$3,0)),0),MATCH("DEFAULT_MDA_MAX_MARGIN_GUIDENCE",'Margin Guidence Table'!$A$1:$AG$1,0))),0))</f>
        <v>0</v>
      </c>
      <c r="KW34" s="784">
        <f t="array" ref="KW34">IF('Customer Inputs'!$W$16="End",0,IFERROR(IF($KQ34="SEGMENT",INDEX('Margin Guidence Table'!$A$1:$AG$10000,MATCH(1,('Margin Guidence Table'!$A$1:$A$10000=KO34)*('Margin Guidence Table'!$I$1:$I$10000&lt;=ROUND($KG$3,0))*('Margin Guidence Table'!$J$1:$J$10000&gt;=ROUND($KG$3,0)),0),MATCH("PA_PCT_SALES",'Margin Guidence Table'!$A$1:$AG$1,0)),INDEX('Margin Guidence Table'!$A$1:$AG$10000,MATCH(1,('Margin Guidence Table'!$A$1:$A$10000=KO34)*('Margin Guidence Table'!$I$1:$I$10000&lt;=ROUND($KG$3,0))*('Margin Guidence Table'!$J$1:$J$10000&gt;=ROUND($KG$3,0)),0),MATCH("DEFAULT_PA_PCT_SALES",'Margin Guidence Table'!$A$1:$AG$1,0))),0))</f>
        <v>0</v>
      </c>
      <c r="KX34" s="784">
        <f t="array" ref="KX34">IF('Customer Inputs'!$W$16="End",0,IFERROR(IF($KQ34="SEGMENT",INDEX('Margin Guidence Table'!$A$1:$AG$10000,MATCH(1,('Margin Guidence Table'!$A$1:$A$10000=KO34)*('Margin Guidence Table'!$I$1:$I$10000&lt;=ROUND($KG$3,0))*('Margin Guidence Table'!$J$1:$J$10000&gt;=ROUND($KG$3,0)),0),MATCH("SELF_FUND_PCT_SALES",'Margin Guidence Table'!$A$1:$AG$1,0)),INDEX('Margin Guidence Table'!$A$1:$AG$10000,MATCH(1,('Margin Guidence Table'!$A$1:$A$10000=KO34)*('Margin Guidence Table'!$I$1:$I$10000&lt;=ROUND($KG$3,0))*('Margin Guidence Table'!$J$1:$J$10000&gt;=ROUND($KG$3,0)),0),MATCH("DEFAULT_SELF_FUND_PCT_SALES",'Margin Guidence Table'!$A$1:$AG$1,0))),0))</f>
        <v>0</v>
      </c>
      <c r="KY34" s="784">
        <f t="array" ref="KY34">IF('Customer Inputs'!$W$16="End",0,IF($KH$2="Existing",IFERROR(SUMIFS('Existing Customers'!$V:$V,'Existing Customers'!$H:$H,$KF34,'Existing Customers'!$A:$A,$KG$1)/SUMIFS('Existing Customers'!$Q:$Q,'Existing Customers'!$H:$H,$KF34,'Existing Customers'!$A:$A,$KG$1),0),IFERROR(IF($KQ34="SEGMENT",INDEX('Margin Guidence Table'!$A$1:$AG$10000,MATCH(1,('Margin Guidence Table'!$A$1:$A$10000=KO34)*('Margin Guidence Table'!$I$1:$I$10000&lt;=ROUND($KG$3,0))*('Margin Guidence Table'!$J$1:$J$10000&gt;=ROUND($KG$3,0)),0),MATCH("CIA_MEDIAN_MARGIN_GUIDENCE",'Margin Guidence Table'!$A$1:$AG$1,0)),INDEX('Margin Guidence Table'!$A$1:$AG$10000,MATCH(1,('Margin Guidence Table'!$A$1:$A$10000=KO34)*('Margin Guidence Table'!$I$1:$I$10000&lt;=ROUND($KG$3,0))*('Margin Guidence Table'!$J$1:$J$10000&gt;=ROUND($KG$3,0)),0),MATCH("DEFAULT_CIA_MEDIAN_MARGIN_GUIDENCE",'Margin Guidence Table'!$A$1:$AG$1,0))),0)))</f>
        <v>0</v>
      </c>
      <c r="KZ34" s="784"/>
      <c r="LA34" s="18">
        <f t="array" ref="LA34">IF('Customer Inputs'!$W$17="End",0,IFERROR(IF($LN34="SEGMENT",INDEX('Margin Guidence Table'!$A$1:$AG$10000,MATCH(1,('Margin Guidence Table'!$A$1:$A$10000=$LL34)*('Margin Guidence Table'!$I$1:$I$10000&lt;=ROUND($LD$3,0))*('Margin Guidence Table'!$J$1:$J$10000&gt;=ROUND($LD$3,0)),0),MATCH("PCT_SALES",'Margin Guidence Table'!$A$1:$AG$1,0)),INDEX('Margin Guidence Table'!$A$1:$AG$10000,MATCH(1,('Margin Guidence Table'!$A$1:$A$10000=$LL34)*('Margin Guidence Table'!$I$1:$I$10000&lt;=ROUND($LD$3,0))*('Margin Guidence Table'!$J$1:$J$10000&gt;=ROUND($LD$3,0)),0),MATCH("DEFAULT_PCT_SALES",'Margin Guidence Table'!$A$1:$AG$1,0))),0))</f>
        <v>0</v>
      </c>
      <c r="LB34" s="1713" t="e">
        <f t="shared" si="54"/>
        <v>#DIV/0!</v>
      </c>
      <c r="LC34" s="100" t="s">
        <v>87</v>
      </c>
      <c r="LD34" s="91">
        <f>IF('Customer Inputs'!$W$17="End",0,IFERROR(IF(AND($LD$2&lt;&gt;"Enter Spend&gt;&gt;&gt;",$LE$2="EXISTING"),SUMIFS('Existing Customers'!$Q:$Q,'Existing Customers'!$A:$A,$LD$1,'Existing Customers'!$H:$H,$LC34)*$LD$4,$LD$3*$LB34),0))</f>
        <v>0</v>
      </c>
      <c r="LE34" s="86">
        <f>IF('Customer Inputs'!$W$17="End",0,IFERROR(IF(AND($LD$2&lt;&gt;"Enter Spend&gt;&gt;&gt;",$LE$2="EXISTING"),SUMIFS('Existing Customers'!$N:$N,'Existing Customers'!$A:$A,$LD$1,'Existing Customers'!$H:$H,$LC34)*$LD$4,$LD34/$LO34),0))</f>
        <v>0</v>
      </c>
      <c r="LF34" s="92">
        <f>IF('Customer Inputs'!$W$17="End",0,IFERROR(IF(AND($LD$2&lt;&gt;"Enter Spend&gt;&gt;&gt;",$LE$2="EXISTING"),SUMIFS('Existing Customers'!$O:$O,'Existing Customers'!$H:$H,$LC34,'Existing Customers'!$A:$A,$LD$1)*$LD$4,$LE34*$LD$8),0))</f>
        <v>0</v>
      </c>
      <c r="LG34" s="92">
        <f>IF('Customer Inputs'!$W$17="End",0,IFERROR(IF(AND($LD$2&lt;&gt;"Enter Spend&gt;&gt;&gt;",$LE$2="EXISTING"),SUMIFS('Existing Customers'!$P:$P,'Existing Customers'!$A:$A,$LD$1,'Existing Customers'!$H:$H,$LC34)*$LD$4,$LD34/$LP34),0))</f>
        <v>0</v>
      </c>
      <c r="LH34" s="303">
        <f>IF('Customer Inputs'!$W$17="End",0,IFERROR(IF(AND($LD$2&lt;&gt;"Enter Spend&gt;&gt;&gt;",$LE$2="EXISTING"),SUMIFS('Existing Customers'!$V:$V,'Existing Customers'!$H:$H,$LC34,'Existing Customers'!$A:$A,$LD$1)*$LD$4,0),0))</f>
        <v>0</v>
      </c>
      <c r="LI34" s="93">
        <f>IF('Customer Inputs'!$W$17="End",0,IFERROR(IF(AND($LD$2&lt;&gt;"Enter Spend&gt;&gt;&gt;",$LE$2="EXISTING"),SUMIFS('Existing Customers'!$R:$R,'Existing Customers'!$H:$H,$LC34,'Existing Customers'!$A:$A,$LD$1)*$LD$4,0),0))</f>
        <v>0</v>
      </c>
      <c r="LJ34" s="780">
        <f>IF('Customer Inputs'!$W$17="End",0,IFERROR(IF(AND($LD$2&lt;&gt;"Enter Spend&gt;&gt;&gt;",$LE$2="EXISTING"),SUMIFS('Existing Customers'!$S:$S,'Existing Customers'!$H:$H,$LC34,'Existing Customers'!$A:$A,$LD$1)/SUMIFS('Existing Customers'!$Q:$Q,'Existing Customers'!$A:$A,$LD$1,'Existing Customers'!$H:$H,$LC34),LT34),0))</f>
        <v>0</v>
      </c>
      <c r="LK34" s="780">
        <f>IF('Customer Inputs'!$W$17="End",0,IFERROR(IF(AND($LD$2&lt;&gt;"Enter Spend&gt;&gt;&gt;",$LE$2="EXISTING"),SUMIFS('Existing Customers'!$U:$U,'Existing Customers'!$H:$H,$LC34,'Existing Customers'!$A:$A,$LD$1)/SUMIFS('Existing Customers'!$Q:$Q,'Existing Customers'!$A:$A,$LD$1,'Existing Customers'!$H:$H,$LC34),LU34),0))</f>
        <v>0</v>
      </c>
      <c r="LL34" s="783" t="e">
        <f>_xlfn.CONCAT('Customer Inputs'!$AH$17,"_",LC34)</f>
        <v>#N/A</v>
      </c>
      <c r="LM34" s="783">
        <f t="array" ref="LM34">IF('Customer Inputs'!$W$17="End",0,IFERROR(INDEX('Margin Guidence Table'!$A$1:$AG$10000,MATCH(1,('Margin Guidence Table'!$A$1:$A$10000=LL34)*('Margin Guidence Table'!$I$1:$I$10000&lt;=ROUND($LD$3,0))*('Margin Guidence Table'!$J$1:$J$10000&gt;=ROUND($LD$3,0)),0),MATCH("DATA_POINTS",'Margin Guidence Table'!$A$1:$AG$1,0)),0))</f>
        <v>0</v>
      </c>
      <c r="LN34" s="780" t="str">
        <f t="shared" si="55"/>
        <v>DEFAULT</v>
      </c>
      <c r="LO34" s="780">
        <f t="array" ref="LO34">IF('Customer Inputs'!$W$17="End",0,IFERROR(IF($LN34="SEGMENT",INDEX('Margin Guidence Table'!$A$1:$AG$10000,MATCH(1,('Margin Guidence Table'!$A$1:$A$10000=LL34)*('Margin Guidence Table'!$I$1:$I$10000&lt;=ROUND($LD$3,0))*('Margin Guidence Table'!$J$1:$J$10000&gt;=ROUND($LD$3,0)),0),MATCH("SALES_CASE",'Margin Guidence Table'!$A$1:$AG$1,0)),INDEX('Margin Guidence Table'!$A$1:$AG$10000,MATCH(1,('Margin Guidence Table'!$A$1:$A$10000=LL34)*('Margin Guidence Table'!$I$1:$I$10000&lt;=ROUND($LD$3,0))*('Margin Guidence Table'!$J$1:$J$10000&gt;=ROUND($LD$3,0)),0),MATCH("DEFAULT_SALES_CASE",'Margin Guidence Table'!$A$1:$AG$1,0))),0))</f>
        <v>0</v>
      </c>
      <c r="LP34" s="780">
        <f t="array" ref="LP34">IF('Customer Inputs'!$W$17="End",0,IFERROR(IF($LN34="SEGMENT",INDEX('Margin Guidence Table'!$A$1:$AG$10000,MATCH(1,('Margin Guidence Table'!$A$1:$A$10000=LL34)*('Margin Guidence Table'!$I$1:$I$10000&lt;=ROUND($LD$3,0))*('Margin Guidence Table'!$J$1:$J$10000&gt;=ROUND($LD$3,0)),0),MATCH("SALES_LBS",'Margin Guidence Table'!$A$1:$AG$1,0)),INDEX('Margin Guidence Table'!$A$1:$AG$10000,MATCH(1,('Margin Guidence Table'!$A$1:$A$10000=LL34)*('Margin Guidence Table'!$I$1:$I$10000&lt;=ROUND($LD$3,0))*('Margin Guidence Table'!$J$1:$J$10000&gt;=ROUND($LD$3,0)),0),MATCH("DEFAULT_SALES_LBS",'Margin Guidence Table'!$A$1:$AG$1,0))),0))</f>
        <v>0</v>
      </c>
      <c r="LQ34" s="784">
        <f t="array" ref="LQ34">IF('Customer Inputs'!$W$17="End",0,IFERROR(IF($LN34="SEGMENT",INDEX('Margin Guidence Table'!$A$1:$AG$10000,MATCH(1,('Margin Guidence Table'!$A$1:$A$10000=LL34)*('Margin Guidence Table'!$I$1:$I$10000&lt;=ROUND($LD$3,0))*('Margin Guidence Table'!$J$1:$J$10000&gt;=ROUND($LD$3,0)),0),MATCH("MDA_MIN_MARGIN_GUIDENCE",'Margin Guidence Table'!$A$1:$AG$1,0)),INDEX('Margin Guidence Table'!$A$1:$AG$10000,MATCH(1,('Margin Guidence Table'!$A$1:$A$10000=LL34)*('Margin Guidence Table'!$I$1:$I$10000&lt;=ROUND($LD$3,0))*('Margin Guidence Table'!$J$1:$J$10000&gt;=ROUND($LD$3,0)),0),MATCH("DEFAULT_MDA_MIN_MARGIN_GUIDENCE",'Margin Guidence Table'!$A$1:$AG$1,0))),0))</f>
        <v>0</v>
      </c>
      <c r="LR34" s="784">
        <f t="array" ref="LR34">IF('Customer Inputs'!$W$17="End",0,IFERROR(IF($LN34="SEGMENT",INDEX('Margin Guidence Table'!$A$1:$AG$10000,MATCH(1,('Margin Guidence Table'!$A$1:$A$10000=LL34)*('Margin Guidence Table'!$I$1:$I$10000&lt;=ROUND($LD$3,0))*('Margin Guidence Table'!$J$1:$J$10000&gt;=ROUND($LD$3,0)),0),MATCH("MDA_MEDIAN_MARGIN_GUIDENCE",'Margin Guidence Table'!$A$1:$AG$1,0)),INDEX('Margin Guidence Table'!$A$1:$AG$10000,MATCH(1,('Margin Guidence Table'!$A$1:$A$10000=LL34)*('Margin Guidence Table'!$I$1:$I$10000&lt;=ROUND($LD$3,0))*('Margin Guidence Table'!$J$1:$J$10000&gt;=ROUND($LD$3,0)),0),MATCH("DEFAULT_MDA_MEDIAN_MARGIN_GUIDENCE",'Margin Guidence Table'!$A$1:$AG$1,0))),0))</f>
        <v>0</v>
      </c>
      <c r="LS34" s="784">
        <f t="array" ref="LS34">IF('Customer Inputs'!$W$17="End",0,IFERROR(IF($LN34="SEGMENT",INDEX('Margin Guidence Table'!$A$1:$AG$10000,MATCH(1,('Margin Guidence Table'!$A$1:$A$10000=LL34)*('Margin Guidence Table'!$I$1:$I$10000&lt;=ROUND($LD$3,0))*('Margin Guidence Table'!$J$1:$J$10000&gt;=ROUND($LD$3,0)),0),MATCH("MDA_MAX_MARGIN_GUIDENCE",'Margin Guidence Table'!$A$1:$AG$1,0)),INDEX('Margin Guidence Table'!$A$1:$AG$10000,MATCH(1,('Margin Guidence Table'!$A$1:$A$10000=LL34)*('Margin Guidence Table'!$I$1:$I$10000&lt;=ROUND($LD$3,0))*('Margin Guidence Table'!$J$1:$J$10000&gt;=ROUND($LD$3,0)),0),MATCH("DEFAULT_MDA_MAX_MARGIN_GUIDENCE",'Margin Guidence Table'!$A$1:$AG$1,0))),0))</f>
        <v>0</v>
      </c>
      <c r="LT34" s="784">
        <f t="array" ref="LT34">IF('Customer Inputs'!$W$17="End",0,IFERROR(IF($LN34="SEGMENT",INDEX('Margin Guidence Table'!$A$1:$AG$10000,MATCH(1,('Margin Guidence Table'!$A$1:$A$10000=LL34)*('Margin Guidence Table'!$I$1:$I$10000&lt;=ROUND($LD$3,0))*('Margin Guidence Table'!$J$1:$J$10000&gt;=ROUND($LD$3,0)),0),MATCH("PA_PCT_SALES",'Margin Guidence Table'!$A$1:$AG$1,0)),INDEX('Margin Guidence Table'!$A$1:$AG$10000,MATCH(1,('Margin Guidence Table'!$A$1:$A$10000=LL34)*('Margin Guidence Table'!$I$1:$I$10000&lt;=ROUND($LD$3,0))*('Margin Guidence Table'!$J$1:$J$10000&gt;=ROUND($LD$3,0)),0),MATCH("DEFAULT_PA_PCT_SALES",'Margin Guidence Table'!$A$1:$AG$1,0))),0))</f>
        <v>0</v>
      </c>
      <c r="LU34" s="784">
        <f t="array" ref="LU34">IF('Customer Inputs'!$W$17="End",0,IFERROR(IF($LN34="SEGMENT",INDEX('Margin Guidence Table'!$A$1:$AG$10000,MATCH(1,('Margin Guidence Table'!$A$1:$A$10000=LL34)*('Margin Guidence Table'!$I$1:$I$10000&lt;=ROUND($LD$3,0))*('Margin Guidence Table'!$J$1:$J$10000&gt;=ROUND($LD$3,0)),0),MATCH("SELF_FUND_PCT_SALES",'Margin Guidence Table'!$A$1:$AG$1,0)),INDEX('Margin Guidence Table'!$A$1:$AG$10000,MATCH(1,('Margin Guidence Table'!$A$1:$A$10000=LL34)*('Margin Guidence Table'!$I$1:$I$10000&lt;=ROUND($LD$3,0))*('Margin Guidence Table'!$J$1:$J$10000&gt;=ROUND($LD$3,0)),0),MATCH("DEFAULT_SELF_FUND_PCT_SALES",'Margin Guidence Table'!$A$1:$AG$1,0))),0))</f>
        <v>0</v>
      </c>
      <c r="LV34" s="784">
        <f t="array" ref="LV34">IF('Customer Inputs'!$W$17="End",0,IF($LE$2="Existing",IFERROR(SUMIFS('Existing Customers'!$V:$V,'Existing Customers'!$H:$H,$LC34,'Existing Customers'!$A:$A,$LD$1)/SUMIFS('Existing Customers'!$Q:$Q,'Existing Customers'!$H:$H,$LC34,'Existing Customers'!$A:$A,$LD$1),0),IFERROR(IF($LN34="SEGMENT",INDEX('Margin Guidence Table'!$A$1:$AG$10000,MATCH(1,('Margin Guidence Table'!$A$1:$A$10000=LL34)*('Margin Guidence Table'!$I$1:$I$10000&lt;=ROUND($LD$3,0))*('Margin Guidence Table'!$J$1:$J$10000&gt;=ROUND($LD$3,0)),0),MATCH("CIA_MEDIAN_MARGIN_GUIDENCE",'Margin Guidence Table'!$A$1:$AG$1,0)),INDEX('Margin Guidence Table'!$A$1:$AG$10000,MATCH(1,('Margin Guidence Table'!$A$1:$A$10000=LL34)*('Margin Guidence Table'!$I$1:$I$10000&lt;=ROUND($LD$3,0))*('Margin Guidence Table'!$J$1:$J$10000&gt;=ROUND($LD$3,0)),0),MATCH("DEFAULT_CIA_MEDIAN_MARGIN_GUIDENCE",'Margin Guidence Table'!$A$1:$AG$1,0))),0)))</f>
        <v>0</v>
      </c>
      <c r="LW34" s="784"/>
      <c r="LX34" s="18">
        <f t="array" ref="LX34">IF('Customer Inputs'!$W$18="End",0,IFERROR(IF($MK34="SEGMENT",INDEX('Margin Guidence Table'!$A$1:$AG$10000,MATCH(1,('Margin Guidence Table'!$A$1:$A$10000=$MI34)*('Margin Guidence Table'!$I$1:$I$10000&lt;=ROUND($MA$3,0))*('Margin Guidence Table'!$J$1:$J$10000&gt;=ROUND($MA$3,0)),0),MATCH("PCT_SALES",'Margin Guidence Table'!$A$1:$AG$1,0)),INDEX('Margin Guidence Table'!$A$1:$AG$10000,MATCH(1,('Margin Guidence Table'!$A$1:$A$10000=$MI34)*('Margin Guidence Table'!$I$1:$I$10000&lt;=ROUND($MA$3,0))*('Margin Guidence Table'!$J$1:$J$10000&gt;=ROUND($MA$3,0)),0),MATCH("DEFAULT_PCT_SALES",'Margin Guidence Table'!$A$1:$AG$1,0))),0))</f>
        <v>0</v>
      </c>
      <c r="LY34" s="1713" t="e">
        <f t="shared" si="56"/>
        <v>#DIV/0!</v>
      </c>
      <c r="LZ34" s="100" t="s">
        <v>87</v>
      </c>
      <c r="MA34" s="91">
        <f>IF('Customer Inputs'!$W$18="End",0,IFERROR(IF(AND($MA$2&lt;&gt;"Enter Spend&gt;&gt;&gt;",$MB$2="EXISTING"),SUMIFS('Existing Customers'!$Q:$Q,'Existing Customers'!$A:$A,$MA$1,'Existing Customers'!$H:$H,$LZ34)*$MA$4,$MA$3*$LY34),0))</f>
        <v>0</v>
      </c>
      <c r="MB34" s="86">
        <f>IF('Customer Inputs'!$W$18="End",0,IFERROR(IF(AND($MA$2&lt;&gt;"Enter Spend&gt;&gt;&gt;",$MB$2="EXISTING"),SUMIFS('Existing Customers'!$N:$N,'Existing Customers'!$A:$A,$MA$1,'Existing Customers'!$H:$H,$LZ34)*$MA$4,$MA34/$ML34),0))</f>
        <v>0</v>
      </c>
      <c r="MC34" s="92">
        <f>IF('Customer Inputs'!$W$18="End",0,IFERROR(IF(AND($MA$2&lt;&gt;"Enter Spend&gt;&gt;&gt;",$MB$2="EXISTING"),SUMIFS('Existing Customers'!$O:$O,'Existing Customers'!$H:$H,$LZ34,'Existing Customers'!$A:$A,$MA$1)*$MA$4,$MB34*$MA$8),0))</f>
        <v>0</v>
      </c>
      <c r="MD34" s="92">
        <f>IF('Customer Inputs'!$W$18="End",0,IFERROR(IF(AND($MA$2&lt;&gt;"Enter Spend&gt;&gt;&gt;",$MB$2="EXISTING"),SUMIFS('Existing Customers'!$P:$P,'Existing Customers'!$A:$A,$MA$1,'Existing Customers'!$H:$H,$LZ34)*$MA$4,$MA34/$MM34),0))</f>
        <v>0</v>
      </c>
      <c r="ME34" s="303">
        <f>IF('Customer Inputs'!$W$18="End",0,IFERROR(IF(AND($MA$2&lt;&gt;"Enter Spend&gt;&gt;&gt;",$MB$2="EXISTING"),SUMIFS('Existing Customers'!$V:$V,'Existing Customers'!$H:$H,$LZ34,'Existing Customers'!$A:$A,$MA$1)*$MA$4,0),0))</f>
        <v>0</v>
      </c>
      <c r="MF34" s="93">
        <f>IF('Customer Inputs'!$W$18="End",0,IFERROR(IF(AND($MA$2&lt;&gt;"Enter Spend&gt;&gt;&gt;",$MB$2="EXISTING"),SUMIFS('Existing Customers'!$R:$R,'Existing Customers'!$H:$H,$LZ34,'Existing Customers'!$A:$A,$MA$1)*$MA$4,0),0))</f>
        <v>0</v>
      </c>
      <c r="MG34" s="780">
        <f>IF('Customer Inputs'!$W$18="End",0,IFERROR(IF(AND($MA$2&lt;&gt;"Enter Spend&gt;&gt;&gt;",$MB$2="EXISTING"),SUMIFS('Existing Customers'!$S:$S,'Existing Customers'!$H:$H,$LZ34,'Existing Customers'!$A:$A,$MA$1)/SUMIFS('Existing Customers'!$Q:$Q,'Existing Customers'!$A:$A,$MA$1,'Existing Customers'!$H:$H,$LZ34),MQ34),0))</f>
        <v>0</v>
      </c>
      <c r="MH34" s="780">
        <f>IF('Customer Inputs'!$W$18="End",0,IFERROR(IF(AND($MA$2&lt;&gt;"Enter Spend&gt;&gt;&gt;",$MB$2="EXISTING"),SUMIFS('Existing Customers'!$U:$U,'Existing Customers'!$H:$H,$LZ34,'Existing Customers'!$A:$A,$MA$1)/SUMIFS('Existing Customers'!$Q:$Q,'Existing Customers'!$A:$A,$MA$1,'Existing Customers'!$H:$H,$LZ34),MR34),0))</f>
        <v>0</v>
      </c>
      <c r="MI34" s="783" t="e">
        <f>_xlfn.CONCAT('Customer Inputs'!$AH$18,"_",LZ34)</f>
        <v>#N/A</v>
      </c>
      <c r="MJ34" s="783">
        <f t="array" ref="MJ34">IF('Customer Inputs'!$W$18="End",0,IFERROR(INDEX('Margin Guidence Table'!$A$1:$AG$10000,MATCH(1,('Margin Guidence Table'!$A$1:$A$10000=MI34)*('Margin Guidence Table'!$I$1:$I$10000&lt;=ROUND($MA$3,0))*('Margin Guidence Table'!$J$1:$J$10000&gt;=ROUND($MA$3,0)),0),MATCH("DATA_POINTS",'Margin Guidence Table'!$A$1:$AG$1,0)),0))</f>
        <v>0</v>
      </c>
      <c r="MK34" s="780" t="str">
        <f t="shared" si="57"/>
        <v>DEFAULT</v>
      </c>
      <c r="ML34" s="780">
        <f t="array" ref="ML34">IF('Customer Inputs'!$W$18="End",0,IFERROR(IF($MK34="SEGMENT",INDEX('Margin Guidence Table'!$A$1:$AG$10000,MATCH(1,('Margin Guidence Table'!$A$1:$A$10000=MI34)*('Margin Guidence Table'!$I$1:$I$10000&lt;=ROUND($MA$3,0))*('Margin Guidence Table'!$J$1:$J$10000&gt;=ROUND($MA$3,0)),0),MATCH("SALES_CASE",'Margin Guidence Table'!$A$1:$AG$1,0)),INDEX('Margin Guidence Table'!$A$1:$AG$10000,MATCH(1,('Margin Guidence Table'!$A$1:$A$10000=MI34)*('Margin Guidence Table'!$I$1:$I$10000&lt;=ROUND($MA$3,0))*('Margin Guidence Table'!$J$1:$J$10000&gt;=ROUND($MA$3,0)),0),MATCH("DEFAULT_SALES_CASE",'Margin Guidence Table'!$A$1:$AG$1,0))),0))</f>
        <v>0</v>
      </c>
      <c r="MM34" s="780">
        <f t="array" ref="MM34">IF('Customer Inputs'!$W$18="End",0,IFERROR(IF($MK34="SEGMENT",INDEX('Margin Guidence Table'!$A$1:$AG$10000,MATCH(1,('Margin Guidence Table'!$A$1:$A$10000=MI34)*('Margin Guidence Table'!$I$1:$I$10000&lt;=ROUND($MA$3,0))*('Margin Guidence Table'!$J$1:$J$10000&gt;=ROUND($MA$3,0)),0),MATCH("SALES_LBS",'Margin Guidence Table'!$A$1:$AG$1,0)),INDEX('Margin Guidence Table'!$A$1:$AG$10000,MATCH(1,('Margin Guidence Table'!$A$1:$A$10000=MI34)*('Margin Guidence Table'!$I$1:$I$10000&lt;=ROUND($MA$3,0))*('Margin Guidence Table'!$J$1:$J$10000&gt;=ROUND($MA$3,0)),0),MATCH("DEFAULT_SALES_LBS",'Margin Guidence Table'!$A$1:$AG$1,0))),0))</f>
        <v>0</v>
      </c>
      <c r="MN34" s="784">
        <f t="array" ref="MN34">IF('Customer Inputs'!$W$18="End",0,IFERROR(IF($MK34="SEGMENT",INDEX('Margin Guidence Table'!$A$1:$AG$10000,MATCH(1,('Margin Guidence Table'!$A$1:$A$10000=MI34)*('Margin Guidence Table'!$I$1:$I$10000&lt;=ROUND($MA$3,0))*('Margin Guidence Table'!$J$1:$J$10000&gt;=ROUND($MA$3,0)),0),MATCH("MDA_MIN_MARGIN_GUIDENCE",'Margin Guidence Table'!$A$1:$AG$1,0)),INDEX('Margin Guidence Table'!$A$1:$AG$10000,MATCH(1,('Margin Guidence Table'!$A$1:$A$10000=MI34)*('Margin Guidence Table'!$I$1:$I$10000&lt;=ROUND($MA$3,0))*('Margin Guidence Table'!$J$1:$J$10000&gt;=ROUND($MA$3,0)),0),MATCH("DEFAULT_MDA_MIN_MARGIN_GUIDENCE",'Margin Guidence Table'!$A$1:$AG$1,0))),0))</f>
        <v>0</v>
      </c>
      <c r="MO34" s="784">
        <f t="array" ref="MO34">IF('Customer Inputs'!$W$18="End",0,IFERROR(IF($MK34="SEGMENT",INDEX('Margin Guidence Table'!$A$1:$AG$10000,MATCH(1,('Margin Guidence Table'!$A$1:$A$10000=MI34)*('Margin Guidence Table'!$I$1:$I$10000&lt;=ROUND($MA$3,0))*('Margin Guidence Table'!$J$1:$J$10000&gt;=ROUND($MA$3,0)),0),MATCH("MDA_MEDIAN_MARGIN_GUIDENCE",'Margin Guidence Table'!$A$1:$AG$1,0)),INDEX('Margin Guidence Table'!$A$1:$AG$10000,MATCH(1,('Margin Guidence Table'!$A$1:$A$10000=MI34)*('Margin Guidence Table'!$I$1:$I$10000&lt;=ROUND($MA$3,0))*('Margin Guidence Table'!$J$1:$J$10000&gt;=ROUND($MA$3,0)),0),MATCH("DEFAULT_MDA_MEDIAN_MARGIN_GUIDENCE",'Margin Guidence Table'!$A$1:$AG$1,0))),0))</f>
        <v>0</v>
      </c>
      <c r="MP34" s="784">
        <f t="array" ref="MP34">IF('Customer Inputs'!$W$18="End",0,IFERROR(IF($MK34="SEGMENT",INDEX('Margin Guidence Table'!$A$1:$AG$10000,MATCH(1,('Margin Guidence Table'!$A$1:$A$10000=MI34)*('Margin Guidence Table'!$I$1:$I$10000&lt;=ROUND($MA$3,0))*('Margin Guidence Table'!$J$1:$J$10000&gt;=ROUND($MA$3,0)),0),MATCH("MDA_MAX_MARGIN_GUIDENCE",'Margin Guidence Table'!$A$1:$AG$1,0)),INDEX('Margin Guidence Table'!$A$1:$AG$10000,MATCH(1,('Margin Guidence Table'!$A$1:$A$10000=MI34)*('Margin Guidence Table'!$I$1:$I$10000&lt;=ROUND($MA$3,0))*('Margin Guidence Table'!$J$1:$J$10000&gt;=ROUND($MA$3,0)),0),MATCH("DEFAULT_MDA_MAX_MARGIN_GUIDENCE",'Margin Guidence Table'!$A$1:$AG$1,0))),0))</f>
        <v>0</v>
      </c>
      <c r="MQ34" s="784">
        <f t="array" ref="MQ34">IF('Customer Inputs'!$W$18="End",0,IFERROR(IF($MK34="SEGMENT",INDEX('Margin Guidence Table'!$A$1:$AG$10000,MATCH(1,('Margin Guidence Table'!$A$1:$A$10000=MI34)*('Margin Guidence Table'!$I$1:$I$10000&lt;=ROUND($MA$3,0))*('Margin Guidence Table'!$J$1:$J$10000&gt;=ROUND($MA$3,0)),0),MATCH("PA_PCT_SALES",'Margin Guidence Table'!$A$1:$AG$1,0)),INDEX('Margin Guidence Table'!$A$1:$AG$10000,MATCH(1,('Margin Guidence Table'!$A$1:$A$10000=MI34)*('Margin Guidence Table'!$I$1:$I$10000&lt;=ROUND($MA$3,0))*('Margin Guidence Table'!$J$1:$J$10000&gt;=ROUND($MA$3,0)),0),MATCH("DEFAULT_PA_PCT_SALES",'Margin Guidence Table'!$A$1:$AG$1,0))),0))</f>
        <v>0</v>
      </c>
      <c r="MR34" s="784">
        <f t="array" ref="MR34">IF('Customer Inputs'!$W$18="End",0,IFERROR(IF($MK34="SEGMENT",INDEX('Margin Guidence Table'!$A$1:$AG$10000,MATCH(1,('Margin Guidence Table'!$A$1:$A$10000=MI34)*('Margin Guidence Table'!$I$1:$I$10000&lt;=ROUND($MA$3,0))*('Margin Guidence Table'!$J$1:$J$10000&gt;=ROUND($MA$3,0)),0),MATCH("SELF_FUND_PCT_SALES",'Margin Guidence Table'!$A$1:$AG$1,0)),INDEX('Margin Guidence Table'!$A$1:$AG$10000,MATCH(1,('Margin Guidence Table'!$A$1:$A$10000=MI34)*('Margin Guidence Table'!$I$1:$I$10000&lt;=ROUND($MA$3,0))*('Margin Guidence Table'!$J$1:$J$10000&gt;=ROUND($MA$3,0)),0),MATCH("DEFAULT_SELF_FUND_PCT_SALES",'Margin Guidence Table'!$A$1:$AG$1,0))),0))</f>
        <v>0</v>
      </c>
      <c r="MS34" s="784">
        <f t="array" ref="MS34">IF('Customer Inputs'!$W$18="End",0,IF($MB$2="Existing",IFERROR(SUMIFS('Existing Customers'!$V:$V,'Existing Customers'!$H:$H,$LZ34,'Existing Customers'!$A:$A,$MA$1)/SUMIFS('Existing Customers'!$Q:$Q,'Existing Customers'!$H:$H,$LZ34,'Existing Customers'!$A:$A,$MA$1),0),IFERROR(IF($MK34="SEGMENT",INDEX('Margin Guidence Table'!$A$1:$AG$10000,MATCH(1,('Margin Guidence Table'!$A$1:$A$10000=MI34)*('Margin Guidence Table'!$I$1:$I$10000&lt;=ROUND($MA$3,0))*('Margin Guidence Table'!$J$1:$J$10000&gt;=ROUND($MA$3,0)),0),MATCH("CIA_MEDIAN_MARGIN_GUIDENCE",'Margin Guidence Table'!$A$1:$AG$1,0)),INDEX('Margin Guidence Table'!$A$1:$AG$10000,MATCH(1,('Margin Guidence Table'!$A$1:$A$10000=MI34)*('Margin Guidence Table'!$I$1:$I$10000&lt;=ROUND($MA$3,0))*('Margin Guidence Table'!$J$1:$J$10000&gt;=ROUND($MA$3,0)),0),MATCH("DEFAULT_CIA_MEDIAN_MARGIN_GUIDENCE",'Margin Guidence Table'!$A$1:$AG$1,0))),0)))</f>
        <v>0</v>
      </c>
      <c r="MT34" s="784"/>
      <c r="MU34" s="18">
        <f t="array" ref="MU34">IF('Customer Inputs'!$W$19="End",0,IFERROR(IF($NH34="SEGMENT",INDEX('Margin Guidence Table'!$A$1:$AG$10000,MATCH(1,('Margin Guidence Table'!$A$1:$A$10000=$NF34)*('Margin Guidence Table'!$I$1:$I$10000&lt;=ROUND($MX$3,0))*('Margin Guidence Table'!$J$1:$J$10000&gt;=ROUND($MX$3,0)),0),MATCH("PCT_SALES",'Margin Guidence Table'!$A$1:$AG$1,0)),INDEX('Margin Guidence Table'!$A$1:$AG$10000,MATCH(1,('Margin Guidence Table'!$A$1:$A$10000=$NF34)*('Margin Guidence Table'!$I$1:$I$10000&lt;=ROUND($MX$3,0))*('Margin Guidence Table'!$J$1:$J$10000&gt;=ROUND($MX$3,0)),0),MATCH("DEFAULT_PCT_SALES",'Margin Guidence Table'!$A$1:$AG$1,0))),0))</f>
        <v>0</v>
      </c>
      <c r="MV34" s="1713" t="e">
        <f t="shared" si="58"/>
        <v>#DIV/0!</v>
      </c>
      <c r="MW34" s="100" t="s">
        <v>87</v>
      </c>
      <c r="MX34" s="91">
        <f>IF('Customer Inputs'!$W$19="End",0,IFERROR(IF(AND($MX$2&lt;&gt;"Enter Spend&gt;&gt;&gt;",$MY$2="EXISTING"),SUMIFS('Existing Customers'!$Q:$Q,'Existing Customers'!$A:$A,$MX$1,'Existing Customers'!$H:$H,$MW34)*$MX$4,$MX$3*$MV34),0))</f>
        <v>0</v>
      </c>
      <c r="MY34" s="86">
        <f>IF('Customer Inputs'!$W$19="End",0,IFERROR(IF(AND($MX$2&lt;&gt;"Enter Spend&gt;&gt;&gt;",$MY$2="EXISTING"),SUMIFS('Existing Customers'!$N:$N,'Existing Customers'!$A:$A,$MX$1,'Existing Customers'!$H:$H,$MW34)*$MX$4,$MX34/$NI34),0))</f>
        <v>0</v>
      </c>
      <c r="MZ34" s="92">
        <f>IF('Customer Inputs'!$W$19="End",0,IFERROR(IF(AND($MX$2&lt;&gt;"Enter Spend&gt;&gt;&gt;",$MY$2="EXISTING"),SUMIFS('Existing Customers'!$O:$O,'Existing Customers'!$H:$H,$MW34,'Existing Customers'!$A:$A,$MX$1)*$MX$4,$MY34*$MX$8),0))</f>
        <v>0</v>
      </c>
      <c r="NA34" s="92">
        <f>IF('Customer Inputs'!$W$19="End",0,IFERROR(IF(AND($MX$2&lt;&gt;"Enter Spend&gt;&gt;&gt;",$MY$2="EXISTING"),SUMIFS('Existing Customers'!$P:$P,'Existing Customers'!$A:$A,$MX$1,'Existing Customers'!$H:$H,$MW34)*$MX$4,$MX34/$NJ34),0))</f>
        <v>0</v>
      </c>
      <c r="NB34" s="303">
        <f>IF('Customer Inputs'!$W$19="End",0,IFERROR(IF(AND($MX$2&lt;&gt;"Enter Spend&gt;&gt;&gt;",$MY$2="EXISTING"),SUMIFS('Existing Customers'!$V:$V,'Existing Customers'!$H:$H,$MW34,'Existing Customers'!$A:$A,$MX$1)*$MX$4,0),0))</f>
        <v>0</v>
      </c>
      <c r="NC34" s="93">
        <f>IF('Customer Inputs'!$W$19="End",0,IFERROR(IF(AND($MX$2&lt;&gt;"Enter Spend&gt;&gt;&gt;",$MY$2="EXISTING"),SUMIFS('Existing Customers'!$R:$R,'Existing Customers'!$H:$H,$MW34,'Existing Customers'!$A:$A,$MX$1)*$MX$4,0),0))</f>
        <v>0</v>
      </c>
      <c r="ND34" s="780">
        <f>IF('Customer Inputs'!$W$19="End",0,IFERROR(IF(AND($MX$2&lt;&gt;"Enter Spend&gt;&gt;&gt;",$MY$2="EXISTING"),SUMIFS('Existing Customers'!$S:$S,'Existing Customers'!$H:$H,$MW34,'Existing Customers'!$A:$A,$MX$1)/SUMIFS('Existing Customers'!$Q:$Q,'Existing Customers'!$A:$A,$MX$1,'Existing Customers'!$H:$H,$MW34),NN34),0))</f>
        <v>0</v>
      </c>
      <c r="NE34" s="780">
        <f>IF('Customer Inputs'!$W$19="End",0,IFERROR(IF(AND($MX$2&lt;&gt;"Enter Spend&gt;&gt;&gt;",$MY$2="EXISTING"),SUMIFS('Existing Customers'!$U:$U,'Existing Customers'!$H:$H,$MW34,'Existing Customers'!$A:$A,$MX$1)/SUMIFS('Existing Customers'!$Q:$Q,'Existing Customers'!$A:$A,$MX$1,'Existing Customers'!$H:$H,$MW34),NO34),0))</f>
        <v>0</v>
      </c>
      <c r="NF34" s="783" t="e">
        <f>_xlfn.CONCAT('Customer Inputs'!$AH$19,"_",MW34)</f>
        <v>#N/A</v>
      </c>
      <c r="NG34" s="783">
        <f t="array" ref="NG34">IF('Customer Inputs'!$W$19="End",0,IFERROR(INDEX('Margin Guidence Table'!$A$1:$AG$10000,MATCH(1,('Margin Guidence Table'!$A$1:$A$10000=NF34)*('Margin Guidence Table'!$I$1:$I$10000&lt;=ROUND($MX$3,0))*('Margin Guidence Table'!$J$1:$J$10000&gt;=ROUND($MX$3,0)),0),MATCH("DATA_POINTS",'Margin Guidence Table'!$A$1:$AG$1,0)),0))</f>
        <v>0</v>
      </c>
      <c r="NH34" s="780" t="str">
        <f t="shared" si="59"/>
        <v>DEFAULT</v>
      </c>
      <c r="NI34" s="780">
        <f t="array" ref="NI34">IF('Customer Inputs'!$W$19="End",0,IFERROR(IF($NH34="SEGMENT",INDEX('Margin Guidence Table'!$A$1:$AG$10000,MATCH(1,('Margin Guidence Table'!$A$1:$A$10000=NF34)*('Margin Guidence Table'!$I$1:$I$10000&lt;=ROUND($MX$3,0))*('Margin Guidence Table'!$J$1:$J$10000&gt;=ROUND($MX$3,0)),0),MATCH("SALES_CASE",'Margin Guidence Table'!$A$1:$AG$1,0)),INDEX('Margin Guidence Table'!$A$1:$AG$10000,MATCH(1,('Margin Guidence Table'!$A$1:$A$10000=NF34)*('Margin Guidence Table'!$I$1:$I$10000&lt;=ROUND($MX$3,0))*('Margin Guidence Table'!$J$1:$J$10000&gt;=ROUND($MX$3,0)),0),MATCH("DEFAULT_SALES_CASE",'Margin Guidence Table'!$A$1:$AG$1,0))),0))</f>
        <v>0</v>
      </c>
      <c r="NJ34" s="780">
        <f t="array" ref="NJ34">IF('Customer Inputs'!$W$19="End",0,IFERROR(IF($NH34="SEGMENT",INDEX('Margin Guidence Table'!$A$1:$AG$10000,MATCH(1,('Margin Guidence Table'!$A$1:$A$10000=NF34)*('Margin Guidence Table'!$I$1:$I$10000&lt;=ROUND($MX$3,0))*('Margin Guidence Table'!$J$1:$J$10000&gt;=ROUND($MX$3,0)),0),MATCH("SALES_LBS",'Margin Guidence Table'!$A$1:$AG$1,0)),INDEX('Margin Guidence Table'!$A$1:$AG$10000,MATCH(1,('Margin Guidence Table'!$A$1:$A$10000=NF34)*('Margin Guidence Table'!$I$1:$I$10000&lt;=ROUND($MX$3,0))*('Margin Guidence Table'!$J$1:$J$10000&gt;=ROUND($MX$3,0)),0),MATCH("DEFAULT_SALES_LBS",'Margin Guidence Table'!$A$1:$AG$1,0))),0))</f>
        <v>0</v>
      </c>
      <c r="NK34" s="784">
        <f t="array" ref="NK34">IF('Customer Inputs'!$W$19="End",0,IFERROR(IF($NH34="SEGMENT",INDEX('Margin Guidence Table'!$A$1:$AG$10000,MATCH(1,('Margin Guidence Table'!$A$1:$A$10000=NF34)*('Margin Guidence Table'!$I$1:$I$10000&lt;=ROUND($MX$3,0))*('Margin Guidence Table'!$J$1:$J$10000&gt;=ROUND($MX$3,0)),0),MATCH("MDA_MIN_MARGIN_GUIDENCE",'Margin Guidence Table'!$A$1:$AG$1,0)),INDEX('Margin Guidence Table'!$A$1:$AG$10000,MATCH(1,('Margin Guidence Table'!$A$1:$A$10000=NF34)*('Margin Guidence Table'!$I$1:$I$10000&lt;=ROUND($MX$3,0))*('Margin Guidence Table'!$J$1:$J$10000&gt;=ROUND($MX$3,0)),0),MATCH("DEFAULT_MDA_MIN_MARGIN_GUIDENCE",'Margin Guidence Table'!$A$1:$AG$1,0))),0))</f>
        <v>0</v>
      </c>
      <c r="NL34" s="784">
        <f t="array" ref="NL34">IF('Customer Inputs'!$W$19="End",0,IFERROR(IF($NH34="SEGMENT",INDEX('Margin Guidence Table'!$A$1:$AG$10000,MATCH(1,('Margin Guidence Table'!$A$1:$A$10000=NF34)*('Margin Guidence Table'!$I$1:$I$10000&lt;=ROUND($MX$3,0))*('Margin Guidence Table'!$J$1:$J$10000&gt;=ROUND($MX$3,0)),0),MATCH("MDA_MEDIAN_MARGIN_GUIDENCE",'Margin Guidence Table'!$A$1:$AG$1,0)),INDEX('Margin Guidence Table'!$A$1:$AG$10000,MATCH(1,('Margin Guidence Table'!$A$1:$A$10000=NF34)*('Margin Guidence Table'!$I$1:$I$10000&lt;=ROUND($MX$3,0))*('Margin Guidence Table'!$J$1:$J$10000&gt;=ROUND($MX$3,0)),0),MATCH("DEFAULT_MDA_MEDIAN_MARGIN_GUIDENCE",'Margin Guidence Table'!$A$1:$AG$1,0))),0))</f>
        <v>0</v>
      </c>
      <c r="NM34" s="784">
        <f t="array" ref="NM34">IF('Customer Inputs'!$W$19="End",0,IFERROR(IF($NH34="SEGMENT",INDEX('Margin Guidence Table'!$A$1:$AG$10000,MATCH(1,('Margin Guidence Table'!$A$1:$A$10000=NF34)*('Margin Guidence Table'!$I$1:$I$10000&lt;=ROUND($MX$3,0))*('Margin Guidence Table'!$J$1:$J$10000&gt;=ROUND($MX$3,0)),0),MATCH("MDA_MAX_MARGIN_GUIDENCE",'Margin Guidence Table'!$A$1:$AG$1,0)),INDEX('Margin Guidence Table'!$A$1:$AG$10000,MATCH(1,('Margin Guidence Table'!$A$1:$A$10000=NF34)*('Margin Guidence Table'!$I$1:$I$10000&lt;=ROUND($MX$3,0))*('Margin Guidence Table'!$J$1:$J$10000&gt;=ROUND($MX$3,0)),0),MATCH("DEFAULT_MDA_MAX_MARGIN_GUIDENCE",'Margin Guidence Table'!$A$1:$AG$1,0))),0))</f>
        <v>0</v>
      </c>
      <c r="NN34" s="784">
        <f t="array" ref="NN34">IF('Customer Inputs'!$W$19="End",0,IFERROR(IF($NH34="SEGMENT",INDEX('Margin Guidence Table'!$A$1:$AG$10000,MATCH(1,('Margin Guidence Table'!$A$1:$A$10000=NF34)*('Margin Guidence Table'!$I$1:$I$10000&lt;=ROUND($MX$3,0))*('Margin Guidence Table'!$J$1:$J$10000&gt;=ROUND($MX$3,0)),0),MATCH("PA_PCT_SALES",'Margin Guidence Table'!$A$1:$AG$1,0)),INDEX('Margin Guidence Table'!$A$1:$AG$10000,MATCH(1,('Margin Guidence Table'!$A$1:$A$10000=NF34)*('Margin Guidence Table'!$I$1:$I$10000&lt;=ROUND($MX$3,0))*('Margin Guidence Table'!$J$1:$J$10000&gt;=ROUND($MX$3,0)),0),MATCH("DEFAULT_PA_PCT_SALES",'Margin Guidence Table'!$A$1:$AG$1,0))),0))</f>
        <v>0</v>
      </c>
      <c r="NO34" s="784">
        <f t="array" ref="NO34">IF('Customer Inputs'!$W$19="End",0,IFERROR(IF($NH34="SEGMENT",INDEX('Margin Guidence Table'!$A$1:$AG$10000,MATCH(1,('Margin Guidence Table'!$A$1:$A$10000=NF34)*('Margin Guidence Table'!$I$1:$I$10000&lt;=ROUND($MX$3,0))*('Margin Guidence Table'!$J$1:$J$10000&gt;=ROUND($MX$3,0)),0),MATCH("SELF_FUND_PCT_SALES",'Margin Guidence Table'!$A$1:$AG$1,0)),INDEX('Margin Guidence Table'!$A$1:$AG$10000,MATCH(1,('Margin Guidence Table'!$A$1:$A$10000=NF34)*('Margin Guidence Table'!$I$1:$I$10000&lt;=ROUND($MX$3,0))*('Margin Guidence Table'!$J$1:$J$10000&gt;=ROUND($MX$3,0)),0),MATCH("DEFAULT_SELF_FUND_PCT_SALES",'Margin Guidence Table'!$A$1:$AG$1,0))),0))</f>
        <v>0</v>
      </c>
      <c r="NP34" s="784">
        <f t="array" ref="NP34">IF('Customer Inputs'!$W$19="End",0,IF($MY$2="Existing",IFERROR(SUMIFS('Existing Customers'!$V:$V,'Existing Customers'!$H:$H,$MW34,'Existing Customers'!$A:$A,$MX$1)/SUMIFS('Existing Customers'!$Q:$Q,'Existing Customers'!$H:$H,$MW34,'Existing Customers'!$A:$A,$MX$1),0),IFERROR(IF($NH34="SEGMENT",INDEX('Margin Guidence Table'!$A$1:$AG$10000,MATCH(1,('Margin Guidence Table'!$A$1:$A$10000=NF34)*('Margin Guidence Table'!$I$1:$I$10000&lt;=ROUND($MX$3,0))*('Margin Guidence Table'!$J$1:$J$10000&gt;=ROUND($MX$3,0)),0),MATCH("CIA_MEDIAN_MARGIN_GUIDENCE",'Margin Guidence Table'!$A$1:$AG$1,0)),INDEX('Margin Guidence Table'!$A$1:$AG$10000,MATCH(1,('Margin Guidence Table'!$A$1:$A$10000=NF34)*('Margin Guidence Table'!$I$1:$I$10000&lt;=ROUND($MX$3,0))*('Margin Guidence Table'!$J$1:$J$10000&gt;=ROUND($MX$3,0)),0),MATCH("DEFAULT_CIA_MEDIAN_MARGIN_GUIDENCE",'Margin Guidence Table'!$A$1:$AG$1,0))),0)))</f>
        <v>0</v>
      </c>
      <c r="NQ34" s="784"/>
      <c r="NR34" s="18">
        <f t="array" ref="NR34">IF('Customer Inputs'!$W$20="End",0,IFERROR(IF($OE34="SEGMENT",INDEX('Margin Guidence Table'!$A$1:$AG$10000,MATCH(1,('Margin Guidence Table'!$A$1:$A$10000=$OC34)*('Margin Guidence Table'!$I$1:$I$10000&lt;=ROUND($NU$3,0))*('Margin Guidence Table'!$J$1:$J$10000&gt;=ROUND($NU$3,0)),0),MATCH("PCT_SALES",'Margin Guidence Table'!$A$1:$AG$1,0)),INDEX('Margin Guidence Table'!$A$1:$AG$10000,MATCH(1,('Margin Guidence Table'!$A$1:$A$10000=$OC34)*('Margin Guidence Table'!$I$1:$I$10000&lt;=ROUND($NU$3,0))*('Margin Guidence Table'!$J$1:$J$10000&gt;=ROUND($NU$3,0)),0),MATCH("DEFAULT_PCT_SALES",'Margin Guidence Table'!$A$1:$AG$1,0))),0))</f>
        <v>0</v>
      </c>
      <c r="NS34" s="1713" t="e">
        <f t="shared" si="60"/>
        <v>#DIV/0!</v>
      </c>
      <c r="NT34" s="100" t="s">
        <v>87</v>
      </c>
      <c r="NU34" s="91">
        <f>IF('Customer Inputs'!$W$20="End",0,IFERROR(IF(AND($NU$2&lt;&gt;"Enter Spend&gt;&gt;&gt;",$NV$2="EXISTING"),SUMIFS('Existing Customers'!$Q:$Q,'Existing Customers'!$A:$A,$NU$1,'Existing Customers'!$H:$H,$NT34)*$NU$4,$NU$3*$NS34),0))</f>
        <v>0</v>
      </c>
      <c r="NV34" s="86">
        <f>IF('Customer Inputs'!$W$20="End",0,IFERROR(IF(AND($NU$2&lt;&gt;"Enter Spend&gt;&gt;&gt;",$NV$2="EXISTING"),SUMIFS('Existing Customers'!$N:$N,'Existing Customers'!$A:$A,$NU$1,'Existing Customers'!$H:$H,$NT34)*$NU$4,$NU34/$OF34),0))</f>
        <v>0</v>
      </c>
      <c r="NW34" s="92">
        <f>IF('Customer Inputs'!$W$20="End",0,IFERROR(IF(AND($NU$2&lt;&gt;"Enter Spend&gt;&gt;&gt;",$NV$2="EXISTING"),SUMIFS('Existing Customers'!$O:$O,'Existing Customers'!$H:$H,$NT34,'Existing Customers'!$A:$A,$NU$1)*$NU$4,$NV34*$NU$8),0))</f>
        <v>0</v>
      </c>
      <c r="NX34" s="92">
        <f>IF('Customer Inputs'!$W$20="End",0,IFERROR(IF(AND($NU$2&lt;&gt;"Enter Spend&gt;&gt;&gt;",$NV$2="EXISTING"),SUMIFS('Existing Customers'!$P:$P,'Existing Customers'!$A:$A,$NU$1,'Existing Customers'!$H:$H,$NT34)*$NU$4,$NU34/$OG34),0))</f>
        <v>0</v>
      </c>
      <c r="NY34" s="303">
        <f>IF('Customer Inputs'!$W$20="End",0,IFERROR(IF(AND($NU$2&lt;&gt;"Enter Spend&gt;&gt;&gt;",$NV$2="EXISTING"),SUMIFS('Existing Customers'!$V:$V,'Existing Customers'!$H:$H,$NT34,'Existing Customers'!$A:$A,$NU$1)*$NU$4,0),0))</f>
        <v>0</v>
      </c>
      <c r="NZ34" s="93">
        <f>IF('Customer Inputs'!$W$20="End",0,IFERROR(IF(AND($NU$2&lt;&gt;"Enter Spend&gt;&gt;&gt;",$NV$2="EXISTING"),SUMIFS('Existing Customers'!$R:$R,'Existing Customers'!$H:$H,$NT34,'Existing Customers'!$A:$A,$NU$1)*$NU$4,0),0))</f>
        <v>0</v>
      </c>
      <c r="OA34" s="780">
        <f>IF('Customer Inputs'!$W$20="End",0,IFERROR(IF(AND($NU$2&lt;&gt;"Enter Spend&gt;&gt;&gt;",$NV$2="EXISTING"),SUMIFS('Existing Customers'!$S:$S,'Existing Customers'!$H:$H,$NT34,'Existing Customers'!$A:$A,$NU$1)/SUMIFS('Existing Customers'!$Q:$Q,'Existing Customers'!$A:$A,$NU$1,'Existing Customers'!$H:$H,$NT34),OK34),0))</f>
        <v>0</v>
      </c>
      <c r="OB34" s="780">
        <f>IF('Customer Inputs'!$W$20="End",0,IFERROR(IF(AND($NU$2&lt;&gt;"Enter Spend&gt;&gt;&gt;",$NV$2="EXISTING"),SUMIFS('Existing Customers'!$U:$U,'Existing Customers'!$H:$H,$NT34,'Existing Customers'!$A:$A,$NU$1)/SUMIFS('Existing Customers'!$Q:$Q,'Existing Customers'!$A:$A,$NU$1,'Existing Customers'!$H:$H,$NT34),OL34),0))</f>
        <v>0</v>
      </c>
      <c r="OC34" s="783" t="e">
        <f>_xlfn.CONCAT('Customer Inputs'!$AH$20,"_",NT34)</f>
        <v>#N/A</v>
      </c>
      <c r="OD34" s="783">
        <f t="array" ref="OD34">IF('Customer Inputs'!$W$20="End",0,IFERROR(INDEX('Margin Guidence Table'!$A$1:$AG$10000,MATCH(1,('Margin Guidence Table'!$A$1:$A$10000=OC34)*('Margin Guidence Table'!$I$1:$I$10000&lt;=ROUND($NU$3,0))*('Margin Guidence Table'!$J$1:$J$10000&gt;=ROUND($NU$3,0)),0),MATCH("DATA_POINTS",'Margin Guidence Table'!$A$1:$AG$1,0)),0))</f>
        <v>0</v>
      </c>
      <c r="OE34" s="780" t="str">
        <f t="shared" si="61"/>
        <v>DEFAULT</v>
      </c>
      <c r="OF34" s="780">
        <f t="array" ref="OF34">IF('Customer Inputs'!$W$20="End",0,IFERROR(IF($OE34="SEGMENT",INDEX('Margin Guidence Table'!$A$1:$AG$10000,MATCH(1,('Margin Guidence Table'!$A$1:$A$10000=OC34)*('Margin Guidence Table'!$I$1:$I$10000&lt;=ROUND($NU$3,0))*('Margin Guidence Table'!$J$1:$J$10000&gt;=ROUND($NU$3,0)),0),MATCH("SALES_CASE",'Margin Guidence Table'!$A$1:$AG$1,0)),INDEX('Margin Guidence Table'!$A$1:$AG$10000,MATCH(1,('Margin Guidence Table'!$A$1:$A$10000=OC34)*('Margin Guidence Table'!$I$1:$I$10000&lt;=ROUND($NU$3,0))*('Margin Guidence Table'!$J$1:$J$10000&gt;=ROUND($NU$3,0)),0),MATCH("DEFAULT_SALES_CASE",'Margin Guidence Table'!$A$1:$AG$1,0))),0))</f>
        <v>0</v>
      </c>
      <c r="OG34" s="780">
        <f t="array" ref="OG34">IF('Customer Inputs'!$W$20="End",0,IFERROR(IF($OE34="SEGMENT",INDEX('Margin Guidence Table'!$A$1:$AG$10000,MATCH(1,('Margin Guidence Table'!$A$1:$A$10000=OC34)*('Margin Guidence Table'!$I$1:$I$10000&lt;=ROUND($NU$3,0))*('Margin Guidence Table'!$J$1:$J$10000&gt;=ROUND($NU$3,0)),0),MATCH("SALES_LBS",'Margin Guidence Table'!$A$1:$AG$1,0)),INDEX('Margin Guidence Table'!$A$1:$AG$10000,MATCH(1,('Margin Guidence Table'!$A$1:$A$10000=OC34)*('Margin Guidence Table'!$I$1:$I$10000&lt;=ROUND($NU$3,0))*('Margin Guidence Table'!$J$1:$J$10000&gt;=ROUND($NU$3,0)),0),MATCH("DEFAULT_SALES_LBS",'Margin Guidence Table'!$A$1:$AG$1,0))),0))</f>
        <v>0</v>
      </c>
      <c r="OH34" s="784">
        <f t="array" ref="OH34">IF('Customer Inputs'!$W$20="End",0,IFERROR(IF($OE34="SEGMENT",INDEX('Margin Guidence Table'!$A$1:$AG$10000,MATCH(1,('Margin Guidence Table'!$A$1:$A$10000=OC34)*('Margin Guidence Table'!$I$1:$I$10000&lt;=ROUND($NU$3,0))*('Margin Guidence Table'!$J$1:$J$10000&gt;=ROUND($NU$3,0)),0),MATCH("MDA_MIN_MARGIN_GUIDENCE",'Margin Guidence Table'!$A$1:$AG$1,0)),INDEX('Margin Guidence Table'!$A$1:$AG$10000,MATCH(1,('Margin Guidence Table'!$A$1:$A$10000=OC34)*('Margin Guidence Table'!$I$1:$I$10000&lt;=ROUND($NU$3,0))*('Margin Guidence Table'!$J$1:$J$10000&gt;=ROUND($NU$3,0)),0),MATCH("DEFAULT_MDA_MIN_MARGIN_GUIDENCE",'Margin Guidence Table'!$A$1:$AG$1,0))),0))</f>
        <v>0</v>
      </c>
      <c r="OI34" s="784">
        <f t="array" ref="OI34">IF('Customer Inputs'!$W$20="End",0,IFERROR(IF($OE34="SEGMENT",INDEX('Margin Guidence Table'!$A$1:$AG$10000,MATCH(1,('Margin Guidence Table'!$A$1:$A$10000=OC34)*('Margin Guidence Table'!$I$1:$I$10000&lt;=ROUND($NU$3,0))*('Margin Guidence Table'!$J$1:$J$10000&gt;=ROUND($NU$3,0)),0),MATCH("MDA_MEDIAN_MARGIN_GUIDENCE",'Margin Guidence Table'!$A$1:$AG$1,0)),INDEX('Margin Guidence Table'!$A$1:$AG$10000,MATCH(1,('Margin Guidence Table'!$A$1:$A$10000=OC34)*('Margin Guidence Table'!$I$1:$I$10000&lt;=ROUND($NU$3,0))*('Margin Guidence Table'!$J$1:$J$10000&gt;=ROUND($NU$3,0)),0),MATCH("DEFAULT_MDA_MEDIAN_MARGIN_GUIDENCE",'Margin Guidence Table'!$A$1:$AG$1,0))),0))</f>
        <v>0</v>
      </c>
      <c r="OJ34" s="784">
        <f t="array" ref="OJ34">IF('Customer Inputs'!$W$20="End",0,IFERROR(IF($OE34="SEGMENT",INDEX('Margin Guidence Table'!$A$1:$AG$10000,MATCH(1,('Margin Guidence Table'!$A$1:$A$10000=OC34)*('Margin Guidence Table'!$I$1:$I$10000&lt;=ROUND($NU$3,0))*('Margin Guidence Table'!$J$1:$J$10000&gt;=ROUND($NU$3,0)),0),MATCH("MDA_MAX_MARGIN_GUIDENCE",'Margin Guidence Table'!$A$1:$AG$1,0)),INDEX('Margin Guidence Table'!$A$1:$AG$10000,MATCH(1,('Margin Guidence Table'!$A$1:$A$10000=OC34)*('Margin Guidence Table'!$I$1:$I$10000&lt;=ROUND($NU$3,0))*('Margin Guidence Table'!$J$1:$J$10000&gt;=ROUND($NU$3,0)),0),MATCH("DEFAULT_MDA_MAX_MARGIN_GUIDENCE",'Margin Guidence Table'!$A$1:$AG$1,0))),0))</f>
        <v>0</v>
      </c>
      <c r="OK34" s="784">
        <f t="array" ref="OK34">IF('Customer Inputs'!$W$20="End",0,IFERROR(IF($OE34="SEGMENT",INDEX('Margin Guidence Table'!$A$1:$AG$10000,MATCH(1,('Margin Guidence Table'!$A$1:$A$10000=OC34)*('Margin Guidence Table'!$I$1:$I$10000&lt;=ROUND($NU$3,0))*('Margin Guidence Table'!$J$1:$J$10000&gt;=ROUND($NU$3,0)),0),MATCH("PA_PCT_SALES",'Margin Guidence Table'!$A$1:$AG$1,0)),INDEX('Margin Guidence Table'!$A$1:$AG$10000,MATCH(1,('Margin Guidence Table'!$A$1:$A$10000=OC34)*('Margin Guidence Table'!$I$1:$I$10000&lt;=ROUND($NU$3,0))*('Margin Guidence Table'!$J$1:$J$10000&gt;=ROUND($NU$3,0)),0),MATCH("DEFAULT_PA_PCT_SALES",'Margin Guidence Table'!$A$1:$AG$1,0))),0))</f>
        <v>0</v>
      </c>
      <c r="OL34" s="784">
        <f t="array" ref="OL34">IF('Customer Inputs'!$W$20="End",0,IFERROR(IF($OE34="SEGMENT",INDEX('Margin Guidence Table'!$A$1:$AG$10000,MATCH(1,('Margin Guidence Table'!$A$1:$A$10000=OC34)*('Margin Guidence Table'!$I$1:$I$10000&lt;=ROUND($NU$3,0))*('Margin Guidence Table'!$J$1:$J$10000&gt;=ROUND($NU$3,0)),0),MATCH("SELF_FUND_PCT_SALES",'Margin Guidence Table'!$A$1:$AG$1,0)),INDEX('Margin Guidence Table'!$A$1:$AG$10000,MATCH(1,('Margin Guidence Table'!$A$1:$A$10000=OC34)*('Margin Guidence Table'!$I$1:$I$10000&lt;=ROUND($NU$3,0))*('Margin Guidence Table'!$J$1:$J$10000&gt;=ROUND($NU$3,0)),0),MATCH("DEFAULT_SELF_FUND_PCT_SALES",'Margin Guidence Table'!$A$1:$AG$1,0))),0))</f>
        <v>0</v>
      </c>
      <c r="OM34" s="784">
        <f t="array" ref="OM34">IF('Customer Inputs'!$W$20="End",0,IF($NV$2="Existing",IFERROR(SUMIFS('Existing Customers'!$V:$V,'Existing Customers'!$H:$H,$NT34,'Existing Customers'!$A:$A,$NU$1)/SUMIFS('Existing Customers'!$Q:$Q,'Existing Customers'!$H:$H,$NT34,'Existing Customers'!$A:$A,$NU$1),0),IFERROR(IF($OE34="SEGMENT",INDEX('Margin Guidence Table'!$A$1:$AG$10000,MATCH(1,('Margin Guidence Table'!$A$1:$A$10000=OC34)*('Margin Guidence Table'!$I$1:$I$10000&lt;=ROUND($NU$3,0))*('Margin Guidence Table'!$J$1:$J$10000&gt;=ROUND($NU$3,0)),0),MATCH("CIA_MEDIAN_MARGIN_GUIDENCE",'Margin Guidence Table'!$A$1:$AG$1,0)),INDEX('Margin Guidence Table'!$A$1:$AG$10000,MATCH(1,('Margin Guidence Table'!$A$1:$A$10000=OC34)*('Margin Guidence Table'!$I$1:$I$10000&lt;=ROUND($NU$3,0))*('Margin Guidence Table'!$J$1:$J$10000&gt;=ROUND($NU$3,0)),0),MATCH("DEFAULT_CIA_MEDIAN_MARGIN_GUIDENCE",'Margin Guidence Table'!$A$1:$AG$1,0))),0)))</f>
        <v>0</v>
      </c>
      <c r="ON34" s="784"/>
      <c r="OO34" s="18">
        <f t="array" ref="OO34">IF('Customer Inputs'!$W$21="End",0,IFERROR(IF($PB34="SEGMENT",INDEX('Margin Guidence Table'!$A$1:$AG$10000,MATCH(1,('Margin Guidence Table'!$A$1:$A$10000=$OZ34)*('Margin Guidence Table'!$I$1:$I$10000&lt;=ROUND($OR$3,0))*('Margin Guidence Table'!$J$1:$J$10000&gt;=ROUND($OR$3,0)),0),MATCH("PCT_SALES",'Margin Guidence Table'!$A$1:$AG$1,0)),INDEX('Margin Guidence Table'!$A$1:$AG$10000,MATCH(1,('Margin Guidence Table'!$A$1:$A$10000=$OZ34)*('Margin Guidence Table'!$I$1:$I$10000&lt;=ROUND($OR$3,0))*('Margin Guidence Table'!$J$1:$J$10000&gt;=ROUND($OR$3,0)),0),MATCH("DEFAULT_PCT_SALES",'Margin Guidence Table'!$A$1:$AG$1,0))),0))</f>
        <v>0</v>
      </c>
      <c r="OP34" s="1713" t="e">
        <f t="shared" si="62"/>
        <v>#DIV/0!</v>
      </c>
      <c r="OQ34" s="100" t="s">
        <v>87</v>
      </c>
      <c r="OR34" s="91">
        <f>IF('Customer Inputs'!$W$21="End",0,IFERROR(IF(AND($OR$2&lt;&gt;"Enter Spend&gt;&gt;&gt;",$OS$2="EXISTING"),SUMIFS('Existing Customers'!$Q:$Q,'Existing Customers'!$A:$A,$OR$1,'Existing Customers'!$H:$H,$OQ34)*$OR$4,$OR$3*$OP34),0))</f>
        <v>0</v>
      </c>
      <c r="OS34" s="86">
        <f>IF('Customer Inputs'!$W$21="End",0,IFERROR(IF(AND($OR$2&lt;&gt;"Enter Spend&gt;&gt;&gt;",$OS$2="EXISTING"),SUMIFS('Existing Customers'!$N:$N,'Existing Customers'!$A:$A,$OR$1,'Existing Customers'!$H:$H,$OQ34)*$OR$4,$OR34/$PC34),0))</f>
        <v>0</v>
      </c>
      <c r="OT34" s="92">
        <f>IF('Customer Inputs'!$W$21="End",0,IFERROR(IF(AND($OR$2&lt;&gt;"Enter Spend&gt;&gt;&gt;",$OS$2="EXISTING"),SUMIFS('Existing Customers'!$O:$O,'Existing Customers'!$H:$H,$OQ34,'Existing Customers'!$A:$A,$OR$1)*$OR$4,$OS34*$OR$8),0))</f>
        <v>0</v>
      </c>
      <c r="OU34" s="92">
        <f>IF('Customer Inputs'!$W$21="End",0,IFERROR(IF(AND($OR$2&lt;&gt;"Enter Spend&gt;&gt;&gt;",$OS$2="EXISTING"),SUMIFS('Existing Customers'!$P:$P,'Existing Customers'!$A:$A,$OR$1,'Existing Customers'!$H:$H,$OQ34)*$OR$4,$OR34/$PD34),0))</f>
        <v>0</v>
      </c>
      <c r="OV34" s="303">
        <f>IF('Customer Inputs'!$W$21="End",0,IFERROR(IF(AND($OR$2&lt;&gt;"Enter Spend&gt;&gt;&gt;",$OS$2="EXISTING"),SUMIFS('Existing Customers'!$V:$V,'Existing Customers'!$H:$H,$OQ34,'Existing Customers'!$A:$A,$OR$1)*$OR$4,0),0))</f>
        <v>0</v>
      </c>
      <c r="OW34" s="93">
        <f>IF('Customer Inputs'!$W$21="End",0,IFERROR(IF(AND($OR$2&lt;&gt;"Enter Spend&gt;&gt;&gt;",$OS$2="EXISTING"),SUMIFS('Existing Customers'!$R:$R,'Existing Customers'!$H:$H,$OP34,'Existing Customers'!$A:$A,$OR$1)*$OR$4,0),0))</f>
        <v>0</v>
      </c>
      <c r="OX34" s="780">
        <f>IF('Customer Inputs'!$W$21="End",0,IFERROR(IF(AND($OR$2&lt;&gt;"Enter Spend&gt;&gt;&gt;",$OS$2="EXISTING"),SUMIFS('Existing Customers'!$S:$S,'Existing Customers'!$H:$H,$OQ34,'Existing Customers'!$A:$A,$OR$1)/SUMIFS('Existing Customers'!$Q:$Q,'Existing Customers'!$A:$A,$OR$1,'Existing Customers'!$H:$H,$OQ34),PH34),0))</f>
        <v>0</v>
      </c>
      <c r="OY34" s="780">
        <f>IF('Customer Inputs'!$W$21="End",0,IFERROR(IF(AND($OR$2&lt;&gt;"Enter Spend&gt;&gt;&gt;",$OS$2="EXISTING"),SUMIFS('Existing Customers'!$U:$U,'Existing Customers'!$H:$H,$OQ34,'Existing Customers'!$A:$A,$OR$1)/SUMIFS('Existing Customers'!$Q:$Q,'Existing Customers'!$A:$A,$OR$1,'Existing Customers'!$H:$H,$OQ34),PI34),0))</f>
        <v>0</v>
      </c>
      <c r="OZ34" s="783" t="e">
        <f>_xlfn.CONCAT('Customer Inputs'!$AH$21,"_",OQ34)</f>
        <v>#N/A</v>
      </c>
      <c r="PA34" s="783">
        <f t="array" ref="PA34">IF('Customer Inputs'!$W$22="End",0,IFERROR(INDEX('Margin Guidence Table'!$A$1:$AG$10000,MATCH(1,('Margin Guidence Table'!$A$1:$A$10000=OZ34)*('Margin Guidence Table'!$I$1:$I$10000&lt;=ROUND($OR$3,0))*('Margin Guidence Table'!$J$1:$J$10000&gt;=ROUND($OR$3,0)),0),MATCH("DATA_POINTS",'Margin Guidence Table'!$A$1:$AG$1,0)),0))</f>
        <v>0</v>
      </c>
      <c r="PB34" s="780" t="str">
        <f t="shared" si="63"/>
        <v>DEFAULT</v>
      </c>
      <c r="PC34" s="780">
        <f t="array" ref="PC34">IF('Customer Inputs'!$W$21="End",0,IFERROR(IF($PB34="SEGMENT",INDEX('Margin Guidence Table'!$A$1:$AG$10000,MATCH(1,('Margin Guidence Table'!$A$1:$A$10000=OZ34)*('Margin Guidence Table'!$I$1:$I$10000&lt;=ROUND($OR$3,0))*('Margin Guidence Table'!$J$1:$J$10000&gt;=ROUND($OR$3,0)),0),MATCH("SALES_CASE",'Margin Guidence Table'!$A$1:$AG$1,0)),INDEX('Margin Guidence Table'!$A$1:$AG$10000,MATCH(1,('Margin Guidence Table'!$A$1:$A$10000=OZ34)*('Margin Guidence Table'!$I$1:$I$10000&lt;=ROUND($OR$3,0))*('Margin Guidence Table'!$J$1:$J$10000&gt;=ROUND($OR$3,0)),0),MATCH("DEFAULT_SALES_CASE",'Margin Guidence Table'!$A$1:$AG$1,0))),0))</f>
        <v>0</v>
      </c>
      <c r="PD34" s="780">
        <f t="array" ref="PD34">IF('Customer Inputs'!$W$21="End",0,IFERROR(IF($PB34="SEGMENT",INDEX('Margin Guidence Table'!$A$1:$AG$10000,MATCH(1,('Margin Guidence Table'!$A$1:$A$10000=OZ34)*('Margin Guidence Table'!$I$1:$I$10000&lt;=ROUND($OR$3,0))*('Margin Guidence Table'!$J$1:$J$10000&gt;=ROUND($OR$3,0)),0),MATCH("SALES_LBS",'Margin Guidence Table'!$A$1:$AG$1,0)),INDEX('Margin Guidence Table'!$A$1:$AG$10000,MATCH(1,('Margin Guidence Table'!$A$1:$A$10000=OZ34)*('Margin Guidence Table'!$I$1:$I$10000&lt;=ROUND($OR$3,0))*('Margin Guidence Table'!$J$1:$J$10000&gt;=ROUND($OR$3,0)),0),MATCH("DEFAULT_SALES_LBS",'Margin Guidence Table'!$A$1:$AG$1,0))),0))</f>
        <v>0</v>
      </c>
      <c r="PE34" s="784">
        <f t="array" ref="PE34">IF('Customer Inputs'!$W$21="End",0,IFERROR(IF($PB34="SEGMENT",INDEX('Margin Guidence Table'!$A$1:$AG$10000,MATCH(1,('Margin Guidence Table'!$A$1:$A$10000=OZ34)*('Margin Guidence Table'!$I$1:$I$10000&lt;=ROUND($OR$3,0))*('Margin Guidence Table'!$J$1:$J$10000&gt;=ROUND($OR$3,0)),0),MATCH("MDA_MIN_MARGIN_GUIDENCE",'Margin Guidence Table'!$A$1:$AG$1,0)),INDEX('Margin Guidence Table'!$A$1:$AG$10000,MATCH(1,('Margin Guidence Table'!$A$1:$A$10000=OZ34)*('Margin Guidence Table'!$I$1:$I$10000&lt;=ROUND($OR$3,0))*('Margin Guidence Table'!$J$1:$J$10000&gt;=ROUND($OR$3,0)),0),MATCH("DEFAULT_MDA_MIN_MARGIN_GUIDENCE",'Margin Guidence Table'!$A$1:$AG$1,0))),0))</f>
        <v>0</v>
      </c>
      <c r="PF34" s="784">
        <f t="array" ref="PF34">IF('Customer Inputs'!$W$21="End",0,IFERROR(IF($PB34="SEGMENT",INDEX('Margin Guidence Table'!$A$1:$AG$10000,MATCH(1,('Margin Guidence Table'!$A$1:$A$10000=OZ34)*('Margin Guidence Table'!$I$1:$I$10000&lt;=ROUND($OR$3,0))*('Margin Guidence Table'!$J$1:$J$10000&gt;=ROUND($OR$3,0)),0),MATCH("MDA_MEDIAN_MARGIN_GUIDENCE",'Margin Guidence Table'!$A$1:$AG$1,0)),INDEX('Margin Guidence Table'!$A$1:$AG$10000,MATCH(1,('Margin Guidence Table'!$A$1:$A$10000=OZ34)*('Margin Guidence Table'!$I$1:$I$10000&lt;=ROUND($OR$3,0))*('Margin Guidence Table'!$J$1:$J$10000&gt;=ROUND($OR$3,0)),0),MATCH("DEFAULT_MDA_MEDIAN_MARGIN_GUIDENCE",'Margin Guidence Table'!$A$1:$AG$1,0))),0))</f>
        <v>0</v>
      </c>
      <c r="PG34" s="784">
        <f t="array" ref="PG34">IF('Customer Inputs'!$W$21="End",0,IFERROR(IF($PB34="SEGMENT",INDEX('Margin Guidence Table'!$A$1:$AG$10000,MATCH(1,('Margin Guidence Table'!$A$1:$A$10000=OZ34)*('Margin Guidence Table'!$I$1:$I$10000&lt;=ROUND($OR$3,0))*('Margin Guidence Table'!$J$1:$J$10000&gt;=ROUND($OR$3,0)),0),MATCH("MDA_MAX_MARGIN_GUIDENCE",'Margin Guidence Table'!$A$1:$AG$1,0)),INDEX('Margin Guidence Table'!$A$1:$AG$10000,MATCH(1,('Margin Guidence Table'!$A$1:$A$10000=OZ34)*('Margin Guidence Table'!$I$1:$I$10000&lt;=ROUND($OR$3,0))*('Margin Guidence Table'!$J$1:$J$10000&gt;=ROUND($OR$3,0)),0),MATCH("DEFAULT_MDA_MAX_MARGIN_GUIDENCE",'Margin Guidence Table'!$A$1:$AG$1,0))),0))</f>
        <v>0</v>
      </c>
      <c r="PH34" s="784">
        <f t="array" ref="PH34">IF('Customer Inputs'!$W$21="End",0,IFERROR(IF($PB34="SEGMENT",INDEX('Margin Guidence Table'!$A$1:$AG$10000,MATCH(1,('Margin Guidence Table'!$A$1:$A$10000=OZ34)*('Margin Guidence Table'!$I$1:$I$10000&lt;=ROUND($OR$3,0))*('Margin Guidence Table'!$J$1:$J$10000&gt;=ROUND($OR$3,0)),0),MATCH("PA_PCT_SALES",'Margin Guidence Table'!$A$1:$AG$1,0)),INDEX('Margin Guidence Table'!$A$1:$AG$10000,MATCH(1,('Margin Guidence Table'!$A$1:$A$10000=OZ34)*('Margin Guidence Table'!$I$1:$I$10000&lt;=ROUND($OR$3,0))*('Margin Guidence Table'!$J$1:$J$10000&gt;=ROUND($OR$3,0)),0),MATCH("DEFAULT_PA_PCT_SALES",'Margin Guidence Table'!$A$1:$AG$1,0))),0))</f>
        <v>0</v>
      </c>
      <c r="PI34" s="784">
        <f t="array" ref="PI34">IF('Customer Inputs'!$W$21="End",0,IFERROR(IF($PB34="SEGMENT",INDEX('Margin Guidence Table'!$A$1:$AG$10000,MATCH(1,('Margin Guidence Table'!$A$1:$A$10000=OZ34)*('Margin Guidence Table'!$I$1:$I$10000&lt;=ROUND($OR$3,0))*('Margin Guidence Table'!$J$1:$J$10000&gt;=ROUND($OR$3,0)),0),MATCH("SELF_FUND_PCT_SALES",'Margin Guidence Table'!$A$1:$AG$1,0)),INDEX('Margin Guidence Table'!$A$1:$AG$10000,MATCH(1,('Margin Guidence Table'!$A$1:$A$10000=OZ34)*('Margin Guidence Table'!$I$1:$I$10000&lt;=ROUND($OR$3,0))*('Margin Guidence Table'!$J$1:$J$10000&gt;=ROUND($OR$3,0)),0),MATCH("DEFAULT_SELF_FUND_PCT_SALES",'Margin Guidence Table'!$A$1:$AG$1,0))),0))</f>
        <v>0</v>
      </c>
      <c r="PJ34" s="784">
        <f t="array" ref="PJ34">IF('Customer Inputs'!$W$21="End",0,IF($OS$2="Existing",IFERROR(SUMIFS('Existing Customers'!$V:$V,'Existing Customers'!$H:$H,$OQ34,'Existing Customers'!$A:$A,$OR$1)/SUMIFS('Existing Customers'!$Q:$Q,'Existing Customers'!$H:$H,$OQ34,'Existing Customers'!$A:$A,$OR$1),0),IFERROR(IF($PB34="SEGMENT",INDEX('Margin Guidence Table'!$A$1:$AG$10000,MATCH(1,('Margin Guidence Table'!$A$1:$A$10000=OZ34)*('Margin Guidence Table'!$I$1:$I$10000&lt;=ROUND($OR$3,0))*('Margin Guidence Table'!$J$1:$J$10000&gt;=ROUND($OR$3,0)),0),MATCH("CIA_MEDIAN_MARGIN_GUIDENCE",'Margin Guidence Table'!$A$1:$AG$1,0)),INDEX('Margin Guidence Table'!$A$1:$AG$10000,MATCH(1,('Margin Guidence Table'!$A$1:$A$10000=OZ34)*('Margin Guidence Table'!$I$1:$I$10000&lt;=ROUND($OR$3,0))*('Margin Guidence Table'!$J$1:$J$10000&gt;=ROUND($OR$3,0)),0),MATCH("DEFAULT_CIA_MEDIAN_MARGIN_GUIDENCE",'Margin Guidence Table'!$A$1:$AG$1,0))),0)))</f>
        <v>0</v>
      </c>
      <c r="PK34" s="784"/>
      <c r="PL34" s="18">
        <f t="array" ref="PL34">IF('Customer Inputs'!$W$22="End",0,IFERROR(IF($PY34="SEGMENT",INDEX('Margin Guidence Table'!$A$1:$AG$10000,MATCH(1,('Margin Guidence Table'!$A$1:$A$10000=$PW34)*('Margin Guidence Table'!$I$1:$I$10000&lt;=ROUND($PO$3,0))*('Margin Guidence Table'!$J$1:$J$10000&gt;=ROUND($PO$3,0)),0),MATCH("PCT_SALES",'Margin Guidence Table'!$A$1:$AG$1,0)),INDEX('Margin Guidence Table'!$A$1:$AG$10000,MATCH(1,('Margin Guidence Table'!$A$1:$A$10000=$PW34)*('Margin Guidence Table'!$I$1:$I$10000&lt;=ROUND($PO$3,0))*('Margin Guidence Table'!$J$1:$J$10000&gt;=ROUND($PO$3,0)),0),MATCH("DEFAULT_PCT_SALES",'Margin Guidence Table'!$A$1:$AG$1,0))),0))</f>
        <v>0</v>
      </c>
      <c r="PM34" s="1713" t="e">
        <f t="shared" si="64"/>
        <v>#DIV/0!</v>
      </c>
      <c r="PN34" s="100" t="s">
        <v>87</v>
      </c>
      <c r="PO34" s="91">
        <f>IF('Customer Inputs'!$W$22="End",0,IFERROR(IF(AND($PO$2&lt;&gt;"Enter Spend&gt;&gt;&gt;",$PP$2="EXISTING"),SUMIFS('Existing Customers'!$Q:$Q,'Existing Customers'!$A:$A,$PO$1,'Existing Customers'!$H:$H,$PN34)*$PO$4,$PO$3*$PM34),0))</f>
        <v>0</v>
      </c>
      <c r="PP34" s="86">
        <f>IF('Customer Inputs'!$W$22="End",0,IFERROR(IF(AND($PO$2&lt;&gt;"Enter Spend&gt;&gt;&gt;",$PP$2="EXISTING"),SUMIFS('Existing Customers'!$N:$N,'Existing Customers'!$A:$A,$PO$1,'Existing Customers'!$H:$H,$PN34)*$PO$4,$PO34/$PZ34),0))</f>
        <v>0</v>
      </c>
      <c r="PQ34" s="92">
        <f>IF('Customer Inputs'!$W$22="End",0,IFERROR(IF(AND($PO$2&lt;&gt;"Enter Spend&gt;&gt;&gt;",$PP$2="EXISTING"),SUMIFS('Existing Customers'!$O:$O,'Existing Customers'!$H:$H,$PN34,'Existing Customers'!$A:$A,$PO$1)*$PO$4,$PP34*$PO$8),0))</f>
        <v>0</v>
      </c>
      <c r="PR34" s="92">
        <f>IF('Customer Inputs'!$W$22="End",0,IFERROR(IF(AND($PO$2&lt;&gt;"Enter Spend&gt;&gt;&gt;",$PP$2="EXISTING"),SUMIFS('Existing Customers'!$P:$P,'Existing Customers'!$A:$A,$PO$1,'Existing Customers'!$H:$H,$PN34)*$PO$4,$PO34/$QA34),0))</f>
        <v>0</v>
      </c>
      <c r="PS34" s="303">
        <f>IF('Customer Inputs'!$W$22="End",0,IFERROR(IF(AND($PO$2&lt;&gt;"Enter Spend&gt;&gt;&gt;",$PP$2="EXISTING"),SUMIFS('Existing Customers'!$V:$V,'Existing Customers'!$H:$H,$PN34,'Existing Customers'!$A:$A,$PO$1)*$PO$4,0),0))</f>
        <v>0</v>
      </c>
      <c r="PT34" s="93">
        <f>IF('Customer Inputs'!$W$22="End",0,IFERROR(IF(AND($PO$2&lt;&gt;"Enter Spend&gt;&gt;&gt;",$PP$2="EXISTING"),SUMIFS('Existing Customers'!$R:$R,'Existing Customers'!$H:$H,$PN34,'Existing Customers'!$A:$A,$PO$1)*$PO$4,0),0))</f>
        <v>0</v>
      </c>
      <c r="PU34" s="780">
        <f>IF('Customer Inputs'!$W$22="End",0,IFERROR(IF(AND($PO$2&lt;&gt;"Enter Spend&gt;&gt;&gt;",$PP$2="EXISTING"),SUMIFS('Existing Customers'!$S:$S,'Existing Customers'!$H:$H,$PN34,'Existing Customers'!$A:$A,$PO$1)/SUMIFS('Existing Customers'!$Q:$Q,'Existing Customers'!$A:$A,$PO$1,'Existing Customers'!$H:$H,$PN34),QE34),0))</f>
        <v>0</v>
      </c>
      <c r="PV34" s="780">
        <f>IF('Customer Inputs'!$W$22="End",0,IFERROR(IF(AND($PO$2&lt;&gt;"Enter Spend&gt;&gt;&gt;",$PP$2="EXISTING"),SUMIFS('Existing Customers'!$U:$U,'Existing Customers'!$H:$H,$PN34,'Existing Customers'!$A:$A,$PO$1)/SUMIFS('Existing Customers'!$Q:$Q,'Existing Customers'!$A:$A,$PO$1,'Existing Customers'!$H:$H,$PN34),QF34),0))</f>
        <v>0</v>
      </c>
      <c r="PW34" s="783" t="e">
        <f>_xlfn.CONCAT('Customer Inputs'!$AH$22,"_",PN34)</f>
        <v>#N/A</v>
      </c>
      <c r="PX34" s="783">
        <f t="array" ref="PX34">IF('Customer Inputs'!$W$22="End",0,IFERROR(INDEX('Margin Guidence Table'!$A$1:$AG$10000,MATCH(1,('Margin Guidence Table'!$A$1:$A$10000=PW34)*('Margin Guidence Table'!$I$1:$I$10000&lt;=ROUND($PO$3,0))*('Margin Guidence Table'!$J$1:$J$10000&gt;=ROUND($PO$3,0)),0),MATCH("DATA_POINTS",'Margin Guidence Table'!$A$1:$AG$1,0)),0))</f>
        <v>0</v>
      </c>
      <c r="PY34" s="780" t="str">
        <f t="shared" si="65"/>
        <v>DEFAULT</v>
      </c>
      <c r="PZ34" s="780">
        <f t="array" ref="PZ34">IF('Customer Inputs'!$W$22="End",0,IFERROR(IF($PY34="SEGMENT",INDEX('Margin Guidence Table'!$A$1:$AG$10000,MATCH(1,('Margin Guidence Table'!$A$1:$A$10000=PW34)*('Margin Guidence Table'!$I$1:$I$10000&lt;=ROUND($PO$3,0))*('Margin Guidence Table'!$J$1:$J$10000&gt;=ROUND($PO$3,0)),0),MATCH("SALES_CASE",'Margin Guidence Table'!$A$1:$AG$1,0)),INDEX('Margin Guidence Table'!$A$1:$AG$10000,MATCH(1,('Margin Guidence Table'!$A$1:$A$10000=PW34)*('Margin Guidence Table'!$I$1:$I$10000&lt;=ROUND($PO$3,0))*('Margin Guidence Table'!$J$1:$J$10000&gt;=ROUND($PO$3,0)),0),MATCH("DEFAULT_SALES_CASE",'Margin Guidence Table'!$A$1:$AG$1,0))),0))</f>
        <v>0</v>
      </c>
      <c r="QA34" s="780">
        <f t="array" ref="QA34">IF('Customer Inputs'!$W$22="End",0,IFERROR(IF($PY34="SEGMENT",INDEX('Margin Guidence Table'!$A$1:$AG$10000,MATCH(1,('Margin Guidence Table'!$A$1:$A$10000=PW34)*('Margin Guidence Table'!$I$1:$I$10000&lt;=ROUND($PO$3,0))*('Margin Guidence Table'!$J$1:$J$10000&gt;=ROUND($PO$3,0)),0),MATCH("SALES_LBS",'Margin Guidence Table'!$A$1:$AG$1,0)),INDEX('Margin Guidence Table'!$A$1:$AG$10000,MATCH(1,('Margin Guidence Table'!$A$1:$A$10000=PW34)*('Margin Guidence Table'!$I$1:$I$10000&lt;=ROUND($PO$3,0))*('Margin Guidence Table'!$J$1:$J$10000&gt;=ROUND($PO$3,0)),0),MATCH("DEFAULT_SALES_LBS",'Margin Guidence Table'!$A$1:$AG$1,0))),0))</f>
        <v>0</v>
      </c>
      <c r="QB34" s="784">
        <f t="array" ref="QB34">IF('Customer Inputs'!$W$22="End",0,IFERROR(IF($PY34="SEGMENT",INDEX('Margin Guidence Table'!$A$1:$AG$10000,MATCH(1,('Margin Guidence Table'!$A$1:$A$10000=PW34)*('Margin Guidence Table'!$I$1:$I$10000&lt;=ROUND($PO$3,0))*('Margin Guidence Table'!$J$1:$J$10000&gt;=ROUND($PO$3,0)),0),MATCH("MDA_MIN_MARGIN_GUIDENCE",'Margin Guidence Table'!$A$1:$AG$1,0)),INDEX('Margin Guidence Table'!$A$1:$AG$10000,MATCH(1,('Margin Guidence Table'!$A$1:$A$10000=PW34)*('Margin Guidence Table'!$I$1:$I$10000&lt;=ROUND($PO$3,0))*('Margin Guidence Table'!$J$1:$J$10000&gt;=ROUND($PO$3,0)),0),MATCH("DEFAULT_MDA_MIN_MARGIN_GUIDENCE",'Margin Guidence Table'!$A$1:$AG$1,0))),0))</f>
        <v>0</v>
      </c>
      <c r="QC34" s="784">
        <f t="array" ref="QC34">IF('Customer Inputs'!$W$22="End",0,IFERROR(IF($PY34="SEGMENT",INDEX('Margin Guidence Table'!$A$1:$AG$10000,MATCH(1,('Margin Guidence Table'!$A$1:$A$10000=PW34)*('Margin Guidence Table'!$I$1:$I$10000&lt;=ROUND($PO$3,0))*('Margin Guidence Table'!$J$1:$J$10000&gt;=ROUND($PO$3,0)),0),MATCH("MDA_MEDIAN_MARGIN_GUIDENCE",'Margin Guidence Table'!$A$1:$AG$1,0)),INDEX('Margin Guidence Table'!$A$1:$AG$10000,MATCH(1,('Margin Guidence Table'!$A$1:$A$10000=PW34)*('Margin Guidence Table'!$I$1:$I$10000&lt;=ROUND($PO$3,0))*('Margin Guidence Table'!$J$1:$J$10000&gt;=ROUND($PO$3,0)),0),MATCH("DEFAULT_MDA_MEDIAN_MARGIN_GUIDENCE",'Margin Guidence Table'!$A$1:$AG$1,0))),0))</f>
        <v>0</v>
      </c>
      <c r="QD34" s="784">
        <f t="array" ref="QD34">IF('Customer Inputs'!$W$22="End",0,IFERROR(IF($PY34="SEGMENT",INDEX('Margin Guidence Table'!$A$1:$AG$10000,MATCH(1,('Margin Guidence Table'!$A$1:$A$10000=PW34)*('Margin Guidence Table'!$I$1:$I$10000&lt;=ROUND($PO$3,0))*('Margin Guidence Table'!$J$1:$J$10000&gt;=ROUND($PO$3,0)),0),MATCH("MDA_MAX_MARGIN_GUIDENCE",'Margin Guidence Table'!$A$1:$AG$1,0)),INDEX('Margin Guidence Table'!$A$1:$AG$10000,MATCH(1,('Margin Guidence Table'!$A$1:$A$10000=PW34)*('Margin Guidence Table'!$I$1:$I$10000&lt;=ROUND($PO$3,0))*('Margin Guidence Table'!$J$1:$J$10000&gt;=ROUND($PO$3,0)),0),MATCH("DEFAULT_MDA_MAX_MARGIN_GUIDENCE",'Margin Guidence Table'!$A$1:$AG$1,0))),0))</f>
        <v>0</v>
      </c>
      <c r="QE34" s="784">
        <f t="array" ref="QE34">IF('Customer Inputs'!$W$22="End",0,IFERROR(IF($PY34="SEGMENT",INDEX('Margin Guidence Table'!$A$1:$AG$10000,MATCH(1,('Margin Guidence Table'!$A$1:$A$10000=PW34)*('Margin Guidence Table'!$I$1:$I$10000&lt;=ROUND($PO$3,0))*('Margin Guidence Table'!$J$1:$J$10000&gt;=ROUND($PO$3,0)),0),MATCH("PA_PCT_SALES",'Margin Guidence Table'!$A$1:$AG$1,0)),INDEX('Margin Guidence Table'!$A$1:$AG$10000,MATCH(1,('Margin Guidence Table'!$A$1:$A$10000=PW34)*('Margin Guidence Table'!$I$1:$I$10000&lt;=ROUND($PO$3,0))*('Margin Guidence Table'!$J$1:$J$10000&gt;=ROUND($PO$3,0)),0),MATCH("DEFAULT_PA_PCT_SALES",'Margin Guidence Table'!$A$1:$AG$1,0))),0))</f>
        <v>0</v>
      </c>
      <c r="QF34" s="784">
        <f t="array" ref="QF34">IF('Customer Inputs'!$W$22="End",0,IFERROR(IF($PY34="SEGMENT",INDEX('Margin Guidence Table'!$A$1:$AG$10000,MATCH(1,('Margin Guidence Table'!$A$1:$A$10000=PW34)*('Margin Guidence Table'!$I$1:$I$10000&lt;=ROUND($PO$3,0))*('Margin Guidence Table'!$J$1:$J$10000&gt;=ROUND($PO$3,0)),0),MATCH("SELF_FUND_PCT_SALES",'Margin Guidence Table'!$A$1:$AG$1,0)),INDEX('Margin Guidence Table'!$A$1:$AG$10000,MATCH(1,('Margin Guidence Table'!$A$1:$A$10000=PW34)*('Margin Guidence Table'!$I$1:$I$10000&lt;=ROUND($PO$3,0))*('Margin Guidence Table'!$J$1:$J$10000&gt;=ROUND($PO$3,0)),0),MATCH("DEFAULT_SELF_FUND_PCT_SALES",'Margin Guidence Table'!$A$1:$AG$1,0))),0))</f>
        <v>0</v>
      </c>
      <c r="QG34" s="784">
        <f t="array" ref="QG34">IF('Customer Inputs'!$W$22="End",0,IF($PP$2="Existing",IFERROR(SUMIFS('Existing Customers'!$V:$V,'Existing Customers'!$H:$H,$PN34,'Existing Customers'!$A:$A,$PO$1)/SUMIFS('Existing Customers'!$Q:$Q,'Existing Customers'!$H:$H,$PN34,'Existing Customers'!$A:$A,$PO$1),0),IFERROR(IF($PY34="SEGMENT",INDEX('Margin Guidence Table'!$A$1:$AG$10000,MATCH(1,('Margin Guidence Table'!$A$1:$A$10000=PW34)*('Margin Guidence Table'!$I$1:$I$10000&lt;=ROUND($PO$3,0))*('Margin Guidence Table'!$J$1:$J$10000&gt;=ROUND($PO$3,0)),0),MATCH("CIA_MEDIAN_MARGIN_GUIDENCE",'Margin Guidence Table'!$A$1:$AG$1,0)),INDEX('Margin Guidence Table'!$A$1:$AG$10000,MATCH(1,('Margin Guidence Table'!$A$1:$A$10000=PW34)*('Margin Guidence Table'!$I$1:$I$10000&lt;=ROUND($PO$3,0))*('Margin Guidence Table'!$J$1:$J$10000&gt;=ROUND($PO$3,0)),0),MATCH("DEFAULT_CIA_MEDIAN_MARGIN_GUIDENCE",'Margin Guidence Table'!$A$1:$AG$1,0))),0)))</f>
        <v>0</v>
      </c>
      <c r="QH34" s="784"/>
      <c r="QI34" s="18">
        <f t="array" ref="QI34">IF('Customer Inputs'!$W$23="End",0,IFERROR(IF($QV34="SEGMENT",INDEX('Margin Guidence Table'!$A$1:$AG$10000,MATCH(1,('Margin Guidence Table'!$A$1:$A$10000=$QT34)*('Margin Guidence Table'!$I$1:$I$10000&lt;=ROUND($QL$3,0))*('Margin Guidence Table'!$J$1:$J$10000&gt;=ROUND($QL$3,0)),0),MATCH("PCT_SALES",'Margin Guidence Table'!$A$1:$AG$1,0)),INDEX('Margin Guidence Table'!$A$1:$AG$10000,MATCH(1,('Margin Guidence Table'!$A$1:$A$10000=$QT34)*('Margin Guidence Table'!$I$1:$I$10000&lt;=ROUND($QL$3,0))*('Margin Guidence Table'!$J$1:$J$10000&gt;=ROUND($QL$3,0)),0),MATCH("DEFAULT_PCT_SALES",'Margin Guidence Table'!$A$1:$AG$1,0))),0))</f>
        <v>0</v>
      </c>
      <c r="QJ34" s="1713" t="e">
        <f t="shared" si="66"/>
        <v>#DIV/0!</v>
      </c>
      <c r="QK34" s="100" t="s">
        <v>87</v>
      </c>
      <c r="QL34" s="91">
        <f>IF('Customer Inputs'!$W$23="End",0,IFERROR(IF(AND($QL$2&lt;&gt;"Enter Spend&gt;&gt;&gt;",$QM$2="EXISTING"),SUMIFS('Existing Customers'!$Q:$Q,'Existing Customers'!$A:$A,$QL$1,'Existing Customers'!$H:$H,$QK34)*$QL$4,$QL$3*$QJ34),0))</f>
        <v>0</v>
      </c>
      <c r="QM34" s="86">
        <f>IF('Customer Inputs'!$W$23="End",0,IFERROR(IF(AND($QL$2&lt;&gt;"Enter Spend&gt;&gt;&gt;",$QM$2="EXISTING"),SUMIFS('Existing Customers'!$N:$N,'Existing Customers'!$A:$A,$QL$1,'Existing Customers'!$H:$H,$QK34)*$QL$4,$QL34/$QW34),0))</f>
        <v>0</v>
      </c>
      <c r="QN34" s="92">
        <f>IF('Customer Inputs'!$W$23="End",0,IFERROR(IF(AND($QL$2&lt;&gt;"Enter Spend&gt;&gt;&gt;",$QM$2="EXISTING"),SUMIFS('Existing Customers'!$O:$O,'Existing Customers'!$H:$H,$QK34,'Existing Customers'!$A:$A,$QL$1)*$QL$4,$QM34*$QL$8),0))</f>
        <v>0</v>
      </c>
      <c r="QO34" s="92">
        <f>IF('Customer Inputs'!$W$23="End",0,IFERROR(IF(AND($QL$2&lt;&gt;"Enter Spend&gt;&gt;&gt;",$QM$2="EXISTING"),SUMIFS('Existing Customers'!$P:$P,'Existing Customers'!$A:$A,$QL$1,'Existing Customers'!$H:$H,$QK34)*$QL$4,$QL34/$QX34),0))</f>
        <v>0</v>
      </c>
      <c r="QP34" s="303">
        <f>IF('Customer Inputs'!$W$23="End",0,IFERROR(IF(AND($QL$2&lt;&gt;"Enter Spend&gt;&gt;&gt;",$QM$2="EXISTING"),SUMIFS('Existing Customers'!$V:$V,'Existing Customers'!$H:$H,$QK34,'Existing Customers'!$A:$A,$QL$1)*$QL$4,0),0))</f>
        <v>0</v>
      </c>
      <c r="QQ34" s="93">
        <f>IF('Customer Inputs'!$W$23="End",0,IFERROR(IF(AND($QL$2&lt;&gt;"Enter Spend&gt;&gt;&gt;",$QM$2="EXISTING"),SUMIFS('Existing Customers'!$R:$R,'Existing Customers'!$H:$H,$QK34,'Existing Customers'!$A:$A,$QL$1)*$QL$4,0),0))</f>
        <v>0</v>
      </c>
      <c r="QR34" s="780">
        <f>IF('Customer Inputs'!$W$23="End",0,IFERROR(IF(AND($QL$2&lt;&gt;"Enter Spend&gt;&gt;&gt;",$QM$2="EXISTING"),SUMIFS('Existing Customers'!$S:$S,'Existing Customers'!$H:$H,$QK34,'Existing Customers'!$A:$A,$QL$1)/SUMIFS('Existing Customers'!$Q:$Q,'Existing Customers'!$A:$A,$QL$1,'Existing Customers'!$H:$H,$QK34),RB34),0))</f>
        <v>0</v>
      </c>
      <c r="QS34" s="780">
        <f>IF('Customer Inputs'!$W$23="End",0,IFERROR(IF(AND($QL$2&lt;&gt;"Enter Spend&gt;&gt;&gt;",$QM$2="EXISTING"),SUMIFS('Existing Customers'!$U:$U,'Existing Customers'!$H:$H,$QK34,'Existing Customers'!$A:$A,$QL$1)/SUMIFS('Existing Customers'!$Q:$Q,'Existing Customers'!$A:$A,$QL$1,'Existing Customers'!$H:$H,$QK34),RC34),0))</f>
        <v>0</v>
      </c>
      <c r="QT34" s="783" t="e">
        <f>_xlfn.CONCAT('Customer Inputs'!$AH$23,"_",QK34)</f>
        <v>#N/A</v>
      </c>
      <c r="QU34" s="783">
        <f t="array" ref="QU34">IF('Customer Inputs'!$W$23="End",0,IFERROR(INDEX('Margin Guidence Table'!$A$1:$AG$10000,MATCH(1,('Margin Guidence Table'!$A$1:$A$10000=QT34)*('Margin Guidence Table'!$I$1:$I$10000&lt;=ROUND($QL$3,0))*('Margin Guidence Table'!$J$1:$J$10000&gt;=ROUND($QL$3,0)),0),MATCH("DATA_POINTS",'Margin Guidence Table'!$A$1:$AG$1,0)),0))</f>
        <v>0</v>
      </c>
      <c r="QV34" s="780" t="str">
        <f t="shared" si="67"/>
        <v>DEFAULT</v>
      </c>
      <c r="QW34" s="780">
        <f t="array" ref="QW34">IF('Customer Inputs'!$W$23="End",0,IFERROR(IF($QV34="SEGMENT",INDEX('Margin Guidence Table'!$A$1:$AG$10000,MATCH(1,('Margin Guidence Table'!$A$1:$A$10000=QT34)*('Margin Guidence Table'!$I$1:$I$10000&lt;=ROUND($QL$3,0))*('Margin Guidence Table'!$J$1:$J$10000&gt;=ROUND($QL$3,0)),0),MATCH("SALES_CASE",'Margin Guidence Table'!$A$1:$AG$1,0)),INDEX('Margin Guidence Table'!$A$1:$AG$10000,MATCH(1,('Margin Guidence Table'!$A$1:$A$10000=QT34)*('Margin Guidence Table'!$I$1:$I$10000&lt;=ROUND($QL$3,0))*('Margin Guidence Table'!$J$1:$J$10000&gt;=ROUND($QL$3,0)),0),MATCH("DEFAULT_SALES_CASE",'Margin Guidence Table'!$A$1:$AG$1,0))),0))</f>
        <v>0</v>
      </c>
      <c r="QX34" s="780">
        <f t="array" ref="QX34">IF('Customer Inputs'!$W$23="End",0,IFERROR(IF($QV34="SEGMENT",INDEX('Margin Guidence Table'!$A$1:$AG$10000,MATCH(1,('Margin Guidence Table'!$A$1:$A$10000=QT34)*('Margin Guidence Table'!$I$1:$I$10000&lt;=ROUND($QL$3,0))*('Margin Guidence Table'!$J$1:$J$10000&gt;=ROUND($QL$3,0)),0),MATCH("SALES_LBS",'Margin Guidence Table'!$A$1:$AG$1,0)),INDEX('Margin Guidence Table'!$A$1:$AG$10000,MATCH(1,('Margin Guidence Table'!$A$1:$A$10000=QT34)*('Margin Guidence Table'!$I$1:$I$10000&lt;=ROUND($QL$3,0))*('Margin Guidence Table'!$J$1:$J$10000&gt;=ROUND($QL$3,0)),0),MATCH("DEFAULT_SALES_LBS",'Margin Guidence Table'!$A$1:$AG$1,0))),0))</f>
        <v>0</v>
      </c>
      <c r="QY34" s="784">
        <f t="array" ref="QY34">IF('Customer Inputs'!$W$23="End",0,IFERROR(IF($QV34="SEGMENT",INDEX('Margin Guidence Table'!$A$1:$AG$10000,MATCH(1,('Margin Guidence Table'!$A$1:$A$10000=QT34)*('Margin Guidence Table'!$I$1:$I$10000&lt;=ROUND($QL$3,0))*('Margin Guidence Table'!$J$1:$J$10000&gt;=ROUND($QL$3,0)),0),MATCH("MDA_MIN_MARGIN_GUIDENCE",'Margin Guidence Table'!$A$1:$AG$1,0)),INDEX('Margin Guidence Table'!$A$1:$AG$10000,MATCH(1,('Margin Guidence Table'!$A$1:$A$10000=QT34)*('Margin Guidence Table'!$I$1:$I$10000&lt;=ROUND($QL$3,0))*('Margin Guidence Table'!$J$1:$J$10000&gt;=ROUND($QL$3,0)),0),MATCH("DEFAULT_MDA_MIN_MARGIN_GUIDENCE",'Margin Guidence Table'!$A$1:$AG$1,0))),0))</f>
        <v>0</v>
      </c>
      <c r="QZ34" s="784">
        <f t="array" ref="QZ34">IF('Customer Inputs'!$W$23="End",0,IFERROR(IF($QV34="SEGMENT",INDEX('Margin Guidence Table'!$A$1:$AG$10000,MATCH(1,('Margin Guidence Table'!$A$1:$A$10000=QT34)*('Margin Guidence Table'!$I$1:$I$10000&lt;=ROUND($QL$3,0))*('Margin Guidence Table'!$J$1:$J$10000&gt;=ROUND($QL$3,0)),0),MATCH("MDA_MEDIAN_MARGIN_GUIDENCE",'Margin Guidence Table'!$A$1:$AG$1,0)),INDEX('Margin Guidence Table'!$A$1:$AG$10000,MATCH(1,('Margin Guidence Table'!$A$1:$A$10000=QT34)*('Margin Guidence Table'!$I$1:$I$10000&lt;=ROUND($QL$3,0))*('Margin Guidence Table'!$J$1:$J$10000&gt;=ROUND($QL$3,0)),0),MATCH("DEFAULT_MDA_MEDIAN_MARGIN_GUIDENCE",'Margin Guidence Table'!$A$1:$AG$1,0))),0))</f>
        <v>0</v>
      </c>
      <c r="RA34" s="784">
        <f t="array" ref="RA34">IF('Customer Inputs'!$W$23="End",0,IFERROR(IF($QV34="SEGMENT",INDEX('Margin Guidence Table'!$A$1:$AG$10000,MATCH(1,('Margin Guidence Table'!$A$1:$A$10000=QT34)*('Margin Guidence Table'!$I$1:$I$10000&lt;=ROUND($QL$3,0))*('Margin Guidence Table'!$J$1:$J$10000&gt;=ROUND($QL$3,0)),0),MATCH("MDA_MAX_MARGIN_GUIDENCE",'Margin Guidence Table'!$A$1:$AG$1,0)),INDEX('Margin Guidence Table'!$A$1:$AG$10000,MATCH(1,('Margin Guidence Table'!$A$1:$A$10000=QT34)*('Margin Guidence Table'!$I$1:$I$10000&lt;=ROUND($QL$3,0))*('Margin Guidence Table'!$J$1:$J$10000&gt;=ROUND($QL$3,0)),0),MATCH("DEFAULT_MDA_MAX_MARGIN_GUIDENCE",'Margin Guidence Table'!$A$1:$AG$1,0))),0))</f>
        <v>0</v>
      </c>
      <c r="RB34" s="784">
        <f t="array" ref="RB34">IF('Customer Inputs'!$W$23="End",0,IFERROR(IF($QV34="SEGMENT",INDEX('Margin Guidence Table'!$A$1:$AG$10000,MATCH(1,('Margin Guidence Table'!$A$1:$A$10000=QT34)*('Margin Guidence Table'!$I$1:$I$10000&lt;=ROUND($QL$3,0))*('Margin Guidence Table'!$J$1:$J$10000&gt;=ROUND($QL$3,0)),0),MATCH("PA_PCT_SALES",'Margin Guidence Table'!$A$1:$AG$1,0)),INDEX('Margin Guidence Table'!$A$1:$AG$10000,MATCH(1,('Margin Guidence Table'!$A$1:$A$10000=QT34)*('Margin Guidence Table'!$I$1:$I$10000&lt;=ROUND($QL$3,0))*('Margin Guidence Table'!$J$1:$J$10000&gt;=ROUND($QL$3,0)),0),MATCH("DEFAULT_PA_PCT_SALES",'Margin Guidence Table'!$A$1:$AG$1,0))),0))</f>
        <v>0</v>
      </c>
      <c r="RC34" s="784">
        <f t="array" ref="RC34">IF('Customer Inputs'!$W$23="End",0,IFERROR(IF($QV34="SEGMENT",INDEX('Margin Guidence Table'!$A$1:$AG$10000,MATCH(1,('Margin Guidence Table'!$A$1:$A$10000=QT34)*('Margin Guidence Table'!$I$1:$I$10000&lt;=ROUND($QL$3,0))*('Margin Guidence Table'!$J$1:$J$10000&gt;=ROUND($QL$3,0)),0),MATCH("SELF_FUND_PCT_SALES",'Margin Guidence Table'!$A$1:$AG$1,0)),INDEX('Margin Guidence Table'!$A$1:$AG$10000,MATCH(1,('Margin Guidence Table'!$A$1:$A$10000=QT34)*('Margin Guidence Table'!$I$1:$I$10000&lt;=ROUND($QL$3,0))*('Margin Guidence Table'!$J$1:$J$10000&gt;=ROUND($QL$3,0)),0),MATCH("DEFAULT_SELF_FUND_PCT_SALES",'Margin Guidence Table'!$A$1:$AG$1,0))),0))</f>
        <v>0</v>
      </c>
      <c r="RD34" s="784">
        <f t="array" ref="RD34">IF('Customer Inputs'!$W$23="End",0,IF($QM$2="Existing",IFERROR(SUMIFS('Existing Customers'!$V:$V,'Existing Customers'!$H:$H,$QK34,'Existing Customers'!$A:$A,$QL$1)/SUMIFS('Existing Customers'!$Q:$Q,'Existing Customers'!$H:$H,$QK34,'Existing Customers'!$A:$A,$QL$1),0),IFERROR(IF($QV34="SEGMENT",INDEX('Margin Guidence Table'!$A$1:$AG$10000,MATCH(1,('Margin Guidence Table'!$A$1:$A$10000=QT34)*('Margin Guidence Table'!$I$1:$I$10000&lt;=ROUND($QL$3,0))*('Margin Guidence Table'!$J$1:$J$10000&gt;=ROUND($QL$3,0)),0),MATCH("CIA_MEDIAN_MARGIN_GUIDENCE",'Margin Guidence Table'!$A$1:$AG$1,0)),INDEX('Margin Guidence Table'!$A$1:$AG$10000,MATCH(1,('Margin Guidence Table'!$A$1:$A$10000=QT34)*('Margin Guidence Table'!$I$1:$I$10000&lt;=ROUND($QL$3,0))*('Margin Guidence Table'!$J$1:$J$10000&gt;=ROUND($QL$3,0)),0),MATCH("DEFAULT_CIA_MEDIAN_MARGIN_GUIDENCE",'Margin Guidence Table'!$A$1:$AG$1,0))),0)))</f>
        <v>0</v>
      </c>
      <c r="RE34" s="784"/>
      <c r="RF34" s="18">
        <f t="array" ref="RF34">IF('Customer Inputs'!$W$24="End",0,IFERROR(IF($RS34="SEGMENT",INDEX('Margin Guidence Table'!$A$1:$AG$10000,MATCH(1,('Margin Guidence Table'!$A$1:$A$10000=$RQ34)*('Margin Guidence Table'!$I$1:$I$10000&lt;=ROUND($RI$3,0))*('Margin Guidence Table'!$J$1:$J$10000&gt;=ROUND($RI$3,0)),0),MATCH("PCT_SALES",'Margin Guidence Table'!$A$1:$AG$1,0)),INDEX('Margin Guidence Table'!$A$1:$AG$10000,MATCH(1,('Margin Guidence Table'!$A$1:$A$10000=$RQ34)*('Margin Guidence Table'!$I$1:$I$10000&lt;=ROUND($RI$3,0))*('Margin Guidence Table'!$J$1:$J$10000&gt;=ROUND($RI$3,0)),0),MATCH("DEFAULT_PCT_SALES",'Margin Guidence Table'!$A$1:$AG$1,0))),0))</f>
        <v>0</v>
      </c>
      <c r="RG34" s="1713" t="e">
        <f t="shared" si="68"/>
        <v>#DIV/0!</v>
      </c>
      <c r="RH34" s="100" t="s">
        <v>87</v>
      </c>
      <c r="RI34" s="91">
        <f>IF('Customer Inputs'!$W$24="End",0,IFERROR(IF(AND($RI$2&lt;&gt;"Enter Spend&gt;&gt;&gt;",$RJ$2="EXISTING"),SUMIFS('Existing Customers'!$Q:$Q,'Existing Customers'!$A:$A,$RI$1,'Existing Customers'!$H:$H,$RH34)*$RI$4,$RI$3*$RG34),0))</f>
        <v>0</v>
      </c>
      <c r="RJ34" s="86">
        <f>IF('Customer Inputs'!$W$24="End",0,IFERROR(IF(AND($RI$2&lt;&gt;"Enter Spend&gt;&gt;&gt;",$RJ$2="EXISTING"),SUMIFS('Existing Customers'!$N:$N,'Existing Customers'!$A:$A,$RI$1,'Existing Customers'!$H:$H,$RH34)*$RI$4,$RI34/$RT34),0))</f>
        <v>0</v>
      </c>
      <c r="RK34" s="92">
        <f>IF('Customer Inputs'!$W$24="End",0,IFERROR(IF(AND($RI$2&lt;&gt;"Enter Spend&gt;&gt;&gt;",$RJ$2="EXISTING"),SUMIFS('Existing Customers'!$O:$O,'Existing Customers'!$H:$H,$RH34,'Existing Customers'!$A:$A,$RI$1)*$RI$4,$RJ34*$RI$8),0))</f>
        <v>0</v>
      </c>
      <c r="RL34" s="92">
        <f>IF('Customer Inputs'!$W$24="End",0,IFERROR(IF(AND($RI$2&lt;&gt;"Enter Spend&gt;&gt;&gt;",$RJ$2="EXISTING"),SUMIFS('Existing Customers'!$P:$P,'Existing Customers'!$A:$A,$RI$1,'Existing Customers'!$H:$H,$RH34)*$RI$4,$RI34/$RU34),0))</f>
        <v>0</v>
      </c>
      <c r="RM34" s="303">
        <f>IF('Customer Inputs'!$W$24="End",0,IFERROR(IF(AND($RI$2&lt;&gt;"Enter Spend&gt;&gt;&gt;",$RJ$2="EXISTING"),SUMIFS('Existing Customers'!$V:$V,'Existing Customers'!$H:$H,$RH34,'Existing Customers'!$A:$A,$RI$1)*$RI$4,0),0))</f>
        <v>0</v>
      </c>
      <c r="RN34" s="93">
        <f>IF('Customer Inputs'!$W$24="End",0,IFERROR(IF(AND($RI$2&lt;&gt;"Enter Spend&gt;&gt;&gt;",$RJ$2="EXISTING"),SUMIFS('Existing Customers'!$R:$R,'Existing Customers'!$H:$H,$RH34,'Existing Customers'!$A:$A,$RI$1)*$RI$4,0),0))</f>
        <v>0</v>
      </c>
      <c r="RO34" s="780">
        <f>IF('Customer Inputs'!$W$24="End",0,IFERROR(IF(AND($RI$2&lt;&gt;"Enter Spend&gt;&gt;&gt;",$RJ$2="EXISTING"),SUMIFS('Existing Customers'!$S:$S,'Existing Customers'!$H:$H,$RH34,'Existing Customers'!$A:$A,$RI$1)/SUMIFS('Existing Customers'!$Q:$Q,'Existing Customers'!$A:$A,$RI$1,'Existing Customers'!$H:$H,$RH34),RY34),0))</f>
        <v>0</v>
      </c>
      <c r="RP34" s="780">
        <f>IF('Customer Inputs'!$W$24="End",0,IFERROR(IF(AND($RI$2&lt;&gt;"Enter Spend&gt;&gt;&gt;",$RJ$2="EXISTING"),SUMIFS('Existing Customers'!$U:$U,'Existing Customers'!$H:$H,$RH34,'Existing Customers'!$A:$A,$RI$1)/SUMIFS('Existing Customers'!$Q:$Q,'Existing Customers'!$A:$A,$RI$1,'Existing Customers'!$H:$H,$RH34),RZ34),0))</f>
        <v>0</v>
      </c>
      <c r="RQ34" s="783" t="e">
        <f>_xlfn.CONCAT('Customer Inputs'!$AH$24,"_",RH34)</f>
        <v>#N/A</v>
      </c>
      <c r="RR34" s="783">
        <f t="array" ref="RR34">IF('Customer Inputs'!$W$24="End",0,IFERROR(INDEX('Margin Guidence Table'!$A$1:$AG$10000,MATCH(1,('Margin Guidence Table'!$A$1:$A$10000=RQ34)*('Margin Guidence Table'!$I$1:$I$10000&lt;=ROUND($RI$3,0))*('Margin Guidence Table'!$J$1:$J$10000&gt;=ROUND($RI$3,0)),0),MATCH("DATA_POINTS",'Margin Guidence Table'!$A$1:$AG$1,0)),0))</f>
        <v>0</v>
      </c>
      <c r="RS34" s="780" t="str">
        <f t="shared" si="69"/>
        <v>DEFAULT</v>
      </c>
      <c r="RT34" s="780">
        <f t="array" ref="RT34">IF('Customer Inputs'!$W$24="End",0,IFERROR(IF($RS34="SEGMENT",INDEX('Margin Guidence Table'!$A$1:$AG$10000,MATCH(1,('Margin Guidence Table'!$A$1:$A$10000=RQ34)*('Margin Guidence Table'!$I$1:$I$10000&lt;=ROUND($RI$3,0))*('Margin Guidence Table'!$J$1:$J$10000&gt;=ROUND($RI$3,0)),0),MATCH("SALES_CASE",'Margin Guidence Table'!$A$1:$AG$1,0)),INDEX('Margin Guidence Table'!$A$1:$AG$10000,MATCH(1,('Margin Guidence Table'!$A$1:$A$10000=RQ34)*('Margin Guidence Table'!$I$1:$I$10000&lt;=ROUND($RI$3,0))*('Margin Guidence Table'!$J$1:$J$10000&gt;=ROUND($RI$3,0)),0),MATCH("DEFAULT_SALES_CASE",'Margin Guidence Table'!$A$1:$AG$1,0))),0))</f>
        <v>0</v>
      </c>
      <c r="RU34" s="780">
        <f t="array" ref="RU34">IF('Customer Inputs'!$W$24="End",0,IFERROR(IF($RS34="SEGMENT",INDEX('Margin Guidence Table'!$A$1:$AG$10000,MATCH(1,('Margin Guidence Table'!$A$1:$A$10000=RQ34)*('Margin Guidence Table'!$I$1:$I$10000&lt;=ROUND($RI$3,0))*('Margin Guidence Table'!$J$1:$J$10000&gt;=ROUND($RI$3,0)),0),MATCH("SALES_LBS",'Margin Guidence Table'!$A$1:$AG$1,0)),INDEX('Margin Guidence Table'!$A$1:$AG$10000,MATCH(1,('Margin Guidence Table'!$A$1:$A$10000=RQ34)*('Margin Guidence Table'!$I$1:$I$10000&lt;=ROUND($RI$3,0))*('Margin Guidence Table'!$J$1:$J$10000&gt;=ROUND($RI$3,0)),0),MATCH("DEFAULT_SALES_LBS",'Margin Guidence Table'!$A$1:$AG$1,0))),0))</f>
        <v>0</v>
      </c>
      <c r="RV34" s="784">
        <f t="array" ref="RV34">IF('Customer Inputs'!$W$24="End",0,IFERROR(IF($RS34="SEGMENT",INDEX('Margin Guidence Table'!$A$1:$AG$10000,MATCH(1,('Margin Guidence Table'!$A$1:$A$10000=RQ34)*('Margin Guidence Table'!$I$1:$I$10000&lt;=ROUND($RI$3,0))*('Margin Guidence Table'!$J$1:$J$10000&gt;=ROUND($RI$3,0)),0),MATCH("MDA_MIN_MARGIN_GUIDENCE",'Margin Guidence Table'!$A$1:$AG$1,0)),INDEX('Margin Guidence Table'!$A$1:$AG$10000,MATCH(1,('Margin Guidence Table'!$A$1:$A$10000=RQ34)*('Margin Guidence Table'!$I$1:$I$10000&lt;=ROUND($RI$3,0))*('Margin Guidence Table'!$J$1:$J$10000&gt;=ROUND($RI$3,0)),0),MATCH("DEFAULT_MDA_MIN_MARGIN_GUIDENCE",'Margin Guidence Table'!$A$1:$AG$1,0))),0))</f>
        <v>0</v>
      </c>
      <c r="RW34" s="784">
        <f t="array" ref="RW34">IF('Customer Inputs'!$W$24="End",0,IFERROR(IF($RS34="SEGMENT",INDEX('Margin Guidence Table'!$A$1:$AG$10000,MATCH(1,('Margin Guidence Table'!$A$1:$A$10000=RQ34)*('Margin Guidence Table'!$I$1:$I$10000&lt;=ROUND($RI$3,0))*('Margin Guidence Table'!$J$1:$J$10000&gt;=ROUND($RI$3,0)),0),MATCH("MDA_MEDIAN_MARGIN_GUIDENCE",'Margin Guidence Table'!$A$1:$AG$1,0)),INDEX('Margin Guidence Table'!$A$1:$AG$10000,MATCH(1,('Margin Guidence Table'!$A$1:$A$10000=RQ34)*('Margin Guidence Table'!$I$1:$I$10000&lt;=ROUND($RI$3,0))*('Margin Guidence Table'!$J$1:$J$10000&gt;=ROUND($RI$3,0)),0),MATCH("DEFAULT_MDA_MEDIAN_MARGIN_GUIDENCE",'Margin Guidence Table'!$A$1:$AG$1,0))),0))</f>
        <v>0</v>
      </c>
      <c r="RX34" s="784">
        <f t="array" ref="RX34">IF('Customer Inputs'!$W$24="End",0,IFERROR(IF($RS34="SEGMENT",INDEX('Margin Guidence Table'!$A$1:$AG$10000,MATCH(1,('Margin Guidence Table'!$A$1:$A$10000=RQ34)*('Margin Guidence Table'!$I$1:$I$10000&lt;=ROUND($RI$3,0))*('Margin Guidence Table'!$J$1:$J$10000&gt;=ROUND($RI$3,0)),0),MATCH("MDA_MAX_MARGIN_GUIDENCE",'Margin Guidence Table'!$A$1:$AG$1,0)),INDEX('Margin Guidence Table'!$A$1:$AG$10000,MATCH(1,('Margin Guidence Table'!$A$1:$A$10000=RQ34)*('Margin Guidence Table'!$I$1:$I$10000&lt;=ROUND($RI$3,0))*('Margin Guidence Table'!$J$1:$J$10000&gt;=ROUND($RI$3,0)),0),MATCH("DEFAULT_MDA_MAX_MARGIN_GUIDENCE",'Margin Guidence Table'!$A$1:$AG$1,0))),0))</f>
        <v>0</v>
      </c>
      <c r="RY34" s="784">
        <f t="array" ref="RY34">IF('Customer Inputs'!$W$24="End",0,IFERROR(IF($RS34="SEGMENT",INDEX('Margin Guidence Table'!$A$1:$AG$10000,MATCH(1,('Margin Guidence Table'!$A$1:$A$10000=RQ34)*('Margin Guidence Table'!$I$1:$I$10000&lt;=ROUND($RI$3,0))*('Margin Guidence Table'!$J$1:$J$10000&gt;=ROUND($RI$3,0)),0),MATCH("PA_PCT_SALES",'Margin Guidence Table'!$A$1:$AG$1,0)),INDEX('Margin Guidence Table'!$A$1:$AG$10000,MATCH(1,('Margin Guidence Table'!$A$1:$A$10000=RQ34)*('Margin Guidence Table'!$I$1:$I$10000&lt;=ROUND($RI$3,0))*('Margin Guidence Table'!$J$1:$J$10000&gt;=ROUND($RI$3,0)),0),MATCH("DEFAULT_PA_PCT_SALES",'Margin Guidence Table'!$A$1:$AG$1,0))),0))</f>
        <v>0</v>
      </c>
      <c r="RZ34" s="784">
        <f t="array" ref="RZ34">IF('Customer Inputs'!$W$24="End",0,IFERROR(IF($RS34="SEGMENT",INDEX('Margin Guidence Table'!$A$1:$AG$10000,MATCH(1,('Margin Guidence Table'!$A$1:$A$10000=RQ34)*('Margin Guidence Table'!$I$1:$I$10000&lt;=ROUND($RI$3,0))*('Margin Guidence Table'!$J$1:$J$10000&gt;=ROUND($RI$3,0)),0),MATCH("SELF_FUND_PCT_SALES",'Margin Guidence Table'!$A$1:$AG$1,0)),INDEX('Margin Guidence Table'!$A$1:$AG$10000,MATCH(1,('Margin Guidence Table'!$A$1:$A$10000=RQ34)*('Margin Guidence Table'!$I$1:$I$10000&lt;=ROUND($RI$3,0))*('Margin Guidence Table'!$J$1:$J$10000&gt;=ROUND($RI$3,0)),0),MATCH("DEFAULT_SELF_FUND_PCT_SALES",'Margin Guidence Table'!$A$1:$AG$1,0))),0))</f>
        <v>0</v>
      </c>
      <c r="SA34" s="784">
        <f t="array" ref="SA34">IF('Customer Inputs'!$W$24="End",0,IF($RJ$2="Existing",IFERROR(SUMIFS('Existing Customers'!$V:$V,'Existing Customers'!$H:$H,$RH34,'Existing Customers'!$A:$A,$RI$1)/SUMIFS('Existing Customers'!$Q:$Q,'Existing Customers'!$H:$H,$RH34,'Existing Customers'!$A:$A,$RI$1),0),IFERROR(IF($RS34="SEGMENT",INDEX('Margin Guidence Table'!$A$1:$AG$10000,MATCH(1,('Margin Guidence Table'!$A$1:$A$10000=RQ34)*('Margin Guidence Table'!$I$1:$I$10000&lt;=ROUND($RI$3,0))*('Margin Guidence Table'!$J$1:$J$10000&gt;=ROUND($RI$3,0)),0),MATCH("CIA_MEDIAN_MARGIN_GUIDENCE",'Margin Guidence Table'!$A$1:$AG$1,0)),INDEX('Margin Guidence Table'!$A$1:$AG$10000,MATCH(1,('Margin Guidence Table'!$A$1:$A$10000=RQ34)*('Margin Guidence Table'!$I$1:$I$10000&lt;=ROUND($RI$3,0))*('Margin Guidence Table'!$J$1:$J$10000&gt;=ROUND($RI$3,0)),0),MATCH("DEFAULT_CIA_MEDIAN_MARGIN_GUIDENCE",'Margin Guidence Table'!$A$1:$AG$1,0))),0)))</f>
        <v>0</v>
      </c>
      <c r="SB34" s="784"/>
      <c r="SC34" s="18">
        <f t="array" ref="SC34">IF('Customer Inputs'!$W$25="End",0,IFERROR(IF($SP34="SEGMENT",INDEX('Margin Guidence Table'!$A$1:$AG$10000,MATCH(1,('Margin Guidence Table'!$A$1:$A$10000=$SN34)*('Margin Guidence Table'!$I$1:$I$10000&lt;=ROUND($SF$3,0))*('Margin Guidence Table'!$J$1:$J$10000&gt;=ROUND($SF$3,0)),0),MATCH("PCT_SALES",'Margin Guidence Table'!$A$1:$AG$1,0)),INDEX('Margin Guidence Table'!$A$1:$AG$10000,MATCH(1,('Margin Guidence Table'!$A$1:$A$10000=$SN34)*('Margin Guidence Table'!$I$1:$I$10000&lt;=ROUND($SF$3,0))*('Margin Guidence Table'!$J$1:$J$10000&gt;=ROUND($SF$3,0)),0),MATCH("DEFAULT_PCT_SALES",'Margin Guidence Table'!$A$1:$AG$1,0))),0))</f>
        <v>0</v>
      </c>
      <c r="SD34" s="1713" t="e">
        <f t="shared" si="70"/>
        <v>#DIV/0!</v>
      </c>
      <c r="SE34" s="100" t="s">
        <v>87</v>
      </c>
      <c r="SF34" s="91">
        <f>IF('Customer Inputs'!$W$25="End",0,IFERROR(IF(AND($SF$2&lt;&gt;"Enter Spend&gt;&gt;&gt;",$SG$2="EXISTING"),SUMIFS('Existing Customers'!$Q:$Q,'Existing Customers'!$A:$A,$SF$1,'Existing Customers'!$H:$H,$SE34)*$SF$4,$SF$3*$SD34),0))</f>
        <v>0</v>
      </c>
      <c r="SG34" s="86">
        <f>IF('Customer Inputs'!$W$25="End",0,IFERROR(IF(AND($SF$2&lt;&gt;"Enter Spend&gt;&gt;&gt;",$SG$2="EXISTING"),SUMIFS('Existing Customers'!$N:$N,'Existing Customers'!$A:$A,$SF$1,'Existing Customers'!$H:$H,$SE34)*$SF$4,$SF34/$SQ34),0))</f>
        <v>0</v>
      </c>
      <c r="SH34" s="92">
        <f>IF('Customer Inputs'!$W$25="End",0,IFERROR(IF(AND($SF$2&lt;&gt;"Enter Spend&gt;&gt;&gt;",$SG$2="EXISTING"),SUMIFS('Existing Customers'!$O:$O,'Existing Customers'!$H:$H,$SE34,'Existing Customers'!$A:$A,$SF$1)*$SF$4,$SG34*$SF$8),0))</f>
        <v>0</v>
      </c>
      <c r="SI34" s="92">
        <f>IF('Customer Inputs'!$W$25="End",0,IFERROR(IF(AND($SF$2&lt;&gt;"Enter Spend&gt;&gt;&gt;",$SG$2="EXISTING"),SUMIFS('Existing Customers'!$P:$P,'Existing Customers'!$A:$A,$SF$1,'Existing Customers'!$H:$H,$SE34)*$SF$4,$SF34/$SR34),0))</f>
        <v>0</v>
      </c>
      <c r="SJ34" s="303">
        <f>IF('Customer Inputs'!$W$25="End",0,IFERROR(IF(AND($SF$2&lt;&gt;"Enter Spend&gt;&gt;&gt;",$SG$2="EXISTING"),SUMIFS('Existing Customers'!$V:$V,'Existing Customers'!$H:$H,$SE34,'Existing Customers'!$A:$A,$SF$1)*$SF$4,0),0))</f>
        <v>0</v>
      </c>
      <c r="SK34" s="93">
        <f>IF('Customer Inputs'!$W$25="End",0,IFERROR(IF(AND($SF$2&lt;&gt;"Enter Spend&gt;&gt;&gt;",$SG$2="EXISTING"),SUMIFS('Existing Customers'!$R:$R,'Existing Customers'!$H:$H,$SE34,'Existing Customers'!$A:$A,$SF$1)*$SF$4,0),0))</f>
        <v>0</v>
      </c>
      <c r="SL34" s="780">
        <f>IF('Customer Inputs'!$W$25="End",0,IFERROR(IF(AND($SF$2&lt;&gt;"Enter Spend&gt;&gt;&gt;",$SG$2="EXISTING"),SUMIFS('Existing Customers'!$S:$S,'Existing Customers'!$H:$H,$SE34,'Existing Customers'!$A:$A,$SF$1)/SUMIFS('Existing Customers'!$Q:$Q,'Existing Customers'!$A:$A,$SF$1,'Existing Customers'!$H:$H,$SE34),SV34),0))</f>
        <v>0</v>
      </c>
      <c r="SM34" s="780">
        <f>IF('Customer Inputs'!$W$25="End",0,IFERROR(IF(AND($SF$2&lt;&gt;"Enter Spend&gt;&gt;&gt;",$SG$2="EXISTING"),SUMIFS('Existing Customers'!$U:$U,'Existing Customers'!$H:$H,$SE34,'Existing Customers'!$A:$A,$SF$1)/SUMIFS('Existing Customers'!$Q:$Q,'Existing Customers'!$A:$A,$SF$1,'Existing Customers'!$H:$H,$SE34),SW34),0))</f>
        <v>0</v>
      </c>
      <c r="SN34" s="783" t="e">
        <f>_xlfn.CONCAT('Customer Inputs'!$AH$25,"_",SE34)</f>
        <v>#N/A</v>
      </c>
      <c r="SO34" s="783">
        <f t="array" ref="SO34">IF('Customer Inputs'!$W$25="End",0,IFERROR(INDEX('Margin Guidence Table'!$A$1:$AG$10000,MATCH(1,('Margin Guidence Table'!$A$1:$A$10000=SN34)*('Margin Guidence Table'!$I$1:$I$10000&lt;=ROUND($SF$3,0))*('Margin Guidence Table'!$J$1:$J$10000&gt;=ROUND($SF$3,0)),0),MATCH("DATA_POINTS",'Margin Guidence Table'!$A$1:$AG$1,0)),0))</f>
        <v>0</v>
      </c>
      <c r="SP34" s="780" t="str">
        <f t="shared" si="71"/>
        <v>DEFAULT</v>
      </c>
      <c r="SQ34" s="780">
        <f t="array" ref="SQ34">IF('Customer Inputs'!$W$25="End",0,IFERROR(IF($SP34="SEGMENT",INDEX('Margin Guidence Table'!$A$1:$AG$10000,MATCH(1,('Margin Guidence Table'!$A$1:$A$10000=SN34)*('Margin Guidence Table'!$I$1:$I$10000&lt;=ROUND($SF$3,0))*('Margin Guidence Table'!$J$1:$J$10000&gt;=ROUND($SF$3,0)),0),MATCH("SALES_CASE",'Margin Guidence Table'!$A$1:$AG$1,0)),INDEX('Margin Guidence Table'!$A$1:$AG$10000,MATCH(1,('Margin Guidence Table'!$A$1:$A$10000=SN34)*('Margin Guidence Table'!$I$1:$I$10000&lt;=ROUND($SF$3,0))*('Margin Guidence Table'!$J$1:$J$10000&gt;=ROUND($SF$3,0)),0),MATCH("DEFAULT_SALES_CASE",'Margin Guidence Table'!$A$1:$AG$1,0))),0))</f>
        <v>0</v>
      </c>
      <c r="SR34" s="780">
        <f t="array" ref="SR34">IF('Customer Inputs'!$W$25="End",0,IFERROR(IF($SP34="SEGMENT",INDEX('Margin Guidence Table'!$A$1:$AG$10000,MATCH(1,('Margin Guidence Table'!$A$1:$A$10000=SN34)*('Margin Guidence Table'!$I$1:$I$10000&lt;=ROUND($SF$3,0))*('Margin Guidence Table'!$J$1:$J$10000&gt;=ROUND($SF$3,0)),0),MATCH("SALES_LBS",'Margin Guidence Table'!$A$1:$AG$1,0)),INDEX('Margin Guidence Table'!$A$1:$AG$10000,MATCH(1,('Margin Guidence Table'!$A$1:$A$10000=SN34)*('Margin Guidence Table'!$I$1:$I$10000&lt;=ROUND($SF$3,0))*('Margin Guidence Table'!$J$1:$J$10000&gt;=ROUND($SF$3,0)),0),MATCH("DEFAULT_SALES_LBS",'Margin Guidence Table'!$A$1:$AG$1,0))),0))</f>
        <v>0</v>
      </c>
      <c r="SS34" s="784">
        <f t="array" ref="SS34">IF('Customer Inputs'!$W$25="End",0,IFERROR(IF($SP34="SEGMENT",INDEX('Margin Guidence Table'!$A$1:$AG$10000,MATCH(1,('Margin Guidence Table'!$A$1:$A$10000=SN34)*('Margin Guidence Table'!$I$1:$I$10000&lt;=ROUND($SF$3,0))*('Margin Guidence Table'!$J$1:$J$10000&gt;=ROUND($SF$3,0)),0),MATCH("MDA_MIN_MARGIN_GUIDENCE",'Margin Guidence Table'!$A$1:$AG$1,0)),INDEX('Margin Guidence Table'!$A$1:$AG$10000,MATCH(1,('Margin Guidence Table'!$A$1:$A$10000=SN34)*('Margin Guidence Table'!$I$1:$I$10000&lt;=ROUND($SF$3,0))*('Margin Guidence Table'!$J$1:$J$10000&gt;=ROUND($SF$3,0)),0),MATCH("DEFAULT_MDA_MIN_MARGIN_GUIDENCE",'Margin Guidence Table'!$A$1:$AG$1,0))),0))</f>
        <v>0</v>
      </c>
      <c r="ST34" s="784">
        <f t="array" ref="ST34">IF('Customer Inputs'!$W$25="End",0,IFERROR(IF($SP34="SEGMENT",INDEX('Margin Guidence Table'!$A$1:$AG$10000,MATCH(1,('Margin Guidence Table'!$A$1:$A$10000=SN34)*('Margin Guidence Table'!$I$1:$I$10000&lt;=ROUND($SF$3,0))*('Margin Guidence Table'!$J$1:$J$10000&gt;=ROUND($SF$3,0)),0),MATCH("MDA_MEDIAN_MARGIN_GUIDENCE",'Margin Guidence Table'!$A$1:$AG$1,0)),INDEX('Margin Guidence Table'!$A$1:$AG$10000,MATCH(1,('Margin Guidence Table'!$A$1:$A$10000=SN34)*('Margin Guidence Table'!$I$1:$I$10000&lt;=ROUND($SF$3,0))*('Margin Guidence Table'!$J$1:$J$10000&gt;=ROUND($SF$3,0)),0),MATCH("DEFAULT_MDA_MEDIAN_MARGIN_GUIDENCE",'Margin Guidence Table'!$A$1:$AG$1,0))),0))</f>
        <v>0</v>
      </c>
      <c r="SU34" s="784">
        <f t="array" ref="SU34">IF('Customer Inputs'!$W$25="End",0,IFERROR(IF($SP34="SEGMENT",INDEX('Margin Guidence Table'!$A$1:$AG$10000,MATCH(1,('Margin Guidence Table'!$A$1:$A$10000=SN34)*('Margin Guidence Table'!$I$1:$I$10000&lt;=ROUND($SF$3,0))*('Margin Guidence Table'!$J$1:$J$10000&gt;=ROUND($SF$3,0)),0),MATCH("MDA_MAX_MARGIN_GUIDENCE",'Margin Guidence Table'!$A$1:$AG$1,0)),INDEX('Margin Guidence Table'!$A$1:$AG$10000,MATCH(1,('Margin Guidence Table'!$A$1:$A$10000=SN34)*('Margin Guidence Table'!$I$1:$I$10000&lt;=ROUND($SF$3,0))*('Margin Guidence Table'!$J$1:$J$10000&gt;=ROUND($SF$3,0)),0),MATCH("DEFAULT_MDA_MAX_MARGIN_GUIDENCE",'Margin Guidence Table'!$A$1:$AG$1,0))),0))</f>
        <v>0</v>
      </c>
      <c r="SV34" s="784">
        <f t="array" ref="SV34">IF('Customer Inputs'!$W$25="End",0,IFERROR(IF($SP34="SEGMENT",INDEX('Margin Guidence Table'!$A$1:$AG$10000,MATCH(1,('Margin Guidence Table'!$A$1:$A$10000=SN34)*('Margin Guidence Table'!$I$1:$I$10000&lt;=ROUND($SF$3,0))*('Margin Guidence Table'!$J$1:$J$10000&gt;=ROUND($SF$3,0)),0),MATCH("PA_PCT_SALES",'Margin Guidence Table'!$A$1:$AG$1,0)),INDEX('Margin Guidence Table'!$A$1:$AG$10000,MATCH(1,('Margin Guidence Table'!$A$1:$A$10000=SN34)*('Margin Guidence Table'!$I$1:$I$10000&lt;=ROUND($SF$3,0))*('Margin Guidence Table'!$J$1:$J$10000&gt;=ROUND($SF$3,0)),0),MATCH("DEFAULT_PA_PCT_SALES",'Margin Guidence Table'!$A$1:$AG$1,0))),0))</f>
        <v>0</v>
      </c>
      <c r="SW34" s="784">
        <f t="array" ref="SW34">IF('Customer Inputs'!$W$25="End",0,IFERROR(IF($SP34="SEGMENT",INDEX('Margin Guidence Table'!$A$1:$AG$10000,MATCH(1,('Margin Guidence Table'!$A$1:$A$10000=SN34)*('Margin Guidence Table'!$I$1:$I$10000&lt;=ROUND($SF$3,0))*('Margin Guidence Table'!$J$1:$J$10000&gt;=ROUND($SF$3,0)),0),MATCH("SELF_FUND_PCT_SALES",'Margin Guidence Table'!$A$1:$AG$1,0)),INDEX('Margin Guidence Table'!$A$1:$AG$10000,MATCH(1,('Margin Guidence Table'!$A$1:$A$10000=SN34)*('Margin Guidence Table'!$I$1:$I$10000&lt;=ROUND($SF$3,0))*('Margin Guidence Table'!$J$1:$J$10000&gt;=ROUND($SF$3,0)),0),MATCH("DEFAULT_SELF_FUND_PCT_SALES",'Margin Guidence Table'!$A$1:$AG$1,0))),0))</f>
        <v>0</v>
      </c>
      <c r="SX34" s="784">
        <f t="array" ref="SX34">IF('Customer Inputs'!$W$25="End",0,IF($SG$2="Existing",IFERROR(SUMIFS('Existing Customers'!$V:$V,'Existing Customers'!$H:$H,$SE34,'Existing Customers'!$A:$A,$SF$1)/SUMIFS('Existing Customers'!$Q:$Q,'Existing Customers'!$H:$H,$SE34,'Existing Customers'!$A:$A,$SF$1),0),IFERROR(IF($SP34="SEGMENT",INDEX('Margin Guidence Table'!$A$1:$AG$10000,MATCH(1,('Margin Guidence Table'!$A$1:$A$10000=SN34)*('Margin Guidence Table'!$I$1:$I$10000&lt;=ROUND($SF$3,0))*('Margin Guidence Table'!$J$1:$J$10000&gt;=ROUND($SF$3,0)),0),MATCH("CIA_MEDIAN_MARGIN_GUIDENCE",'Margin Guidence Table'!$A$1:$AG$1,0)),INDEX('Margin Guidence Table'!$A$1:$AG$10000,MATCH(1,('Margin Guidence Table'!$A$1:$A$10000=SN34)*('Margin Guidence Table'!$I$1:$I$10000&lt;=ROUND($SF$3,0))*('Margin Guidence Table'!$J$1:$J$10000&gt;=ROUND($SF$3,0)),0),MATCH("DEFAULT_CIA_MEDIAN_MARGIN_GUIDENCE",'Margin Guidence Table'!$A$1:$AG$1,0))),0)))</f>
        <v>0</v>
      </c>
      <c r="SY34" s="784"/>
      <c r="SZ34" s="1705"/>
      <c r="TA34" s="100" t="s">
        <v>87</v>
      </c>
      <c r="TB34" s="96"/>
      <c r="TC34" s="86"/>
      <c r="TD34" s="97"/>
      <c r="TE34" s="97"/>
      <c r="TF34" s="112"/>
      <c r="TG34" s="98"/>
      <c r="TH34" s="126"/>
      <c r="TI34" s="1705"/>
      <c r="TJ34" s="100" t="s">
        <v>87</v>
      </c>
      <c r="TK34" s="96"/>
      <c r="TL34" s="86"/>
      <c r="TM34" s="97"/>
      <c r="TN34" s="97"/>
      <c r="TO34" s="112"/>
      <c r="TP34" s="98"/>
      <c r="TQ34" s="1705"/>
      <c r="TR34" s="1705"/>
    </row>
    <row r="35" spans="1:538" ht="15.75" thickBot="1" x14ac:dyDescent="0.3">
      <c r="A35" s="1705"/>
      <c r="B35" s="1705"/>
      <c r="C35" s="1429">
        <f>SUM(C14:C34)</f>
        <v>0</v>
      </c>
      <c r="D35" s="1430">
        <f>SUM(D14:D34)</f>
        <v>0</v>
      </c>
      <c r="E35" s="1430">
        <f>SUM(E14:E34)</f>
        <v>0</v>
      </c>
      <c r="F35" s="1430">
        <f>SUM(F14:F34)</f>
        <v>0</v>
      </c>
      <c r="G35" s="1429">
        <f t="shared" ref="G35:H35" si="73">SUM(G14:G34)</f>
        <v>0</v>
      </c>
      <c r="H35" s="1429">
        <f t="shared" si="73"/>
        <v>0</v>
      </c>
      <c r="I35" s="1431">
        <f>SUM(I14:I34)</f>
        <v>0</v>
      </c>
      <c r="J35" s="105"/>
      <c r="K35" s="778">
        <f t="shared" ref="K35" si="74">IF(C35&gt;0,IFERROR(ROUND(SUM($BK35*BX35+$CH35*CU35+$DE35*DR35+$EB35*EO35+$EY35*FL35+$FV35*GI35+$GS35*HF35+$HP35*IC35+$IM35*IZ35+$JJ35*JW35)/$C35,2),0),IFERROR(ROUND(SUM($BK$3*BX35+$CH$3*CU35+$DE$3*DR35+$EB$3*EO35+$EY$3*FL35+$FV$3*GI35+$GS$3*HF35+$HP$3*IC35+$IM$3*IZ35+$JJ$3*JW35)/$C$35,2),0))</f>
        <v>0</v>
      </c>
      <c r="L35" s="778">
        <f t="shared" ref="L35" si="75">IF(C35&gt;0,IFERROR(ROUND(SUM($BK35*BY35+$CH35*CV35+$DE35*DS35+$EB35*EP35+$EY35*FM35+$FV35*GJ35+$GS35*HG35+$HP35*ID35+$IM35*JA35+$JJ35*JX35)/$C35,2),0),IFERROR(ROUND(SUM($BK$3*BY35+$CH$3*CV35+$DE$3*DS35+$EB$3*EP35+$EY$3*FM35+$FV$3*GJ35+$GS$3*HG35+$HP$3*ID35+$IM$3*JA35+$JJ$3*JX35)/$C$35,2),0))</f>
        <v>0</v>
      </c>
      <c r="M35" s="778">
        <f t="shared" ref="M35" si="76">IF(C35&gt;0,IFERROR(ROUND(SUM($BK35*BZ35+$CH35*CW35+$DE35*DT35+$EB35*EQ35+$EY35*FN35+$FV35*GK35+$GS35*HH35+$HP35*IE35+$IM35*JB35+$JJ35*JY35)/$C35,2),0),IFERROR(ROUND(SUM($BK$3*BZ35+$CH$3*CW35+$DE$3*DT35+$EB$3*EQ35+$EY$3*FN35+$FV$3*GK35+$GS$3*HH35+$HP$3*IE35+$IM$3*JB35+$JJ$3*JY35)/$C$35,2),0))</f>
        <v>0</v>
      </c>
      <c r="N35" s="778"/>
      <c r="O35" s="778"/>
      <c r="P35" s="778"/>
      <c r="Q35" s="358">
        <f t="shared" si="11"/>
        <v>0</v>
      </c>
      <c r="R35" s="358">
        <f t="shared" si="12"/>
        <v>0</v>
      </c>
      <c r="S35" s="779">
        <f t="shared" si="13"/>
        <v>0</v>
      </c>
      <c r="T35" s="1506"/>
      <c r="U35" s="1506"/>
      <c r="V35" s="1506"/>
      <c r="W35" s="1506"/>
      <c r="X35" s="1705"/>
      <c r="Y35" s="1705"/>
      <c r="Z35" s="1705">
        <f>SUM(Z14:Z34)</f>
        <v>0</v>
      </c>
      <c r="AA35" s="1705">
        <f>SUM(AA14:AA34)</f>
        <v>0</v>
      </c>
      <c r="AB35" s="1705"/>
      <c r="AC35" s="102">
        <f>SUM(AC14:AC34)</f>
        <v>0</v>
      </c>
      <c r="AD35" s="103">
        <f>SUM(AD14:AD34)</f>
        <v>0</v>
      </c>
      <c r="AE35" s="103">
        <f>SUM(AE14:AE34)</f>
        <v>0</v>
      </c>
      <c r="AF35" s="103">
        <f>SUM(AF14:AF34)</f>
        <v>0</v>
      </c>
      <c r="AG35" s="104">
        <f>SUM(AG14:AG34)</f>
        <v>0</v>
      </c>
      <c r="AH35" s="105"/>
      <c r="AI35" s="105"/>
      <c r="AJ35" s="105"/>
      <c r="AK35" s="354">
        <f>SUM(AK14:AK34)</f>
        <v>0</v>
      </c>
      <c r="AL35" s="355">
        <f>SUM(AL14:AL34)</f>
        <v>0</v>
      </c>
      <c r="AM35" s="355">
        <f>SUM(AM14:AM34)</f>
        <v>0</v>
      </c>
      <c r="AN35" s="356">
        <f>IFERROR(AL35/AK35,0)</f>
        <v>0</v>
      </c>
      <c r="AO35" s="357">
        <f>IFERROR(AM35/AK35,0)</f>
        <v>0</v>
      </c>
      <c r="AP35" s="105"/>
      <c r="AQ35" s="105"/>
      <c r="AR35" s="354">
        <f>SUM(AR14:AR34)</f>
        <v>0</v>
      </c>
      <c r="AS35" s="501">
        <f>SUM(AS14:AS34)</f>
        <v>0</v>
      </c>
      <c r="AT35" s="357">
        <f>IFERROR(#REF!/AR35,0)</f>
        <v>0</v>
      </c>
      <c r="AU35" s="105"/>
      <c r="AV35" s="105"/>
      <c r="AW35" s="105"/>
      <c r="AX35" s="105"/>
      <c r="AY35" s="105"/>
      <c r="AZ35" s="105"/>
      <c r="BA35" s="105"/>
      <c r="BB35" s="105"/>
      <c r="BC35" s="105"/>
      <c r="BD35" s="105"/>
      <c r="BE35" s="105"/>
      <c r="BF35" s="105"/>
      <c r="BG35" s="105"/>
      <c r="BH35" s="297">
        <f>SUM(BH14:BH34)</f>
        <v>0</v>
      </c>
      <c r="BI35" s="297" t="e">
        <f>SUM(BI14:BI34)</f>
        <v>#DIV/0!</v>
      </c>
      <c r="BJ35" s="1705"/>
      <c r="BK35" s="102">
        <f t="shared" ref="BK35:BP35" si="77">SUM(BK14:BK34)</f>
        <v>0</v>
      </c>
      <c r="BL35" s="103">
        <f t="shared" si="77"/>
        <v>0</v>
      </c>
      <c r="BM35" s="103">
        <f t="shared" si="77"/>
        <v>0</v>
      </c>
      <c r="BN35" s="103">
        <f t="shared" si="77"/>
        <v>0</v>
      </c>
      <c r="BO35" s="304">
        <f t="shared" si="77"/>
        <v>0</v>
      </c>
      <c r="BP35" s="104">
        <f t="shared" si="77"/>
        <v>0</v>
      </c>
      <c r="BQ35" s="93">
        <f>SUM(BQ14:BQ34)</f>
        <v>0</v>
      </c>
      <c r="BR35" s="93">
        <f>SUM(BR14:BR34)</f>
        <v>0</v>
      </c>
      <c r="BS35" s="776"/>
      <c r="BT35" s="776"/>
      <c r="BU35" s="776"/>
      <c r="BV35" s="780">
        <f>SUM(BV14:BV34)</f>
        <v>0</v>
      </c>
      <c r="BW35" s="780">
        <f>SUM(BW14:BW34)</f>
        <v>0</v>
      </c>
      <c r="BX35" s="776"/>
      <c r="BY35" s="776"/>
      <c r="BZ35" s="776"/>
      <c r="CA35" s="776"/>
      <c r="CB35" s="776"/>
      <c r="CC35" s="776"/>
      <c r="CD35" s="297"/>
      <c r="CE35" s="297">
        <f>SUM(CE14:CE34)</f>
        <v>0</v>
      </c>
      <c r="CF35" s="297" t="e">
        <f>SUM(CF14:CF34)</f>
        <v>#DIV/0!</v>
      </c>
      <c r="CG35" s="1705"/>
      <c r="CH35" s="102">
        <f t="shared" ref="CH35:CM35" si="78">SUM(CH14:CH34)</f>
        <v>0</v>
      </c>
      <c r="CI35" s="103">
        <f t="shared" si="78"/>
        <v>0</v>
      </c>
      <c r="CJ35" s="103">
        <f t="shared" si="78"/>
        <v>0</v>
      </c>
      <c r="CK35" s="103">
        <f t="shared" si="78"/>
        <v>0</v>
      </c>
      <c r="CL35" s="104">
        <f t="shared" si="78"/>
        <v>0</v>
      </c>
      <c r="CM35" s="104">
        <f t="shared" si="78"/>
        <v>0</v>
      </c>
      <c r="CN35" s="104">
        <f>SUM(CN14:CN34)</f>
        <v>0</v>
      </c>
      <c r="CO35" s="104">
        <f>SUM(CO14:CO34)</f>
        <v>0</v>
      </c>
      <c r="CP35" s="776"/>
      <c r="CQ35" s="776"/>
      <c r="CR35" s="776"/>
      <c r="CS35" s="780">
        <f>SUM(CS14:CS34)</f>
        <v>0</v>
      </c>
      <c r="CT35" s="780">
        <f>SUM(CT14:CT34)</f>
        <v>0</v>
      </c>
      <c r="CU35" s="776"/>
      <c r="CV35" s="776"/>
      <c r="CW35" s="776"/>
      <c r="CX35" s="776"/>
      <c r="CY35" s="776"/>
      <c r="CZ35" s="776"/>
      <c r="DA35" s="105"/>
      <c r="DB35" s="297">
        <f>SUM(DB14:DB34)</f>
        <v>0</v>
      </c>
      <c r="DC35" s="297" t="e">
        <f>SUM(DC14:DC34)</f>
        <v>#DIV/0!</v>
      </c>
      <c r="DD35" s="1705"/>
      <c r="DE35" s="102">
        <f t="shared" ref="DE35:DJ35" si="79">SUM(DE14:DE34)</f>
        <v>0</v>
      </c>
      <c r="DF35" s="103">
        <f t="shared" si="79"/>
        <v>0</v>
      </c>
      <c r="DG35" s="103">
        <f t="shared" si="79"/>
        <v>0</v>
      </c>
      <c r="DH35" s="103">
        <f t="shared" si="79"/>
        <v>0</v>
      </c>
      <c r="DI35" s="104">
        <f t="shared" si="79"/>
        <v>0</v>
      </c>
      <c r="DJ35" s="104">
        <f t="shared" si="79"/>
        <v>0</v>
      </c>
      <c r="DK35" s="104">
        <f>SUM(DK14:DK34)</f>
        <v>0</v>
      </c>
      <c r="DL35" s="104">
        <f>SUM(DL14:DL34)</f>
        <v>0</v>
      </c>
      <c r="DM35" s="776"/>
      <c r="DN35" s="776"/>
      <c r="DO35" s="776"/>
      <c r="DP35" s="780">
        <f>SUM(DP14:DP34)</f>
        <v>0</v>
      </c>
      <c r="DQ35" s="780">
        <f>SUM(DQ14:DQ34)</f>
        <v>0</v>
      </c>
      <c r="DR35" s="776"/>
      <c r="DS35" s="776"/>
      <c r="DT35" s="776"/>
      <c r="DU35" s="776"/>
      <c r="DV35" s="776"/>
      <c r="DW35" s="776"/>
      <c r="DX35" s="105"/>
      <c r="DY35" s="297">
        <f>SUM(DY14:DY34)</f>
        <v>0</v>
      </c>
      <c r="DZ35" s="297" t="e">
        <f>SUM(DZ14:DZ34)</f>
        <v>#DIV/0!</v>
      </c>
      <c r="EA35" s="1705"/>
      <c r="EB35" s="102">
        <f t="shared" ref="EB35:EG35" si="80">SUM(EB14:EB34)</f>
        <v>0</v>
      </c>
      <c r="EC35" s="103">
        <f t="shared" si="80"/>
        <v>0</v>
      </c>
      <c r="ED35" s="103">
        <f t="shared" si="80"/>
        <v>0</v>
      </c>
      <c r="EE35" s="103">
        <f t="shared" si="80"/>
        <v>0</v>
      </c>
      <c r="EF35" s="104">
        <f t="shared" si="80"/>
        <v>0</v>
      </c>
      <c r="EG35" s="104">
        <f t="shared" si="80"/>
        <v>0</v>
      </c>
      <c r="EH35" s="104">
        <f>SUM(EH14:EH34)</f>
        <v>0</v>
      </c>
      <c r="EI35" s="104">
        <f>SUM(EI14:EI34)</f>
        <v>0</v>
      </c>
      <c r="EJ35" s="776"/>
      <c r="EK35" s="776"/>
      <c r="EL35" s="776"/>
      <c r="EM35" s="780">
        <f>SUM(EM14:EM34)</f>
        <v>0</v>
      </c>
      <c r="EN35" s="780">
        <f>SUM(EN14:EN34)</f>
        <v>0</v>
      </c>
      <c r="EO35" s="776"/>
      <c r="EP35" s="776"/>
      <c r="EQ35" s="776"/>
      <c r="ER35" s="776"/>
      <c r="ES35" s="776"/>
      <c r="ET35" s="776"/>
      <c r="EU35" s="105"/>
      <c r="EV35" s="297">
        <f>SUM(EV14:EV34)</f>
        <v>0</v>
      </c>
      <c r="EW35" s="297" t="e">
        <f>SUM(EW14:EW34)</f>
        <v>#DIV/0!</v>
      </c>
      <c r="EX35" s="1705"/>
      <c r="EY35" s="102">
        <f t="shared" ref="EY35:FD35" si="81">SUM(EY14:EY34)</f>
        <v>0</v>
      </c>
      <c r="EZ35" s="103">
        <f t="shared" si="81"/>
        <v>0</v>
      </c>
      <c r="FA35" s="103">
        <f t="shared" si="81"/>
        <v>0</v>
      </c>
      <c r="FB35" s="103">
        <f t="shared" si="81"/>
        <v>0</v>
      </c>
      <c r="FC35" s="104">
        <f t="shared" si="81"/>
        <v>0</v>
      </c>
      <c r="FD35" s="104">
        <f t="shared" si="81"/>
        <v>0</v>
      </c>
      <c r="FE35" s="104">
        <f>SUM(FE14:FE34)</f>
        <v>0</v>
      </c>
      <c r="FF35" s="104">
        <f>SUM(FF14:FF34)</f>
        <v>0</v>
      </c>
      <c r="FG35" s="776"/>
      <c r="FH35" s="776"/>
      <c r="FI35" s="776"/>
      <c r="FJ35" s="780">
        <f>SUM(FJ14:FJ34)</f>
        <v>0</v>
      </c>
      <c r="FK35" s="780">
        <f>SUM(FK14:FK34)</f>
        <v>0</v>
      </c>
      <c r="FL35" s="776"/>
      <c r="FM35" s="776"/>
      <c r="FN35" s="776"/>
      <c r="FO35" s="776"/>
      <c r="FP35" s="776"/>
      <c r="FQ35" s="776"/>
      <c r="FR35" s="105"/>
      <c r="FS35" s="297">
        <f>SUM(FS14:FS34)</f>
        <v>0</v>
      </c>
      <c r="FT35" s="297" t="e">
        <f>SUM(FT14:FT34)</f>
        <v>#DIV/0!</v>
      </c>
      <c r="FU35" s="1705"/>
      <c r="FV35" s="102">
        <f t="shared" ref="FV35:GA35" si="82">SUM(FV14:FV34)</f>
        <v>0</v>
      </c>
      <c r="FW35" s="103">
        <f t="shared" si="82"/>
        <v>0</v>
      </c>
      <c r="FX35" s="103">
        <f t="shared" si="82"/>
        <v>0</v>
      </c>
      <c r="FY35" s="103">
        <f t="shared" si="82"/>
        <v>0</v>
      </c>
      <c r="FZ35" s="104">
        <f t="shared" si="82"/>
        <v>0</v>
      </c>
      <c r="GA35" s="104">
        <f t="shared" si="82"/>
        <v>0</v>
      </c>
      <c r="GB35" s="104">
        <f>SUM(GB14:GB34)</f>
        <v>0</v>
      </c>
      <c r="GC35" s="104">
        <f>SUM(GC14:GC34)</f>
        <v>0</v>
      </c>
      <c r="GD35" s="776"/>
      <c r="GE35" s="776"/>
      <c r="GF35" s="776"/>
      <c r="GG35" s="780">
        <f>SUM(GG14:GG34)</f>
        <v>0</v>
      </c>
      <c r="GH35" s="780">
        <f>SUM(GH14:GH34)</f>
        <v>0</v>
      </c>
      <c r="GI35" s="776"/>
      <c r="GJ35" s="776"/>
      <c r="GK35" s="776"/>
      <c r="GL35" s="776"/>
      <c r="GM35" s="776"/>
      <c r="GN35" s="776"/>
      <c r="GO35" s="105"/>
      <c r="GP35" s="297">
        <f>SUM(GP14:GP34)</f>
        <v>0</v>
      </c>
      <c r="GQ35" s="297" t="e">
        <f>SUM(GQ14:GQ34)</f>
        <v>#DIV/0!</v>
      </c>
      <c r="GR35" s="1705"/>
      <c r="GS35" s="102">
        <f t="shared" ref="GS35:GX35" si="83">SUM(GS14:GS34)</f>
        <v>0</v>
      </c>
      <c r="GT35" s="103">
        <f t="shared" si="83"/>
        <v>0</v>
      </c>
      <c r="GU35" s="103">
        <f t="shared" si="83"/>
        <v>0</v>
      </c>
      <c r="GV35" s="103">
        <f t="shared" si="83"/>
        <v>0</v>
      </c>
      <c r="GW35" s="104">
        <f t="shared" si="83"/>
        <v>0</v>
      </c>
      <c r="GX35" s="104">
        <f t="shared" si="83"/>
        <v>0</v>
      </c>
      <c r="GY35" s="104">
        <f>SUM(GY14:GY34)</f>
        <v>0</v>
      </c>
      <c r="GZ35" s="104">
        <f>SUM(GZ14:GZ34)</f>
        <v>0</v>
      </c>
      <c r="HA35" s="776"/>
      <c r="HB35" s="776"/>
      <c r="HC35" s="776"/>
      <c r="HD35" s="780">
        <f>SUM(HD14:HD34)</f>
        <v>0</v>
      </c>
      <c r="HE35" s="780">
        <f>SUM(HE14:HE34)</f>
        <v>0</v>
      </c>
      <c r="HF35" s="776"/>
      <c r="HG35" s="776"/>
      <c r="HH35" s="776"/>
      <c r="HI35" s="776"/>
      <c r="HJ35" s="776"/>
      <c r="HK35" s="776"/>
      <c r="HL35" s="105"/>
      <c r="HM35" s="297">
        <f>SUM(HM14:HM34)</f>
        <v>0</v>
      </c>
      <c r="HN35" s="297" t="e">
        <f>SUM(HN14:HN34)</f>
        <v>#DIV/0!</v>
      </c>
      <c r="HO35" s="1705"/>
      <c r="HP35" s="102">
        <f t="shared" ref="HP35:HU35" si="84">SUM(HP14:HP34)</f>
        <v>0</v>
      </c>
      <c r="HQ35" s="103">
        <f t="shared" si="84"/>
        <v>0</v>
      </c>
      <c r="HR35" s="103">
        <f t="shared" si="84"/>
        <v>0</v>
      </c>
      <c r="HS35" s="103">
        <f t="shared" si="84"/>
        <v>0</v>
      </c>
      <c r="HT35" s="104">
        <f t="shared" si="84"/>
        <v>0</v>
      </c>
      <c r="HU35" s="104">
        <f t="shared" si="84"/>
        <v>0</v>
      </c>
      <c r="HV35" s="104">
        <f>SUM(HV14:HV34)</f>
        <v>0</v>
      </c>
      <c r="HW35" s="104">
        <f>SUM(HW14:HW34)</f>
        <v>0</v>
      </c>
      <c r="HX35" s="776"/>
      <c r="HY35" s="776"/>
      <c r="HZ35" s="776"/>
      <c r="IA35" s="780">
        <f>SUM(IA14:IA34)</f>
        <v>0</v>
      </c>
      <c r="IB35" s="780">
        <f>SUM(IB14:IB34)</f>
        <v>0</v>
      </c>
      <c r="IC35" s="776"/>
      <c r="ID35" s="776"/>
      <c r="IE35" s="776"/>
      <c r="IF35" s="776"/>
      <c r="IG35" s="776"/>
      <c r="IH35" s="776"/>
      <c r="II35" s="105"/>
      <c r="IJ35" s="297">
        <f>SUM(IJ14:IJ34)</f>
        <v>0</v>
      </c>
      <c r="IK35" s="297" t="e">
        <f>SUM(IK14:IK34)</f>
        <v>#DIV/0!</v>
      </c>
      <c r="IL35" s="1705"/>
      <c r="IM35" s="102">
        <f t="shared" ref="IM35:IR35" si="85">SUM(IM14:IM34)</f>
        <v>0</v>
      </c>
      <c r="IN35" s="103">
        <f t="shared" si="85"/>
        <v>0</v>
      </c>
      <c r="IO35" s="103">
        <f t="shared" si="85"/>
        <v>0</v>
      </c>
      <c r="IP35" s="103">
        <f t="shared" si="85"/>
        <v>0</v>
      </c>
      <c r="IQ35" s="304">
        <f t="shared" si="85"/>
        <v>0</v>
      </c>
      <c r="IR35" s="104">
        <f t="shared" si="85"/>
        <v>0</v>
      </c>
      <c r="IS35" s="104">
        <f>SUM(IS14:IS34)</f>
        <v>0</v>
      </c>
      <c r="IT35" s="104">
        <f>SUM(IT14:IT34)</f>
        <v>0</v>
      </c>
      <c r="IU35" s="776"/>
      <c r="IV35" s="776"/>
      <c r="IW35" s="776"/>
      <c r="IX35" s="780">
        <f>SUM(IX14:IX34)</f>
        <v>0</v>
      </c>
      <c r="IY35" s="780">
        <f>SUM(IY14:IY34)</f>
        <v>0</v>
      </c>
      <c r="IZ35" s="776"/>
      <c r="JA35" s="776"/>
      <c r="JB35" s="776"/>
      <c r="JC35" s="776"/>
      <c r="JD35" s="776"/>
      <c r="JE35" s="776"/>
      <c r="JF35" s="105"/>
      <c r="JG35" s="297">
        <f>SUM(JG14:JG34)</f>
        <v>0</v>
      </c>
      <c r="JH35" s="297" t="e">
        <f>SUM(JH14:JH34)</f>
        <v>#DIV/0!</v>
      </c>
      <c r="JI35" s="1705"/>
      <c r="JJ35" s="102">
        <f t="shared" ref="JJ35:JO35" si="86">SUM(JJ14:JJ34)</f>
        <v>0</v>
      </c>
      <c r="JK35" s="103">
        <f t="shared" si="86"/>
        <v>0</v>
      </c>
      <c r="JL35" s="103">
        <f t="shared" si="86"/>
        <v>0</v>
      </c>
      <c r="JM35" s="103">
        <f t="shared" si="86"/>
        <v>0</v>
      </c>
      <c r="JN35" s="304">
        <f t="shared" si="86"/>
        <v>0</v>
      </c>
      <c r="JO35" s="104">
        <f t="shared" si="86"/>
        <v>0</v>
      </c>
      <c r="JP35" s="104">
        <f>SUM(JP14:JP34)</f>
        <v>0</v>
      </c>
      <c r="JQ35" s="104">
        <f>SUM(JQ14:JQ34)</f>
        <v>0</v>
      </c>
      <c r="JR35" s="776"/>
      <c r="JS35" s="776"/>
      <c r="JT35" s="776"/>
      <c r="JU35" s="780">
        <f>SUM(JU14:JU34)</f>
        <v>0</v>
      </c>
      <c r="JV35" s="780">
        <f>SUM(JV14:JV34)</f>
        <v>0</v>
      </c>
      <c r="JW35" s="776"/>
      <c r="JX35" s="776"/>
      <c r="JY35" s="776"/>
      <c r="JZ35" s="776"/>
      <c r="KA35" s="776"/>
      <c r="KB35" s="776"/>
      <c r="KC35" s="776"/>
      <c r="KD35" s="297">
        <f>SUM(KD14:KD34)</f>
        <v>0</v>
      </c>
      <c r="KE35" s="297" t="e">
        <f>SUM(KE14:KE34)</f>
        <v>#DIV/0!</v>
      </c>
      <c r="KF35" s="1705"/>
      <c r="KG35" s="102">
        <f t="shared" ref="KG35:KL35" si="87">SUM(KG14:KG34)</f>
        <v>0</v>
      </c>
      <c r="KH35" s="103">
        <f t="shared" si="87"/>
        <v>0</v>
      </c>
      <c r="KI35" s="103">
        <f t="shared" si="87"/>
        <v>0</v>
      </c>
      <c r="KJ35" s="103">
        <f t="shared" si="87"/>
        <v>0</v>
      </c>
      <c r="KK35" s="304">
        <f t="shared" si="87"/>
        <v>0</v>
      </c>
      <c r="KL35" s="104">
        <f t="shared" si="87"/>
        <v>0</v>
      </c>
      <c r="KM35" s="104">
        <f>SUM(KM14:KM34)</f>
        <v>0</v>
      </c>
      <c r="KN35" s="104">
        <f>SUM(KN14:KN34)</f>
        <v>0</v>
      </c>
      <c r="KO35" s="776"/>
      <c r="KP35" s="776"/>
      <c r="KQ35" s="776"/>
      <c r="KR35" s="780">
        <f>SUM(KR14:KR34)</f>
        <v>0</v>
      </c>
      <c r="KS35" s="780">
        <f>SUM(KS14:KS34)</f>
        <v>0</v>
      </c>
      <c r="KT35" s="776"/>
      <c r="KU35" s="776"/>
      <c r="KV35" s="776"/>
      <c r="KW35" s="776"/>
      <c r="KX35" s="776"/>
      <c r="KY35" s="776"/>
      <c r="KZ35" s="776"/>
      <c r="LA35" s="297">
        <f>SUM(LA14:LA34)</f>
        <v>0</v>
      </c>
      <c r="LB35" s="297" t="e">
        <f>SUM(LB14:LB34)</f>
        <v>#DIV/0!</v>
      </c>
      <c r="LC35" s="1705"/>
      <c r="LD35" s="102">
        <f t="shared" ref="LD35:LI35" si="88">SUM(LD14:LD34)</f>
        <v>0</v>
      </c>
      <c r="LE35" s="103">
        <f t="shared" si="88"/>
        <v>0</v>
      </c>
      <c r="LF35" s="103">
        <f t="shared" si="88"/>
        <v>0</v>
      </c>
      <c r="LG35" s="103">
        <f t="shared" si="88"/>
        <v>0</v>
      </c>
      <c r="LH35" s="304">
        <f t="shared" si="88"/>
        <v>0</v>
      </c>
      <c r="LI35" s="104">
        <f t="shared" si="88"/>
        <v>0</v>
      </c>
      <c r="LJ35" s="104">
        <f>SUM(LJ14:LJ34)</f>
        <v>0</v>
      </c>
      <c r="LK35" s="104">
        <f>SUM(LK14:LK34)</f>
        <v>0</v>
      </c>
      <c r="LL35" s="776"/>
      <c r="LM35" s="776"/>
      <c r="LN35" s="776"/>
      <c r="LO35" s="780">
        <f>SUM(LO14:LO34)</f>
        <v>0</v>
      </c>
      <c r="LP35" s="780">
        <f>SUM(LP14:LP34)</f>
        <v>0</v>
      </c>
      <c r="LQ35" s="776"/>
      <c r="LR35" s="776"/>
      <c r="LS35" s="776"/>
      <c r="LT35" s="776"/>
      <c r="LU35" s="776"/>
      <c r="LV35" s="776"/>
      <c r="LW35" s="776"/>
      <c r="LX35" s="297">
        <f>SUM(LX14:LX34)</f>
        <v>0</v>
      </c>
      <c r="LY35" s="297" t="e">
        <f>SUM(LY14:LY34)</f>
        <v>#DIV/0!</v>
      </c>
      <c r="LZ35" s="1705"/>
      <c r="MA35" s="102">
        <f t="shared" ref="MA35:MF35" si="89">SUM(MA14:MA34)</f>
        <v>0</v>
      </c>
      <c r="MB35" s="103">
        <f t="shared" si="89"/>
        <v>0</v>
      </c>
      <c r="MC35" s="103">
        <f t="shared" si="89"/>
        <v>0</v>
      </c>
      <c r="MD35" s="103">
        <f t="shared" si="89"/>
        <v>0</v>
      </c>
      <c r="ME35" s="304">
        <f t="shared" si="89"/>
        <v>0</v>
      </c>
      <c r="MF35" s="104">
        <f t="shared" si="89"/>
        <v>0</v>
      </c>
      <c r="MG35" s="104">
        <f>SUM(MG14:MG34)</f>
        <v>0</v>
      </c>
      <c r="MH35" s="104">
        <f>SUM(MH14:MH34)</f>
        <v>0</v>
      </c>
      <c r="MI35" s="776"/>
      <c r="MJ35" s="776"/>
      <c r="MK35" s="776"/>
      <c r="ML35" s="780">
        <f>SUM(ML14:ML34)</f>
        <v>0</v>
      </c>
      <c r="MM35" s="780">
        <f>SUM(MM14:MM34)</f>
        <v>0</v>
      </c>
      <c r="MN35" s="776"/>
      <c r="MO35" s="776"/>
      <c r="MP35" s="776"/>
      <c r="MQ35" s="776"/>
      <c r="MR35" s="776"/>
      <c r="MS35" s="776"/>
      <c r="MT35" s="776"/>
      <c r="MU35" s="297">
        <f>SUM(MU14:MU34)</f>
        <v>0</v>
      </c>
      <c r="MV35" s="297" t="e">
        <f>SUM(MV14:MV34)</f>
        <v>#DIV/0!</v>
      </c>
      <c r="MW35" s="1705"/>
      <c r="MX35" s="102">
        <f t="shared" ref="MX35:NC35" si="90">SUM(MX14:MX34)</f>
        <v>0</v>
      </c>
      <c r="MY35" s="103">
        <f t="shared" si="90"/>
        <v>0</v>
      </c>
      <c r="MZ35" s="103">
        <f t="shared" si="90"/>
        <v>0</v>
      </c>
      <c r="NA35" s="103">
        <f t="shared" si="90"/>
        <v>0</v>
      </c>
      <c r="NB35" s="304">
        <f t="shared" si="90"/>
        <v>0</v>
      </c>
      <c r="NC35" s="104">
        <f t="shared" si="90"/>
        <v>0</v>
      </c>
      <c r="ND35" s="104">
        <f>SUM(ND14:ND34)</f>
        <v>0</v>
      </c>
      <c r="NE35" s="104">
        <f>SUM(NE14:NE34)</f>
        <v>0</v>
      </c>
      <c r="NF35" s="776"/>
      <c r="NG35" s="776"/>
      <c r="NH35" s="776"/>
      <c r="NI35" s="780">
        <f>SUM(NI14:NI34)</f>
        <v>0</v>
      </c>
      <c r="NJ35" s="780">
        <f>SUM(NJ14:NJ34)</f>
        <v>0</v>
      </c>
      <c r="NK35" s="776"/>
      <c r="NL35" s="776"/>
      <c r="NM35" s="776"/>
      <c r="NN35" s="776"/>
      <c r="NO35" s="776"/>
      <c r="NP35" s="776"/>
      <c r="NQ35" s="776"/>
      <c r="NR35" s="297">
        <f>SUM(NR14:NR34)</f>
        <v>0</v>
      </c>
      <c r="NS35" s="297" t="e">
        <f>SUM(NS14:NS34)</f>
        <v>#DIV/0!</v>
      </c>
      <c r="NT35" s="1705"/>
      <c r="NU35" s="102">
        <f t="shared" ref="NU35:NZ35" si="91">SUM(NU14:NU34)</f>
        <v>0</v>
      </c>
      <c r="NV35" s="103">
        <f t="shared" si="91"/>
        <v>0</v>
      </c>
      <c r="NW35" s="103">
        <f t="shared" si="91"/>
        <v>0</v>
      </c>
      <c r="NX35" s="103">
        <f t="shared" si="91"/>
        <v>0</v>
      </c>
      <c r="NY35" s="304">
        <f t="shared" si="91"/>
        <v>0</v>
      </c>
      <c r="NZ35" s="104">
        <f t="shared" si="91"/>
        <v>0</v>
      </c>
      <c r="OA35" s="104">
        <f>SUM(OA14:OA34)</f>
        <v>0</v>
      </c>
      <c r="OB35" s="104">
        <f>SUM(OB14:OB34)</f>
        <v>0</v>
      </c>
      <c r="OC35" s="776"/>
      <c r="OD35" s="776"/>
      <c r="OE35" s="776"/>
      <c r="OF35" s="780">
        <f>SUM(OF14:OF34)</f>
        <v>0</v>
      </c>
      <c r="OG35" s="780">
        <f>SUM(OG14:OG34)</f>
        <v>0</v>
      </c>
      <c r="OH35" s="776"/>
      <c r="OI35" s="776"/>
      <c r="OJ35" s="776"/>
      <c r="OK35" s="776"/>
      <c r="OL35" s="776"/>
      <c r="OM35" s="776"/>
      <c r="ON35" s="776"/>
      <c r="OO35" s="297">
        <f>SUM(OO14:OO34)</f>
        <v>0</v>
      </c>
      <c r="OP35" s="297" t="e">
        <f>SUM(OP14:OP34)</f>
        <v>#DIV/0!</v>
      </c>
      <c r="OQ35" s="1705"/>
      <c r="OR35" s="102">
        <f t="shared" ref="OR35:OW35" si="92">SUM(OR14:OR34)</f>
        <v>0</v>
      </c>
      <c r="OS35" s="103">
        <f t="shared" si="92"/>
        <v>0</v>
      </c>
      <c r="OT35" s="103">
        <f t="shared" si="92"/>
        <v>0</v>
      </c>
      <c r="OU35" s="103">
        <f t="shared" si="92"/>
        <v>0</v>
      </c>
      <c r="OV35" s="304">
        <f t="shared" si="92"/>
        <v>0</v>
      </c>
      <c r="OW35" s="104">
        <f t="shared" si="92"/>
        <v>0</v>
      </c>
      <c r="OX35" s="104">
        <f>SUM(OX14:OX34)</f>
        <v>0</v>
      </c>
      <c r="OY35" s="104">
        <f>SUM(OY14:OY34)</f>
        <v>0</v>
      </c>
      <c r="OZ35" s="776"/>
      <c r="PA35" s="776"/>
      <c r="PB35" s="776"/>
      <c r="PC35" s="780">
        <f>SUM(PC14:PC34)</f>
        <v>0</v>
      </c>
      <c r="PD35" s="780">
        <f>SUM(PD14:PD34)</f>
        <v>0</v>
      </c>
      <c r="PE35" s="776"/>
      <c r="PF35" s="776"/>
      <c r="PG35" s="776"/>
      <c r="PH35" s="776"/>
      <c r="PI35" s="776"/>
      <c r="PJ35" s="776"/>
      <c r="PK35" s="776"/>
      <c r="PL35" s="297">
        <f>SUM(PL14:PL34)</f>
        <v>0</v>
      </c>
      <c r="PM35" s="297" t="e">
        <f>SUM(PM14:PM34)</f>
        <v>#DIV/0!</v>
      </c>
      <c r="PN35" s="1705"/>
      <c r="PO35" s="102">
        <f t="shared" ref="PO35:PT35" si="93">SUM(PO14:PO34)</f>
        <v>0</v>
      </c>
      <c r="PP35" s="103">
        <f t="shared" si="93"/>
        <v>0</v>
      </c>
      <c r="PQ35" s="103">
        <f t="shared" si="93"/>
        <v>0</v>
      </c>
      <c r="PR35" s="103">
        <f t="shared" si="93"/>
        <v>0</v>
      </c>
      <c r="PS35" s="304">
        <f t="shared" si="93"/>
        <v>0</v>
      </c>
      <c r="PT35" s="104">
        <f t="shared" si="93"/>
        <v>0</v>
      </c>
      <c r="PU35" s="104">
        <f>SUM(PU14:PU34)</f>
        <v>0</v>
      </c>
      <c r="PV35" s="104">
        <f>SUM(PV14:PV34)</f>
        <v>0</v>
      </c>
      <c r="PW35" s="776"/>
      <c r="PX35" s="776"/>
      <c r="PY35" s="776"/>
      <c r="PZ35" s="780">
        <f>SUM(PZ14:PZ34)</f>
        <v>0</v>
      </c>
      <c r="QA35" s="780">
        <f>SUM(QA14:QA34)</f>
        <v>0</v>
      </c>
      <c r="QB35" s="776"/>
      <c r="QC35" s="776"/>
      <c r="QD35" s="776"/>
      <c r="QE35" s="776"/>
      <c r="QF35" s="776"/>
      <c r="QG35" s="776"/>
      <c r="QH35" s="776"/>
      <c r="QI35" s="297">
        <f>SUM(QI14:QI34)</f>
        <v>0</v>
      </c>
      <c r="QJ35" s="297" t="e">
        <f>SUM(QJ14:QJ34)</f>
        <v>#DIV/0!</v>
      </c>
      <c r="QK35" s="1705"/>
      <c r="QL35" s="102">
        <f t="shared" ref="QL35:QQ35" si="94">SUM(QL14:QL34)</f>
        <v>0</v>
      </c>
      <c r="QM35" s="103">
        <f t="shared" si="94"/>
        <v>0</v>
      </c>
      <c r="QN35" s="103">
        <f t="shared" si="94"/>
        <v>0</v>
      </c>
      <c r="QO35" s="103">
        <f t="shared" si="94"/>
        <v>0</v>
      </c>
      <c r="QP35" s="304">
        <f t="shared" si="94"/>
        <v>0</v>
      </c>
      <c r="QQ35" s="104">
        <f t="shared" si="94"/>
        <v>0</v>
      </c>
      <c r="QR35" s="104">
        <f>SUM(QR14:QR34)</f>
        <v>0</v>
      </c>
      <c r="QS35" s="104">
        <f>SUM(QS14:QS34)</f>
        <v>0</v>
      </c>
      <c r="QT35" s="776"/>
      <c r="QU35" s="776"/>
      <c r="QV35" s="776"/>
      <c r="QW35" s="780">
        <f>SUM(QW14:QW34)</f>
        <v>0</v>
      </c>
      <c r="QX35" s="780">
        <f>SUM(QX14:QX34)</f>
        <v>0</v>
      </c>
      <c r="QY35" s="776"/>
      <c r="QZ35" s="776"/>
      <c r="RA35" s="776"/>
      <c r="RB35" s="776"/>
      <c r="RC35" s="776"/>
      <c r="RD35" s="776"/>
      <c r="RE35" s="776"/>
      <c r="RF35" s="297">
        <f>SUM(RF14:RF34)</f>
        <v>0</v>
      </c>
      <c r="RG35" s="297" t="e">
        <f>SUM(RG14:RG34)</f>
        <v>#DIV/0!</v>
      </c>
      <c r="RH35" s="1705"/>
      <c r="RI35" s="102">
        <f t="shared" ref="RI35:RN35" si="95">SUM(RI14:RI34)</f>
        <v>0</v>
      </c>
      <c r="RJ35" s="103">
        <f t="shared" si="95"/>
        <v>0</v>
      </c>
      <c r="RK35" s="103">
        <f t="shared" si="95"/>
        <v>0</v>
      </c>
      <c r="RL35" s="103">
        <f t="shared" si="95"/>
        <v>0</v>
      </c>
      <c r="RM35" s="304">
        <f t="shared" si="95"/>
        <v>0</v>
      </c>
      <c r="RN35" s="104">
        <f t="shared" si="95"/>
        <v>0</v>
      </c>
      <c r="RO35" s="104">
        <f>SUM(RO14:RO34)</f>
        <v>0</v>
      </c>
      <c r="RP35" s="104">
        <f>SUM(RP14:RP34)</f>
        <v>0</v>
      </c>
      <c r="RQ35" s="776"/>
      <c r="RR35" s="776"/>
      <c r="RS35" s="776"/>
      <c r="RT35" s="780">
        <f>SUM(RT14:RT34)</f>
        <v>0</v>
      </c>
      <c r="RU35" s="780">
        <f>SUM(RU14:RU34)</f>
        <v>0</v>
      </c>
      <c r="RV35" s="776"/>
      <c r="RW35" s="776"/>
      <c r="RX35" s="776"/>
      <c r="RY35" s="776"/>
      <c r="RZ35" s="776"/>
      <c r="SA35" s="776"/>
      <c r="SB35" s="776"/>
      <c r="SC35" s="297">
        <f>SUM(SC14:SC34)</f>
        <v>0</v>
      </c>
      <c r="SD35" s="297" t="e">
        <f>SUM(SD14:SD34)</f>
        <v>#DIV/0!</v>
      </c>
      <c r="SE35" s="1705"/>
      <c r="SF35" s="102">
        <f t="shared" ref="SF35:SK35" si="96">SUM(SF14:SF34)</f>
        <v>0</v>
      </c>
      <c r="SG35" s="103">
        <f t="shared" si="96"/>
        <v>0</v>
      </c>
      <c r="SH35" s="103">
        <f t="shared" si="96"/>
        <v>0</v>
      </c>
      <c r="SI35" s="103">
        <f t="shared" si="96"/>
        <v>0</v>
      </c>
      <c r="SJ35" s="304">
        <f t="shared" si="96"/>
        <v>0</v>
      </c>
      <c r="SK35" s="104">
        <f t="shared" si="96"/>
        <v>0</v>
      </c>
      <c r="SL35" s="104">
        <f>SUM(SL14:SL34)</f>
        <v>0</v>
      </c>
      <c r="SM35" s="104">
        <f>SUM(SM14:SM34)</f>
        <v>0</v>
      </c>
      <c r="SN35" s="776"/>
      <c r="SO35" s="776"/>
      <c r="SP35" s="776"/>
      <c r="SQ35" s="780">
        <f>SUM(SQ14:SQ34)</f>
        <v>0</v>
      </c>
      <c r="SR35" s="780">
        <f>SUM(SR14:SR34)</f>
        <v>0</v>
      </c>
      <c r="SS35" s="776"/>
      <c r="ST35" s="776"/>
      <c r="SU35" s="776"/>
      <c r="SV35" s="776"/>
      <c r="SW35" s="776"/>
      <c r="SX35" s="776"/>
      <c r="SY35" s="776"/>
      <c r="SZ35" s="1705"/>
      <c r="TA35" s="1705"/>
      <c r="TB35" s="102"/>
      <c r="TC35" s="103"/>
      <c r="TD35" s="103"/>
      <c r="TE35" s="103"/>
      <c r="TF35" s="304"/>
      <c r="TG35" s="104"/>
      <c r="TH35" s="105"/>
      <c r="TI35" s="1705"/>
      <c r="TJ35" s="1705"/>
      <c r="TK35" s="102"/>
      <c r="TL35" s="103"/>
      <c r="TM35" s="103"/>
      <c r="TN35" s="103"/>
      <c r="TO35" s="304"/>
      <c r="TP35" s="104"/>
      <c r="TQ35" s="1705"/>
      <c r="TR35" s="1705"/>
    </row>
    <row r="36" spans="1:538" ht="15.75" thickBot="1" x14ac:dyDescent="0.3">
      <c r="A36" s="1705"/>
      <c r="B36" s="1705"/>
      <c r="C36" s="23"/>
      <c r="D36" s="1705"/>
      <c r="E36" s="338">
        <f>IFERROR(E35/D35,0)</f>
        <v>0</v>
      </c>
      <c r="F36" s="1705"/>
      <c r="G36" s="1705"/>
      <c r="H36" s="1705"/>
      <c r="I36" s="1705"/>
      <c r="J36" s="1705"/>
      <c r="K36" s="1705"/>
      <c r="L36" s="1705"/>
      <c r="M36" s="1705"/>
      <c r="N36" s="1705"/>
      <c r="O36" s="1705"/>
      <c r="P36" s="1705"/>
      <c r="Q36" s="1705"/>
      <c r="R36" s="1705"/>
      <c r="S36" s="1705"/>
      <c r="T36" s="1705"/>
      <c r="U36" s="1705"/>
      <c r="V36" s="1705"/>
      <c r="W36" s="1705"/>
      <c r="X36" s="1705"/>
      <c r="Y36" s="1705"/>
      <c r="Z36" s="1705"/>
      <c r="AA36" s="1705"/>
      <c r="AB36" s="1705"/>
      <c r="AC36" s="1705"/>
      <c r="AD36" s="1705"/>
      <c r="AE36" s="1705"/>
      <c r="AF36" s="1705"/>
      <c r="AG36" s="1705"/>
      <c r="AH36" s="1705"/>
      <c r="AI36" s="1705"/>
      <c r="AJ36" s="1705"/>
      <c r="AK36" s="1705"/>
      <c r="AL36" s="1705"/>
      <c r="AM36" s="1705"/>
      <c r="AN36" s="1705"/>
      <c r="AO36" s="1705"/>
      <c r="AP36" s="1705"/>
      <c r="AQ36" s="1705"/>
      <c r="AR36" s="1705"/>
      <c r="AS36" s="1705"/>
      <c r="AT36" s="1705"/>
      <c r="AU36" s="1705"/>
      <c r="AV36" s="1705"/>
      <c r="AW36" s="1705"/>
      <c r="AX36" s="1705"/>
      <c r="AY36" s="1705"/>
      <c r="AZ36" s="1705"/>
      <c r="BA36" s="1705"/>
      <c r="BB36" s="1705"/>
      <c r="BC36" s="1705"/>
      <c r="BD36" s="1705"/>
      <c r="BE36" s="1705"/>
      <c r="BF36" s="1705"/>
      <c r="BG36" s="1705"/>
      <c r="BH36" s="1705"/>
      <c r="BI36" s="1705"/>
      <c r="BJ36" s="1705"/>
      <c r="BK36" s="1705"/>
      <c r="BL36" s="361"/>
      <c r="BM36" s="1705"/>
      <c r="BN36" s="1705"/>
      <c r="BO36" s="1705"/>
      <c r="BP36" s="1705"/>
      <c r="BQ36" s="1705"/>
      <c r="BR36" s="1705"/>
      <c r="BS36" s="1705"/>
      <c r="BT36" s="1705"/>
      <c r="BU36" s="1705"/>
      <c r="BV36" s="1705"/>
      <c r="BW36" s="1705"/>
      <c r="BX36" s="1705"/>
      <c r="BY36" s="1705"/>
      <c r="BZ36" s="1705"/>
      <c r="CA36" s="1705"/>
      <c r="CB36" s="1705"/>
      <c r="CC36" s="1705"/>
      <c r="CD36" s="1705"/>
      <c r="CE36" s="1705"/>
      <c r="CF36" s="1705"/>
      <c r="CG36" s="1705"/>
      <c r="CH36" s="1705"/>
      <c r="CI36" s="1705"/>
      <c r="CJ36" s="1705"/>
      <c r="CK36" s="1705"/>
      <c r="CL36" s="1705"/>
      <c r="CM36" s="1705"/>
      <c r="CN36" s="1705"/>
      <c r="CO36" s="1705"/>
      <c r="CP36" s="1705"/>
      <c r="CQ36" s="1705"/>
      <c r="CR36" s="1705"/>
      <c r="CS36" s="1705"/>
      <c r="CT36" s="1705"/>
      <c r="CU36" s="1705"/>
      <c r="CV36" s="1705"/>
      <c r="CW36" s="1705"/>
      <c r="CX36" s="1705"/>
      <c r="CY36" s="1705"/>
      <c r="CZ36" s="1705"/>
      <c r="DA36" s="1705"/>
      <c r="DB36" s="1705"/>
      <c r="DC36" s="1705"/>
      <c r="DD36" s="1705"/>
      <c r="DE36" s="1705"/>
      <c r="DF36" s="1705"/>
      <c r="DG36" s="1705"/>
      <c r="DH36" s="1705"/>
      <c r="DI36" s="1705"/>
      <c r="DJ36" s="1705"/>
      <c r="DK36" s="1705"/>
      <c r="DL36" s="1705"/>
      <c r="DM36" s="1705"/>
      <c r="DN36" s="1705"/>
      <c r="DO36" s="1705"/>
      <c r="DP36" s="1705"/>
      <c r="DQ36" s="1705"/>
      <c r="DR36" s="1705"/>
      <c r="DS36" s="1705"/>
      <c r="DT36" s="1705"/>
      <c r="DU36" s="1705"/>
      <c r="DV36" s="1705"/>
      <c r="DW36" s="1705"/>
      <c r="DX36" s="1705"/>
      <c r="DY36" s="1705"/>
      <c r="DZ36" s="1705"/>
      <c r="EA36" s="1705"/>
      <c r="EB36" s="1705"/>
      <c r="EC36" s="1705"/>
      <c r="ED36" s="1705"/>
      <c r="EE36" s="1705"/>
      <c r="EF36" s="1705"/>
      <c r="EG36" s="1705"/>
      <c r="EH36" s="1705"/>
      <c r="EI36" s="1705"/>
      <c r="EJ36" s="1705"/>
      <c r="EK36" s="1705"/>
      <c r="EL36" s="1705"/>
      <c r="EM36" s="1705"/>
      <c r="EN36" s="1705"/>
      <c r="EO36" s="1705"/>
      <c r="EP36" s="1705"/>
      <c r="EQ36" s="1705"/>
      <c r="ER36" s="1705"/>
      <c r="ES36" s="1705"/>
      <c r="ET36" s="1705"/>
      <c r="EU36" s="1705"/>
      <c r="EV36" s="1705"/>
      <c r="EW36" s="1705"/>
      <c r="EX36" s="1705"/>
      <c r="EY36" s="1705"/>
      <c r="EZ36" s="1705"/>
      <c r="FA36" s="1705"/>
      <c r="FB36" s="1705"/>
      <c r="FC36" s="1705"/>
      <c r="FD36" s="1705"/>
      <c r="FE36" s="1705"/>
      <c r="FF36" s="1705"/>
      <c r="FG36" s="1705"/>
      <c r="FH36" s="1705"/>
      <c r="FI36" s="1705"/>
      <c r="FJ36" s="1705"/>
      <c r="FK36" s="1705"/>
      <c r="FL36" s="1705"/>
      <c r="FM36" s="1705"/>
      <c r="FN36" s="1705"/>
      <c r="FO36" s="1705"/>
      <c r="FP36" s="1705"/>
      <c r="FQ36" s="1705"/>
      <c r="FR36" s="1705"/>
      <c r="FS36" s="1705"/>
      <c r="FT36" s="1705"/>
      <c r="FU36" s="1705"/>
      <c r="FV36" s="1705"/>
      <c r="FW36" s="1705"/>
      <c r="FX36" s="1705"/>
      <c r="FY36" s="1705"/>
      <c r="FZ36" s="1705"/>
      <c r="GA36" s="1705"/>
      <c r="GB36" s="1705"/>
      <c r="GC36" s="1705"/>
      <c r="GD36" s="1705"/>
      <c r="GE36" s="1705"/>
      <c r="GF36" s="1705"/>
      <c r="GG36" s="1705"/>
      <c r="GH36" s="1705"/>
      <c r="GI36" s="1705"/>
      <c r="GJ36" s="1705"/>
      <c r="GK36" s="1705"/>
      <c r="GL36" s="1705"/>
      <c r="GM36" s="1705"/>
      <c r="GN36" s="1705"/>
      <c r="GO36" s="1705"/>
      <c r="GP36" s="1705"/>
      <c r="GQ36" s="1705"/>
      <c r="GR36" s="1705"/>
      <c r="GS36" s="1705"/>
      <c r="GT36" s="1705"/>
      <c r="GU36" s="1705"/>
      <c r="GV36" s="1705"/>
      <c r="GW36" s="1705"/>
      <c r="GX36" s="1705"/>
      <c r="GY36" s="1705"/>
      <c r="GZ36" s="1705"/>
      <c r="HA36" s="1705"/>
      <c r="HB36" s="1705"/>
      <c r="HC36" s="1705"/>
      <c r="HD36" s="1705"/>
      <c r="HE36" s="1705"/>
      <c r="HF36" s="1705"/>
      <c r="HG36" s="1705"/>
      <c r="HH36" s="1705"/>
      <c r="HI36" s="1705"/>
      <c r="HJ36" s="1705"/>
      <c r="HK36" s="1705"/>
      <c r="HL36" s="1705"/>
      <c r="HM36" s="1705"/>
      <c r="HN36" s="1705"/>
      <c r="HO36" s="1705"/>
      <c r="HP36" s="1705"/>
      <c r="HQ36" s="1705"/>
      <c r="HR36" s="1705"/>
      <c r="HS36" s="1705"/>
      <c r="HT36" s="1705"/>
      <c r="HU36" s="1705"/>
      <c r="HV36" s="1705"/>
      <c r="HW36" s="1705"/>
      <c r="HX36" s="1705"/>
      <c r="HY36" s="1705"/>
      <c r="HZ36" s="1705"/>
      <c r="IA36" s="1705"/>
      <c r="IB36" s="1705"/>
      <c r="IC36" s="1705"/>
      <c r="ID36" s="1705"/>
      <c r="IE36" s="1705"/>
      <c r="IF36" s="1705"/>
      <c r="IG36" s="1705"/>
      <c r="IH36" s="1705"/>
      <c r="II36" s="1705"/>
      <c r="IJ36" s="1705"/>
      <c r="IK36" s="1705"/>
      <c r="IL36" s="1705"/>
      <c r="IM36" s="1705"/>
      <c r="IN36" s="1705"/>
      <c r="IO36" s="1705"/>
      <c r="IP36" s="1705"/>
      <c r="IQ36" s="1705"/>
      <c r="IR36" s="1705"/>
      <c r="IS36" s="1705"/>
      <c r="IT36" s="1705"/>
      <c r="IU36" s="1705"/>
      <c r="IV36" s="1705"/>
      <c r="IW36" s="1705"/>
      <c r="IX36" s="1705"/>
      <c r="IY36" s="1705"/>
      <c r="IZ36" s="1705"/>
      <c r="JA36" s="1705"/>
      <c r="JB36" s="1705"/>
      <c r="JC36" s="1705"/>
      <c r="JD36" s="1705"/>
      <c r="JE36" s="1705"/>
      <c r="JF36" s="1705"/>
      <c r="JG36" s="1705"/>
      <c r="JH36" s="1705"/>
      <c r="JI36" s="1705"/>
      <c r="JJ36" s="1705"/>
      <c r="JK36" s="1705"/>
      <c r="JL36" s="1705"/>
      <c r="JM36" s="1705"/>
      <c r="JN36" s="1705"/>
      <c r="JO36" s="1705"/>
      <c r="JP36" s="1705"/>
      <c r="JQ36" s="1705"/>
      <c r="JR36" s="1705"/>
      <c r="JS36" s="1705"/>
      <c r="JT36" s="1705"/>
      <c r="JU36" s="1705"/>
      <c r="JV36" s="1705"/>
      <c r="JW36" s="1705"/>
      <c r="JX36" s="1705"/>
      <c r="JY36" s="1705"/>
      <c r="JZ36" s="1705"/>
      <c r="KA36" s="1705"/>
      <c r="KB36" s="1705"/>
      <c r="KC36" s="1705"/>
      <c r="KD36" s="1705"/>
      <c r="KE36" s="1705"/>
      <c r="KF36" s="1705"/>
      <c r="KG36" s="1705"/>
      <c r="KH36" s="1705"/>
      <c r="KI36" s="1705"/>
      <c r="KJ36" s="1705"/>
      <c r="KK36" s="1705"/>
      <c r="KL36" s="1705"/>
      <c r="KM36" s="1705"/>
      <c r="KN36" s="1705"/>
      <c r="KO36" s="1705"/>
      <c r="KP36" s="1705"/>
      <c r="KQ36" s="1705"/>
      <c r="KR36" s="1705"/>
      <c r="KS36" s="1705"/>
      <c r="KT36" s="1705"/>
      <c r="KU36" s="1705"/>
      <c r="KV36" s="1705"/>
      <c r="KW36" s="1705"/>
      <c r="KX36" s="1705"/>
      <c r="KY36" s="1705"/>
      <c r="KZ36" s="1705"/>
      <c r="LA36" s="1705"/>
      <c r="LB36" s="1705"/>
      <c r="LC36" s="1705"/>
      <c r="LD36" s="1705"/>
      <c r="LE36" s="1705"/>
      <c r="LF36" s="1705"/>
      <c r="LG36" s="1705"/>
      <c r="LH36" s="1705"/>
      <c r="LI36" s="1705"/>
      <c r="LJ36" s="1705"/>
      <c r="LK36" s="1705"/>
      <c r="LL36" s="1705"/>
      <c r="LM36" s="1705"/>
      <c r="LN36" s="1705"/>
      <c r="LO36" s="1705"/>
      <c r="LP36" s="1705"/>
      <c r="LQ36" s="1705"/>
      <c r="LR36" s="1705"/>
      <c r="LS36" s="1705"/>
      <c r="LT36" s="1705"/>
      <c r="LU36" s="1705"/>
      <c r="LV36" s="1705"/>
      <c r="LW36" s="1705"/>
      <c r="LX36" s="1705"/>
      <c r="LY36" s="1705"/>
      <c r="LZ36" s="1705"/>
      <c r="MA36" s="1705"/>
      <c r="MB36" s="1705"/>
      <c r="MC36" s="1705"/>
      <c r="MD36" s="1705"/>
      <c r="ME36" s="1705"/>
      <c r="MF36" s="1705"/>
      <c r="MG36" s="1705"/>
      <c r="MH36" s="1705"/>
      <c r="MI36" s="1705"/>
      <c r="MJ36" s="1705"/>
      <c r="MK36" s="1705"/>
      <c r="ML36" s="1705"/>
      <c r="MM36" s="1705"/>
      <c r="MN36" s="1705"/>
      <c r="MO36" s="1705"/>
      <c r="MP36" s="1705"/>
      <c r="MQ36" s="1705"/>
      <c r="MR36" s="1705"/>
      <c r="MS36" s="1705"/>
      <c r="MT36" s="1705"/>
      <c r="MU36" s="1705"/>
      <c r="MV36" s="1705"/>
      <c r="MW36" s="1705"/>
      <c r="MX36" s="1705"/>
      <c r="MY36" s="1705"/>
      <c r="MZ36" s="1705"/>
      <c r="NA36" s="1705"/>
      <c r="NB36" s="1705"/>
      <c r="NC36" s="1705"/>
      <c r="ND36" s="1705"/>
      <c r="NE36" s="1705"/>
      <c r="NF36" s="1705"/>
      <c r="NG36" s="1705"/>
      <c r="NH36" s="1705"/>
      <c r="NI36" s="1705"/>
      <c r="NJ36" s="1705"/>
      <c r="NK36" s="1705"/>
      <c r="NL36" s="1705"/>
      <c r="NM36" s="1705"/>
      <c r="NN36" s="1705"/>
      <c r="NO36" s="1705"/>
      <c r="NP36" s="1705"/>
      <c r="NQ36" s="1705"/>
      <c r="NR36" s="1705"/>
      <c r="NS36" s="1705"/>
      <c r="NT36" s="1705"/>
      <c r="NU36" s="1705"/>
      <c r="NV36" s="1705"/>
      <c r="NW36" s="1705"/>
      <c r="NX36" s="1705"/>
      <c r="NY36" s="1705"/>
      <c r="NZ36" s="1705"/>
      <c r="OA36" s="1705"/>
      <c r="OB36" s="1705"/>
      <c r="OC36" s="1705"/>
      <c r="OD36" s="1705"/>
      <c r="OE36" s="1705"/>
      <c r="OF36" s="1705"/>
      <c r="OG36" s="1705"/>
      <c r="OH36" s="1705"/>
      <c r="OI36" s="1705"/>
      <c r="OJ36" s="1705"/>
      <c r="OK36" s="1705"/>
      <c r="OL36" s="1705"/>
      <c r="OM36" s="1705"/>
      <c r="ON36" s="1705"/>
      <c r="OO36" s="1705"/>
      <c r="OP36" s="1705"/>
      <c r="OQ36" s="1705"/>
      <c r="OR36" s="1705"/>
      <c r="OS36" s="1705"/>
      <c r="OT36" s="1705"/>
      <c r="OU36" s="1705"/>
      <c r="OV36" s="1705"/>
      <c r="OW36" s="1705"/>
      <c r="OX36" s="1705"/>
      <c r="OY36" s="1705"/>
      <c r="OZ36" s="1705"/>
      <c r="PA36" s="1705"/>
      <c r="PB36" s="1705"/>
      <c r="PC36" s="1705"/>
      <c r="PD36" s="1705"/>
      <c r="PE36" s="1705"/>
      <c r="PF36" s="1705"/>
      <c r="PG36" s="1705"/>
      <c r="PH36" s="1705"/>
      <c r="PI36" s="1705"/>
      <c r="PJ36" s="1705"/>
      <c r="PK36" s="1705"/>
      <c r="PL36" s="1705"/>
      <c r="PM36" s="1705"/>
      <c r="PN36" s="1705"/>
      <c r="PO36" s="1705"/>
      <c r="PP36" s="1705"/>
      <c r="PQ36" s="1705"/>
      <c r="PR36" s="1705"/>
      <c r="PS36" s="1705"/>
      <c r="PT36" s="1705"/>
      <c r="PU36" s="1705"/>
      <c r="PV36" s="1705"/>
      <c r="PW36" s="1705"/>
      <c r="PX36" s="1705"/>
      <c r="PY36" s="1705"/>
      <c r="PZ36" s="1705"/>
      <c r="QA36" s="1705"/>
      <c r="QB36" s="1705"/>
      <c r="QC36" s="1705"/>
      <c r="QD36" s="1705"/>
      <c r="QE36" s="1705"/>
      <c r="QF36" s="1705"/>
      <c r="QG36" s="1705"/>
      <c r="QH36" s="1705"/>
      <c r="QI36" s="1705"/>
      <c r="QJ36" s="1705"/>
      <c r="QK36" s="1705"/>
      <c r="QL36" s="1705"/>
      <c r="QM36" s="1705"/>
      <c r="QN36" s="1705"/>
      <c r="QO36" s="1705"/>
      <c r="QP36" s="1705"/>
      <c r="QQ36" s="1705"/>
      <c r="QR36" s="1705"/>
      <c r="QS36" s="1705"/>
      <c r="QT36" s="1705"/>
      <c r="QU36" s="1705"/>
      <c r="QV36" s="1705"/>
      <c r="QW36" s="1705"/>
      <c r="QX36" s="1705"/>
      <c r="QY36" s="1705"/>
      <c r="QZ36" s="1705"/>
      <c r="RA36" s="1705"/>
      <c r="RB36" s="1705"/>
      <c r="RC36" s="1705"/>
      <c r="RD36" s="1705"/>
      <c r="RE36" s="1705"/>
      <c r="RF36" s="1705"/>
      <c r="RG36" s="1705"/>
      <c r="RH36" s="1705"/>
      <c r="RI36" s="1705"/>
      <c r="RJ36" s="1705"/>
      <c r="RK36" s="1705"/>
      <c r="RL36" s="1705"/>
      <c r="RM36" s="1705"/>
      <c r="RN36" s="1705"/>
      <c r="RO36" s="1705"/>
      <c r="RP36" s="1705"/>
      <c r="RQ36" s="1705"/>
      <c r="RR36" s="1705"/>
      <c r="RS36" s="1705"/>
      <c r="RT36" s="1705"/>
      <c r="RU36" s="1705"/>
      <c r="RV36" s="1705"/>
      <c r="RW36" s="1705"/>
      <c r="RX36" s="1705"/>
      <c r="RY36" s="1705"/>
      <c r="RZ36" s="1705"/>
      <c r="SA36" s="1705"/>
      <c r="SB36" s="1705"/>
      <c r="SC36" s="1705"/>
      <c r="SD36" s="1705"/>
      <c r="SE36" s="1705"/>
      <c r="SF36" s="1705"/>
      <c r="SG36" s="1705"/>
      <c r="SH36" s="1705"/>
      <c r="SI36" s="1705"/>
      <c r="SJ36" s="1705"/>
      <c r="SK36" s="1705"/>
      <c r="SL36" s="1705"/>
      <c r="SM36" s="1705"/>
      <c r="SN36" s="1705"/>
      <c r="SO36" s="1705"/>
      <c r="SP36" s="1705"/>
      <c r="SQ36" s="1705"/>
      <c r="SR36" s="1705"/>
      <c r="SS36" s="1705"/>
      <c r="ST36" s="1705"/>
      <c r="SU36" s="1705"/>
      <c r="SV36" s="1705"/>
      <c r="SW36" s="1705"/>
      <c r="SX36" s="1705"/>
      <c r="SY36" s="1705"/>
      <c r="SZ36" s="1705"/>
      <c r="TA36" s="1705"/>
      <c r="TB36" s="1705"/>
      <c r="TC36" s="1705"/>
      <c r="TD36" s="1705"/>
      <c r="TE36" s="1705"/>
      <c r="TF36" s="1705"/>
      <c r="TG36" s="1705"/>
      <c r="TH36" s="1705"/>
      <c r="TI36" s="1705"/>
      <c r="TJ36" s="1705"/>
      <c r="TK36" s="1705"/>
      <c r="TL36" s="1705"/>
      <c r="TM36" s="1705"/>
      <c r="TN36" s="1705"/>
      <c r="TO36" s="1705"/>
      <c r="TP36" s="1705"/>
      <c r="TQ36" s="1705"/>
      <c r="TR36" s="1705"/>
    </row>
    <row r="37" spans="1:538" x14ac:dyDescent="0.25">
      <c r="Q37" s="1500"/>
      <c r="R37" s="275"/>
      <c r="S37" s="1510" t="s">
        <v>2093</v>
      </c>
      <c r="T37" s="276"/>
      <c r="U37" s="1501"/>
      <c r="V37" s="1501"/>
      <c r="W37" s="1501"/>
      <c r="X37" s="1501"/>
      <c r="Y37" s="1501"/>
      <c r="Z37" s="1511">
        <f>RANK(AB37,$AB$36:$AB$38)</f>
        <v>1</v>
      </c>
      <c r="AA37" s="1510" t="s">
        <v>2094</v>
      </c>
      <c r="AB37" s="1512">
        <f>COUNTIF($BJ$51:$SE$51,AA37)</f>
        <v>0</v>
      </c>
      <c r="AC37" s="1501"/>
      <c r="AD37" s="1501"/>
      <c r="AE37" s="1501"/>
      <c r="AF37" s="1501"/>
      <c r="AG37" s="275">
        <v>1</v>
      </c>
      <c r="AH37" s="1513" t="str">
        <f>IF($AH$38&gt;1,"MULTIPLE TYPES",VLOOKUP(AG37,$Z$38:$AA$65,2,FALSE))</f>
        <v>MULTIPLE TYPES</v>
      </c>
      <c r="AI37" s="276"/>
      <c r="AJ37" s="1500"/>
      <c r="AK37" s="1500"/>
      <c r="AL37" s="1500"/>
      <c r="AM37" s="1500"/>
      <c r="AN37" s="1500"/>
      <c r="AO37" s="1500"/>
      <c r="AP37" s="1500"/>
      <c r="AQ37" s="1500"/>
      <c r="AR37" s="1500"/>
      <c r="AS37" s="1500"/>
      <c r="AT37" s="1500"/>
      <c r="AU37" s="1500"/>
      <c r="AV37" s="1500"/>
      <c r="AW37" s="1500"/>
      <c r="AX37" s="1500"/>
      <c r="AY37" s="1500"/>
      <c r="AZ37" s="1412"/>
      <c r="BA37" s="1412"/>
      <c r="BB37" s="1412"/>
      <c r="BC37" s="1412"/>
      <c r="BD37" s="1412"/>
      <c r="BE37" s="1412"/>
      <c r="BF37" s="1412"/>
      <c r="BG37" s="1705"/>
      <c r="BH37" s="1705"/>
      <c r="BI37" s="1705"/>
      <c r="BJ37" s="1705"/>
      <c r="BK37" s="1705"/>
      <c r="BL37" s="1705"/>
      <c r="BM37" s="1705"/>
      <c r="BN37" s="1705"/>
      <c r="BO37" s="1705"/>
      <c r="BP37" s="1705"/>
      <c r="BQ37" s="1705"/>
      <c r="BR37" s="1705"/>
      <c r="BS37" s="1705"/>
      <c r="BT37" s="1705"/>
      <c r="BU37" s="1705"/>
      <c r="BV37" s="1705"/>
      <c r="BW37" s="1705"/>
      <c r="BX37" s="1705"/>
      <c r="BY37" s="1705"/>
      <c r="BZ37" s="1705"/>
      <c r="CA37" s="1705"/>
      <c r="CB37" s="1705"/>
      <c r="CC37" s="1705"/>
      <c r="CD37" s="1705"/>
      <c r="CE37" s="1705"/>
      <c r="CF37" s="1705"/>
      <c r="CG37" s="1705"/>
      <c r="CH37" s="1705"/>
      <c r="CI37" s="1705"/>
      <c r="CJ37" s="1705"/>
      <c r="CK37" s="1705"/>
      <c r="CL37" s="1705"/>
      <c r="CM37" s="1705"/>
      <c r="CN37" s="1705"/>
      <c r="CO37" s="1705"/>
      <c r="CP37" s="1705"/>
      <c r="CQ37" s="1705"/>
      <c r="CR37" s="1705"/>
      <c r="CS37" s="1705"/>
      <c r="CT37" s="1705"/>
      <c r="CU37" s="1705"/>
      <c r="CV37" s="1705"/>
      <c r="CW37" s="1705"/>
      <c r="CX37" s="1705"/>
      <c r="CY37" s="1705"/>
      <c r="CZ37" s="1705"/>
      <c r="DA37" s="1705"/>
      <c r="DB37" s="1705"/>
      <c r="DC37" s="1705"/>
      <c r="DD37" s="1705"/>
      <c r="DE37" s="1705"/>
      <c r="DF37" s="1705"/>
      <c r="DG37" s="1705"/>
      <c r="DH37" s="1705"/>
      <c r="DI37" s="1705"/>
      <c r="DJ37" s="1705"/>
      <c r="DK37" s="1705"/>
      <c r="DL37" s="1705"/>
      <c r="DM37" s="1705"/>
      <c r="DN37" s="1705"/>
      <c r="DO37" s="1705"/>
      <c r="DP37" s="1705"/>
      <c r="DQ37" s="1705"/>
      <c r="DR37" s="1705"/>
      <c r="DS37" s="1705"/>
      <c r="DT37" s="1705"/>
      <c r="DU37" s="1705"/>
      <c r="DV37" s="1705"/>
      <c r="DW37" s="1705"/>
      <c r="DX37" s="1705"/>
      <c r="DY37" s="1705"/>
      <c r="DZ37" s="1705"/>
      <c r="EA37" s="1705"/>
      <c r="EB37" s="1705"/>
      <c r="EC37" s="1705"/>
      <c r="ED37" s="1705"/>
      <c r="EE37" s="1705"/>
      <c r="EF37" s="1705"/>
      <c r="EG37" s="1705"/>
      <c r="EH37" s="1705"/>
      <c r="EI37" s="1705"/>
      <c r="EJ37" s="1705"/>
      <c r="EK37" s="1705"/>
      <c r="EL37" s="1705"/>
      <c r="EM37" s="1705"/>
      <c r="EN37" s="1705"/>
      <c r="EO37" s="1705"/>
      <c r="EP37" s="1705"/>
      <c r="EQ37" s="1705"/>
      <c r="ER37" s="1705"/>
      <c r="ES37" s="1705"/>
      <c r="ET37" s="1705"/>
      <c r="EU37" s="1705"/>
      <c r="EV37" s="1705"/>
      <c r="EW37" s="1705"/>
      <c r="EX37" s="1705"/>
      <c r="EY37" s="1705"/>
      <c r="EZ37" s="1705"/>
      <c r="FA37" s="1705"/>
      <c r="FB37" s="1705"/>
      <c r="FC37" s="1705"/>
      <c r="FD37" s="1705"/>
      <c r="FE37" s="1705"/>
      <c r="FF37" s="1705"/>
      <c r="FG37" s="1705"/>
      <c r="FH37" s="1705"/>
      <c r="FI37" s="1705"/>
      <c r="FJ37" s="1705"/>
      <c r="FK37" s="1705"/>
      <c r="FL37" s="1705"/>
      <c r="FM37" s="1705"/>
      <c r="FN37" s="1705"/>
      <c r="FO37" s="1705"/>
      <c r="FP37" s="1705"/>
      <c r="FQ37" s="1705"/>
      <c r="FR37" s="1705"/>
      <c r="FS37" s="1705"/>
      <c r="FT37" s="1705"/>
      <c r="FU37" s="1705"/>
      <c r="FV37" s="1705"/>
      <c r="FW37" s="1705"/>
      <c r="FX37" s="1705"/>
      <c r="FY37" s="1705"/>
      <c r="FZ37" s="1705"/>
      <c r="GA37" s="1705"/>
      <c r="GB37" s="1705"/>
      <c r="GC37" s="1705"/>
      <c r="GD37" s="1705"/>
      <c r="GE37" s="1705"/>
      <c r="GF37" s="1705"/>
      <c r="GG37" s="1705"/>
      <c r="GH37" s="1705"/>
      <c r="GI37" s="1705"/>
      <c r="GJ37" s="1705"/>
      <c r="GK37" s="1705"/>
      <c r="GL37" s="1705"/>
      <c r="GM37" s="1705"/>
      <c r="GN37" s="1705"/>
      <c r="GO37" s="1705"/>
      <c r="GP37" s="1705"/>
      <c r="GQ37" s="1705"/>
      <c r="GR37" s="1705"/>
      <c r="GS37" s="1705"/>
      <c r="GT37" s="1705"/>
      <c r="GU37" s="1705"/>
      <c r="GV37" s="1705"/>
      <c r="GW37" s="1705"/>
      <c r="GX37" s="1705"/>
      <c r="GY37" s="1705"/>
      <c r="GZ37" s="1705"/>
      <c r="HA37" s="1705"/>
      <c r="HB37" s="1705"/>
      <c r="HC37" s="1705"/>
      <c r="HD37" s="1705"/>
      <c r="HE37" s="1705"/>
      <c r="HF37" s="1705"/>
      <c r="HG37" s="1705"/>
      <c r="HH37" s="1705"/>
      <c r="HI37" s="1705"/>
      <c r="HJ37" s="1705"/>
      <c r="HK37" s="1705"/>
      <c r="HL37" s="1705"/>
      <c r="HM37" s="1705"/>
      <c r="HN37" s="1705"/>
      <c r="HO37" s="1705"/>
      <c r="HP37" s="1705"/>
      <c r="HQ37" s="1705"/>
      <c r="HR37" s="1705"/>
      <c r="HS37" s="1705"/>
      <c r="HT37" s="1705"/>
      <c r="HU37" s="1705"/>
      <c r="HV37" s="1705"/>
      <c r="HW37" s="1705"/>
      <c r="HX37" s="1705"/>
      <c r="HY37" s="1705"/>
      <c r="HZ37" s="1705"/>
      <c r="IA37" s="1705"/>
      <c r="IB37" s="1705"/>
      <c r="IC37" s="1705"/>
      <c r="ID37" s="1705"/>
      <c r="IE37" s="1705"/>
      <c r="IF37" s="1705"/>
      <c r="IG37" s="1705"/>
      <c r="IH37" s="1705"/>
      <c r="II37" s="1705"/>
      <c r="IJ37" s="1705"/>
      <c r="IK37" s="1705"/>
      <c r="IL37" s="1705"/>
      <c r="IM37" s="1705"/>
      <c r="IN37" s="1705"/>
      <c r="IO37" s="1705"/>
      <c r="IP37" s="1705"/>
      <c r="IQ37" s="1705"/>
      <c r="IR37" s="1705"/>
      <c r="IS37" s="1705"/>
      <c r="IT37" s="1705"/>
      <c r="IU37" s="1705"/>
      <c r="IV37" s="1705"/>
      <c r="IW37" s="1705"/>
      <c r="IX37" s="1705"/>
      <c r="IY37" s="1705"/>
      <c r="IZ37" s="1705"/>
      <c r="JA37" s="1705"/>
      <c r="JB37" s="1705"/>
      <c r="JC37" s="1705"/>
      <c r="JD37" s="1705"/>
      <c r="JE37" s="1705"/>
      <c r="JF37" s="1705"/>
      <c r="JG37" s="1705"/>
      <c r="JH37" s="1705"/>
      <c r="JI37" s="1705"/>
      <c r="JJ37" s="1705"/>
      <c r="JK37" s="1705"/>
      <c r="JL37" s="1705"/>
      <c r="JM37" s="1705"/>
      <c r="JN37" s="1705"/>
      <c r="JO37" s="1705"/>
      <c r="JP37" s="1705"/>
      <c r="JQ37" s="1705"/>
      <c r="JR37" s="1705"/>
      <c r="JS37" s="1705"/>
      <c r="JT37" s="1705"/>
      <c r="JU37" s="1705"/>
      <c r="JV37" s="1705"/>
      <c r="JW37" s="1705"/>
      <c r="JX37" s="1705"/>
      <c r="JY37" s="1705"/>
      <c r="JZ37" s="1705"/>
      <c r="KA37" s="1705"/>
      <c r="KB37" s="1705"/>
      <c r="KC37" s="1705"/>
      <c r="KD37" s="1705"/>
      <c r="KE37" s="1705"/>
      <c r="KF37" s="1705"/>
      <c r="KG37" s="1705"/>
      <c r="KH37" s="1705"/>
      <c r="KI37" s="1705"/>
      <c r="KJ37" s="1705"/>
      <c r="KK37" s="1705"/>
      <c r="KL37" s="1705"/>
      <c r="KM37" s="1705"/>
      <c r="KN37" s="1705"/>
      <c r="KO37" s="1705"/>
      <c r="KP37" s="1705"/>
      <c r="KQ37" s="1705"/>
      <c r="KR37" s="1705"/>
      <c r="KS37" s="1705"/>
      <c r="KT37" s="1705"/>
      <c r="KU37" s="1705"/>
      <c r="KV37" s="1705"/>
      <c r="KW37" s="1705"/>
      <c r="KX37" s="1705"/>
      <c r="KY37" s="1705"/>
      <c r="KZ37" s="1705"/>
      <c r="LA37" s="1705"/>
      <c r="LB37" s="1705"/>
      <c r="LC37" s="1705"/>
      <c r="LD37" s="1705"/>
      <c r="LE37" s="1705"/>
      <c r="LF37" s="1705"/>
      <c r="LG37" s="1705"/>
      <c r="LH37" s="1705"/>
      <c r="LI37" s="1705"/>
      <c r="LJ37" s="1705"/>
      <c r="LK37" s="1705"/>
      <c r="LL37" s="1705"/>
      <c r="LM37" s="1705"/>
      <c r="LN37" s="1705"/>
      <c r="LO37" s="1705"/>
      <c r="LP37" s="1705"/>
      <c r="LQ37" s="1705"/>
      <c r="LR37" s="1705"/>
      <c r="LS37" s="1705"/>
      <c r="LT37" s="1705"/>
      <c r="LU37" s="1705"/>
      <c r="LV37" s="1705"/>
      <c r="LW37" s="1705"/>
      <c r="LX37" s="1705"/>
      <c r="LY37" s="1705"/>
      <c r="LZ37" s="1705"/>
      <c r="MA37" s="1705"/>
      <c r="MB37" s="1705"/>
      <c r="MC37" s="1705"/>
      <c r="MD37" s="1705"/>
      <c r="ME37" s="1705"/>
      <c r="MF37" s="1705"/>
      <c r="MG37" s="1705"/>
      <c r="MH37" s="1705"/>
      <c r="MI37" s="1705"/>
      <c r="MJ37" s="1705"/>
      <c r="MK37" s="1705"/>
      <c r="ML37" s="1705"/>
      <c r="MM37" s="1705"/>
      <c r="MN37" s="1705"/>
      <c r="MO37" s="1705"/>
      <c r="MP37" s="1705"/>
      <c r="MQ37" s="1705"/>
      <c r="MR37" s="1705"/>
      <c r="MS37" s="1705"/>
      <c r="MT37" s="1705"/>
      <c r="MU37" s="1705"/>
      <c r="MV37" s="1705"/>
      <c r="MW37" s="1705"/>
      <c r="MX37" s="1705"/>
      <c r="MY37" s="1705"/>
      <c r="MZ37" s="1705"/>
      <c r="NA37" s="1705"/>
      <c r="NB37" s="1705"/>
      <c r="NC37" s="1705"/>
      <c r="ND37" s="1705"/>
      <c r="NE37" s="1705"/>
      <c r="NF37" s="1705"/>
      <c r="NG37" s="1705"/>
      <c r="NH37" s="1705"/>
      <c r="NI37" s="1705"/>
      <c r="NJ37" s="1705"/>
      <c r="NK37" s="1705"/>
      <c r="NL37" s="1705"/>
      <c r="NM37" s="1705"/>
      <c r="NN37" s="1705"/>
      <c r="NO37" s="1705"/>
      <c r="NP37" s="1705"/>
      <c r="NQ37" s="1705"/>
      <c r="NR37" s="1705"/>
      <c r="NS37" s="1705"/>
      <c r="NT37" s="1705"/>
      <c r="NU37" s="1705"/>
      <c r="NV37" s="1705"/>
      <c r="NW37" s="1705"/>
      <c r="NX37" s="1705"/>
      <c r="NY37" s="1705"/>
      <c r="NZ37" s="1705"/>
      <c r="OA37" s="1705"/>
      <c r="OB37" s="1705"/>
      <c r="OC37" s="1705"/>
      <c r="OD37" s="1705"/>
      <c r="OE37" s="1705"/>
      <c r="OF37" s="1705"/>
      <c r="OG37" s="1705"/>
      <c r="OH37" s="1705"/>
      <c r="OI37" s="1705"/>
      <c r="OJ37" s="1705"/>
      <c r="OK37" s="1705"/>
      <c r="OL37" s="1705"/>
      <c r="OM37" s="1705"/>
      <c r="ON37" s="1705"/>
      <c r="OO37" s="1705"/>
      <c r="OP37" s="1705"/>
      <c r="OQ37" s="1705"/>
      <c r="OR37" s="1705"/>
      <c r="OS37" s="1705"/>
      <c r="OT37" s="1705"/>
      <c r="OU37" s="1705"/>
      <c r="OV37" s="1705"/>
      <c r="OW37" s="1705"/>
      <c r="OX37" s="1705"/>
      <c r="OY37" s="1705"/>
      <c r="OZ37" s="1705"/>
      <c r="PA37" s="1705"/>
      <c r="PB37" s="1705"/>
      <c r="PC37" s="1705"/>
      <c r="PD37" s="1705"/>
      <c r="PE37" s="1705"/>
      <c r="PF37" s="1705"/>
      <c r="PG37" s="1705"/>
      <c r="PH37" s="1705"/>
      <c r="PI37" s="1705"/>
      <c r="PJ37" s="1705"/>
      <c r="PK37" s="1705"/>
      <c r="PL37" s="1705"/>
      <c r="PM37" s="1705"/>
      <c r="PN37" s="1705"/>
      <c r="PO37" s="1705"/>
      <c r="PP37" s="1705"/>
      <c r="PQ37" s="1705"/>
      <c r="PR37" s="1705"/>
      <c r="PS37" s="1705"/>
      <c r="PT37" s="1705"/>
      <c r="PU37" s="1705"/>
      <c r="PV37" s="1705"/>
      <c r="PW37" s="1705"/>
      <c r="PX37" s="1705"/>
      <c r="PY37" s="1705"/>
      <c r="PZ37" s="1705"/>
      <c r="QA37" s="1705"/>
      <c r="QB37" s="1705"/>
      <c r="QC37" s="1705"/>
      <c r="QD37" s="1705"/>
      <c r="QE37" s="1705"/>
      <c r="QF37" s="1705"/>
      <c r="QG37" s="1705"/>
      <c r="QH37" s="1705"/>
      <c r="QI37" s="1705"/>
      <c r="QJ37" s="1705"/>
      <c r="QK37" s="1705"/>
      <c r="QL37" s="1705"/>
      <c r="QM37" s="1705"/>
      <c r="QN37" s="1705"/>
      <c r="QO37" s="1705"/>
      <c r="QP37" s="1705"/>
      <c r="QQ37" s="1705"/>
      <c r="QR37" s="1705"/>
      <c r="QS37" s="1705"/>
      <c r="QT37" s="1705"/>
      <c r="QU37" s="1705"/>
      <c r="QV37" s="1705"/>
      <c r="QW37" s="1705"/>
      <c r="QX37" s="1705"/>
      <c r="QY37" s="1705"/>
      <c r="QZ37" s="1705"/>
      <c r="RA37" s="1705"/>
      <c r="RB37" s="1705"/>
      <c r="RC37" s="1705"/>
      <c r="RD37" s="1705"/>
      <c r="RE37" s="1705"/>
      <c r="RF37" s="1705"/>
      <c r="RG37" s="1705"/>
      <c r="RH37" s="1705"/>
      <c r="RI37" s="1705"/>
      <c r="RJ37" s="1705"/>
      <c r="RK37" s="1705"/>
      <c r="RL37" s="1705"/>
      <c r="RM37" s="1705"/>
      <c r="RN37" s="1705"/>
      <c r="RO37" s="1705"/>
      <c r="RP37" s="1705"/>
      <c r="RQ37" s="1705"/>
      <c r="RR37" s="1705"/>
      <c r="RS37" s="1705"/>
      <c r="RT37" s="1705"/>
      <c r="RU37" s="1705"/>
      <c r="RV37" s="1705"/>
      <c r="RW37" s="1705"/>
      <c r="RX37" s="1705"/>
      <c r="RY37" s="1705"/>
      <c r="RZ37" s="1705"/>
      <c r="SA37" s="1705"/>
      <c r="SB37" s="1705"/>
      <c r="SC37" s="1705"/>
      <c r="SD37" s="1705"/>
      <c r="SE37" s="1705"/>
      <c r="SF37" s="1705"/>
      <c r="SG37" s="1705"/>
      <c r="SH37" s="1705"/>
      <c r="SI37" s="1705"/>
      <c r="SJ37" s="1705"/>
      <c r="SK37" s="1705"/>
      <c r="SL37" s="1705"/>
      <c r="SM37" s="1705"/>
      <c r="SN37" s="1705"/>
      <c r="SO37" s="1705"/>
      <c r="SP37" s="1705"/>
      <c r="SQ37" s="1705"/>
      <c r="SR37" s="1705"/>
      <c r="SS37" s="1705"/>
      <c r="ST37" s="1705"/>
      <c r="SU37" s="1705"/>
      <c r="SV37" s="1705"/>
      <c r="SW37" s="1705"/>
      <c r="SX37" s="1705"/>
      <c r="SY37" s="1705"/>
      <c r="SZ37" s="1705"/>
      <c r="TA37" s="1705"/>
      <c r="TB37" s="1705"/>
      <c r="TC37" s="1705"/>
      <c r="TD37" s="1705"/>
      <c r="TE37" s="1705"/>
      <c r="TF37" s="1705"/>
      <c r="TG37" s="1705"/>
      <c r="TH37" s="1705"/>
      <c r="TI37" s="1705"/>
      <c r="TJ37" s="1705"/>
      <c r="TK37" s="1705"/>
      <c r="TL37" s="1705"/>
      <c r="TM37" s="1705"/>
      <c r="TN37" s="1705"/>
      <c r="TO37" s="1705"/>
      <c r="TP37" s="1705"/>
      <c r="TQ37" s="1705"/>
      <c r="TR37" s="1705"/>
    </row>
    <row r="38" spans="1:538" x14ac:dyDescent="0.25">
      <c r="Q38" s="1500"/>
      <c r="R38" s="1514">
        <f>RANK(T38,$T$39:$T$47)</f>
        <v>1</v>
      </c>
      <c r="S38" s="1515" t="s">
        <v>2095</v>
      </c>
      <c r="T38" s="1516">
        <f>COUNTIF($BG$47:$SY$47,S38)</f>
        <v>0</v>
      </c>
      <c r="U38" s="1501"/>
      <c r="V38" s="1501"/>
      <c r="W38" s="1501"/>
      <c r="X38" s="1501"/>
      <c r="Y38" s="1501"/>
      <c r="Z38" s="1514">
        <f>RANK(AB38,$AB$38:$AB$38)</f>
        <v>1</v>
      </c>
      <c r="AA38" s="1515" t="s">
        <v>2095</v>
      </c>
      <c r="AB38" s="1516">
        <f>COUNTIF($BI$53:$SF$53,AA38)</f>
        <v>0</v>
      </c>
      <c r="AC38" s="1501"/>
      <c r="AD38" s="1501"/>
      <c r="AE38" s="1501"/>
      <c r="AF38" s="1501"/>
      <c r="AG38" s="1517" t="s">
        <v>2096</v>
      </c>
      <c r="AH38" s="1518">
        <f>COUNTIF($Z$38:$Z$65,1)</f>
        <v>2</v>
      </c>
      <c r="AI38" s="138"/>
      <c r="AJ38" s="1500"/>
      <c r="AK38" s="1500"/>
      <c r="AL38" s="1500"/>
      <c r="AM38" s="1500"/>
      <c r="AN38" s="1500"/>
      <c r="AO38" s="1500"/>
      <c r="AP38" s="1500"/>
      <c r="AQ38" s="1500"/>
      <c r="AR38" s="1500"/>
      <c r="AS38" s="1500"/>
      <c r="AT38" s="1500"/>
      <c r="AU38" s="1500"/>
      <c r="AV38" s="1500"/>
      <c r="AW38" s="1500"/>
      <c r="AX38" s="1500"/>
      <c r="AY38" s="1500"/>
      <c r="AZ38" s="1412"/>
      <c r="BA38" s="1412"/>
      <c r="BB38" s="1412"/>
      <c r="BC38" s="1412"/>
      <c r="BD38" s="1412"/>
      <c r="BE38" s="1412"/>
      <c r="BF38" s="1412"/>
      <c r="BG38" s="1705"/>
      <c r="BH38" s="1705"/>
      <c r="BI38" s="1705"/>
      <c r="BJ38" s="1705" t="s">
        <v>791</v>
      </c>
      <c r="BK38" s="1705">
        <f>BK1</f>
        <v>0</v>
      </c>
      <c r="BL38" s="1705"/>
      <c r="BM38" s="1705"/>
      <c r="BN38" s="1705"/>
      <c r="BO38" s="1705"/>
      <c r="BP38" s="1705"/>
      <c r="BQ38" s="1705"/>
      <c r="BR38" s="1705"/>
      <c r="BS38" s="1705"/>
      <c r="BT38" s="1705"/>
      <c r="BU38" s="1705"/>
      <c r="BV38" s="1705"/>
      <c r="BW38" s="1705"/>
      <c r="BX38" s="1705"/>
      <c r="BY38" s="1705"/>
      <c r="BZ38" s="1705"/>
      <c r="CA38" s="1705"/>
      <c r="CB38" s="1705"/>
      <c r="CC38" s="1705"/>
      <c r="CD38" s="1705"/>
      <c r="CE38" s="1705"/>
      <c r="CF38" s="1705"/>
      <c r="CG38" s="101" t="s">
        <v>791</v>
      </c>
      <c r="CH38" s="83">
        <f>CH1</f>
        <v>0</v>
      </c>
      <c r="CI38" s="1705"/>
      <c r="CJ38" s="1705"/>
      <c r="CK38" s="1705"/>
      <c r="CL38" s="1705"/>
      <c r="CM38" s="1705"/>
      <c r="CN38" s="1705"/>
      <c r="CO38" s="1705"/>
      <c r="CP38" s="1705"/>
      <c r="CQ38" s="1705"/>
      <c r="CR38" s="1705"/>
      <c r="CS38" s="1705"/>
      <c r="CT38" s="1705"/>
      <c r="CU38" s="1705"/>
      <c r="CV38" s="1705"/>
      <c r="CW38" s="1705"/>
      <c r="CX38" s="1705"/>
      <c r="CY38" s="1705"/>
      <c r="CZ38" s="1705"/>
      <c r="DA38" s="1705"/>
      <c r="DB38" s="1705"/>
      <c r="DC38" s="1705"/>
      <c r="DD38" s="101" t="s">
        <v>791</v>
      </c>
      <c r="DE38" s="83">
        <f>DE1</f>
        <v>0</v>
      </c>
      <c r="DF38" s="1705"/>
      <c r="DG38" s="1705"/>
      <c r="DH38" s="1705"/>
      <c r="DI38" s="1705"/>
      <c r="DJ38" s="1705"/>
      <c r="DK38" s="1705"/>
      <c r="DL38" s="1705"/>
      <c r="DM38" s="1705"/>
      <c r="DN38" s="1705"/>
      <c r="DO38" s="1705"/>
      <c r="DP38" s="1705"/>
      <c r="DQ38" s="1705"/>
      <c r="DR38" s="1705"/>
      <c r="DS38" s="1705"/>
      <c r="DT38" s="1705"/>
      <c r="DU38" s="1705"/>
      <c r="DV38" s="1705"/>
      <c r="DW38" s="1705"/>
      <c r="DX38" s="1705"/>
      <c r="DY38" s="1705"/>
      <c r="DZ38" s="1705"/>
      <c r="EA38" s="101" t="s">
        <v>791</v>
      </c>
      <c r="EB38" s="83">
        <f>EB1</f>
        <v>0</v>
      </c>
      <c r="EC38" s="1705"/>
      <c r="ED38" s="1705"/>
      <c r="EE38" s="1705"/>
      <c r="EF38" s="1705"/>
      <c r="EG38" s="1705"/>
      <c r="EH38" s="1705"/>
      <c r="EI38" s="1705"/>
      <c r="EJ38" s="1705"/>
      <c r="EK38" s="1705"/>
      <c r="EL38" s="1705"/>
      <c r="EM38" s="1705"/>
      <c r="EN38" s="1705"/>
      <c r="EO38" s="1705"/>
      <c r="EP38" s="1705"/>
      <c r="EQ38" s="1705"/>
      <c r="ER38" s="1705"/>
      <c r="ES38" s="1705"/>
      <c r="ET38" s="1705"/>
      <c r="EU38" s="1705"/>
      <c r="EV38" s="1705"/>
      <c r="EW38" s="1705"/>
      <c r="EX38" s="101" t="s">
        <v>791</v>
      </c>
      <c r="EY38" s="83">
        <f>EY1</f>
        <v>0</v>
      </c>
      <c r="EZ38" s="1705"/>
      <c r="FA38" s="1705"/>
      <c r="FB38" s="1705"/>
      <c r="FC38" s="1705"/>
      <c r="FD38" s="1705"/>
      <c r="FE38" s="1705"/>
      <c r="FF38" s="1705"/>
      <c r="FG38" s="1705"/>
      <c r="FH38" s="1705"/>
      <c r="FI38" s="1705"/>
      <c r="FJ38" s="1705"/>
      <c r="FK38" s="1705"/>
      <c r="FL38" s="1705"/>
      <c r="FM38" s="1705"/>
      <c r="FN38" s="1705"/>
      <c r="FO38" s="1705"/>
      <c r="FP38" s="1705"/>
      <c r="FQ38" s="1705"/>
      <c r="FR38" s="1705"/>
      <c r="FS38" s="1705"/>
      <c r="FT38" s="1705"/>
      <c r="FU38" s="101" t="s">
        <v>791</v>
      </c>
      <c r="FV38" s="83">
        <f>FV1</f>
        <v>0</v>
      </c>
      <c r="FW38" s="1705"/>
      <c r="FX38" s="1705"/>
      <c r="FY38" s="1705"/>
      <c r="FZ38" s="1705"/>
      <c r="GA38" s="1705"/>
      <c r="GB38" s="1705"/>
      <c r="GC38" s="1705"/>
      <c r="GD38" s="1705"/>
      <c r="GE38" s="1705"/>
      <c r="GF38" s="1705"/>
      <c r="GG38" s="1705"/>
      <c r="GH38" s="1705"/>
      <c r="GI38" s="1705"/>
      <c r="GJ38" s="1705"/>
      <c r="GK38" s="1705"/>
      <c r="GL38" s="1705"/>
      <c r="GM38" s="1705"/>
      <c r="GN38" s="1705"/>
      <c r="GO38" s="1705"/>
      <c r="GP38" s="1705"/>
      <c r="GQ38" s="1705"/>
      <c r="GR38" s="101" t="s">
        <v>791</v>
      </c>
      <c r="GS38" s="83">
        <f>GS1</f>
        <v>0</v>
      </c>
      <c r="GT38" s="1705"/>
      <c r="GU38" s="1705"/>
      <c r="GV38" s="1705"/>
      <c r="GW38" s="1705"/>
      <c r="GX38" s="1705"/>
      <c r="GY38" s="1705"/>
      <c r="GZ38" s="1705"/>
      <c r="HA38" s="1705"/>
      <c r="HB38" s="1705"/>
      <c r="HC38" s="1705"/>
      <c r="HD38" s="1705"/>
      <c r="HE38" s="1705"/>
      <c r="HF38" s="1705"/>
      <c r="HG38" s="1705"/>
      <c r="HH38" s="1705"/>
      <c r="HI38" s="1705"/>
      <c r="HJ38" s="1705"/>
      <c r="HK38" s="1705"/>
      <c r="HL38" s="1705"/>
      <c r="HM38" s="1705"/>
      <c r="HN38" s="1705"/>
      <c r="HO38" s="101" t="s">
        <v>791</v>
      </c>
      <c r="HP38" s="83">
        <f>HP1</f>
        <v>0</v>
      </c>
      <c r="HQ38" s="1705"/>
      <c r="HR38" s="1705"/>
      <c r="HS38" s="1705"/>
      <c r="HT38" s="1705"/>
      <c r="HU38" s="1705"/>
      <c r="HV38" s="1705"/>
      <c r="HW38" s="1705"/>
      <c r="HX38" s="1705"/>
      <c r="HY38" s="1705"/>
      <c r="HZ38" s="1705"/>
      <c r="IA38" s="1705"/>
      <c r="IB38" s="1705"/>
      <c r="IC38" s="1705"/>
      <c r="ID38" s="1705"/>
      <c r="IE38" s="1705"/>
      <c r="IF38" s="1705"/>
      <c r="IG38" s="1705"/>
      <c r="IH38" s="1705"/>
      <c r="II38" s="1705"/>
      <c r="IJ38" s="1705"/>
      <c r="IK38" s="1705"/>
      <c r="IL38" s="101" t="s">
        <v>791</v>
      </c>
      <c r="IM38" s="83">
        <f>IM1</f>
        <v>0</v>
      </c>
      <c r="IN38" s="1705"/>
      <c r="IO38" s="1705"/>
      <c r="IP38" s="1705"/>
      <c r="IQ38" s="1705"/>
      <c r="IR38" s="1705"/>
      <c r="IS38" s="1705"/>
      <c r="IT38" s="1705"/>
      <c r="IU38" s="1705"/>
      <c r="IV38" s="1705"/>
      <c r="IW38" s="1705"/>
      <c r="IX38" s="1705"/>
      <c r="IY38" s="1705"/>
      <c r="IZ38" s="1705"/>
      <c r="JA38" s="1705"/>
      <c r="JB38" s="1705"/>
      <c r="JC38" s="1705"/>
      <c r="JD38" s="1705"/>
      <c r="JE38" s="1705"/>
      <c r="JF38" s="1705"/>
      <c r="JG38" s="1705"/>
      <c r="JH38" s="1705"/>
      <c r="JI38" s="101" t="s">
        <v>791</v>
      </c>
      <c r="JJ38" s="83">
        <f>JJ1</f>
        <v>0</v>
      </c>
      <c r="JK38" s="1705"/>
      <c r="JL38" s="1705"/>
      <c r="JM38" s="1705"/>
      <c r="JN38" s="1705"/>
      <c r="JO38" s="1705"/>
      <c r="JP38" s="1705"/>
      <c r="JQ38" s="1705"/>
      <c r="JR38" s="1705"/>
      <c r="JS38" s="1705"/>
      <c r="JT38" s="1705"/>
      <c r="JU38" s="1705"/>
      <c r="JV38" s="1705"/>
      <c r="JW38" s="1705"/>
      <c r="JX38" s="1705"/>
      <c r="JY38" s="1705"/>
      <c r="JZ38" s="1705"/>
      <c r="KA38" s="1705"/>
      <c r="KB38" s="1705"/>
      <c r="KC38" s="1705"/>
      <c r="KD38" s="1705"/>
      <c r="KE38" s="1705"/>
      <c r="KF38" s="101" t="s">
        <v>791</v>
      </c>
      <c r="KG38" s="83">
        <f>KG1</f>
        <v>0</v>
      </c>
      <c r="KH38" s="1705"/>
      <c r="KI38" s="1705"/>
      <c r="KJ38" s="1705"/>
      <c r="KK38" s="1705"/>
      <c r="KL38" s="1705"/>
      <c r="KM38" s="1705"/>
      <c r="KN38" s="1705"/>
      <c r="KO38" s="1705"/>
      <c r="KP38" s="1705"/>
      <c r="KQ38" s="1705"/>
      <c r="KR38" s="1705"/>
      <c r="KS38" s="1705"/>
      <c r="KT38" s="1705"/>
      <c r="KU38" s="1705"/>
      <c r="KV38" s="1705"/>
      <c r="KW38" s="1705"/>
      <c r="KX38" s="1705"/>
      <c r="KY38" s="1705"/>
      <c r="KZ38" s="1705"/>
      <c r="LA38" s="1705"/>
      <c r="LB38" s="1705"/>
      <c r="LC38" s="101" t="s">
        <v>791</v>
      </c>
      <c r="LD38" s="83">
        <f>LD1</f>
        <v>0</v>
      </c>
      <c r="LE38" s="1705"/>
      <c r="LF38" s="1705"/>
      <c r="LG38" s="1705"/>
      <c r="LH38" s="1705"/>
      <c r="LI38" s="1705"/>
      <c r="LJ38" s="1705"/>
      <c r="LK38" s="1705"/>
      <c r="LL38" s="1705"/>
      <c r="LM38" s="1705"/>
      <c r="LN38" s="1705"/>
      <c r="LO38" s="1705"/>
      <c r="LP38" s="1705"/>
      <c r="LQ38" s="1705"/>
      <c r="LR38" s="1705"/>
      <c r="LS38" s="1705"/>
      <c r="LT38" s="1705"/>
      <c r="LU38" s="1705"/>
      <c r="LV38" s="1705"/>
      <c r="LW38" s="1705"/>
      <c r="LX38" s="1705"/>
      <c r="LY38" s="1705"/>
      <c r="LZ38" s="101" t="s">
        <v>791</v>
      </c>
      <c r="MA38" s="83">
        <f>MA1</f>
        <v>0</v>
      </c>
      <c r="MB38" s="1705"/>
      <c r="MC38" s="1705"/>
      <c r="MD38" s="1705"/>
      <c r="ME38" s="1705"/>
      <c r="MF38" s="1705"/>
      <c r="MG38" s="1705"/>
      <c r="MH38" s="1705"/>
      <c r="MI38" s="1705"/>
      <c r="MJ38" s="1705"/>
      <c r="MK38" s="1705"/>
      <c r="ML38" s="1705"/>
      <c r="MM38" s="1705"/>
      <c r="MN38" s="1705"/>
      <c r="MO38" s="1705"/>
      <c r="MP38" s="1705"/>
      <c r="MQ38" s="1705"/>
      <c r="MR38" s="1705"/>
      <c r="MS38" s="1705"/>
      <c r="MT38" s="1705"/>
      <c r="MU38" s="1705"/>
      <c r="MV38" s="1705"/>
      <c r="MW38" s="101" t="s">
        <v>791</v>
      </c>
      <c r="MX38" s="83">
        <f>MX1</f>
        <v>0</v>
      </c>
      <c r="MY38" s="1705"/>
      <c r="MZ38" s="1705"/>
      <c r="NA38" s="1705"/>
      <c r="NB38" s="1705"/>
      <c r="NC38" s="1705"/>
      <c r="ND38" s="1705"/>
      <c r="NE38" s="1705"/>
      <c r="NF38" s="1705"/>
      <c r="NG38" s="1705"/>
      <c r="NH38" s="1705"/>
      <c r="NI38" s="1705"/>
      <c r="NJ38" s="1705"/>
      <c r="NK38" s="1705"/>
      <c r="NL38" s="1705"/>
      <c r="NM38" s="1705"/>
      <c r="NN38" s="1705"/>
      <c r="NO38" s="1705"/>
      <c r="NP38" s="1705"/>
      <c r="NQ38" s="1705"/>
      <c r="NR38" s="1705"/>
      <c r="NS38" s="1705"/>
      <c r="NT38" s="101" t="s">
        <v>791</v>
      </c>
      <c r="NU38" s="83">
        <f>NU1</f>
        <v>0</v>
      </c>
      <c r="NV38" s="1705"/>
      <c r="NW38" s="1705"/>
      <c r="NX38" s="1705"/>
      <c r="NY38" s="1705"/>
      <c r="NZ38" s="1705"/>
      <c r="OA38" s="1705"/>
      <c r="OB38" s="1705"/>
      <c r="OC38" s="1705"/>
      <c r="OD38" s="1705"/>
      <c r="OE38" s="1705"/>
      <c r="OF38" s="1705"/>
      <c r="OG38" s="1705"/>
      <c r="OH38" s="1705"/>
      <c r="OI38" s="1705"/>
      <c r="OJ38" s="1705"/>
      <c r="OK38" s="1705"/>
      <c r="OL38" s="1705"/>
      <c r="OM38" s="1705"/>
      <c r="ON38" s="1705"/>
      <c r="OO38" s="1705"/>
      <c r="OP38" s="1705"/>
      <c r="OQ38" s="101" t="s">
        <v>791</v>
      </c>
      <c r="OR38" s="83">
        <f>OR1</f>
        <v>0</v>
      </c>
      <c r="OS38" s="1705"/>
      <c r="OT38" s="1705"/>
      <c r="OU38" s="1705"/>
      <c r="OV38" s="1705"/>
      <c r="OW38" s="1705"/>
      <c r="OX38" s="1705"/>
      <c r="OY38" s="1705"/>
      <c r="OZ38" s="1705"/>
      <c r="PA38" s="1705"/>
      <c r="PB38" s="1705"/>
      <c r="PC38" s="1705"/>
      <c r="PD38" s="1705"/>
      <c r="PE38" s="1705"/>
      <c r="PF38" s="1705"/>
      <c r="PG38" s="1705"/>
      <c r="PH38" s="1705"/>
      <c r="PI38" s="1705"/>
      <c r="PJ38" s="1705"/>
      <c r="PK38" s="1705"/>
      <c r="PL38" s="1705"/>
      <c r="PM38" s="1705"/>
      <c r="PN38" s="101" t="s">
        <v>791</v>
      </c>
      <c r="PO38" s="83">
        <f>PO1</f>
        <v>0</v>
      </c>
      <c r="PP38" s="1705"/>
      <c r="PQ38" s="1705"/>
      <c r="PR38" s="1705"/>
      <c r="PS38" s="1705"/>
      <c r="PT38" s="1705"/>
      <c r="PU38" s="1705"/>
      <c r="PV38" s="1705"/>
      <c r="PW38" s="1705"/>
      <c r="PX38" s="1705"/>
      <c r="PY38" s="1705"/>
      <c r="PZ38" s="1705"/>
      <c r="QA38" s="1705"/>
      <c r="QB38" s="1705"/>
      <c r="QC38" s="1705"/>
      <c r="QD38" s="1705"/>
      <c r="QE38" s="1705"/>
      <c r="QF38" s="1705"/>
      <c r="QG38" s="1705"/>
      <c r="QH38" s="1705"/>
      <c r="QI38" s="1705"/>
      <c r="QJ38" s="1705"/>
      <c r="QK38" s="101" t="s">
        <v>791</v>
      </c>
      <c r="QL38" s="83">
        <f>QL1</f>
        <v>0</v>
      </c>
      <c r="QM38" s="1705"/>
      <c r="QN38" s="1705"/>
      <c r="QO38" s="1705"/>
      <c r="QP38" s="1705"/>
      <c r="QQ38" s="1705"/>
      <c r="QR38" s="1705"/>
      <c r="QS38" s="1705"/>
      <c r="QT38" s="1705"/>
      <c r="QU38" s="1705"/>
      <c r="QV38" s="1705"/>
      <c r="QW38" s="1705"/>
      <c r="QX38" s="1705"/>
      <c r="QY38" s="1705"/>
      <c r="QZ38" s="1705"/>
      <c r="RA38" s="1705"/>
      <c r="RB38" s="1705"/>
      <c r="RC38" s="1705"/>
      <c r="RD38" s="1705"/>
      <c r="RE38" s="1705"/>
      <c r="RF38" s="1705"/>
      <c r="RG38" s="1705"/>
      <c r="RH38" s="101" t="s">
        <v>791</v>
      </c>
      <c r="RI38" s="83">
        <f>RI1</f>
        <v>0</v>
      </c>
      <c r="RJ38" s="1705"/>
      <c r="RK38" s="1705"/>
      <c r="RL38" s="1705"/>
      <c r="RM38" s="1705"/>
      <c r="RN38" s="1705"/>
      <c r="RO38" s="1705"/>
      <c r="RP38" s="1705"/>
      <c r="RQ38" s="1705"/>
      <c r="RR38" s="1705"/>
      <c r="RS38" s="1705"/>
      <c r="RT38" s="1705"/>
      <c r="RU38" s="1705"/>
      <c r="RV38" s="1705"/>
      <c r="RW38" s="1705"/>
      <c r="RX38" s="1705"/>
      <c r="RY38" s="1705"/>
      <c r="RZ38" s="1705"/>
      <c r="SA38" s="1705"/>
      <c r="SB38" s="1705"/>
      <c r="SC38" s="1705"/>
      <c r="SD38" s="1705"/>
      <c r="SE38" s="101" t="s">
        <v>791</v>
      </c>
      <c r="SF38" s="83">
        <f>SF1</f>
        <v>0</v>
      </c>
      <c r="SG38" s="1705"/>
      <c r="SH38" s="1705"/>
      <c r="SI38" s="1705"/>
      <c r="SJ38" s="1705"/>
      <c r="SK38" s="1705"/>
      <c r="SL38" s="1705"/>
      <c r="SM38" s="1705"/>
      <c r="SN38" s="1705"/>
      <c r="SO38" s="1705"/>
      <c r="SP38" s="1705"/>
      <c r="SQ38" s="1705"/>
      <c r="SR38" s="1705"/>
      <c r="SS38" s="1705"/>
      <c r="ST38" s="1705"/>
      <c r="SU38" s="1705"/>
      <c r="SV38" s="1705"/>
      <c r="SW38" s="1705"/>
      <c r="SX38" s="1705"/>
      <c r="SY38" s="1705"/>
      <c r="SZ38" s="1705"/>
      <c r="TA38" s="1705"/>
      <c r="TB38" s="1705"/>
      <c r="TC38" s="1705"/>
      <c r="TD38" s="1705"/>
      <c r="TE38" s="1705"/>
      <c r="TF38" s="1705"/>
      <c r="TG38" s="1705"/>
      <c r="TH38" s="1705"/>
      <c r="TI38" s="1705"/>
      <c r="TJ38" s="1705"/>
      <c r="TK38" s="1705"/>
      <c r="TL38" s="1705"/>
      <c r="TM38" s="1705"/>
      <c r="TN38" s="1705"/>
      <c r="TO38" s="1705"/>
      <c r="TP38" s="1705"/>
      <c r="TQ38" s="1705"/>
      <c r="TR38" s="1705"/>
    </row>
    <row r="39" spans="1:538" x14ac:dyDescent="0.25">
      <c r="Q39" s="1500"/>
      <c r="R39" s="1514">
        <f t="shared" ref="R39:R47" si="97">RANK(T39,$T$39:$T$47)</f>
        <v>1</v>
      </c>
      <c r="S39" s="1515" t="s">
        <v>1</v>
      </c>
      <c r="T39" s="1516">
        <f>COUNTIF('Variable Costs (Back)'!$C$15:$C$34,S39)</f>
        <v>0</v>
      </c>
      <c r="U39" s="1501"/>
      <c r="V39" s="1501"/>
      <c r="W39" s="1501"/>
      <c r="X39" s="1501"/>
      <c r="Y39" s="1501"/>
      <c r="Z39" s="1514">
        <f t="shared" ref="Z39:Z65" si="98">RANK(AB39,$AB$38:$AB$65)</f>
        <v>1</v>
      </c>
      <c r="AA39" s="1515" t="str" cm="1">
        <f t="array" ref="AA39">IF(_xlfn.UNIQUE('Margin Guidence Table'!F2:F1000000)&lt;&gt;0,_xlfn._xlws.SORT(_xlfn.UNIQUE('Margin Guidence Table'!F2:F1000000)),"")</f>
        <v/>
      </c>
      <c r="AB39" s="1516">
        <f>COUNTIF($BE$53:$SY$53,AA39)</f>
        <v>423</v>
      </c>
      <c r="AC39" s="1501"/>
      <c r="AD39" s="1501"/>
      <c r="AE39" s="1501"/>
      <c r="AF39" s="1501"/>
      <c r="AG39" s="1517" t="s">
        <v>2097</v>
      </c>
      <c r="AH39" s="1518" t="str">
        <f>VLOOKUP(AG37,$Z$38:$AA$65,2,FALSE)</f>
        <v>Enter Customer(s)</v>
      </c>
      <c r="AI39" s="138"/>
      <c r="AJ39" s="1500"/>
      <c r="AK39" s="1500"/>
      <c r="AL39" s="1500"/>
      <c r="AM39" s="1500"/>
      <c r="AN39" s="1500"/>
      <c r="AO39" s="1500"/>
      <c r="AP39" s="1500"/>
      <c r="AQ39" s="1500"/>
      <c r="AR39" s="1500"/>
      <c r="AS39" s="1500"/>
      <c r="AT39" s="1500"/>
      <c r="AU39" s="1500"/>
      <c r="AV39" s="1500"/>
      <c r="AW39" s="1500"/>
      <c r="AX39" s="1500"/>
      <c r="AY39" s="1500"/>
      <c r="AZ39" s="1412"/>
      <c r="BA39" s="1412"/>
      <c r="BB39" s="1412"/>
      <c r="BC39" s="1412"/>
      <c r="BD39" s="1412"/>
      <c r="BE39" s="1412"/>
      <c r="BF39" s="1412"/>
      <c r="BG39" s="1705"/>
      <c r="BH39" s="1705"/>
      <c r="BI39" s="1705"/>
      <c r="BJ39" s="1705" t="s">
        <v>792</v>
      </c>
      <c r="BK39" s="1705" t="e">
        <f>VLOOKUP(BK$1,'Existing Customers'!$A:$AA,2,FALSE)</f>
        <v>#N/A</v>
      </c>
      <c r="BL39" s="1705"/>
      <c r="BM39" s="1705"/>
      <c r="BN39" s="1705"/>
      <c r="BO39" s="1705"/>
      <c r="BP39" s="1705"/>
      <c r="BQ39" s="1705"/>
      <c r="BR39" s="1705"/>
      <c r="BS39" s="1705"/>
      <c r="BT39" s="1705"/>
      <c r="BU39" s="1705"/>
      <c r="BV39" s="1705"/>
      <c r="BW39" s="1705"/>
      <c r="BX39" s="1705"/>
      <c r="BY39" s="1705"/>
      <c r="BZ39" s="1705"/>
      <c r="CA39" s="1705"/>
      <c r="CB39" s="1705"/>
      <c r="CC39" s="1705"/>
      <c r="CD39" s="1705"/>
      <c r="CE39" s="1705"/>
      <c r="CF39" s="1705"/>
      <c r="CG39" s="101" t="s">
        <v>792</v>
      </c>
      <c r="CH39" s="83" t="e">
        <f>VLOOKUP(CH$1,'Existing Customers'!$A:$AA,2,FALSE)</f>
        <v>#N/A</v>
      </c>
      <c r="CI39" s="1705"/>
      <c r="CJ39" s="1705"/>
      <c r="CK39" s="1705"/>
      <c r="CL39" s="1705"/>
      <c r="CM39" s="1705"/>
      <c r="CN39" s="1705"/>
      <c r="CO39" s="1705"/>
      <c r="CP39" s="1705"/>
      <c r="CQ39" s="1705"/>
      <c r="CR39" s="1705"/>
      <c r="CS39" s="1705"/>
      <c r="CT39" s="1705"/>
      <c r="CU39" s="1705"/>
      <c r="CV39" s="1705"/>
      <c r="CW39" s="1705"/>
      <c r="CX39" s="1705"/>
      <c r="CY39" s="1705"/>
      <c r="CZ39" s="1705"/>
      <c r="DA39" s="1705"/>
      <c r="DB39" s="1705"/>
      <c r="DC39" s="1705"/>
      <c r="DD39" s="101" t="s">
        <v>792</v>
      </c>
      <c r="DE39" s="83" t="e">
        <f>VLOOKUP(DE$1,'Existing Customers'!$A:$AA,2,FALSE)</f>
        <v>#N/A</v>
      </c>
      <c r="DF39" s="1705"/>
      <c r="DG39" s="1705"/>
      <c r="DH39" s="1705"/>
      <c r="DI39" s="1705"/>
      <c r="DJ39" s="1705"/>
      <c r="DK39" s="1705"/>
      <c r="DL39" s="1705"/>
      <c r="DM39" s="1705"/>
      <c r="DN39" s="1705"/>
      <c r="DO39" s="1705"/>
      <c r="DP39" s="1705"/>
      <c r="DQ39" s="1705"/>
      <c r="DR39" s="1705"/>
      <c r="DS39" s="1705"/>
      <c r="DT39" s="1705"/>
      <c r="DU39" s="1705"/>
      <c r="DV39" s="1705"/>
      <c r="DW39" s="1705"/>
      <c r="DX39" s="1705"/>
      <c r="DY39" s="1705"/>
      <c r="DZ39" s="1705"/>
      <c r="EA39" s="101" t="s">
        <v>792</v>
      </c>
      <c r="EB39" s="83" t="e">
        <f>VLOOKUP(EB$1,'Existing Customers'!$A:$AA,2,FALSE)</f>
        <v>#N/A</v>
      </c>
      <c r="EC39" s="1705"/>
      <c r="ED39" s="1705"/>
      <c r="EE39" s="1705"/>
      <c r="EF39" s="1705"/>
      <c r="EG39" s="1705"/>
      <c r="EH39" s="1705"/>
      <c r="EI39" s="1705"/>
      <c r="EJ39" s="1705"/>
      <c r="EK39" s="1705"/>
      <c r="EL39" s="1705"/>
      <c r="EM39" s="1705"/>
      <c r="EN39" s="1705"/>
      <c r="EO39" s="1705"/>
      <c r="EP39" s="1705"/>
      <c r="EQ39" s="1705"/>
      <c r="ER39" s="1705"/>
      <c r="ES39" s="1705"/>
      <c r="ET39" s="1705"/>
      <c r="EU39" s="1705"/>
      <c r="EV39" s="1705"/>
      <c r="EW39" s="1705"/>
      <c r="EX39" s="101" t="s">
        <v>792</v>
      </c>
      <c r="EY39" s="83" t="e">
        <f>VLOOKUP(EY$1,'Existing Customers'!$A:$AA,2,FALSE)</f>
        <v>#N/A</v>
      </c>
      <c r="EZ39" s="1705"/>
      <c r="FA39" s="1705"/>
      <c r="FB39" s="1705"/>
      <c r="FC39" s="1705"/>
      <c r="FD39" s="1705"/>
      <c r="FE39" s="1705"/>
      <c r="FF39" s="1705"/>
      <c r="FG39" s="1705"/>
      <c r="FH39" s="1705"/>
      <c r="FI39" s="1705"/>
      <c r="FJ39" s="1705"/>
      <c r="FK39" s="1705"/>
      <c r="FL39" s="1705"/>
      <c r="FM39" s="1705"/>
      <c r="FN39" s="1705"/>
      <c r="FO39" s="1705"/>
      <c r="FP39" s="1705"/>
      <c r="FQ39" s="1705"/>
      <c r="FR39" s="1705"/>
      <c r="FS39" s="1705"/>
      <c r="FT39" s="1705"/>
      <c r="FU39" s="101" t="s">
        <v>792</v>
      </c>
      <c r="FV39" s="83" t="e">
        <f>VLOOKUP(FV$1,'Existing Customers'!$A:$AA,2,FALSE)</f>
        <v>#N/A</v>
      </c>
      <c r="FW39" s="1705"/>
      <c r="FX39" s="1705"/>
      <c r="FY39" s="1705"/>
      <c r="FZ39" s="1705"/>
      <c r="GA39" s="1705"/>
      <c r="GB39" s="1705"/>
      <c r="GC39" s="1705"/>
      <c r="GD39" s="1705"/>
      <c r="GE39" s="1705"/>
      <c r="GF39" s="1705"/>
      <c r="GG39" s="1705"/>
      <c r="GH39" s="1705"/>
      <c r="GI39" s="1705"/>
      <c r="GJ39" s="1705"/>
      <c r="GK39" s="1705"/>
      <c r="GL39" s="1705"/>
      <c r="GM39" s="1705"/>
      <c r="GN39" s="1705"/>
      <c r="GO39" s="1705"/>
      <c r="GP39" s="1705"/>
      <c r="GQ39" s="1705"/>
      <c r="GR39" s="101" t="s">
        <v>792</v>
      </c>
      <c r="GS39" s="83" t="e">
        <f>VLOOKUP(GS$1,'Existing Customers'!$A:$AA,2,FALSE)</f>
        <v>#N/A</v>
      </c>
      <c r="GT39" s="1705"/>
      <c r="GU39" s="1705"/>
      <c r="GV39" s="1705"/>
      <c r="GW39" s="1705"/>
      <c r="GX39" s="1705"/>
      <c r="GY39" s="1705"/>
      <c r="GZ39" s="1705"/>
      <c r="HA39" s="1705"/>
      <c r="HB39" s="1705"/>
      <c r="HC39" s="1705"/>
      <c r="HD39" s="1705"/>
      <c r="HE39" s="1705"/>
      <c r="HF39" s="1705"/>
      <c r="HG39" s="1705"/>
      <c r="HH39" s="1705"/>
      <c r="HI39" s="1705"/>
      <c r="HJ39" s="1705"/>
      <c r="HK39" s="1705"/>
      <c r="HL39" s="1705"/>
      <c r="HM39" s="1705"/>
      <c r="HN39" s="1705"/>
      <c r="HO39" s="101" t="s">
        <v>792</v>
      </c>
      <c r="HP39" s="83" t="e">
        <f>VLOOKUP(HP$1,'Existing Customers'!$A:$AA,2,FALSE)</f>
        <v>#N/A</v>
      </c>
      <c r="HQ39" s="1705"/>
      <c r="HR39" s="1705"/>
      <c r="HS39" s="1705"/>
      <c r="HT39" s="1705"/>
      <c r="HU39" s="1705"/>
      <c r="HV39" s="1705"/>
      <c r="HW39" s="1705"/>
      <c r="HX39" s="1705"/>
      <c r="HY39" s="1705"/>
      <c r="HZ39" s="1705"/>
      <c r="IA39" s="1705"/>
      <c r="IB39" s="1705"/>
      <c r="IC39" s="1705"/>
      <c r="ID39" s="1705"/>
      <c r="IE39" s="1705"/>
      <c r="IF39" s="1705"/>
      <c r="IG39" s="1705"/>
      <c r="IH39" s="1705"/>
      <c r="II39" s="1705"/>
      <c r="IJ39" s="1705"/>
      <c r="IK39" s="1705"/>
      <c r="IL39" s="101" t="s">
        <v>792</v>
      </c>
      <c r="IM39" s="83" t="e">
        <f>VLOOKUP(IM$1,'Existing Customers'!$A:$AA,2,FALSE)</f>
        <v>#N/A</v>
      </c>
      <c r="IN39" s="1705"/>
      <c r="IO39" s="1705"/>
      <c r="IP39" s="1705"/>
      <c r="IQ39" s="1705"/>
      <c r="IR39" s="1705"/>
      <c r="IS39" s="1705"/>
      <c r="IT39" s="1705"/>
      <c r="IU39" s="1705"/>
      <c r="IV39" s="1705"/>
      <c r="IW39" s="1705"/>
      <c r="IX39" s="1705"/>
      <c r="IY39" s="1705"/>
      <c r="IZ39" s="1705"/>
      <c r="JA39" s="1705"/>
      <c r="JB39" s="1705"/>
      <c r="JC39" s="1705"/>
      <c r="JD39" s="1705"/>
      <c r="JE39" s="1705"/>
      <c r="JF39" s="1705"/>
      <c r="JG39" s="1705"/>
      <c r="JH39" s="1705"/>
      <c r="JI39" s="101" t="s">
        <v>792</v>
      </c>
      <c r="JJ39" s="83" t="e">
        <f>VLOOKUP(JJ$1,'Existing Customers'!$A:$AA,2,FALSE)</f>
        <v>#N/A</v>
      </c>
      <c r="JK39" s="1705"/>
      <c r="JL39" s="1705"/>
      <c r="JM39" s="1705"/>
      <c r="JN39" s="1705"/>
      <c r="JO39" s="1705"/>
      <c r="JP39" s="1705"/>
      <c r="JQ39" s="1705"/>
      <c r="JR39" s="1705"/>
      <c r="JS39" s="1705"/>
      <c r="JT39" s="1705"/>
      <c r="JU39" s="1705"/>
      <c r="JV39" s="1705"/>
      <c r="JW39" s="1705"/>
      <c r="JX39" s="1705"/>
      <c r="JY39" s="1705"/>
      <c r="JZ39" s="1705"/>
      <c r="KA39" s="1705"/>
      <c r="KB39" s="1705"/>
      <c r="KC39" s="1705"/>
      <c r="KD39" s="1705"/>
      <c r="KE39" s="1705"/>
      <c r="KF39" s="101" t="s">
        <v>792</v>
      </c>
      <c r="KG39" s="83" t="e">
        <f>VLOOKUP(KG$1,'Existing Customers'!$A:$AA,2,FALSE)</f>
        <v>#N/A</v>
      </c>
      <c r="KH39" s="1705"/>
      <c r="KI39" s="1705"/>
      <c r="KJ39" s="1705"/>
      <c r="KK39" s="1705"/>
      <c r="KL39" s="1705"/>
      <c r="KM39" s="1705"/>
      <c r="KN39" s="1705"/>
      <c r="KO39" s="1705"/>
      <c r="KP39" s="1705"/>
      <c r="KQ39" s="1705"/>
      <c r="KR39" s="1705"/>
      <c r="KS39" s="1705"/>
      <c r="KT39" s="1705"/>
      <c r="KU39" s="1705"/>
      <c r="KV39" s="1705"/>
      <c r="KW39" s="1705"/>
      <c r="KX39" s="1705"/>
      <c r="KY39" s="1705"/>
      <c r="KZ39" s="1705"/>
      <c r="LA39" s="1705"/>
      <c r="LB39" s="1705"/>
      <c r="LC39" s="101" t="s">
        <v>792</v>
      </c>
      <c r="LD39" s="83" t="e">
        <f>VLOOKUP(LD$1,'Existing Customers'!$A:$AA,2,FALSE)</f>
        <v>#N/A</v>
      </c>
      <c r="LE39" s="1705"/>
      <c r="LF39" s="1705"/>
      <c r="LG39" s="1705"/>
      <c r="LH39" s="1705"/>
      <c r="LI39" s="1705"/>
      <c r="LJ39" s="1705"/>
      <c r="LK39" s="1705"/>
      <c r="LL39" s="1705"/>
      <c r="LM39" s="1705"/>
      <c r="LN39" s="1705"/>
      <c r="LO39" s="1705"/>
      <c r="LP39" s="1705"/>
      <c r="LQ39" s="1705"/>
      <c r="LR39" s="1705"/>
      <c r="LS39" s="1705"/>
      <c r="LT39" s="1705"/>
      <c r="LU39" s="1705"/>
      <c r="LV39" s="1705"/>
      <c r="LW39" s="1705"/>
      <c r="LX39" s="1705"/>
      <c r="LY39" s="1705"/>
      <c r="LZ39" s="101" t="s">
        <v>792</v>
      </c>
      <c r="MA39" s="83" t="e">
        <f>VLOOKUP(MA$1,'Existing Customers'!$A:$AA,2,FALSE)</f>
        <v>#N/A</v>
      </c>
      <c r="MB39" s="1705"/>
      <c r="MC39" s="1705"/>
      <c r="MD39" s="1705"/>
      <c r="ME39" s="1705"/>
      <c r="MF39" s="1705"/>
      <c r="MG39" s="1705"/>
      <c r="MH39" s="1705"/>
      <c r="MI39" s="1705"/>
      <c r="MJ39" s="1705"/>
      <c r="MK39" s="1705"/>
      <c r="ML39" s="1705"/>
      <c r="MM39" s="1705"/>
      <c r="MN39" s="1705"/>
      <c r="MO39" s="1705"/>
      <c r="MP39" s="1705"/>
      <c r="MQ39" s="1705"/>
      <c r="MR39" s="1705"/>
      <c r="MS39" s="1705"/>
      <c r="MT39" s="1705"/>
      <c r="MU39" s="1705"/>
      <c r="MV39" s="1705"/>
      <c r="MW39" s="101" t="s">
        <v>792</v>
      </c>
      <c r="MX39" s="83" t="e">
        <f>VLOOKUP(MX$1,'Existing Customers'!$A:$AA,2,FALSE)</f>
        <v>#N/A</v>
      </c>
      <c r="MY39" s="1705"/>
      <c r="MZ39" s="1705"/>
      <c r="NA39" s="1705"/>
      <c r="NB39" s="1705"/>
      <c r="NC39" s="1705"/>
      <c r="ND39" s="1705"/>
      <c r="NE39" s="1705"/>
      <c r="NF39" s="1705"/>
      <c r="NG39" s="1705"/>
      <c r="NH39" s="1705"/>
      <c r="NI39" s="1705"/>
      <c r="NJ39" s="1705"/>
      <c r="NK39" s="1705"/>
      <c r="NL39" s="1705"/>
      <c r="NM39" s="1705"/>
      <c r="NN39" s="1705"/>
      <c r="NO39" s="1705"/>
      <c r="NP39" s="1705"/>
      <c r="NQ39" s="1705"/>
      <c r="NR39" s="1705"/>
      <c r="NS39" s="1705"/>
      <c r="NT39" s="101" t="s">
        <v>792</v>
      </c>
      <c r="NU39" s="83" t="e">
        <f>VLOOKUP(NU$1,'Existing Customers'!$A:$AA,2,FALSE)</f>
        <v>#N/A</v>
      </c>
      <c r="NV39" s="1705"/>
      <c r="NW39" s="1705"/>
      <c r="NX39" s="1705"/>
      <c r="NY39" s="1705"/>
      <c r="NZ39" s="1705"/>
      <c r="OA39" s="1705"/>
      <c r="OB39" s="1705"/>
      <c r="OC39" s="1705"/>
      <c r="OD39" s="1705"/>
      <c r="OE39" s="1705"/>
      <c r="OF39" s="1705"/>
      <c r="OG39" s="1705"/>
      <c r="OH39" s="1705"/>
      <c r="OI39" s="1705"/>
      <c r="OJ39" s="1705"/>
      <c r="OK39" s="1705"/>
      <c r="OL39" s="1705"/>
      <c r="OM39" s="1705"/>
      <c r="ON39" s="1705"/>
      <c r="OO39" s="1705"/>
      <c r="OP39" s="1705"/>
      <c r="OQ39" s="101" t="s">
        <v>792</v>
      </c>
      <c r="OR39" s="83" t="e">
        <f>VLOOKUP(OR$1,'Existing Customers'!$A:$AA,2,FALSE)</f>
        <v>#N/A</v>
      </c>
      <c r="OS39" s="1705"/>
      <c r="OT39" s="1705"/>
      <c r="OU39" s="1705"/>
      <c r="OV39" s="1705"/>
      <c r="OW39" s="1705"/>
      <c r="OX39" s="1705"/>
      <c r="OY39" s="1705"/>
      <c r="OZ39" s="1705"/>
      <c r="PA39" s="1705"/>
      <c r="PB39" s="1705"/>
      <c r="PC39" s="1705"/>
      <c r="PD39" s="1705"/>
      <c r="PE39" s="1705"/>
      <c r="PF39" s="1705"/>
      <c r="PG39" s="1705"/>
      <c r="PH39" s="1705"/>
      <c r="PI39" s="1705"/>
      <c r="PJ39" s="1705"/>
      <c r="PK39" s="1705"/>
      <c r="PL39" s="1705"/>
      <c r="PM39" s="1705"/>
      <c r="PN39" s="101" t="s">
        <v>792</v>
      </c>
      <c r="PO39" s="83" t="e">
        <f>VLOOKUP(PO$1,'Existing Customers'!$A:$AA,2,FALSE)</f>
        <v>#N/A</v>
      </c>
      <c r="PP39" s="1705"/>
      <c r="PQ39" s="1705"/>
      <c r="PR39" s="1705"/>
      <c r="PS39" s="1705"/>
      <c r="PT39" s="1705"/>
      <c r="PU39" s="1705"/>
      <c r="PV39" s="1705"/>
      <c r="PW39" s="1705"/>
      <c r="PX39" s="1705"/>
      <c r="PY39" s="1705"/>
      <c r="PZ39" s="1705"/>
      <c r="QA39" s="1705"/>
      <c r="QB39" s="1705"/>
      <c r="QC39" s="1705"/>
      <c r="QD39" s="1705"/>
      <c r="QE39" s="1705"/>
      <c r="QF39" s="1705"/>
      <c r="QG39" s="1705"/>
      <c r="QH39" s="1705"/>
      <c r="QI39" s="1705"/>
      <c r="QJ39" s="1705"/>
      <c r="QK39" s="101" t="s">
        <v>792</v>
      </c>
      <c r="QL39" s="83" t="e">
        <f>VLOOKUP(QL$1,'Existing Customers'!$A:$AA,2,FALSE)</f>
        <v>#N/A</v>
      </c>
      <c r="QM39" s="1705"/>
      <c r="QN39" s="1705"/>
      <c r="QO39" s="1705"/>
      <c r="QP39" s="1705"/>
      <c r="QQ39" s="1705"/>
      <c r="QR39" s="1705"/>
      <c r="QS39" s="1705"/>
      <c r="QT39" s="1705"/>
      <c r="QU39" s="1705"/>
      <c r="QV39" s="1705"/>
      <c r="QW39" s="1705"/>
      <c r="QX39" s="1705"/>
      <c r="QY39" s="1705"/>
      <c r="QZ39" s="1705"/>
      <c r="RA39" s="1705"/>
      <c r="RB39" s="1705"/>
      <c r="RC39" s="1705"/>
      <c r="RD39" s="1705"/>
      <c r="RE39" s="1705"/>
      <c r="RF39" s="1705"/>
      <c r="RG39" s="1705"/>
      <c r="RH39" s="101" t="s">
        <v>792</v>
      </c>
      <c r="RI39" s="83" t="e">
        <f>VLOOKUP(RI$1,'Existing Customers'!$A:$AA,2,FALSE)</f>
        <v>#N/A</v>
      </c>
      <c r="RJ39" s="1705"/>
      <c r="RK39" s="1705"/>
      <c r="RL39" s="1705"/>
      <c r="RM39" s="1705"/>
      <c r="RN39" s="1705"/>
      <c r="RO39" s="1705"/>
      <c r="RP39" s="1705"/>
      <c r="RQ39" s="1705"/>
      <c r="RR39" s="1705"/>
      <c r="RS39" s="1705"/>
      <c r="RT39" s="1705"/>
      <c r="RU39" s="1705"/>
      <c r="RV39" s="1705"/>
      <c r="RW39" s="1705"/>
      <c r="RX39" s="1705"/>
      <c r="RY39" s="1705"/>
      <c r="RZ39" s="1705"/>
      <c r="SA39" s="1705"/>
      <c r="SB39" s="1705"/>
      <c r="SC39" s="1705"/>
      <c r="SD39" s="1705"/>
      <c r="SE39" s="101" t="s">
        <v>792</v>
      </c>
      <c r="SF39" s="83" t="e">
        <f>VLOOKUP(SF$1,'Existing Customers'!$A:$AA,2,FALSE)</f>
        <v>#N/A</v>
      </c>
      <c r="SG39" s="1705"/>
      <c r="SH39" s="1705"/>
      <c r="SI39" s="1705"/>
      <c r="SJ39" s="1705"/>
      <c r="SK39" s="1705"/>
      <c r="SL39" s="1705"/>
      <c r="SM39" s="1705"/>
      <c r="SN39" s="1705"/>
      <c r="SO39" s="1705"/>
      <c r="SP39" s="1705"/>
      <c r="SQ39" s="1705"/>
      <c r="SR39" s="1705"/>
      <c r="SS39" s="1705"/>
      <c r="ST39" s="1705"/>
      <c r="SU39" s="1705"/>
      <c r="SV39" s="1705"/>
      <c r="SW39" s="1705"/>
      <c r="SX39" s="1705"/>
      <c r="SY39" s="1705"/>
      <c r="SZ39" s="1705"/>
      <c r="TA39" s="1705"/>
      <c r="TB39" s="1705"/>
      <c r="TC39" s="1705"/>
      <c r="TD39" s="1705"/>
      <c r="TE39" s="1705"/>
      <c r="TF39" s="1705"/>
      <c r="TG39" s="1705"/>
      <c r="TH39" s="1705"/>
      <c r="TI39" s="1705"/>
      <c r="TJ39" s="1705"/>
      <c r="TK39" s="1705"/>
      <c r="TL39" s="1705"/>
      <c r="TM39" s="1705"/>
      <c r="TN39" s="1705"/>
      <c r="TO39" s="1705"/>
      <c r="TP39" s="1705"/>
      <c r="TQ39" s="1705"/>
      <c r="TR39" s="1705"/>
    </row>
    <row r="40" spans="1:538" ht="15.75" thickBot="1" x14ac:dyDescent="0.3">
      <c r="Q40" s="1500"/>
      <c r="R40" s="1514">
        <f t="shared" si="97"/>
        <v>1</v>
      </c>
      <c r="S40" s="1515" t="s">
        <v>114</v>
      </c>
      <c r="T40" s="1516">
        <f>COUNTIF('Variable Costs (Back)'!$C$15:$C$34,S40)</f>
        <v>0</v>
      </c>
      <c r="U40" s="1501"/>
      <c r="V40" s="1501"/>
      <c r="W40" s="1501"/>
      <c r="X40" s="1501"/>
      <c r="Y40" s="1501"/>
      <c r="Z40" s="1514">
        <f t="shared" si="98"/>
        <v>2</v>
      </c>
      <c r="AA40" s="1515"/>
      <c r="AB40" s="1516">
        <f t="shared" ref="AB40:AB65" si="99">COUNTIF($BE$53:$SY$53,AA40)</f>
        <v>20</v>
      </c>
      <c r="AC40" s="1501"/>
      <c r="AD40" s="1501"/>
      <c r="AE40" s="1501"/>
      <c r="AF40" s="1501"/>
      <c r="AG40" s="1519" t="s">
        <v>2098</v>
      </c>
      <c r="AH40" s="1520" t="str">
        <f>IF(COUNTIF($AB$39:$AB$65,"&gt;0")&gt;1,"MULTIPLE TYPES",$AH$37)</f>
        <v>MULTIPLE TYPES</v>
      </c>
      <c r="AI40" s="257"/>
      <c r="AJ40" s="1500"/>
      <c r="AK40" s="1500"/>
      <c r="AL40" s="1500"/>
      <c r="AM40" s="1500"/>
      <c r="AN40" s="1500"/>
      <c r="AO40" s="1500"/>
      <c r="AP40" s="1500"/>
      <c r="AQ40" s="1500"/>
      <c r="AR40" s="1500"/>
      <c r="AS40" s="1500"/>
      <c r="AT40" s="1500"/>
      <c r="AU40" s="1500"/>
      <c r="AV40" s="1500"/>
      <c r="AW40" s="1500"/>
      <c r="AX40" s="1500"/>
      <c r="AY40" s="1500"/>
      <c r="AZ40" s="1412"/>
      <c r="BA40" s="1412"/>
      <c r="BB40" s="1412"/>
      <c r="BC40" s="1412"/>
      <c r="BD40" s="1412"/>
      <c r="BE40" s="1412"/>
      <c r="BF40" s="1412"/>
      <c r="BG40" s="1705"/>
      <c r="BH40" s="1705"/>
      <c r="BI40" s="1705"/>
      <c r="BJ40" s="1705" t="s">
        <v>120</v>
      </c>
      <c r="BK40" s="1705" t="e">
        <f>VLOOKUP(BK$1,'Existing Customers'!$A:$AA,12,FALSE)</f>
        <v>#N/A</v>
      </c>
      <c r="BL40" s="1705"/>
      <c r="BM40" s="1705"/>
      <c r="BN40" s="1705"/>
      <c r="BO40" s="1705"/>
      <c r="BP40" s="1705"/>
      <c r="BQ40" s="1705"/>
      <c r="BR40" s="1705"/>
      <c r="BS40" s="1705"/>
      <c r="BT40" s="1705"/>
      <c r="BU40" s="1705"/>
      <c r="BV40" s="1705"/>
      <c r="BW40" s="1705"/>
      <c r="BX40" s="1705"/>
      <c r="BY40" s="1705"/>
      <c r="BZ40" s="1705"/>
      <c r="CA40" s="1705"/>
      <c r="CB40" s="1705"/>
      <c r="CC40" s="1705"/>
      <c r="CD40" s="1705"/>
      <c r="CE40" s="1705"/>
      <c r="CF40" s="1705"/>
      <c r="CG40" s="101" t="s">
        <v>120</v>
      </c>
      <c r="CH40" s="83" t="e">
        <f>VLOOKUP(CH$1,'Existing Customers'!$A:$AA,12,FALSE)</f>
        <v>#N/A</v>
      </c>
      <c r="CI40" s="1705"/>
      <c r="CJ40" s="1705"/>
      <c r="CK40" s="1705"/>
      <c r="CL40" s="1705"/>
      <c r="CM40" s="1705"/>
      <c r="CN40" s="1705"/>
      <c r="CO40" s="1705"/>
      <c r="CP40" s="1705"/>
      <c r="CQ40" s="1705"/>
      <c r="CR40" s="1705"/>
      <c r="CS40" s="1705"/>
      <c r="CT40" s="1705"/>
      <c r="CU40" s="1705"/>
      <c r="CV40" s="1705"/>
      <c r="CW40" s="1705"/>
      <c r="CX40" s="1705"/>
      <c r="CY40" s="1705"/>
      <c r="CZ40" s="1705"/>
      <c r="DA40" s="1705"/>
      <c r="DB40" s="1705"/>
      <c r="DC40" s="1705"/>
      <c r="DD40" s="101" t="s">
        <v>120</v>
      </c>
      <c r="DE40" s="83" t="e">
        <f>VLOOKUP(DE$1,'Existing Customers'!$A:$AA,12,FALSE)</f>
        <v>#N/A</v>
      </c>
      <c r="DF40" s="1705"/>
      <c r="DG40" s="1705"/>
      <c r="DH40" s="1705"/>
      <c r="DI40" s="1705"/>
      <c r="DJ40" s="1705"/>
      <c r="DK40" s="1705"/>
      <c r="DL40" s="1705"/>
      <c r="DM40" s="1705"/>
      <c r="DN40" s="1705"/>
      <c r="DO40" s="1705"/>
      <c r="DP40" s="1705"/>
      <c r="DQ40" s="1705"/>
      <c r="DR40" s="1705"/>
      <c r="DS40" s="1705"/>
      <c r="DT40" s="1705"/>
      <c r="DU40" s="1705"/>
      <c r="DV40" s="1705"/>
      <c r="DW40" s="1705"/>
      <c r="DX40" s="1705"/>
      <c r="DY40" s="1705"/>
      <c r="DZ40" s="1705"/>
      <c r="EA40" s="101" t="s">
        <v>120</v>
      </c>
      <c r="EB40" s="83" t="e">
        <f>VLOOKUP(EB$1,'Existing Customers'!$A:$AA,12,FALSE)</f>
        <v>#N/A</v>
      </c>
      <c r="EC40" s="1705"/>
      <c r="ED40" s="1705"/>
      <c r="EE40" s="1705"/>
      <c r="EF40" s="1705"/>
      <c r="EG40" s="1705"/>
      <c r="EH40" s="1705"/>
      <c r="EI40" s="1705"/>
      <c r="EJ40" s="1705"/>
      <c r="EK40" s="1705"/>
      <c r="EL40" s="1705"/>
      <c r="EM40" s="1705"/>
      <c r="EN40" s="1705"/>
      <c r="EO40" s="1705"/>
      <c r="EP40" s="1705"/>
      <c r="EQ40" s="1705"/>
      <c r="ER40" s="1705"/>
      <c r="ES40" s="1705"/>
      <c r="ET40" s="1705"/>
      <c r="EU40" s="1705"/>
      <c r="EV40" s="1705"/>
      <c r="EW40" s="1705"/>
      <c r="EX40" s="101" t="s">
        <v>120</v>
      </c>
      <c r="EY40" s="83" t="e">
        <f>VLOOKUP(EY$1,'Existing Customers'!$A:$AA,12,FALSE)</f>
        <v>#N/A</v>
      </c>
      <c r="EZ40" s="1705"/>
      <c r="FA40" s="1705"/>
      <c r="FB40" s="1705"/>
      <c r="FC40" s="1705"/>
      <c r="FD40" s="1705"/>
      <c r="FE40" s="1705"/>
      <c r="FF40" s="1705"/>
      <c r="FG40" s="1705"/>
      <c r="FH40" s="1705"/>
      <c r="FI40" s="1705"/>
      <c r="FJ40" s="1705"/>
      <c r="FK40" s="1705"/>
      <c r="FL40" s="1705"/>
      <c r="FM40" s="1705"/>
      <c r="FN40" s="1705"/>
      <c r="FO40" s="1705"/>
      <c r="FP40" s="1705"/>
      <c r="FQ40" s="1705"/>
      <c r="FR40" s="1705"/>
      <c r="FS40" s="1705"/>
      <c r="FT40" s="1705"/>
      <c r="FU40" s="101" t="s">
        <v>120</v>
      </c>
      <c r="FV40" s="83" t="e">
        <f>VLOOKUP(FV$1,'Existing Customers'!$A:$AA,12,FALSE)</f>
        <v>#N/A</v>
      </c>
      <c r="FW40" s="1705"/>
      <c r="FX40" s="1705"/>
      <c r="FY40" s="1705"/>
      <c r="FZ40" s="1705"/>
      <c r="GA40" s="1705"/>
      <c r="GB40" s="1705"/>
      <c r="GC40" s="1705"/>
      <c r="GD40" s="1705"/>
      <c r="GE40" s="1705"/>
      <c r="GF40" s="1705"/>
      <c r="GG40" s="1705"/>
      <c r="GH40" s="1705"/>
      <c r="GI40" s="1705"/>
      <c r="GJ40" s="1705"/>
      <c r="GK40" s="1705"/>
      <c r="GL40" s="1705"/>
      <c r="GM40" s="1705"/>
      <c r="GN40" s="1705"/>
      <c r="GO40" s="1705"/>
      <c r="GP40" s="1705"/>
      <c r="GQ40" s="1705"/>
      <c r="GR40" s="101" t="s">
        <v>120</v>
      </c>
      <c r="GS40" s="83" t="e">
        <f>VLOOKUP(GS$1,'Existing Customers'!$A:$AA,12,FALSE)</f>
        <v>#N/A</v>
      </c>
      <c r="GT40" s="1705"/>
      <c r="GU40" s="1705"/>
      <c r="GV40" s="1705"/>
      <c r="GW40" s="1705"/>
      <c r="GX40" s="1705"/>
      <c r="GY40" s="1705"/>
      <c r="GZ40" s="1705"/>
      <c r="HA40" s="1705"/>
      <c r="HB40" s="1705"/>
      <c r="HC40" s="1705"/>
      <c r="HD40" s="1705"/>
      <c r="HE40" s="1705"/>
      <c r="HF40" s="1705"/>
      <c r="HG40" s="1705"/>
      <c r="HH40" s="1705"/>
      <c r="HI40" s="1705"/>
      <c r="HJ40" s="1705"/>
      <c r="HK40" s="1705"/>
      <c r="HL40" s="1705"/>
      <c r="HM40" s="1705"/>
      <c r="HN40" s="1705"/>
      <c r="HO40" s="101" t="s">
        <v>120</v>
      </c>
      <c r="HP40" s="83" t="e">
        <f>VLOOKUP(HP$1,'Existing Customers'!$A:$AA,12,FALSE)</f>
        <v>#N/A</v>
      </c>
      <c r="HQ40" s="1705"/>
      <c r="HR40" s="1705"/>
      <c r="HS40" s="1705"/>
      <c r="HT40" s="1705"/>
      <c r="HU40" s="1705"/>
      <c r="HV40" s="1705"/>
      <c r="HW40" s="1705"/>
      <c r="HX40" s="1705"/>
      <c r="HY40" s="1705"/>
      <c r="HZ40" s="1705"/>
      <c r="IA40" s="1705"/>
      <c r="IB40" s="1705"/>
      <c r="IC40" s="1705"/>
      <c r="ID40" s="1705"/>
      <c r="IE40" s="1705"/>
      <c r="IF40" s="1705"/>
      <c r="IG40" s="1705"/>
      <c r="IH40" s="1705"/>
      <c r="II40" s="1705"/>
      <c r="IJ40" s="1705"/>
      <c r="IK40" s="1705"/>
      <c r="IL40" s="101" t="s">
        <v>120</v>
      </c>
      <c r="IM40" s="83" t="e">
        <f>VLOOKUP(IM$1,'Existing Customers'!$A:$AA,12,FALSE)</f>
        <v>#N/A</v>
      </c>
      <c r="IN40" s="1705"/>
      <c r="IO40" s="1705"/>
      <c r="IP40" s="1705"/>
      <c r="IQ40" s="1705"/>
      <c r="IR40" s="1705"/>
      <c r="IS40" s="1705"/>
      <c r="IT40" s="1705"/>
      <c r="IU40" s="1705"/>
      <c r="IV40" s="1705"/>
      <c r="IW40" s="1705"/>
      <c r="IX40" s="1705"/>
      <c r="IY40" s="1705"/>
      <c r="IZ40" s="1705"/>
      <c r="JA40" s="1705"/>
      <c r="JB40" s="1705"/>
      <c r="JC40" s="1705"/>
      <c r="JD40" s="1705"/>
      <c r="JE40" s="1705"/>
      <c r="JF40" s="1705"/>
      <c r="JG40" s="1705"/>
      <c r="JH40" s="1705"/>
      <c r="JI40" s="101" t="s">
        <v>120</v>
      </c>
      <c r="JJ40" s="83" t="e">
        <f>VLOOKUP(JJ$1,'Existing Customers'!$A:$AA,12,FALSE)</f>
        <v>#N/A</v>
      </c>
      <c r="JK40" s="1705"/>
      <c r="JL40" s="1705"/>
      <c r="JM40" s="1705"/>
      <c r="JN40" s="1705"/>
      <c r="JO40" s="1705"/>
      <c r="JP40" s="1705"/>
      <c r="JQ40" s="1705"/>
      <c r="JR40" s="1705"/>
      <c r="JS40" s="1705"/>
      <c r="JT40" s="1705"/>
      <c r="JU40" s="1705"/>
      <c r="JV40" s="1705"/>
      <c r="JW40" s="1705"/>
      <c r="JX40" s="1705"/>
      <c r="JY40" s="1705"/>
      <c r="JZ40" s="1705"/>
      <c r="KA40" s="1705"/>
      <c r="KB40" s="1705"/>
      <c r="KC40" s="1705"/>
      <c r="KD40" s="1705"/>
      <c r="KE40" s="1705"/>
      <c r="KF40" s="101" t="s">
        <v>120</v>
      </c>
      <c r="KG40" s="83" t="e">
        <f>VLOOKUP(KG$1,'Existing Customers'!$A:$AA,12,FALSE)</f>
        <v>#N/A</v>
      </c>
      <c r="KH40" s="1705"/>
      <c r="KI40" s="1705"/>
      <c r="KJ40" s="1705"/>
      <c r="KK40" s="1705"/>
      <c r="KL40" s="1705"/>
      <c r="KM40" s="1705"/>
      <c r="KN40" s="1705"/>
      <c r="KO40" s="1705"/>
      <c r="KP40" s="1705"/>
      <c r="KQ40" s="1705"/>
      <c r="KR40" s="1705"/>
      <c r="KS40" s="1705"/>
      <c r="KT40" s="1705"/>
      <c r="KU40" s="1705"/>
      <c r="KV40" s="1705"/>
      <c r="KW40" s="1705"/>
      <c r="KX40" s="1705"/>
      <c r="KY40" s="1705"/>
      <c r="KZ40" s="1705"/>
      <c r="LA40" s="1705"/>
      <c r="LB40" s="1705"/>
      <c r="LC40" s="101" t="s">
        <v>120</v>
      </c>
      <c r="LD40" s="83" t="e">
        <f>VLOOKUP(LD$1,'Existing Customers'!$A:$AA,12,FALSE)</f>
        <v>#N/A</v>
      </c>
      <c r="LE40" s="1705"/>
      <c r="LF40" s="1705"/>
      <c r="LG40" s="1705"/>
      <c r="LH40" s="1705"/>
      <c r="LI40" s="1705"/>
      <c r="LJ40" s="1705"/>
      <c r="LK40" s="1705"/>
      <c r="LL40" s="1705"/>
      <c r="LM40" s="1705"/>
      <c r="LN40" s="1705"/>
      <c r="LO40" s="1705"/>
      <c r="LP40" s="1705"/>
      <c r="LQ40" s="1705"/>
      <c r="LR40" s="1705"/>
      <c r="LS40" s="1705"/>
      <c r="LT40" s="1705"/>
      <c r="LU40" s="1705"/>
      <c r="LV40" s="1705"/>
      <c r="LW40" s="1705"/>
      <c r="LX40" s="1705"/>
      <c r="LY40" s="1705"/>
      <c r="LZ40" s="101" t="s">
        <v>120</v>
      </c>
      <c r="MA40" s="83" t="e">
        <f>VLOOKUP(MA$1,'Existing Customers'!$A:$AA,12,FALSE)</f>
        <v>#N/A</v>
      </c>
      <c r="MB40" s="1705"/>
      <c r="MC40" s="1705"/>
      <c r="MD40" s="1705"/>
      <c r="ME40" s="1705"/>
      <c r="MF40" s="1705"/>
      <c r="MG40" s="1705"/>
      <c r="MH40" s="1705"/>
      <c r="MI40" s="1705"/>
      <c r="MJ40" s="1705"/>
      <c r="MK40" s="1705"/>
      <c r="ML40" s="1705"/>
      <c r="MM40" s="1705"/>
      <c r="MN40" s="1705"/>
      <c r="MO40" s="1705"/>
      <c r="MP40" s="1705"/>
      <c r="MQ40" s="1705"/>
      <c r="MR40" s="1705"/>
      <c r="MS40" s="1705"/>
      <c r="MT40" s="1705"/>
      <c r="MU40" s="1705"/>
      <c r="MV40" s="1705"/>
      <c r="MW40" s="101" t="s">
        <v>120</v>
      </c>
      <c r="MX40" s="83" t="e">
        <f>VLOOKUP(MX$1,'Existing Customers'!$A:$AA,12,FALSE)</f>
        <v>#N/A</v>
      </c>
      <c r="MY40" s="1705"/>
      <c r="MZ40" s="1705"/>
      <c r="NA40" s="1705"/>
      <c r="NB40" s="1705"/>
      <c r="NC40" s="1705"/>
      <c r="ND40" s="1705"/>
      <c r="NE40" s="1705"/>
      <c r="NF40" s="1705"/>
      <c r="NG40" s="1705"/>
      <c r="NH40" s="1705"/>
      <c r="NI40" s="1705"/>
      <c r="NJ40" s="1705"/>
      <c r="NK40" s="1705"/>
      <c r="NL40" s="1705"/>
      <c r="NM40" s="1705"/>
      <c r="NN40" s="1705"/>
      <c r="NO40" s="1705"/>
      <c r="NP40" s="1705"/>
      <c r="NQ40" s="1705"/>
      <c r="NR40" s="1705"/>
      <c r="NS40" s="1705"/>
      <c r="NT40" s="101" t="s">
        <v>120</v>
      </c>
      <c r="NU40" s="83" t="e">
        <f>VLOOKUP(NU$1,'Existing Customers'!$A:$AA,12,FALSE)</f>
        <v>#N/A</v>
      </c>
      <c r="NV40" s="1705"/>
      <c r="NW40" s="1705"/>
      <c r="NX40" s="1705"/>
      <c r="NY40" s="1705"/>
      <c r="NZ40" s="1705"/>
      <c r="OA40" s="1705"/>
      <c r="OB40" s="1705"/>
      <c r="OC40" s="1705"/>
      <c r="OD40" s="1705"/>
      <c r="OE40" s="1705"/>
      <c r="OF40" s="1705"/>
      <c r="OG40" s="1705"/>
      <c r="OH40" s="1705"/>
      <c r="OI40" s="1705"/>
      <c r="OJ40" s="1705"/>
      <c r="OK40" s="1705"/>
      <c r="OL40" s="1705"/>
      <c r="OM40" s="1705"/>
      <c r="ON40" s="1705"/>
      <c r="OO40" s="1705"/>
      <c r="OP40" s="1705"/>
      <c r="OQ40" s="101" t="s">
        <v>120</v>
      </c>
      <c r="OR40" s="83" t="e">
        <f>VLOOKUP(OR$1,'Existing Customers'!$A:$AA,12,FALSE)</f>
        <v>#N/A</v>
      </c>
      <c r="OS40" s="1705"/>
      <c r="OT40" s="1705"/>
      <c r="OU40" s="1705"/>
      <c r="OV40" s="1705"/>
      <c r="OW40" s="1705"/>
      <c r="OX40" s="1705"/>
      <c r="OY40" s="1705"/>
      <c r="OZ40" s="1705"/>
      <c r="PA40" s="1705"/>
      <c r="PB40" s="1705"/>
      <c r="PC40" s="1705"/>
      <c r="PD40" s="1705"/>
      <c r="PE40" s="1705"/>
      <c r="PF40" s="1705"/>
      <c r="PG40" s="1705"/>
      <c r="PH40" s="1705"/>
      <c r="PI40" s="1705"/>
      <c r="PJ40" s="1705"/>
      <c r="PK40" s="1705"/>
      <c r="PL40" s="1705"/>
      <c r="PM40" s="1705"/>
      <c r="PN40" s="101" t="s">
        <v>120</v>
      </c>
      <c r="PO40" s="83" t="e">
        <f>VLOOKUP(PO$1,'Existing Customers'!$A:$AA,12,FALSE)</f>
        <v>#N/A</v>
      </c>
      <c r="PP40" s="1705"/>
      <c r="PQ40" s="1705"/>
      <c r="PR40" s="1705"/>
      <c r="PS40" s="1705"/>
      <c r="PT40" s="1705"/>
      <c r="PU40" s="1705"/>
      <c r="PV40" s="1705"/>
      <c r="PW40" s="1705"/>
      <c r="PX40" s="1705"/>
      <c r="PY40" s="1705"/>
      <c r="PZ40" s="1705"/>
      <c r="QA40" s="1705"/>
      <c r="QB40" s="1705"/>
      <c r="QC40" s="1705"/>
      <c r="QD40" s="1705"/>
      <c r="QE40" s="1705"/>
      <c r="QF40" s="1705"/>
      <c r="QG40" s="1705"/>
      <c r="QH40" s="1705"/>
      <c r="QI40" s="1705"/>
      <c r="QJ40" s="1705"/>
      <c r="QK40" s="101" t="s">
        <v>120</v>
      </c>
      <c r="QL40" s="83" t="e">
        <f>VLOOKUP(QL$1,'Existing Customers'!$A:$AA,12,FALSE)</f>
        <v>#N/A</v>
      </c>
      <c r="QM40" s="1705"/>
      <c r="QN40" s="1705"/>
      <c r="QO40" s="1705"/>
      <c r="QP40" s="1705"/>
      <c r="QQ40" s="1705"/>
      <c r="QR40" s="1705"/>
      <c r="QS40" s="1705"/>
      <c r="QT40" s="1705"/>
      <c r="QU40" s="1705"/>
      <c r="QV40" s="1705"/>
      <c r="QW40" s="1705"/>
      <c r="QX40" s="1705"/>
      <c r="QY40" s="1705"/>
      <c r="QZ40" s="1705"/>
      <c r="RA40" s="1705"/>
      <c r="RB40" s="1705"/>
      <c r="RC40" s="1705"/>
      <c r="RD40" s="1705"/>
      <c r="RE40" s="1705"/>
      <c r="RF40" s="1705"/>
      <c r="RG40" s="1705"/>
      <c r="RH40" s="101" t="s">
        <v>120</v>
      </c>
      <c r="RI40" s="83" t="e">
        <f>VLOOKUP(RI$1,'Existing Customers'!$A:$AA,12,FALSE)</f>
        <v>#N/A</v>
      </c>
      <c r="RJ40" s="1705"/>
      <c r="RK40" s="1705"/>
      <c r="RL40" s="1705"/>
      <c r="RM40" s="1705"/>
      <c r="RN40" s="1705"/>
      <c r="RO40" s="1705"/>
      <c r="RP40" s="1705"/>
      <c r="RQ40" s="1705"/>
      <c r="RR40" s="1705"/>
      <c r="RS40" s="1705"/>
      <c r="RT40" s="1705"/>
      <c r="RU40" s="1705"/>
      <c r="RV40" s="1705"/>
      <c r="RW40" s="1705"/>
      <c r="RX40" s="1705"/>
      <c r="RY40" s="1705"/>
      <c r="RZ40" s="1705"/>
      <c r="SA40" s="1705"/>
      <c r="SB40" s="1705"/>
      <c r="SC40" s="1705"/>
      <c r="SD40" s="1705"/>
      <c r="SE40" s="101" t="s">
        <v>120</v>
      </c>
      <c r="SF40" s="83" t="e">
        <f>VLOOKUP(SF$1,'Existing Customers'!$A:$AA,12,FALSE)</f>
        <v>#N/A</v>
      </c>
      <c r="SG40" s="1705"/>
      <c r="SH40" s="1705"/>
      <c r="SI40" s="1705"/>
      <c r="SJ40" s="1705"/>
      <c r="SK40" s="1705"/>
      <c r="SL40" s="1705"/>
      <c r="SM40" s="1705"/>
      <c r="SN40" s="1705"/>
      <c r="SO40" s="1705"/>
      <c r="SP40" s="1705"/>
      <c r="SQ40" s="1705"/>
      <c r="SR40" s="1705"/>
      <c r="SS40" s="1705"/>
      <c r="ST40" s="1705"/>
      <c r="SU40" s="1705"/>
      <c r="SV40" s="1705"/>
      <c r="SW40" s="1705"/>
      <c r="SX40" s="1705"/>
      <c r="SY40" s="1705"/>
      <c r="SZ40" s="1705"/>
      <c r="TA40" s="1705"/>
      <c r="TB40" s="1705"/>
      <c r="TC40" s="1705"/>
      <c r="TD40" s="1705"/>
      <c r="TE40" s="1705"/>
      <c r="TF40" s="1705"/>
      <c r="TG40" s="1705"/>
      <c r="TH40" s="1705"/>
      <c r="TI40" s="1705"/>
      <c r="TJ40" s="1705"/>
      <c r="TK40" s="1705"/>
      <c r="TL40" s="1705"/>
      <c r="TM40" s="1705"/>
      <c r="TN40" s="1705"/>
      <c r="TO40" s="1705"/>
      <c r="TP40" s="1705"/>
      <c r="TQ40" s="1705"/>
      <c r="TR40" s="1705"/>
    </row>
    <row r="41" spans="1:538" x14ac:dyDescent="0.25">
      <c r="Q41" s="1500"/>
      <c r="R41" s="1514">
        <f t="shared" si="97"/>
        <v>1</v>
      </c>
      <c r="S41" s="1515" t="s">
        <v>116</v>
      </c>
      <c r="T41" s="1516">
        <f>COUNTIF('Variable Costs (Back)'!$C$15:$C$34,S41)</f>
        <v>0</v>
      </c>
      <c r="U41" s="1501"/>
      <c r="V41" s="1501"/>
      <c r="W41" s="1501"/>
      <c r="X41" s="1501"/>
      <c r="Y41" s="1501"/>
      <c r="Z41" s="1514">
        <f t="shared" si="98"/>
        <v>2</v>
      </c>
      <c r="AA41" s="1515"/>
      <c r="AB41" s="1516">
        <f t="shared" si="99"/>
        <v>20</v>
      </c>
      <c r="AC41" s="1501"/>
      <c r="AD41" s="1501"/>
      <c r="AE41" s="1501"/>
      <c r="AF41" s="1501"/>
      <c r="AG41" s="1501"/>
      <c r="AH41" s="1501"/>
      <c r="AI41" s="1501"/>
      <c r="AJ41" s="1500"/>
      <c r="AK41" s="1500"/>
      <c r="AL41" s="1500"/>
      <c r="AM41" s="1500"/>
      <c r="AN41" s="1500"/>
      <c r="AO41" s="1500"/>
      <c r="AP41" s="1500"/>
      <c r="AQ41" s="1500"/>
      <c r="AR41" s="1500"/>
      <c r="AS41" s="1500"/>
      <c r="AT41" s="1500"/>
      <c r="AU41" s="1500"/>
      <c r="AV41" s="1500"/>
      <c r="AW41" s="1500"/>
      <c r="AX41" s="1500"/>
      <c r="AY41" s="1500"/>
      <c r="AZ41" s="1412"/>
      <c r="BA41" s="1412"/>
      <c r="BB41" s="1412"/>
      <c r="BC41" s="1412"/>
      <c r="BD41" s="1412"/>
      <c r="BE41" s="1412"/>
      <c r="BF41" s="1412"/>
      <c r="BG41" s="1705"/>
      <c r="BH41" s="1705"/>
      <c r="BI41" s="1705"/>
      <c r="BJ41" s="1705" t="s">
        <v>793</v>
      </c>
      <c r="BK41" s="1705" t="e">
        <f>VLOOKUP(BK$1,'Existing Customers'!$A:$AA,25,FALSE)</f>
        <v>#N/A</v>
      </c>
      <c r="BL41" s="1705"/>
      <c r="BM41" s="1705"/>
      <c r="BN41" s="1705"/>
      <c r="BO41" s="1705"/>
      <c r="BP41" s="1705"/>
      <c r="BQ41" s="1705"/>
      <c r="BR41" s="1705"/>
      <c r="BS41" s="1705"/>
      <c r="BT41" s="1705"/>
      <c r="BU41" s="1705"/>
      <c r="BV41" s="1705"/>
      <c r="BW41" s="1705"/>
      <c r="BX41" s="1705"/>
      <c r="BY41" s="1705"/>
      <c r="BZ41" s="1705"/>
      <c r="CA41" s="1705"/>
      <c r="CB41" s="1705"/>
      <c r="CC41" s="1705"/>
      <c r="CD41" s="1705"/>
      <c r="CE41" s="1705"/>
      <c r="CF41" s="1705"/>
      <c r="CG41" s="101" t="s">
        <v>793</v>
      </c>
      <c r="CH41" s="83" t="e">
        <f>VLOOKUP(CH$1,'Existing Customers'!$A:$AA,25,FALSE)</f>
        <v>#N/A</v>
      </c>
      <c r="CI41" s="1705"/>
      <c r="CJ41" s="1705"/>
      <c r="CK41" s="1705"/>
      <c r="CL41" s="1705"/>
      <c r="CM41" s="1705"/>
      <c r="CN41" s="1705"/>
      <c r="CO41" s="1705"/>
      <c r="CP41" s="1705"/>
      <c r="CQ41" s="1705"/>
      <c r="CR41" s="1705"/>
      <c r="CS41" s="1705"/>
      <c r="CT41" s="1705"/>
      <c r="CU41" s="1705"/>
      <c r="CV41" s="1705"/>
      <c r="CW41" s="1705"/>
      <c r="CX41" s="1705"/>
      <c r="CY41" s="1705"/>
      <c r="CZ41" s="1705"/>
      <c r="DA41" s="1705"/>
      <c r="DB41" s="1705"/>
      <c r="DC41" s="1705"/>
      <c r="DD41" s="101" t="s">
        <v>793</v>
      </c>
      <c r="DE41" s="83" t="e">
        <f>VLOOKUP(DE$1,'Existing Customers'!$A:$AA,25,FALSE)</f>
        <v>#N/A</v>
      </c>
      <c r="DF41" s="1705"/>
      <c r="DG41" s="1705"/>
      <c r="DH41" s="1705"/>
      <c r="DI41" s="1705"/>
      <c r="DJ41" s="1705"/>
      <c r="DK41" s="1705"/>
      <c r="DL41" s="1705"/>
      <c r="DM41" s="1705"/>
      <c r="DN41" s="1705"/>
      <c r="DO41" s="1705"/>
      <c r="DP41" s="1705"/>
      <c r="DQ41" s="1705"/>
      <c r="DR41" s="1705"/>
      <c r="DS41" s="1705"/>
      <c r="DT41" s="1705"/>
      <c r="DU41" s="1705"/>
      <c r="DV41" s="1705"/>
      <c r="DW41" s="1705"/>
      <c r="DX41" s="1705"/>
      <c r="DY41" s="1705"/>
      <c r="DZ41" s="1705"/>
      <c r="EA41" s="101" t="s">
        <v>793</v>
      </c>
      <c r="EB41" s="83" t="e">
        <f>VLOOKUP(EB$1,'Existing Customers'!$A:$AA,25,FALSE)</f>
        <v>#N/A</v>
      </c>
      <c r="EC41" s="1705"/>
      <c r="ED41" s="1705"/>
      <c r="EE41" s="1705"/>
      <c r="EF41" s="1705"/>
      <c r="EG41" s="1705"/>
      <c r="EH41" s="1705"/>
      <c r="EI41" s="1705"/>
      <c r="EJ41" s="1705"/>
      <c r="EK41" s="1705"/>
      <c r="EL41" s="1705"/>
      <c r="EM41" s="1705"/>
      <c r="EN41" s="1705"/>
      <c r="EO41" s="1705"/>
      <c r="EP41" s="1705"/>
      <c r="EQ41" s="1705"/>
      <c r="ER41" s="1705"/>
      <c r="ES41" s="1705"/>
      <c r="ET41" s="1705"/>
      <c r="EU41" s="1705"/>
      <c r="EV41" s="1705"/>
      <c r="EW41" s="1705"/>
      <c r="EX41" s="101" t="s">
        <v>793</v>
      </c>
      <c r="EY41" s="83" t="e">
        <f>VLOOKUP(EY$1,'Existing Customers'!$A:$AA,25,FALSE)</f>
        <v>#N/A</v>
      </c>
      <c r="EZ41" s="1705"/>
      <c r="FA41" s="1705"/>
      <c r="FB41" s="1705"/>
      <c r="FC41" s="1705"/>
      <c r="FD41" s="1705"/>
      <c r="FE41" s="1705"/>
      <c r="FF41" s="1705"/>
      <c r="FG41" s="1705"/>
      <c r="FH41" s="1705"/>
      <c r="FI41" s="1705"/>
      <c r="FJ41" s="1705"/>
      <c r="FK41" s="1705"/>
      <c r="FL41" s="1705"/>
      <c r="FM41" s="1705"/>
      <c r="FN41" s="1705"/>
      <c r="FO41" s="1705"/>
      <c r="FP41" s="1705"/>
      <c r="FQ41" s="1705"/>
      <c r="FR41" s="1705"/>
      <c r="FS41" s="1705"/>
      <c r="FT41" s="1705"/>
      <c r="FU41" s="101" t="s">
        <v>793</v>
      </c>
      <c r="FV41" s="83" t="e">
        <f>VLOOKUP(FV$1,'Existing Customers'!$A:$AA,25,FALSE)</f>
        <v>#N/A</v>
      </c>
      <c r="FW41" s="1705"/>
      <c r="FX41" s="1705"/>
      <c r="FY41" s="1705"/>
      <c r="FZ41" s="1705"/>
      <c r="GA41" s="1705"/>
      <c r="GB41" s="1705"/>
      <c r="GC41" s="1705"/>
      <c r="GD41" s="1705"/>
      <c r="GE41" s="1705"/>
      <c r="GF41" s="1705"/>
      <c r="GG41" s="1705"/>
      <c r="GH41" s="1705"/>
      <c r="GI41" s="1705"/>
      <c r="GJ41" s="1705"/>
      <c r="GK41" s="1705"/>
      <c r="GL41" s="1705"/>
      <c r="GM41" s="1705"/>
      <c r="GN41" s="1705"/>
      <c r="GO41" s="1705"/>
      <c r="GP41" s="1705"/>
      <c r="GQ41" s="1705"/>
      <c r="GR41" s="101" t="s">
        <v>793</v>
      </c>
      <c r="GS41" s="83" t="e">
        <f>VLOOKUP(GS$1,'Existing Customers'!$A:$AA,25,FALSE)</f>
        <v>#N/A</v>
      </c>
      <c r="GT41" s="1705"/>
      <c r="GU41" s="1705"/>
      <c r="GV41" s="1705"/>
      <c r="GW41" s="1705"/>
      <c r="GX41" s="1705"/>
      <c r="GY41" s="1705"/>
      <c r="GZ41" s="1705"/>
      <c r="HA41" s="1705"/>
      <c r="HB41" s="1705"/>
      <c r="HC41" s="1705"/>
      <c r="HD41" s="1705"/>
      <c r="HE41" s="1705"/>
      <c r="HF41" s="1705"/>
      <c r="HG41" s="1705"/>
      <c r="HH41" s="1705"/>
      <c r="HI41" s="1705"/>
      <c r="HJ41" s="1705"/>
      <c r="HK41" s="1705"/>
      <c r="HL41" s="1705"/>
      <c r="HM41" s="1705"/>
      <c r="HN41" s="1705"/>
      <c r="HO41" s="101" t="s">
        <v>793</v>
      </c>
      <c r="HP41" s="83" t="e">
        <f>VLOOKUP(HP$1,'Existing Customers'!$A:$AA,25,FALSE)</f>
        <v>#N/A</v>
      </c>
      <c r="HQ41" s="1705"/>
      <c r="HR41" s="1705"/>
      <c r="HS41" s="1705"/>
      <c r="HT41" s="1705"/>
      <c r="HU41" s="1705"/>
      <c r="HV41" s="1705"/>
      <c r="HW41" s="1705"/>
      <c r="HX41" s="1705"/>
      <c r="HY41" s="1705"/>
      <c r="HZ41" s="1705"/>
      <c r="IA41" s="1705"/>
      <c r="IB41" s="1705"/>
      <c r="IC41" s="1705"/>
      <c r="ID41" s="1705"/>
      <c r="IE41" s="1705"/>
      <c r="IF41" s="1705"/>
      <c r="IG41" s="1705"/>
      <c r="IH41" s="1705"/>
      <c r="II41" s="1705"/>
      <c r="IJ41" s="1705"/>
      <c r="IK41" s="1705"/>
      <c r="IL41" s="101" t="s">
        <v>793</v>
      </c>
      <c r="IM41" s="83" t="e">
        <f>VLOOKUP(IM$1,'Existing Customers'!$A:$AA,25,FALSE)</f>
        <v>#N/A</v>
      </c>
      <c r="IN41" s="1705"/>
      <c r="IO41" s="1705"/>
      <c r="IP41" s="1705"/>
      <c r="IQ41" s="1705"/>
      <c r="IR41" s="1705"/>
      <c r="IS41" s="1705"/>
      <c r="IT41" s="1705"/>
      <c r="IU41" s="1705"/>
      <c r="IV41" s="1705"/>
      <c r="IW41" s="1705"/>
      <c r="IX41" s="1705"/>
      <c r="IY41" s="1705"/>
      <c r="IZ41" s="1705"/>
      <c r="JA41" s="1705"/>
      <c r="JB41" s="1705"/>
      <c r="JC41" s="1705"/>
      <c r="JD41" s="1705"/>
      <c r="JE41" s="1705"/>
      <c r="JF41" s="1705"/>
      <c r="JG41" s="1705"/>
      <c r="JH41" s="1705"/>
      <c r="JI41" s="101" t="s">
        <v>793</v>
      </c>
      <c r="JJ41" s="83" t="e">
        <f>VLOOKUP(JJ$1,'Existing Customers'!$A:$AA,25,FALSE)</f>
        <v>#N/A</v>
      </c>
      <c r="JK41" s="1705"/>
      <c r="JL41" s="1705"/>
      <c r="JM41" s="1705"/>
      <c r="JN41" s="1705"/>
      <c r="JO41" s="1705"/>
      <c r="JP41" s="1705"/>
      <c r="JQ41" s="1705"/>
      <c r="JR41" s="1705"/>
      <c r="JS41" s="1705"/>
      <c r="JT41" s="1705"/>
      <c r="JU41" s="1705"/>
      <c r="JV41" s="1705"/>
      <c r="JW41" s="1705"/>
      <c r="JX41" s="1705"/>
      <c r="JY41" s="1705"/>
      <c r="JZ41" s="1705"/>
      <c r="KA41" s="1705"/>
      <c r="KB41" s="1705"/>
      <c r="KC41" s="1705"/>
      <c r="KD41" s="1705"/>
      <c r="KE41" s="1705"/>
      <c r="KF41" s="101" t="s">
        <v>793</v>
      </c>
      <c r="KG41" s="83" t="e">
        <f>VLOOKUP(KG$1,'Existing Customers'!$A:$AA,25,FALSE)</f>
        <v>#N/A</v>
      </c>
      <c r="KH41" s="1705"/>
      <c r="KI41" s="1705"/>
      <c r="KJ41" s="1705"/>
      <c r="KK41" s="1705"/>
      <c r="KL41" s="1705"/>
      <c r="KM41" s="1705"/>
      <c r="KN41" s="1705"/>
      <c r="KO41" s="1705"/>
      <c r="KP41" s="1705"/>
      <c r="KQ41" s="1705"/>
      <c r="KR41" s="1705"/>
      <c r="KS41" s="1705"/>
      <c r="KT41" s="1705"/>
      <c r="KU41" s="1705"/>
      <c r="KV41" s="1705"/>
      <c r="KW41" s="1705"/>
      <c r="KX41" s="1705"/>
      <c r="KY41" s="1705"/>
      <c r="KZ41" s="1705"/>
      <c r="LA41" s="1705"/>
      <c r="LB41" s="1705"/>
      <c r="LC41" s="101" t="s">
        <v>793</v>
      </c>
      <c r="LD41" s="83" t="e">
        <f>VLOOKUP(LD$1,'Existing Customers'!$A:$AA,25,FALSE)</f>
        <v>#N/A</v>
      </c>
      <c r="LE41" s="1705"/>
      <c r="LF41" s="1705"/>
      <c r="LG41" s="1705"/>
      <c r="LH41" s="1705"/>
      <c r="LI41" s="1705"/>
      <c r="LJ41" s="1705"/>
      <c r="LK41" s="1705"/>
      <c r="LL41" s="1705"/>
      <c r="LM41" s="1705"/>
      <c r="LN41" s="1705"/>
      <c r="LO41" s="1705"/>
      <c r="LP41" s="1705"/>
      <c r="LQ41" s="1705"/>
      <c r="LR41" s="1705"/>
      <c r="LS41" s="1705"/>
      <c r="LT41" s="1705"/>
      <c r="LU41" s="1705"/>
      <c r="LV41" s="1705"/>
      <c r="LW41" s="1705"/>
      <c r="LX41" s="1705"/>
      <c r="LY41" s="1705"/>
      <c r="LZ41" s="101" t="s">
        <v>793</v>
      </c>
      <c r="MA41" s="83" t="e">
        <f>VLOOKUP(MA$1,'Existing Customers'!$A:$AA,25,FALSE)</f>
        <v>#N/A</v>
      </c>
      <c r="MB41" s="1705"/>
      <c r="MC41" s="1705"/>
      <c r="MD41" s="1705"/>
      <c r="ME41" s="1705"/>
      <c r="MF41" s="1705"/>
      <c r="MG41" s="1705"/>
      <c r="MH41" s="1705"/>
      <c r="MI41" s="1705"/>
      <c r="MJ41" s="1705"/>
      <c r="MK41" s="1705"/>
      <c r="ML41" s="1705"/>
      <c r="MM41" s="1705"/>
      <c r="MN41" s="1705"/>
      <c r="MO41" s="1705"/>
      <c r="MP41" s="1705"/>
      <c r="MQ41" s="1705"/>
      <c r="MR41" s="1705"/>
      <c r="MS41" s="1705"/>
      <c r="MT41" s="1705"/>
      <c r="MU41" s="1705"/>
      <c r="MV41" s="1705"/>
      <c r="MW41" s="101" t="s">
        <v>793</v>
      </c>
      <c r="MX41" s="83" t="e">
        <f>VLOOKUP(MX$1,'Existing Customers'!$A:$AA,25,FALSE)</f>
        <v>#N/A</v>
      </c>
      <c r="MY41" s="1705"/>
      <c r="MZ41" s="1705"/>
      <c r="NA41" s="1705"/>
      <c r="NB41" s="1705"/>
      <c r="NC41" s="1705"/>
      <c r="ND41" s="1705"/>
      <c r="NE41" s="1705"/>
      <c r="NF41" s="1705"/>
      <c r="NG41" s="1705"/>
      <c r="NH41" s="1705"/>
      <c r="NI41" s="1705"/>
      <c r="NJ41" s="1705"/>
      <c r="NK41" s="1705"/>
      <c r="NL41" s="1705"/>
      <c r="NM41" s="1705"/>
      <c r="NN41" s="1705"/>
      <c r="NO41" s="1705"/>
      <c r="NP41" s="1705"/>
      <c r="NQ41" s="1705"/>
      <c r="NR41" s="1705"/>
      <c r="NS41" s="1705"/>
      <c r="NT41" s="101" t="s">
        <v>793</v>
      </c>
      <c r="NU41" s="83" t="e">
        <f>VLOOKUP(NU$1,'Existing Customers'!$A:$AA,25,FALSE)</f>
        <v>#N/A</v>
      </c>
      <c r="NV41" s="1705"/>
      <c r="NW41" s="1705"/>
      <c r="NX41" s="1705"/>
      <c r="NY41" s="1705"/>
      <c r="NZ41" s="1705"/>
      <c r="OA41" s="1705"/>
      <c r="OB41" s="1705"/>
      <c r="OC41" s="1705"/>
      <c r="OD41" s="1705"/>
      <c r="OE41" s="1705"/>
      <c r="OF41" s="1705"/>
      <c r="OG41" s="1705"/>
      <c r="OH41" s="1705"/>
      <c r="OI41" s="1705"/>
      <c r="OJ41" s="1705"/>
      <c r="OK41" s="1705"/>
      <c r="OL41" s="1705"/>
      <c r="OM41" s="1705"/>
      <c r="ON41" s="1705"/>
      <c r="OO41" s="1705"/>
      <c r="OP41" s="1705"/>
      <c r="OQ41" s="101" t="s">
        <v>793</v>
      </c>
      <c r="OR41" s="83" t="e">
        <f>VLOOKUP(OR$1,'Existing Customers'!$A:$AA,25,FALSE)</f>
        <v>#N/A</v>
      </c>
      <c r="OS41" s="1705"/>
      <c r="OT41" s="1705"/>
      <c r="OU41" s="1705"/>
      <c r="OV41" s="1705"/>
      <c r="OW41" s="1705"/>
      <c r="OX41" s="1705"/>
      <c r="OY41" s="1705"/>
      <c r="OZ41" s="1705"/>
      <c r="PA41" s="1705"/>
      <c r="PB41" s="1705"/>
      <c r="PC41" s="1705"/>
      <c r="PD41" s="1705"/>
      <c r="PE41" s="1705"/>
      <c r="PF41" s="1705"/>
      <c r="PG41" s="1705"/>
      <c r="PH41" s="1705"/>
      <c r="PI41" s="1705"/>
      <c r="PJ41" s="1705"/>
      <c r="PK41" s="1705"/>
      <c r="PL41" s="1705"/>
      <c r="PM41" s="1705"/>
      <c r="PN41" s="101" t="s">
        <v>793</v>
      </c>
      <c r="PO41" s="83" t="e">
        <f>VLOOKUP(PO$1,'Existing Customers'!$A:$AA,25,FALSE)</f>
        <v>#N/A</v>
      </c>
      <c r="PP41" s="1705"/>
      <c r="PQ41" s="1705"/>
      <c r="PR41" s="1705"/>
      <c r="PS41" s="1705"/>
      <c r="PT41" s="1705"/>
      <c r="PU41" s="1705"/>
      <c r="PV41" s="1705"/>
      <c r="PW41" s="1705"/>
      <c r="PX41" s="1705"/>
      <c r="PY41" s="1705"/>
      <c r="PZ41" s="1705"/>
      <c r="QA41" s="1705"/>
      <c r="QB41" s="1705"/>
      <c r="QC41" s="1705"/>
      <c r="QD41" s="1705"/>
      <c r="QE41" s="1705"/>
      <c r="QF41" s="1705"/>
      <c r="QG41" s="1705"/>
      <c r="QH41" s="1705"/>
      <c r="QI41" s="1705"/>
      <c r="QJ41" s="1705"/>
      <c r="QK41" s="101" t="s">
        <v>793</v>
      </c>
      <c r="QL41" s="83" t="e">
        <f>VLOOKUP(QL$1,'Existing Customers'!$A:$AA,25,FALSE)</f>
        <v>#N/A</v>
      </c>
      <c r="QM41" s="1705"/>
      <c r="QN41" s="1705"/>
      <c r="QO41" s="1705"/>
      <c r="QP41" s="1705"/>
      <c r="QQ41" s="1705"/>
      <c r="QR41" s="1705"/>
      <c r="QS41" s="1705"/>
      <c r="QT41" s="1705"/>
      <c r="QU41" s="1705"/>
      <c r="QV41" s="1705"/>
      <c r="QW41" s="1705"/>
      <c r="QX41" s="1705"/>
      <c r="QY41" s="1705"/>
      <c r="QZ41" s="1705"/>
      <c r="RA41" s="1705"/>
      <c r="RB41" s="1705"/>
      <c r="RC41" s="1705"/>
      <c r="RD41" s="1705"/>
      <c r="RE41" s="1705"/>
      <c r="RF41" s="1705"/>
      <c r="RG41" s="1705"/>
      <c r="RH41" s="101" t="s">
        <v>793</v>
      </c>
      <c r="RI41" s="83" t="e">
        <f>VLOOKUP(RI$1,'Existing Customers'!$A:$AA,25,FALSE)</f>
        <v>#N/A</v>
      </c>
      <c r="RJ41" s="1705"/>
      <c r="RK41" s="1705"/>
      <c r="RL41" s="1705"/>
      <c r="RM41" s="1705"/>
      <c r="RN41" s="1705"/>
      <c r="RO41" s="1705"/>
      <c r="RP41" s="1705"/>
      <c r="RQ41" s="1705"/>
      <c r="RR41" s="1705"/>
      <c r="RS41" s="1705"/>
      <c r="RT41" s="1705"/>
      <c r="RU41" s="1705"/>
      <c r="RV41" s="1705"/>
      <c r="RW41" s="1705"/>
      <c r="RX41" s="1705"/>
      <c r="RY41" s="1705"/>
      <c r="RZ41" s="1705"/>
      <c r="SA41" s="1705"/>
      <c r="SB41" s="1705"/>
      <c r="SC41" s="1705"/>
      <c r="SD41" s="1705"/>
      <c r="SE41" s="101" t="s">
        <v>793</v>
      </c>
      <c r="SF41" s="83" t="e">
        <f>VLOOKUP(SF$1,'Existing Customers'!$A:$AA,25,FALSE)</f>
        <v>#N/A</v>
      </c>
      <c r="SG41" s="1705"/>
      <c r="SH41" s="1705"/>
      <c r="SI41" s="1705"/>
      <c r="SJ41" s="1705"/>
      <c r="SK41" s="1705"/>
      <c r="SL41" s="1705"/>
      <c r="SM41" s="1705"/>
      <c r="SN41" s="1705"/>
      <c r="SO41" s="1705"/>
      <c r="SP41" s="1705"/>
      <c r="SQ41" s="1705"/>
      <c r="SR41" s="1705"/>
      <c r="SS41" s="1705"/>
      <c r="ST41" s="1705"/>
      <c r="SU41" s="1705"/>
      <c r="SV41" s="1705"/>
      <c r="SW41" s="1705"/>
      <c r="SX41" s="1705"/>
      <c r="SY41" s="1705"/>
      <c r="SZ41" s="1705"/>
      <c r="TA41" s="1705"/>
      <c r="TB41" s="1705"/>
      <c r="TC41" s="1705"/>
      <c r="TD41" s="1705"/>
      <c r="TE41" s="1705"/>
      <c r="TF41" s="1705"/>
      <c r="TG41" s="1705"/>
      <c r="TH41" s="1705"/>
      <c r="TI41" s="1705"/>
      <c r="TJ41" s="1705"/>
      <c r="TK41" s="1705"/>
      <c r="TL41" s="1705"/>
      <c r="TM41" s="1705"/>
      <c r="TN41" s="1705"/>
      <c r="TO41" s="1705"/>
      <c r="TP41" s="1705"/>
      <c r="TQ41" s="1705"/>
      <c r="TR41" s="1705"/>
    </row>
    <row r="42" spans="1:538" x14ac:dyDescent="0.25">
      <c r="Q42" s="1500"/>
      <c r="R42" s="1514">
        <f t="shared" si="97"/>
        <v>1</v>
      </c>
      <c r="S42" s="1515" t="s">
        <v>112</v>
      </c>
      <c r="T42" s="1516">
        <f>COUNTIF('Variable Costs (Back)'!$C$15:$C$34,S42)</f>
        <v>0</v>
      </c>
      <c r="U42" s="1501"/>
      <c r="V42" s="1501"/>
      <c r="W42" s="1501"/>
      <c r="X42" s="1501"/>
      <c r="Y42" s="1501"/>
      <c r="Z42" s="1514">
        <f t="shared" si="98"/>
        <v>2</v>
      </c>
      <c r="AA42" s="1515"/>
      <c r="AB42" s="1516">
        <f t="shared" si="99"/>
        <v>20</v>
      </c>
      <c r="AC42" s="1501"/>
      <c r="AD42" s="1501"/>
      <c r="AE42" s="1501"/>
      <c r="AF42" s="1501"/>
      <c r="AG42" s="1501"/>
      <c r="AH42" s="1501"/>
      <c r="AI42" s="1501"/>
      <c r="AJ42" s="1500"/>
      <c r="AK42" s="1500"/>
      <c r="AL42" s="1500"/>
      <c r="AM42" s="1500"/>
      <c r="AN42" s="1500"/>
      <c r="AO42" s="1500"/>
      <c r="AP42" s="1500"/>
      <c r="AQ42" s="1500"/>
      <c r="AR42" s="1500"/>
      <c r="AS42" s="1500"/>
      <c r="AT42" s="1500"/>
      <c r="AU42" s="1500"/>
      <c r="AV42" s="1500"/>
      <c r="AW42" s="1500"/>
      <c r="AX42" s="1500"/>
      <c r="AY42" s="1500"/>
      <c r="AZ42" s="1412"/>
      <c r="BA42" s="1412"/>
      <c r="BB42" s="1412"/>
      <c r="BC42" s="1412"/>
      <c r="BD42" s="1412"/>
      <c r="BE42" s="1412"/>
      <c r="BF42" s="1412"/>
      <c r="BG42" s="1705"/>
      <c r="BH42" s="1705"/>
      <c r="BI42" s="1705"/>
      <c r="BJ42" s="1705" t="s">
        <v>794</v>
      </c>
      <c r="BK42" s="1705" t="e">
        <f>VLOOKUP(BK$1,'Existing Customers'!$A:$AA,26,FALSE)</f>
        <v>#N/A</v>
      </c>
      <c r="BL42" s="1705"/>
      <c r="BM42" s="1705"/>
      <c r="BN42" s="1705"/>
      <c r="BO42" s="1705"/>
      <c r="BP42" s="1705"/>
      <c r="BQ42" s="1705"/>
      <c r="BR42" s="1705"/>
      <c r="BS42" s="1705"/>
      <c r="BT42" s="1705"/>
      <c r="BU42" s="1705"/>
      <c r="BV42" s="1705"/>
      <c r="BW42" s="1705"/>
      <c r="BX42" s="1705"/>
      <c r="BY42" s="1705"/>
      <c r="BZ42" s="1705"/>
      <c r="CA42" s="1705"/>
      <c r="CB42" s="1705"/>
      <c r="CC42" s="1705"/>
      <c r="CD42" s="1705"/>
      <c r="CE42" s="1705"/>
      <c r="CF42" s="1705"/>
      <c r="CG42" s="101" t="s">
        <v>794</v>
      </c>
      <c r="CH42" s="83" t="e">
        <f>VLOOKUP(CH$1,'Existing Customers'!$A:$AA,26,FALSE)</f>
        <v>#N/A</v>
      </c>
      <c r="CI42" s="1705"/>
      <c r="CJ42" s="1705"/>
      <c r="CK42" s="1705"/>
      <c r="CL42" s="1705"/>
      <c r="CM42" s="1705"/>
      <c r="CN42" s="1705"/>
      <c r="CO42" s="1705"/>
      <c r="CP42" s="1705"/>
      <c r="CQ42" s="1705"/>
      <c r="CR42" s="1705"/>
      <c r="CS42" s="1705"/>
      <c r="CT42" s="1705"/>
      <c r="CU42" s="1705"/>
      <c r="CV42" s="1705"/>
      <c r="CW42" s="1705"/>
      <c r="CX42" s="1705"/>
      <c r="CY42" s="1705"/>
      <c r="CZ42" s="1705"/>
      <c r="DA42" s="1705"/>
      <c r="DB42" s="1705"/>
      <c r="DC42" s="1705"/>
      <c r="DD42" s="101" t="s">
        <v>794</v>
      </c>
      <c r="DE42" s="83" t="e">
        <f>VLOOKUP(DE$1,'Existing Customers'!$A:$AA,26,FALSE)</f>
        <v>#N/A</v>
      </c>
      <c r="DF42" s="1705"/>
      <c r="DG42" s="1705"/>
      <c r="DH42" s="1705"/>
      <c r="DI42" s="1705"/>
      <c r="DJ42" s="1705"/>
      <c r="DK42" s="1705"/>
      <c r="DL42" s="1705"/>
      <c r="DM42" s="1705"/>
      <c r="DN42" s="1705"/>
      <c r="DO42" s="1705"/>
      <c r="DP42" s="1705"/>
      <c r="DQ42" s="1705"/>
      <c r="DR42" s="1705"/>
      <c r="DS42" s="1705"/>
      <c r="DT42" s="1705"/>
      <c r="DU42" s="1705"/>
      <c r="DV42" s="1705"/>
      <c r="DW42" s="1705"/>
      <c r="DX42" s="1705"/>
      <c r="DY42" s="1705"/>
      <c r="DZ42" s="1705"/>
      <c r="EA42" s="101" t="s">
        <v>794</v>
      </c>
      <c r="EB42" s="83" t="e">
        <f>VLOOKUP(EB$1,'Existing Customers'!$A:$AA,26,FALSE)</f>
        <v>#N/A</v>
      </c>
      <c r="EC42" s="1705"/>
      <c r="ED42" s="1705"/>
      <c r="EE42" s="1705"/>
      <c r="EF42" s="1705"/>
      <c r="EG42" s="1705"/>
      <c r="EH42" s="1705"/>
      <c r="EI42" s="1705"/>
      <c r="EJ42" s="1705"/>
      <c r="EK42" s="1705"/>
      <c r="EL42" s="1705"/>
      <c r="EM42" s="1705"/>
      <c r="EN42" s="1705"/>
      <c r="EO42" s="1705"/>
      <c r="EP42" s="1705"/>
      <c r="EQ42" s="1705"/>
      <c r="ER42" s="1705"/>
      <c r="ES42" s="1705"/>
      <c r="ET42" s="1705"/>
      <c r="EU42" s="1705"/>
      <c r="EV42" s="1705"/>
      <c r="EW42" s="1705"/>
      <c r="EX42" s="101" t="s">
        <v>794</v>
      </c>
      <c r="EY42" s="83" t="e">
        <f>VLOOKUP(EY$1,'Existing Customers'!$A:$AA,26,FALSE)</f>
        <v>#N/A</v>
      </c>
      <c r="EZ42" s="1705"/>
      <c r="FA42" s="1705"/>
      <c r="FB42" s="1705"/>
      <c r="FC42" s="1705"/>
      <c r="FD42" s="1705"/>
      <c r="FE42" s="1705"/>
      <c r="FF42" s="1705"/>
      <c r="FG42" s="1705"/>
      <c r="FH42" s="1705"/>
      <c r="FI42" s="1705"/>
      <c r="FJ42" s="1705"/>
      <c r="FK42" s="1705"/>
      <c r="FL42" s="1705"/>
      <c r="FM42" s="1705"/>
      <c r="FN42" s="1705"/>
      <c r="FO42" s="1705"/>
      <c r="FP42" s="1705"/>
      <c r="FQ42" s="1705"/>
      <c r="FR42" s="1705"/>
      <c r="FS42" s="1705"/>
      <c r="FT42" s="1705"/>
      <c r="FU42" s="101" t="s">
        <v>794</v>
      </c>
      <c r="FV42" s="83" t="e">
        <f>VLOOKUP(FV$1,'Existing Customers'!$A:$AA,26,FALSE)</f>
        <v>#N/A</v>
      </c>
      <c r="FW42" s="1705"/>
      <c r="FX42" s="1705"/>
      <c r="FY42" s="1705"/>
      <c r="FZ42" s="1705"/>
      <c r="GA42" s="1705"/>
      <c r="GB42" s="1705"/>
      <c r="GC42" s="1705"/>
      <c r="GD42" s="1705"/>
      <c r="GE42" s="1705"/>
      <c r="GF42" s="1705"/>
      <c r="GG42" s="1705"/>
      <c r="GH42" s="1705"/>
      <c r="GI42" s="1705"/>
      <c r="GJ42" s="1705"/>
      <c r="GK42" s="1705"/>
      <c r="GL42" s="1705"/>
      <c r="GM42" s="1705"/>
      <c r="GN42" s="1705"/>
      <c r="GO42" s="1705"/>
      <c r="GP42" s="1705"/>
      <c r="GQ42" s="1705"/>
      <c r="GR42" s="101" t="s">
        <v>794</v>
      </c>
      <c r="GS42" s="83" t="e">
        <f>VLOOKUP(GS$1,'Existing Customers'!$A:$AA,26,FALSE)</f>
        <v>#N/A</v>
      </c>
      <c r="GT42" s="1705"/>
      <c r="GU42" s="1705"/>
      <c r="GV42" s="1705"/>
      <c r="GW42" s="1705"/>
      <c r="GX42" s="1705"/>
      <c r="GY42" s="1705"/>
      <c r="GZ42" s="1705"/>
      <c r="HA42" s="1705"/>
      <c r="HB42" s="1705"/>
      <c r="HC42" s="1705"/>
      <c r="HD42" s="1705"/>
      <c r="HE42" s="1705"/>
      <c r="HF42" s="1705"/>
      <c r="HG42" s="1705"/>
      <c r="HH42" s="1705"/>
      <c r="HI42" s="1705"/>
      <c r="HJ42" s="1705"/>
      <c r="HK42" s="1705"/>
      <c r="HL42" s="1705"/>
      <c r="HM42" s="1705"/>
      <c r="HN42" s="1705"/>
      <c r="HO42" s="101" t="s">
        <v>794</v>
      </c>
      <c r="HP42" s="83" t="e">
        <f>VLOOKUP(HP$1,'Existing Customers'!$A:$AA,26,FALSE)</f>
        <v>#N/A</v>
      </c>
      <c r="HQ42" s="1705"/>
      <c r="HR42" s="1705"/>
      <c r="HS42" s="1705"/>
      <c r="HT42" s="1705"/>
      <c r="HU42" s="1705"/>
      <c r="HV42" s="1705"/>
      <c r="HW42" s="1705"/>
      <c r="HX42" s="1705"/>
      <c r="HY42" s="1705"/>
      <c r="HZ42" s="1705"/>
      <c r="IA42" s="1705"/>
      <c r="IB42" s="1705"/>
      <c r="IC42" s="1705"/>
      <c r="ID42" s="1705"/>
      <c r="IE42" s="1705"/>
      <c r="IF42" s="1705"/>
      <c r="IG42" s="1705"/>
      <c r="IH42" s="1705"/>
      <c r="II42" s="1705"/>
      <c r="IJ42" s="1705"/>
      <c r="IK42" s="1705"/>
      <c r="IL42" s="101" t="s">
        <v>794</v>
      </c>
      <c r="IM42" s="83" t="e">
        <f>VLOOKUP(IM$1,'Existing Customers'!$A:$AA,26,FALSE)</f>
        <v>#N/A</v>
      </c>
      <c r="IN42" s="1705"/>
      <c r="IO42" s="1705"/>
      <c r="IP42" s="1705"/>
      <c r="IQ42" s="1705"/>
      <c r="IR42" s="1705"/>
      <c r="IS42" s="1705"/>
      <c r="IT42" s="1705"/>
      <c r="IU42" s="1705"/>
      <c r="IV42" s="1705"/>
      <c r="IW42" s="1705"/>
      <c r="IX42" s="1705"/>
      <c r="IY42" s="1705"/>
      <c r="IZ42" s="1705"/>
      <c r="JA42" s="1705"/>
      <c r="JB42" s="1705"/>
      <c r="JC42" s="1705"/>
      <c r="JD42" s="1705"/>
      <c r="JE42" s="1705"/>
      <c r="JF42" s="1705"/>
      <c r="JG42" s="1705"/>
      <c r="JH42" s="1705"/>
      <c r="JI42" s="101" t="s">
        <v>794</v>
      </c>
      <c r="JJ42" s="83" t="e">
        <f>VLOOKUP(JJ$1,'Existing Customers'!$A:$AA,26,FALSE)</f>
        <v>#N/A</v>
      </c>
      <c r="JK42" s="1705"/>
      <c r="JL42" s="1705"/>
      <c r="JM42" s="1705"/>
      <c r="JN42" s="1705"/>
      <c r="JO42" s="1705"/>
      <c r="JP42" s="1705"/>
      <c r="JQ42" s="1705"/>
      <c r="JR42" s="1705"/>
      <c r="JS42" s="1705"/>
      <c r="JT42" s="1705"/>
      <c r="JU42" s="1705"/>
      <c r="JV42" s="1705"/>
      <c r="JW42" s="1705"/>
      <c r="JX42" s="1705"/>
      <c r="JY42" s="1705"/>
      <c r="JZ42" s="1705"/>
      <c r="KA42" s="1705"/>
      <c r="KB42" s="1705"/>
      <c r="KC42" s="1705"/>
      <c r="KD42" s="1705"/>
      <c r="KE42" s="1705"/>
      <c r="KF42" s="101" t="s">
        <v>794</v>
      </c>
      <c r="KG42" s="83" t="e">
        <f>VLOOKUP(KG$1,'Existing Customers'!$A:$AA,26,FALSE)</f>
        <v>#N/A</v>
      </c>
      <c r="KH42" s="1705"/>
      <c r="KI42" s="1705"/>
      <c r="KJ42" s="1705"/>
      <c r="KK42" s="1705"/>
      <c r="KL42" s="1705"/>
      <c r="KM42" s="1705"/>
      <c r="KN42" s="1705"/>
      <c r="KO42" s="1705"/>
      <c r="KP42" s="1705"/>
      <c r="KQ42" s="1705"/>
      <c r="KR42" s="1705"/>
      <c r="KS42" s="1705"/>
      <c r="KT42" s="1705"/>
      <c r="KU42" s="1705"/>
      <c r="KV42" s="1705"/>
      <c r="KW42" s="1705"/>
      <c r="KX42" s="1705"/>
      <c r="KY42" s="1705"/>
      <c r="KZ42" s="1705"/>
      <c r="LA42" s="1705"/>
      <c r="LB42" s="1705"/>
      <c r="LC42" s="101" t="s">
        <v>794</v>
      </c>
      <c r="LD42" s="83" t="e">
        <f>VLOOKUP(LD$1,'Existing Customers'!$A:$AA,26,FALSE)</f>
        <v>#N/A</v>
      </c>
      <c r="LE42" s="1705"/>
      <c r="LF42" s="1705"/>
      <c r="LG42" s="1705"/>
      <c r="LH42" s="1705"/>
      <c r="LI42" s="1705"/>
      <c r="LJ42" s="1705"/>
      <c r="LK42" s="1705"/>
      <c r="LL42" s="1705"/>
      <c r="LM42" s="1705"/>
      <c r="LN42" s="1705"/>
      <c r="LO42" s="1705"/>
      <c r="LP42" s="1705"/>
      <c r="LQ42" s="1705"/>
      <c r="LR42" s="1705"/>
      <c r="LS42" s="1705"/>
      <c r="LT42" s="1705"/>
      <c r="LU42" s="1705"/>
      <c r="LV42" s="1705"/>
      <c r="LW42" s="1705"/>
      <c r="LX42" s="1705"/>
      <c r="LY42" s="1705"/>
      <c r="LZ42" s="101" t="s">
        <v>794</v>
      </c>
      <c r="MA42" s="83" t="e">
        <f>VLOOKUP(MA$1,'Existing Customers'!$A:$AA,26,FALSE)</f>
        <v>#N/A</v>
      </c>
      <c r="MB42" s="1705"/>
      <c r="MC42" s="1705"/>
      <c r="MD42" s="1705"/>
      <c r="ME42" s="1705"/>
      <c r="MF42" s="1705"/>
      <c r="MG42" s="1705"/>
      <c r="MH42" s="1705"/>
      <c r="MI42" s="1705"/>
      <c r="MJ42" s="1705"/>
      <c r="MK42" s="1705"/>
      <c r="ML42" s="1705"/>
      <c r="MM42" s="1705"/>
      <c r="MN42" s="1705"/>
      <c r="MO42" s="1705"/>
      <c r="MP42" s="1705"/>
      <c r="MQ42" s="1705"/>
      <c r="MR42" s="1705"/>
      <c r="MS42" s="1705"/>
      <c r="MT42" s="1705"/>
      <c r="MU42" s="1705"/>
      <c r="MV42" s="1705"/>
      <c r="MW42" s="101" t="s">
        <v>794</v>
      </c>
      <c r="MX42" s="83" t="e">
        <f>VLOOKUP(MX$1,'Existing Customers'!$A:$AA,26,FALSE)</f>
        <v>#N/A</v>
      </c>
      <c r="MY42" s="1705"/>
      <c r="MZ42" s="1705"/>
      <c r="NA42" s="1705"/>
      <c r="NB42" s="1705"/>
      <c r="NC42" s="1705"/>
      <c r="ND42" s="1705"/>
      <c r="NE42" s="1705"/>
      <c r="NF42" s="1705"/>
      <c r="NG42" s="1705"/>
      <c r="NH42" s="1705"/>
      <c r="NI42" s="1705"/>
      <c r="NJ42" s="1705"/>
      <c r="NK42" s="1705"/>
      <c r="NL42" s="1705"/>
      <c r="NM42" s="1705"/>
      <c r="NN42" s="1705"/>
      <c r="NO42" s="1705"/>
      <c r="NP42" s="1705"/>
      <c r="NQ42" s="1705"/>
      <c r="NR42" s="1705"/>
      <c r="NS42" s="1705"/>
      <c r="NT42" s="101" t="s">
        <v>794</v>
      </c>
      <c r="NU42" s="83" t="e">
        <f>VLOOKUP(NU$1,'Existing Customers'!$A:$AA,26,FALSE)</f>
        <v>#N/A</v>
      </c>
      <c r="NV42" s="1705"/>
      <c r="NW42" s="1705"/>
      <c r="NX42" s="1705"/>
      <c r="NY42" s="1705"/>
      <c r="NZ42" s="1705"/>
      <c r="OA42" s="1705"/>
      <c r="OB42" s="1705"/>
      <c r="OC42" s="1705"/>
      <c r="OD42" s="1705"/>
      <c r="OE42" s="1705"/>
      <c r="OF42" s="1705"/>
      <c r="OG42" s="1705"/>
      <c r="OH42" s="1705"/>
      <c r="OI42" s="1705"/>
      <c r="OJ42" s="1705"/>
      <c r="OK42" s="1705"/>
      <c r="OL42" s="1705"/>
      <c r="OM42" s="1705"/>
      <c r="ON42" s="1705"/>
      <c r="OO42" s="1705"/>
      <c r="OP42" s="1705"/>
      <c r="OQ42" s="101" t="s">
        <v>794</v>
      </c>
      <c r="OR42" s="83" t="e">
        <f>VLOOKUP(OR$1,'Existing Customers'!$A:$AA,26,FALSE)</f>
        <v>#N/A</v>
      </c>
      <c r="OS42" s="1705"/>
      <c r="OT42" s="1705"/>
      <c r="OU42" s="1705"/>
      <c r="OV42" s="1705"/>
      <c r="OW42" s="1705"/>
      <c r="OX42" s="1705"/>
      <c r="OY42" s="1705"/>
      <c r="OZ42" s="1705"/>
      <c r="PA42" s="1705"/>
      <c r="PB42" s="1705"/>
      <c r="PC42" s="1705"/>
      <c r="PD42" s="1705"/>
      <c r="PE42" s="1705"/>
      <c r="PF42" s="1705"/>
      <c r="PG42" s="1705"/>
      <c r="PH42" s="1705"/>
      <c r="PI42" s="1705"/>
      <c r="PJ42" s="1705"/>
      <c r="PK42" s="1705"/>
      <c r="PL42" s="1705"/>
      <c r="PM42" s="1705"/>
      <c r="PN42" s="101" t="s">
        <v>794</v>
      </c>
      <c r="PO42" s="83" t="e">
        <f>VLOOKUP(PO$1,'Existing Customers'!$A:$AA,26,FALSE)</f>
        <v>#N/A</v>
      </c>
      <c r="PP42" s="1705"/>
      <c r="PQ42" s="1705"/>
      <c r="PR42" s="1705"/>
      <c r="PS42" s="1705"/>
      <c r="PT42" s="1705"/>
      <c r="PU42" s="1705"/>
      <c r="PV42" s="1705"/>
      <c r="PW42" s="1705"/>
      <c r="PX42" s="1705"/>
      <c r="PY42" s="1705"/>
      <c r="PZ42" s="1705"/>
      <c r="QA42" s="1705"/>
      <c r="QB42" s="1705"/>
      <c r="QC42" s="1705"/>
      <c r="QD42" s="1705"/>
      <c r="QE42" s="1705"/>
      <c r="QF42" s="1705"/>
      <c r="QG42" s="1705"/>
      <c r="QH42" s="1705"/>
      <c r="QI42" s="1705"/>
      <c r="QJ42" s="1705"/>
      <c r="QK42" s="101" t="s">
        <v>794</v>
      </c>
      <c r="QL42" s="83" t="e">
        <f>VLOOKUP(QL$1,'Existing Customers'!$A:$AA,26,FALSE)</f>
        <v>#N/A</v>
      </c>
      <c r="QM42" s="1705"/>
      <c r="QN42" s="1705"/>
      <c r="QO42" s="1705"/>
      <c r="QP42" s="1705"/>
      <c r="QQ42" s="1705"/>
      <c r="QR42" s="1705"/>
      <c r="QS42" s="1705"/>
      <c r="QT42" s="1705"/>
      <c r="QU42" s="1705"/>
      <c r="QV42" s="1705"/>
      <c r="QW42" s="1705"/>
      <c r="QX42" s="1705"/>
      <c r="QY42" s="1705"/>
      <c r="QZ42" s="1705"/>
      <c r="RA42" s="1705"/>
      <c r="RB42" s="1705"/>
      <c r="RC42" s="1705"/>
      <c r="RD42" s="1705"/>
      <c r="RE42" s="1705"/>
      <c r="RF42" s="1705"/>
      <c r="RG42" s="1705"/>
      <c r="RH42" s="101" t="s">
        <v>794</v>
      </c>
      <c r="RI42" s="83" t="e">
        <f>VLOOKUP(RI$1,'Existing Customers'!$A:$AA,26,FALSE)</f>
        <v>#N/A</v>
      </c>
      <c r="RJ42" s="1705"/>
      <c r="RK42" s="1705"/>
      <c r="RL42" s="1705"/>
      <c r="RM42" s="1705"/>
      <c r="RN42" s="1705"/>
      <c r="RO42" s="1705"/>
      <c r="RP42" s="1705"/>
      <c r="RQ42" s="1705"/>
      <c r="RR42" s="1705"/>
      <c r="RS42" s="1705"/>
      <c r="RT42" s="1705"/>
      <c r="RU42" s="1705"/>
      <c r="RV42" s="1705"/>
      <c r="RW42" s="1705"/>
      <c r="RX42" s="1705"/>
      <c r="RY42" s="1705"/>
      <c r="RZ42" s="1705"/>
      <c r="SA42" s="1705"/>
      <c r="SB42" s="1705"/>
      <c r="SC42" s="1705"/>
      <c r="SD42" s="1705"/>
      <c r="SE42" s="101" t="s">
        <v>794</v>
      </c>
      <c r="SF42" s="83" t="e">
        <f>VLOOKUP(SF$1,'Existing Customers'!$A:$AA,26,FALSE)</f>
        <v>#N/A</v>
      </c>
      <c r="SG42" s="1705"/>
      <c r="SH42" s="1705"/>
      <c r="SI42" s="1705"/>
      <c r="SJ42" s="1705"/>
      <c r="SK42" s="1705"/>
      <c r="SL42" s="1705"/>
      <c r="SM42" s="1705"/>
      <c r="SN42" s="1705"/>
      <c r="SO42" s="1705"/>
      <c r="SP42" s="1705"/>
      <c r="SQ42" s="1705"/>
      <c r="SR42" s="1705"/>
      <c r="SS42" s="1705"/>
      <c r="ST42" s="1705"/>
      <c r="SU42" s="1705"/>
      <c r="SV42" s="1705"/>
      <c r="SW42" s="1705"/>
      <c r="SX42" s="1705"/>
      <c r="SY42" s="1705"/>
      <c r="SZ42" s="1705"/>
      <c r="TA42" s="1705"/>
      <c r="TB42" s="1705"/>
      <c r="TC42" s="1705"/>
      <c r="TD42" s="1705"/>
      <c r="TE42" s="1705"/>
      <c r="TF42" s="1705"/>
      <c r="TG42" s="1705"/>
      <c r="TH42" s="1705"/>
      <c r="TI42" s="1705"/>
      <c r="TJ42" s="1705"/>
      <c r="TK42" s="1705"/>
      <c r="TL42" s="1705"/>
      <c r="TM42" s="1705"/>
      <c r="TN42" s="1705"/>
      <c r="TO42" s="1705"/>
      <c r="TP42" s="1705"/>
      <c r="TQ42" s="1705"/>
      <c r="TR42" s="1705"/>
    </row>
    <row r="43" spans="1:538" x14ac:dyDescent="0.25">
      <c r="Q43" s="1500"/>
      <c r="R43" s="1514">
        <f t="shared" si="97"/>
        <v>1</v>
      </c>
      <c r="S43" s="1515" t="s">
        <v>113</v>
      </c>
      <c r="T43" s="1516">
        <f>COUNTIF('Variable Costs (Back)'!$C$15:$C$34,S43)</f>
        <v>0</v>
      </c>
      <c r="U43" s="1501"/>
      <c r="V43" s="1501"/>
      <c r="W43" s="1501"/>
      <c r="X43" s="1501"/>
      <c r="Y43" s="1501"/>
      <c r="Z43" s="1514">
        <f t="shared" si="98"/>
        <v>2</v>
      </c>
      <c r="AA43" s="1515"/>
      <c r="AB43" s="1516">
        <f t="shared" si="99"/>
        <v>20</v>
      </c>
      <c r="AC43" s="1501"/>
      <c r="AD43" s="1501"/>
      <c r="AE43" s="1501"/>
      <c r="AF43" s="1501"/>
      <c r="AG43" s="1501"/>
      <c r="AH43" s="1501"/>
      <c r="AI43" s="1501"/>
      <c r="AJ43" s="1500"/>
      <c r="AK43" s="1500"/>
      <c r="AL43" s="1500"/>
      <c r="AM43" s="1500"/>
      <c r="AN43" s="1500"/>
      <c r="AO43" s="1500"/>
      <c r="AP43" s="1500"/>
      <c r="AQ43" s="1500"/>
      <c r="AR43" s="1500"/>
      <c r="AS43" s="1500"/>
      <c r="AT43" s="1500"/>
      <c r="AU43" s="1500"/>
      <c r="AV43" s="1500"/>
      <c r="AW43" s="1500"/>
      <c r="AX43" s="1500"/>
      <c r="AY43" s="1500"/>
      <c r="AZ43" s="1412"/>
      <c r="BA43" s="1412"/>
      <c r="BB43" s="1412"/>
      <c r="BC43" s="1412"/>
      <c r="BD43" s="1412"/>
      <c r="BE43" s="1412"/>
      <c r="BF43" s="1412"/>
      <c r="BG43" s="1705"/>
      <c r="BH43" s="1705"/>
      <c r="BI43" s="1705"/>
      <c r="BJ43" s="1705" t="s">
        <v>795</v>
      </c>
      <c r="BK43" s="1705" t="e">
        <f>VLOOKUP(BK$1,'Existing Customers'!$A:$AA,23,FALSE)</f>
        <v>#N/A</v>
      </c>
      <c r="BL43" s="1705"/>
      <c r="BM43" s="1705"/>
      <c r="BN43" s="1705"/>
      <c r="BO43" s="1705"/>
      <c r="BP43" s="1705"/>
      <c r="BQ43" s="1705"/>
      <c r="BR43" s="1705"/>
      <c r="BS43" s="1705"/>
      <c r="BT43" s="1705"/>
      <c r="BU43" s="1705"/>
      <c r="BV43" s="1705"/>
      <c r="BW43" s="1705"/>
      <c r="BX43" s="1705"/>
      <c r="BY43" s="1705"/>
      <c r="BZ43" s="1705"/>
      <c r="CA43" s="1705"/>
      <c r="CB43" s="1705"/>
      <c r="CC43" s="1705"/>
      <c r="CD43" s="1705"/>
      <c r="CE43" s="1705"/>
      <c r="CF43" s="1705"/>
      <c r="CG43" s="101" t="s">
        <v>795</v>
      </c>
      <c r="CH43" s="83" t="e">
        <f>VLOOKUP(CH$1,'Existing Customers'!$A:$AA,23,FALSE)</f>
        <v>#N/A</v>
      </c>
      <c r="CI43" s="1705"/>
      <c r="CJ43" s="1705"/>
      <c r="CK43" s="1705"/>
      <c r="CL43" s="1705"/>
      <c r="CM43" s="1705"/>
      <c r="CN43" s="1705"/>
      <c r="CO43" s="1705"/>
      <c r="CP43" s="1705"/>
      <c r="CQ43" s="1705"/>
      <c r="CR43" s="1705"/>
      <c r="CS43" s="1705"/>
      <c r="CT43" s="1705"/>
      <c r="CU43" s="1705"/>
      <c r="CV43" s="1705"/>
      <c r="CW43" s="1705"/>
      <c r="CX43" s="1705"/>
      <c r="CY43" s="1705"/>
      <c r="CZ43" s="1705"/>
      <c r="DA43" s="1705"/>
      <c r="DB43" s="1705"/>
      <c r="DC43" s="1705"/>
      <c r="DD43" s="101" t="s">
        <v>795</v>
      </c>
      <c r="DE43" s="83" t="e">
        <f>VLOOKUP(DE$1,'Existing Customers'!$A:$AA,23,FALSE)</f>
        <v>#N/A</v>
      </c>
      <c r="DF43" s="1705"/>
      <c r="DG43" s="1705"/>
      <c r="DH43" s="1705"/>
      <c r="DI43" s="1705"/>
      <c r="DJ43" s="1705"/>
      <c r="DK43" s="1705"/>
      <c r="DL43" s="1705"/>
      <c r="DM43" s="1705"/>
      <c r="DN43" s="1705"/>
      <c r="DO43" s="1705"/>
      <c r="DP43" s="1705"/>
      <c r="DQ43" s="1705"/>
      <c r="DR43" s="1705"/>
      <c r="DS43" s="1705"/>
      <c r="DT43" s="1705"/>
      <c r="DU43" s="1705"/>
      <c r="DV43" s="1705"/>
      <c r="DW43" s="1705"/>
      <c r="DX43" s="1705"/>
      <c r="DY43" s="1705"/>
      <c r="DZ43" s="1705"/>
      <c r="EA43" s="101" t="s">
        <v>795</v>
      </c>
      <c r="EB43" s="83" t="e">
        <f>VLOOKUP(EB$1,'Existing Customers'!$A:$AA,23,FALSE)</f>
        <v>#N/A</v>
      </c>
      <c r="EC43" s="1705"/>
      <c r="ED43" s="1705"/>
      <c r="EE43" s="1705"/>
      <c r="EF43" s="1705"/>
      <c r="EG43" s="1705"/>
      <c r="EH43" s="1705"/>
      <c r="EI43" s="1705"/>
      <c r="EJ43" s="1705"/>
      <c r="EK43" s="1705"/>
      <c r="EL43" s="1705"/>
      <c r="EM43" s="1705"/>
      <c r="EN43" s="1705"/>
      <c r="EO43" s="1705"/>
      <c r="EP43" s="1705"/>
      <c r="EQ43" s="1705"/>
      <c r="ER43" s="1705"/>
      <c r="ES43" s="1705"/>
      <c r="ET43" s="1705"/>
      <c r="EU43" s="1705"/>
      <c r="EV43" s="1705"/>
      <c r="EW43" s="1705"/>
      <c r="EX43" s="101" t="s">
        <v>795</v>
      </c>
      <c r="EY43" s="83" t="e">
        <f>VLOOKUP(EY$1,'Existing Customers'!$A:$AA,23,FALSE)</f>
        <v>#N/A</v>
      </c>
      <c r="EZ43" s="1705"/>
      <c r="FA43" s="1705"/>
      <c r="FB43" s="1705"/>
      <c r="FC43" s="1705"/>
      <c r="FD43" s="1705"/>
      <c r="FE43" s="1705"/>
      <c r="FF43" s="1705"/>
      <c r="FG43" s="1705"/>
      <c r="FH43" s="1705"/>
      <c r="FI43" s="1705"/>
      <c r="FJ43" s="1705"/>
      <c r="FK43" s="1705"/>
      <c r="FL43" s="1705"/>
      <c r="FM43" s="1705"/>
      <c r="FN43" s="1705"/>
      <c r="FO43" s="1705"/>
      <c r="FP43" s="1705"/>
      <c r="FQ43" s="1705"/>
      <c r="FR43" s="1705"/>
      <c r="FS43" s="1705"/>
      <c r="FT43" s="1705"/>
      <c r="FU43" s="101" t="s">
        <v>795</v>
      </c>
      <c r="FV43" s="83" t="e">
        <f>VLOOKUP(FV$1,'Existing Customers'!$A:$AA,23,FALSE)</f>
        <v>#N/A</v>
      </c>
      <c r="FW43" s="1705"/>
      <c r="FX43" s="1705"/>
      <c r="FY43" s="1705"/>
      <c r="FZ43" s="1705"/>
      <c r="GA43" s="1705"/>
      <c r="GB43" s="1705"/>
      <c r="GC43" s="1705"/>
      <c r="GD43" s="1705"/>
      <c r="GE43" s="1705"/>
      <c r="GF43" s="1705"/>
      <c r="GG43" s="1705"/>
      <c r="GH43" s="1705"/>
      <c r="GI43" s="1705"/>
      <c r="GJ43" s="1705"/>
      <c r="GK43" s="1705"/>
      <c r="GL43" s="1705"/>
      <c r="GM43" s="1705"/>
      <c r="GN43" s="1705"/>
      <c r="GO43" s="1705"/>
      <c r="GP43" s="1705"/>
      <c r="GQ43" s="1705"/>
      <c r="GR43" s="101" t="s">
        <v>795</v>
      </c>
      <c r="GS43" s="83" t="e">
        <f>VLOOKUP(GS$1,'Existing Customers'!$A:$AA,23,FALSE)</f>
        <v>#N/A</v>
      </c>
      <c r="GT43" s="1705"/>
      <c r="GU43" s="1705"/>
      <c r="GV43" s="1705"/>
      <c r="GW43" s="1705"/>
      <c r="GX43" s="1705"/>
      <c r="GY43" s="1705"/>
      <c r="GZ43" s="1705"/>
      <c r="HA43" s="1705"/>
      <c r="HB43" s="1705"/>
      <c r="HC43" s="1705"/>
      <c r="HD43" s="1705"/>
      <c r="HE43" s="1705"/>
      <c r="HF43" s="1705"/>
      <c r="HG43" s="1705"/>
      <c r="HH43" s="1705"/>
      <c r="HI43" s="1705"/>
      <c r="HJ43" s="1705"/>
      <c r="HK43" s="1705"/>
      <c r="HL43" s="1705"/>
      <c r="HM43" s="1705"/>
      <c r="HN43" s="1705"/>
      <c r="HO43" s="101" t="s">
        <v>795</v>
      </c>
      <c r="HP43" s="83" t="e">
        <f>VLOOKUP(HP$1,'Existing Customers'!$A:$AA,23,FALSE)</f>
        <v>#N/A</v>
      </c>
      <c r="HQ43" s="1705"/>
      <c r="HR43" s="1705"/>
      <c r="HS43" s="1705"/>
      <c r="HT43" s="1705"/>
      <c r="HU43" s="1705"/>
      <c r="HV43" s="1705"/>
      <c r="HW43" s="1705"/>
      <c r="HX43" s="1705"/>
      <c r="HY43" s="1705"/>
      <c r="HZ43" s="1705"/>
      <c r="IA43" s="1705"/>
      <c r="IB43" s="1705"/>
      <c r="IC43" s="1705"/>
      <c r="ID43" s="1705"/>
      <c r="IE43" s="1705"/>
      <c r="IF43" s="1705"/>
      <c r="IG43" s="1705"/>
      <c r="IH43" s="1705"/>
      <c r="II43" s="1705"/>
      <c r="IJ43" s="1705"/>
      <c r="IK43" s="1705"/>
      <c r="IL43" s="101" t="s">
        <v>795</v>
      </c>
      <c r="IM43" s="83" t="e">
        <f>VLOOKUP(IM$1,'Existing Customers'!$A:$AA,23,FALSE)</f>
        <v>#N/A</v>
      </c>
      <c r="IN43" s="1705"/>
      <c r="IO43" s="1705"/>
      <c r="IP43" s="1705"/>
      <c r="IQ43" s="1705"/>
      <c r="IR43" s="1705"/>
      <c r="IS43" s="1705"/>
      <c r="IT43" s="1705"/>
      <c r="IU43" s="1705"/>
      <c r="IV43" s="1705"/>
      <c r="IW43" s="1705"/>
      <c r="IX43" s="1705"/>
      <c r="IY43" s="1705"/>
      <c r="IZ43" s="1705"/>
      <c r="JA43" s="1705"/>
      <c r="JB43" s="1705"/>
      <c r="JC43" s="1705"/>
      <c r="JD43" s="1705"/>
      <c r="JE43" s="1705"/>
      <c r="JF43" s="1705"/>
      <c r="JG43" s="1705"/>
      <c r="JH43" s="1705"/>
      <c r="JI43" s="101" t="s">
        <v>795</v>
      </c>
      <c r="JJ43" s="83" t="e">
        <f>VLOOKUP(JJ$1,'Existing Customers'!$A:$AA,23,FALSE)</f>
        <v>#N/A</v>
      </c>
      <c r="JK43" s="1705"/>
      <c r="JL43" s="1705"/>
      <c r="JM43" s="1705"/>
      <c r="JN43" s="1705"/>
      <c r="JO43" s="1705"/>
      <c r="JP43" s="1705"/>
      <c r="JQ43" s="1705"/>
      <c r="JR43" s="1705"/>
      <c r="JS43" s="1705"/>
      <c r="JT43" s="1705"/>
      <c r="JU43" s="1705"/>
      <c r="JV43" s="1705"/>
      <c r="JW43" s="1705"/>
      <c r="JX43" s="1705"/>
      <c r="JY43" s="1705"/>
      <c r="JZ43" s="1705"/>
      <c r="KA43" s="1705"/>
      <c r="KB43" s="1705"/>
      <c r="KC43" s="1705"/>
      <c r="KD43" s="1705"/>
      <c r="KE43" s="1705"/>
      <c r="KF43" s="101" t="s">
        <v>795</v>
      </c>
      <c r="KG43" s="83" t="e">
        <f>VLOOKUP(KG$1,'Existing Customers'!$A:$AA,23,FALSE)</f>
        <v>#N/A</v>
      </c>
      <c r="KH43" s="1705"/>
      <c r="KI43" s="1705"/>
      <c r="KJ43" s="1705"/>
      <c r="KK43" s="1705"/>
      <c r="KL43" s="1705"/>
      <c r="KM43" s="1705"/>
      <c r="KN43" s="1705"/>
      <c r="KO43" s="1705"/>
      <c r="KP43" s="1705"/>
      <c r="KQ43" s="1705"/>
      <c r="KR43" s="1705"/>
      <c r="KS43" s="1705"/>
      <c r="KT43" s="1705"/>
      <c r="KU43" s="1705"/>
      <c r="KV43" s="1705"/>
      <c r="KW43" s="1705"/>
      <c r="KX43" s="1705"/>
      <c r="KY43" s="1705"/>
      <c r="KZ43" s="1705"/>
      <c r="LA43" s="1705"/>
      <c r="LB43" s="1705"/>
      <c r="LC43" s="101" t="s">
        <v>795</v>
      </c>
      <c r="LD43" s="83" t="e">
        <f>VLOOKUP(LD$1,'Existing Customers'!$A:$AA,23,FALSE)</f>
        <v>#N/A</v>
      </c>
      <c r="LE43" s="1705"/>
      <c r="LF43" s="1705"/>
      <c r="LG43" s="1705"/>
      <c r="LH43" s="1705"/>
      <c r="LI43" s="1705"/>
      <c r="LJ43" s="1705"/>
      <c r="LK43" s="1705"/>
      <c r="LL43" s="1705"/>
      <c r="LM43" s="1705"/>
      <c r="LN43" s="1705"/>
      <c r="LO43" s="1705"/>
      <c r="LP43" s="1705"/>
      <c r="LQ43" s="1705"/>
      <c r="LR43" s="1705"/>
      <c r="LS43" s="1705"/>
      <c r="LT43" s="1705"/>
      <c r="LU43" s="1705"/>
      <c r="LV43" s="1705"/>
      <c r="LW43" s="1705"/>
      <c r="LX43" s="1705"/>
      <c r="LY43" s="1705"/>
      <c r="LZ43" s="101" t="s">
        <v>795</v>
      </c>
      <c r="MA43" s="83" t="e">
        <f>VLOOKUP(MA$1,'Existing Customers'!$A:$AA,23,FALSE)</f>
        <v>#N/A</v>
      </c>
      <c r="MB43" s="1705"/>
      <c r="MC43" s="1705"/>
      <c r="MD43" s="1705"/>
      <c r="ME43" s="1705"/>
      <c r="MF43" s="1705"/>
      <c r="MG43" s="1705"/>
      <c r="MH43" s="1705"/>
      <c r="MI43" s="1705"/>
      <c r="MJ43" s="1705"/>
      <c r="MK43" s="1705"/>
      <c r="ML43" s="1705"/>
      <c r="MM43" s="1705"/>
      <c r="MN43" s="1705"/>
      <c r="MO43" s="1705"/>
      <c r="MP43" s="1705"/>
      <c r="MQ43" s="1705"/>
      <c r="MR43" s="1705"/>
      <c r="MS43" s="1705"/>
      <c r="MT43" s="1705"/>
      <c r="MU43" s="1705"/>
      <c r="MV43" s="1705"/>
      <c r="MW43" s="101" t="s">
        <v>795</v>
      </c>
      <c r="MX43" s="83" t="e">
        <f>VLOOKUP(MX$1,'Existing Customers'!$A:$AA,23,FALSE)</f>
        <v>#N/A</v>
      </c>
      <c r="MY43" s="1705"/>
      <c r="MZ43" s="1705"/>
      <c r="NA43" s="1705"/>
      <c r="NB43" s="1705"/>
      <c r="NC43" s="1705"/>
      <c r="ND43" s="1705"/>
      <c r="NE43" s="1705"/>
      <c r="NF43" s="1705"/>
      <c r="NG43" s="1705"/>
      <c r="NH43" s="1705"/>
      <c r="NI43" s="1705"/>
      <c r="NJ43" s="1705"/>
      <c r="NK43" s="1705"/>
      <c r="NL43" s="1705"/>
      <c r="NM43" s="1705"/>
      <c r="NN43" s="1705"/>
      <c r="NO43" s="1705"/>
      <c r="NP43" s="1705"/>
      <c r="NQ43" s="1705"/>
      <c r="NR43" s="1705"/>
      <c r="NS43" s="1705"/>
      <c r="NT43" s="101" t="s">
        <v>795</v>
      </c>
      <c r="NU43" s="83" t="e">
        <f>VLOOKUP(NU$1,'Existing Customers'!$A:$AA,23,FALSE)</f>
        <v>#N/A</v>
      </c>
      <c r="NV43" s="1705"/>
      <c r="NW43" s="1705"/>
      <c r="NX43" s="1705"/>
      <c r="NY43" s="1705"/>
      <c r="NZ43" s="1705"/>
      <c r="OA43" s="1705"/>
      <c r="OB43" s="1705"/>
      <c r="OC43" s="1705"/>
      <c r="OD43" s="1705"/>
      <c r="OE43" s="1705"/>
      <c r="OF43" s="1705"/>
      <c r="OG43" s="1705"/>
      <c r="OH43" s="1705"/>
      <c r="OI43" s="1705"/>
      <c r="OJ43" s="1705"/>
      <c r="OK43" s="1705"/>
      <c r="OL43" s="1705"/>
      <c r="OM43" s="1705"/>
      <c r="ON43" s="1705"/>
      <c r="OO43" s="1705"/>
      <c r="OP43" s="1705"/>
      <c r="OQ43" s="101" t="s">
        <v>795</v>
      </c>
      <c r="OR43" s="83" t="e">
        <f>VLOOKUP(OR$1,'Existing Customers'!$A:$AA,23,FALSE)</f>
        <v>#N/A</v>
      </c>
      <c r="OS43" s="1705"/>
      <c r="OT43" s="1705"/>
      <c r="OU43" s="1705"/>
      <c r="OV43" s="1705"/>
      <c r="OW43" s="1705"/>
      <c r="OX43" s="1705"/>
      <c r="OY43" s="1705"/>
      <c r="OZ43" s="1705"/>
      <c r="PA43" s="1705"/>
      <c r="PB43" s="1705"/>
      <c r="PC43" s="1705"/>
      <c r="PD43" s="1705"/>
      <c r="PE43" s="1705"/>
      <c r="PF43" s="1705"/>
      <c r="PG43" s="1705"/>
      <c r="PH43" s="1705"/>
      <c r="PI43" s="1705"/>
      <c r="PJ43" s="1705"/>
      <c r="PK43" s="1705"/>
      <c r="PL43" s="1705"/>
      <c r="PM43" s="1705"/>
      <c r="PN43" s="101" t="s">
        <v>795</v>
      </c>
      <c r="PO43" s="83" t="e">
        <f>VLOOKUP(PO$1,'Existing Customers'!$A:$AA,23,FALSE)</f>
        <v>#N/A</v>
      </c>
      <c r="PP43" s="1705"/>
      <c r="PQ43" s="1705"/>
      <c r="PR43" s="1705"/>
      <c r="PS43" s="1705"/>
      <c r="PT43" s="1705"/>
      <c r="PU43" s="1705"/>
      <c r="PV43" s="1705"/>
      <c r="PW43" s="1705"/>
      <c r="PX43" s="1705"/>
      <c r="PY43" s="1705"/>
      <c r="PZ43" s="1705"/>
      <c r="QA43" s="1705"/>
      <c r="QB43" s="1705"/>
      <c r="QC43" s="1705"/>
      <c r="QD43" s="1705"/>
      <c r="QE43" s="1705"/>
      <c r="QF43" s="1705"/>
      <c r="QG43" s="1705"/>
      <c r="QH43" s="1705"/>
      <c r="QI43" s="1705"/>
      <c r="QJ43" s="1705"/>
      <c r="QK43" s="101" t="s">
        <v>795</v>
      </c>
      <c r="QL43" s="83" t="e">
        <f>VLOOKUP(QL$1,'Existing Customers'!$A:$AA,23,FALSE)</f>
        <v>#N/A</v>
      </c>
      <c r="QM43" s="1705"/>
      <c r="QN43" s="1705"/>
      <c r="QO43" s="1705"/>
      <c r="QP43" s="1705"/>
      <c r="QQ43" s="1705"/>
      <c r="QR43" s="1705"/>
      <c r="QS43" s="1705"/>
      <c r="QT43" s="1705"/>
      <c r="QU43" s="1705"/>
      <c r="QV43" s="1705"/>
      <c r="QW43" s="1705"/>
      <c r="QX43" s="1705"/>
      <c r="QY43" s="1705"/>
      <c r="QZ43" s="1705"/>
      <c r="RA43" s="1705"/>
      <c r="RB43" s="1705"/>
      <c r="RC43" s="1705"/>
      <c r="RD43" s="1705"/>
      <c r="RE43" s="1705"/>
      <c r="RF43" s="1705"/>
      <c r="RG43" s="1705"/>
      <c r="RH43" s="101" t="s">
        <v>795</v>
      </c>
      <c r="RI43" s="83" t="e">
        <f>VLOOKUP(RI$1,'Existing Customers'!$A:$AA,23,FALSE)</f>
        <v>#N/A</v>
      </c>
      <c r="RJ43" s="1705"/>
      <c r="RK43" s="1705"/>
      <c r="RL43" s="1705"/>
      <c r="RM43" s="1705"/>
      <c r="RN43" s="1705"/>
      <c r="RO43" s="1705"/>
      <c r="RP43" s="1705"/>
      <c r="RQ43" s="1705"/>
      <c r="RR43" s="1705"/>
      <c r="RS43" s="1705"/>
      <c r="RT43" s="1705"/>
      <c r="RU43" s="1705"/>
      <c r="RV43" s="1705"/>
      <c r="RW43" s="1705"/>
      <c r="RX43" s="1705"/>
      <c r="RY43" s="1705"/>
      <c r="RZ43" s="1705"/>
      <c r="SA43" s="1705"/>
      <c r="SB43" s="1705"/>
      <c r="SC43" s="1705"/>
      <c r="SD43" s="1705"/>
      <c r="SE43" s="101" t="s">
        <v>795</v>
      </c>
      <c r="SF43" s="83" t="e">
        <f>VLOOKUP(SF$1,'Existing Customers'!$A:$AA,23,FALSE)</f>
        <v>#N/A</v>
      </c>
      <c r="SG43" s="1705"/>
      <c r="SH43" s="1705"/>
      <c r="SI43" s="1705"/>
      <c r="SJ43" s="1705"/>
      <c r="SK43" s="1705"/>
      <c r="SL43" s="1705"/>
      <c r="SM43" s="1705"/>
      <c r="SN43" s="1705"/>
      <c r="SO43" s="1705"/>
      <c r="SP43" s="1705"/>
      <c r="SQ43" s="1705"/>
      <c r="SR43" s="1705"/>
      <c r="SS43" s="1705"/>
      <c r="ST43" s="1705"/>
      <c r="SU43" s="1705"/>
      <c r="SV43" s="1705"/>
      <c r="SW43" s="1705"/>
      <c r="SX43" s="1705"/>
      <c r="SY43" s="1705"/>
      <c r="SZ43" s="1705"/>
      <c r="TA43" s="1705"/>
      <c r="TB43" s="1705"/>
      <c r="TC43" s="1705"/>
      <c r="TD43" s="1705"/>
      <c r="TE43" s="1705"/>
      <c r="TF43" s="1705"/>
      <c r="TG43" s="1705"/>
      <c r="TH43" s="1705"/>
      <c r="TI43" s="1705"/>
      <c r="TJ43" s="1705"/>
      <c r="TK43" s="1705"/>
      <c r="TL43" s="1705"/>
      <c r="TM43" s="1705"/>
      <c r="TN43" s="1705"/>
      <c r="TO43" s="1705"/>
      <c r="TP43" s="1705"/>
      <c r="TQ43" s="1705"/>
      <c r="TR43" s="1705"/>
    </row>
    <row r="44" spans="1:538" x14ac:dyDescent="0.25">
      <c r="Q44" s="1500"/>
      <c r="R44" s="1514">
        <f t="shared" si="97"/>
        <v>1</v>
      </c>
      <c r="S44" s="1515" t="s">
        <v>111</v>
      </c>
      <c r="T44" s="1516">
        <f>COUNTIF('Variable Costs (Back)'!$C$15:$C$34,S44)</f>
        <v>0</v>
      </c>
      <c r="U44" s="1501"/>
      <c r="V44" s="1501"/>
      <c r="W44" s="1501"/>
      <c r="X44" s="1501"/>
      <c r="Y44" s="1501"/>
      <c r="Z44" s="1514">
        <f t="shared" si="98"/>
        <v>2</v>
      </c>
      <c r="AA44" s="1515"/>
      <c r="AB44" s="1516">
        <f t="shared" si="99"/>
        <v>20</v>
      </c>
      <c r="AC44" s="1501"/>
      <c r="AD44" s="1501"/>
      <c r="AE44" s="1501"/>
      <c r="AF44" s="1501"/>
      <c r="AG44" s="1501"/>
      <c r="AH44" s="1501"/>
      <c r="AI44" s="1501"/>
      <c r="AJ44" s="1500"/>
      <c r="AK44" s="1500"/>
      <c r="AL44" s="1500"/>
      <c r="AM44" s="1500"/>
      <c r="AN44" s="1500"/>
      <c r="AO44" s="1500"/>
      <c r="AP44" s="1500"/>
      <c r="AQ44" s="1500"/>
      <c r="AR44" s="1500"/>
      <c r="AS44" s="1500"/>
      <c r="AT44" s="1500"/>
      <c r="AU44" s="1500"/>
      <c r="AV44" s="1500"/>
      <c r="AW44" s="1500"/>
      <c r="AX44" s="1500"/>
      <c r="AY44" s="1500"/>
      <c r="AZ44" s="1412"/>
      <c r="BA44" s="1412"/>
      <c r="BB44" s="1412"/>
      <c r="BC44" s="1412"/>
      <c r="BD44" s="1412"/>
      <c r="BE44" s="1412"/>
      <c r="BF44" s="1412"/>
      <c r="BG44" s="1705"/>
      <c r="BH44" s="1705"/>
      <c r="BI44" s="1705"/>
      <c r="BJ44" s="1705" t="s">
        <v>796</v>
      </c>
      <c r="BK44" s="1705" t="e">
        <f>VLOOKUP(BK$1,'Existing Customers'!$A:$AA,24,FALSE)</f>
        <v>#N/A</v>
      </c>
      <c r="BL44" s="1705"/>
      <c r="BM44" s="1705"/>
      <c r="BN44" s="1705"/>
      <c r="BO44" s="1705"/>
      <c r="BP44" s="1705"/>
      <c r="BQ44" s="1705"/>
      <c r="BR44" s="1705"/>
      <c r="BS44" s="1705"/>
      <c r="BT44" s="1705"/>
      <c r="BU44" s="1705"/>
      <c r="BV44" s="1705"/>
      <c r="BW44" s="1705"/>
      <c r="BX44" s="1705"/>
      <c r="BY44" s="1705"/>
      <c r="BZ44" s="1705"/>
      <c r="CA44" s="1705"/>
      <c r="CB44" s="1705"/>
      <c r="CC44" s="1705"/>
      <c r="CD44" s="1705"/>
      <c r="CE44" s="1705"/>
      <c r="CF44" s="1705"/>
      <c r="CG44" s="101" t="s">
        <v>796</v>
      </c>
      <c r="CH44" s="83" t="e">
        <f>VLOOKUP(CH$1,'Existing Customers'!$A:$AA,24,FALSE)</f>
        <v>#N/A</v>
      </c>
      <c r="CI44" s="1705"/>
      <c r="CJ44" s="1705"/>
      <c r="CK44" s="1705"/>
      <c r="CL44" s="1705"/>
      <c r="CM44" s="1705"/>
      <c r="CN44" s="1705"/>
      <c r="CO44" s="1705"/>
      <c r="CP44" s="1705"/>
      <c r="CQ44" s="1705"/>
      <c r="CR44" s="1705"/>
      <c r="CS44" s="1705"/>
      <c r="CT44" s="1705"/>
      <c r="CU44" s="1705"/>
      <c r="CV44" s="1705"/>
      <c r="CW44" s="1705"/>
      <c r="CX44" s="1705"/>
      <c r="CY44" s="1705"/>
      <c r="CZ44" s="1705"/>
      <c r="DA44" s="1705"/>
      <c r="DB44" s="1705"/>
      <c r="DC44" s="1705"/>
      <c r="DD44" s="101" t="s">
        <v>796</v>
      </c>
      <c r="DE44" s="83" t="e">
        <f>VLOOKUP(DE$1,'Existing Customers'!$A:$AA,24,FALSE)</f>
        <v>#N/A</v>
      </c>
      <c r="DF44" s="1705"/>
      <c r="DG44" s="1705"/>
      <c r="DH44" s="1705"/>
      <c r="DI44" s="1705"/>
      <c r="DJ44" s="1705"/>
      <c r="DK44" s="1705"/>
      <c r="DL44" s="1705"/>
      <c r="DM44" s="1705"/>
      <c r="DN44" s="1705"/>
      <c r="DO44" s="1705"/>
      <c r="DP44" s="1705"/>
      <c r="DQ44" s="1705"/>
      <c r="DR44" s="1705"/>
      <c r="DS44" s="1705"/>
      <c r="DT44" s="1705"/>
      <c r="DU44" s="1705"/>
      <c r="DV44" s="1705"/>
      <c r="DW44" s="1705"/>
      <c r="DX44" s="1705"/>
      <c r="DY44" s="1705"/>
      <c r="DZ44" s="1705"/>
      <c r="EA44" s="101" t="s">
        <v>796</v>
      </c>
      <c r="EB44" s="83" t="e">
        <f>VLOOKUP(EB$1,'Existing Customers'!$A:$AA,24,FALSE)</f>
        <v>#N/A</v>
      </c>
      <c r="EC44" s="1705"/>
      <c r="ED44" s="1705"/>
      <c r="EE44" s="1705"/>
      <c r="EF44" s="1705"/>
      <c r="EG44" s="1705"/>
      <c r="EH44" s="1705"/>
      <c r="EI44" s="1705"/>
      <c r="EJ44" s="1705"/>
      <c r="EK44" s="1705"/>
      <c r="EL44" s="1705"/>
      <c r="EM44" s="1705"/>
      <c r="EN44" s="1705"/>
      <c r="EO44" s="1705"/>
      <c r="EP44" s="1705"/>
      <c r="EQ44" s="1705"/>
      <c r="ER44" s="1705"/>
      <c r="ES44" s="1705"/>
      <c r="ET44" s="1705"/>
      <c r="EU44" s="1705"/>
      <c r="EV44" s="1705"/>
      <c r="EW44" s="1705"/>
      <c r="EX44" s="101" t="s">
        <v>796</v>
      </c>
      <c r="EY44" s="83" t="e">
        <f>VLOOKUP(EY$1,'Existing Customers'!$A:$AA,24,FALSE)</f>
        <v>#N/A</v>
      </c>
      <c r="EZ44" s="1705"/>
      <c r="FA44" s="1705"/>
      <c r="FB44" s="1705"/>
      <c r="FC44" s="1705"/>
      <c r="FD44" s="1705"/>
      <c r="FE44" s="1705"/>
      <c r="FF44" s="1705"/>
      <c r="FG44" s="1705"/>
      <c r="FH44" s="1705"/>
      <c r="FI44" s="1705"/>
      <c r="FJ44" s="1705"/>
      <c r="FK44" s="1705"/>
      <c r="FL44" s="1705"/>
      <c r="FM44" s="1705"/>
      <c r="FN44" s="1705"/>
      <c r="FO44" s="1705"/>
      <c r="FP44" s="1705"/>
      <c r="FQ44" s="1705"/>
      <c r="FR44" s="1705"/>
      <c r="FS44" s="1705"/>
      <c r="FT44" s="1705"/>
      <c r="FU44" s="101" t="s">
        <v>796</v>
      </c>
      <c r="FV44" s="83" t="e">
        <f>VLOOKUP(FV$1,'Existing Customers'!$A:$AA,24,FALSE)</f>
        <v>#N/A</v>
      </c>
      <c r="FW44" s="1705"/>
      <c r="FX44" s="1705"/>
      <c r="FY44" s="1705"/>
      <c r="FZ44" s="1705"/>
      <c r="GA44" s="1705"/>
      <c r="GB44" s="1705"/>
      <c r="GC44" s="1705"/>
      <c r="GD44" s="1705"/>
      <c r="GE44" s="1705"/>
      <c r="GF44" s="1705"/>
      <c r="GG44" s="1705"/>
      <c r="GH44" s="1705"/>
      <c r="GI44" s="1705"/>
      <c r="GJ44" s="1705"/>
      <c r="GK44" s="1705"/>
      <c r="GL44" s="1705"/>
      <c r="GM44" s="1705"/>
      <c r="GN44" s="1705"/>
      <c r="GO44" s="1705"/>
      <c r="GP44" s="1705"/>
      <c r="GQ44" s="1705"/>
      <c r="GR44" s="101" t="s">
        <v>796</v>
      </c>
      <c r="GS44" s="83" t="e">
        <f>VLOOKUP(GS$1,'Existing Customers'!$A:$AA,24,FALSE)</f>
        <v>#N/A</v>
      </c>
      <c r="GT44" s="1705"/>
      <c r="GU44" s="1705"/>
      <c r="GV44" s="1705"/>
      <c r="GW44" s="1705"/>
      <c r="GX44" s="1705"/>
      <c r="GY44" s="1705"/>
      <c r="GZ44" s="1705"/>
      <c r="HA44" s="1705"/>
      <c r="HB44" s="1705"/>
      <c r="HC44" s="1705"/>
      <c r="HD44" s="1705"/>
      <c r="HE44" s="1705"/>
      <c r="HF44" s="1705"/>
      <c r="HG44" s="1705"/>
      <c r="HH44" s="1705"/>
      <c r="HI44" s="1705"/>
      <c r="HJ44" s="1705"/>
      <c r="HK44" s="1705"/>
      <c r="HL44" s="1705"/>
      <c r="HM44" s="1705"/>
      <c r="HN44" s="1705"/>
      <c r="HO44" s="101" t="s">
        <v>796</v>
      </c>
      <c r="HP44" s="83" t="e">
        <f>VLOOKUP(HP$1,'Existing Customers'!$A:$AA,24,FALSE)</f>
        <v>#N/A</v>
      </c>
      <c r="HQ44" s="1705"/>
      <c r="HR44" s="1705"/>
      <c r="HS44" s="1705"/>
      <c r="HT44" s="1705"/>
      <c r="HU44" s="1705"/>
      <c r="HV44" s="1705"/>
      <c r="HW44" s="1705"/>
      <c r="HX44" s="1705"/>
      <c r="HY44" s="1705"/>
      <c r="HZ44" s="1705"/>
      <c r="IA44" s="1705"/>
      <c r="IB44" s="1705"/>
      <c r="IC44" s="1705"/>
      <c r="ID44" s="1705"/>
      <c r="IE44" s="1705"/>
      <c r="IF44" s="1705"/>
      <c r="IG44" s="1705"/>
      <c r="IH44" s="1705"/>
      <c r="II44" s="1705"/>
      <c r="IJ44" s="1705"/>
      <c r="IK44" s="1705"/>
      <c r="IL44" s="101" t="s">
        <v>796</v>
      </c>
      <c r="IM44" s="83" t="e">
        <f>VLOOKUP(IM$1,'Existing Customers'!$A:$AA,24,FALSE)</f>
        <v>#N/A</v>
      </c>
      <c r="IN44" s="1705"/>
      <c r="IO44" s="1705"/>
      <c r="IP44" s="1705"/>
      <c r="IQ44" s="1705"/>
      <c r="IR44" s="1705"/>
      <c r="IS44" s="1705"/>
      <c r="IT44" s="1705"/>
      <c r="IU44" s="1705"/>
      <c r="IV44" s="1705"/>
      <c r="IW44" s="1705"/>
      <c r="IX44" s="1705"/>
      <c r="IY44" s="1705"/>
      <c r="IZ44" s="1705"/>
      <c r="JA44" s="1705"/>
      <c r="JB44" s="1705"/>
      <c r="JC44" s="1705"/>
      <c r="JD44" s="1705"/>
      <c r="JE44" s="1705"/>
      <c r="JF44" s="1705"/>
      <c r="JG44" s="1705"/>
      <c r="JH44" s="1705"/>
      <c r="JI44" s="101" t="s">
        <v>796</v>
      </c>
      <c r="JJ44" s="83" t="e">
        <f>VLOOKUP(JJ$1,'Existing Customers'!$A:$AA,24,FALSE)</f>
        <v>#N/A</v>
      </c>
      <c r="JK44" s="1705"/>
      <c r="JL44" s="1705"/>
      <c r="JM44" s="1705"/>
      <c r="JN44" s="1705"/>
      <c r="JO44" s="1705"/>
      <c r="JP44" s="1705"/>
      <c r="JQ44" s="1705"/>
      <c r="JR44" s="1705"/>
      <c r="JS44" s="1705"/>
      <c r="JT44" s="1705"/>
      <c r="JU44" s="1705"/>
      <c r="JV44" s="1705"/>
      <c r="JW44" s="1705"/>
      <c r="JX44" s="1705"/>
      <c r="JY44" s="1705"/>
      <c r="JZ44" s="1705"/>
      <c r="KA44" s="1705"/>
      <c r="KB44" s="1705"/>
      <c r="KC44" s="1705"/>
      <c r="KD44" s="1705"/>
      <c r="KE44" s="1705"/>
      <c r="KF44" s="101" t="s">
        <v>796</v>
      </c>
      <c r="KG44" s="83" t="e">
        <f>VLOOKUP(KG$1,'Existing Customers'!$A:$AA,24,FALSE)</f>
        <v>#N/A</v>
      </c>
      <c r="KH44" s="1705"/>
      <c r="KI44" s="1705"/>
      <c r="KJ44" s="1705"/>
      <c r="KK44" s="1705"/>
      <c r="KL44" s="1705"/>
      <c r="KM44" s="1705"/>
      <c r="KN44" s="1705"/>
      <c r="KO44" s="1705"/>
      <c r="KP44" s="1705"/>
      <c r="KQ44" s="1705"/>
      <c r="KR44" s="1705"/>
      <c r="KS44" s="1705"/>
      <c r="KT44" s="1705"/>
      <c r="KU44" s="1705"/>
      <c r="KV44" s="1705"/>
      <c r="KW44" s="1705"/>
      <c r="KX44" s="1705"/>
      <c r="KY44" s="1705"/>
      <c r="KZ44" s="1705"/>
      <c r="LA44" s="1705"/>
      <c r="LB44" s="1705"/>
      <c r="LC44" s="101" t="s">
        <v>796</v>
      </c>
      <c r="LD44" s="83" t="e">
        <f>VLOOKUP(LD$1,'Existing Customers'!$A:$AA,24,FALSE)</f>
        <v>#N/A</v>
      </c>
      <c r="LE44" s="1705"/>
      <c r="LF44" s="1705"/>
      <c r="LG44" s="1705"/>
      <c r="LH44" s="1705"/>
      <c r="LI44" s="1705"/>
      <c r="LJ44" s="1705"/>
      <c r="LK44" s="1705"/>
      <c r="LL44" s="1705"/>
      <c r="LM44" s="1705"/>
      <c r="LN44" s="1705"/>
      <c r="LO44" s="1705"/>
      <c r="LP44" s="1705"/>
      <c r="LQ44" s="1705"/>
      <c r="LR44" s="1705"/>
      <c r="LS44" s="1705"/>
      <c r="LT44" s="1705"/>
      <c r="LU44" s="1705"/>
      <c r="LV44" s="1705"/>
      <c r="LW44" s="1705"/>
      <c r="LX44" s="1705"/>
      <c r="LY44" s="1705"/>
      <c r="LZ44" s="101" t="s">
        <v>796</v>
      </c>
      <c r="MA44" s="83" t="e">
        <f>VLOOKUP(MA$1,'Existing Customers'!$A:$AA,24,FALSE)</f>
        <v>#N/A</v>
      </c>
      <c r="MB44" s="1705"/>
      <c r="MC44" s="1705"/>
      <c r="MD44" s="1705"/>
      <c r="ME44" s="1705"/>
      <c r="MF44" s="1705"/>
      <c r="MG44" s="1705"/>
      <c r="MH44" s="1705"/>
      <c r="MI44" s="1705"/>
      <c r="MJ44" s="1705"/>
      <c r="MK44" s="1705"/>
      <c r="ML44" s="1705"/>
      <c r="MM44" s="1705"/>
      <c r="MN44" s="1705"/>
      <c r="MO44" s="1705"/>
      <c r="MP44" s="1705"/>
      <c r="MQ44" s="1705"/>
      <c r="MR44" s="1705"/>
      <c r="MS44" s="1705"/>
      <c r="MT44" s="1705"/>
      <c r="MU44" s="1705"/>
      <c r="MV44" s="1705"/>
      <c r="MW44" s="101" t="s">
        <v>796</v>
      </c>
      <c r="MX44" s="83" t="e">
        <f>VLOOKUP(MX$1,'Existing Customers'!$A:$AA,24,FALSE)</f>
        <v>#N/A</v>
      </c>
      <c r="MY44" s="1705"/>
      <c r="MZ44" s="1705"/>
      <c r="NA44" s="1705"/>
      <c r="NB44" s="1705"/>
      <c r="NC44" s="1705"/>
      <c r="ND44" s="1705"/>
      <c r="NE44" s="1705"/>
      <c r="NF44" s="1705"/>
      <c r="NG44" s="1705"/>
      <c r="NH44" s="1705"/>
      <c r="NI44" s="1705"/>
      <c r="NJ44" s="1705"/>
      <c r="NK44" s="1705"/>
      <c r="NL44" s="1705"/>
      <c r="NM44" s="1705"/>
      <c r="NN44" s="1705"/>
      <c r="NO44" s="1705"/>
      <c r="NP44" s="1705"/>
      <c r="NQ44" s="1705"/>
      <c r="NR44" s="1705"/>
      <c r="NS44" s="1705"/>
      <c r="NT44" s="101" t="s">
        <v>796</v>
      </c>
      <c r="NU44" s="83" t="e">
        <f>VLOOKUP(NU$1,'Existing Customers'!$A:$AA,24,FALSE)</f>
        <v>#N/A</v>
      </c>
      <c r="NV44" s="1705"/>
      <c r="NW44" s="1705"/>
      <c r="NX44" s="1705"/>
      <c r="NY44" s="1705"/>
      <c r="NZ44" s="1705"/>
      <c r="OA44" s="1705"/>
      <c r="OB44" s="1705"/>
      <c r="OC44" s="1705"/>
      <c r="OD44" s="1705"/>
      <c r="OE44" s="1705"/>
      <c r="OF44" s="1705"/>
      <c r="OG44" s="1705"/>
      <c r="OH44" s="1705"/>
      <c r="OI44" s="1705"/>
      <c r="OJ44" s="1705"/>
      <c r="OK44" s="1705"/>
      <c r="OL44" s="1705"/>
      <c r="OM44" s="1705"/>
      <c r="ON44" s="1705"/>
      <c r="OO44" s="1705"/>
      <c r="OP44" s="1705"/>
      <c r="OQ44" s="101" t="s">
        <v>796</v>
      </c>
      <c r="OR44" s="83" t="e">
        <f>VLOOKUP(OR$1,'Existing Customers'!$A:$AA,24,FALSE)</f>
        <v>#N/A</v>
      </c>
      <c r="OS44" s="1705"/>
      <c r="OT44" s="1705"/>
      <c r="OU44" s="1705"/>
      <c r="OV44" s="1705"/>
      <c r="OW44" s="1705"/>
      <c r="OX44" s="1705"/>
      <c r="OY44" s="1705"/>
      <c r="OZ44" s="1705"/>
      <c r="PA44" s="1705"/>
      <c r="PB44" s="1705"/>
      <c r="PC44" s="1705"/>
      <c r="PD44" s="1705"/>
      <c r="PE44" s="1705"/>
      <c r="PF44" s="1705"/>
      <c r="PG44" s="1705"/>
      <c r="PH44" s="1705"/>
      <c r="PI44" s="1705"/>
      <c r="PJ44" s="1705"/>
      <c r="PK44" s="1705"/>
      <c r="PL44" s="1705"/>
      <c r="PM44" s="1705"/>
      <c r="PN44" s="101" t="s">
        <v>796</v>
      </c>
      <c r="PO44" s="83" t="e">
        <f>VLOOKUP(PO$1,'Existing Customers'!$A:$AA,24,FALSE)</f>
        <v>#N/A</v>
      </c>
      <c r="PP44" s="1705"/>
      <c r="PQ44" s="1705"/>
      <c r="PR44" s="1705"/>
      <c r="PS44" s="1705"/>
      <c r="PT44" s="1705"/>
      <c r="PU44" s="1705"/>
      <c r="PV44" s="1705"/>
      <c r="PW44" s="1705"/>
      <c r="PX44" s="1705"/>
      <c r="PY44" s="1705"/>
      <c r="PZ44" s="1705"/>
      <c r="QA44" s="1705"/>
      <c r="QB44" s="1705"/>
      <c r="QC44" s="1705"/>
      <c r="QD44" s="1705"/>
      <c r="QE44" s="1705"/>
      <c r="QF44" s="1705"/>
      <c r="QG44" s="1705"/>
      <c r="QH44" s="1705"/>
      <c r="QI44" s="1705"/>
      <c r="QJ44" s="1705"/>
      <c r="QK44" s="101" t="s">
        <v>796</v>
      </c>
      <c r="QL44" s="83" t="e">
        <f>VLOOKUP(QL$1,'Existing Customers'!$A:$AA,24,FALSE)</f>
        <v>#N/A</v>
      </c>
      <c r="QM44" s="1705"/>
      <c r="QN44" s="1705"/>
      <c r="QO44" s="1705"/>
      <c r="QP44" s="1705"/>
      <c r="QQ44" s="1705"/>
      <c r="QR44" s="1705"/>
      <c r="QS44" s="1705"/>
      <c r="QT44" s="1705"/>
      <c r="QU44" s="1705"/>
      <c r="QV44" s="1705"/>
      <c r="QW44" s="1705"/>
      <c r="QX44" s="1705"/>
      <c r="QY44" s="1705"/>
      <c r="QZ44" s="1705"/>
      <c r="RA44" s="1705"/>
      <c r="RB44" s="1705"/>
      <c r="RC44" s="1705"/>
      <c r="RD44" s="1705"/>
      <c r="RE44" s="1705"/>
      <c r="RF44" s="1705"/>
      <c r="RG44" s="1705"/>
      <c r="RH44" s="101" t="s">
        <v>796</v>
      </c>
      <c r="RI44" s="83" t="e">
        <f>VLOOKUP(RI$1,'Existing Customers'!$A:$AA,24,FALSE)</f>
        <v>#N/A</v>
      </c>
      <c r="RJ44" s="1705"/>
      <c r="RK44" s="1705"/>
      <c r="RL44" s="1705"/>
      <c r="RM44" s="1705"/>
      <c r="RN44" s="1705"/>
      <c r="RO44" s="1705"/>
      <c r="RP44" s="1705"/>
      <c r="RQ44" s="1705"/>
      <c r="RR44" s="1705"/>
      <c r="RS44" s="1705"/>
      <c r="RT44" s="1705"/>
      <c r="RU44" s="1705"/>
      <c r="RV44" s="1705"/>
      <c r="RW44" s="1705"/>
      <c r="RX44" s="1705"/>
      <c r="RY44" s="1705"/>
      <c r="RZ44" s="1705"/>
      <c r="SA44" s="1705"/>
      <c r="SB44" s="1705"/>
      <c r="SC44" s="1705"/>
      <c r="SD44" s="1705"/>
      <c r="SE44" s="101" t="s">
        <v>796</v>
      </c>
      <c r="SF44" s="83" t="e">
        <f>VLOOKUP(SF$1,'Existing Customers'!$A:$AA,24,FALSE)</f>
        <v>#N/A</v>
      </c>
      <c r="SG44" s="1705"/>
      <c r="SH44" s="1705"/>
      <c r="SI44" s="1705"/>
      <c r="SJ44" s="1705"/>
      <c r="SK44" s="1705"/>
      <c r="SL44" s="1705"/>
      <c r="SM44" s="1705"/>
      <c r="SN44" s="1705"/>
      <c r="SO44" s="1705"/>
      <c r="SP44" s="1705"/>
      <c r="SQ44" s="1705"/>
      <c r="SR44" s="1705"/>
      <c r="SS44" s="1705"/>
      <c r="ST44" s="1705"/>
      <c r="SU44" s="1705"/>
      <c r="SV44" s="1705"/>
      <c r="SW44" s="1705"/>
      <c r="SX44" s="1705"/>
      <c r="SY44" s="1705"/>
      <c r="SZ44" s="1705"/>
      <c r="TA44" s="1705"/>
      <c r="TB44" s="1705"/>
      <c r="TC44" s="1705"/>
      <c r="TD44" s="1705"/>
      <c r="TE44" s="1705"/>
      <c r="TF44" s="1705"/>
      <c r="TG44" s="1705"/>
      <c r="TH44" s="1705"/>
      <c r="TI44" s="1705"/>
      <c r="TJ44" s="1705"/>
      <c r="TK44" s="1705"/>
      <c r="TL44" s="1705"/>
      <c r="TM44" s="1705"/>
      <c r="TN44" s="1705"/>
      <c r="TO44" s="1705"/>
      <c r="TP44" s="1705"/>
      <c r="TQ44" s="1705"/>
      <c r="TR44" s="1705"/>
    </row>
    <row r="45" spans="1:538" x14ac:dyDescent="0.25">
      <c r="Q45" s="1500"/>
      <c r="R45" s="1514">
        <f t="shared" si="97"/>
        <v>1</v>
      </c>
      <c r="S45" s="1515" t="s">
        <v>118</v>
      </c>
      <c r="T45" s="1516">
        <f>COUNTIF('Variable Costs (Back)'!$C$15:$C$34,S45)</f>
        <v>0</v>
      </c>
      <c r="U45" s="1501"/>
      <c r="V45" s="1501"/>
      <c r="W45" s="1501"/>
      <c r="X45" s="1501"/>
      <c r="Y45" s="1501"/>
      <c r="Z45" s="1514">
        <f t="shared" si="98"/>
        <v>2</v>
      </c>
      <c r="AA45" s="1515"/>
      <c r="AB45" s="1516">
        <f t="shared" si="99"/>
        <v>20</v>
      </c>
      <c r="AC45" s="1501"/>
      <c r="AD45" s="1501"/>
      <c r="AE45" s="1501"/>
      <c r="AF45" s="1501"/>
      <c r="AG45" s="1501"/>
      <c r="AH45" s="1501"/>
      <c r="AI45" s="1501"/>
      <c r="AJ45" s="1500"/>
      <c r="AK45" s="1500"/>
      <c r="AL45" s="1500"/>
      <c r="AM45" s="1500"/>
      <c r="AN45" s="1500"/>
      <c r="AO45" s="1500"/>
      <c r="AP45" s="1500"/>
      <c r="AQ45" s="1500"/>
      <c r="AR45" s="1500"/>
      <c r="AS45" s="1500"/>
      <c r="AT45" s="1500"/>
      <c r="AU45" s="1500"/>
      <c r="AV45" s="1500"/>
      <c r="AW45" s="1500"/>
      <c r="AX45" s="1500"/>
      <c r="AY45" s="1500"/>
      <c r="AZ45" s="1412"/>
      <c r="BA45" s="1412"/>
      <c r="BB45" s="1412"/>
      <c r="BC45" s="1412"/>
      <c r="BD45" s="1412"/>
      <c r="BE45" s="1412"/>
      <c r="BF45" s="1412"/>
      <c r="BG45" s="1705"/>
      <c r="BH45" s="1705"/>
      <c r="BI45" s="1705"/>
      <c r="BJ45" s="1705" t="s">
        <v>797</v>
      </c>
      <c r="BK45" s="1705" t="e">
        <f>VLOOKUP(BK$1,'Existing Customers'!$A:$AA,9,FALSE)</f>
        <v>#N/A</v>
      </c>
      <c r="BL45" s="1705"/>
      <c r="BM45" s="1705"/>
      <c r="BN45" s="1705"/>
      <c r="BO45" s="1705"/>
      <c r="BP45" s="1705"/>
      <c r="BQ45" s="1705"/>
      <c r="BR45" s="1705"/>
      <c r="BS45" s="1705"/>
      <c r="BT45" s="1705"/>
      <c r="BU45" s="1705"/>
      <c r="BV45" s="1705"/>
      <c r="BW45" s="1705"/>
      <c r="BX45" s="1705"/>
      <c r="BY45" s="1705"/>
      <c r="BZ45" s="1705"/>
      <c r="CA45" s="1705"/>
      <c r="CB45" s="1705"/>
      <c r="CC45" s="1705"/>
      <c r="CD45" s="1705"/>
      <c r="CE45" s="1705"/>
      <c r="CF45" s="1705"/>
      <c r="CG45" s="101" t="s">
        <v>797</v>
      </c>
      <c r="CH45" s="83" t="e">
        <f>VLOOKUP(CH$1,'Existing Customers'!$A:$AA,9,FALSE)</f>
        <v>#N/A</v>
      </c>
      <c r="CI45" s="1705"/>
      <c r="CJ45" s="1705"/>
      <c r="CK45" s="1705"/>
      <c r="CL45" s="1705"/>
      <c r="CM45" s="1705"/>
      <c r="CN45" s="1705"/>
      <c r="CO45" s="1705"/>
      <c r="CP45" s="1705"/>
      <c r="CQ45" s="1705"/>
      <c r="CR45" s="1705"/>
      <c r="CS45" s="1705"/>
      <c r="CT45" s="1705"/>
      <c r="CU45" s="1705"/>
      <c r="CV45" s="1705"/>
      <c r="CW45" s="1705"/>
      <c r="CX45" s="1705"/>
      <c r="CY45" s="1705"/>
      <c r="CZ45" s="1705"/>
      <c r="DA45" s="1705"/>
      <c r="DB45" s="1705"/>
      <c r="DC45" s="1705"/>
      <c r="DD45" s="101" t="s">
        <v>797</v>
      </c>
      <c r="DE45" s="83" t="e">
        <f>VLOOKUP(DE$1,'Existing Customers'!$A:$AA,9,FALSE)</f>
        <v>#N/A</v>
      </c>
      <c r="DF45" s="1705"/>
      <c r="DG45" s="1705"/>
      <c r="DH45" s="1705"/>
      <c r="DI45" s="1705"/>
      <c r="DJ45" s="1705"/>
      <c r="DK45" s="1705"/>
      <c r="DL45" s="1705"/>
      <c r="DM45" s="1705"/>
      <c r="DN45" s="1705"/>
      <c r="DO45" s="1705"/>
      <c r="DP45" s="1705"/>
      <c r="DQ45" s="1705"/>
      <c r="DR45" s="1705"/>
      <c r="DS45" s="1705"/>
      <c r="DT45" s="1705"/>
      <c r="DU45" s="1705"/>
      <c r="DV45" s="1705"/>
      <c r="DW45" s="1705"/>
      <c r="DX45" s="1705"/>
      <c r="DY45" s="1705"/>
      <c r="DZ45" s="1705"/>
      <c r="EA45" s="101" t="s">
        <v>797</v>
      </c>
      <c r="EB45" s="83" t="e">
        <f>VLOOKUP(EB$1,'Existing Customers'!$A:$AA,9,FALSE)</f>
        <v>#N/A</v>
      </c>
      <c r="EC45" s="1705"/>
      <c r="ED45" s="1705"/>
      <c r="EE45" s="1705"/>
      <c r="EF45" s="1705"/>
      <c r="EG45" s="1705"/>
      <c r="EH45" s="1705"/>
      <c r="EI45" s="1705"/>
      <c r="EJ45" s="1705"/>
      <c r="EK45" s="1705"/>
      <c r="EL45" s="1705"/>
      <c r="EM45" s="1705"/>
      <c r="EN45" s="1705"/>
      <c r="EO45" s="1705"/>
      <c r="EP45" s="1705"/>
      <c r="EQ45" s="1705"/>
      <c r="ER45" s="1705"/>
      <c r="ES45" s="1705"/>
      <c r="ET45" s="1705"/>
      <c r="EU45" s="1705"/>
      <c r="EV45" s="1705"/>
      <c r="EW45" s="1705"/>
      <c r="EX45" s="101" t="s">
        <v>797</v>
      </c>
      <c r="EY45" s="83" t="e">
        <f>VLOOKUP(EY$1,'Existing Customers'!$A:$AA,9,FALSE)</f>
        <v>#N/A</v>
      </c>
      <c r="EZ45" s="1705"/>
      <c r="FA45" s="1705"/>
      <c r="FB45" s="1705"/>
      <c r="FC45" s="1705"/>
      <c r="FD45" s="1705"/>
      <c r="FE45" s="1705"/>
      <c r="FF45" s="1705"/>
      <c r="FG45" s="1705"/>
      <c r="FH45" s="1705"/>
      <c r="FI45" s="1705"/>
      <c r="FJ45" s="1705"/>
      <c r="FK45" s="1705"/>
      <c r="FL45" s="1705"/>
      <c r="FM45" s="1705"/>
      <c r="FN45" s="1705"/>
      <c r="FO45" s="1705"/>
      <c r="FP45" s="1705"/>
      <c r="FQ45" s="1705"/>
      <c r="FR45" s="1705"/>
      <c r="FS45" s="1705"/>
      <c r="FT45" s="1705"/>
      <c r="FU45" s="101" t="s">
        <v>797</v>
      </c>
      <c r="FV45" s="83" t="e">
        <f>VLOOKUP(FV$1,'Existing Customers'!$A:$AA,9,FALSE)</f>
        <v>#N/A</v>
      </c>
      <c r="FW45" s="1705"/>
      <c r="FX45" s="1705"/>
      <c r="FY45" s="1705"/>
      <c r="FZ45" s="1705"/>
      <c r="GA45" s="1705"/>
      <c r="GB45" s="1705"/>
      <c r="GC45" s="1705"/>
      <c r="GD45" s="1705"/>
      <c r="GE45" s="1705"/>
      <c r="GF45" s="1705"/>
      <c r="GG45" s="1705"/>
      <c r="GH45" s="1705"/>
      <c r="GI45" s="1705"/>
      <c r="GJ45" s="1705"/>
      <c r="GK45" s="1705"/>
      <c r="GL45" s="1705"/>
      <c r="GM45" s="1705"/>
      <c r="GN45" s="1705"/>
      <c r="GO45" s="1705"/>
      <c r="GP45" s="1705"/>
      <c r="GQ45" s="1705"/>
      <c r="GR45" s="101" t="s">
        <v>797</v>
      </c>
      <c r="GS45" s="83" t="e">
        <f>VLOOKUP(GS$1,'Existing Customers'!$A:$AA,9,FALSE)</f>
        <v>#N/A</v>
      </c>
      <c r="GT45" s="1705"/>
      <c r="GU45" s="1705"/>
      <c r="GV45" s="1705"/>
      <c r="GW45" s="1705"/>
      <c r="GX45" s="1705"/>
      <c r="GY45" s="1705"/>
      <c r="GZ45" s="1705"/>
      <c r="HA45" s="1705"/>
      <c r="HB45" s="1705"/>
      <c r="HC45" s="1705"/>
      <c r="HD45" s="1705"/>
      <c r="HE45" s="1705"/>
      <c r="HF45" s="1705"/>
      <c r="HG45" s="1705"/>
      <c r="HH45" s="1705"/>
      <c r="HI45" s="1705"/>
      <c r="HJ45" s="1705"/>
      <c r="HK45" s="1705"/>
      <c r="HL45" s="1705"/>
      <c r="HM45" s="1705"/>
      <c r="HN45" s="1705"/>
      <c r="HO45" s="101" t="s">
        <v>797</v>
      </c>
      <c r="HP45" s="83" t="e">
        <f>VLOOKUP(HP$1,'Existing Customers'!$A:$AA,9,FALSE)</f>
        <v>#N/A</v>
      </c>
      <c r="HQ45" s="1705"/>
      <c r="HR45" s="1705"/>
      <c r="HS45" s="1705"/>
      <c r="HT45" s="1705"/>
      <c r="HU45" s="1705"/>
      <c r="HV45" s="1705"/>
      <c r="HW45" s="1705"/>
      <c r="HX45" s="1705"/>
      <c r="HY45" s="1705"/>
      <c r="HZ45" s="1705"/>
      <c r="IA45" s="1705"/>
      <c r="IB45" s="1705"/>
      <c r="IC45" s="1705"/>
      <c r="ID45" s="1705"/>
      <c r="IE45" s="1705"/>
      <c r="IF45" s="1705"/>
      <c r="IG45" s="1705"/>
      <c r="IH45" s="1705"/>
      <c r="II45" s="1705"/>
      <c r="IJ45" s="1705"/>
      <c r="IK45" s="1705"/>
      <c r="IL45" s="101" t="s">
        <v>797</v>
      </c>
      <c r="IM45" s="83" t="e">
        <f>VLOOKUP(IM$1,'Existing Customers'!$A:$AA,9,FALSE)</f>
        <v>#N/A</v>
      </c>
      <c r="IN45" s="1705"/>
      <c r="IO45" s="1705"/>
      <c r="IP45" s="1705"/>
      <c r="IQ45" s="1705"/>
      <c r="IR45" s="1705"/>
      <c r="IS45" s="1705"/>
      <c r="IT45" s="1705"/>
      <c r="IU45" s="1705"/>
      <c r="IV45" s="1705"/>
      <c r="IW45" s="1705"/>
      <c r="IX45" s="1705"/>
      <c r="IY45" s="1705"/>
      <c r="IZ45" s="1705"/>
      <c r="JA45" s="1705"/>
      <c r="JB45" s="1705"/>
      <c r="JC45" s="1705"/>
      <c r="JD45" s="1705"/>
      <c r="JE45" s="1705"/>
      <c r="JF45" s="1705"/>
      <c r="JG45" s="1705"/>
      <c r="JH45" s="1705"/>
      <c r="JI45" s="101" t="s">
        <v>797</v>
      </c>
      <c r="JJ45" s="83" t="e">
        <f>VLOOKUP(JJ$1,'Existing Customers'!$A:$AA,9,FALSE)</f>
        <v>#N/A</v>
      </c>
      <c r="JK45" s="1705"/>
      <c r="JL45" s="1705"/>
      <c r="JM45" s="1705"/>
      <c r="JN45" s="1705"/>
      <c r="JO45" s="1705"/>
      <c r="JP45" s="1705"/>
      <c r="JQ45" s="1705"/>
      <c r="JR45" s="1705"/>
      <c r="JS45" s="1705"/>
      <c r="JT45" s="1705"/>
      <c r="JU45" s="1705"/>
      <c r="JV45" s="1705"/>
      <c r="JW45" s="1705"/>
      <c r="JX45" s="1705"/>
      <c r="JY45" s="1705"/>
      <c r="JZ45" s="1705"/>
      <c r="KA45" s="1705"/>
      <c r="KB45" s="1705"/>
      <c r="KC45" s="1705"/>
      <c r="KD45" s="1705"/>
      <c r="KE45" s="1705"/>
      <c r="KF45" s="101" t="s">
        <v>797</v>
      </c>
      <c r="KG45" s="83" t="e">
        <f>VLOOKUP(KG$1,'Existing Customers'!$A:$AA,9,FALSE)</f>
        <v>#N/A</v>
      </c>
      <c r="KH45" s="1705"/>
      <c r="KI45" s="1705"/>
      <c r="KJ45" s="1705"/>
      <c r="KK45" s="1705"/>
      <c r="KL45" s="1705"/>
      <c r="KM45" s="1705"/>
      <c r="KN45" s="1705"/>
      <c r="KO45" s="1705"/>
      <c r="KP45" s="1705"/>
      <c r="KQ45" s="1705"/>
      <c r="KR45" s="1705"/>
      <c r="KS45" s="1705"/>
      <c r="KT45" s="1705"/>
      <c r="KU45" s="1705"/>
      <c r="KV45" s="1705"/>
      <c r="KW45" s="1705"/>
      <c r="KX45" s="1705"/>
      <c r="KY45" s="1705"/>
      <c r="KZ45" s="1705"/>
      <c r="LA45" s="1705"/>
      <c r="LB45" s="1705"/>
      <c r="LC45" s="101" t="s">
        <v>797</v>
      </c>
      <c r="LD45" s="83" t="e">
        <f>VLOOKUP(LD$1,'Existing Customers'!$A:$AA,9,FALSE)</f>
        <v>#N/A</v>
      </c>
      <c r="LE45" s="1705"/>
      <c r="LF45" s="1705"/>
      <c r="LG45" s="1705"/>
      <c r="LH45" s="1705"/>
      <c r="LI45" s="1705"/>
      <c r="LJ45" s="1705"/>
      <c r="LK45" s="1705"/>
      <c r="LL45" s="1705"/>
      <c r="LM45" s="1705"/>
      <c r="LN45" s="1705"/>
      <c r="LO45" s="1705"/>
      <c r="LP45" s="1705"/>
      <c r="LQ45" s="1705"/>
      <c r="LR45" s="1705"/>
      <c r="LS45" s="1705"/>
      <c r="LT45" s="1705"/>
      <c r="LU45" s="1705"/>
      <c r="LV45" s="1705"/>
      <c r="LW45" s="1705"/>
      <c r="LX45" s="1705"/>
      <c r="LY45" s="1705"/>
      <c r="LZ45" s="101" t="s">
        <v>797</v>
      </c>
      <c r="MA45" s="83" t="e">
        <f>VLOOKUP(MA$1,'Existing Customers'!$A:$AA,9,FALSE)</f>
        <v>#N/A</v>
      </c>
      <c r="MB45" s="1705"/>
      <c r="MC45" s="1705"/>
      <c r="MD45" s="1705"/>
      <c r="ME45" s="1705"/>
      <c r="MF45" s="1705"/>
      <c r="MG45" s="1705"/>
      <c r="MH45" s="1705"/>
      <c r="MI45" s="1705"/>
      <c r="MJ45" s="1705"/>
      <c r="MK45" s="1705"/>
      <c r="ML45" s="1705"/>
      <c r="MM45" s="1705"/>
      <c r="MN45" s="1705"/>
      <c r="MO45" s="1705"/>
      <c r="MP45" s="1705"/>
      <c r="MQ45" s="1705"/>
      <c r="MR45" s="1705"/>
      <c r="MS45" s="1705"/>
      <c r="MT45" s="1705"/>
      <c r="MU45" s="1705"/>
      <c r="MV45" s="1705"/>
      <c r="MW45" s="101" t="s">
        <v>797</v>
      </c>
      <c r="MX45" s="83" t="e">
        <f>VLOOKUP(MX$1,'Existing Customers'!$A:$AA,9,FALSE)</f>
        <v>#N/A</v>
      </c>
      <c r="MY45" s="1705"/>
      <c r="MZ45" s="1705"/>
      <c r="NA45" s="1705"/>
      <c r="NB45" s="1705"/>
      <c r="NC45" s="1705"/>
      <c r="ND45" s="1705"/>
      <c r="NE45" s="1705"/>
      <c r="NF45" s="1705"/>
      <c r="NG45" s="1705"/>
      <c r="NH45" s="1705"/>
      <c r="NI45" s="1705"/>
      <c r="NJ45" s="1705"/>
      <c r="NK45" s="1705"/>
      <c r="NL45" s="1705"/>
      <c r="NM45" s="1705"/>
      <c r="NN45" s="1705"/>
      <c r="NO45" s="1705"/>
      <c r="NP45" s="1705"/>
      <c r="NQ45" s="1705"/>
      <c r="NR45" s="1705"/>
      <c r="NS45" s="1705"/>
      <c r="NT45" s="101" t="s">
        <v>797</v>
      </c>
      <c r="NU45" s="83" t="e">
        <f>VLOOKUP(NU$1,'Existing Customers'!$A:$AA,9,FALSE)</f>
        <v>#N/A</v>
      </c>
      <c r="NV45" s="1705"/>
      <c r="NW45" s="1705"/>
      <c r="NX45" s="1705"/>
      <c r="NY45" s="1705"/>
      <c r="NZ45" s="1705"/>
      <c r="OA45" s="1705"/>
      <c r="OB45" s="1705"/>
      <c r="OC45" s="1705"/>
      <c r="OD45" s="1705"/>
      <c r="OE45" s="1705"/>
      <c r="OF45" s="1705"/>
      <c r="OG45" s="1705"/>
      <c r="OH45" s="1705"/>
      <c r="OI45" s="1705"/>
      <c r="OJ45" s="1705"/>
      <c r="OK45" s="1705"/>
      <c r="OL45" s="1705"/>
      <c r="OM45" s="1705"/>
      <c r="ON45" s="1705"/>
      <c r="OO45" s="1705"/>
      <c r="OP45" s="1705"/>
      <c r="OQ45" s="101" t="s">
        <v>797</v>
      </c>
      <c r="OR45" s="83" t="e">
        <f>VLOOKUP(OR$1,'Existing Customers'!$A:$AA,9,FALSE)</f>
        <v>#N/A</v>
      </c>
      <c r="OS45" s="1705"/>
      <c r="OT45" s="1705"/>
      <c r="OU45" s="1705"/>
      <c r="OV45" s="1705"/>
      <c r="OW45" s="1705"/>
      <c r="OX45" s="1705"/>
      <c r="OY45" s="1705"/>
      <c r="OZ45" s="1705"/>
      <c r="PA45" s="1705"/>
      <c r="PB45" s="1705"/>
      <c r="PC45" s="1705"/>
      <c r="PD45" s="1705"/>
      <c r="PE45" s="1705"/>
      <c r="PF45" s="1705"/>
      <c r="PG45" s="1705"/>
      <c r="PH45" s="1705"/>
      <c r="PI45" s="1705"/>
      <c r="PJ45" s="1705"/>
      <c r="PK45" s="1705"/>
      <c r="PL45" s="1705"/>
      <c r="PM45" s="1705"/>
      <c r="PN45" s="101" t="s">
        <v>797</v>
      </c>
      <c r="PO45" s="83" t="e">
        <f>VLOOKUP(PO$1,'Existing Customers'!$A:$AA,9,FALSE)</f>
        <v>#N/A</v>
      </c>
      <c r="PP45" s="1705"/>
      <c r="PQ45" s="1705"/>
      <c r="PR45" s="1705"/>
      <c r="PS45" s="1705"/>
      <c r="PT45" s="1705"/>
      <c r="PU45" s="1705"/>
      <c r="PV45" s="1705"/>
      <c r="PW45" s="1705"/>
      <c r="PX45" s="1705"/>
      <c r="PY45" s="1705"/>
      <c r="PZ45" s="1705"/>
      <c r="QA45" s="1705"/>
      <c r="QB45" s="1705"/>
      <c r="QC45" s="1705"/>
      <c r="QD45" s="1705"/>
      <c r="QE45" s="1705"/>
      <c r="QF45" s="1705"/>
      <c r="QG45" s="1705"/>
      <c r="QH45" s="1705"/>
      <c r="QI45" s="1705"/>
      <c r="QJ45" s="1705"/>
      <c r="QK45" s="101" t="s">
        <v>797</v>
      </c>
      <c r="QL45" s="83" t="e">
        <f>VLOOKUP(QL$1,'Existing Customers'!$A:$AA,9,FALSE)</f>
        <v>#N/A</v>
      </c>
      <c r="QM45" s="1705"/>
      <c r="QN45" s="1705"/>
      <c r="QO45" s="1705"/>
      <c r="QP45" s="1705"/>
      <c r="QQ45" s="1705"/>
      <c r="QR45" s="1705"/>
      <c r="QS45" s="1705"/>
      <c r="QT45" s="1705"/>
      <c r="QU45" s="1705"/>
      <c r="QV45" s="1705"/>
      <c r="QW45" s="1705"/>
      <c r="QX45" s="1705"/>
      <c r="QY45" s="1705"/>
      <c r="QZ45" s="1705"/>
      <c r="RA45" s="1705"/>
      <c r="RB45" s="1705"/>
      <c r="RC45" s="1705"/>
      <c r="RD45" s="1705"/>
      <c r="RE45" s="1705"/>
      <c r="RF45" s="1705"/>
      <c r="RG45" s="1705"/>
      <c r="RH45" s="101" t="s">
        <v>797</v>
      </c>
      <c r="RI45" s="83" t="e">
        <f>VLOOKUP(RI$1,'Existing Customers'!$A:$AA,9,FALSE)</f>
        <v>#N/A</v>
      </c>
      <c r="RJ45" s="1705"/>
      <c r="RK45" s="1705"/>
      <c r="RL45" s="1705"/>
      <c r="RM45" s="1705"/>
      <c r="RN45" s="1705"/>
      <c r="RO45" s="1705"/>
      <c r="RP45" s="1705"/>
      <c r="RQ45" s="1705"/>
      <c r="RR45" s="1705"/>
      <c r="RS45" s="1705"/>
      <c r="RT45" s="1705"/>
      <c r="RU45" s="1705"/>
      <c r="RV45" s="1705"/>
      <c r="RW45" s="1705"/>
      <c r="RX45" s="1705"/>
      <c r="RY45" s="1705"/>
      <c r="RZ45" s="1705"/>
      <c r="SA45" s="1705"/>
      <c r="SB45" s="1705"/>
      <c r="SC45" s="1705"/>
      <c r="SD45" s="1705"/>
      <c r="SE45" s="101" t="s">
        <v>797</v>
      </c>
      <c r="SF45" s="83" t="e">
        <f>VLOOKUP(SF$1,'Existing Customers'!$A:$AA,9,FALSE)</f>
        <v>#N/A</v>
      </c>
      <c r="SG45" s="1705"/>
      <c r="SH45" s="1705"/>
      <c r="SI45" s="1705"/>
      <c r="SJ45" s="1705"/>
      <c r="SK45" s="1705"/>
      <c r="SL45" s="1705"/>
      <c r="SM45" s="1705"/>
      <c r="SN45" s="1705"/>
      <c r="SO45" s="1705"/>
      <c r="SP45" s="1705"/>
      <c r="SQ45" s="1705"/>
      <c r="SR45" s="1705"/>
      <c r="SS45" s="1705"/>
      <c r="ST45" s="1705"/>
      <c r="SU45" s="1705"/>
      <c r="SV45" s="1705"/>
      <c r="SW45" s="1705"/>
      <c r="SX45" s="1705"/>
      <c r="SY45" s="1705"/>
      <c r="SZ45" s="1705"/>
      <c r="TA45" s="1705"/>
      <c r="TB45" s="1705"/>
      <c r="TC45" s="1705"/>
      <c r="TD45" s="1705"/>
      <c r="TE45" s="1705"/>
      <c r="TF45" s="1705"/>
      <c r="TG45" s="1705"/>
      <c r="TH45" s="1705"/>
      <c r="TI45" s="1705"/>
      <c r="TJ45" s="1705"/>
      <c r="TK45" s="1705"/>
      <c r="TL45" s="1705"/>
      <c r="TM45" s="1705"/>
      <c r="TN45" s="1705"/>
      <c r="TO45" s="1705"/>
      <c r="TP45" s="1705"/>
      <c r="TQ45" s="1705"/>
      <c r="TR45" s="1705"/>
    </row>
    <row r="46" spans="1:538" x14ac:dyDescent="0.25">
      <c r="Q46" s="1500"/>
      <c r="R46" s="1514">
        <f t="shared" si="97"/>
        <v>1</v>
      </c>
      <c r="S46" s="1515" t="s">
        <v>115</v>
      </c>
      <c r="T46" s="1516">
        <f>COUNTIF('Variable Costs (Back)'!$C$15:$C$34,S46)</f>
        <v>0</v>
      </c>
      <c r="U46" s="1501"/>
      <c r="V46" s="1501"/>
      <c r="W46" s="1501"/>
      <c r="X46" s="1501"/>
      <c r="Y46" s="1501"/>
      <c r="Z46" s="1514">
        <f t="shared" si="98"/>
        <v>2</v>
      </c>
      <c r="AA46" s="1515"/>
      <c r="AB46" s="1516">
        <f t="shared" si="99"/>
        <v>20</v>
      </c>
      <c r="AC46" s="1501"/>
      <c r="AD46" s="1501"/>
      <c r="AE46" s="1501"/>
      <c r="AF46" s="1501"/>
      <c r="AG46" s="1501"/>
      <c r="AH46" s="1501"/>
      <c r="AI46" s="1501"/>
      <c r="AJ46" s="1500"/>
      <c r="AK46" s="1500"/>
      <c r="AL46" s="1500"/>
      <c r="AM46" s="1500"/>
      <c r="AN46" s="1500"/>
      <c r="AO46" s="1500"/>
      <c r="AP46" s="1500"/>
      <c r="AQ46" s="1500"/>
      <c r="AR46" s="1500"/>
      <c r="AS46" s="1500"/>
      <c r="AT46" s="1500"/>
      <c r="AU46" s="1500"/>
      <c r="AV46" s="1500"/>
      <c r="AW46" s="1500"/>
      <c r="AX46" s="1500"/>
      <c r="AY46" s="1500"/>
      <c r="AZ46" s="1412"/>
      <c r="BA46" s="1412"/>
      <c r="BB46" s="1412"/>
      <c r="BC46" s="1412"/>
      <c r="BD46" s="1412"/>
      <c r="BE46" s="1412"/>
      <c r="BF46" s="1412"/>
      <c r="BG46" s="1705"/>
      <c r="BH46" s="1705"/>
      <c r="BI46" s="1705"/>
      <c r="BJ46" s="1705" t="s">
        <v>798</v>
      </c>
      <c r="BK46" s="1705" t="e">
        <f>VLOOKUP(BK$1,'Existing Customers'!$A:$AA,27,FALSE)</f>
        <v>#N/A</v>
      </c>
      <c r="BL46" s="1705"/>
      <c r="BM46" s="1705"/>
      <c r="BN46" s="1705"/>
      <c r="BO46" s="1705"/>
      <c r="BP46" s="1705"/>
      <c r="BQ46" s="1705"/>
      <c r="BR46" s="1705"/>
      <c r="BS46" s="1705"/>
      <c r="BT46" s="1705"/>
      <c r="BU46" s="1705"/>
      <c r="BV46" s="1705"/>
      <c r="BW46" s="1705"/>
      <c r="BX46" s="1705"/>
      <c r="BY46" s="1705"/>
      <c r="BZ46" s="1705"/>
      <c r="CA46" s="1705"/>
      <c r="CB46" s="1705"/>
      <c r="CC46" s="1705"/>
      <c r="CD46" s="1705"/>
      <c r="CE46" s="1705"/>
      <c r="CF46" s="1705"/>
      <c r="CG46" s="101" t="s">
        <v>798</v>
      </c>
      <c r="CH46" s="83" t="e">
        <f>VLOOKUP(CH$1,'Existing Customers'!$A:$AA,27,FALSE)</f>
        <v>#N/A</v>
      </c>
      <c r="CI46" s="1705"/>
      <c r="CJ46" s="1705"/>
      <c r="CK46" s="1705"/>
      <c r="CL46" s="1705"/>
      <c r="CM46" s="1705"/>
      <c r="CN46" s="1705"/>
      <c r="CO46" s="1705"/>
      <c r="CP46" s="1705"/>
      <c r="CQ46" s="1705"/>
      <c r="CR46" s="1705"/>
      <c r="CS46" s="1705"/>
      <c r="CT46" s="1705"/>
      <c r="CU46" s="1705"/>
      <c r="CV46" s="1705"/>
      <c r="CW46" s="1705"/>
      <c r="CX46" s="1705"/>
      <c r="CY46" s="1705"/>
      <c r="CZ46" s="1705"/>
      <c r="DA46" s="1705"/>
      <c r="DB46" s="1705"/>
      <c r="DC46" s="1705"/>
      <c r="DD46" s="101" t="s">
        <v>798</v>
      </c>
      <c r="DE46" s="83" t="e">
        <f>VLOOKUP(DE$1,'Existing Customers'!$A:$AA,27,FALSE)</f>
        <v>#N/A</v>
      </c>
      <c r="DF46" s="1705"/>
      <c r="DG46" s="1705"/>
      <c r="DH46" s="1705"/>
      <c r="DI46" s="1705"/>
      <c r="DJ46" s="1705"/>
      <c r="DK46" s="1705"/>
      <c r="DL46" s="1705"/>
      <c r="DM46" s="1705"/>
      <c r="DN46" s="1705"/>
      <c r="DO46" s="1705"/>
      <c r="DP46" s="1705"/>
      <c r="DQ46" s="1705"/>
      <c r="DR46" s="1705"/>
      <c r="DS46" s="1705"/>
      <c r="DT46" s="1705"/>
      <c r="DU46" s="1705"/>
      <c r="DV46" s="1705"/>
      <c r="DW46" s="1705"/>
      <c r="DX46" s="1705"/>
      <c r="DY46" s="1705"/>
      <c r="DZ46" s="1705"/>
      <c r="EA46" s="101" t="s">
        <v>798</v>
      </c>
      <c r="EB46" s="83" t="e">
        <f>VLOOKUP(EB$1,'Existing Customers'!$A:$AA,27,FALSE)</f>
        <v>#N/A</v>
      </c>
      <c r="EC46" s="1705"/>
      <c r="ED46" s="1705"/>
      <c r="EE46" s="1705"/>
      <c r="EF46" s="1705"/>
      <c r="EG46" s="1705"/>
      <c r="EH46" s="1705"/>
      <c r="EI46" s="1705"/>
      <c r="EJ46" s="1705"/>
      <c r="EK46" s="1705"/>
      <c r="EL46" s="1705"/>
      <c r="EM46" s="1705"/>
      <c r="EN46" s="1705"/>
      <c r="EO46" s="1705"/>
      <c r="EP46" s="1705"/>
      <c r="EQ46" s="1705"/>
      <c r="ER46" s="1705"/>
      <c r="ES46" s="1705"/>
      <c r="ET46" s="1705"/>
      <c r="EU46" s="1705"/>
      <c r="EV46" s="1705"/>
      <c r="EW46" s="1705"/>
      <c r="EX46" s="101" t="s">
        <v>798</v>
      </c>
      <c r="EY46" s="83" t="e">
        <f>VLOOKUP(EY$1,'Existing Customers'!$A:$AA,27,FALSE)</f>
        <v>#N/A</v>
      </c>
      <c r="EZ46" s="1705"/>
      <c r="FA46" s="1705"/>
      <c r="FB46" s="1705"/>
      <c r="FC46" s="1705"/>
      <c r="FD46" s="1705"/>
      <c r="FE46" s="1705"/>
      <c r="FF46" s="1705"/>
      <c r="FG46" s="1705"/>
      <c r="FH46" s="1705"/>
      <c r="FI46" s="1705"/>
      <c r="FJ46" s="1705"/>
      <c r="FK46" s="1705"/>
      <c r="FL46" s="1705"/>
      <c r="FM46" s="1705"/>
      <c r="FN46" s="1705"/>
      <c r="FO46" s="1705"/>
      <c r="FP46" s="1705"/>
      <c r="FQ46" s="1705"/>
      <c r="FR46" s="1705"/>
      <c r="FS46" s="1705"/>
      <c r="FT46" s="1705"/>
      <c r="FU46" s="101" t="s">
        <v>798</v>
      </c>
      <c r="FV46" s="83" t="e">
        <f>VLOOKUP(FV$1,'Existing Customers'!$A:$AA,27,FALSE)</f>
        <v>#N/A</v>
      </c>
      <c r="FW46" s="1705"/>
      <c r="FX46" s="1705"/>
      <c r="FY46" s="1705"/>
      <c r="FZ46" s="1705"/>
      <c r="GA46" s="1705"/>
      <c r="GB46" s="1705"/>
      <c r="GC46" s="1705"/>
      <c r="GD46" s="1705"/>
      <c r="GE46" s="1705"/>
      <c r="GF46" s="1705"/>
      <c r="GG46" s="1705"/>
      <c r="GH46" s="1705"/>
      <c r="GI46" s="1705"/>
      <c r="GJ46" s="1705"/>
      <c r="GK46" s="1705"/>
      <c r="GL46" s="1705"/>
      <c r="GM46" s="1705"/>
      <c r="GN46" s="1705"/>
      <c r="GO46" s="1705"/>
      <c r="GP46" s="1705"/>
      <c r="GQ46" s="1705"/>
      <c r="GR46" s="101" t="s">
        <v>798</v>
      </c>
      <c r="GS46" s="83" t="e">
        <f>VLOOKUP(GS$1,'Existing Customers'!$A:$AA,27,FALSE)</f>
        <v>#N/A</v>
      </c>
      <c r="GT46" s="1705"/>
      <c r="GU46" s="1705"/>
      <c r="GV46" s="1705"/>
      <c r="GW46" s="1705"/>
      <c r="GX46" s="1705"/>
      <c r="GY46" s="1705"/>
      <c r="GZ46" s="1705"/>
      <c r="HA46" s="1705"/>
      <c r="HB46" s="1705"/>
      <c r="HC46" s="1705"/>
      <c r="HD46" s="1705"/>
      <c r="HE46" s="1705"/>
      <c r="HF46" s="1705"/>
      <c r="HG46" s="1705"/>
      <c r="HH46" s="1705"/>
      <c r="HI46" s="1705"/>
      <c r="HJ46" s="1705"/>
      <c r="HK46" s="1705"/>
      <c r="HL46" s="1705"/>
      <c r="HM46" s="1705"/>
      <c r="HN46" s="1705"/>
      <c r="HO46" s="101" t="s">
        <v>798</v>
      </c>
      <c r="HP46" s="83" t="e">
        <f>VLOOKUP(HP$1,'Existing Customers'!$A:$AA,27,FALSE)</f>
        <v>#N/A</v>
      </c>
      <c r="HQ46" s="1705"/>
      <c r="HR46" s="1705"/>
      <c r="HS46" s="1705"/>
      <c r="HT46" s="1705"/>
      <c r="HU46" s="1705"/>
      <c r="HV46" s="1705"/>
      <c r="HW46" s="1705"/>
      <c r="HX46" s="1705"/>
      <c r="HY46" s="1705"/>
      <c r="HZ46" s="1705"/>
      <c r="IA46" s="1705"/>
      <c r="IB46" s="1705"/>
      <c r="IC46" s="1705"/>
      <c r="ID46" s="1705"/>
      <c r="IE46" s="1705"/>
      <c r="IF46" s="1705"/>
      <c r="IG46" s="1705"/>
      <c r="IH46" s="1705"/>
      <c r="II46" s="1705"/>
      <c r="IJ46" s="1705"/>
      <c r="IK46" s="1705"/>
      <c r="IL46" s="101" t="s">
        <v>798</v>
      </c>
      <c r="IM46" s="83" t="e">
        <f>VLOOKUP(IM$1,'Existing Customers'!$A:$AA,27,FALSE)</f>
        <v>#N/A</v>
      </c>
      <c r="IN46" s="1705"/>
      <c r="IO46" s="1705"/>
      <c r="IP46" s="1705"/>
      <c r="IQ46" s="1705"/>
      <c r="IR46" s="1705"/>
      <c r="IS46" s="1705"/>
      <c r="IT46" s="1705"/>
      <c r="IU46" s="1705"/>
      <c r="IV46" s="1705"/>
      <c r="IW46" s="1705"/>
      <c r="IX46" s="1705"/>
      <c r="IY46" s="1705"/>
      <c r="IZ46" s="1705"/>
      <c r="JA46" s="1705"/>
      <c r="JB46" s="1705"/>
      <c r="JC46" s="1705"/>
      <c r="JD46" s="1705"/>
      <c r="JE46" s="1705"/>
      <c r="JF46" s="1705"/>
      <c r="JG46" s="1705"/>
      <c r="JH46" s="1705"/>
      <c r="JI46" s="101" t="s">
        <v>798</v>
      </c>
      <c r="JJ46" s="83" t="e">
        <f>VLOOKUP(JJ$1,'Existing Customers'!$A:$AA,27,FALSE)</f>
        <v>#N/A</v>
      </c>
      <c r="JK46" s="1705"/>
      <c r="JL46" s="1705"/>
      <c r="JM46" s="1705"/>
      <c r="JN46" s="1705"/>
      <c r="JO46" s="1705"/>
      <c r="JP46" s="1705"/>
      <c r="JQ46" s="1705"/>
      <c r="JR46" s="1705"/>
      <c r="JS46" s="1705"/>
      <c r="JT46" s="1705"/>
      <c r="JU46" s="1705"/>
      <c r="JV46" s="1705"/>
      <c r="JW46" s="1705"/>
      <c r="JX46" s="1705"/>
      <c r="JY46" s="1705"/>
      <c r="JZ46" s="1705"/>
      <c r="KA46" s="1705"/>
      <c r="KB46" s="1705"/>
      <c r="KC46" s="1705"/>
      <c r="KD46" s="1705"/>
      <c r="KE46" s="1705"/>
      <c r="KF46" s="101" t="s">
        <v>798</v>
      </c>
      <c r="KG46" s="83" t="e">
        <f>VLOOKUP(KG$1,'Existing Customers'!$A:$AA,27,FALSE)</f>
        <v>#N/A</v>
      </c>
      <c r="KH46" s="1705"/>
      <c r="KI46" s="1705"/>
      <c r="KJ46" s="1705"/>
      <c r="KK46" s="1705"/>
      <c r="KL46" s="1705"/>
      <c r="KM46" s="1705"/>
      <c r="KN46" s="1705"/>
      <c r="KO46" s="1705"/>
      <c r="KP46" s="1705"/>
      <c r="KQ46" s="1705"/>
      <c r="KR46" s="1705"/>
      <c r="KS46" s="1705"/>
      <c r="KT46" s="1705"/>
      <c r="KU46" s="1705"/>
      <c r="KV46" s="1705"/>
      <c r="KW46" s="1705"/>
      <c r="KX46" s="1705"/>
      <c r="KY46" s="1705"/>
      <c r="KZ46" s="1705"/>
      <c r="LA46" s="1705"/>
      <c r="LB46" s="1705"/>
      <c r="LC46" s="101" t="s">
        <v>798</v>
      </c>
      <c r="LD46" s="83" t="e">
        <f>VLOOKUP(LD$1,'Existing Customers'!$A:$AA,27,FALSE)</f>
        <v>#N/A</v>
      </c>
      <c r="LE46" s="1705"/>
      <c r="LF46" s="1705"/>
      <c r="LG46" s="1705"/>
      <c r="LH46" s="1705"/>
      <c r="LI46" s="1705"/>
      <c r="LJ46" s="1705"/>
      <c r="LK46" s="1705"/>
      <c r="LL46" s="1705"/>
      <c r="LM46" s="1705"/>
      <c r="LN46" s="1705"/>
      <c r="LO46" s="1705"/>
      <c r="LP46" s="1705"/>
      <c r="LQ46" s="1705"/>
      <c r="LR46" s="1705"/>
      <c r="LS46" s="1705"/>
      <c r="LT46" s="1705"/>
      <c r="LU46" s="1705"/>
      <c r="LV46" s="1705"/>
      <c r="LW46" s="1705"/>
      <c r="LX46" s="1705"/>
      <c r="LY46" s="1705"/>
      <c r="LZ46" s="101" t="s">
        <v>798</v>
      </c>
      <c r="MA46" s="83" t="e">
        <f>VLOOKUP(MA$1,'Existing Customers'!$A:$AA,27,FALSE)</f>
        <v>#N/A</v>
      </c>
      <c r="MB46" s="1705"/>
      <c r="MC46" s="1705"/>
      <c r="MD46" s="1705"/>
      <c r="ME46" s="1705"/>
      <c r="MF46" s="1705"/>
      <c r="MG46" s="1705"/>
      <c r="MH46" s="1705"/>
      <c r="MI46" s="1705"/>
      <c r="MJ46" s="1705"/>
      <c r="MK46" s="1705"/>
      <c r="ML46" s="1705"/>
      <c r="MM46" s="1705"/>
      <c r="MN46" s="1705"/>
      <c r="MO46" s="1705"/>
      <c r="MP46" s="1705"/>
      <c r="MQ46" s="1705"/>
      <c r="MR46" s="1705"/>
      <c r="MS46" s="1705"/>
      <c r="MT46" s="1705"/>
      <c r="MU46" s="1705"/>
      <c r="MV46" s="1705"/>
      <c r="MW46" s="101" t="s">
        <v>798</v>
      </c>
      <c r="MX46" s="83" t="e">
        <f>VLOOKUP(MX$1,'Existing Customers'!$A:$AA,27,FALSE)</f>
        <v>#N/A</v>
      </c>
      <c r="MY46" s="1705"/>
      <c r="MZ46" s="1705"/>
      <c r="NA46" s="1705"/>
      <c r="NB46" s="1705"/>
      <c r="NC46" s="1705"/>
      <c r="ND46" s="1705"/>
      <c r="NE46" s="1705"/>
      <c r="NF46" s="1705"/>
      <c r="NG46" s="1705"/>
      <c r="NH46" s="1705"/>
      <c r="NI46" s="1705"/>
      <c r="NJ46" s="1705"/>
      <c r="NK46" s="1705"/>
      <c r="NL46" s="1705"/>
      <c r="NM46" s="1705"/>
      <c r="NN46" s="1705"/>
      <c r="NO46" s="1705"/>
      <c r="NP46" s="1705"/>
      <c r="NQ46" s="1705"/>
      <c r="NR46" s="1705"/>
      <c r="NS46" s="1705"/>
      <c r="NT46" s="101" t="s">
        <v>798</v>
      </c>
      <c r="NU46" s="83" t="e">
        <f>VLOOKUP(NU$1,'Existing Customers'!$A:$AA,27,FALSE)</f>
        <v>#N/A</v>
      </c>
      <c r="NV46" s="1705"/>
      <c r="NW46" s="1705"/>
      <c r="NX46" s="1705"/>
      <c r="NY46" s="1705"/>
      <c r="NZ46" s="1705"/>
      <c r="OA46" s="1705"/>
      <c r="OB46" s="1705"/>
      <c r="OC46" s="1705"/>
      <c r="OD46" s="1705"/>
      <c r="OE46" s="1705"/>
      <c r="OF46" s="1705"/>
      <c r="OG46" s="1705"/>
      <c r="OH46" s="1705"/>
      <c r="OI46" s="1705"/>
      <c r="OJ46" s="1705"/>
      <c r="OK46" s="1705"/>
      <c r="OL46" s="1705"/>
      <c r="OM46" s="1705"/>
      <c r="ON46" s="1705"/>
      <c r="OO46" s="1705"/>
      <c r="OP46" s="1705"/>
      <c r="OQ46" s="101" t="s">
        <v>798</v>
      </c>
      <c r="OR46" s="83" t="e">
        <f>VLOOKUP(OR$1,'Existing Customers'!$A:$AA,27,FALSE)</f>
        <v>#N/A</v>
      </c>
      <c r="OS46" s="1705"/>
      <c r="OT46" s="1705"/>
      <c r="OU46" s="1705"/>
      <c r="OV46" s="1705"/>
      <c r="OW46" s="1705"/>
      <c r="OX46" s="1705"/>
      <c r="OY46" s="1705"/>
      <c r="OZ46" s="1705"/>
      <c r="PA46" s="1705"/>
      <c r="PB46" s="1705"/>
      <c r="PC46" s="1705"/>
      <c r="PD46" s="1705"/>
      <c r="PE46" s="1705"/>
      <c r="PF46" s="1705"/>
      <c r="PG46" s="1705"/>
      <c r="PH46" s="1705"/>
      <c r="PI46" s="1705"/>
      <c r="PJ46" s="1705"/>
      <c r="PK46" s="1705"/>
      <c r="PL46" s="1705"/>
      <c r="PM46" s="1705"/>
      <c r="PN46" s="101" t="s">
        <v>798</v>
      </c>
      <c r="PO46" s="83" t="e">
        <f>VLOOKUP(PO$1,'Existing Customers'!$A:$AA,27,FALSE)</f>
        <v>#N/A</v>
      </c>
      <c r="PP46" s="1705"/>
      <c r="PQ46" s="1705"/>
      <c r="PR46" s="1705"/>
      <c r="PS46" s="1705"/>
      <c r="PT46" s="1705"/>
      <c r="PU46" s="1705"/>
      <c r="PV46" s="1705"/>
      <c r="PW46" s="1705"/>
      <c r="PX46" s="1705"/>
      <c r="PY46" s="1705"/>
      <c r="PZ46" s="1705"/>
      <c r="QA46" s="1705"/>
      <c r="QB46" s="1705"/>
      <c r="QC46" s="1705"/>
      <c r="QD46" s="1705"/>
      <c r="QE46" s="1705"/>
      <c r="QF46" s="1705"/>
      <c r="QG46" s="1705"/>
      <c r="QH46" s="1705"/>
      <c r="QI46" s="1705"/>
      <c r="QJ46" s="1705"/>
      <c r="QK46" s="101" t="s">
        <v>798</v>
      </c>
      <c r="QL46" s="83" t="e">
        <f>VLOOKUP(QL$1,'Existing Customers'!$A:$AA,27,FALSE)</f>
        <v>#N/A</v>
      </c>
      <c r="QM46" s="1705"/>
      <c r="QN46" s="1705"/>
      <c r="QO46" s="1705"/>
      <c r="QP46" s="1705"/>
      <c r="QQ46" s="1705"/>
      <c r="QR46" s="1705"/>
      <c r="QS46" s="1705"/>
      <c r="QT46" s="1705"/>
      <c r="QU46" s="1705"/>
      <c r="QV46" s="1705"/>
      <c r="QW46" s="1705"/>
      <c r="QX46" s="1705"/>
      <c r="QY46" s="1705"/>
      <c r="QZ46" s="1705"/>
      <c r="RA46" s="1705"/>
      <c r="RB46" s="1705"/>
      <c r="RC46" s="1705"/>
      <c r="RD46" s="1705"/>
      <c r="RE46" s="1705"/>
      <c r="RF46" s="1705"/>
      <c r="RG46" s="1705"/>
      <c r="RH46" s="101" t="s">
        <v>798</v>
      </c>
      <c r="RI46" s="83" t="e">
        <f>VLOOKUP(RI$1,'Existing Customers'!$A:$AA,27,FALSE)</f>
        <v>#N/A</v>
      </c>
      <c r="RJ46" s="1705"/>
      <c r="RK46" s="1705"/>
      <c r="RL46" s="1705"/>
      <c r="RM46" s="1705"/>
      <c r="RN46" s="1705"/>
      <c r="RO46" s="1705"/>
      <c r="RP46" s="1705"/>
      <c r="RQ46" s="1705"/>
      <c r="RR46" s="1705"/>
      <c r="RS46" s="1705"/>
      <c r="RT46" s="1705"/>
      <c r="RU46" s="1705"/>
      <c r="RV46" s="1705"/>
      <c r="RW46" s="1705"/>
      <c r="RX46" s="1705"/>
      <c r="RY46" s="1705"/>
      <c r="RZ46" s="1705"/>
      <c r="SA46" s="1705"/>
      <c r="SB46" s="1705"/>
      <c r="SC46" s="1705"/>
      <c r="SD46" s="1705"/>
      <c r="SE46" s="101" t="s">
        <v>798</v>
      </c>
      <c r="SF46" s="83" t="e">
        <f>VLOOKUP(SF$1,'Existing Customers'!$A:$AA,27,FALSE)</f>
        <v>#N/A</v>
      </c>
      <c r="SG46" s="1705"/>
      <c r="SH46" s="1705"/>
      <c r="SI46" s="1705"/>
      <c r="SJ46" s="1705"/>
      <c r="SK46" s="1705"/>
      <c r="SL46" s="1705"/>
      <c r="SM46" s="1705"/>
      <c r="SN46" s="1705"/>
      <c r="SO46" s="1705"/>
      <c r="SP46" s="1705"/>
      <c r="SQ46" s="1705"/>
      <c r="SR46" s="1705"/>
      <c r="SS46" s="1705"/>
      <c r="ST46" s="1705"/>
      <c r="SU46" s="1705"/>
      <c r="SV46" s="1705"/>
      <c r="SW46" s="1705"/>
      <c r="SX46" s="1705"/>
      <c r="SY46" s="1705"/>
      <c r="SZ46" s="1705"/>
      <c r="TA46" s="1705"/>
      <c r="TB46" s="1705"/>
      <c r="TC46" s="1705"/>
      <c r="TD46" s="1705"/>
      <c r="TE46" s="1705"/>
      <c r="TF46" s="1705"/>
      <c r="TG46" s="1705"/>
      <c r="TH46" s="1705"/>
      <c r="TI46" s="1705"/>
      <c r="TJ46" s="1705"/>
      <c r="TK46" s="1705"/>
      <c r="TL46" s="1705"/>
      <c r="TM46" s="1705"/>
      <c r="TN46" s="1705"/>
      <c r="TO46" s="1705"/>
      <c r="TP46" s="1705"/>
      <c r="TQ46" s="1705"/>
      <c r="TR46" s="1705"/>
    </row>
    <row r="47" spans="1:538" x14ac:dyDescent="0.25">
      <c r="Q47" s="1500"/>
      <c r="R47" s="1514">
        <f t="shared" si="97"/>
        <v>1</v>
      </c>
      <c r="S47" s="1515" t="s">
        <v>117</v>
      </c>
      <c r="T47" s="1516">
        <f>COUNTIF('Variable Costs (Back)'!$C$15:$C$34,S47)</f>
        <v>0</v>
      </c>
      <c r="U47" s="1501"/>
      <c r="V47" s="1501"/>
      <c r="W47" s="1501"/>
      <c r="X47" s="1501"/>
      <c r="Y47" s="1501"/>
      <c r="Z47" s="1514">
        <f t="shared" si="98"/>
        <v>2</v>
      </c>
      <c r="AA47" s="1515"/>
      <c r="AB47" s="1516">
        <f t="shared" si="99"/>
        <v>20</v>
      </c>
      <c r="AC47" s="1501"/>
      <c r="AD47" s="1501"/>
      <c r="AE47" s="1501"/>
      <c r="AF47" s="1501"/>
      <c r="AG47" s="1501"/>
      <c r="AH47" s="1501"/>
      <c r="AI47" s="1501"/>
      <c r="AJ47" s="1500"/>
      <c r="AK47" s="1500"/>
      <c r="AL47" s="1500"/>
      <c r="AM47" s="1500"/>
      <c r="AN47" s="1500"/>
      <c r="AO47" s="1500"/>
      <c r="AP47" s="1500"/>
      <c r="AQ47" s="1500"/>
      <c r="AR47" s="1500"/>
      <c r="AS47" s="1500"/>
      <c r="AT47" s="1500"/>
      <c r="AU47" s="1500"/>
      <c r="AV47" s="1500"/>
      <c r="AW47" s="1500"/>
      <c r="AX47" s="1500"/>
      <c r="AY47" s="1500"/>
      <c r="AZ47" s="1412"/>
      <c r="BA47" s="1412"/>
      <c r="BB47" s="1412"/>
      <c r="BC47" s="1412"/>
      <c r="BD47" s="1412"/>
      <c r="BE47" s="1412"/>
      <c r="BF47" s="1412"/>
      <c r="BG47" s="1705"/>
      <c r="BH47" s="1705"/>
      <c r="BI47" s="1705"/>
      <c r="BJ47" s="1705" t="s">
        <v>923</v>
      </c>
      <c r="BK47" s="1705" t="e">
        <f>VLOOKUP(BK$1,'Existing Customers'!$A:$AA,4,FALSE)</f>
        <v>#N/A</v>
      </c>
      <c r="BL47" s="1705"/>
      <c r="BM47" s="1705"/>
      <c r="BN47" s="1705"/>
      <c r="BO47" s="1705"/>
      <c r="BP47" s="1705"/>
      <c r="BQ47" s="1705"/>
      <c r="BR47" s="1705"/>
      <c r="BS47" s="1705"/>
      <c r="BT47" s="1705"/>
      <c r="BU47" s="1705"/>
      <c r="BV47" s="1705"/>
      <c r="BW47" s="1705"/>
      <c r="BX47" s="1705"/>
      <c r="BY47" s="1705"/>
      <c r="BZ47" s="1705"/>
      <c r="CA47" s="1705"/>
      <c r="CB47" s="1705"/>
      <c r="CC47" s="1705"/>
      <c r="CD47" s="1705"/>
      <c r="CE47" s="1705"/>
      <c r="CF47" s="1705"/>
      <c r="CG47" s="101" t="s">
        <v>107</v>
      </c>
      <c r="CH47" s="83" t="e">
        <f>VLOOKUP(CH$1,'Existing Customers'!$A:$AA,4,FALSE)</f>
        <v>#N/A</v>
      </c>
      <c r="CI47" s="1705"/>
      <c r="CJ47" s="1705"/>
      <c r="CK47" s="1705"/>
      <c r="CL47" s="1705"/>
      <c r="CM47" s="1705"/>
      <c r="CN47" s="1705"/>
      <c r="CO47" s="1705"/>
      <c r="CP47" s="1705"/>
      <c r="CQ47" s="1705"/>
      <c r="CR47" s="1705"/>
      <c r="CS47" s="1705"/>
      <c r="CT47" s="1705"/>
      <c r="CU47" s="1705"/>
      <c r="CV47" s="1705"/>
      <c r="CW47" s="1705"/>
      <c r="CX47" s="1705"/>
      <c r="CY47" s="1705"/>
      <c r="CZ47" s="1705"/>
      <c r="DA47" s="1705"/>
      <c r="DB47" s="1705"/>
      <c r="DC47" s="1705"/>
      <c r="DD47" s="101" t="s">
        <v>107</v>
      </c>
      <c r="DE47" s="83" t="e">
        <f>VLOOKUP(DE$1,'Existing Customers'!$A:$AA,4,FALSE)</f>
        <v>#N/A</v>
      </c>
      <c r="DF47" s="1705"/>
      <c r="DG47" s="1705"/>
      <c r="DH47" s="1705"/>
      <c r="DI47" s="1705"/>
      <c r="DJ47" s="1705"/>
      <c r="DK47" s="1705"/>
      <c r="DL47" s="1705"/>
      <c r="DM47" s="1705"/>
      <c r="DN47" s="1705"/>
      <c r="DO47" s="1705"/>
      <c r="DP47" s="1705"/>
      <c r="DQ47" s="1705"/>
      <c r="DR47" s="1705"/>
      <c r="DS47" s="1705"/>
      <c r="DT47" s="1705"/>
      <c r="DU47" s="1705"/>
      <c r="DV47" s="1705"/>
      <c r="DW47" s="1705"/>
      <c r="DX47" s="1705"/>
      <c r="DY47" s="1705"/>
      <c r="DZ47" s="1705"/>
      <c r="EA47" s="101" t="s">
        <v>107</v>
      </c>
      <c r="EB47" s="83" t="e">
        <f>VLOOKUP(EB$1,'Existing Customers'!$A:$AA,4,FALSE)</f>
        <v>#N/A</v>
      </c>
      <c r="EC47" s="1705"/>
      <c r="ED47" s="1705"/>
      <c r="EE47" s="1705"/>
      <c r="EF47" s="1705"/>
      <c r="EG47" s="1705"/>
      <c r="EH47" s="1705"/>
      <c r="EI47" s="1705"/>
      <c r="EJ47" s="1705"/>
      <c r="EK47" s="1705"/>
      <c r="EL47" s="1705"/>
      <c r="EM47" s="1705"/>
      <c r="EN47" s="1705"/>
      <c r="EO47" s="1705"/>
      <c r="EP47" s="1705"/>
      <c r="EQ47" s="1705"/>
      <c r="ER47" s="1705"/>
      <c r="ES47" s="1705"/>
      <c r="ET47" s="1705"/>
      <c r="EU47" s="1705"/>
      <c r="EV47" s="1705"/>
      <c r="EW47" s="1705"/>
      <c r="EX47" s="101" t="s">
        <v>107</v>
      </c>
      <c r="EY47" s="83" t="e">
        <f>VLOOKUP(EY$1,'Existing Customers'!$A:$AA,4,FALSE)</f>
        <v>#N/A</v>
      </c>
      <c r="EZ47" s="1705"/>
      <c r="FA47" s="1705"/>
      <c r="FB47" s="1705"/>
      <c r="FC47" s="1705"/>
      <c r="FD47" s="1705"/>
      <c r="FE47" s="1705"/>
      <c r="FF47" s="1705"/>
      <c r="FG47" s="1705"/>
      <c r="FH47" s="1705"/>
      <c r="FI47" s="1705"/>
      <c r="FJ47" s="1705"/>
      <c r="FK47" s="1705"/>
      <c r="FL47" s="1705"/>
      <c r="FM47" s="1705"/>
      <c r="FN47" s="1705"/>
      <c r="FO47" s="1705"/>
      <c r="FP47" s="1705"/>
      <c r="FQ47" s="1705"/>
      <c r="FR47" s="1705"/>
      <c r="FS47" s="1705"/>
      <c r="FT47" s="1705"/>
      <c r="FU47" s="101" t="s">
        <v>107</v>
      </c>
      <c r="FV47" s="83" t="e">
        <f>VLOOKUP(FV$1,'Existing Customers'!$A:$AA,4,FALSE)</f>
        <v>#N/A</v>
      </c>
      <c r="FW47" s="1705"/>
      <c r="FX47" s="1705"/>
      <c r="FY47" s="1705"/>
      <c r="FZ47" s="1705"/>
      <c r="GA47" s="1705"/>
      <c r="GB47" s="1705"/>
      <c r="GC47" s="1705"/>
      <c r="GD47" s="1705"/>
      <c r="GE47" s="1705"/>
      <c r="GF47" s="1705"/>
      <c r="GG47" s="1705"/>
      <c r="GH47" s="1705"/>
      <c r="GI47" s="1705"/>
      <c r="GJ47" s="1705"/>
      <c r="GK47" s="1705"/>
      <c r="GL47" s="1705"/>
      <c r="GM47" s="1705"/>
      <c r="GN47" s="1705"/>
      <c r="GO47" s="1705"/>
      <c r="GP47" s="1705"/>
      <c r="GQ47" s="1705"/>
      <c r="GR47" s="101" t="s">
        <v>107</v>
      </c>
      <c r="GS47" s="83" t="e">
        <f>VLOOKUP(GS$1,'Existing Customers'!$A:$AA,4,FALSE)</f>
        <v>#N/A</v>
      </c>
      <c r="GT47" s="1705"/>
      <c r="GU47" s="1705"/>
      <c r="GV47" s="1705"/>
      <c r="GW47" s="1705"/>
      <c r="GX47" s="1705"/>
      <c r="GY47" s="1705"/>
      <c r="GZ47" s="1705"/>
      <c r="HA47" s="1705"/>
      <c r="HB47" s="1705"/>
      <c r="HC47" s="1705"/>
      <c r="HD47" s="1705"/>
      <c r="HE47" s="1705"/>
      <c r="HF47" s="1705"/>
      <c r="HG47" s="1705"/>
      <c r="HH47" s="1705"/>
      <c r="HI47" s="1705"/>
      <c r="HJ47" s="1705"/>
      <c r="HK47" s="1705"/>
      <c r="HL47" s="1705"/>
      <c r="HM47" s="1705"/>
      <c r="HN47" s="1705"/>
      <c r="HO47" s="101" t="s">
        <v>107</v>
      </c>
      <c r="HP47" s="83" t="e">
        <f>VLOOKUP(HP$1,'Existing Customers'!$A:$AA,4,FALSE)</f>
        <v>#N/A</v>
      </c>
      <c r="HQ47" s="1705"/>
      <c r="HR47" s="1705"/>
      <c r="HS47" s="1705"/>
      <c r="HT47" s="1705"/>
      <c r="HU47" s="1705"/>
      <c r="HV47" s="1705"/>
      <c r="HW47" s="1705"/>
      <c r="HX47" s="1705"/>
      <c r="HY47" s="1705"/>
      <c r="HZ47" s="1705"/>
      <c r="IA47" s="1705"/>
      <c r="IB47" s="1705"/>
      <c r="IC47" s="1705"/>
      <c r="ID47" s="1705"/>
      <c r="IE47" s="1705"/>
      <c r="IF47" s="1705"/>
      <c r="IG47" s="1705"/>
      <c r="IH47" s="1705"/>
      <c r="II47" s="1705"/>
      <c r="IJ47" s="1705"/>
      <c r="IK47" s="1705"/>
      <c r="IL47" s="101" t="s">
        <v>107</v>
      </c>
      <c r="IM47" s="83" t="e">
        <f>VLOOKUP(IM$1,'Existing Customers'!$A:$AA,4,FALSE)</f>
        <v>#N/A</v>
      </c>
      <c r="IN47" s="1705"/>
      <c r="IO47" s="1705"/>
      <c r="IP47" s="1705"/>
      <c r="IQ47" s="1705"/>
      <c r="IR47" s="1705"/>
      <c r="IS47" s="1705"/>
      <c r="IT47" s="1705"/>
      <c r="IU47" s="1705"/>
      <c r="IV47" s="1705"/>
      <c r="IW47" s="1705"/>
      <c r="IX47" s="1705"/>
      <c r="IY47" s="1705"/>
      <c r="IZ47" s="1705"/>
      <c r="JA47" s="1705"/>
      <c r="JB47" s="1705"/>
      <c r="JC47" s="1705"/>
      <c r="JD47" s="1705"/>
      <c r="JE47" s="1705"/>
      <c r="JF47" s="1705"/>
      <c r="JG47" s="1705"/>
      <c r="JH47" s="1705"/>
      <c r="JI47" s="101" t="s">
        <v>107</v>
      </c>
      <c r="JJ47" s="83" t="e">
        <f>VLOOKUP(JJ$1,'Existing Customers'!$A:$AA,4,FALSE)</f>
        <v>#N/A</v>
      </c>
      <c r="JK47" s="1705"/>
      <c r="JL47" s="1705"/>
      <c r="JM47" s="1705"/>
      <c r="JN47" s="1705"/>
      <c r="JO47" s="1705"/>
      <c r="JP47" s="1705"/>
      <c r="JQ47" s="1705"/>
      <c r="JR47" s="1705"/>
      <c r="JS47" s="1705"/>
      <c r="JT47" s="1705"/>
      <c r="JU47" s="1705"/>
      <c r="JV47" s="1705"/>
      <c r="JW47" s="1705"/>
      <c r="JX47" s="1705"/>
      <c r="JY47" s="1705"/>
      <c r="JZ47" s="1705"/>
      <c r="KA47" s="1705"/>
      <c r="KB47" s="1705"/>
      <c r="KC47" s="1705"/>
      <c r="KD47" s="1705"/>
      <c r="KE47" s="1705"/>
      <c r="KF47" s="101" t="s">
        <v>107</v>
      </c>
      <c r="KG47" s="83" t="e">
        <f>VLOOKUP(KG$1,'Existing Customers'!$A:$AA,4,FALSE)</f>
        <v>#N/A</v>
      </c>
      <c r="KH47" s="1705"/>
      <c r="KI47" s="1705"/>
      <c r="KJ47" s="1705"/>
      <c r="KK47" s="1705"/>
      <c r="KL47" s="1705"/>
      <c r="KM47" s="1705"/>
      <c r="KN47" s="1705"/>
      <c r="KO47" s="1705"/>
      <c r="KP47" s="1705"/>
      <c r="KQ47" s="1705"/>
      <c r="KR47" s="1705"/>
      <c r="KS47" s="1705"/>
      <c r="KT47" s="1705"/>
      <c r="KU47" s="1705"/>
      <c r="KV47" s="1705"/>
      <c r="KW47" s="1705"/>
      <c r="KX47" s="1705"/>
      <c r="KY47" s="1705"/>
      <c r="KZ47" s="1705"/>
      <c r="LA47" s="1705"/>
      <c r="LB47" s="1705"/>
      <c r="LC47" s="101" t="s">
        <v>107</v>
      </c>
      <c r="LD47" s="83" t="e">
        <f>VLOOKUP(LD$1,'Existing Customers'!$A:$AA,4,FALSE)</f>
        <v>#N/A</v>
      </c>
      <c r="LE47" s="1705"/>
      <c r="LF47" s="1705"/>
      <c r="LG47" s="1705"/>
      <c r="LH47" s="1705"/>
      <c r="LI47" s="1705"/>
      <c r="LJ47" s="1705"/>
      <c r="LK47" s="1705"/>
      <c r="LL47" s="1705"/>
      <c r="LM47" s="1705"/>
      <c r="LN47" s="1705"/>
      <c r="LO47" s="1705"/>
      <c r="LP47" s="1705"/>
      <c r="LQ47" s="1705"/>
      <c r="LR47" s="1705"/>
      <c r="LS47" s="1705"/>
      <c r="LT47" s="1705"/>
      <c r="LU47" s="1705"/>
      <c r="LV47" s="1705"/>
      <c r="LW47" s="1705"/>
      <c r="LX47" s="1705"/>
      <c r="LY47" s="1705"/>
      <c r="LZ47" s="101" t="s">
        <v>107</v>
      </c>
      <c r="MA47" s="83" t="e">
        <f>VLOOKUP(MA$1,'Existing Customers'!$A:$AA,4,FALSE)</f>
        <v>#N/A</v>
      </c>
      <c r="MB47" s="1705"/>
      <c r="MC47" s="1705"/>
      <c r="MD47" s="1705"/>
      <c r="ME47" s="1705"/>
      <c r="MF47" s="1705"/>
      <c r="MG47" s="1705"/>
      <c r="MH47" s="1705"/>
      <c r="MI47" s="1705"/>
      <c r="MJ47" s="1705"/>
      <c r="MK47" s="1705"/>
      <c r="ML47" s="1705"/>
      <c r="MM47" s="1705"/>
      <c r="MN47" s="1705"/>
      <c r="MO47" s="1705"/>
      <c r="MP47" s="1705"/>
      <c r="MQ47" s="1705"/>
      <c r="MR47" s="1705"/>
      <c r="MS47" s="1705"/>
      <c r="MT47" s="1705"/>
      <c r="MU47" s="1705"/>
      <c r="MV47" s="1705"/>
      <c r="MW47" s="101" t="s">
        <v>107</v>
      </c>
      <c r="MX47" s="83" t="e">
        <f>VLOOKUP(MX$1,'Existing Customers'!$A:$AA,4,FALSE)</f>
        <v>#N/A</v>
      </c>
      <c r="MY47" s="1705"/>
      <c r="MZ47" s="1705"/>
      <c r="NA47" s="1705"/>
      <c r="NB47" s="1705"/>
      <c r="NC47" s="1705"/>
      <c r="ND47" s="1705"/>
      <c r="NE47" s="1705"/>
      <c r="NF47" s="1705"/>
      <c r="NG47" s="1705"/>
      <c r="NH47" s="1705"/>
      <c r="NI47" s="1705"/>
      <c r="NJ47" s="1705"/>
      <c r="NK47" s="1705"/>
      <c r="NL47" s="1705"/>
      <c r="NM47" s="1705"/>
      <c r="NN47" s="1705"/>
      <c r="NO47" s="1705"/>
      <c r="NP47" s="1705"/>
      <c r="NQ47" s="1705"/>
      <c r="NR47" s="1705"/>
      <c r="NS47" s="1705"/>
      <c r="NT47" s="101" t="s">
        <v>107</v>
      </c>
      <c r="NU47" s="83" t="e">
        <f>VLOOKUP(NU$1,'Existing Customers'!$A:$AA,4,FALSE)</f>
        <v>#N/A</v>
      </c>
      <c r="NV47" s="1705"/>
      <c r="NW47" s="1705"/>
      <c r="NX47" s="1705"/>
      <c r="NY47" s="1705"/>
      <c r="NZ47" s="1705"/>
      <c r="OA47" s="1705"/>
      <c r="OB47" s="1705"/>
      <c r="OC47" s="1705"/>
      <c r="OD47" s="1705"/>
      <c r="OE47" s="1705"/>
      <c r="OF47" s="1705"/>
      <c r="OG47" s="1705"/>
      <c r="OH47" s="1705"/>
      <c r="OI47" s="1705"/>
      <c r="OJ47" s="1705"/>
      <c r="OK47" s="1705"/>
      <c r="OL47" s="1705"/>
      <c r="OM47" s="1705"/>
      <c r="ON47" s="1705"/>
      <c r="OO47" s="1705"/>
      <c r="OP47" s="1705"/>
      <c r="OQ47" s="101" t="s">
        <v>107</v>
      </c>
      <c r="OR47" s="83" t="e">
        <f>VLOOKUP(OR$1,'Existing Customers'!$A:$AA,4,FALSE)</f>
        <v>#N/A</v>
      </c>
      <c r="OS47" s="1705"/>
      <c r="OT47" s="1705"/>
      <c r="OU47" s="1705"/>
      <c r="OV47" s="1705"/>
      <c r="OW47" s="1705"/>
      <c r="OX47" s="1705"/>
      <c r="OY47" s="1705"/>
      <c r="OZ47" s="1705"/>
      <c r="PA47" s="1705"/>
      <c r="PB47" s="1705"/>
      <c r="PC47" s="1705"/>
      <c r="PD47" s="1705"/>
      <c r="PE47" s="1705"/>
      <c r="PF47" s="1705"/>
      <c r="PG47" s="1705"/>
      <c r="PH47" s="1705"/>
      <c r="PI47" s="1705"/>
      <c r="PJ47" s="1705"/>
      <c r="PK47" s="1705"/>
      <c r="PL47" s="1705"/>
      <c r="PM47" s="1705"/>
      <c r="PN47" s="101" t="s">
        <v>107</v>
      </c>
      <c r="PO47" s="83" t="e">
        <f>VLOOKUP(PO$1,'Existing Customers'!$A:$AA,4,FALSE)</f>
        <v>#N/A</v>
      </c>
      <c r="PP47" s="1705"/>
      <c r="PQ47" s="1705"/>
      <c r="PR47" s="1705"/>
      <c r="PS47" s="1705"/>
      <c r="PT47" s="1705"/>
      <c r="PU47" s="1705"/>
      <c r="PV47" s="1705"/>
      <c r="PW47" s="1705"/>
      <c r="PX47" s="1705"/>
      <c r="PY47" s="1705"/>
      <c r="PZ47" s="1705"/>
      <c r="QA47" s="1705"/>
      <c r="QB47" s="1705"/>
      <c r="QC47" s="1705"/>
      <c r="QD47" s="1705"/>
      <c r="QE47" s="1705"/>
      <c r="QF47" s="1705"/>
      <c r="QG47" s="1705"/>
      <c r="QH47" s="1705"/>
      <c r="QI47" s="1705"/>
      <c r="QJ47" s="1705"/>
      <c r="QK47" s="101" t="s">
        <v>107</v>
      </c>
      <c r="QL47" s="83" t="e">
        <f>VLOOKUP(QL$1,'Existing Customers'!$A:$AA,4,FALSE)</f>
        <v>#N/A</v>
      </c>
      <c r="QM47" s="1705"/>
      <c r="QN47" s="1705"/>
      <c r="QO47" s="1705"/>
      <c r="QP47" s="1705"/>
      <c r="QQ47" s="1705"/>
      <c r="QR47" s="1705"/>
      <c r="QS47" s="1705"/>
      <c r="QT47" s="1705"/>
      <c r="QU47" s="1705"/>
      <c r="QV47" s="1705"/>
      <c r="QW47" s="1705"/>
      <c r="QX47" s="1705"/>
      <c r="QY47" s="1705"/>
      <c r="QZ47" s="1705"/>
      <c r="RA47" s="1705"/>
      <c r="RB47" s="1705"/>
      <c r="RC47" s="1705"/>
      <c r="RD47" s="1705"/>
      <c r="RE47" s="1705"/>
      <c r="RF47" s="1705"/>
      <c r="RG47" s="1705"/>
      <c r="RH47" s="101" t="s">
        <v>107</v>
      </c>
      <c r="RI47" s="83" t="e">
        <f>VLOOKUP(RI$1,'Existing Customers'!$A:$AA,4,FALSE)</f>
        <v>#N/A</v>
      </c>
      <c r="RJ47" s="1705"/>
      <c r="RK47" s="1705"/>
      <c r="RL47" s="1705"/>
      <c r="RM47" s="1705"/>
      <c r="RN47" s="1705"/>
      <c r="RO47" s="1705"/>
      <c r="RP47" s="1705"/>
      <c r="RQ47" s="1705"/>
      <c r="RR47" s="1705"/>
      <c r="RS47" s="1705"/>
      <c r="RT47" s="1705"/>
      <c r="RU47" s="1705"/>
      <c r="RV47" s="1705"/>
      <c r="RW47" s="1705"/>
      <c r="RX47" s="1705"/>
      <c r="RY47" s="1705"/>
      <c r="RZ47" s="1705"/>
      <c r="SA47" s="1705"/>
      <c r="SB47" s="1705"/>
      <c r="SC47" s="1705"/>
      <c r="SD47" s="1705"/>
      <c r="SE47" s="101" t="s">
        <v>107</v>
      </c>
      <c r="SF47" s="83" t="e">
        <f>VLOOKUP(SF$1,'Existing Customers'!$A:$AA,4,FALSE)</f>
        <v>#N/A</v>
      </c>
      <c r="SG47" s="1705"/>
      <c r="SH47" s="1705"/>
      <c r="SI47" s="1705"/>
      <c r="SJ47" s="1705"/>
      <c r="SK47" s="1705"/>
      <c r="SL47" s="1705"/>
      <c r="SM47" s="1705"/>
      <c r="SN47" s="1705"/>
      <c r="SO47" s="1705"/>
      <c r="SP47" s="1705"/>
      <c r="SQ47" s="1705"/>
      <c r="SR47" s="1705"/>
      <c r="SS47" s="1705"/>
      <c r="ST47" s="1705"/>
      <c r="SU47" s="1705"/>
      <c r="SV47" s="1705"/>
      <c r="SW47" s="1705"/>
      <c r="SX47" s="1705"/>
      <c r="SY47" s="1705"/>
      <c r="SZ47" s="1705"/>
      <c r="TA47" s="1705"/>
      <c r="TB47" s="1705"/>
      <c r="TC47" s="1705"/>
      <c r="TD47" s="1705"/>
      <c r="TE47" s="1705"/>
      <c r="TF47" s="1705"/>
      <c r="TG47" s="1705"/>
      <c r="TH47" s="1705"/>
      <c r="TI47" s="1705"/>
      <c r="TJ47" s="1705"/>
      <c r="TK47" s="1705"/>
      <c r="TL47" s="1705"/>
      <c r="TM47" s="1705"/>
      <c r="TN47" s="1705"/>
      <c r="TO47" s="1705"/>
      <c r="TP47" s="1705"/>
      <c r="TQ47" s="1705"/>
      <c r="TR47" s="1705"/>
    </row>
    <row r="48" spans="1:538" x14ac:dyDescent="0.25">
      <c r="Q48" s="1500"/>
      <c r="R48" s="137"/>
      <c r="S48" s="1501"/>
      <c r="T48" s="138"/>
      <c r="U48" s="1501"/>
      <c r="V48" s="1501"/>
      <c r="W48" s="1501"/>
      <c r="X48" s="1501"/>
      <c r="Y48" s="1501"/>
      <c r="Z48" s="1514">
        <f t="shared" si="98"/>
        <v>2</v>
      </c>
      <c r="AA48" s="1515"/>
      <c r="AB48" s="1516">
        <f t="shared" si="99"/>
        <v>20</v>
      </c>
      <c r="AC48" s="1501"/>
      <c r="AD48" s="1501"/>
      <c r="AE48" s="1501"/>
      <c r="AF48" s="1501"/>
      <c r="AG48" s="1501"/>
      <c r="AH48" s="1501"/>
      <c r="AI48" s="1501"/>
      <c r="AJ48" s="1500"/>
      <c r="AK48" s="1500"/>
      <c r="AL48" s="1500"/>
      <c r="AM48" s="1500"/>
      <c r="AN48" s="1500"/>
      <c r="AO48" s="1500"/>
      <c r="AP48" s="1500"/>
      <c r="AQ48" s="1500"/>
      <c r="AR48" s="1500"/>
      <c r="AS48" s="1500"/>
      <c r="AT48" s="1500"/>
      <c r="AU48" s="1500"/>
      <c r="AV48" s="1500"/>
      <c r="AW48" s="1500"/>
      <c r="AX48" s="1500"/>
      <c r="AY48" s="1500"/>
      <c r="AZ48" s="1412"/>
      <c r="BA48" s="1412"/>
      <c r="BB48" s="1412"/>
      <c r="BC48" s="1412"/>
      <c r="BD48" s="1412"/>
      <c r="BE48" s="1412"/>
      <c r="BF48" s="1412"/>
      <c r="BG48" s="1705"/>
      <c r="BH48" s="1705"/>
      <c r="BI48" s="1705"/>
      <c r="BJ48" s="1705" t="s">
        <v>803</v>
      </c>
      <c r="BK48" s="1705">
        <f>IFERROR(VLOOKUP(BK$1,'Existing Customers'!$A:$AA,6,FALSE),BK6)</f>
        <v>0</v>
      </c>
      <c r="BL48" s="1705"/>
      <c r="BM48" s="1705"/>
      <c r="BN48" s="1705"/>
      <c r="BO48" s="1705"/>
      <c r="BP48" s="1705"/>
      <c r="BQ48" s="1705"/>
      <c r="BR48" s="1705"/>
      <c r="BS48" s="1705"/>
      <c r="BT48" s="1705"/>
      <c r="BU48" s="1705"/>
      <c r="BV48" s="1705"/>
      <c r="BW48" s="1705"/>
      <c r="BX48" s="1705"/>
      <c r="BY48" s="1705"/>
      <c r="BZ48" s="1705"/>
      <c r="CA48" s="1705"/>
      <c r="CB48" s="1705"/>
      <c r="CC48" s="1705"/>
      <c r="CD48" s="1705"/>
      <c r="CE48" s="1705"/>
      <c r="CF48" s="1705"/>
      <c r="CG48" s="101" t="s">
        <v>803</v>
      </c>
      <c r="CH48" s="83">
        <f>IFERROR(VLOOKUP(CH$1,'Existing Customers'!$A:$AA,6,FALSE),CH5)</f>
        <v>0</v>
      </c>
      <c r="CI48" s="1705"/>
      <c r="CJ48" s="1705"/>
      <c r="CK48" s="1705"/>
      <c r="CL48" s="1705"/>
      <c r="CM48" s="1705"/>
      <c r="CN48" s="1705"/>
      <c r="CO48" s="1705"/>
      <c r="CP48" s="1705"/>
      <c r="CQ48" s="1705"/>
      <c r="CR48" s="1705"/>
      <c r="CS48" s="1705"/>
      <c r="CT48" s="1705"/>
      <c r="CU48" s="1705"/>
      <c r="CV48" s="1705"/>
      <c r="CW48" s="1705"/>
      <c r="CX48" s="1705"/>
      <c r="CY48" s="1705"/>
      <c r="CZ48" s="1705"/>
      <c r="DA48" s="1705"/>
      <c r="DB48" s="1705"/>
      <c r="DC48" s="1705"/>
      <c r="DD48" s="101" t="s">
        <v>803</v>
      </c>
      <c r="DE48" s="83">
        <f>IFERROR(VLOOKUP(DE$1,'Existing Customers'!$A:$AA,6,FALSE),DE6)</f>
        <v>0</v>
      </c>
      <c r="DF48" s="1705"/>
      <c r="DG48" s="1705"/>
      <c r="DH48" s="1705"/>
      <c r="DI48" s="1705"/>
      <c r="DJ48" s="1705"/>
      <c r="DK48" s="1705"/>
      <c r="DL48" s="1705"/>
      <c r="DM48" s="1705"/>
      <c r="DN48" s="1705"/>
      <c r="DO48" s="1705"/>
      <c r="DP48" s="1705"/>
      <c r="DQ48" s="1705"/>
      <c r="DR48" s="1705"/>
      <c r="DS48" s="1705"/>
      <c r="DT48" s="1705"/>
      <c r="DU48" s="1705"/>
      <c r="DV48" s="1705"/>
      <c r="DW48" s="1705"/>
      <c r="DX48" s="1705"/>
      <c r="DY48" s="1705"/>
      <c r="DZ48" s="1705"/>
      <c r="EA48" s="101" t="s">
        <v>803</v>
      </c>
      <c r="EB48" s="83">
        <f>IFERROR(VLOOKUP(EB$1,'Existing Customers'!$A:$AA,6,FALSE),EB6)</f>
        <v>0</v>
      </c>
      <c r="EC48" s="1705"/>
      <c r="ED48" s="1705"/>
      <c r="EE48" s="1705"/>
      <c r="EF48" s="1705"/>
      <c r="EG48" s="1705"/>
      <c r="EH48" s="1705"/>
      <c r="EI48" s="1705"/>
      <c r="EJ48" s="1705"/>
      <c r="EK48" s="1705"/>
      <c r="EL48" s="1705"/>
      <c r="EM48" s="1705"/>
      <c r="EN48" s="1705"/>
      <c r="EO48" s="1705"/>
      <c r="EP48" s="1705"/>
      <c r="EQ48" s="1705"/>
      <c r="ER48" s="1705"/>
      <c r="ES48" s="1705"/>
      <c r="ET48" s="1705"/>
      <c r="EU48" s="1705"/>
      <c r="EV48" s="1705"/>
      <c r="EW48" s="1705"/>
      <c r="EX48" s="101" t="s">
        <v>803</v>
      </c>
      <c r="EY48" s="83">
        <f>IFERROR(VLOOKUP(EY$1,'Existing Customers'!$A:$AA,6,FALSE),EY6)</f>
        <v>0</v>
      </c>
      <c r="EZ48" s="1705"/>
      <c r="FA48" s="1705"/>
      <c r="FB48" s="1705"/>
      <c r="FC48" s="1705"/>
      <c r="FD48" s="1705"/>
      <c r="FE48" s="1705"/>
      <c r="FF48" s="1705"/>
      <c r="FG48" s="1705"/>
      <c r="FH48" s="1705"/>
      <c r="FI48" s="1705"/>
      <c r="FJ48" s="1705"/>
      <c r="FK48" s="1705"/>
      <c r="FL48" s="1705"/>
      <c r="FM48" s="1705"/>
      <c r="FN48" s="1705"/>
      <c r="FO48" s="1705"/>
      <c r="FP48" s="1705"/>
      <c r="FQ48" s="1705"/>
      <c r="FR48" s="1705"/>
      <c r="FS48" s="1705"/>
      <c r="FT48" s="1705"/>
      <c r="FU48" s="101" t="s">
        <v>803</v>
      </c>
      <c r="FV48" s="83">
        <f>IFERROR(VLOOKUP(FV$1,'Existing Customers'!$A:$AA,6,FALSE),FV6)</f>
        <v>0</v>
      </c>
      <c r="FW48" s="1705"/>
      <c r="FX48" s="1705"/>
      <c r="FY48" s="1705"/>
      <c r="FZ48" s="1705"/>
      <c r="GA48" s="1705"/>
      <c r="GB48" s="1705"/>
      <c r="GC48" s="1705"/>
      <c r="GD48" s="1705"/>
      <c r="GE48" s="1705"/>
      <c r="GF48" s="1705"/>
      <c r="GG48" s="1705"/>
      <c r="GH48" s="1705"/>
      <c r="GI48" s="1705"/>
      <c r="GJ48" s="1705"/>
      <c r="GK48" s="1705"/>
      <c r="GL48" s="1705"/>
      <c r="GM48" s="1705"/>
      <c r="GN48" s="1705"/>
      <c r="GO48" s="1705"/>
      <c r="GP48" s="1705"/>
      <c r="GQ48" s="1705"/>
      <c r="GR48" s="101" t="s">
        <v>803</v>
      </c>
      <c r="GS48" s="83">
        <f>IFERROR(VLOOKUP(GS$1,'Existing Customers'!$A:$AA,6,FALSE),GS6)</f>
        <v>0</v>
      </c>
      <c r="GT48" s="1705"/>
      <c r="GU48" s="1705"/>
      <c r="GV48" s="1705"/>
      <c r="GW48" s="1705"/>
      <c r="GX48" s="1705"/>
      <c r="GY48" s="1705"/>
      <c r="GZ48" s="1705"/>
      <c r="HA48" s="1705"/>
      <c r="HB48" s="1705"/>
      <c r="HC48" s="1705"/>
      <c r="HD48" s="1705"/>
      <c r="HE48" s="1705"/>
      <c r="HF48" s="1705"/>
      <c r="HG48" s="1705"/>
      <c r="HH48" s="1705"/>
      <c r="HI48" s="1705"/>
      <c r="HJ48" s="1705"/>
      <c r="HK48" s="1705"/>
      <c r="HL48" s="1705"/>
      <c r="HM48" s="1705"/>
      <c r="HN48" s="1705"/>
      <c r="HO48" s="101" t="s">
        <v>803</v>
      </c>
      <c r="HP48" s="83">
        <f>IFERROR(VLOOKUP(HP$1,'Existing Customers'!$A:$AA,6,FALSE),HP6)</f>
        <v>0</v>
      </c>
      <c r="HQ48" s="1705"/>
      <c r="HR48" s="1705"/>
      <c r="HS48" s="1705"/>
      <c r="HT48" s="1705"/>
      <c r="HU48" s="1705"/>
      <c r="HV48" s="1705"/>
      <c r="HW48" s="1705"/>
      <c r="HX48" s="1705"/>
      <c r="HY48" s="1705"/>
      <c r="HZ48" s="1705"/>
      <c r="IA48" s="1705"/>
      <c r="IB48" s="1705"/>
      <c r="IC48" s="1705"/>
      <c r="ID48" s="1705"/>
      <c r="IE48" s="1705"/>
      <c r="IF48" s="1705"/>
      <c r="IG48" s="1705"/>
      <c r="IH48" s="1705"/>
      <c r="II48" s="1705"/>
      <c r="IJ48" s="1705"/>
      <c r="IK48" s="1705"/>
      <c r="IL48" s="101" t="s">
        <v>803</v>
      </c>
      <c r="IM48" s="83">
        <f>IFERROR(VLOOKUP(IM$1,'Existing Customers'!$A:$AA,6,FALSE),IM6)</f>
        <v>0</v>
      </c>
      <c r="IN48" s="1705"/>
      <c r="IO48" s="1705"/>
      <c r="IP48" s="1705"/>
      <c r="IQ48" s="1705"/>
      <c r="IR48" s="1705"/>
      <c r="IS48" s="1705"/>
      <c r="IT48" s="1705"/>
      <c r="IU48" s="1705"/>
      <c r="IV48" s="1705"/>
      <c r="IW48" s="1705"/>
      <c r="IX48" s="1705"/>
      <c r="IY48" s="1705"/>
      <c r="IZ48" s="1705"/>
      <c r="JA48" s="1705"/>
      <c r="JB48" s="1705"/>
      <c r="JC48" s="1705"/>
      <c r="JD48" s="1705"/>
      <c r="JE48" s="1705"/>
      <c r="JF48" s="1705"/>
      <c r="JG48" s="1705"/>
      <c r="JH48" s="1705"/>
      <c r="JI48" s="101" t="s">
        <v>803</v>
      </c>
      <c r="JJ48" s="83">
        <f>IFERROR(VLOOKUP(JJ$1,'Existing Customers'!$A:$AA,6,FALSE),JJ6)</f>
        <v>0</v>
      </c>
      <c r="JK48" s="1705"/>
      <c r="JL48" s="1705"/>
      <c r="JM48" s="1705"/>
      <c r="JN48" s="1705"/>
      <c r="JO48" s="1705"/>
      <c r="JP48" s="1705"/>
      <c r="JQ48" s="1705"/>
      <c r="JR48" s="1705"/>
      <c r="JS48" s="1705"/>
      <c r="JT48" s="1705"/>
      <c r="JU48" s="1705"/>
      <c r="JV48" s="1705"/>
      <c r="JW48" s="1705"/>
      <c r="JX48" s="1705"/>
      <c r="JY48" s="1705"/>
      <c r="JZ48" s="1705"/>
      <c r="KA48" s="1705"/>
      <c r="KB48" s="1705"/>
      <c r="KC48" s="1705"/>
      <c r="KD48" s="1705"/>
      <c r="KE48" s="1705"/>
      <c r="KF48" s="101" t="s">
        <v>803</v>
      </c>
      <c r="KG48" s="83">
        <f>IFERROR(VLOOKUP(KG$1,'Existing Customers'!$A:$AA,6,FALSE),KG6)</f>
        <v>0</v>
      </c>
      <c r="KH48" s="1705"/>
      <c r="KI48" s="1705"/>
      <c r="KJ48" s="1705"/>
      <c r="KK48" s="1705"/>
      <c r="KL48" s="1705"/>
      <c r="KM48" s="1705"/>
      <c r="KN48" s="1705"/>
      <c r="KO48" s="1705"/>
      <c r="KP48" s="1705"/>
      <c r="KQ48" s="1705"/>
      <c r="KR48" s="1705"/>
      <c r="KS48" s="1705"/>
      <c r="KT48" s="1705"/>
      <c r="KU48" s="1705"/>
      <c r="KV48" s="1705"/>
      <c r="KW48" s="1705"/>
      <c r="KX48" s="1705"/>
      <c r="KY48" s="1705"/>
      <c r="KZ48" s="1705"/>
      <c r="LA48" s="1705"/>
      <c r="LB48" s="1705"/>
      <c r="LC48" s="101" t="s">
        <v>803</v>
      </c>
      <c r="LD48" s="83">
        <f>IFERROR(VLOOKUP(LD$1,'Existing Customers'!$A:$AA,6,FALSE),LD6)</f>
        <v>0</v>
      </c>
      <c r="LE48" s="1705"/>
      <c r="LF48" s="1705"/>
      <c r="LG48" s="1705"/>
      <c r="LH48" s="1705"/>
      <c r="LI48" s="1705"/>
      <c r="LJ48" s="1705"/>
      <c r="LK48" s="1705"/>
      <c r="LL48" s="1705"/>
      <c r="LM48" s="1705"/>
      <c r="LN48" s="1705"/>
      <c r="LO48" s="1705"/>
      <c r="LP48" s="1705"/>
      <c r="LQ48" s="1705"/>
      <c r="LR48" s="1705"/>
      <c r="LS48" s="1705"/>
      <c r="LT48" s="1705"/>
      <c r="LU48" s="1705"/>
      <c r="LV48" s="1705"/>
      <c r="LW48" s="1705"/>
      <c r="LX48" s="1705"/>
      <c r="LY48" s="1705"/>
      <c r="LZ48" s="101" t="s">
        <v>803</v>
      </c>
      <c r="MA48" s="83">
        <f>IFERROR(VLOOKUP(MA$1,'Existing Customers'!$A:$AA,6,FALSE),MA6)</f>
        <v>0</v>
      </c>
      <c r="MB48" s="1705"/>
      <c r="MC48" s="1705"/>
      <c r="MD48" s="1705"/>
      <c r="ME48" s="1705"/>
      <c r="MF48" s="1705"/>
      <c r="MG48" s="1705"/>
      <c r="MH48" s="1705"/>
      <c r="MI48" s="1705"/>
      <c r="MJ48" s="1705"/>
      <c r="MK48" s="1705"/>
      <c r="ML48" s="1705"/>
      <c r="MM48" s="1705"/>
      <c r="MN48" s="1705"/>
      <c r="MO48" s="1705"/>
      <c r="MP48" s="1705"/>
      <c r="MQ48" s="1705"/>
      <c r="MR48" s="1705"/>
      <c r="MS48" s="1705"/>
      <c r="MT48" s="1705"/>
      <c r="MU48" s="1705"/>
      <c r="MV48" s="1705"/>
      <c r="MW48" s="101" t="s">
        <v>803</v>
      </c>
      <c r="MX48" s="83">
        <f>IFERROR(VLOOKUP(MX$1,'Existing Customers'!$A:$AA,6,FALSE),MX6)</f>
        <v>0</v>
      </c>
      <c r="MY48" s="1705"/>
      <c r="MZ48" s="1705"/>
      <c r="NA48" s="1705"/>
      <c r="NB48" s="1705"/>
      <c r="NC48" s="1705"/>
      <c r="ND48" s="1705"/>
      <c r="NE48" s="1705"/>
      <c r="NF48" s="1705"/>
      <c r="NG48" s="1705"/>
      <c r="NH48" s="1705"/>
      <c r="NI48" s="1705"/>
      <c r="NJ48" s="1705"/>
      <c r="NK48" s="1705"/>
      <c r="NL48" s="1705"/>
      <c r="NM48" s="1705"/>
      <c r="NN48" s="1705"/>
      <c r="NO48" s="1705"/>
      <c r="NP48" s="1705"/>
      <c r="NQ48" s="1705"/>
      <c r="NR48" s="1705"/>
      <c r="NS48" s="1705"/>
      <c r="NT48" s="101" t="s">
        <v>803</v>
      </c>
      <c r="NU48" s="83">
        <f>IFERROR(VLOOKUP(NU$1,'Existing Customers'!$A:$AA,6,FALSE),NU6)</f>
        <v>0</v>
      </c>
      <c r="NV48" s="1705"/>
      <c r="NW48" s="1705"/>
      <c r="NX48" s="1705"/>
      <c r="NY48" s="1705"/>
      <c r="NZ48" s="1705"/>
      <c r="OA48" s="1705"/>
      <c r="OB48" s="1705"/>
      <c r="OC48" s="1705"/>
      <c r="OD48" s="1705"/>
      <c r="OE48" s="1705"/>
      <c r="OF48" s="1705"/>
      <c r="OG48" s="1705"/>
      <c r="OH48" s="1705"/>
      <c r="OI48" s="1705"/>
      <c r="OJ48" s="1705"/>
      <c r="OK48" s="1705"/>
      <c r="OL48" s="1705"/>
      <c r="OM48" s="1705"/>
      <c r="ON48" s="1705"/>
      <c r="OO48" s="1705"/>
      <c r="OP48" s="1705"/>
      <c r="OQ48" s="101" t="s">
        <v>803</v>
      </c>
      <c r="OR48" s="83">
        <f>IFERROR(VLOOKUP(OR$1,'Existing Customers'!$A:$AA,6,FALSE),OR6)</f>
        <v>0</v>
      </c>
      <c r="OS48" s="1705"/>
      <c r="OT48" s="1705"/>
      <c r="OU48" s="1705"/>
      <c r="OV48" s="1705"/>
      <c r="OW48" s="1705"/>
      <c r="OX48" s="1705"/>
      <c r="OY48" s="1705"/>
      <c r="OZ48" s="1705"/>
      <c r="PA48" s="1705"/>
      <c r="PB48" s="1705"/>
      <c r="PC48" s="1705"/>
      <c r="PD48" s="1705"/>
      <c r="PE48" s="1705"/>
      <c r="PF48" s="1705"/>
      <c r="PG48" s="1705"/>
      <c r="PH48" s="1705"/>
      <c r="PI48" s="1705"/>
      <c r="PJ48" s="1705"/>
      <c r="PK48" s="1705"/>
      <c r="PL48" s="1705"/>
      <c r="PM48" s="1705"/>
      <c r="PN48" s="101" t="s">
        <v>803</v>
      </c>
      <c r="PO48" s="83">
        <f>IFERROR(VLOOKUP(PO$1,'Existing Customers'!$A:$AA,6,FALSE),PO6)</f>
        <v>0</v>
      </c>
      <c r="PP48" s="1705"/>
      <c r="PQ48" s="1705"/>
      <c r="PR48" s="1705"/>
      <c r="PS48" s="1705"/>
      <c r="PT48" s="1705"/>
      <c r="PU48" s="1705"/>
      <c r="PV48" s="1705"/>
      <c r="PW48" s="1705"/>
      <c r="PX48" s="1705"/>
      <c r="PY48" s="1705"/>
      <c r="PZ48" s="1705"/>
      <c r="QA48" s="1705"/>
      <c r="QB48" s="1705"/>
      <c r="QC48" s="1705"/>
      <c r="QD48" s="1705"/>
      <c r="QE48" s="1705"/>
      <c r="QF48" s="1705"/>
      <c r="QG48" s="1705"/>
      <c r="QH48" s="1705"/>
      <c r="QI48" s="1705"/>
      <c r="QJ48" s="1705"/>
      <c r="QK48" s="101" t="s">
        <v>803</v>
      </c>
      <c r="QL48" s="83">
        <f>IFERROR(VLOOKUP(QL$1,'Existing Customers'!$A:$AA,6,FALSE),QL6)</f>
        <v>0</v>
      </c>
      <c r="QM48" s="1705"/>
      <c r="QN48" s="1705"/>
      <c r="QO48" s="1705"/>
      <c r="QP48" s="1705"/>
      <c r="QQ48" s="1705"/>
      <c r="QR48" s="1705"/>
      <c r="QS48" s="1705"/>
      <c r="QT48" s="1705"/>
      <c r="QU48" s="1705"/>
      <c r="QV48" s="1705"/>
      <c r="QW48" s="1705"/>
      <c r="QX48" s="1705"/>
      <c r="QY48" s="1705"/>
      <c r="QZ48" s="1705"/>
      <c r="RA48" s="1705"/>
      <c r="RB48" s="1705"/>
      <c r="RC48" s="1705"/>
      <c r="RD48" s="1705"/>
      <c r="RE48" s="1705"/>
      <c r="RF48" s="1705"/>
      <c r="RG48" s="1705"/>
      <c r="RH48" s="101" t="s">
        <v>803</v>
      </c>
      <c r="RI48" s="83">
        <f>IFERROR(VLOOKUP(RI$1,'Existing Customers'!$A:$AA,6,FALSE),RI6)</f>
        <v>0</v>
      </c>
      <c r="RJ48" s="1705"/>
      <c r="RK48" s="1705"/>
      <c r="RL48" s="1705"/>
      <c r="RM48" s="1705"/>
      <c r="RN48" s="1705"/>
      <c r="RO48" s="1705"/>
      <c r="RP48" s="1705"/>
      <c r="RQ48" s="1705"/>
      <c r="RR48" s="1705"/>
      <c r="RS48" s="1705"/>
      <c r="RT48" s="1705"/>
      <c r="RU48" s="1705"/>
      <c r="RV48" s="1705"/>
      <c r="RW48" s="1705"/>
      <c r="RX48" s="1705"/>
      <c r="RY48" s="1705"/>
      <c r="RZ48" s="1705"/>
      <c r="SA48" s="1705"/>
      <c r="SB48" s="1705"/>
      <c r="SC48" s="1705"/>
      <c r="SD48" s="1705"/>
      <c r="SE48" s="101" t="s">
        <v>803</v>
      </c>
      <c r="SF48" s="83">
        <f>IFERROR(VLOOKUP(SF$1,'Existing Customers'!$A:$AA,6,FALSE),SF6)</f>
        <v>0</v>
      </c>
      <c r="SG48" s="1705"/>
      <c r="SH48" s="1705"/>
      <c r="SI48" s="1705"/>
      <c r="SJ48" s="1705"/>
      <c r="SK48" s="1705"/>
      <c r="SL48" s="1705"/>
      <c r="SM48" s="1705"/>
      <c r="SN48" s="1705"/>
      <c r="SO48" s="1705"/>
      <c r="SP48" s="1705"/>
      <c r="SQ48" s="1705"/>
      <c r="SR48" s="1705"/>
      <c r="SS48" s="1705"/>
      <c r="ST48" s="1705"/>
      <c r="SU48" s="1705"/>
      <c r="SV48" s="1705"/>
      <c r="SW48" s="1705"/>
      <c r="SX48" s="1705"/>
      <c r="SY48" s="1705"/>
      <c r="SZ48" s="1705"/>
      <c r="TA48" s="1705"/>
      <c r="TB48" s="1705"/>
      <c r="TC48" s="1705"/>
      <c r="TD48" s="1705"/>
      <c r="TE48" s="1705"/>
      <c r="TF48" s="1705"/>
      <c r="TG48" s="1705"/>
      <c r="TH48" s="1705"/>
      <c r="TI48" s="1705"/>
      <c r="TJ48" s="1705"/>
      <c r="TK48" s="1705"/>
      <c r="TL48" s="1705"/>
      <c r="TM48" s="1705"/>
      <c r="TN48" s="1705"/>
      <c r="TO48" s="1705"/>
      <c r="TP48" s="1705"/>
      <c r="TQ48" s="1705"/>
      <c r="TR48" s="1705"/>
    </row>
    <row r="49" spans="17:538" ht="15.75" thickBot="1" x14ac:dyDescent="0.3">
      <c r="Q49" s="1500"/>
      <c r="R49" s="1521">
        <v>1</v>
      </c>
      <c r="S49" s="1522" t="str">
        <f>IF(COUNTIF($T$38:$T$47,"&gt;0")&gt;1,"MULTIPLE PYRAMID SEGMENTS",VLOOKUP(R49,$R$38:$S$47,2,FALSE))</f>
        <v>Enter Customer(s)</v>
      </c>
      <c r="T49" s="1523"/>
      <c r="U49" s="1501"/>
      <c r="V49" s="1501"/>
      <c r="W49" s="1501"/>
      <c r="X49" s="1501"/>
      <c r="Y49" s="1501"/>
      <c r="Z49" s="1514">
        <f t="shared" si="98"/>
        <v>2</v>
      </c>
      <c r="AA49" s="1515"/>
      <c r="AB49" s="1516">
        <f t="shared" si="99"/>
        <v>20</v>
      </c>
      <c r="AC49" s="1501"/>
      <c r="AD49" s="1501"/>
      <c r="AE49" s="1501"/>
      <c r="AF49" s="1501"/>
      <c r="AG49" s="1501"/>
      <c r="AH49" s="1501"/>
      <c r="AI49" s="1501"/>
      <c r="AJ49" s="1500"/>
      <c r="AK49" s="1500"/>
      <c r="AL49" s="1500"/>
      <c r="AM49" s="1500"/>
      <c r="AN49" s="1500"/>
      <c r="AO49" s="1500"/>
      <c r="AP49" s="1500"/>
      <c r="AQ49" s="1500"/>
      <c r="AR49" s="1500"/>
      <c r="AS49" s="1500"/>
      <c r="AT49" s="1500"/>
      <c r="AU49" s="1500"/>
      <c r="AV49" s="1500"/>
      <c r="AW49" s="1500"/>
      <c r="AX49" s="1500"/>
      <c r="AY49" s="1500"/>
      <c r="AZ49" s="1412"/>
      <c r="BA49" s="1412"/>
      <c r="BB49" s="1412"/>
      <c r="BC49" s="1412"/>
      <c r="BD49" s="1412"/>
      <c r="BE49" s="1412"/>
      <c r="BF49" s="1412"/>
      <c r="BG49" s="1705"/>
      <c r="BH49" s="1705"/>
      <c r="BI49" s="1705"/>
      <c r="BJ49" s="1705" t="s">
        <v>922</v>
      </c>
      <c r="BK49" s="1705" t="str">
        <f>IFERROR(ROUND(VLOOKUP(BK38,'Existing Customer Variable Exp'!$B:$F,5,FALSE)/52,1),"Enter Drops &gt;")</f>
        <v>Enter Drops &gt;</v>
      </c>
      <c r="BL49" s="1705"/>
      <c r="BM49" s="1705"/>
      <c r="BN49" s="1705"/>
      <c r="BO49" s="1705"/>
      <c r="BP49" s="1705"/>
      <c r="BQ49" s="1705"/>
      <c r="BR49" s="1705"/>
      <c r="BS49" s="1705"/>
      <c r="BT49" s="1705"/>
      <c r="BU49" s="1705"/>
      <c r="BV49" s="1705"/>
      <c r="BW49" s="1705"/>
      <c r="BX49" s="1705"/>
      <c r="BY49" s="1705"/>
      <c r="BZ49" s="1705"/>
      <c r="CA49" s="1705"/>
      <c r="CB49" s="1705"/>
      <c r="CC49" s="1705"/>
      <c r="CD49" s="1705"/>
      <c r="CE49" s="1705"/>
      <c r="CF49" s="1705"/>
      <c r="CG49" s="101" t="s">
        <v>806</v>
      </c>
      <c r="CH49" s="83" t="str">
        <f>IFERROR(ROUND(VLOOKUP(CH38,'Existing Customer Variable Exp'!$B:$F,5,FALSE)/52,1),"Enter Drops &gt;")</f>
        <v>Enter Drops &gt;</v>
      </c>
      <c r="CI49" s="1705"/>
      <c r="CJ49" s="1705"/>
      <c r="CK49" s="1705"/>
      <c r="CL49" s="1705"/>
      <c r="CM49" s="1705"/>
      <c r="CN49" s="1705"/>
      <c r="CO49" s="1705"/>
      <c r="CP49" s="1705"/>
      <c r="CQ49" s="1705"/>
      <c r="CR49" s="1705"/>
      <c r="CS49" s="1705"/>
      <c r="CT49" s="1705"/>
      <c r="CU49" s="1705"/>
      <c r="CV49" s="1705"/>
      <c r="CW49" s="1705"/>
      <c r="CX49" s="1705"/>
      <c r="CY49" s="1705"/>
      <c r="CZ49" s="1705"/>
      <c r="DA49" s="1705"/>
      <c r="DB49" s="1705"/>
      <c r="DC49" s="1705"/>
      <c r="DD49" s="101" t="s">
        <v>806</v>
      </c>
      <c r="DE49" s="83" t="str">
        <f>IFERROR(ROUND(VLOOKUP(DE38,'Existing Customer Variable Exp'!$B:$F,5,FALSE)/52,1),"Enter Drops &gt;")</f>
        <v>Enter Drops &gt;</v>
      </c>
      <c r="DF49" s="1705"/>
      <c r="DG49" s="1705"/>
      <c r="DH49" s="1705"/>
      <c r="DI49" s="1705"/>
      <c r="DJ49" s="1705"/>
      <c r="DK49" s="1705"/>
      <c r="DL49" s="1705"/>
      <c r="DM49" s="1705"/>
      <c r="DN49" s="1705"/>
      <c r="DO49" s="1705"/>
      <c r="DP49" s="1705"/>
      <c r="DQ49" s="1705"/>
      <c r="DR49" s="1705"/>
      <c r="DS49" s="1705"/>
      <c r="DT49" s="1705"/>
      <c r="DU49" s="1705"/>
      <c r="DV49" s="1705"/>
      <c r="DW49" s="1705"/>
      <c r="DX49" s="1705"/>
      <c r="DY49" s="1705"/>
      <c r="DZ49" s="1705"/>
      <c r="EA49" s="101" t="s">
        <v>806</v>
      </c>
      <c r="EB49" s="83" t="str">
        <f>IFERROR(ROUND(VLOOKUP(EB38,'Existing Customer Variable Exp'!$B:$F,5,FALSE)/52,1),"Enter Drops &gt;")</f>
        <v>Enter Drops &gt;</v>
      </c>
      <c r="EC49" s="1705"/>
      <c r="ED49" s="1705"/>
      <c r="EE49" s="1705"/>
      <c r="EF49" s="1705"/>
      <c r="EG49" s="1705"/>
      <c r="EH49" s="1705"/>
      <c r="EI49" s="1705"/>
      <c r="EJ49" s="1705"/>
      <c r="EK49" s="1705"/>
      <c r="EL49" s="1705"/>
      <c r="EM49" s="1705"/>
      <c r="EN49" s="1705"/>
      <c r="EO49" s="1705"/>
      <c r="EP49" s="1705"/>
      <c r="EQ49" s="1705"/>
      <c r="ER49" s="1705"/>
      <c r="ES49" s="1705"/>
      <c r="ET49" s="1705"/>
      <c r="EU49" s="1705"/>
      <c r="EV49" s="1705"/>
      <c r="EW49" s="1705"/>
      <c r="EX49" s="101" t="s">
        <v>806</v>
      </c>
      <c r="EY49" s="83" t="str">
        <f>IFERROR(ROUND(VLOOKUP(EY38,'Existing Customer Variable Exp'!$B:$F,5,FALSE)/52,1),"Enter Drops &gt;")</f>
        <v>Enter Drops &gt;</v>
      </c>
      <c r="EZ49" s="1705"/>
      <c r="FA49" s="1705"/>
      <c r="FB49" s="1705"/>
      <c r="FC49" s="1705"/>
      <c r="FD49" s="1705"/>
      <c r="FE49" s="1705"/>
      <c r="FF49" s="1705"/>
      <c r="FG49" s="1705"/>
      <c r="FH49" s="1705"/>
      <c r="FI49" s="1705"/>
      <c r="FJ49" s="1705"/>
      <c r="FK49" s="1705"/>
      <c r="FL49" s="1705"/>
      <c r="FM49" s="1705"/>
      <c r="FN49" s="1705"/>
      <c r="FO49" s="1705"/>
      <c r="FP49" s="1705"/>
      <c r="FQ49" s="1705"/>
      <c r="FR49" s="1705"/>
      <c r="FS49" s="1705"/>
      <c r="FT49" s="1705"/>
      <c r="FU49" s="101" t="s">
        <v>806</v>
      </c>
      <c r="FV49" s="83" t="str">
        <f>IFERROR(ROUND(VLOOKUP(FV38,'Existing Customer Variable Exp'!$B:$F,5,FALSE)/52,1),"Enter Drops &gt;")</f>
        <v>Enter Drops &gt;</v>
      </c>
      <c r="FW49" s="1705"/>
      <c r="FX49" s="1705"/>
      <c r="FY49" s="1705"/>
      <c r="FZ49" s="1705"/>
      <c r="GA49" s="1705"/>
      <c r="GB49" s="1705"/>
      <c r="GC49" s="1705"/>
      <c r="GD49" s="1705"/>
      <c r="GE49" s="1705"/>
      <c r="GF49" s="1705"/>
      <c r="GG49" s="1705"/>
      <c r="GH49" s="1705"/>
      <c r="GI49" s="1705"/>
      <c r="GJ49" s="1705"/>
      <c r="GK49" s="1705"/>
      <c r="GL49" s="1705"/>
      <c r="GM49" s="1705"/>
      <c r="GN49" s="1705"/>
      <c r="GO49" s="1705"/>
      <c r="GP49" s="1705"/>
      <c r="GQ49" s="1705"/>
      <c r="GR49" s="101" t="s">
        <v>806</v>
      </c>
      <c r="GS49" s="83" t="str">
        <f>IFERROR(ROUND(VLOOKUP(GS38,'Existing Customer Variable Exp'!$B:$F,5,FALSE)/52,1),"Enter Drops &gt;")</f>
        <v>Enter Drops &gt;</v>
      </c>
      <c r="GT49" s="1705"/>
      <c r="GU49" s="1705"/>
      <c r="GV49" s="1705"/>
      <c r="GW49" s="1705"/>
      <c r="GX49" s="1705"/>
      <c r="GY49" s="1705"/>
      <c r="GZ49" s="1705"/>
      <c r="HA49" s="1705"/>
      <c r="HB49" s="1705"/>
      <c r="HC49" s="1705"/>
      <c r="HD49" s="1705"/>
      <c r="HE49" s="1705"/>
      <c r="HF49" s="1705"/>
      <c r="HG49" s="1705"/>
      <c r="HH49" s="1705"/>
      <c r="HI49" s="1705"/>
      <c r="HJ49" s="1705"/>
      <c r="HK49" s="1705"/>
      <c r="HL49" s="1705"/>
      <c r="HM49" s="1705"/>
      <c r="HN49" s="1705"/>
      <c r="HO49" s="101" t="s">
        <v>806</v>
      </c>
      <c r="HP49" s="83" t="str">
        <f>IFERROR(ROUND(VLOOKUP(HP38,'Existing Customer Variable Exp'!$B:$F,5,FALSE)/52,1),"Enter Drops &gt;")</f>
        <v>Enter Drops &gt;</v>
      </c>
      <c r="HQ49" s="1705"/>
      <c r="HR49" s="1705"/>
      <c r="HS49" s="1705"/>
      <c r="HT49" s="1705"/>
      <c r="HU49" s="1705"/>
      <c r="HV49" s="1705"/>
      <c r="HW49" s="1705"/>
      <c r="HX49" s="1705"/>
      <c r="HY49" s="1705"/>
      <c r="HZ49" s="1705"/>
      <c r="IA49" s="1705"/>
      <c r="IB49" s="1705"/>
      <c r="IC49" s="1705"/>
      <c r="ID49" s="1705"/>
      <c r="IE49" s="1705"/>
      <c r="IF49" s="1705"/>
      <c r="IG49" s="1705"/>
      <c r="IH49" s="1705"/>
      <c r="II49" s="1705"/>
      <c r="IJ49" s="1705"/>
      <c r="IK49" s="1705"/>
      <c r="IL49" s="101" t="s">
        <v>806</v>
      </c>
      <c r="IM49" s="83" t="str">
        <f>IFERROR(ROUND(VLOOKUP(IM38,'Existing Customer Variable Exp'!$B:$F,5,FALSE)/52,1),"Enter Drops &gt;")</f>
        <v>Enter Drops &gt;</v>
      </c>
      <c r="IN49" s="1705"/>
      <c r="IO49" s="1705"/>
      <c r="IP49" s="1705"/>
      <c r="IQ49" s="1705"/>
      <c r="IR49" s="1705"/>
      <c r="IS49" s="1705"/>
      <c r="IT49" s="1705"/>
      <c r="IU49" s="1705"/>
      <c r="IV49" s="1705"/>
      <c r="IW49" s="1705"/>
      <c r="IX49" s="1705"/>
      <c r="IY49" s="1705"/>
      <c r="IZ49" s="1705"/>
      <c r="JA49" s="1705"/>
      <c r="JB49" s="1705"/>
      <c r="JC49" s="1705"/>
      <c r="JD49" s="1705"/>
      <c r="JE49" s="1705"/>
      <c r="JF49" s="1705"/>
      <c r="JG49" s="1705"/>
      <c r="JH49" s="1705"/>
      <c r="JI49" s="101" t="s">
        <v>806</v>
      </c>
      <c r="JJ49" s="83" t="str">
        <f>IFERROR(ROUND(VLOOKUP(JJ38,'Existing Customer Variable Exp'!$B:$F,5,FALSE)/52,1),"Enter Drops &gt;")</f>
        <v>Enter Drops &gt;</v>
      </c>
      <c r="JK49" s="1705"/>
      <c r="JL49" s="1705"/>
      <c r="JM49" s="1705"/>
      <c r="JN49" s="1705"/>
      <c r="JO49" s="1705"/>
      <c r="JP49" s="1705"/>
      <c r="JQ49" s="1705"/>
      <c r="JR49" s="1705"/>
      <c r="JS49" s="1705"/>
      <c r="JT49" s="1705"/>
      <c r="JU49" s="1705"/>
      <c r="JV49" s="1705"/>
      <c r="JW49" s="1705"/>
      <c r="JX49" s="1705"/>
      <c r="JY49" s="1705"/>
      <c r="JZ49" s="1705"/>
      <c r="KA49" s="1705"/>
      <c r="KB49" s="1705"/>
      <c r="KC49" s="1705"/>
      <c r="KD49" s="1705"/>
      <c r="KE49" s="1705"/>
      <c r="KF49" s="101" t="s">
        <v>806</v>
      </c>
      <c r="KG49" s="83" t="str">
        <f>IFERROR(ROUND(VLOOKUP(KG38,'Existing Customer Variable Exp'!$B:$F,5,FALSE)/52,1),"Enter Drops &gt;")</f>
        <v>Enter Drops &gt;</v>
      </c>
      <c r="KH49" s="1705"/>
      <c r="KI49" s="1705"/>
      <c r="KJ49" s="1705"/>
      <c r="KK49" s="1705"/>
      <c r="KL49" s="1705"/>
      <c r="KM49" s="1705"/>
      <c r="KN49" s="1705"/>
      <c r="KO49" s="1705"/>
      <c r="KP49" s="1705"/>
      <c r="KQ49" s="1705"/>
      <c r="KR49" s="1705"/>
      <c r="KS49" s="1705"/>
      <c r="KT49" s="1705"/>
      <c r="KU49" s="1705"/>
      <c r="KV49" s="1705"/>
      <c r="KW49" s="1705"/>
      <c r="KX49" s="1705"/>
      <c r="KY49" s="1705"/>
      <c r="KZ49" s="1705"/>
      <c r="LA49" s="1705"/>
      <c r="LB49" s="1705"/>
      <c r="LC49" s="101" t="s">
        <v>806</v>
      </c>
      <c r="LD49" s="83" t="str">
        <f>IFERROR(ROUND(VLOOKUP(LD38,'Existing Customer Variable Exp'!$B:$F,5,FALSE)/52,1),"Enter Drops &gt;")</f>
        <v>Enter Drops &gt;</v>
      </c>
      <c r="LE49" s="1705"/>
      <c r="LF49" s="1705"/>
      <c r="LG49" s="1705"/>
      <c r="LH49" s="1705"/>
      <c r="LI49" s="1705"/>
      <c r="LJ49" s="1705"/>
      <c r="LK49" s="1705"/>
      <c r="LL49" s="1705"/>
      <c r="LM49" s="1705"/>
      <c r="LN49" s="1705"/>
      <c r="LO49" s="1705"/>
      <c r="LP49" s="1705"/>
      <c r="LQ49" s="1705"/>
      <c r="LR49" s="1705"/>
      <c r="LS49" s="1705"/>
      <c r="LT49" s="1705"/>
      <c r="LU49" s="1705"/>
      <c r="LV49" s="1705"/>
      <c r="LW49" s="1705"/>
      <c r="LX49" s="1705"/>
      <c r="LY49" s="1705"/>
      <c r="LZ49" s="101" t="s">
        <v>806</v>
      </c>
      <c r="MA49" s="83" t="str">
        <f>IFERROR(ROUND(VLOOKUP(MA38,'Existing Customer Variable Exp'!$B:$F,5,FALSE)/52,1),"Enter Drops &gt;")</f>
        <v>Enter Drops &gt;</v>
      </c>
      <c r="MB49" s="1705"/>
      <c r="MC49" s="1705"/>
      <c r="MD49" s="1705"/>
      <c r="ME49" s="1705"/>
      <c r="MF49" s="1705"/>
      <c r="MG49" s="1705"/>
      <c r="MH49" s="1705"/>
      <c r="MI49" s="1705"/>
      <c r="MJ49" s="1705"/>
      <c r="MK49" s="1705"/>
      <c r="ML49" s="1705"/>
      <c r="MM49" s="1705"/>
      <c r="MN49" s="1705"/>
      <c r="MO49" s="1705"/>
      <c r="MP49" s="1705"/>
      <c r="MQ49" s="1705"/>
      <c r="MR49" s="1705"/>
      <c r="MS49" s="1705"/>
      <c r="MT49" s="1705"/>
      <c r="MU49" s="1705"/>
      <c r="MV49" s="1705"/>
      <c r="MW49" s="101" t="s">
        <v>806</v>
      </c>
      <c r="MX49" s="83" t="str">
        <f>IFERROR(ROUND(VLOOKUP(MX38,'Existing Customer Variable Exp'!$B:$F,5,FALSE)/52,1),"Enter Drops &gt;")</f>
        <v>Enter Drops &gt;</v>
      </c>
      <c r="MY49" s="1705"/>
      <c r="MZ49" s="1705"/>
      <c r="NA49" s="1705"/>
      <c r="NB49" s="1705"/>
      <c r="NC49" s="1705"/>
      <c r="ND49" s="1705"/>
      <c r="NE49" s="1705"/>
      <c r="NF49" s="1705"/>
      <c r="NG49" s="1705"/>
      <c r="NH49" s="1705"/>
      <c r="NI49" s="1705"/>
      <c r="NJ49" s="1705"/>
      <c r="NK49" s="1705"/>
      <c r="NL49" s="1705"/>
      <c r="NM49" s="1705"/>
      <c r="NN49" s="1705"/>
      <c r="NO49" s="1705"/>
      <c r="NP49" s="1705"/>
      <c r="NQ49" s="1705"/>
      <c r="NR49" s="1705"/>
      <c r="NS49" s="1705"/>
      <c r="NT49" s="101" t="s">
        <v>806</v>
      </c>
      <c r="NU49" s="83" t="str">
        <f>IFERROR(ROUND(VLOOKUP(NU38,'Existing Customer Variable Exp'!$B:$F,5,FALSE)/52,1),"Enter Drops &gt;")</f>
        <v>Enter Drops &gt;</v>
      </c>
      <c r="NV49" s="1705"/>
      <c r="NW49" s="1705"/>
      <c r="NX49" s="1705"/>
      <c r="NY49" s="1705"/>
      <c r="NZ49" s="1705"/>
      <c r="OA49" s="1705"/>
      <c r="OB49" s="1705"/>
      <c r="OC49" s="1705"/>
      <c r="OD49" s="1705"/>
      <c r="OE49" s="1705"/>
      <c r="OF49" s="1705"/>
      <c r="OG49" s="1705"/>
      <c r="OH49" s="1705"/>
      <c r="OI49" s="1705"/>
      <c r="OJ49" s="1705"/>
      <c r="OK49" s="1705"/>
      <c r="OL49" s="1705"/>
      <c r="OM49" s="1705"/>
      <c r="ON49" s="1705"/>
      <c r="OO49" s="1705"/>
      <c r="OP49" s="1705"/>
      <c r="OQ49" s="101" t="s">
        <v>806</v>
      </c>
      <c r="OR49" s="83" t="str">
        <f>IFERROR(ROUND(VLOOKUP(OR38,'Existing Customer Variable Exp'!$B:$F,5,FALSE)/52,1),"Enter Drops &gt;")</f>
        <v>Enter Drops &gt;</v>
      </c>
      <c r="OS49" s="1705"/>
      <c r="OT49" s="1705"/>
      <c r="OU49" s="1705"/>
      <c r="OV49" s="1705"/>
      <c r="OW49" s="1705"/>
      <c r="OX49" s="1705"/>
      <c r="OY49" s="1705"/>
      <c r="OZ49" s="1705"/>
      <c r="PA49" s="1705"/>
      <c r="PB49" s="1705"/>
      <c r="PC49" s="1705"/>
      <c r="PD49" s="1705"/>
      <c r="PE49" s="1705"/>
      <c r="PF49" s="1705"/>
      <c r="PG49" s="1705"/>
      <c r="PH49" s="1705"/>
      <c r="PI49" s="1705"/>
      <c r="PJ49" s="1705"/>
      <c r="PK49" s="1705"/>
      <c r="PL49" s="1705"/>
      <c r="PM49" s="1705"/>
      <c r="PN49" s="101" t="s">
        <v>806</v>
      </c>
      <c r="PO49" s="83" t="str">
        <f>IFERROR(ROUND(VLOOKUP(PO38,'Existing Customer Variable Exp'!$B:$F,5,FALSE)/52,1),"Enter Drops &gt;")</f>
        <v>Enter Drops &gt;</v>
      </c>
      <c r="PP49" s="1705"/>
      <c r="PQ49" s="1705"/>
      <c r="PR49" s="1705"/>
      <c r="PS49" s="1705"/>
      <c r="PT49" s="1705"/>
      <c r="PU49" s="1705"/>
      <c r="PV49" s="1705"/>
      <c r="PW49" s="1705"/>
      <c r="PX49" s="1705"/>
      <c r="PY49" s="1705"/>
      <c r="PZ49" s="1705"/>
      <c r="QA49" s="1705"/>
      <c r="QB49" s="1705"/>
      <c r="QC49" s="1705"/>
      <c r="QD49" s="1705"/>
      <c r="QE49" s="1705"/>
      <c r="QF49" s="1705"/>
      <c r="QG49" s="1705"/>
      <c r="QH49" s="1705"/>
      <c r="QI49" s="1705"/>
      <c r="QJ49" s="1705"/>
      <c r="QK49" s="101" t="s">
        <v>806</v>
      </c>
      <c r="QL49" s="83" t="str">
        <f>IFERROR(ROUND(VLOOKUP(QL38,'Existing Customer Variable Exp'!$B:$F,5,FALSE)/52,1),"Enter Drops &gt;")</f>
        <v>Enter Drops &gt;</v>
      </c>
      <c r="QM49" s="1705"/>
      <c r="QN49" s="1705"/>
      <c r="QO49" s="1705"/>
      <c r="QP49" s="1705"/>
      <c r="QQ49" s="1705"/>
      <c r="QR49" s="1705"/>
      <c r="QS49" s="1705"/>
      <c r="QT49" s="1705"/>
      <c r="QU49" s="1705"/>
      <c r="QV49" s="1705"/>
      <c r="QW49" s="1705"/>
      <c r="QX49" s="1705"/>
      <c r="QY49" s="1705"/>
      <c r="QZ49" s="1705"/>
      <c r="RA49" s="1705"/>
      <c r="RB49" s="1705"/>
      <c r="RC49" s="1705"/>
      <c r="RD49" s="1705"/>
      <c r="RE49" s="1705"/>
      <c r="RF49" s="1705"/>
      <c r="RG49" s="1705"/>
      <c r="RH49" s="101" t="s">
        <v>806</v>
      </c>
      <c r="RI49" s="83" t="str">
        <f>IFERROR(ROUND(VLOOKUP(RI38,'Existing Customer Variable Exp'!$B:$F,5,FALSE)/52,1),"Enter Drops &gt;")</f>
        <v>Enter Drops &gt;</v>
      </c>
      <c r="RJ49" s="1705"/>
      <c r="RK49" s="1705"/>
      <c r="RL49" s="1705"/>
      <c r="RM49" s="1705"/>
      <c r="RN49" s="1705"/>
      <c r="RO49" s="1705"/>
      <c r="RP49" s="1705"/>
      <c r="RQ49" s="1705"/>
      <c r="RR49" s="1705"/>
      <c r="RS49" s="1705"/>
      <c r="RT49" s="1705"/>
      <c r="RU49" s="1705"/>
      <c r="RV49" s="1705"/>
      <c r="RW49" s="1705"/>
      <c r="RX49" s="1705"/>
      <c r="RY49" s="1705"/>
      <c r="RZ49" s="1705"/>
      <c r="SA49" s="1705"/>
      <c r="SB49" s="1705"/>
      <c r="SC49" s="1705"/>
      <c r="SD49" s="1705"/>
      <c r="SE49" s="101" t="s">
        <v>806</v>
      </c>
      <c r="SF49" s="83" t="str">
        <f>IFERROR(ROUND(VLOOKUP(SF38,'Existing Customer Variable Exp'!$B:$F,5,FALSE)/52,1),"Enter Drops &gt;")</f>
        <v>Enter Drops &gt;</v>
      </c>
      <c r="SG49" s="1705"/>
      <c r="SH49" s="1705"/>
      <c r="SI49" s="1705"/>
      <c r="SJ49" s="1705"/>
      <c r="SK49" s="1705"/>
      <c r="SL49" s="1705"/>
      <c r="SM49" s="1705"/>
      <c r="SN49" s="1705"/>
      <c r="SO49" s="1705"/>
      <c r="SP49" s="1705"/>
      <c r="SQ49" s="1705"/>
      <c r="SR49" s="1705"/>
      <c r="SS49" s="1705"/>
      <c r="ST49" s="1705"/>
      <c r="SU49" s="1705"/>
      <c r="SV49" s="1705"/>
      <c r="SW49" s="1705"/>
      <c r="SX49" s="1705"/>
      <c r="SY49" s="1705"/>
      <c r="SZ49" s="1705"/>
      <c r="TA49" s="1705"/>
      <c r="TB49" s="1705"/>
      <c r="TC49" s="1705"/>
      <c r="TD49" s="1705"/>
      <c r="TE49" s="1705"/>
      <c r="TF49" s="1705"/>
      <c r="TG49" s="1705"/>
      <c r="TH49" s="1705"/>
      <c r="TI49" s="1705"/>
      <c r="TJ49" s="1705"/>
      <c r="TK49" s="1705"/>
      <c r="TL49" s="1705"/>
      <c r="TM49" s="1705"/>
      <c r="TN49" s="1705"/>
      <c r="TO49" s="1705"/>
      <c r="TP49" s="1705"/>
      <c r="TQ49" s="1705"/>
      <c r="TR49" s="1705"/>
    </row>
    <row r="50" spans="17:538" x14ac:dyDescent="0.25">
      <c r="Q50" s="1500"/>
      <c r="R50" s="1501"/>
      <c r="S50" s="1501"/>
      <c r="T50" s="1501"/>
      <c r="U50" s="1501"/>
      <c r="V50" s="1501"/>
      <c r="W50" s="1501"/>
      <c r="X50" s="1501"/>
      <c r="Y50" s="1501"/>
      <c r="Z50" s="1514">
        <f t="shared" si="98"/>
        <v>2</v>
      </c>
      <c r="AA50" s="1515"/>
      <c r="AB50" s="1516">
        <f t="shared" si="99"/>
        <v>20</v>
      </c>
      <c r="AC50" s="1501"/>
      <c r="AD50" s="1501"/>
      <c r="AE50" s="1501"/>
      <c r="AF50" s="1501"/>
      <c r="AG50" s="1501"/>
      <c r="AH50" s="1501"/>
      <c r="AI50" s="1501"/>
      <c r="AJ50" s="1500"/>
      <c r="AK50" s="1500"/>
      <c r="AL50" s="1500"/>
      <c r="AM50" s="1500"/>
      <c r="AN50" s="1500"/>
      <c r="AO50" s="1500"/>
      <c r="AP50" s="1500"/>
      <c r="AQ50" s="1500"/>
      <c r="AR50" s="1500"/>
      <c r="AS50" s="1500"/>
      <c r="AT50" s="1500"/>
      <c r="AU50" s="1500"/>
      <c r="AV50" s="1500"/>
      <c r="AW50" s="1500"/>
      <c r="AX50" s="1500"/>
      <c r="AY50" s="1500"/>
      <c r="AZ50" s="1412"/>
      <c r="BA50" s="1412"/>
      <c r="BB50" s="1412"/>
      <c r="BC50" s="1412"/>
      <c r="BD50" s="1412"/>
      <c r="BE50" s="1412"/>
      <c r="BF50" s="1412"/>
      <c r="BG50" s="1705"/>
      <c r="BH50" s="1705"/>
      <c r="BI50" s="1705"/>
      <c r="BJ50" s="1705" t="s">
        <v>461</v>
      </c>
      <c r="BK50" s="1705">
        <f>IF(BK2="Enter Spend&gt;&gt;&gt;","Enter EB % &gt;",BK$7)</f>
        <v>0</v>
      </c>
      <c r="BL50" s="1705"/>
      <c r="BM50" s="1705"/>
      <c r="BN50" s="1705"/>
      <c r="BO50" s="1705"/>
      <c r="BP50" s="1705"/>
      <c r="BQ50" s="1705"/>
      <c r="BR50" s="1705"/>
      <c r="BS50" s="1705"/>
      <c r="BT50" s="1705"/>
      <c r="BU50" s="1705"/>
      <c r="BV50" s="1705"/>
      <c r="BW50" s="1705"/>
      <c r="BX50" s="1705"/>
      <c r="BY50" s="1705"/>
      <c r="BZ50" s="1705"/>
      <c r="CA50" s="1705"/>
      <c r="CB50" s="1705"/>
      <c r="CC50" s="1705"/>
      <c r="CD50" s="1705"/>
      <c r="CE50" s="1705"/>
      <c r="CF50" s="1705"/>
      <c r="CG50" s="101" t="s">
        <v>461</v>
      </c>
      <c r="CH50" s="127">
        <f>IF(CH2="Enter Spend&gt;&gt;&gt;","Enter EB % &gt;",CH$7)</f>
        <v>0</v>
      </c>
      <c r="CI50" s="1705"/>
      <c r="CJ50" s="1705"/>
      <c r="CK50" s="1705"/>
      <c r="CL50" s="1705"/>
      <c r="CM50" s="1705"/>
      <c r="CN50" s="1705"/>
      <c r="CO50" s="1705"/>
      <c r="CP50" s="1705"/>
      <c r="CQ50" s="1705"/>
      <c r="CR50" s="1705"/>
      <c r="CS50" s="1705"/>
      <c r="CT50" s="1705"/>
      <c r="CU50" s="1705"/>
      <c r="CV50" s="1705"/>
      <c r="CW50" s="1705"/>
      <c r="CX50" s="1705"/>
      <c r="CY50" s="1705"/>
      <c r="CZ50" s="1705"/>
      <c r="DA50" s="1705"/>
      <c r="DB50" s="1705"/>
      <c r="DC50" s="1705"/>
      <c r="DD50" s="101" t="s">
        <v>461</v>
      </c>
      <c r="DE50" s="127">
        <f>IF(DE2="Enter Spend&gt;&gt;&gt;","Enter EB % &gt;",DE$7)</f>
        <v>0</v>
      </c>
      <c r="DF50" s="1705"/>
      <c r="DG50" s="1705"/>
      <c r="DH50" s="1705"/>
      <c r="DI50" s="1705"/>
      <c r="DJ50" s="1705"/>
      <c r="DK50" s="1705"/>
      <c r="DL50" s="1705"/>
      <c r="DM50" s="1705"/>
      <c r="DN50" s="1705"/>
      <c r="DO50" s="1705"/>
      <c r="DP50" s="1705"/>
      <c r="DQ50" s="1705"/>
      <c r="DR50" s="1705"/>
      <c r="DS50" s="1705"/>
      <c r="DT50" s="1705"/>
      <c r="DU50" s="1705"/>
      <c r="DV50" s="1705"/>
      <c r="DW50" s="1705"/>
      <c r="DX50" s="1705"/>
      <c r="DY50" s="1705"/>
      <c r="DZ50" s="1705"/>
      <c r="EA50" s="101" t="s">
        <v>461</v>
      </c>
      <c r="EB50" s="127">
        <f>IF(EB2="Enter Spend&gt;&gt;&gt;","Enter EB % &gt;",EB$7)</f>
        <v>0</v>
      </c>
      <c r="EC50" s="1705"/>
      <c r="ED50" s="1705"/>
      <c r="EE50" s="1705"/>
      <c r="EF50" s="1705"/>
      <c r="EG50" s="1705"/>
      <c r="EH50" s="1705"/>
      <c r="EI50" s="1705"/>
      <c r="EJ50" s="1705"/>
      <c r="EK50" s="1705"/>
      <c r="EL50" s="1705"/>
      <c r="EM50" s="1705"/>
      <c r="EN50" s="1705"/>
      <c r="EO50" s="1705"/>
      <c r="EP50" s="1705"/>
      <c r="EQ50" s="1705"/>
      <c r="ER50" s="1705"/>
      <c r="ES50" s="1705"/>
      <c r="ET50" s="1705"/>
      <c r="EU50" s="1705"/>
      <c r="EV50" s="1705"/>
      <c r="EW50" s="1705"/>
      <c r="EX50" s="101" t="s">
        <v>461</v>
      </c>
      <c r="EY50" s="127">
        <f>IF(EY2="Enter Spend&gt;&gt;&gt;","Enter EB % &gt;",EY$7)</f>
        <v>0</v>
      </c>
      <c r="EZ50" s="1705"/>
      <c r="FA50" s="1705"/>
      <c r="FB50" s="1705"/>
      <c r="FC50" s="1705"/>
      <c r="FD50" s="1705"/>
      <c r="FE50" s="1705"/>
      <c r="FF50" s="1705"/>
      <c r="FG50" s="1705"/>
      <c r="FH50" s="1705"/>
      <c r="FI50" s="1705"/>
      <c r="FJ50" s="1705"/>
      <c r="FK50" s="1705"/>
      <c r="FL50" s="1705"/>
      <c r="FM50" s="1705"/>
      <c r="FN50" s="1705"/>
      <c r="FO50" s="1705"/>
      <c r="FP50" s="1705"/>
      <c r="FQ50" s="1705"/>
      <c r="FR50" s="1705"/>
      <c r="FS50" s="1705"/>
      <c r="FT50" s="1705"/>
      <c r="FU50" s="101" t="s">
        <v>461</v>
      </c>
      <c r="FV50" s="127">
        <f>IF(FV2="Enter Spend&gt;&gt;&gt;","Enter EB % &gt;",FV$7)</f>
        <v>0</v>
      </c>
      <c r="FW50" s="1705"/>
      <c r="FX50" s="1705"/>
      <c r="FY50" s="1705"/>
      <c r="FZ50" s="1705"/>
      <c r="GA50" s="1705"/>
      <c r="GB50" s="1705"/>
      <c r="GC50" s="1705"/>
      <c r="GD50" s="1705"/>
      <c r="GE50" s="1705"/>
      <c r="GF50" s="1705"/>
      <c r="GG50" s="1705"/>
      <c r="GH50" s="1705"/>
      <c r="GI50" s="1705"/>
      <c r="GJ50" s="1705"/>
      <c r="GK50" s="1705"/>
      <c r="GL50" s="1705"/>
      <c r="GM50" s="1705"/>
      <c r="GN50" s="1705"/>
      <c r="GO50" s="1705"/>
      <c r="GP50" s="1705"/>
      <c r="GQ50" s="1705"/>
      <c r="GR50" s="101" t="s">
        <v>461</v>
      </c>
      <c r="GS50" s="127">
        <f>IF(GS2="Enter Spend&gt;&gt;&gt;","Enter EB % &gt;",GS$7)</f>
        <v>0</v>
      </c>
      <c r="GT50" s="1705"/>
      <c r="GU50" s="1705"/>
      <c r="GV50" s="1705"/>
      <c r="GW50" s="1705"/>
      <c r="GX50" s="1705"/>
      <c r="GY50" s="1705"/>
      <c r="GZ50" s="1705"/>
      <c r="HA50" s="1705"/>
      <c r="HB50" s="1705"/>
      <c r="HC50" s="1705"/>
      <c r="HD50" s="1705"/>
      <c r="HE50" s="1705"/>
      <c r="HF50" s="1705"/>
      <c r="HG50" s="1705"/>
      <c r="HH50" s="1705"/>
      <c r="HI50" s="1705"/>
      <c r="HJ50" s="1705"/>
      <c r="HK50" s="1705"/>
      <c r="HL50" s="1705"/>
      <c r="HM50" s="1705"/>
      <c r="HN50" s="1705"/>
      <c r="HO50" s="101" t="s">
        <v>461</v>
      </c>
      <c r="HP50" s="127">
        <f>IF(HP2="Enter Spend&gt;&gt;&gt;","Enter EB % &gt;",HP$7)</f>
        <v>0</v>
      </c>
      <c r="HQ50" s="1705"/>
      <c r="HR50" s="1705"/>
      <c r="HS50" s="1705"/>
      <c r="HT50" s="1705"/>
      <c r="HU50" s="1705"/>
      <c r="HV50" s="1705"/>
      <c r="HW50" s="1705"/>
      <c r="HX50" s="1705"/>
      <c r="HY50" s="1705"/>
      <c r="HZ50" s="1705"/>
      <c r="IA50" s="1705"/>
      <c r="IB50" s="1705"/>
      <c r="IC50" s="1705"/>
      <c r="ID50" s="1705"/>
      <c r="IE50" s="1705"/>
      <c r="IF50" s="1705"/>
      <c r="IG50" s="1705"/>
      <c r="IH50" s="1705"/>
      <c r="II50" s="1705"/>
      <c r="IJ50" s="1705"/>
      <c r="IK50" s="1705"/>
      <c r="IL50" s="101" t="s">
        <v>461</v>
      </c>
      <c r="IM50" s="127">
        <f>IF(IM2="Enter Spend&gt;&gt;&gt;","Enter EB % &gt;",IM$7)</f>
        <v>0</v>
      </c>
      <c r="IN50" s="1705"/>
      <c r="IO50" s="1705"/>
      <c r="IP50" s="1705"/>
      <c r="IQ50" s="1705"/>
      <c r="IR50" s="1705"/>
      <c r="IS50" s="1705"/>
      <c r="IT50" s="1705"/>
      <c r="IU50" s="1705"/>
      <c r="IV50" s="1705"/>
      <c r="IW50" s="1705"/>
      <c r="IX50" s="1705"/>
      <c r="IY50" s="1705"/>
      <c r="IZ50" s="1705"/>
      <c r="JA50" s="1705"/>
      <c r="JB50" s="1705"/>
      <c r="JC50" s="1705"/>
      <c r="JD50" s="1705"/>
      <c r="JE50" s="1705"/>
      <c r="JF50" s="1705"/>
      <c r="JG50" s="1705"/>
      <c r="JH50" s="1705"/>
      <c r="JI50" s="101" t="s">
        <v>461</v>
      </c>
      <c r="JJ50" s="127">
        <f>IF(JJ2="Enter Spend&gt;&gt;&gt;","Enter EB % &gt;",JJ$7)</f>
        <v>0</v>
      </c>
      <c r="JK50" s="1705"/>
      <c r="JL50" s="1705"/>
      <c r="JM50" s="1705"/>
      <c r="JN50" s="1705"/>
      <c r="JO50" s="1705"/>
      <c r="JP50" s="1705"/>
      <c r="JQ50" s="1705"/>
      <c r="JR50" s="1705"/>
      <c r="JS50" s="1705"/>
      <c r="JT50" s="1705"/>
      <c r="JU50" s="1705"/>
      <c r="JV50" s="1705"/>
      <c r="JW50" s="1705"/>
      <c r="JX50" s="1705"/>
      <c r="JY50" s="1705"/>
      <c r="JZ50" s="1705"/>
      <c r="KA50" s="1705"/>
      <c r="KB50" s="1705"/>
      <c r="KC50" s="1705"/>
      <c r="KD50" s="1705"/>
      <c r="KE50" s="1705"/>
      <c r="KF50" s="101" t="s">
        <v>461</v>
      </c>
      <c r="KG50" s="127">
        <f>IF(KG2="Enter Spend&gt;&gt;&gt;","Enter EB % &gt;",KG$7)</f>
        <v>0</v>
      </c>
      <c r="KH50" s="1705"/>
      <c r="KI50" s="1705"/>
      <c r="KJ50" s="1705"/>
      <c r="KK50" s="1705"/>
      <c r="KL50" s="1705"/>
      <c r="KM50" s="1705"/>
      <c r="KN50" s="1705"/>
      <c r="KO50" s="1705"/>
      <c r="KP50" s="1705"/>
      <c r="KQ50" s="1705"/>
      <c r="KR50" s="1705"/>
      <c r="KS50" s="1705"/>
      <c r="KT50" s="1705"/>
      <c r="KU50" s="1705"/>
      <c r="KV50" s="1705"/>
      <c r="KW50" s="1705"/>
      <c r="KX50" s="1705"/>
      <c r="KY50" s="1705"/>
      <c r="KZ50" s="1705"/>
      <c r="LA50" s="1705"/>
      <c r="LB50" s="1705"/>
      <c r="LC50" s="101" t="s">
        <v>461</v>
      </c>
      <c r="LD50" s="127">
        <f>IF(LD2="Enter Spend&gt;&gt;&gt;","Enter EB % &gt;",LD$7)</f>
        <v>0</v>
      </c>
      <c r="LE50" s="1705"/>
      <c r="LF50" s="1705"/>
      <c r="LG50" s="1705"/>
      <c r="LH50" s="1705"/>
      <c r="LI50" s="1705"/>
      <c r="LJ50" s="1705"/>
      <c r="LK50" s="1705"/>
      <c r="LL50" s="1705"/>
      <c r="LM50" s="1705"/>
      <c r="LN50" s="1705"/>
      <c r="LO50" s="1705"/>
      <c r="LP50" s="1705"/>
      <c r="LQ50" s="1705"/>
      <c r="LR50" s="1705"/>
      <c r="LS50" s="1705"/>
      <c r="LT50" s="1705"/>
      <c r="LU50" s="1705"/>
      <c r="LV50" s="1705"/>
      <c r="LW50" s="1705"/>
      <c r="LX50" s="1705"/>
      <c r="LY50" s="1705"/>
      <c r="LZ50" s="101" t="s">
        <v>461</v>
      </c>
      <c r="MA50" s="127">
        <f>IF(MA2="Enter Spend&gt;&gt;&gt;","Enter EB % &gt;",MA$7)</f>
        <v>0</v>
      </c>
      <c r="MB50" s="1705"/>
      <c r="MC50" s="1705"/>
      <c r="MD50" s="1705"/>
      <c r="ME50" s="1705"/>
      <c r="MF50" s="1705"/>
      <c r="MG50" s="1705"/>
      <c r="MH50" s="1705"/>
      <c r="MI50" s="1705"/>
      <c r="MJ50" s="1705"/>
      <c r="MK50" s="1705"/>
      <c r="ML50" s="1705"/>
      <c r="MM50" s="1705"/>
      <c r="MN50" s="1705"/>
      <c r="MO50" s="1705"/>
      <c r="MP50" s="1705"/>
      <c r="MQ50" s="1705"/>
      <c r="MR50" s="1705"/>
      <c r="MS50" s="1705"/>
      <c r="MT50" s="1705"/>
      <c r="MU50" s="1705"/>
      <c r="MV50" s="1705"/>
      <c r="MW50" s="101" t="s">
        <v>461</v>
      </c>
      <c r="MX50" s="127">
        <f>IF(MX2="Enter Spend&gt;&gt;&gt;","Enter EB % &gt;",MX$7)</f>
        <v>0</v>
      </c>
      <c r="MY50" s="1705"/>
      <c r="MZ50" s="1705"/>
      <c r="NA50" s="1705"/>
      <c r="NB50" s="1705"/>
      <c r="NC50" s="1705"/>
      <c r="ND50" s="1705"/>
      <c r="NE50" s="1705"/>
      <c r="NF50" s="1705"/>
      <c r="NG50" s="1705"/>
      <c r="NH50" s="1705"/>
      <c r="NI50" s="1705"/>
      <c r="NJ50" s="1705"/>
      <c r="NK50" s="1705"/>
      <c r="NL50" s="1705"/>
      <c r="NM50" s="1705"/>
      <c r="NN50" s="1705"/>
      <c r="NO50" s="1705"/>
      <c r="NP50" s="1705"/>
      <c r="NQ50" s="1705"/>
      <c r="NR50" s="1705"/>
      <c r="NS50" s="1705"/>
      <c r="NT50" s="101" t="s">
        <v>461</v>
      </c>
      <c r="NU50" s="127">
        <f>IF(NU2="Enter Spend&gt;&gt;&gt;","Enter EB % &gt;",NU$7)</f>
        <v>0</v>
      </c>
      <c r="NV50" s="1705"/>
      <c r="NW50" s="1705"/>
      <c r="NX50" s="1705"/>
      <c r="NY50" s="1705"/>
      <c r="NZ50" s="1705"/>
      <c r="OA50" s="1705"/>
      <c r="OB50" s="1705"/>
      <c r="OC50" s="1705"/>
      <c r="OD50" s="1705"/>
      <c r="OE50" s="1705"/>
      <c r="OF50" s="1705"/>
      <c r="OG50" s="1705"/>
      <c r="OH50" s="1705"/>
      <c r="OI50" s="1705"/>
      <c r="OJ50" s="1705"/>
      <c r="OK50" s="1705"/>
      <c r="OL50" s="1705"/>
      <c r="OM50" s="1705"/>
      <c r="ON50" s="1705"/>
      <c r="OO50" s="1705"/>
      <c r="OP50" s="1705"/>
      <c r="OQ50" s="101" t="s">
        <v>461</v>
      </c>
      <c r="OR50" s="127">
        <f>IF(OR2="Enter Spend&gt;&gt;&gt;","Enter EB % &gt;",OR$7)</f>
        <v>0</v>
      </c>
      <c r="OS50" s="1705"/>
      <c r="OT50" s="1705"/>
      <c r="OU50" s="1705"/>
      <c r="OV50" s="1705"/>
      <c r="OW50" s="1705"/>
      <c r="OX50" s="1705"/>
      <c r="OY50" s="1705"/>
      <c r="OZ50" s="1705"/>
      <c r="PA50" s="1705"/>
      <c r="PB50" s="1705"/>
      <c r="PC50" s="1705"/>
      <c r="PD50" s="1705"/>
      <c r="PE50" s="1705"/>
      <c r="PF50" s="1705"/>
      <c r="PG50" s="1705"/>
      <c r="PH50" s="1705"/>
      <c r="PI50" s="1705"/>
      <c r="PJ50" s="1705"/>
      <c r="PK50" s="1705"/>
      <c r="PL50" s="1705"/>
      <c r="PM50" s="1705"/>
      <c r="PN50" s="101" t="s">
        <v>461</v>
      </c>
      <c r="PO50" s="127">
        <f>IF(PO2="Enter Spend&gt;&gt;&gt;","Enter EB % &gt;",PO$7)</f>
        <v>0</v>
      </c>
      <c r="PP50" s="1705"/>
      <c r="PQ50" s="1705"/>
      <c r="PR50" s="1705"/>
      <c r="PS50" s="1705"/>
      <c r="PT50" s="1705"/>
      <c r="PU50" s="1705"/>
      <c r="PV50" s="1705"/>
      <c r="PW50" s="1705"/>
      <c r="PX50" s="1705"/>
      <c r="PY50" s="1705"/>
      <c r="PZ50" s="1705"/>
      <c r="QA50" s="1705"/>
      <c r="QB50" s="1705"/>
      <c r="QC50" s="1705"/>
      <c r="QD50" s="1705"/>
      <c r="QE50" s="1705"/>
      <c r="QF50" s="1705"/>
      <c r="QG50" s="1705"/>
      <c r="QH50" s="1705"/>
      <c r="QI50" s="1705"/>
      <c r="QJ50" s="1705"/>
      <c r="QK50" s="101" t="s">
        <v>461</v>
      </c>
      <c r="QL50" s="127">
        <f>IF(QL2="Enter Spend&gt;&gt;&gt;","Enter EB % &gt;",QL$7)</f>
        <v>0</v>
      </c>
      <c r="QM50" s="1705"/>
      <c r="QN50" s="1705"/>
      <c r="QO50" s="1705"/>
      <c r="QP50" s="1705"/>
      <c r="QQ50" s="1705"/>
      <c r="QR50" s="1705"/>
      <c r="QS50" s="1705"/>
      <c r="QT50" s="1705"/>
      <c r="QU50" s="1705"/>
      <c r="QV50" s="1705"/>
      <c r="QW50" s="1705"/>
      <c r="QX50" s="1705"/>
      <c r="QY50" s="1705"/>
      <c r="QZ50" s="1705"/>
      <c r="RA50" s="1705"/>
      <c r="RB50" s="1705"/>
      <c r="RC50" s="1705"/>
      <c r="RD50" s="1705"/>
      <c r="RE50" s="1705"/>
      <c r="RF50" s="1705"/>
      <c r="RG50" s="1705"/>
      <c r="RH50" s="101" t="s">
        <v>461</v>
      </c>
      <c r="RI50" s="127">
        <f>IF(RI2="Enter Spend&gt;&gt;&gt;","Enter EB % &gt;",RI$7)</f>
        <v>0</v>
      </c>
      <c r="RJ50" s="1705"/>
      <c r="RK50" s="1705"/>
      <c r="RL50" s="1705"/>
      <c r="RM50" s="1705"/>
      <c r="RN50" s="1705"/>
      <c r="RO50" s="1705"/>
      <c r="RP50" s="1705"/>
      <c r="RQ50" s="1705"/>
      <c r="RR50" s="1705"/>
      <c r="RS50" s="1705"/>
      <c r="RT50" s="1705"/>
      <c r="RU50" s="1705"/>
      <c r="RV50" s="1705"/>
      <c r="RW50" s="1705"/>
      <c r="RX50" s="1705"/>
      <c r="RY50" s="1705"/>
      <c r="RZ50" s="1705"/>
      <c r="SA50" s="1705"/>
      <c r="SB50" s="1705"/>
      <c r="SC50" s="1705"/>
      <c r="SD50" s="1705"/>
      <c r="SE50" s="101" t="s">
        <v>461</v>
      </c>
      <c r="SF50" s="127">
        <f>IF(SF2="Enter Spend&gt;&gt;&gt;","Enter EB % &gt;",SF$7)</f>
        <v>0</v>
      </c>
      <c r="SG50" s="1705"/>
      <c r="SH50" s="1705"/>
      <c r="SI50" s="1705"/>
      <c r="SJ50" s="1705"/>
      <c r="SK50" s="1705"/>
      <c r="SL50" s="1705"/>
      <c r="SM50" s="1705"/>
      <c r="SN50" s="1705"/>
      <c r="SO50" s="1705"/>
      <c r="SP50" s="1705"/>
      <c r="SQ50" s="1705"/>
      <c r="SR50" s="1705"/>
      <c r="SS50" s="1705"/>
      <c r="ST50" s="1705"/>
      <c r="SU50" s="1705"/>
      <c r="SV50" s="1705"/>
      <c r="SW50" s="1705"/>
      <c r="SX50" s="1705"/>
      <c r="SY50" s="1705"/>
      <c r="SZ50" s="1705"/>
      <c r="TA50" s="1705"/>
      <c r="TB50" s="1705"/>
      <c r="TC50" s="1705"/>
      <c r="TD50" s="1705"/>
      <c r="TE50" s="1705"/>
      <c r="TF50" s="1705"/>
      <c r="TG50" s="1705"/>
      <c r="TH50" s="1705"/>
      <c r="TI50" s="1705"/>
      <c r="TJ50" s="1705"/>
      <c r="TK50" s="1705"/>
      <c r="TL50" s="1705"/>
      <c r="TM50" s="1705"/>
      <c r="TN50" s="1705"/>
      <c r="TO50" s="1705"/>
      <c r="TP50" s="1705"/>
      <c r="TQ50" s="1705"/>
      <c r="TR50" s="1705"/>
    </row>
    <row r="51" spans="17:538" x14ac:dyDescent="0.25">
      <c r="Q51" s="1500"/>
      <c r="R51" s="1501"/>
      <c r="S51" s="1501"/>
      <c r="T51" s="1501"/>
      <c r="U51" s="1501"/>
      <c r="V51" s="1501"/>
      <c r="W51" s="1501"/>
      <c r="X51" s="1501"/>
      <c r="Y51" s="1501"/>
      <c r="Z51" s="1514">
        <f t="shared" si="98"/>
        <v>2</v>
      </c>
      <c r="AA51" s="1515"/>
      <c r="AB51" s="1516">
        <f t="shared" si="99"/>
        <v>20</v>
      </c>
      <c r="AC51" s="1501"/>
      <c r="AD51" s="1501"/>
      <c r="AE51" s="1501"/>
      <c r="AF51" s="1501"/>
      <c r="AG51" s="1501"/>
      <c r="AH51" s="1501"/>
      <c r="AI51" s="1501"/>
      <c r="AJ51" s="1500"/>
      <c r="AK51" s="1500"/>
      <c r="AL51" s="1500"/>
      <c r="AM51" s="1500"/>
      <c r="AN51" s="1500"/>
      <c r="AO51" s="1500"/>
      <c r="AP51" s="1500"/>
      <c r="AQ51" s="1500"/>
      <c r="AR51" s="1500"/>
      <c r="AS51" s="1500"/>
      <c r="AT51" s="1500"/>
      <c r="AU51" s="1500"/>
      <c r="AV51" s="1500"/>
      <c r="AW51" s="1500"/>
      <c r="AX51" s="1500"/>
      <c r="AY51" s="1500"/>
      <c r="AZ51" s="1412"/>
      <c r="BA51" s="1412"/>
      <c r="BB51" s="1412"/>
      <c r="BC51" s="1412"/>
      <c r="BD51" s="1412"/>
      <c r="BE51" s="1412"/>
      <c r="BF51" s="1412"/>
      <c r="BG51" s="1705"/>
      <c r="BH51" s="1705"/>
      <c r="BI51" s="1705"/>
      <c r="BJ51" s="1705" t="s">
        <v>921</v>
      </c>
      <c r="BK51" s="1705">
        <f>SUMIFS('Existing Customers'!$N:$N,'Existing Customers'!$A:$A,'Multi-Customer'!BK$38)</f>
        <v>0</v>
      </c>
      <c r="BL51" s="1705"/>
      <c r="BM51" s="1705"/>
      <c r="BN51" s="1705"/>
      <c r="BO51" s="1705"/>
      <c r="BP51" s="1705"/>
      <c r="BQ51" s="1705"/>
      <c r="BR51" s="1705"/>
      <c r="BS51" s="1705"/>
      <c r="BT51" s="1705"/>
      <c r="BU51" s="1705"/>
      <c r="BV51" s="1705"/>
      <c r="BW51" s="1705"/>
      <c r="BX51" s="1705"/>
      <c r="BY51" s="1705"/>
      <c r="BZ51" s="1705"/>
      <c r="CA51" s="1705"/>
      <c r="CB51" s="1705"/>
      <c r="CC51" s="1705"/>
      <c r="CD51" s="1705"/>
      <c r="CE51" s="1705"/>
      <c r="CF51" s="1705"/>
      <c r="CG51" s="101" t="s">
        <v>915</v>
      </c>
      <c r="CH51" s="105">
        <f>SUMIFS('Existing Customers'!$N:$N,'Existing Customers'!$A:$A,'Multi-Customer'!CH$38)</f>
        <v>0</v>
      </c>
      <c r="CI51" s="1705"/>
      <c r="CJ51" s="1705"/>
      <c r="CK51" s="1705"/>
      <c r="CL51" s="1705"/>
      <c r="CM51" s="1705"/>
      <c r="CN51" s="1705"/>
      <c r="CO51" s="1705"/>
      <c r="CP51" s="1705"/>
      <c r="CQ51" s="1705"/>
      <c r="CR51" s="1705"/>
      <c r="CS51" s="1705"/>
      <c r="CT51" s="1705"/>
      <c r="CU51" s="1705"/>
      <c r="CV51" s="1705"/>
      <c r="CW51" s="1705"/>
      <c r="CX51" s="1705"/>
      <c r="CY51" s="1705"/>
      <c r="CZ51" s="1705"/>
      <c r="DA51" s="1705"/>
      <c r="DB51" s="1705"/>
      <c r="DC51" s="1705"/>
      <c r="DD51" s="101" t="s">
        <v>915</v>
      </c>
      <c r="DE51" s="105">
        <f>SUMIFS('Existing Customers'!$N:$N,'Existing Customers'!$A:$A,'Multi-Customer'!DE$38)</f>
        <v>0</v>
      </c>
      <c r="DF51" s="1705"/>
      <c r="DG51" s="1705"/>
      <c r="DH51" s="1705"/>
      <c r="DI51" s="1705"/>
      <c r="DJ51" s="1705"/>
      <c r="DK51" s="1705"/>
      <c r="DL51" s="1705"/>
      <c r="DM51" s="1705"/>
      <c r="DN51" s="1705"/>
      <c r="DO51" s="1705"/>
      <c r="DP51" s="1705"/>
      <c r="DQ51" s="1705"/>
      <c r="DR51" s="1705"/>
      <c r="DS51" s="1705"/>
      <c r="DT51" s="1705"/>
      <c r="DU51" s="1705"/>
      <c r="DV51" s="1705"/>
      <c r="DW51" s="1705"/>
      <c r="DX51" s="1705"/>
      <c r="DY51" s="1705"/>
      <c r="DZ51" s="1705"/>
      <c r="EA51" s="101" t="s">
        <v>915</v>
      </c>
      <c r="EB51" s="105">
        <f>SUMIFS('Existing Customers'!$N:$N,'Existing Customers'!$A:$A,'Multi-Customer'!EB$38)</f>
        <v>0</v>
      </c>
      <c r="EC51" s="1705"/>
      <c r="ED51" s="1705"/>
      <c r="EE51" s="1705"/>
      <c r="EF51" s="1705"/>
      <c r="EG51" s="1705"/>
      <c r="EH51" s="1705"/>
      <c r="EI51" s="1705"/>
      <c r="EJ51" s="1705"/>
      <c r="EK51" s="1705"/>
      <c r="EL51" s="1705"/>
      <c r="EM51" s="1705"/>
      <c r="EN51" s="1705"/>
      <c r="EO51" s="1705"/>
      <c r="EP51" s="1705"/>
      <c r="EQ51" s="1705"/>
      <c r="ER51" s="1705"/>
      <c r="ES51" s="1705"/>
      <c r="ET51" s="1705"/>
      <c r="EU51" s="1705"/>
      <c r="EV51" s="1705"/>
      <c r="EW51" s="1705"/>
      <c r="EX51" s="101" t="s">
        <v>915</v>
      </c>
      <c r="EY51" s="105">
        <f>SUMIFS('Existing Customers'!$N:$N,'Existing Customers'!$A:$A,'Multi-Customer'!EY$38)</f>
        <v>0</v>
      </c>
      <c r="EZ51" s="1705"/>
      <c r="FA51" s="1705"/>
      <c r="FB51" s="1705"/>
      <c r="FC51" s="1705"/>
      <c r="FD51" s="1705"/>
      <c r="FE51" s="1705"/>
      <c r="FF51" s="1705"/>
      <c r="FG51" s="1705"/>
      <c r="FH51" s="1705"/>
      <c r="FI51" s="1705"/>
      <c r="FJ51" s="1705"/>
      <c r="FK51" s="1705"/>
      <c r="FL51" s="1705"/>
      <c r="FM51" s="1705"/>
      <c r="FN51" s="1705"/>
      <c r="FO51" s="1705"/>
      <c r="FP51" s="1705"/>
      <c r="FQ51" s="1705"/>
      <c r="FR51" s="1705"/>
      <c r="FS51" s="1705"/>
      <c r="FT51" s="1705"/>
      <c r="FU51" s="101" t="s">
        <v>915</v>
      </c>
      <c r="FV51" s="105">
        <f>SUMIFS('Existing Customers'!$N:$N,'Existing Customers'!$A:$A,'Multi-Customer'!FV$38)</f>
        <v>0</v>
      </c>
      <c r="FW51" s="1705"/>
      <c r="FX51" s="1705"/>
      <c r="FY51" s="1705"/>
      <c r="FZ51" s="1705"/>
      <c r="GA51" s="1705"/>
      <c r="GB51" s="1705"/>
      <c r="GC51" s="1705"/>
      <c r="GD51" s="1705"/>
      <c r="GE51" s="1705"/>
      <c r="GF51" s="1705"/>
      <c r="GG51" s="1705"/>
      <c r="GH51" s="1705"/>
      <c r="GI51" s="1705"/>
      <c r="GJ51" s="1705"/>
      <c r="GK51" s="1705"/>
      <c r="GL51" s="1705"/>
      <c r="GM51" s="1705"/>
      <c r="GN51" s="1705"/>
      <c r="GO51" s="1705"/>
      <c r="GP51" s="1705"/>
      <c r="GQ51" s="1705"/>
      <c r="GR51" s="101" t="s">
        <v>915</v>
      </c>
      <c r="GS51" s="105">
        <f>SUMIFS('Existing Customers'!$N:$N,'Existing Customers'!$A:$A,'Multi-Customer'!GS$38)</f>
        <v>0</v>
      </c>
      <c r="GT51" s="1705"/>
      <c r="GU51" s="1705"/>
      <c r="GV51" s="1705"/>
      <c r="GW51" s="1705"/>
      <c r="GX51" s="1705"/>
      <c r="GY51" s="1705"/>
      <c r="GZ51" s="1705"/>
      <c r="HA51" s="1705"/>
      <c r="HB51" s="1705"/>
      <c r="HC51" s="1705"/>
      <c r="HD51" s="1705"/>
      <c r="HE51" s="1705"/>
      <c r="HF51" s="1705"/>
      <c r="HG51" s="1705"/>
      <c r="HH51" s="1705"/>
      <c r="HI51" s="1705"/>
      <c r="HJ51" s="1705"/>
      <c r="HK51" s="1705"/>
      <c r="HL51" s="1705"/>
      <c r="HM51" s="1705"/>
      <c r="HN51" s="1705"/>
      <c r="HO51" s="101" t="s">
        <v>915</v>
      </c>
      <c r="HP51" s="105">
        <f>SUMIFS('Existing Customers'!$N:$N,'Existing Customers'!$A:$A,'Multi-Customer'!HP$38)</f>
        <v>0</v>
      </c>
      <c r="HQ51" s="1705"/>
      <c r="HR51" s="1705"/>
      <c r="HS51" s="1705"/>
      <c r="HT51" s="1705"/>
      <c r="HU51" s="1705"/>
      <c r="HV51" s="1705"/>
      <c r="HW51" s="1705"/>
      <c r="HX51" s="1705"/>
      <c r="HY51" s="1705"/>
      <c r="HZ51" s="1705"/>
      <c r="IA51" s="1705"/>
      <c r="IB51" s="1705"/>
      <c r="IC51" s="1705"/>
      <c r="ID51" s="1705"/>
      <c r="IE51" s="1705"/>
      <c r="IF51" s="1705"/>
      <c r="IG51" s="1705"/>
      <c r="IH51" s="1705"/>
      <c r="II51" s="1705"/>
      <c r="IJ51" s="1705"/>
      <c r="IK51" s="1705"/>
      <c r="IL51" s="101" t="s">
        <v>915</v>
      </c>
      <c r="IM51" s="105">
        <f>SUMIFS('Existing Customers'!$N:$N,'Existing Customers'!$A:$A,'Multi-Customer'!IM$38)</f>
        <v>0</v>
      </c>
      <c r="IN51" s="1705"/>
      <c r="IO51" s="1705"/>
      <c r="IP51" s="1705"/>
      <c r="IQ51" s="1705"/>
      <c r="IR51" s="1705"/>
      <c r="IS51" s="1705"/>
      <c r="IT51" s="1705"/>
      <c r="IU51" s="1705"/>
      <c r="IV51" s="1705"/>
      <c r="IW51" s="1705"/>
      <c r="IX51" s="1705"/>
      <c r="IY51" s="1705"/>
      <c r="IZ51" s="1705"/>
      <c r="JA51" s="1705"/>
      <c r="JB51" s="1705"/>
      <c r="JC51" s="1705"/>
      <c r="JD51" s="1705"/>
      <c r="JE51" s="1705"/>
      <c r="JF51" s="1705"/>
      <c r="JG51" s="1705"/>
      <c r="JH51" s="1705"/>
      <c r="JI51" s="101" t="s">
        <v>915</v>
      </c>
      <c r="JJ51" s="105">
        <f>SUMIFS('Existing Customers'!$N:$N,'Existing Customers'!$A:$A,'Multi-Customer'!JJ$38)</f>
        <v>0</v>
      </c>
      <c r="JK51" s="1705"/>
      <c r="JL51" s="1705"/>
      <c r="JM51" s="1705"/>
      <c r="JN51" s="1705"/>
      <c r="JO51" s="1705"/>
      <c r="JP51" s="1705"/>
      <c r="JQ51" s="1705"/>
      <c r="JR51" s="1705"/>
      <c r="JS51" s="1705"/>
      <c r="JT51" s="1705"/>
      <c r="JU51" s="1705"/>
      <c r="JV51" s="1705"/>
      <c r="JW51" s="1705"/>
      <c r="JX51" s="1705"/>
      <c r="JY51" s="1705"/>
      <c r="JZ51" s="1705"/>
      <c r="KA51" s="1705"/>
      <c r="KB51" s="1705"/>
      <c r="KC51" s="1705"/>
      <c r="KD51" s="1705"/>
      <c r="KE51" s="1705"/>
      <c r="KF51" s="101" t="s">
        <v>915</v>
      </c>
      <c r="KG51" s="105">
        <f>SUMIFS('Existing Customers'!$N:$N,'Existing Customers'!$A:$A,'Multi-Customer'!KG$38)</f>
        <v>0</v>
      </c>
      <c r="KH51" s="1705"/>
      <c r="KI51" s="1705"/>
      <c r="KJ51" s="1705"/>
      <c r="KK51" s="1705"/>
      <c r="KL51" s="1705"/>
      <c r="KM51" s="1705"/>
      <c r="KN51" s="1705"/>
      <c r="KO51" s="1705"/>
      <c r="KP51" s="1705"/>
      <c r="KQ51" s="1705"/>
      <c r="KR51" s="1705"/>
      <c r="KS51" s="1705"/>
      <c r="KT51" s="1705"/>
      <c r="KU51" s="1705"/>
      <c r="KV51" s="1705"/>
      <c r="KW51" s="1705"/>
      <c r="KX51" s="1705"/>
      <c r="KY51" s="1705"/>
      <c r="KZ51" s="1705"/>
      <c r="LA51" s="1705"/>
      <c r="LB51" s="1705"/>
      <c r="LC51" s="101" t="s">
        <v>915</v>
      </c>
      <c r="LD51" s="105">
        <f>SUMIFS('Existing Customers'!$N:$N,'Existing Customers'!$A:$A,'Multi-Customer'!LD$38)</f>
        <v>0</v>
      </c>
      <c r="LE51" s="1705"/>
      <c r="LF51" s="1705"/>
      <c r="LG51" s="1705"/>
      <c r="LH51" s="1705"/>
      <c r="LI51" s="1705"/>
      <c r="LJ51" s="1705"/>
      <c r="LK51" s="1705"/>
      <c r="LL51" s="1705"/>
      <c r="LM51" s="1705"/>
      <c r="LN51" s="1705"/>
      <c r="LO51" s="1705"/>
      <c r="LP51" s="1705"/>
      <c r="LQ51" s="1705"/>
      <c r="LR51" s="1705"/>
      <c r="LS51" s="1705"/>
      <c r="LT51" s="1705"/>
      <c r="LU51" s="1705"/>
      <c r="LV51" s="1705"/>
      <c r="LW51" s="1705"/>
      <c r="LX51" s="1705"/>
      <c r="LY51" s="1705"/>
      <c r="LZ51" s="101" t="s">
        <v>915</v>
      </c>
      <c r="MA51" s="105">
        <f>SUMIFS('Existing Customers'!$N:$N,'Existing Customers'!$A:$A,'Multi-Customer'!MA$38)</f>
        <v>0</v>
      </c>
      <c r="MB51" s="1705"/>
      <c r="MC51" s="1705"/>
      <c r="MD51" s="1705"/>
      <c r="ME51" s="1705"/>
      <c r="MF51" s="1705"/>
      <c r="MG51" s="1705"/>
      <c r="MH51" s="1705"/>
      <c r="MI51" s="1705"/>
      <c r="MJ51" s="1705"/>
      <c r="MK51" s="1705"/>
      <c r="ML51" s="1705"/>
      <c r="MM51" s="1705"/>
      <c r="MN51" s="1705"/>
      <c r="MO51" s="1705"/>
      <c r="MP51" s="1705"/>
      <c r="MQ51" s="1705"/>
      <c r="MR51" s="1705"/>
      <c r="MS51" s="1705"/>
      <c r="MT51" s="1705"/>
      <c r="MU51" s="1705"/>
      <c r="MV51" s="1705"/>
      <c r="MW51" s="101" t="s">
        <v>915</v>
      </c>
      <c r="MX51" s="105">
        <f>SUMIFS('Existing Customers'!$N:$N,'Existing Customers'!$A:$A,'Multi-Customer'!MX$38)</f>
        <v>0</v>
      </c>
      <c r="MY51" s="1705"/>
      <c r="MZ51" s="1705"/>
      <c r="NA51" s="1705"/>
      <c r="NB51" s="1705"/>
      <c r="NC51" s="1705"/>
      <c r="ND51" s="1705"/>
      <c r="NE51" s="1705"/>
      <c r="NF51" s="1705"/>
      <c r="NG51" s="1705"/>
      <c r="NH51" s="1705"/>
      <c r="NI51" s="1705"/>
      <c r="NJ51" s="1705"/>
      <c r="NK51" s="1705"/>
      <c r="NL51" s="1705"/>
      <c r="NM51" s="1705"/>
      <c r="NN51" s="1705"/>
      <c r="NO51" s="1705"/>
      <c r="NP51" s="1705"/>
      <c r="NQ51" s="1705"/>
      <c r="NR51" s="1705"/>
      <c r="NS51" s="1705"/>
      <c r="NT51" s="101" t="s">
        <v>915</v>
      </c>
      <c r="NU51" s="105">
        <f>SUMIFS('Existing Customers'!$N:$N,'Existing Customers'!$A:$A,'Multi-Customer'!NU$38)</f>
        <v>0</v>
      </c>
      <c r="NV51" s="1705"/>
      <c r="NW51" s="1705"/>
      <c r="NX51" s="1705"/>
      <c r="NY51" s="1705"/>
      <c r="NZ51" s="1705"/>
      <c r="OA51" s="1705"/>
      <c r="OB51" s="1705"/>
      <c r="OC51" s="1705"/>
      <c r="OD51" s="1705"/>
      <c r="OE51" s="1705"/>
      <c r="OF51" s="1705"/>
      <c r="OG51" s="1705"/>
      <c r="OH51" s="1705"/>
      <c r="OI51" s="1705"/>
      <c r="OJ51" s="1705"/>
      <c r="OK51" s="1705"/>
      <c r="OL51" s="1705"/>
      <c r="OM51" s="1705"/>
      <c r="ON51" s="1705"/>
      <c r="OO51" s="1705"/>
      <c r="OP51" s="1705"/>
      <c r="OQ51" s="101" t="s">
        <v>915</v>
      </c>
      <c r="OR51" s="105">
        <f>SUMIFS('Existing Customers'!$N:$N,'Existing Customers'!$A:$A,'Multi-Customer'!OR$38)</f>
        <v>0</v>
      </c>
      <c r="OS51" s="1705"/>
      <c r="OT51" s="1705"/>
      <c r="OU51" s="1705"/>
      <c r="OV51" s="1705"/>
      <c r="OW51" s="1705"/>
      <c r="OX51" s="1705"/>
      <c r="OY51" s="1705"/>
      <c r="OZ51" s="1705"/>
      <c r="PA51" s="1705"/>
      <c r="PB51" s="1705"/>
      <c r="PC51" s="1705"/>
      <c r="PD51" s="1705"/>
      <c r="PE51" s="1705"/>
      <c r="PF51" s="1705"/>
      <c r="PG51" s="1705"/>
      <c r="PH51" s="1705"/>
      <c r="PI51" s="1705"/>
      <c r="PJ51" s="1705"/>
      <c r="PK51" s="1705"/>
      <c r="PL51" s="1705"/>
      <c r="PM51" s="1705"/>
      <c r="PN51" s="101" t="s">
        <v>915</v>
      </c>
      <c r="PO51" s="105">
        <f>SUMIFS('Existing Customers'!$N:$N,'Existing Customers'!$A:$A,'Multi-Customer'!PO$38)</f>
        <v>0</v>
      </c>
      <c r="PP51" s="1705"/>
      <c r="PQ51" s="1705"/>
      <c r="PR51" s="1705"/>
      <c r="PS51" s="1705"/>
      <c r="PT51" s="1705"/>
      <c r="PU51" s="1705"/>
      <c r="PV51" s="1705"/>
      <c r="PW51" s="1705"/>
      <c r="PX51" s="1705"/>
      <c r="PY51" s="1705"/>
      <c r="PZ51" s="1705"/>
      <c r="QA51" s="1705"/>
      <c r="QB51" s="1705"/>
      <c r="QC51" s="1705"/>
      <c r="QD51" s="1705"/>
      <c r="QE51" s="1705"/>
      <c r="QF51" s="1705"/>
      <c r="QG51" s="1705"/>
      <c r="QH51" s="1705"/>
      <c r="QI51" s="1705"/>
      <c r="QJ51" s="1705"/>
      <c r="QK51" s="101" t="s">
        <v>915</v>
      </c>
      <c r="QL51" s="105">
        <f>SUMIFS('Existing Customers'!$N:$N,'Existing Customers'!$A:$A,'Multi-Customer'!QL$38)</f>
        <v>0</v>
      </c>
      <c r="QM51" s="1705"/>
      <c r="QN51" s="1705"/>
      <c r="QO51" s="1705"/>
      <c r="QP51" s="1705"/>
      <c r="QQ51" s="1705"/>
      <c r="QR51" s="1705"/>
      <c r="QS51" s="1705"/>
      <c r="QT51" s="1705"/>
      <c r="QU51" s="1705"/>
      <c r="QV51" s="1705"/>
      <c r="QW51" s="1705"/>
      <c r="QX51" s="1705"/>
      <c r="QY51" s="1705"/>
      <c r="QZ51" s="1705"/>
      <c r="RA51" s="1705"/>
      <c r="RB51" s="1705"/>
      <c r="RC51" s="1705"/>
      <c r="RD51" s="1705"/>
      <c r="RE51" s="1705"/>
      <c r="RF51" s="1705"/>
      <c r="RG51" s="1705"/>
      <c r="RH51" s="101" t="s">
        <v>915</v>
      </c>
      <c r="RI51" s="105">
        <f>SUMIFS('Existing Customers'!$N:$N,'Existing Customers'!$A:$A,'Multi-Customer'!RI$38)</f>
        <v>0</v>
      </c>
      <c r="RJ51" s="1705"/>
      <c r="RK51" s="1705"/>
      <c r="RL51" s="1705"/>
      <c r="RM51" s="1705"/>
      <c r="RN51" s="1705"/>
      <c r="RO51" s="1705"/>
      <c r="RP51" s="1705"/>
      <c r="RQ51" s="1705"/>
      <c r="RR51" s="1705"/>
      <c r="RS51" s="1705"/>
      <c r="RT51" s="1705"/>
      <c r="RU51" s="1705"/>
      <c r="RV51" s="1705"/>
      <c r="RW51" s="1705"/>
      <c r="RX51" s="1705"/>
      <c r="RY51" s="1705"/>
      <c r="RZ51" s="1705"/>
      <c r="SA51" s="1705"/>
      <c r="SB51" s="1705"/>
      <c r="SC51" s="1705"/>
      <c r="SD51" s="1705"/>
      <c r="SE51" s="101" t="s">
        <v>915</v>
      </c>
      <c r="SF51" s="105">
        <f>SUMIFS('Existing Customers'!$N:$N,'Existing Customers'!$A:$A,'Multi-Customer'!SF$38)</f>
        <v>0</v>
      </c>
      <c r="SG51" s="1705"/>
      <c r="SH51" s="1705"/>
      <c r="SI51" s="1705"/>
      <c r="SJ51" s="1705"/>
      <c r="SK51" s="1705"/>
      <c r="SL51" s="1705"/>
      <c r="SM51" s="1705"/>
      <c r="SN51" s="1705"/>
      <c r="SO51" s="1705"/>
      <c r="SP51" s="1705"/>
      <c r="SQ51" s="1705"/>
      <c r="SR51" s="1705"/>
      <c r="SS51" s="1705"/>
      <c r="ST51" s="1705"/>
      <c r="SU51" s="1705"/>
      <c r="SV51" s="1705"/>
      <c r="SW51" s="1705"/>
      <c r="SX51" s="1705"/>
      <c r="SY51" s="1705"/>
      <c r="SZ51" s="1705"/>
      <c r="TA51" s="1705"/>
      <c r="TB51" s="1705"/>
      <c r="TC51" s="1705"/>
      <c r="TD51" s="1705"/>
      <c r="TE51" s="1705"/>
      <c r="TF51" s="1705"/>
      <c r="TG51" s="1705"/>
      <c r="TH51" s="1705"/>
      <c r="TI51" s="1705"/>
      <c r="TJ51" s="1705"/>
      <c r="TK51" s="1705"/>
      <c r="TL51" s="1705"/>
      <c r="TM51" s="1705"/>
      <c r="TN51" s="1705"/>
      <c r="TO51" s="1705"/>
      <c r="TP51" s="1705"/>
      <c r="TQ51" s="1705"/>
      <c r="TR51" s="1705"/>
    </row>
    <row r="52" spans="17:538" x14ac:dyDescent="0.25">
      <c r="Q52" s="1500"/>
      <c r="R52" s="1501"/>
      <c r="S52" s="1501"/>
      <c r="T52" s="1501"/>
      <c r="U52" s="1501"/>
      <c r="V52" s="1501"/>
      <c r="W52" s="1501"/>
      <c r="X52" s="1501"/>
      <c r="Y52" s="1501"/>
      <c r="Z52" s="1514">
        <f t="shared" si="98"/>
        <v>2</v>
      </c>
      <c r="AA52" s="1515"/>
      <c r="AB52" s="1516">
        <f t="shared" si="99"/>
        <v>20</v>
      </c>
      <c r="AC52" s="1501"/>
      <c r="AD52" s="1501"/>
      <c r="AE52" s="1501"/>
      <c r="AF52" s="1501"/>
      <c r="AG52" s="1501"/>
      <c r="AH52" s="1501"/>
      <c r="AI52" s="1501"/>
      <c r="AJ52" s="1500"/>
      <c r="AK52" s="1500"/>
      <c r="AL52" s="1500"/>
      <c r="AM52" s="1500"/>
      <c r="AN52" s="1500"/>
      <c r="AO52" s="1500"/>
      <c r="AP52" s="1500"/>
      <c r="AQ52" s="1500"/>
      <c r="AR52" s="1500"/>
      <c r="AS52" s="1500"/>
      <c r="AT52" s="1500"/>
      <c r="AU52" s="1500"/>
      <c r="AV52" s="1500"/>
      <c r="AW52" s="1500"/>
      <c r="AX52" s="1500"/>
      <c r="AY52" s="1500"/>
      <c r="AZ52" s="1412"/>
      <c r="BA52" s="1412"/>
      <c r="BB52" s="1412"/>
      <c r="BC52" s="1412"/>
      <c r="BD52" s="1412"/>
      <c r="BE52" s="1412"/>
      <c r="BF52" s="1412"/>
      <c r="BG52" s="1705"/>
      <c r="BH52" s="1705"/>
      <c r="BI52" s="1705"/>
      <c r="BJ52" s="1705" t="s">
        <v>920</v>
      </c>
      <c r="BK52" s="1705">
        <f>IFERROR(VLOOKUP(BK$38,'Existing Customer Variable Exp'!$B:$F,5,FALSE),0)</f>
        <v>0</v>
      </c>
      <c r="BL52" s="1705"/>
      <c r="BM52" s="1705"/>
      <c r="BN52" s="1705"/>
      <c r="BO52" s="1705"/>
      <c r="BP52" s="1705"/>
      <c r="BQ52" s="1705"/>
      <c r="BR52" s="1705"/>
      <c r="BS52" s="1705"/>
      <c r="BT52" s="1705"/>
      <c r="BU52" s="1705"/>
      <c r="BV52" s="1705"/>
      <c r="BW52" s="1705"/>
      <c r="BX52" s="1705"/>
      <c r="BY52" s="1705"/>
      <c r="BZ52" s="1705"/>
      <c r="CA52" s="1705"/>
      <c r="CB52" s="1705"/>
      <c r="CC52" s="1705"/>
      <c r="CD52" s="1705"/>
      <c r="CE52" s="1705"/>
      <c r="CF52" s="1705"/>
      <c r="CG52" s="101" t="s">
        <v>920</v>
      </c>
      <c r="CH52" s="105">
        <f>IFERROR(VLOOKUP(CH$38,'Existing Customer Variable Exp'!$B:$F,5,FALSE),0)</f>
        <v>0</v>
      </c>
      <c r="CI52" s="1705"/>
      <c r="CJ52" s="1705"/>
      <c r="CK52" s="1705"/>
      <c r="CL52" s="1705"/>
      <c r="CM52" s="1705"/>
      <c r="CN52" s="1705"/>
      <c r="CO52" s="1705"/>
      <c r="CP52" s="1705"/>
      <c r="CQ52" s="1705"/>
      <c r="CR52" s="1705"/>
      <c r="CS52" s="1705"/>
      <c r="CT52" s="1705"/>
      <c r="CU52" s="1705"/>
      <c r="CV52" s="1705"/>
      <c r="CW52" s="1705"/>
      <c r="CX52" s="1705"/>
      <c r="CY52" s="1705"/>
      <c r="CZ52" s="1705"/>
      <c r="DA52" s="1705"/>
      <c r="DB52" s="1705"/>
      <c r="DC52" s="1705"/>
      <c r="DD52" s="101" t="s">
        <v>920</v>
      </c>
      <c r="DE52" s="105">
        <f>IFERROR(VLOOKUP(DE$38,'Existing Customer Variable Exp'!$B:$F,5,FALSE),0)</f>
        <v>0</v>
      </c>
      <c r="DF52" s="1705"/>
      <c r="DG52" s="1705"/>
      <c r="DH52" s="1705"/>
      <c r="DI52" s="1705"/>
      <c r="DJ52" s="1705"/>
      <c r="DK52" s="1705"/>
      <c r="DL52" s="1705"/>
      <c r="DM52" s="1705"/>
      <c r="DN52" s="1705"/>
      <c r="DO52" s="1705"/>
      <c r="DP52" s="1705"/>
      <c r="DQ52" s="1705"/>
      <c r="DR52" s="1705"/>
      <c r="DS52" s="1705"/>
      <c r="DT52" s="1705"/>
      <c r="DU52" s="1705"/>
      <c r="DV52" s="1705"/>
      <c r="DW52" s="1705"/>
      <c r="DX52" s="1705"/>
      <c r="DY52" s="1705"/>
      <c r="DZ52" s="1705"/>
      <c r="EA52" s="101" t="s">
        <v>920</v>
      </c>
      <c r="EB52" s="105">
        <f>IFERROR(VLOOKUP(EB$38,'Existing Customer Variable Exp'!$B:$F,5,FALSE),0)</f>
        <v>0</v>
      </c>
      <c r="EC52" s="1705"/>
      <c r="ED52" s="1705"/>
      <c r="EE52" s="1705"/>
      <c r="EF52" s="1705"/>
      <c r="EG52" s="1705"/>
      <c r="EH52" s="1705"/>
      <c r="EI52" s="1705"/>
      <c r="EJ52" s="1705"/>
      <c r="EK52" s="1705"/>
      <c r="EL52" s="1705"/>
      <c r="EM52" s="1705"/>
      <c r="EN52" s="1705"/>
      <c r="EO52" s="1705"/>
      <c r="EP52" s="1705"/>
      <c r="EQ52" s="1705"/>
      <c r="ER52" s="1705"/>
      <c r="ES52" s="1705"/>
      <c r="ET52" s="1705"/>
      <c r="EU52" s="1705"/>
      <c r="EV52" s="1705"/>
      <c r="EW52" s="1705"/>
      <c r="EX52" s="101" t="s">
        <v>920</v>
      </c>
      <c r="EY52" s="105">
        <f>IFERROR(VLOOKUP(EY$38,'Existing Customer Variable Exp'!$B:$F,5,FALSE),0)</f>
        <v>0</v>
      </c>
      <c r="EZ52" s="1705"/>
      <c r="FA52" s="1705"/>
      <c r="FB52" s="1705"/>
      <c r="FC52" s="1705"/>
      <c r="FD52" s="1705"/>
      <c r="FE52" s="1705"/>
      <c r="FF52" s="1705"/>
      <c r="FG52" s="1705"/>
      <c r="FH52" s="1705"/>
      <c r="FI52" s="1705"/>
      <c r="FJ52" s="1705"/>
      <c r="FK52" s="1705"/>
      <c r="FL52" s="1705"/>
      <c r="FM52" s="1705"/>
      <c r="FN52" s="1705"/>
      <c r="FO52" s="1705"/>
      <c r="FP52" s="1705"/>
      <c r="FQ52" s="1705"/>
      <c r="FR52" s="1705"/>
      <c r="FS52" s="1705"/>
      <c r="FT52" s="1705"/>
      <c r="FU52" s="101" t="s">
        <v>920</v>
      </c>
      <c r="FV52" s="105">
        <f>IFERROR(VLOOKUP(FV$38,'Existing Customer Variable Exp'!$B:$F,5,FALSE),0)</f>
        <v>0</v>
      </c>
      <c r="FW52" s="1705"/>
      <c r="FX52" s="1705"/>
      <c r="FY52" s="1705"/>
      <c r="FZ52" s="1705"/>
      <c r="GA52" s="1705"/>
      <c r="GB52" s="1705"/>
      <c r="GC52" s="1705"/>
      <c r="GD52" s="1705"/>
      <c r="GE52" s="1705"/>
      <c r="GF52" s="1705"/>
      <c r="GG52" s="1705"/>
      <c r="GH52" s="1705"/>
      <c r="GI52" s="1705"/>
      <c r="GJ52" s="1705"/>
      <c r="GK52" s="1705"/>
      <c r="GL52" s="1705"/>
      <c r="GM52" s="1705"/>
      <c r="GN52" s="1705"/>
      <c r="GO52" s="1705"/>
      <c r="GP52" s="1705"/>
      <c r="GQ52" s="1705"/>
      <c r="GR52" s="101" t="s">
        <v>920</v>
      </c>
      <c r="GS52" s="105">
        <f>IFERROR(VLOOKUP(GS$38,'Existing Customer Variable Exp'!$B:$F,5,FALSE),0)</f>
        <v>0</v>
      </c>
      <c r="GT52" s="1705"/>
      <c r="GU52" s="1705"/>
      <c r="GV52" s="1705"/>
      <c r="GW52" s="1705"/>
      <c r="GX52" s="1705"/>
      <c r="GY52" s="1705"/>
      <c r="GZ52" s="1705"/>
      <c r="HA52" s="1705"/>
      <c r="HB52" s="1705"/>
      <c r="HC52" s="1705"/>
      <c r="HD52" s="1705"/>
      <c r="HE52" s="1705"/>
      <c r="HF52" s="1705"/>
      <c r="HG52" s="1705"/>
      <c r="HH52" s="1705"/>
      <c r="HI52" s="1705"/>
      <c r="HJ52" s="1705"/>
      <c r="HK52" s="1705"/>
      <c r="HL52" s="1705"/>
      <c r="HM52" s="1705"/>
      <c r="HN52" s="1705"/>
      <c r="HO52" s="101" t="s">
        <v>920</v>
      </c>
      <c r="HP52" s="105">
        <f>IFERROR(VLOOKUP(HP$38,'Existing Customer Variable Exp'!$B:$F,5,FALSE),0)</f>
        <v>0</v>
      </c>
      <c r="HQ52" s="1705"/>
      <c r="HR52" s="1705"/>
      <c r="HS52" s="1705"/>
      <c r="HT52" s="1705"/>
      <c r="HU52" s="1705"/>
      <c r="HV52" s="1705"/>
      <c r="HW52" s="1705"/>
      <c r="HX52" s="1705"/>
      <c r="HY52" s="1705"/>
      <c r="HZ52" s="1705"/>
      <c r="IA52" s="1705"/>
      <c r="IB52" s="1705"/>
      <c r="IC52" s="1705"/>
      <c r="ID52" s="1705"/>
      <c r="IE52" s="1705"/>
      <c r="IF52" s="1705"/>
      <c r="IG52" s="1705"/>
      <c r="IH52" s="1705"/>
      <c r="II52" s="1705"/>
      <c r="IJ52" s="1705"/>
      <c r="IK52" s="1705"/>
      <c r="IL52" s="101" t="s">
        <v>920</v>
      </c>
      <c r="IM52" s="105">
        <f>IFERROR(VLOOKUP(IM$38,'Existing Customer Variable Exp'!$B:$F,5,FALSE),0)</f>
        <v>0</v>
      </c>
      <c r="IN52" s="1705"/>
      <c r="IO52" s="1705"/>
      <c r="IP52" s="1705"/>
      <c r="IQ52" s="1705"/>
      <c r="IR52" s="1705"/>
      <c r="IS52" s="1705"/>
      <c r="IT52" s="1705"/>
      <c r="IU52" s="1705"/>
      <c r="IV52" s="1705"/>
      <c r="IW52" s="1705"/>
      <c r="IX52" s="1705"/>
      <c r="IY52" s="1705"/>
      <c r="IZ52" s="1705"/>
      <c r="JA52" s="1705"/>
      <c r="JB52" s="1705"/>
      <c r="JC52" s="1705"/>
      <c r="JD52" s="1705"/>
      <c r="JE52" s="1705"/>
      <c r="JF52" s="1705"/>
      <c r="JG52" s="1705"/>
      <c r="JH52" s="1705"/>
      <c r="JI52" s="101" t="s">
        <v>920</v>
      </c>
      <c r="JJ52" s="105">
        <f>IFERROR(VLOOKUP(JJ$38,'Existing Customer Variable Exp'!$B:$F,5,FALSE),0)</f>
        <v>0</v>
      </c>
      <c r="JK52" s="1705"/>
      <c r="JL52" s="1705"/>
      <c r="JM52" s="1705"/>
      <c r="JN52" s="1705"/>
      <c r="JO52" s="1705"/>
      <c r="JP52" s="1705"/>
      <c r="JQ52" s="1705"/>
      <c r="JR52" s="1705"/>
      <c r="JS52" s="1705"/>
      <c r="JT52" s="1705"/>
      <c r="JU52" s="1705"/>
      <c r="JV52" s="1705"/>
      <c r="JW52" s="1705"/>
      <c r="JX52" s="1705"/>
      <c r="JY52" s="1705"/>
      <c r="JZ52" s="1705"/>
      <c r="KA52" s="1705"/>
      <c r="KB52" s="1705"/>
      <c r="KC52" s="1705"/>
      <c r="KD52" s="1705"/>
      <c r="KE52" s="1705"/>
      <c r="KF52" s="101" t="s">
        <v>920</v>
      </c>
      <c r="KG52" s="105">
        <f>IFERROR(VLOOKUP(KG$38,'Existing Customer Variable Exp'!$B:$F,5,FALSE),0)</f>
        <v>0</v>
      </c>
      <c r="KH52" s="1705"/>
      <c r="KI52" s="1705"/>
      <c r="KJ52" s="1705"/>
      <c r="KK52" s="1705"/>
      <c r="KL52" s="1705"/>
      <c r="KM52" s="1705"/>
      <c r="KN52" s="1705"/>
      <c r="KO52" s="1705"/>
      <c r="KP52" s="1705"/>
      <c r="KQ52" s="1705"/>
      <c r="KR52" s="1705"/>
      <c r="KS52" s="1705"/>
      <c r="KT52" s="1705"/>
      <c r="KU52" s="1705"/>
      <c r="KV52" s="1705"/>
      <c r="KW52" s="1705"/>
      <c r="KX52" s="1705"/>
      <c r="KY52" s="1705"/>
      <c r="KZ52" s="1705"/>
      <c r="LA52" s="1705"/>
      <c r="LB52" s="1705"/>
      <c r="LC52" s="101" t="s">
        <v>920</v>
      </c>
      <c r="LD52" s="105">
        <f>IFERROR(VLOOKUP(LD$38,'Existing Customer Variable Exp'!$B:$F,5,FALSE),0)</f>
        <v>0</v>
      </c>
      <c r="LE52" s="1705"/>
      <c r="LF52" s="1705"/>
      <c r="LG52" s="1705"/>
      <c r="LH52" s="1705"/>
      <c r="LI52" s="1705"/>
      <c r="LJ52" s="1705"/>
      <c r="LK52" s="1705"/>
      <c r="LL52" s="1705"/>
      <c r="LM52" s="1705"/>
      <c r="LN52" s="1705"/>
      <c r="LO52" s="1705"/>
      <c r="LP52" s="1705"/>
      <c r="LQ52" s="1705"/>
      <c r="LR52" s="1705"/>
      <c r="LS52" s="1705"/>
      <c r="LT52" s="1705"/>
      <c r="LU52" s="1705"/>
      <c r="LV52" s="1705"/>
      <c r="LW52" s="1705"/>
      <c r="LX52" s="1705"/>
      <c r="LY52" s="1705"/>
      <c r="LZ52" s="101" t="s">
        <v>920</v>
      </c>
      <c r="MA52" s="105">
        <f>IFERROR(VLOOKUP(MA$38,'Existing Customer Variable Exp'!$B:$F,5,FALSE),0)</f>
        <v>0</v>
      </c>
      <c r="MB52" s="1705"/>
      <c r="MC52" s="1705"/>
      <c r="MD52" s="1705"/>
      <c r="ME52" s="1705"/>
      <c r="MF52" s="1705"/>
      <c r="MG52" s="1705"/>
      <c r="MH52" s="1705"/>
      <c r="MI52" s="1705"/>
      <c r="MJ52" s="1705"/>
      <c r="MK52" s="1705"/>
      <c r="ML52" s="1705"/>
      <c r="MM52" s="1705"/>
      <c r="MN52" s="1705"/>
      <c r="MO52" s="1705"/>
      <c r="MP52" s="1705"/>
      <c r="MQ52" s="1705"/>
      <c r="MR52" s="1705"/>
      <c r="MS52" s="1705"/>
      <c r="MT52" s="1705"/>
      <c r="MU52" s="1705"/>
      <c r="MV52" s="1705"/>
      <c r="MW52" s="101" t="s">
        <v>920</v>
      </c>
      <c r="MX52" s="105">
        <f>IFERROR(VLOOKUP(MX$38,'Existing Customer Variable Exp'!$B:$F,5,FALSE),0)</f>
        <v>0</v>
      </c>
      <c r="MY52" s="1705"/>
      <c r="MZ52" s="1705"/>
      <c r="NA52" s="1705"/>
      <c r="NB52" s="1705"/>
      <c r="NC52" s="1705"/>
      <c r="ND52" s="1705"/>
      <c r="NE52" s="1705"/>
      <c r="NF52" s="1705"/>
      <c r="NG52" s="1705"/>
      <c r="NH52" s="1705"/>
      <c r="NI52" s="1705"/>
      <c r="NJ52" s="1705"/>
      <c r="NK52" s="1705"/>
      <c r="NL52" s="1705"/>
      <c r="NM52" s="1705"/>
      <c r="NN52" s="1705"/>
      <c r="NO52" s="1705"/>
      <c r="NP52" s="1705"/>
      <c r="NQ52" s="1705"/>
      <c r="NR52" s="1705"/>
      <c r="NS52" s="1705"/>
      <c r="NT52" s="101" t="s">
        <v>920</v>
      </c>
      <c r="NU52" s="105">
        <f>IFERROR(VLOOKUP(NU$38,'Existing Customer Variable Exp'!$B:$F,5,FALSE),0)</f>
        <v>0</v>
      </c>
      <c r="NV52" s="1705"/>
      <c r="NW52" s="1705"/>
      <c r="NX52" s="1705"/>
      <c r="NY52" s="1705"/>
      <c r="NZ52" s="1705"/>
      <c r="OA52" s="1705"/>
      <c r="OB52" s="1705"/>
      <c r="OC52" s="1705"/>
      <c r="OD52" s="1705"/>
      <c r="OE52" s="1705"/>
      <c r="OF52" s="1705"/>
      <c r="OG52" s="1705"/>
      <c r="OH52" s="1705"/>
      <c r="OI52" s="1705"/>
      <c r="OJ52" s="1705"/>
      <c r="OK52" s="1705"/>
      <c r="OL52" s="1705"/>
      <c r="OM52" s="1705"/>
      <c r="ON52" s="1705"/>
      <c r="OO52" s="1705"/>
      <c r="OP52" s="1705"/>
      <c r="OQ52" s="101" t="s">
        <v>920</v>
      </c>
      <c r="OR52" s="105">
        <f>IFERROR(VLOOKUP(OR$38,'Existing Customer Variable Exp'!$B:$F,5,FALSE),0)</f>
        <v>0</v>
      </c>
      <c r="OS52" s="1705"/>
      <c r="OT52" s="1705"/>
      <c r="OU52" s="1705"/>
      <c r="OV52" s="1705"/>
      <c r="OW52" s="1705"/>
      <c r="OX52" s="1705"/>
      <c r="OY52" s="1705"/>
      <c r="OZ52" s="1705"/>
      <c r="PA52" s="1705"/>
      <c r="PB52" s="1705"/>
      <c r="PC52" s="1705"/>
      <c r="PD52" s="1705"/>
      <c r="PE52" s="1705"/>
      <c r="PF52" s="1705"/>
      <c r="PG52" s="1705"/>
      <c r="PH52" s="1705"/>
      <c r="PI52" s="1705"/>
      <c r="PJ52" s="1705"/>
      <c r="PK52" s="1705"/>
      <c r="PL52" s="1705"/>
      <c r="PM52" s="1705"/>
      <c r="PN52" s="101" t="s">
        <v>920</v>
      </c>
      <c r="PO52" s="105">
        <f>IFERROR(VLOOKUP(PO$38,'Existing Customer Variable Exp'!$B:$F,5,FALSE),0)</f>
        <v>0</v>
      </c>
      <c r="PP52" s="1705"/>
      <c r="PQ52" s="1705"/>
      <c r="PR52" s="1705"/>
      <c r="PS52" s="1705"/>
      <c r="PT52" s="1705"/>
      <c r="PU52" s="1705"/>
      <c r="PV52" s="1705"/>
      <c r="PW52" s="1705"/>
      <c r="PX52" s="1705"/>
      <c r="PY52" s="1705"/>
      <c r="PZ52" s="1705"/>
      <c r="QA52" s="1705"/>
      <c r="QB52" s="1705"/>
      <c r="QC52" s="1705"/>
      <c r="QD52" s="1705"/>
      <c r="QE52" s="1705"/>
      <c r="QF52" s="1705"/>
      <c r="QG52" s="1705"/>
      <c r="QH52" s="1705"/>
      <c r="QI52" s="1705"/>
      <c r="QJ52" s="1705"/>
      <c r="QK52" s="101" t="s">
        <v>920</v>
      </c>
      <c r="QL52" s="105">
        <f>IFERROR(VLOOKUP(QL$38,'Existing Customer Variable Exp'!$B:$F,5,FALSE),0)</f>
        <v>0</v>
      </c>
      <c r="QM52" s="1705"/>
      <c r="QN52" s="1705"/>
      <c r="QO52" s="1705"/>
      <c r="QP52" s="1705"/>
      <c r="QQ52" s="1705"/>
      <c r="QR52" s="1705"/>
      <c r="QS52" s="1705"/>
      <c r="QT52" s="1705"/>
      <c r="QU52" s="1705"/>
      <c r="QV52" s="1705"/>
      <c r="QW52" s="1705"/>
      <c r="QX52" s="1705"/>
      <c r="QY52" s="1705"/>
      <c r="QZ52" s="1705"/>
      <c r="RA52" s="1705"/>
      <c r="RB52" s="1705"/>
      <c r="RC52" s="1705"/>
      <c r="RD52" s="1705"/>
      <c r="RE52" s="1705"/>
      <c r="RF52" s="1705"/>
      <c r="RG52" s="1705"/>
      <c r="RH52" s="101" t="s">
        <v>920</v>
      </c>
      <c r="RI52" s="105">
        <f>IFERROR(VLOOKUP(RI$38,'Existing Customer Variable Exp'!$B:$F,5,FALSE),0)</f>
        <v>0</v>
      </c>
      <c r="RJ52" s="1705"/>
      <c r="RK52" s="1705"/>
      <c r="RL52" s="1705"/>
      <c r="RM52" s="1705"/>
      <c r="RN52" s="1705"/>
      <c r="RO52" s="1705"/>
      <c r="RP52" s="1705"/>
      <c r="RQ52" s="1705"/>
      <c r="RR52" s="1705"/>
      <c r="RS52" s="1705"/>
      <c r="RT52" s="1705"/>
      <c r="RU52" s="1705"/>
      <c r="RV52" s="1705"/>
      <c r="RW52" s="1705"/>
      <c r="RX52" s="1705"/>
      <c r="RY52" s="1705"/>
      <c r="RZ52" s="1705"/>
      <c r="SA52" s="1705"/>
      <c r="SB52" s="1705"/>
      <c r="SC52" s="1705"/>
      <c r="SD52" s="1705"/>
      <c r="SE52" s="101" t="s">
        <v>920</v>
      </c>
      <c r="SF52" s="105">
        <f>IFERROR(VLOOKUP(SF$38,'Existing Customer Variable Exp'!$B:$F,5,FALSE),0)</f>
        <v>0</v>
      </c>
      <c r="SG52" s="1705"/>
      <c r="SH52" s="1705"/>
      <c r="SI52" s="1705"/>
      <c r="SJ52" s="1705"/>
      <c r="SK52" s="1705"/>
      <c r="SL52" s="1705"/>
      <c r="SM52" s="1705"/>
      <c r="SN52" s="1705"/>
      <c r="SO52" s="1705"/>
      <c r="SP52" s="1705"/>
      <c r="SQ52" s="1705"/>
      <c r="SR52" s="1705"/>
      <c r="SS52" s="1705"/>
      <c r="ST52" s="1705"/>
      <c r="SU52" s="1705"/>
      <c r="SV52" s="1705"/>
      <c r="SW52" s="1705"/>
      <c r="SX52" s="1705"/>
      <c r="SY52" s="1705"/>
      <c r="SZ52" s="1705"/>
      <c r="TA52" s="1705"/>
      <c r="TB52" s="1705"/>
      <c r="TC52" s="1705"/>
      <c r="TD52" s="1705"/>
      <c r="TE52" s="1705"/>
      <c r="TF52" s="1705"/>
      <c r="TG52" s="1705"/>
      <c r="TH52" s="1705"/>
      <c r="TI52" s="1705"/>
      <c r="TJ52" s="1705"/>
      <c r="TK52" s="1705"/>
      <c r="TL52" s="1705"/>
      <c r="TM52" s="1705"/>
      <c r="TN52" s="1705"/>
      <c r="TO52" s="1705"/>
      <c r="TP52" s="1705"/>
      <c r="TQ52" s="1705"/>
      <c r="TR52" s="1705"/>
    </row>
    <row r="53" spans="17:538" x14ac:dyDescent="0.25">
      <c r="Q53" s="1500"/>
      <c r="R53" s="1501"/>
      <c r="S53" s="1501"/>
      <c r="T53" s="1501"/>
      <c r="U53" s="1501"/>
      <c r="V53" s="1501"/>
      <c r="W53" s="1501"/>
      <c r="X53" s="1501"/>
      <c r="Y53" s="1501"/>
      <c r="Z53" s="1514">
        <f t="shared" si="98"/>
        <v>2</v>
      </c>
      <c r="AA53" s="1515"/>
      <c r="AB53" s="1516">
        <f t="shared" si="99"/>
        <v>20</v>
      </c>
      <c r="AC53" s="1501"/>
      <c r="AD53" s="1501"/>
      <c r="AE53" s="1501"/>
      <c r="AF53" s="1501"/>
      <c r="AG53" s="1501"/>
      <c r="AH53" s="1501"/>
      <c r="AI53" s="1501"/>
      <c r="AJ53" s="1500"/>
      <c r="AK53" s="1500"/>
      <c r="AL53" s="1500"/>
      <c r="AM53" s="1500"/>
      <c r="AN53" s="1500"/>
      <c r="AO53" s="1500"/>
      <c r="AP53" s="1500"/>
      <c r="AQ53" s="1500"/>
      <c r="AR53" s="1500"/>
      <c r="AS53" s="1500"/>
      <c r="AT53" s="1500"/>
      <c r="AU53" s="1500"/>
      <c r="AV53" s="1500"/>
      <c r="AW53" s="1500"/>
      <c r="AX53" s="1500"/>
      <c r="AY53" s="1500"/>
      <c r="AZ53" s="1412"/>
      <c r="BA53" s="1412"/>
      <c r="BB53" s="1412"/>
      <c r="BC53" s="1412"/>
      <c r="BD53" s="1412"/>
      <c r="BE53" s="1412"/>
      <c r="BF53" s="1412"/>
      <c r="BG53" s="1705"/>
      <c r="BH53" s="1705"/>
      <c r="BI53" s="1705"/>
      <c r="BJ53" s="1705" t="s">
        <v>1314</v>
      </c>
      <c r="BK53" s="1705">
        <f>IFERROR(VLOOKUP(BK$1,'Existing Customers'!$A:$AD,30,FALSE),BK6)</f>
        <v>0</v>
      </c>
      <c r="BL53" s="1705"/>
      <c r="BM53" s="1705"/>
      <c r="BN53" s="1705"/>
      <c r="BO53" s="1705"/>
      <c r="BP53" s="1705"/>
      <c r="BQ53" s="1705"/>
      <c r="BR53" s="1705"/>
      <c r="BS53" s="1705"/>
      <c r="BT53" s="1705"/>
      <c r="BU53" s="1705"/>
      <c r="BV53" s="1705"/>
      <c r="BW53" s="1705"/>
      <c r="BX53" s="1705"/>
      <c r="BY53" s="1705"/>
      <c r="BZ53" s="1705"/>
      <c r="CA53" s="1705"/>
      <c r="CB53" s="1705"/>
      <c r="CC53" s="1705"/>
      <c r="CD53" s="1705"/>
      <c r="CE53" s="1705"/>
      <c r="CF53" s="1705"/>
      <c r="CG53" s="101" t="s">
        <v>1314</v>
      </c>
      <c r="CH53" s="83">
        <f>IFERROR(VLOOKUP(CH$1,'Existing Customers'!$A:$AD,30,FALSE),CH6)</f>
        <v>0</v>
      </c>
      <c r="CI53" s="1705"/>
      <c r="CJ53" s="1705"/>
      <c r="CK53" s="1705"/>
      <c r="CL53" s="1705"/>
      <c r="CM53" s="1705"/>
      <c r="CN53" s="1705"/>
      <c r="CO53" s="1705"/>
      <c r="CP53" s="1705"/>
      <c r="CQ53" s="1705"/>
      <c r="CR53" s="1705"/>
      <c r="CS53" s="1705"/>
      <c r="CT53" s="1705"/>
      <c r="CU53" s="1705"/>
      <c r="CV53" s="1705"/>
      <c r="CW53" s="1705"/>
      <c r="CX53" s="1705"/>
      <c r="CY53" s="1705"/>
      <c r="CZ53" s="1705"/>
      <c r="DA53" s="1705"/>
      <c r="DB53" s="1705"/>
      <c r="DC53" s="1705"/>
      <c r="DD53" s="101" t="s">
        <v>1314</v>
      </c>
      <c r="DE53" s="83">
        <f>IFERROR(VLOOKUP(DE$1,'Existing Customers'!$A:$AD,30,FALSE),DE6)</f>
        <v>0</v>
      </c>
      <c r="DF53" s="1705"/>
      <c r="DG53" s="1705"/>
      <c r="DH53" s="1705"/>
      <c r="DI53" s="1705"/>
      <c r="DJ53" s="1705"/>
      <c r="DK53" s="1705"/>
      <c r="DL53" s="1705"/>
      <c r="DM53" s="1705"/>
      <c r="DN53" s="1705"/>
      <c r="DO53" s="1705"/>
      <c r="DP53" s="1705"/>
      <c r="DQ53" s="1705"/>
      <c r="DR53" s="1705"/>
      <c r="DS53" s="1705"/>
      <c r="DT53" s="1705"/>
      <c r="DU53" s="1705"/>
      <c r="DV53" s="1705"/>
      <c r="DW53" s="1705"/>
      <c r="DX53" s="1705"/>
      <c r="DY53" s="1705"/>
      <c r="DZ53" s="1705"/>
      <c r="EA53" s="101" t="s">
        <v>1314</v>
      </c>
      <c r="EB53" s="83">
        <f>IFERROR(VLOOKUP(EB$1,'Existing Customers'!$A:$AD,30,FALSE),EB6)</f>
        <v>0</v>
      </c>
      <c r="EC53" s="1705"/>
      <c r="ED53" s="1705"/>
      <c r="EE53" s="1705"/>
      <c r="EF53" s="1705"/>
      <c r="EG53" s="1705"/>
      <c r="EH53" s="1705"/>
      <c r="EI53" s="1705"/>
      <c r="EJ53" s="1705"/>
      <c r="EK53" s="1705"/>
      <c r="EL53" s="1705"/>
      <c r="EM53" s="1705"/>
      <c r="EN53" s="1705"/>
      <c r="EO53" s="1705"/>
      <c r="EP53" s="1705"/>
      <c r="EQ53" s="1705"/>
      <c r="ER53" s="1705"/>
      <c r="ES53" s="1705"/>
      <c r="ET53" s="1705"/>
      <c r="EU53" s="1705"/>
      <c r="EV53" s="1705"/>
      <c r="EW53" s="1705"/>
      <c r="EX53" s="101" t="s">
        <v>1314</v>
      </c>
      <c r="EY53" s="83">
        <f>IFERROR(VLOOKUP(EY$1,'Existing Customers'!$A:$AD,30,FALSE),EY6)</f>
        <v>0</v>
      </c>
      <c r="EZ53" s="1705"/>
      <c r="FA53" s="1705"/>
      <c r="FB53" s="1705"/>
      <c r="FC53" s="1705"/>
      <c r="FD53" s="1705"/>
      <c r="FE53" s="1705"/>
      <c r="FF53" s="1705"/>
      <c r="FG53" s="1705"/>
      <c r="FH53" s="1705"/>
      <c r="FI53" s="1705"/>
      <c r="FJ53" s="1705"/>
      <c r="FK53" s="1705"/>
      <c r="FL53" s="1705"/>
      <c r="FM53" s="1705"/>
      <c r="FN53" s="1705"/>
      <c r="FO53" s="1705"/>
      <c r="FP53" s="1705"/>
      <c r="FQ53" s="1705"/>
      <c r="FR53" s="1705"/>
      <c r="FS53" s="1705"/>
      <c r="FT53" s="1705"/>
      <c r="FU53" s="101" t="s">
        <v>1314</v>
      </c>
      <c r="FV53" s="83">
        <f>IFERROR(VLOOKUP(FV$1,'Existing Customers'!$A:$AD,30,FALSE),FV6)</f>
        <v>0</v>
      </c>
      <c r="FW53" s="1705"/>
      <c r="FX53" s="1705"/>
      <c r="FY53" s="1705"/>
      <c r="FZ53" s="1705"/>
      <c r="GA53" s="1705"/>
      <c r="GB53" s="1705"/>
      <c r="GC53" s="1705"/>
      <c r="GD53" s="1705"/>
      <c r="GE53" s="1705"/>
      <c r="GF53" s="1705"/>
      <c r="GG53" s="1705"/>
      <c r="GH53" s="1705"/>
      <c r="GI53" s="1705"/>
      <c r="GJ53" s="1705"/>
      <c r="GK53" s="1705"/>
      <c r="GL53" s="1705"/>
      <c r="GM53" s="1705"/>
      <c r="GN53" s="1705"/>
      <c r="GO53" s="1705"/>
      <c r="GP53" s="1705"/>
      <c r="GQ53" s="1705"/>
      <c r="GR53" s="101" t="s">
        <v>1314</v>
      </c>
      <c r="GS53" s="83">
        <f>IFERROR(VLOOKUP(GS$1,'Existing Customers'!$A:$AD,30,FALSE),GS6)</f>
        <v>0</v>
      </c>
      <c r="GT53" s="1705"/>
      <c r="GU53" s="1705"/>
      <c r="GV53" s="1705"/>
      <c r="GW53" s="1705"/>
      <c r="GX53" s="1705"/>
      <c r="GY53" s="1705"/>
      <c r="GZ53" s="1705"/>
      <c r="HA53" s="1705"/>
      <c r="HB53" s="1705"/>
      <c r="HC53" s="1705"/>
      <c r="HD53" s="1705"/>
      <c r="HE53" s="1705"/>
      <c r="HF53" s="1705"/>
      <c r="HG53" s="1705"/>
      <c r="HH53" s="1705"/>
      <c r="HI53" s="1705"/>
      <c r="HJ53" s="1705"/>
      <c r="HK53" s="1705"/>
      <c r="HL53" s="1705"/>
      <c r="HM53" s="1705"/>
      <c r="HN53" s="1705"/>
      <c r="HO53" s="101" t="s">
        <v>1314</v>
      </c>
      <c r="HP53" s="83">
        <f>IFERROR(VLOOKUP(HP$1,'Existing Customers'!$A:$AD,30,FALSE),HP6)</f>
        <v>0</v>
      </c>
      <c r="HQ53" s="1705"/>
      <c r="HR53" s="1705"/>
      <c r="HS53" s="1705"/>
      <c r="HT53" s="1705"/>
      <c r="HU53" s="1705"/>
      <c r="HV53" s="1705"/>
      <c r="HW53" s="1705"/>
      <c r="HX53" s="1705"/>
      <c r="HY53" s="1705"/>
      <c r="HZ53" s="1705"/>
      <c r="IA53" s="1705"/>
      <c r="IB53" s="1705"/>
      <c r="IC53" s="1705"/>
      <c r="ID53" s="1705"/>
      <c r="IE53" s="1705"/>
      <c r="IF53" s="1705"/>
      <c r="IG53" s="1705"/>
      <c r="IH53" s="1705"/>
      <c r="II53" s="1705"/>
      <c r="IJ53" s="1705"/>
      <c r="IK53" s="1705"/>
      <c r="IL53" s="101" t="s">
        <v>1314</v>
      </c>
      <c r="IM53" s="83">
        <f>IFERROR(VLOOKUP(IM$1,'Existing Customers'!$A:$AD,30,FALSE),IM6)</f>
        <v>0</v>
      </c>
      <c r="IN53" s="1705"/>
      <c r="IO53" s="1705"/>
      <c r="IP53" s="1705"/>
      <c r="IQ53" s="1705"/>
      <c r="IR53" s="1705"/>
      <c r="IS53" s="1705"/>
      <c r="IT53" s="1705"/>
      <c r="IU53" s="1705"/>
      <c r="IV53" s="1705"/>
      <c r="IW53" s="1705"/>
      <c r="IX53" s="1705"/>
      <c r="IY53" s="1705"/>
      <c r="IZ53" s="1705"/>
      <c r="JA53" s="1705"/>
      <c r="JB53" s="1705"/>
      <c r="JC53" s="1705"/>
      <c r="JD53" s="1705"/>
      <c r="JE53" s="1705"/>
      <c r="JF53" s="1705"/>
      <c r="JG53" s="1705"/>
      <c r="JH53" s="1705"/>
      <c r="JI53" s="101" t="s">
        <v>1314</v>
      </c>
      <c r="JJ53" s="83">
        <f>IFERROR(VLOOKUP(JJ$1,'Existing Customers'!$A:$AD,30,FALSE),JJ6)</f>
        <v>0</v>
      </c>
      <c r="JK53" s="1705"/>
      <c r="JL53" s="1705"/>
      <c r="JM53" s="1705"/>
      <c r="JN53" s="1705"/>
      <c r="JO53" s="1705"/>
      <c r="JP53" s="1705"/>
      <c r="JQ53" s="1705"/>
      <c r="JR53" s="1705"/>
      <c r="JS53" s="1705"/>
      <c r="JT53" s="1705"/>
      <c r="JU53" s="1705"/>
      <c r="JV53" s="1705"/>
      <c r="JW53" s="1705"/>
      <c r="JX53" s="1705"/>
      <c r="JY53" s="1705"/>
      <c r="JZ53" s="1705"/>
      <c r="KA53" s="1705"/>
      <c r="KB53" s="1705"/>
      <c r="KC53" s="1705"/>
      <c r="KD53" s="1705"/>
      <c r="KE53" s="1705"/>
      <c r="KF53" s="101" t="s">
        <v>1314</v>
      </c>
      <c r="KG53" s="83">
        <f>IFERROR(VLOOKUP(KG$1,'Existing Customers'!$A:$AD,30,FALSE),KG6)</f>
        <v>0</v>
      </c>
      <c r="KH53" s="1705"/>
      <c r="KI53" s="1705"/>
      <c r="KJ53" s="1705"/>
      <c r="KK53" s="1705"/>
      <c r="KL53" s="1705"/>
      <c r="KM53" s="1705"/>
      <c r="KN53" s="1705"/>
      <c r="KO53" s="1705"/>
      <c r="KP53" s="1705"/>
      <c r="KQ53" s="1705"/>
      <c r="KR53" s="1705"/>
      <c r="KS53" s="1705"/>
      <c r="KT53" s="1705"/>
      <c r="KU53" s="1705"/>
      <c r="KV53" s="1705"/>
      <c r="KW53" s="1705"/>
      <c r="KX53" s="1705"/>
      <c r="KY53" s="1705"/>
      <c r="KZ53" s="1705"/>
      <c r="LA53" s="1705"/>
      <c r="LB53" s="1705"/>
      <c r="LC53" s="101" t="s">
        <v>1314</v>
      </c>
      <c r="LD53" s="83">
        <f>IFERROR(VLOOKUP(LD$1,'Existing Customers'!$A:$AD,30,FALSE),LD6)</f>
        <v>0</v>
      </c>
      <c r="LE53" s="1705"/>
      <c r="LF53" s="1705"/>
      <c r="LG53" s="1705"/>
      <c r="LH53" s="1705"/>
      <c r="LI53" s="1705"/>
      <c r="LJ53" s="1705"/>
      <c r="LK53" s="1705"/>
      <c r="LL53" s="1705"/>
      <c r="LM53" s="1705"/>
      <c r="LN53" s="1705"/>
      <c r="LO53" s="1705"/>
      <c r="LP53" s="1705"/>
      <c r="LQ53" s="1705"/>
      <c r="LR53" s="1705"/>
      <c r="LS53" s="1705"/>
      <c r="LT53" s="1705"/>
      <c r="LU53" s="1705"/>
      <c r="LV53" s="1705"/>
      <c r="LW53" s="1705"/>
      <c r="LX53" s="1705"/>
      <c r="LY53" s="1705"/>
      <c r="LZ53" s="101" t="s">
        <v>1314</v>
      </c>
      <c r="MA53" s="83">
        <f>IFERROR(VLOOKUP(MA$1,'Existing Customers'!$A:$AD,30,FALSE),MA6)</f>
        <v>0</v>
      </c>
      <c r="MB53" s="1705"/>
      <c r="MC53" s="1705"/>
      <c r="MD53" s="1705"/>
      <c r="ME53" s="1705"/>
      <c r="MF53" s="1705"/>
      <c r="MG53" s="1705"/>
      <c r="MH53" s="1705"/>
      <c r="MI53" s="1705"/>
      <c r="MJ53" s="1705"/>
      <c r="MK53" s="1705"/>
      <c r="ML53" s="1705"/>
      <c r="MM53" s="1705"/>
      <c r="MN53" s="1705"/>
      <c r="MO53" s="1705"/>
      <c r="MP53" s="1705"/>
      <c r="MQ53" s="1705"/>
      <c r="MR53" s="1705"/>
      <c r="MS53" s="1705"/>
      <c r="MT53" s="1705"/>
      <c r="MU53" s="1705"/>
      <c r="MV53" s="1705"/>
      <c r="MW53" s="101" t="s">
        <v>1314</v>
      </c>
      <c r="MX53" s="83">
        <f>IFERROR(VLOOKUP(MX$1,'Existing Customers'!$A:$AD,30,FALSE),MX6)</f>
        <v>0</v>
      </c>
      <c r="MY53" s="1705"/>
      <c r="MZ53" s="1705"/>
      <c r="NA53" s="1705"/>
      <c r="NB53" s="1705"/>
      <c r="NC53" s="1705"/>
      <c r="ND53" s="1705"/>
      <c r="NE53" s="1705"/>
      <c r="NF53" s="1705"/>
      <c r="NG53" s="1705"/>
      <c r="NH53" s="1705"/>
      <c r="NI53" s="1705"/>
      <c r="NJ53" s="1705"/>
      <c r="NK53" s="1705"/>
      <c r="NL53" s="1705"/>
      <c r="NM53" s="1705"/>
      <c r="NN53" s="1705"/>
      <c r="NO53" s="1705"/>
      <c r="NP53" s="1705"/>
      <c r="NQ53" s="1705"/>
      <c r="NR53" s="1705"/>
      <c r="NS53" s="1705"/>
      <c r="NT53" s="101" t="s">
        <v>1314</v>
      </c>
      <c r="NU53" s="83">
        <f>IFERROR(VLOOKUP(NU$1,'Existing Customers'!$A:$AD,30,FALSE),NU6)</f>
        <v>0</v>
      </c>
      <c r="NV53" s="1705"/>
      <c r="NW53" s="1705"/>
      <c r="NX53" s="1705"/>
      <c r="NY53" s="1705"/>
      <c r="NZ53" s="1705"/>
      <c r="OA53" s="1705"/>
      <c r="OB53" s="1705"/>
      <c r="OC53" s="1705"/>
      <c r="OD53" s="1705"/>
      <c r="OE53" s="1705"/>
      <c r="OF53" s="1705"/>
      <c r="OG53" s="1705"/>
      <c r="OH53" s="1705"/>
      <c r="OI53" s="1705"/>
      <c r="OJ53" s="1705"/>
      <c r="OK53" s="1705"/>
      <c r="OL53" s="1705"/>
      <c r="OM53" s="1705"/>
      <c r="ON53" s="1705"/>
      <c r="OO53" s="1705"/>
      <c r="OP53" s="1705"/>
      <c r="OQ53" s="101" t="s">
        <v>1314</v>
      </c>
      <c r="OR53" s="83">
        <f>IFERROR(VLOOKUP(OR$1,'Existing Customers'!$A:$AD,30,FALSE),OR6)</f>
        <v>0</v>
      </c>
      <c r="OS53" s="1705"/>
      <c r="OT53" s="1705"/>
      <c r="OU53" s="1705"/>
      <c r="OV53" s="1705"/>
      <c r="OW53" s="1705"/>
      <c r="OX53" s="1705"/>
      <c r="OY53" s="1705"/>
      <c r="OZ53" s="1705"/>
      <c r="PA53" s="1705"/>
      <c r="PB53" s="1705"/>
      <c r="PC53" s="1705"/>
      <c r="PD53" s="1705"/>
      <c r="PE53" s="1705"/>
      <c r="PF53" s="1705"/>
      <c r="PG53" s="1705"/>
      <c r="PH53" s="1705"/>
      <c r="PI53" s="1705"/>
      <c r="PJ53" s="1705"/>
      <c r="PK53" s="1705"/>
      <c r="PL53" s="1705"/>
      <c r="PM53" s="1705"/>
      <c r="PN53" s="101" t="s">
        <v>1314</v>
      </c>
      <c r="PO53" s="83">
        <f>IFERROR(VLOOKUP(PO$1,'Existing Customers'!$A:$AD,30,FALSE),PO6)</f>
        <v>0</v>
      </c>
      <c r="PP53" s="1705"/>
      <c r="PQ53" s="1705"/>
      <c r="PR53" s="1705"/>
      <c r="PS53" s="1705"/>
      <c r="PT53" s="1705"/>
      <c r="PU53" s="1705"/>
      <c r="PV53" s="1705"/>
      <c r="PW53" s="1705"/>
      <c r="PX53" s="1705"/>
      <c r="PY53" s="1705"/>
      <c r="PZ53" s="1705"/>
      <c r="QA53" s="1705"/>
      <c r="QB53" s="1705"/>
      <c r="QC53" s="1705"/>
      <c r="QD53" s="1705"/>
      <c r="QE53" s="1705"/>
      <c r="QF53" s="1705"/>
      <c r="QG53" s="1705"/>
      <c r="QH53" s="1705"/>
      <c r="QI53" s="1705"/>
      <c r="QJ53" s="1705"/>
      <c r="QK53" s="101" t="s">
        <v>1314</v>
      </c>
      <c r="QL53" s="83">
        <f>IFERROR(VLOOKUP(QL$1,'Existing Customers'!$A:$AD,30,FALSE),QL6)</f>
        <v>0</v>
      </c>
      <c r="QM53" s="1705"/>
      <c r="QN53" s="1705"/>
      <c r="QO53" s="1705"/>
      <c r="QP53" s="1705"/>
      <c r="QQ53" s="1705"/>
      <c r="QR53" s="1705"/>
      <c r="QS53" s="1705"/>
      <c r="QT53" s="1705"/>
      <c r="QU53" s="1705"/>
      <c r="QV53" s="1705"/>
      <c r="QW53" s="1705"/>
      <c r="QX53" s="1705"/>
      <c r="QY53" s="1705"/>
      <c r="QZ53" s="1705"/>
      <c r="RA53" s="1705"/>
      <c r="RB53" s="1705"/>
      <c r="RC53" s="1705"/>
      <c r="RD53" s="1705"/>
      <c r="RE53" s="1705"/>
      <c r="RF53" s="1705"/>
      <c r="RG53" s="1705"/>
      <c r="RH53" s="101" t="s">
        <v>1314</v>
      </c>
      <c r="RI53" s="83">
        <f>IFERROR(VLOOKUP(RI$1,'Existing Customers'!$A:$AD,30,FALSE),RI6)</f>
        <v>0</v>
      </c>
      <c r="RJ53" s="1705"/>
      <c r="RK53" s="1705"/>
      <c r="RL53" s="1705"/>
      <c r="RM53" s="1705"/>
      <c r="RN53" s="1705"/>
      <c r="RO53" s="1705"/>
      <c r="RP53" s="1705"/>
      <c r="RQ53" s="1705"/>
      <c r="RR53" s="1705"/>
      <c r="RS53" s="1705"/>
      <c r="RT53" s="1705"/>
      <c r="RU53" s="1705"/>
      <c r="RV53" s="1705"/>
      <c r="RW53" s="1705"/>
      <c r="RX53" s="1705"/>
      <c r="RY53" s="1705"/>
      <c r="RZ53" s="1705"/>
      <c r="SA53" s="1705"/>
      <c r="SB53" s="1705"/>
      <c r="SC53" s="1705"/>
      <c r="SD53" s="1705"/>
      <c r="SE53" s="101" t="s">
        <v>1314</v>
      </c>
      <c r="SF53" s="83">
        <f>IFERROR(VLOOKUP(SF$1,'Existing Customers'!$A:$AD,30,FALSE),SF6)</f>
        <v>0</v>
      </c>
      <c r="SG53" s="1705"/>
      <c r="SH53" s="1705"/>
      <c r="SI53" s="1705"/>
      <c r="SJ53" s="1705"/>
      <c r="SK53" s="1705"/>
      <c r="SL53" s="1705"/>
      <c r="SM53" s="1705"/>
      <c r="SN53" s="1705"/>
      <c r="SO53" s="1705"/>
      <c r="SP53" s="1705"/>
      <c r="SQ53" s="1705"/>
      <c r="SR53" s="1705"/>
      <c r="SS53" s="1705"/>
      <c r="ST53" s="1705"/>
      <c r="SU53" s="1705"/>
      <c r="SV53" s="1705"/>
      <c r="SW53" s="1705"/>
      <c r="SX53" s="1705"/>
      <c r="SY53" s="1705"/>
      <c r="SZ53" s="1705"/>
      <c r="TA53" s="1705"/>
      <c r="TB53" s="1705"/>
      <c r="TC53" s="1705"/>
      <c r="TD53" s="1705"/>
      <c r="TE53" s="1705"/>
      <c r="TF53" s="1705"/>
      <c r="TG53" s="1705"/>
      <c r="TH53" s="1705"/>
      <c r="TI53" s="1705"/>
      <c r="TJ53" s="1705"/>
      <c r="TK53" s="1705"/>
      <c r="TL53" s="1705"/>
      <c r="TM53" s="1705"/>
      <c r="TN53" s="1705"/>
      <c r="TO53" s="1705"/>
      <c r="TP53" s="1705"/>
      <c r="TQ53" s="1705"/>
      <c r="TR53" s="1705"/>
    </row>
    <row r="54" spans="17:538" x14ac:dyDescent="0.25">
      <c r="Q54" s="1500"/>
      <c r="R54" s="1501"/>
      <c r="S54" s="1501"/>
      <c r="T54" s="1501"/>
      <c r="U54" s="1501"/>
      <c r="V54" s="1501"/>
      <c r="W54" s="1501"/>
      <c r="X54" s="1501"/>
      <c r="Y54" s="1501"/>
      <c r="Z54" s="1514">
        <f t="shared" si="98"/>
        <v>2</v>
      </c>
      <c r="AA54" s="1515"/>
      <c r="AB54" s="1516">
        <f t="shared" si="99"/>
        <v>20</v>
      </c>
      <c r="AC54" s="1501"/>
      <c r="AD54" s="1501"/>
      <c r="AE54" s="1501"/>
      <c r="AF54" s="1501"/>
      <c r="AG54" s="1501"/>
      <c r="AH54" s="1501"/>
      <c r="AI54" s="1501"/>
      <c r="AJ54" s="1500"/>
      <c r="AK54" s="1500"/>
      <c r="AL54" s="1500"/>
      <c r="AM54" s="1500"/>
      <c r="AN54" s="1500"/>
      <c r="AO54" s="1500"/>
      <c r="AP54" s="1500"/>
      <c r="AQ54" s="1500"/>
      <c r="AR54" s="1500"/>
      <c r="AS54" s="1500"/>
      <c r="AT54" s="1500"/>
      <c r="AU54" s="1500"/>
      <c r="AV54" s="1500"/>
      <c r="AW54" s="1500"/>
      <c r="AX54" s="1500"/>
      <c r="AY54" s="1500"/>
      <c r="AZ54" s="1412"/>
      <c r="BA54" s="1412"/>
      <c r="BB54" s="1412"/>
      <c r="BC54" s="1412"/>
      <c r="BD54" s="1412"/>
      <c r="BE54" s="1412"/>
      <c r="BF54" s="1412"/>
      <c r="BG54" s="1705"/>
      <c r="BH54" s="1705"/>
      <c r="BI54" s="1705"/>
      <c r="BJ54" s="1705"/>
      <c r="BK54" s="1705"/>
      <c r="BL54" s="1705"/>
      <c r="BM54" s="1705"/>
      <c r="BN54" s="1705"/>
      <c r="BO54" s="1705"/>
      <c r="BP54" s="1705"/>
      <c r="BQ54" s="1705"/>
      <c r="BR54" s="1705"/>
      <c r="BS54" s="1705"/>
      <c r="BT54" s="1705"/>
      <c r="BU54" s="1705"/>
      <c r="BV54" s="1705"/>
      <c r="BW54" s="1705"/>
      <c r="BX54" s="1705"/>
      <c r="BY54" s="1705"/>
      <c r="BZ54" s="1705"/>
      <c r="CA54" s="1705"/>
      <c r="CB54" s="1705"/>
      <c r="CC54" s="1705"/>
      <c r="CD54" s="1705"/>
      <c r="CE54" s="1705"/>
      <c r="CF54" s="1705"/>
      <c r="CG54" s="1705"/>
      <c r="CH54" s="1705"/>
      <c r="CI54" s="1705"/>
      <c r="CJ54" s="1705"/>
      <c r="CK54" s="1705"/>
      <c r="CL54" s="1705"/>
      <c r="CM54" s="1705"/>
      <c r="CN54" s="1705"/>
      <c r="CO54" s="1705"/>
      <c r="CP54" s="1705"/>
      <c r="CQ54" s="1705"/>
      <c r="CR54" s="1705"/>
      <c r="CS54" s="1705"/>
      <c r="CT54" s="1705"/>
      <c r="CU54" s="1705"/>
      <c r="CV54" s="1705"/>
      <c r="CW54" s="1705"/>
      <c r="CX54" s="1705"/>
      <c r="CY54" s="1705"/>
      <c r="CZ54" s="1705"/>
      <c r="DA54" s="1705"/>
      <c r="DB54" s="1705"/>
      <c r="DC54" s="1705"/>
      <c r="DD54" s="1705"/>
      <c r="DE54" s="1705"/>
      <c r="DF54" s="1705"/>
      <c r="DG54" s="1705"/>
      <c r="DH54" s="1705"/>
      <c r="DI54" s="1705"/>
      <c r="DJ54" s="1705"/>
      <c r="DK54" s="1705"/>
      <c r="DL54" s="1705"/>
      <c r="DM54" s="1705"/>
      <c r="DN54" s="1705"/>
      <c r="DO54" s="1705"/>
      <c r="DP54" s="1705"/>
      <c r="DQ54" s="1705"/>
      <c r="DR54" s="1705"/>
      <c r="DS54" s="1705"/>
      <c r="DT54" s="1705"/>
      <c r="DU54" s="1705"/>
      <c r="DV54" s="1705"/>
      <c r="DW54" s="1705"/>
      <c r="DX54" s="1705"/>
      <c r="DY54" s="1705"/>
      <c r="DZ54" s="1705"/>
      <c r="EA54" s="1705"/>
      <c r="EB54" s="1705"/>
      <c r="EC54" s="1705"/>
      <c r="ED54" s="1705"/>
      <c r="EE54" s="1705"/>
      <c r="EF54" s="1705"/>
      <c r="EG54" s="1705"/>
      <c r="EH54" s="1705"/>
      <c r="EI54" s="1705"/>
      <c r="EJ54" s="1705"/>
      <c r="EK54" s="1705"/>
      <c r="EL54" s="1705"/>
      <c r="EM54" s="1705"/>
      <c r="EN54" s="1705"/>
      <c r="EO54" s="1705"/>
      <c r="EP54" s="1705"/>
      <c r="EQ54" s="1705"/>
      <c r="ER54" s="1705"/>
      <c r="ES54" s="1705"/>
      <c r="ET54" s="1705"/>
      <c r="EU54" s="1705"/>
      <c r="EV54" s="1705"/>
      <c r="EW54" s="1705"/>
      <c r="EX54" s="1705"/>
      <c r="EY54" s="1705"/>
      <c r="EZ54" s="1705"/>
      <c r="FA54" s="1705"/>
      <c r="FB54" s="1705"/>
      <c r="FC54" s="1705"/>
      <c r="FD54" s="1705"/>
      <c r="FE54" s="1705"/>
      <c r="FF54" s="1705"/>
      <c r="FG54" s="1705"/>
      <c r="FH54" s="1705"/>
      <c r="FI54" s="1705"/>
      <c r="FJ54" s="1705"/>
      <c r="FK54" s="1705"/>
      <c r="FL54" s="1705"/>
      <c r="FM54" s="1705"/>
      <c r="FN54" s="1705"/>
      <c r="FO54" s="1705"/>
      <c r="FP54" s="1705"/>
      <c r="FQ54" s="1705"/>
      <c r="FR54" s="1705"/>
      <c r="FS54" s="1705"/>
      <c r="FT54" s="1705"/>
      <c r="FU54" s="1705"/>
      <c r="FV54" s="1705"/>
      <c r="FW54" s="1705"/>
      <c r="FX54" s="1705"/>
      <c r="FY54" s="1705"/>
      <c r="FZ54" s="1705"/>
      <c r="GA54" s="1705"/>
      <c r="GB54" s="1705"/>
      <c r="GC54" s="1705"/>
      <c r="GD54" s="1705"/>
      <c r="GE54" s="1705"/>
      <c r="GF54" s="1705"/>
      <c r="GG54" s="1705"/>
      <c r="GH54" s="1705"/>
      <c r="GI54" s="1705"/>
      <c r="GJ54" s="1705"/>
      <c r="GK54" s="1705"/>
      <c r="GL54" s="1705"/>
      <c r="GM54" s="1705"/>
      <c r="GN54" s="1705"/>
      <c r="GO54" s="1705"/>
      <c r="GP54" s="1705"/>
      <c r="GQ54" s="1705"/>
      <c r="GR54" s="1705"/>
      <c r="GS54" s="1705"/>
      <c r="GT54" s="1705"/>
      <c r="GU54" s="1705"/>
      <c r="GV54" s="1705"/>
      <c r="GW54" s="1705"/>
      <c r="GX54" s="1705"/>
      <c r="GY54" s="1705"/>
      <c r="GZ54" s="1705"/>
      <c r="HA54" s="1705"/>
      <c r="HB54" s="1705"/>
      <c r="HC54" s="1705"/>
      <c r="HD54" s="1705"/>
      <c r="HE54" s="1705"/>
      <c r="HF54" s="1705"/>
      <c r="HG54" s="1705"/>
      <c r="HH54" s="1705"/>
      <c r="HI54" s="1705"/>
      <c r="HJ54" s="1705"/>
      <c r="HK54" s="1705"/>
      <c r="HL54" s="1705"/>
      <c r="HM54" s="1705"/>
      <c r="HN54" s="1705"/>
      <c r="HO54" s="1705"/>
      <c r="HP54" s="1705"/>
      <c r="HQ54" s="1705"/>
      <c r="HR54" s="1705"/>
      <c r="HS54" s="1705"/>
      <c r="HT54" s="1705"/>
      <c r="HU54" s="1705"/>
      <c r="HV54" s="1705"/>
      <c r="HW54" s="1705"/>
      <c r="HX54" s="1705"/>
      <c r="HY54" s="1705"/>
      <c r="HZ54" s="1705"/>
      <c r="IA54" s="1705"/>
      <c r="IB54" s="1705"/>
      <c r="IC54" s="1705"/>
      <c r="ID54" s="1705"/>
      <c r="IE54" s="1705"/>
      <c r="IF54" s="1705"/>
      <c r="IG54" s="1705"/>
      <c r="IH54" s="1705"/>
      <c r="II54" s="1705"/>
      <c r="IJ54" s="1705"/>
      <c r="IK54" s="1705"/>
      <c r="IL54" s="1705"/>
      <c r="IM54" s="1705"/>
      <c r="IN54" s="1705"/>
      <c r="IO54" s="1705"/>
      <c r="IP54" s="1705"/>
      <c r="IQ54" s="1705"/>
      <c r="IR54" s="1705"/>
      <c r="IS54" s="1705"/>
      <c r="IT54" s="1705"/>
      <c r="IU54" s="1705"/>
      <c r="IV54" s="1705"/>
      <c r="IW54" s="1705"/>
      <c r="IX54" s="1705"/>
      <c r="IY54" s="1705"/>
      <c r="IZ54" s="1705"/>
      <c r="JA54" s="1705"/>
      <c r="JB54" s="1705"/>
      <c r="JC54" s="1705"/>
      <c r="JD54" s="1705"/>
      <c r="JE54" s="1705"/>
      <c r="JF54" s="1705"/>
      <c r="JG54" s="1705"/>
      <c r="JH54" s="1705"/>
      <c r="JI54" s="1705"/>
      <c r="JJ54" s="1705"/>
      <c r="JK54" s="1705"/>
      <c r="JL54" s="1705"/>
      <c r="JM54" s="1705"/>
      <c r="JN54" s="1705"/>
      <c r="JO54" s="1705"/>
      <c r="JP54" s="1705"/>
      <c r="JQ54" s="1705"/>
      <c r="JR54" s="1705"/>
      <c r="JS54" s="1705"/>
      <c r="JT54" s="1705"/>
      <c r="JU54" s="1705"/>
      <c r="JV54" s="1705"/>
      <c r="JW54" s="1705"/>
      <c r="JX54" s="1705"/>
      <c r="JY54" s="1705"/>
      <c r="JZ54" s="1705"/>
      <c r="KA54" s="1705"/>
      <c r="KB54" s="1705"/>
      <c r="KC54" s="1705"/>
      <c r="KD54" s="1705"/>
      <c r="KE54" s="1705"/>
      <c r="KF54" s="1705"/>
      <c r="KG54" s="1705"/>
      <c r="KH54" s="1705"/>
      <c r="KI54" s="1705"/>
      <c r="KJ54" s="1705"/>
      <c r="KK54" s="1705"/>
      <c r="KL54" s="1705"/>
      <c r="KM54" s="1705"/>
      <c r="KN54" s="1705"/>
      <c r="KO54" s="1705"/>
      <c r="KP54" s="1705"/>
      <c r="KQ54" s="1705"/>
      <c r="KR54" s="1705"/>
      <c r="KS54" s="1705"/>
      <c r="KT54" s="1705"/>
      <c r="KU54" s="1705"/>
      <c r="KV54" s="1705"/>
      <c r="KW54" s="1705"/>
      <c r="KX54" s="1705"/>
      <c r="KY54" s="1705"/>
      <c r="KZ54" s="1705"/>
      <c r="LA54" s="1705"/>
      <c r="LB54" s="1705"/>
      <c r="LC54" s="1705"/>
      <c r="LD54" s="1705"/>
      <c r="LE54" s="1705"/>
      <c r="LF54" s="1705"/>
      <c r="LG54" s="1705"/>
      <c r="LH54" s="1705"/>
      <c r="LI54" s="1705"/>
      <c r="LJ54" s="1705"/>
      <c r="LK54" s="1705"/>
      <c r="LL54" s="1705"/>
      <c r="LM54" s="1705"/>
      <c r="LN54" s="1705"/>
      <c r="LO54" s="1705"/>
      <c r="LP54" s="1705"/>
      <c r="LQ54" s="1705"/>
      <c r="LR54" s="1705"/>
      <c r="LS54" s="1705"/>
      <c r="LT54" s="1705"/>
      <c r="LU54" s="1705"/>
      <c r="LV54" s="1705"/>
      <c r="LW54" s="1705"/>
      <c r="LX54" s="1705"/>
      <c r="LY54" s="1705"/>
      <c r="LZ54" s="1705"/>
      <c r="MA54" s="1705"/>
      <c r="MB54" s="1705"/>
      <c r="MC54" s="1705"/>
      <c r="MD54" s="1705"/>
      <c r="ME54" s="1705"/>
      <c r="MF54" s="1705"/>
      <c r="MG54" s="1705"/>
      <c r="MH54" s="1705"/>
      <c r="MI54" s="1705"/>
      <c r="MJ54" s="1705"/>
      <c r="MK54" s="1705"/>
      <c r="ML54" s="1705"/>
      <c r="MM54" s="1705"/>
      <c r="MN54" s="1705"/>
      <c r="MO54" s="1705"/>
      <c r="MP54" s="1705"/>
      <c r="MQ54" s="1705"/>
      <c r="MR54" s="1705"/>
      <c r="MS54" s="1705"/>
      <c r="MT54" s="1705"/>
      <c r="MU54" s="1705"/>
      <c r="MV54" s="1705"/>
      <c r="MW54" s="1705"/>
      <c r="MX54" s="1705"/>
      <c r="MY54" s="1705"/>
      <c r="MZ54" s="1705"/>
      <c r="NA54" s="1705"/>
      <c r="NB54" s="1705"/>
      <c r="NC54" s="1705"/>
      <c r="ND54" s="1705"/>
      <c r="NE54" s="1705"/>
      <c r="NF54" s="1705"/>
      <c r="NG54" s="1705"/>
      <c r="NH54" s="1705"/>
      <c r="NI54" s="1705"/>
      <c r="NJ54" s="1705"/>
      <c r="NK54" s="1705"/>
      <c r="NL54" s="1705"/>
      <c r="NM54" s="1705"/>
      <c r="NN54" s="1705"/>
      <c r="NO54" s="1705"/>
      <c r="NP54" s="1705"/>
      <c r="NQ54" s="1705"/>
      <c r="NR54" s="1705"/>
      <c r="NS54" s="1705"/>
      <c r="NT54" s="1705"/>
      <c r="NU54" s="1705"/>
      <c r="NV54" s="1705"/>
      <c r="NW54" s="1705"/>
      <c r="NX54" s="1705"/>
      <c r="NY54" s="1705"/>
      <c r="NZ54" s="1705"/>
      <c r="OA54" s="1705"/>
      <c r="OB54" s="1705"/>
      <c r="OC54" s="1705"/>
      <c r="OD54" s="1705"/>
      <c r="OE54" s="1705"/>
      <c r="OF54" s="1705"/>
      <c r="OG54" s="1705"/>
      <c r="OH54" s="1705"/>
      <c r="OI54" s="1705"/>
      <c r="OJ54" s="1705"/>
      <c r="OK54" s="1705"/>
      <c r="OL54" s="1705"/>
      <c r="OM54" s="1705"/>
      <c r="ON54" s="1705"/>
      <c r="OO54" s="1705"/>
      <c r="OP54" s="1705"/>
      <c r="OQ54" s="1705"/>
      <c r="OR54" s="1705"/>
      <c r="OS54" s="1705"/>
      <c r="OT54" s="1705"/>
      <c r="OU54" s="1705"/>
      <c r="OV54" s="1705"/>
      <c r="OW54" s="1705"/>
      <c r="OX54" s="1705"/>
      <c r="OY54" s="1705"/>
      <c r="OZ54" s="1705"/>
      <c r="PA54" s="1705"/>
      <c r="PB54" s="1705"/>
      <c r="PC54" s="1705"/>
      <c r="PD54" s="1705"/>
      <c r="PE54" s="1705"/>
      <c r="PF54" s="1705"/>
      <c r="PG54" s="1705"/>
      <c r="PH54" s="1705"/>
      <c r="PI54" s="1705"/>
      <c r="PJ54" s="1705"/>
      <c r="PK54" s="1705"/>
      <c r="PL54" s="1705"/>
      <c r="PM54" s="1705"/>
      <c r="PN54" s="1705"/>
      <c r="PO54" s="1705"/>
      <c r="PP54" s="1705"/>
      <c r="PQ54" s="1705"/>
      <c r="PR54" s="1705"/>
      <c r="PS54" s="1705"/>
      <c r="PT54" s="1705"/>
      <c r="PU54" s="1705"/>
      <c r="PV54" s="1705"/>
      <c r="PW54" s="1705"/>
      <c r="PX54" s="1705"/>
      <c r="PY54" s="1705"/>
      <c r="PZ54" s="1705"/>
      <c r="QA54" s="1705"/>
      <c r="QB54" s="1705"/>
      <c r="QC54" s="1705"/>
      <c r="QD54" s="1705"/>
      <c r="QE54" s="1705"/>
      <c r="QF54" s="1705"/>
      <c r="QG54" s="1705"/>
      <c r="QH54" s="1705"/>
      <c r="QI54" s="1705"/>
      <c r="QJ54" s="1705"/>
      <c r="QK54" s="1705"/>
      <c r="QL54" s="1705"/>
      <c r="QM54" s="1705"/>
      <c r="QN54" s="1705"/>
      <c r="QO54" s="1705"/>
      <c r="QP54" s="1705"/>
      <c r="QQ54" s="1705"/>
      <c r="QR54" s="1705"/>
      <c r="QS54" s="1705"/>
      <c r="QT54" s="1705"/>
      <c r="QU54" s="1705"/>
      <c r="QV54" s="1705"/>
      <c r="QW54" s="1705"/>
      <c r="QX54" s="1705"/>
      <c r="QY54" s="1705"/>
      <c r="QZ54" s="1705"/>
      <c r="RA54" s="1705"/>
      <c r="RB54" s="1705"/>
      <c r="RC54" s="1705"/>
      <c r="RD54" s="1705"/>
      <c r="RE54" s="1705"/>
      <c r="RF54" s="1705"/>
      <c r="RG54" s="1705"/>
      <c r="RH54" s="1705"/>
      <c r="RI54" s="1705"/>
      <c r="RJ54" s="1705"/>
      <c r="RK54" s="1705"/>
      <c r="RL54" s="1705"/>
      <c r="RM54" s="1705"/>
      <c r="RN54" s="1705"/>
      <c r="RO54" s="1705"/>
      <c r="RP54" s="1705"/>
      <c r="RQ54" s="1705"/>
      <c r="RR54" s="1705"/>
      <c r="RS54" s="1705"/>
      <c r="RT54" s="1705"/>
      <c r="RU54" s="1705"/>
      <c r="RV54" s="1705"/>
      <c r="RW54" s="1705"/>
      <c r="RX54" s="1705"/>
      <c r="RY54" s="1705"/>
      <c r="RZ54" s="1705"/>
      <c r="SA54" s="1705"/>
      <c r="SB54" s="1705"/>
      <c r="SC54" s="1705"/>
      <c r="SD54" s="1705"/>
      <c r="SE54" s="1705"/>
      <c r="SF54" s="1705"/>
      <c r="SG54" s="1705"/>
      <c r="SH54" s="1705"/>
      <c r="SI54" s="1705"/>
      <c r="SJ54" s="1705"/>
      <c r="SK54" s="1705"/>
      <c r="SL54" s="1705"/>
      <c r="SM54" s="1705"/>
      <c r="SN54" s="1705"/>
      <c r="SO54" s="1705"/>
      <c r="SP54" s="1705"/>
      <c r="SQ54" s="1705"/>
      <c r="SR54" s="1705"/>
      <c r="SS54" s="1705"/>
      <c r="ST54" s="1705"/>
      <c r="SU54" s="1705"/>
      <c r="SV54" s="1705"/>
      <c r="SW54" s="1705"/>
      <c r="SX54" s="1705"/>
      <c r="SY54" s="1705"/>
      <c r="SZ54" s="1705"/>
      <c r="TA54" s="1705"/>
      <c r="TB54" s="1705"/>
      <c r="TC54" s="1705"/>
      <c r="TD54" s="1705"/>
      <c r="TE54" s="1705"/>
      <c r="TF54" s="1705"/>
      <c r="TG54" s="1705"/>
      <c r="TH54" s="1705"/>
      <c r="TI54" s="1705"/>
      <c r="TJ54" s="1705"/>
      <c r="TK54" s="1705"/>
      <c r="TL54" s="1705"/>
      <c r="TM54" s="1705"/>
      <c r="TN54" s="1705"/>
      <c r="TO54" s="1705"/>
      <c r="TP54" s="1705"/>
      <c r="TQ54" s="1705"/>
      <c r="TR54" s="1705"/>
    </row>
    <row r="55" spans="17:538" x14ac:dyDescent="0.25">
      <c r="Q55" s="1500"/>
      <c r="R55" s="1501"/>
      <c r="S55" s="1501"/>
      <c r="T55" s="1501"/>
      <c r="U55" s="1501"/>
      <c r="V55" s="1501"/>
      <c r="W55" s="1501"/>
      <c r="X55" s="1501"/>
      <c r="Y55" s="1501"/>
      <c r="Z55" s="1514">
        <f t="shared" si="98"/>
        <v>2</v>
      </c>
      <c r="AA55" s="1515"/>
      <c r="AB55" s="1516">
        <f t="shared" si="99"/>
        <v>20</v>
      </c>
      <c r="AC55" s="1501"/>
      <c r="AD55" s="1501"/>
      <c r="AE55" s="1501"/>
      <c r="AF55" s="1501"/>
      <c r="AG55" s="1501"/>
      <c r="AH55" s="1501"/>
      <c r="AI55" s="1501"/>
      <c r="AJ55" s="1500"/>
      <c r="AK55" s="1500"/>
      <c r="AL55" s="1500"/>
      <c r="AM55" s="1500"/>
      <c r="AN55" s="1500"/>
      <c r="AO55" s="1500"/>
      <c r="AP55" s="1500"/>
      <c r="AQ55" s="1500"/>
      <c r="AR55" s="1500"/>
      <c r="AS55" s="1500"/>
      <c r="AT55" s="1500"/>
      <c r="AU55" s="1500"/>
      <c r="AV55" s="1500"/>
      <c r="AW55" s="1500"/>
      <c r="AX55" s="1500"/>
      <c r="AY55" s="1500"/>
      <c r="AZ55" s="1412"/>
      <c r="BA55" s="1412"/>
      <c r="BB55" s="1412"/>
      <c r="BC55" s="1412"/>
      <c r="BD55" s="1412"/>
      <c r="BE55" s="1412"/>
      <c r="BF55" s="1412"/>
      <c r="BG55" s="1705"/>
      <c r="BH55" s="1705"/>
      <c r="BI55" s="1705"/>
      <c r="BJ55" s="1705"/>
      <c r="BK55" s="1705"/>
      <c r="BL55" s="1705"/>
      <c r="BM55" s="1705"/>
      <c r="BN55" s="1705"/>
      <c r="BO55" s="1705"/>
      <c r="BP55" s="1705"/>
      <c r="BQ55" s="1705"/>
      <c r="BR55" s="1705"/>
      <c r="BS55" s="1705"/>
      <c r="BT55" s="1705"/>
      <c r="BU55" s="1705"/>
      <c r="BV55" s="1705"/>
      <c r="BW55" s="1705"/>
      <c r="BX55" s="1705"/>
      <c r="BY55" s="1705"/>
      <c r="BZ55" s="1705"/>
      <c r="CA55" s="1705"/>
      <c r="CB55" s="1705"/>
      <c r="CC55" s="1705"/>
      <c r="CD55" s="1705"/>
      <c r="CE55" s="1705"/>
      <c r="CF55" s="1705"/>
      <c r="CG55" s="1705"/>
      <c r="CH55" s="1705"/>
      <c r="CI55" s="1705"/>
      <c r="CJ55" s="1705"/>
      <c r="CK55" s="1705"/>
      <c r="CL55" s="1705"/>
      <c r="CM55" s="1705"/>
      <c r="CN55" s="1705"/>
      <c r="CO55" s="1705"/>
      <c r="CP55" s="1705"/>
      <c r="CQ55" s="1705"/>
      <c r="CR55" s="1705"/>
      <c r="CS55" s="1705"/>
      <c r="CT55" s="1705"/>
      <c r="CU55" s="1705"/>
      <c r="CV55" s="1705"/>
      <c r="CW55" s="1705"/>
      <c r="CX55" s="1705"/>
      <c r="CY55" s="1705"/>
      <c r="CZ55" s="1705"/>
      <c r="DA55" s="1705"/>
      <c r="DB55" s="1705"/>
      <c r="DC55" s="1705"/>
      <c r="DD55" s="1705"/>
      <c r="DE55" s="1705"/>
      <c r="DF55" s="1705"/>
      <c r="DG55" s="1705"/>
      <c r="DH55" s="1705"/>
      <c r="DI55" s="1705"/>
      <c r="DJ55" s="1705"/>
      <c r="DK55" s="1705"/>
      <c r="DL55" s="1705"/>
      <c r="DM55" s="1705"/>
      <c r="DN55" s="1705"/>
      <c r="DO55" s="1705"/>
      <c r="DP55" s="1705"/>
      <c r="DQ55" s="1705"/>
      <c r="DR55" s="1705"/>
      <c r="DS55" s="1705"/>
      <c r="DT55" s="1705"/>
      <c r="DU55" s="1705"/>
      <c r="DV55" s="1705"/>
      <c r="DW55" s="1705"/>
      <c r="DX55" s="1705"/>
      <c r="DY55" s="1705"/>
      <c r="DZ55" s="1705"/>
      <c r="EA55" s="1705"/>
      <c r="EB55" s="1705"/>
      <c r="EC55" s="1705"/>
      <c r="ED55" s="1705"/>
      <c r="EE55" s="1705"/>
      <c r="EF55" s="1705"/>
      <c r="EG55" s="1705"/>
      <c r="EH55" s="1705"/>
      <c r="EI55" s="1705"/>
      <c r="EJ55" s="1705"/>
      <c r="EK55" s="1705"/>
      <c r="EL55" s="1705"/>
      <c r="EM55" s="1705"/>
      <c r="EN55" s="1705"/>
      <c r="EO55" s="1705"/>
      <c r="EP55" s="1705"/>
      <c r="EQ55" s="1705"/>
      <c r="ER55" s="1705"/>
      <c r="ES55" s="1705"/>
      <c r="ET55" s="1705"/>
      <c r="EU55" s="1705"/>
      <c r="EV55" s="1705"/>
      <c r="EW55" s="1705"/>
      <c r="EX55" s="1705"/>
      <c r="EY55" s="1705"/>
      <c r="EZ55" s="1705"/>
      <c r="FA55" s="1705"/>
      <c r="FB55" s="1705"/>
      <c r="FC55" s="1705"/>
      <c r="FD55" s="1705"/>
      <c r="FE55" s="1705"/>
      <c r="FF55" s="1705"/>
      <c r="FG55" s="1705"/>
      <c r="FH55" s="1705"/>
      <c r="FI55" s="1705"/>
      <c r="FJ55" s="1705"/>
      <c r="FK55" s="1705"/>
      <c r="FL55" s="1705"/>
      <c r="FM55" s="1705"/>
      <c r="FN55" s="1705"/>
      <c r="FO55" s="1705"/>
      <c r="FP55" s="1705"/>
      <c r="FQ55" s="1705"/>
      <c r="FR55" s="1705"/>
      <c r="FS55" s="1705"/>
      <c r="FT55" s="1705"/>
      <c r="FU55" s="1705"/>
      <c r="FV55" s="1705"/>
      <c r="FW55" s="1705"/>
      <c r="FX55" s="1705"/>
      <c r="FY55" s="1705"/>
      <c r="FZ55" s="1705"/>
      <c r="GA55" s="1705"/>
      <c r="GB55" s="1705"/>
      <c r="GC55" s="1705"/>
      <c r="GD55" s="1705"/>
      <c r="GE55" s="1705"/>
      <c r="GF55" s="1705"/>
      <c r="GG55" s="1705"/>
      <c r="GH55" s="1705"/>
      <c r="GI55" s="1705"/>
      <c r="GJ55" s="1705"/>
      <c r="GK55" s="1705"/>
      <c r="GL55" s="1705"/>
      <c r="GM55" s="1705"/>
      <c r="GN55" s="1705"/>
      <c r="GO55" s="1705"/>
      <c r="GP55" s="1705"/>
      <c r="GQ55" s="1705"/>
      <c r="GR55" s="1705"/>
      <c r="GS55" s="1705"/>
      <c r="GT55" s="1705"/>
      <c r="GU55" s="1705"/>
      <c r="GV55" s="1705"/>
      <c r="GW55" s="1705"/>
      <c r="GX55" s="1705"/>
      <c r="GY55" s="1705"/>
      <c r="GZ55" s="1705"/>
      <c r="HA55" s="1705"/>
      <c r="HB55" s="1705"/>
      <c r="HC55" s="1705"/>
      <c r="HD55" s="1705"/>
      <c r="HE55" s="1705"/>
      <c r="HF55" s="1705"/>
      <c r="HG55" s="1705"/>
      <c r="HH55" s="1705"/>
      <c r="HI55" s="1705"/>
      <c r="HJ55" s="1705"/>
      <c r="HK55" s="1705"/>
      <c r="HL55" s="1705"/>
      <c r="HM55" s="1705"/>
      <c r="HN55" s="1705"/>
      <c r="HO55" s="1705"/>
      <c r="HP55" s="1705"/>
      <c r="HQ55" s="1705"/>
      <c r="HR55" s="1705"/>
      <c r="HS55" s="1705"/>
      <c r="HT55" s="1705"/>
      <c r="HU55" s="1705"/>
      <c r="HV55" s="1705"/>
      <c r="HW55" s="1705"/>
      <c r="HX55" s="1705"/>
      <c r="HY55" s="1705"/>
      <c r="HZ55" s="1705"/>
      <c r="IA55" s="1705"/>
      <c r="IB55" s="1705"/>
      <c r="IC55" s="1705"/>
      <c r="ID55" s="1705"/>
      <c r="IE55" s="1705"/>
      <c r="IF55" s="1705"/>
      <c r="IG55" s="1705"/>
      <c r="IH55" s="1705"/>
      <c r="II55" s="1705"/>
      <c r="IJ55" s="1705"/>
      <c r="IK55" s="1705"/>
      <c r="IL55" s="1705"/>
      <c r="IM55" s="1705"/>
      <c r="IN55" s="1705"/>
      <c r="IO55" s="1705"/>
      <c r="IP55" s="1705"/>
      <c r="IQ55" s="1705"/>
      <c r="IR55" s="1705"/>
      <c r="IS55" s="1705"/>
      <c r="IT55" s="1705"/>
      <c r="IU55" s="1705"/>
      <c r="IV55" s="1705"/>
      <c r="IW55" s="1705"/>
      <c r="IX55" s="1705"/>
      <c r="IY55" s="1705"/>
      <c r="IZ55" s="1705"/>
      <c r="JA55" s="1705"/>
      <c r="JB55" s="1705"/>
      <c r="JC55" s="1705"/>
      <c r="JD55" s="1705"/>
      <c r="JE55" s="1705"/>
      <c r="JF55" s="1705"/>
      <c r="JG55" s="1705"/>
      <c r="JH55" s="1705"/>
      <c r="JI55" s="1705"/>
      <c r="JJ55" s="1705"/>
      <c r="JK55" s="1705"/>
      <c r="JL55" s="1705"/>
      <c r="JM55" s="1705"/>
      <c r="JN55" s="1705"/>
      <c r="JO55" s="1705"/>
      <c r="JP55" s="1705"/>
      <c r="JQ55" s="1705"/>
      <c r="JR55" s="1705"/>
      <c r="JS55" s="1705"/>
      <c r="JT55" s="1705"/>
      <c r="JU55" s="1705"/>
      <c r="JV55" s="1705"/>
      <c r="JW55" s="1705"/>
      <c r="JX55" s="1705"/>
      <c r="JY55" s="1705"/>
      <c r="JZ55" s="1705"/>
      <c r="KA55" s="1705"/>
      <c r="KB55" s="1705"/>
      <c r="KC55" s="1705"/>
      <c r="KD55" s="1705"/>
      <c r="KE55" s="1705"/>
      <c r="KF55" s="1705"/>
      <c r="KG55" s="1705"/>
      <c r="KH55" s="1705"/>
      <c r="KI55" s="1705"/>
      <c r="KJ55" s="1705"/>
      <c r="KK55" s="1705"/>
      <c r="KL55" s="1705"/>
      <c r="KM55" s="1705"/>
      <c r="KN55" s="1705"/>
      <c r="KO55" s="1705"/>
      <c r="KP55" s="1705"/>
      <c r="KQ55" s="1705"/>
      <c r="KR55" s="1705"/>
      <c r="KS55" s="1705"/>
      <c r="KT55" s="1705"/>
      <c r="KU55" s="1705"/>
      <c r="KV55" s="1705"/>
      <c r="KW55" s="1705"/>
      <c r="KX55" s="1705"/>
      <c r="KY55" s="1705"/>
      <c r="KZ55" s="1705"/>
      <c r="LA55" s="1705"/>
      <c r="LB55" s="1705"/>
      <c r="LC55" s="1705"/>
      <c r="LD55" s="1705"/>
      <c r="LE55" s="1705"/>
      <c r="LF55" s="1705"/>
      <c r="LG55" s="1705"/>
      <c r="LH55" s="1705"/>
      <c r="LI55" s="1705"/>
      <c r="LJ55" s="1705"/>
      <c r="LK55" s="1705"/>
      <c r="LL55" s="1705"/>
      <c r="LM55" s="1705"/>
      <c r="LN55" s="1705"/>
      <c r="LO55" s="1705"/>
      <c r="LP55" s="1705"/>
      <c r="LQ55" s="1705"/>
      <c r="LR55" s="1705"/>
      <c r="LS55" s="1705"/>
      <c r="LT55" s="1705"/>
      <c r="LU55" s="1705"/>
      <c r="LV55" s="1705"/>
      <c r="LW55" s="1705"/>
      <c r="LX55" s="1705"/>
      <c r="LY55" s="1705"/>
      <c r="LZ55" s="1705"/>
      <c r="MA55" s="1705"/>
      <c r="MB55" s="1705"/>
      <c r="MC55" s="1705"/>
      <c r="MD55" s="1705"/>
      <c r="ME55" s="1705"/>
      <c r="MF55" s="1705"/>
      <c r="MG55" s="1705"/>
      <c r="MH55" s="1705"/>
      <c r="MI55" s="1705"/>
      <c r="MJ55" s="1705"/>
      <c r="MK55" s="1705"/>
      <c r="ML55" s="1705"/>
      <c r="MM55" s="1705"/>
      <c r="MN55" s="1705"/>
      <c r="MO55" s="1705"/>
      <c r="MP55" s="1705"/>
      <c r="MQ55" s="1705"/>
      <c r="MR55" s="1705"/>
      <c r="MS55" s="1705"/>
      <c r="MT55" s="1705"/>
      <c r="MU55" s="1705"/>
      <c r="MV55" s="1705"/>
      <c r="MW55" s="1705"/>
      <c r="MX55" s="1705"/>
      <c r="MY55" s="1705"/>
      <c r="MZ55" s="1705"/>
      <c r="NA55" s="1705"/>
      <c r="NB55" s="1705"/>
      <c r="NC55" s="1705"/>
      <c r="ND55" s="1705"/>
      <c r="NE55" s="1705"/>
      <c r="NF55" s="1705"/>
      <c r="NG55" s="1705"/>
      <c r="NH55" s="1705"/>
      <c r="NI55" s="1705"/>
      <c r="NJ55" s="1705"/>
      <c r="NK55" s="1705"/>
      <c r="NL55" s="1705"/>
      <c r="NM55" s="1705"/>
      <c r="NN55" s="1705"/>
      <c r="NO55" s="1705"/>
      <c r="NP55" s="1705"/>
      <c r="NQ55" s="1705"/>
      <c r="NR55" s="1705"/>
      <c r="NS55" s="1705"/>
      <c r="NT55" s="1705"/>
      <c r="NU55" s="1705"/>
      <c r="NV55" s="1705"/>
      <c r="NW55" s="1705"/>
      <c r="NX55" s="1705"/>
      <c r="NY55" s="1705"/>
      <c r="NZ55" s="1705"/>
      <c r="OA55" s="1705"/>
      <c r="OB55" s="1705"/>
      <c r="OC55" s="1705"/>
      <c r="OD55" s="1705"/>
      <c r="OE55" s="1705"/>
      <c r="OF55" s="1705"/>
      <c r="OG55" s="1705"/>
      <c r="OH55" s="1705"/>
      <c r="OI55" s="1705"/>
      <c r="OJ55" s="1705"/>
      <c r="OK55" s="1705"/>
      <c r="OL55" s="1705"/>
      <c r="OM55" s="1705"/>
      <c r="ON55" s="1705"/>
      <c r="OO55" s="1705"/>
      <c r="OP55" s="1705"/>
      <c r="OQ55" s="1705"/>
      <c r="OR55" s="1705"/>
      <c r="OS55" s="1705"/>
      <c r="OT55" s="1705"/>
      <c r="OU55" s="1705"/>
      <c r="OV55" s="1705"/>
      <c r="OW55" s="1705"/>
      <c r="OX55" s="1705"/>
      <c r="OY55" s="1705"/>
      <c r="OZ55" s="1705"/>
      <c r="PA55" s="1705"/>
      <c r="PB55" s="1705"/>
      <c r="PC55" s="1705"/>
      <c r="PD55" s="1705"/>
      <c r="PE55" s="1705"/>
      <c r="PF55" s="1705"/>
      <c r="PG55" s="1705"/>
      <c r="PH55" s="1705"/>
      <c r="PI55" s="1705"/>
      <c r="PJ55" s="1705"/>
      <c r="PK55" s="1705"/>
      <c r="PL55" s="1705"/>
      <c r="PM55" s="1705"/>
      <c r="PN55" s="1705"/>
      <c r="PO55" s="1705"/>
      <c r="PP55" s="1705"/>
      <c r="PQ55" s="1705"/>
      <c r="PR55" s="1705"/>
      <c r="PS55" s="1705"/>
      <c r="PT55" s="1705"/>
      <c r="PU55" s="1705"/>
      <c r="PV55" s="1705"/>
      <c r="PW55" s="1705"/>
      <c r="PX55" s="1705"/>
      <c r="PY55" s="1705"/>
      <c r="PZ55" s="1705"/>
      <c r="QA55" s="1705"/>
      <c r="QB55" s="1705"/>
      <c r="QC55" s="1705"/>
      <c r="QD55" s="1705"/>
      <c r="QE55" s="1705"/>
      <c r="QF55" s="1705"/>
      <c r="QG55" s="1705"/>
      <c r="QH55" s="1705"/>
      <c r="QI55" s="1705"/>
      <c r="QJ55" s="1705"/>
      <c r="QK55" s="1705"/>
      <c r="QL55" s="1705"/>
      <c r="QM55" s="1705"/>
      <c r="QN55" s="1705"/>
      <c r="QO55" s="1705"/>
      <c r="QP55" s="1705"/>
      <c r="QQ55" s="1705"/>
      <c r="QR55" s="1705"/>
      <c r="QS55" s="1705"/>
      <c r="QT55" s="1705"/>
      <c r="QU55" s="1705"/>
      <c r="QV55" s="1705"/>
      <c r="QW55" s="1705"/>
      <c r="QX55" s="1705"/>
      <c r="QY55" s="1705"/>
      <c r="QZ55" s="1705"/>
      <c r="RA55" s="1705"/>
      <c r="RB55" s="1705"/>
      <c r="RC55" s="1705"/>
      <c r="RD55" s="1705"/>
      <c r="RE55" s="1705"/>
      <c r="RF55" s="1705"/>
      <c r="RG55" s="1705"/>
      <c r="RH55" s="1705"/>
      <c r="RI55" s="1705"/>
      <c r="RJ55" s="1705"/>
      <c r="RK55" s="1705"/>
      <c r="RL55" s="1705"/>
      <c r="RM55" s="1705"/>
      <c r="RN55" s="1705"/>
      <c r="RO55" s="1705"/>
      <c r="RP55" s="1705"/>
      <c r="RQ55" s="1705"/>
      <c r="RR55" s="1705"/>
      <c r="RS55" s="1705"/>
      <c r="RT55" s="1705"/>
      <c r="RU55" s="1705"/>
      <c r="RV55" s="1705"/>
      <c r="RW55" s="1705"/>
      <c r="RX55" s="1705"/>
      <c r="RY55" s="1705"/>
      <c r="RZ55" s="1705"/>
      <c r="SA55" s="1705"/>
      <c r="SB55" s="1705"/>
      <c r="SC55" s="1705"/>
      <c r="SD55" s="1705"/>
      <c r="SE55" s="1705"/>
      <c r="SF55" s="1705"/>
      <c r="SG55" s="1705"/>
      <c r="SH55" s="1705"/>
      <c r="SI55" s="1705"/>
      <c r="SJ55" s="1705"/>
      <c r="SK55" s="1705"/>
      <c r="SL55" s="1705"/>
      <c r="SM55" s="1705"/>
      <c r="SN55" s="1705"/>
      <c r="SO55" s="1705"/>
      <c r="SP55" s="1705"/>
      <c r="SQ55" s="1705"/>
      <c r="SR55" s="1705"/>
      <c r="SS55" s="1705"/>
      <c r="ST55" s="1705"/>
      <c r="SU55" s="1705"/>
      <c r="SV55" s="1705"/>
      <c r="SW55" s="1705"/>
      <c r="SX55" s="1705"/>
      <c r="SY55" s="1705"/>
      <c r="SZ55" s="1705"/>
      <c r="TA55" s="1705"/>
      <c r="TB55" s="1705"/>
      <c r="TC55" s="1705"/>
      <c r="TD55" s="1705"/>
      <c r="TE55" s="1705"/>
      <c r="TF55" s="1705"/>
      <c r="TG55" s="1705"/>
      <c r="TH55" s="1705"/>
      <c r="TI55" s="1705"/>
      <c r="TJ55" s="1705"/>
      <c r="TK55" s="1705"/>
      <c r="TL55" s="1705"/>
      <c r="TM55" s="1705"/>
      <c r="TN55" s="1705"/>
      <c r="TO55" s="1705"/>
      <c r="TP55" s="1705"/>
      <c r="TQ55" s="1705"/>
      <c r="TR55" s="1705"/>
    </row>
    <row r="56" spans="17:538" x14ac:dyDescent="0.25">
      <c r="Q56" s="1500"/>
      <c r="R56" s="1501"/>
      <c r="S56" s="1501"/>
      <c r="T56" s="1501"/>
      <c r="U56" s="1501"/>
      <c r="V56" s="1501"/>
      <c r="W56" s="1501"/>
      <c r="X56" s="1501"/>
      <c r="Y56" s="1501"/>
      <c r="Z56" s="1514">
        <f t="shared" si="98"/>
        <v>2</v>
      </c>
      <c r="AA56" s="1515"/>
      <c r="AB56" s="1516">
        <f t="shared" si="99"/>
        <v>20</v>
      </c>
      <c r="AC56" s="1501"/>
      <c r="AD56" s="1501"/>
      <c r="AE56" s="1501"/>
      <c r="AF56" s="1501"/>
      <c r="AG56" s="1501"/>
      <c r="AH56" s="1501"/>
      <c r="AI56" s="1501"/>
      <c r="AJ56" s="1500"/>
      <c r="AK56" s="1500"/>
      <c r="AL56" s="1500"/>
      <c r="AM56" s="1500"/>
      <c r="AN56" s="1500"/>
      <c r="AO56" s="1500"/>
      <c r="AP56" s="1500"/>
      <c r="AQ56" s="1500"/>
      <c r="AR56" s="1500"/>
      <c r="AS56" s="1500"/>
      <c r="AT56" s="1500"/>
      <c r="AU56" s="1500"/>
      <c r="AV56" s="1500"/>
      <c r="AW56" s="1500"/>
      <c r="AX56" s="1500"/>
      <c r="AY56" s="1500"/>
      <c r="AZ56" s="1412"/>
      <c r="BA56" s="1412"/>
      <c r="BB56" s="1412"/>
      <c r="BC56" s="1412"/>
      <c r="BD56" s="1412"/>
      <c r="BE56" s="1412"/>
      <c r="BF56" s="1412"/>
      <c r="BG56" s="1412"/>
      <c r="BH56" s="1412"/>
      <c r="BI56" s="1412"/>
      <c r="BJ56" s="1412"/>
      <c r="BK56" s="1412"/>
      <c r="BL56" s="1412"/>
      <c r="BM56" s="1412"/>
      <c r="BN56" s="1412"/>
    </row>
    <row r="57" spans="17:538" x14ac:dyDescent="0.25">
      <c r="Q57" s="1500"/>
      <c r="R57" s="1501"/>
      <c r="S57" s="1501"/>
      <c r="T57" s="1501"/>
      <c r="U57" s="1501"/>
      <c r="V57" s="1501"/>
      <c r="W57" s="1501"/>
      <c r="X57" s="1501"/>
      <c r="Y57" s="1501"/>
      <c r="Z57" s="1514">
        <f t="shared" si="98"/>
        <v>2</v>
      </c>
      <c r="AA57" s="1515"/>
      <c r="AB57" s="1516">
        <f t="shared" si="99"/>
        <v>20</v>
      </c>
      <c r="AC57" s="1501"/>
      <c r="AD57" s="1501"/>
      <c r="AE57" s="1501"/>
      <c r="AF57" s="1501"/>
      <c r="AG57" s="1501"/>
      <c r="AH57" s="1501"/>
      <c r="AI57" s="1501"/>
      <c r="AJ57" s="1500"/>
      <c r="AK57" s="1500"/>
      <c r="AL57" s="1500"/>
      <c r="AM57" s="1500"/>
      <c r="AN57" s="1500"/>
      <c r="AO57" s="1500"/>
      <c r="AP57" s="1500"/>
      <c r="AQ57" s="1500"/>
      <c r="AR57" s="1500"/>
      <c r="AS57" s="1500"/>
      <c r="AT57" s="1500"/>
      <c r="AU57" s="1500"/>
      <c r="AV57" s="1500"/>
      <c r="AW57" s="1500"/>
      <c r="AX57" s="1500"/>
      <c r="AY57" s="1500"/>
      <c r="AZ57" s="1412"/>
      <c r="BA57" s="1412"/>
      <c r="BB57" s="1412"/>
      <c r="BC57" s="1412"/>
      <c r="BD57" s="1412"/>
      <c r="BE57" s="1412"/>
      <c r="BF57" s="1412"/>
      <c r="BG57" s="1412"/>
      <c r="BH57" s="1412"/>
      <c r="BI57" s="1412"/>
      <c r="BJ57" s="1412"/>
      <c r="BK57" s="1412"/>
      <c r="BL57" s="1412"/>
      <c r="BM57" s="1412"/>
      <c r="BN57" s="1412"/>
    </row>
    <row r="58" spans="17:538" x14ac:dyDescent="0.25">
      <c r="Q58" s="1500"/>
      <c r="R58" s="1501"/>
      <c r="S58" s="1501"/>
      <c r="T58" s="1501"/>
      <c r="U58" s="1501"/>
      <c r="V58" s="1501"/>
      <c r="W58" s="1501"/>
      <c r="X58" s="1501"/>
      <c r="Y58" s="1501"/>
      <c r="Z58" s="1514">
        <f t="shared" si="98"/>
        <v>2</v>
      </c>
      <c r="AA58" s="1515"/>
      <c r="AB58" s="1516">
        <f t="shared" si="99"/>
        <v>20</v>
      </c>
      <c r="AC58" s="1501"/>
      <c r="AD58" s="1501"/>
      <c r="AE58" s="1501"/>
      <c r="AF58" s="1501"/>
      <c r="AG58" s="1501"/>
      <c r="AH58" s="1501"/>
      <c r="AI58" s="1501"/>
      <c r="AJ58" s="1500"/>
      <c r="AK58" s="1500"/>
      <c r="AL58" s="1500"/>
      <c r="AM58" s="1500"/>
      <c r="AN58" s="1500"/>
      <c r="AO58" s="1500"/>
      <c r="AP58" s="1500"/>
      <c r="AQ58" s="1500"/>
      <c r="AR58" s="1500"/>
      <c r="AS58" s="1500"/>
      <c r="AT58" s="1500"/>
      <c r="AU58" s="1500"/>
      <c r="AV58" s="1500"/>
      <c r="AW58" s="1500"/>
      <c r="AX58" s="1500"/>
      <c r="AY58" s="1500"/>
      <c r="AZ58" s="1412"/>
      <c r="BA58" s="1412"/>
      <c r="BB58" s="1412"/>
      <c r="BC58" s="1412"/>
      <c r="BD58" s="1412"/>
      <c r="BE58" s="1412"/>
      <c r="BF58" s="1412"/>
      <c r="BG58" s="1412"/>
      <c r="BH58" s="1412"/>
      <c r="BI58" s="1412"/>
      <c r="BJ58" s="1412"/>
      <c r="BK58" s="1412"/>
      <c r="BL58" s="1412"/>
      <c r="BM58" s="1412"/>
      <c r="BN58" s="1412"/>
    </row>
    <row r="59" spans="17:538" x14ac:dyDescent="0.25">
      <c r="Q59" s="1500"/>
      <c r="R59" s="1501"/>
      <c r="S59" s="1501"/>
      <c r="T59" s="1501"/>
      <c r="U59" s="1501"/>
      <c r="V59" s="1501"/>
      <c r="W59" s="1501"/>
      <c r="X59" s="1501"/>
      <c r="Y59" s="1501"/>
      <c r="Z59" s="1514">
        <f t="shared" si="98"/>
        <v>2</v>
      </c>
      <c r="AA59" s="1515"/>
      <c r="AB59" s="1516">
        <f t="shared" si="99"/>
        <v>20</v>
      </c>
      <c r="AC59" s="1501"/>
      <c r="AD59" s="1501"/>
      <c r="AE59" s="1501"/>
      <c r="AF59" s="1501"/>
      <c r="AG59" s="1501"/>
      <c r="AH59" s="1501"/>
      <c r="AI59" s="1501"/>
      <c r="AJ59" s="1500"/>
      <c r="AK59" s="1500"/>
      <c r="AL59" s="1500"/>
      <c r="AM59" s="1500"/>
      <c r="AN59" s="1500"/>
      <c r="AO59" s="1500"/>
      <c r="AP59" s="1500"/>
      <c r="AQ59" s="1500"/>
      <c r="AR59" s="1500"/>
      <c r="AS59" s="1500"/>
      <c r="AT59" s="1500"/>
      <c r="AU59" s="1500"/>
      <c r="AV59" s="1500"/>
      <c r="AW59" s="1500"/>
      <c r="AX59" s="1500"/>
      <c r="AY59" s="1500"/>
      <c r="AZ59" s="1412"/>
      <c r="BA59" s="1412"/>
      <c r="BB59" s="1412"/>
      <c r="BC59" s="1412"/>
      <c r="BD59" s="1412"/>
      <c r="BE59" s="1412"/>
      <c r="BF59" s="1412"/>
      <c r="BG59" s="1412"/>
      <c r="BH59" s="1412"/>
      <c r="BI59" s="1412"/>
      <c r="BJ59" s="1412"/>
      <c r="BK59" s="1412"/>
      <c r="BL59" s="1412"/>
      <c r="BM59" s="1412"/>
      <c r="BN59" s="1412"/>
    </row>
    <row r="60" spans="17:538" x14ac:dyDescent="0.25">
      <c r="Q60" s="1500"/>
      <c r="R60" s="1501"/>
      <c r="S60" s="1501"/>
      <c r="T60" s="1501"/>
      <c r="U60" s="1501"/>
      <c r="V60" s="1501"/>
      <c r="W60" s="1501"/>
      <c r="X60" s="1501"/>
      <c r="Y60" s="1501"/>
      <c r="Z60" s="1514">
        <f t="shared" si="98"/>
        <v>2</v>
      </c>
      <c r="AA60" s="1515"/>
      <c r="AB60" s="1516">
        <f t="shared" si="99"/>
        <v>20</v>
      </c>
      <c r="AC60" s="1501"/>
      <c r="AD60" s="1501"/>
      <c r="AE60" s="1501"/>
      <c r="AF60" s="1501"/>
      <c r="AG60" s="1501"/>
      <c r="AH60" s="1501"/>
      <c r="AI60" s="1501"/>
      <c r="AJ60" s="1500"/>
      <c r="AK60" s="1500"/>
      <c r="AL60" s="1500"/>
      <c r="AM60" s="1500"/>
      <c r="AN60" s="1500"/>
      <c r="AO60" s="1500"/>
      <c r="AP60" s="1500"/>
      <c r="AQ60" s="1500"/>
      <c r="AR60" s="1500"/>
      <c r="AS60" s="1500"/>
      <c r="AT60" s="1500"/>
      <c r="AU60" s="1500"/>
      <c r="AV60" s="1500"/>
      <c r="AW60" s="1500"/>
      <c r="AX60" s="1500"/>
      <c r="AY60" s="1500"/>
      <c r="AZ60" s="1412"/>
      <c r="BA60" s="1412"/>
      <c r="BB60" s="1412"/>
      <c r="BC60" s="1412"/>
      <c r="BD60" s="1412"/>
      <c r="BE60" s="1412"/>
      <c r="BF60" s="1412"/>
      <c r="BG60" s="1412"/>
      <c r="BH60" s="1412"/>
      <c r="BI60" s="1412"/>
      <c r="BJ60" s="1412"/>
      <c r="BK60" s="1412"/>
      <c r="BL60" s="1412"/>
      <c r="BM60" s="1412"/>
      <c r="BN60" s="1412"/>
    </row>
    <row r="61" spans="17:538" x14ac:dyDescent="0.25">
      <c r="Q61" s="1500"/>
      <c r="R61" s="1501"/>
      <c r="S61" s="1501"/>
      <c r="T61" s="1501"/>
      <c r="U61" s="1501"/>
      <c r="V61" s="1501"/>
      <c r="W61" s="1501"/>
      <c r="X61" s="1501"/>
      <c r="Y61" s="1501"/>
      <c r="Z61" s="1514">
        <f t="shared" si="98"/>
        <v>2</v>
      </c>
      <c r="AA61" s="1515"/>
      <c r="AB61" s="1516">
        <f t="shared" si="99"/>
        <v>20</v>
      </c>
      <c r="AC61" s="1501"/>
      <c r="AD61" s="1501"/>
      <c r="AE61" s="1501"/>
      <c r="AF61" s="1501"/>
      <c r="AG61" s="1501"/>
      <c r="AH61" s="1501"/>
      <c r="AI61" s="1501"/>
      <c r="AJ61" s="1500"/>
      <c r="AK61" s="1500"/>
      <c r="AL61" s="1500"/>
      <c r="AM61" s="1500"/>
      <c r="AN61" s="1500"/>
      <c r="AO61" s="1500"/>
      <c r="AP61" s="1500"/>
      <c r="AQ61" s="1500"/>
      <c r="AR61" s="1500"/>
      <c r="AS61" s="1500"/>
      <c r="AT61" s="1500"/>
      <c r="AU61" s="1500"/>
      <c r="AV61" s="1500"/>
      <c r="AW61" s="1500"/>
      <c r="AX61" s="1500"/>
      <c r="AY61" s="1500"/>
      <c r="AZ61" s="1412"/>
      <c r="BA61" s="1412"/>
      <c r="BB61" s="1412"/>
      <c r="BC61" s="1412"/>
      <c r="BD61" s="1412"/>
      <c r="BE61" s="1412"/>
      <c r="BF61" s="1412"/>
      <c r="BG61" s="1412"/>
      <c r="BH61" s="1412"/>
      <c r="BI61" s="1412"/>
      <c r="BJ61" s="1412"/>
      <c r="BK61" s="1412"/>
      <c r="BL61" s="1412"/>
      <c r="BM61" s="1412"/>
      <c r="BN61" s="1412"/>
    </row>
    <row r="62" spans="17:538" x14ac:dyDescent="0.25">
      <c r="Q62" s="1500"/>
      <c r="R62" s="1501"/>
      <c r="S62" s="1501"/>
      <c r="T62" s="1501"/>
      <c r="U62" s="1501"/>
      <c r="V62" s="1501"/>
      <c r="W62" s="1501"/>
      <c r="X62" s="1501"/>
      <c r="Y62" s="1501"/>
      <c r="Z62" s="1514">
        <f t="shared" si="98"/>
        <v>2</v>
      </c>
      <c r="AA62" s="1515"/>
      <c r="AB62" s="1516">
        <f t="shared" si="99"/>
        <v>20</v>
      </c>
      <c r="AC62" s="1501"/>
      <c r="AD62" s="1501"/>
      <c r="AE62" s="1501"/>
      <c r="AF62" s="1501"/>
      <c r="AG62" s="1501"/>
      <c r="AH62" s="1501"/>
      <c r="AI62" s="1501"/>
      <c r="AJ62" s="1500"/>
      <c r="AK62" s="1500"/>
      <c r="AL62" s="1500"/>
      <c r="AM62" s="1500"/>
      <c r="AN62" s="1500"/>
      <c r="AO62" s="1500"/>
      <c r="AP62" s="1500"/>
      <c r="AQ62" s="1500"/>
      <c r="AR62" s="1500"/>
      <c r="AS62" s="1500"/>
      <c r="AT62" s="1500"/>
      <c r="AU62" s="1500"/>
      <c r="AV62" s="1500"/>
      <c r="AW62" s="1500"/>
      <c r="AX62" s="1500"/>
      <c r="AY62" s="1500"/>
      <c r="AZ62" s="1412"/>
      <c r="BA62" s="1412"/>
      <c r="BB62" s="1412"/>
      <c r="BC62" s="1412"/>
      <c r="BD62" s="1412"/>
      <c r="BE62" s="1412"/>
      <c r="BF62" s="1412"/>
      <c r="BG62" s="1412"/>
      <c r="BH62" s="1412"/>
      <c r="BI62" s="1412"/>
      <c r="BJ62" s="1412"/>
      <c r="BK62" s="1412"/>
      <c r="BL62" s="1412"/>
      <c r="BM62" s="1412"/>
      <c r="BN62" s="1412"/>
    </row>
    <row r="63" spans="17:538" x14ac:dyDescent="0.25">
      <c r="Q63" s="1500"/>
      <c r="R63" s="1501"/>
      <c r="S63" s="1501"/>
      <c r="T63" s="1501"/>
      <c r="U63" s="1501"/>
      <c r="V63" s="1501"/>
      <c r="W63" s="1501"/>
      <c r="X63" s="1501"/>
      <c r="Y63" s="1501"/>
      <c r="Z63" s="1514">
        <f t="shared" si="98"/>
        <v>2</v>
      </c>
      <c r="AA63" s="1515"/>
      <c r="AB63" s="1516">
        <f t="shared" si="99"/>
        <v>20</v>
      </c>
      <c r="AC63" s="1501"/>
      <c r="AD63" s="1501"/>
      <c r="AE63" s="1501"/>
      <c r="AF63" s="1501"/>
      <c r="AG63" s="1501"/>
      <c r="AH63" s="1501"/>
      <c r="AI63" s="1501"/>
      <c r="AJ63" s="1500"/>
      <c r="AK63" s="1500"/>
      <c r="AL63" s="1500"/>
      <c r="AM63" s="1500"/>
      <c r="AN63" s="1500"/>
      <c r="AO63" s="1500"/>
      <c r="AP63" s="1500"/>
      <c r="AQ63" s="1500"/>
      <c r="AR63" s="1500"/>
      <c r="AS63" s="1500"/>
      <c r="AT63" s="1500"/>
      <c r="AU63" s="1500"/>
      <c r="AV63" s="1500"/>
      <c r="AW63" s="1500"/>
      <c r="AX63" s="1500"/>
      <c r="AY63" s="1500"/>
      <c r="AZ63" s="1412"/>
      <c r="BA63" s="1412"/>
      <c r="BB63" s="1412"/>
      <c r="BC63" s="1412"/>
      <c r="BD63" s="1412"/>
      <c r="BE63" s="1412"/>
      <c r="BF63" s="1412"/>
      <c r="BG63" s="1412"/>
      <c r="BH63" s="1412"/>
      <c r="BI63" s="1412"/>
      <c r="BJ63" s="1412"/>
      <c r="BK63" s="1412"/>
      <c r="BL63" s="1412"/>
      <c r="BM63" s="1412"/>
      <c r="BN63" s="1412"/>
    </row>
    <row r="64" spans="17:538" x14ac:dyDescent="0.25">
      <c r="Q64" s="1500"/>
      <c r="R64" s="1501"/>
      <c r="S64" s="1501"/>
      <c r="T64" s="1501"/>
      <c r="U64" s="1501"/>
      <c r="V64" s="1501"/>
      <c r="W64" s="1501"/>
      <c r="X64" s="1501"/>
      <c r="Y64" s="1501"/>
      <c r="Z64" s="1514">
        <f t="shared" si="98"/>
        <v>2</v>
      </c>
      <c r="AA64" s="1515"/>
      <c r="AB64" s="1516">
        <f t="shared" si="99"/>
        <v>20</v>
      </c>
      <c r="AC64" s="1501"/>
      <c r="AD64" s="1501"/>
      <c r="AE64" s="1501"/>
      <c r="AF64" s="1501"/>
      <c r="AG64" s="1501"/>
      <c r="AH64" s="1501"/>
      <c r="AI64" s="1501"/>
      <c r="AJ64" s="1500"/>
      <c r="AK64" s="1500"/>
      <c r="AL64" s="1500"/>
      <c r="AM64" s="1500"/>
      <c r="AN64" s="1500"/>
      <c r="AO64" s="1500"/>
      <c r="AP64" s="1500"/>
      <c r="AQ64" s="1500"/>
      <c r="AR64" s="1500"/>
      <c r="AS64" s="1500"/>
      <c r="AT64" s="1500"/>
      <c r="AU64" s="1500"/>
      <c r="AV64" s="1500"/>
      <c r="AW64" s="1500"/>
      <c r="AX64" s="1500"/>
      <c r="AY64" s="1500"/>
      <c r="AZ64" s="1412"/>
      <c r="BA64" s="1412"/>
      <c r="BB64" s="1412"/>
      <c r="BC64" s="1412"/>
      <c r="BD64" s="1412"/>
      <c r="BE64" s="1412"/>
      <c r="BF64" s="1412"/>
      <c r="BG64" s="1412"/>
      <c r="BH64" s="1412"/>
      <c r="BI64" s="1412"/>
      <c r="BJ64" s="1412"/>
      <c r="BK64" s="1412"/>
      <c r="BL64" s="1412"/>
      <c r="BM64" s="1412"/>
      <c r="BN64" s="1412"/>
    </row>
    <row r="65" spans="17:66" x14ac:dyDescent="0.25">
      <c r="Q65" s="1500"/>
      <c r="R65" s="1501"/>
      <c r="S65" s="1501"/>
      <c r="T65" s="1501"/>
      <c r="U65" s="1501"/>
      <c r="V65" s="1501"/>
      <c r="W65" s="1501"/>
      <c r="X65" s="1501"/>
      <c r="Y65" s="1501"/>
      <c r="Z65" s="1514">
        <f t="shared" si="98"/>
        <v>2</v>
      </c>
      <c r="AA65" s="1515"/>
      <c r="AB65" s="1516">
        <f t="shared" si="99"/>
        <v>20</v>
      </c>
      <c r="AC65" s="1501"/>
      <c r="AD65" s="1501"/>
      <c r="AE65" s="1501"/>
      <c r="AF65" s="1501"/>
      <c r="AG65" s="1501"/>
      <c r="AH65" s="1501"/>
      <c r="AI65" s="1501"/>
      <c r="AJ65" s="1500"/>
      <c r="AK65" s="1500"/>
      <c r="AL65" s="1500"/>
      <c r="AM65" s="1500"/>
      <c r="AN65" s="1500"/>
      <c r="AO65" s="1500"/>
      <c r="AP65" s="1500"/>
      <c r="AQ65" s="1500"/>
      <c r="AR65" s="1500"/>
      <c r="AS65" s="1500"/>
      <c r="AT65" s="1500"/>
      <c r="AU65" s="1500"/>
      <c r="AV65" s="1500"/>
      <c r="AW65" s="1500"/>
      <c r="AX65" s="1500"/>
      <c r="AY65" s="1500"/>
      <c r="AZ65" s="1412"/>
      <c r="BA65" s="1412"/>
      <c r="BB65" s="1412"/>
      <c r="BC65" s="1412"/>
      <c r="BD65" s="1412"/>
      <c r="BE65" s="1412"/>
      <c r="BF65" s="1412"/>
      <c r="BG65" s="1412"/>
      <c r="BH65" s="1412"/>
      <c r="BI65" s="1412"/>
      <c r="BJ65" s="1412"/>
      <c r="BK65" s="1412"/>
      <c r="BL65" s="1412"/>
      <c r="BM65" s="1412"/>
      <c r="BN65" s="1412"/>
    </row>
    <row r="66" spans="17:66" x14ac:dyDescent="0.25">
      <c r="Q66" s="1500"/>
      <c r="R66" s="1501"/>
      <c r="S66" s="1501"/>
      <c r="T66" s="1501"/>
      <c r="U66" s="1501"/>
      <c r="V66" s="1501"/>
      <c r="W66" s="1501"/>
      <c r="X66" s="1501"/>
      <c r="Y66" s="1501"/>
      <c r="Z66" s="1514"/>
      <c r="AA66" s="1515"/>
      <c r="AB66" s="1516"/>
      <c r="AC66" s="1501"/>
      <c r="AD66" s="1501"/>
      <c r="AE66" s="1501"/>
      <c r="AF66" s="1501"/>
      <c r="AG66" s="1501"/>
      <c r="AH66" s="1501"/>
      <c r="AI66" s="1501"/>
      <c r="AJ66" s="1500"/>
      <c r="AK66" s="1500"/>
      <c r="AL66" s="1500"/>
      <c r="AM66" s="1500"/>
      <c r="AN66" s="1500"/>
      <c r="AO66" s="1500"/>
      <c r="AP66" s="1500"/>
      <c r="AQ66" s="1500"/>
      <c r="AR66" s="1500"/>
      <c r="AS66" s="1500"/>
      <c r="AT66" s="1500"/>
      <c r="AU66" s="1500"/>
      <c r="AV66" s="1500"/>
      <c r="AW66" s="1500"/>
      <c r="AX66" s="1500"/>
      <c r="AY66" s="1500"/>
      <c r="AZ66" s="1412"/>
      <c r="BA66" s="1412"/>
      <c r="BB66" s="1412"/>
      <c r="BC66" s="1412"/>
      <c r="BD66" s="1412"/>
      <c r="BE66" s="1412"/>
      <c r="BF66" s="1412"/>
      <c r="BG66" s="1412"/>
      <c r="BH66" s="1412"/>
      <c r="BI66" s="1412"/>
      <c r="BJ66" s="1412"/>
      <c r="BK66" s="1412"/>
      <c r="BL66" s="1412"/>
      <c r="BM66" s="1412"/>
      <c r="BN66" s="1412"/>
    </row>
    <row r="67" spans="17:66" x14ac:dyDescent="0.25">
      <c r="Q67" s="1500"/>
      <c r="R67" s="1501"/>
      <c r="S67" s="1501"/>
      <c r="T67" s="1501"/>
      <c r="U67" s="1501"/>
      <c r="V67" s="1501"/>
      <c r="W67" s="1501"/>
      <c r="X67" s="1501"/>
      <c r="Y67" s="1501"/>
      <c r="Z67" s="1502"/>
      <c r="AA67" s="1503"/>
      <c r="AB67" s="1504"/>
      <c r="AC67" s="1501"/>
      <c r="AD67" s="1501"/>
      <c r="AE67" s="1501"/>
      <c r="AF67" s="1501"/>
      <c r="AG67" s="1501"/>
      <c r="AH67" s="1501"/>
      <c r="AI67" s="1501"/>
      <c r="AJ67" s="1500"/>
      <c r="AK67" s="1500"/>
      <c r="AL67" s="1500"/>
      <c r="AM67" s="1500"/>
      <c r="AN67" s="1500"/>
      <c r="AO67" s="1500"/>
      <c r="AP67" s="1500"/>
      <c r="AQ67" s="1500"/>
      <c r="AR67" s="1500"/>
      <c r="AS67" s="1500"/>
      <c r="AT67" s="1500"/>
      <c r="AU67" s="1500"/>
      <c r="AV67" s="1500"/>
      <c r="AW67" s="1500"/>
      <c r="AX67" s="1500"/>
      <c r="AY67" s="1500"/>
      <c r="AZ67" s="1412"/>
      <c r="BA67" s="1412"/>
      <c r="BB67" s="1412"/>
      <c r="BC67" s="1412"/>
      <c r="BD67" s="1412"/>
      <c r="BE67" s="1412"/>
      <c r="BF67" s="1412"/>
      <c r="BG67" s="1412"/>
      <c r="BH67" s="1412"/>
      <c r="BI67" s="1412"/>
      <c r="BJ67" s="1412"/>
      <c r="BK67" s="1412"/>
      <c r="BL67" s="1412"/>
      <c r="BM67" s="1412"/>
      <c r="BN67" s="1412"/>
    </row>
    <row r="68" spans="17:66" x14ac:dyDescent="0.25">
      <c r="Q68" s="1500"/>
      <c r="R68" s="1501"/>
      <c r="S68" s="1501"/>
      <c r="T68" s="1501"/>
      <c r="U68" s="1501"/>
      <c r="V68" s="1501"/>
      <c r="W68" s="1501"/>
      <c r="X68" s="1501"/>
      <c r="Y68" s="1501"/>
      <c r="Z68" s="1502"/>
      <c r="AA68" s="1503"/>
      <c r="AB68" s="1504"/>
      <c r="AC68" s="1501"/>
      <c r="AD68" s="1501"/>
      <c r="AE68" s="1501"/>
      <c r="AF68" s="1501"/>
      <c r="AG68" s="1501"/>
      <c r="AH68" s="1501"/>
      <c r="AI68" s="1501"/>
      <c r="AJ68" s="1500"/>
      <c r="AK68" s="1500"/>
      <c r="AL68" s="1500"/>
      <c r="AM68" s="1500"/>
      <c r="AN68" s="1500"/>
      <c r="AO68" s="1500"/>
      <c r="AP68" s="1500"/>
      <c r="AQ68" s="1500"/>
      <c r="AR68" s="1500"/>
      <c r="AS68" s="1500"/>
      <c r="AT68" s="1500"/>
      <c r="AU68" s="1500"/>
      <c r="AV68" s="1500"/>
      <c r="AW68" s="1500"/>
      <c r="AX68" s="1500"/>
      <c r="AY68" s="1500"/>
      <c r="AZ68" s="1412"/>
      <c r="BA68" s="1412"/>
      <c r="BB68" s="1412"/>
      <c r="BC68" s="1412"/>
      <c r="BD68" s="1412"/>
      <c r="BE68" s="1412"/>
      <c r="BF68" s="1412"/>
      <c r="BG68" s="1412"/>
      <c r="BH68" s="1412"/>
      <c r="BI68" s="1412"/>
      <c r="BJ68" s="1412"/>
      <c r="BK68" s="1412"/>
      <c r="BL68" s="1412"/>
      <c r="BM68" s="1412"/>
      <c r="BN68" s="1412"/>
    </row>
    <row r="69" spans="17:66" x14ac:dyDescent="0.25">
      <c r="Q69" s="1500"/>
      <c r="R69" s="1501"/>
      <c r="S69" s="1501"/>
      <c r="T69" s="1501"/>
      <c r="U69" s="1501"/>
      <c r="V69" s="1501"/>
      <c r="W69" s="1501"/>
      <c r="X69" s="1501"/>
      <c r="Y69" s="1501"/>
      <c r="Z69" s="1502"/>
      <c r="AA69" s="1503"/>
      <c r="AB69" s="1504"/>
      <c r="AC69" s="1501"/>
      <c r="AD69" s="1501"/>
      <c r="AE69" s="1501"/>
      <c r="AF69" s="1501"/>
      <c r="AG69" s="1501"/>
      <c r="AH69" s="1501"/>
      <c r="AI69" s="1501"/>
      <c r="AJ69" s="1500"/>
      <c r="AK69" s="1500"/>
      <c r="AL69" s="1500"/>
      <c r="AM69" s="1500"/>
      <c r="AN69" s="1500"/>
      <c r="AO69" s="1500"/>
      <c r="AP69" s="1500"/>
      <c r="AQ69" s="1500"/>
      <c r="AR69" s="1500"/>
      <c r="AS69" s="1500"/>
      <c r="AT69" s="1500"/>
      <c r="AU69" s="1500"/>
      <c r="AV69" s="1500"/>
      <c r="AW69" s="1500"/>
      <c r="AX69" s="1500"/>
      <c r="AY69" s="1500"/>
      <c r="AZ69" s="1412"/>
      <c r="BA69" s="1412"/>
      <c r="BB69" s="1412"/>
      <c r="BC69" s="1412"/>
      <c r="BD69" s="1412"/>
      <c r="BE69" s="1412"/>
      <c r="BF69" s="1412"/>
      <c r="BG69" s="1412"/>
      <c r="BH69" s="1412"/>
      <c r="BI69" s="1412"/>
      <c r="BJ69" s="1412"/>
      <c r="BK69" s="1412"/>
      <c r="BL69" s="1412"/>
      <c r="BM69" s="1412"/>
      <c r="BN69" s="1412"/>
    </row>
    <row r="70" spans="17:66" x14ac:dyDescent="0.25">
      <c r="Q70" s="1500"/>
      <c r="R70" s="1501"/>
      <c r="S70" s="1501"/>
      <c r="T70" s="1501"/>
      <c r="U70" s="1501"/>
      <c r="V70" s="1501"/>
      <c r="W70" s="1501"/>
      <c r="X70" s="1501"/>
      <c r="Y70" s="1501"/>
      <c r="Z70" s="1502"/>
      <c r="AA70" s="1503"/>
      <c r="AB70" s="1504"/>
      <c r="AC70" s="1501"/>
      <c r="AD70" s="1501"/>
      <c r="AE70" s="1501"/>
      <c r="AF70" s="1501"/>
      <c r="AG70" s="1501"/>
      <c r="AH70" s="1501"/>
      <c r="AI70" s="1501"/>
      <c r="AJ70" s="1500"/>
      <c r="AK70" s="1500"/>
      <c r="AL70" s="1500"/>
      <c r="AM70" s="1500"/>
      <c r="AN70" s="1500"/>
      <c r="AO70" s="1500"/>
      <c r="AP70" s="1500"/>
      <c r="AQ70" s="1500"/>
      <c r="AR70" s="1500"/>
      <c r="AS70" s="1500"/>
      <c r="AT70" s="1500"/>
      <c r="AU70" s="1500"/>
      <c r="AV70" s="1500"/>
      <c r="AW70" s="1500"/>
      <c r="AX70" s="1500"/>
      <c r="AY70" s="1500"/>
      <c r="AZ70" s="1412"/>
      <c r="BA70" s="1412"/>
      <c r="BB70" s="1412"/>
      <c r="BC70" s="1412"/>
      <c r="BD70" s="1412"/>
      <c r="BE70" s="1412"/>
      <c r="BF70" s="1412"/>
      <c r="BG70" s="1412"/>
      <c r="BH70" s="1412"/>
      <c r="BI70" s="1412"/>
      <c r="BJ70" s="1412"/>
      <c r="BK70" s="1412"/>
      <c r="BL70" s="1412"/>
      <c r="BM70" s="1412"/>
      <c r="BN70" s="1412"/>
    </row>
    <row r="71" spans="17:66" x14ac:dyDescent="0.25">
      <c r="Q71" s="1500"/>
      <c r="R71" s="1501"/>
      <c r="S71" s="1501"/>
      <c r="T71" s="1501"/>
      <c r="U71" s="1501"/>
      <c r="V71" s="1501"/>
      <c r="W71" s="1501"/>
      <c r="X71" s="1501"/>
      <c r="Y71" s="1501"/>
      <c r="Z71" s="1502"/>
      <c r="AA71" s="1503"/>
      <c r="AB71" s="1504"/>
      <c r="AC71" s="1501"/>
      <c r="AD71" s="1501"/>
      <c r="AE71" s="1501"/>
      <c r="AF71" s="1501"/>
      <c r="AG71" s="1501"/>
      <c r="AH71" s="1501"/>
      <c r="AI71" s="1501"/>
      <c r="AJ71" s="1500"/>
      <c r="AK71" s="1500"/>
      <c r="AL71" s="1500"/>
      <c r="AM71" s="1500"/>
      <c r="AN71" s="1500"/>
      <c r="AO71" s="1500"/>
      <c r="AP71" s="1500"/>
      <c r="AQ71" s="1500"/>
      <c r="AR71" s="1500"/>
      <c r="AS71" s="1500"/>
      <c r="AT71" s="1500"/>
      <c r="AU71" s="1500"/>
      <c r="AV71" s="1500"/>
      <c r="AW71" s="1500"/>
      <c r="AX71" s="1500"/>
      <c r="AY71" s="1500"/>
      <c r="AZ71" s="1412"/>
      <c r="BA71" s="1412"/>
      <c r="BB71" s="1412"/>
      <c r="BC71" s="1412"/>
      <c r="BD71" s="1412"/>
      <c r="BE71" s="1412"/>
      <c r="BF71" s="1412"/>
      <c r="BG71" s="1412"/>
      <c r="BH71" s="1412"/>
      <c r="BI71" s="1412"/>
      <c r="BJ71" s="1412"/>
      <c r="BK71" s="1412"/>
      <c r="BL71" s="1412"/>
      <c r="BM71" s="1412"/>
      <c r="BN71" s="1412"/>
    </row>
    <row r="72" spans="17:66" x14ac:dyDescent="0.25">
      <c r="Q72" s="1500"/>
      <c r="R72" s="1501"/>
      <c r="S72" s="1501"/>
      <c r="T72" s="1501"/>
      <c r="U72" s="1501"/>
      <c r="V72" s="1501"/>
      <c r="W72" s="1501"/>
      <c r="X72" s="1501"/>
      <c r="Y72" s="1501"/>
      <c r="Z72" s="1502"/>
      <c r="AA72" s="1503"/>
      <c r="AB72" s="1504"/>
      <c r="AC72" s="1501"/>
      <c r="AD72" s="1501"/>
      <c r="AE72" s="1501"/>
      <c r="AF72" s="1501"/>
      <c r="AG72" s="1501"/>
      <c r="AH72" s="1501"/>
      <c r="AI72" s="1501"/>
      <c r="AJ72" s="1500"/>
      <c r="AK72" s="1500"/>
      <c r="AL72" s="1500"/>
      <c r="AM72" s="1500"/>
      <c r="AN72" s="1500"/>
      <c r="AO72" s="1500"/>
      <c r="AP72" s="1500"/>
      <c r="AQ72" s="1500"/>
      <c r="AR72" s="1500"/>
      <c r="AS72" s="1500"/>
      <c r="AT72" s="1500"/>
      <c r="AU72" s="1500"/>
      <c r="AV72" s="1500"/>
      <c r="AW72" s="1500"/>
      <c r="AX72" s="1500"/>
      <c r="AY72" s="1500"/>
      <c r="AZ72" s="1412"/>
      <c r="BA72" s="1412"/>
      <c r="BB72" s="1412"/>
      <c r="BC72" s="1412"/>
      <c r="BD72" s="1412"/>
      <c r="BE72" s="1412"/>
      <c r="BF72" s="1412"/>
      <c r="BG72" s="1412"/>
      <c r="BH72" s="1412"/>
      <c r="BI72" s="1412"/>
      <c r="BJ72" s="1412"/>
      <c r="BK72" s="1412"/>
      <c r="BL72" s="1412"/>
      <c r="BM72" s="1412"/>
      <c r="BN72" s="1412"/>
    </row>
    <row r="73" spans="17:66" x14ac:dyDescent="0.25">
      <c r="Q73" s="1500"/>
      <c r="R73" s="1501"/>
      <c r="S73" s="1501"/>
      <c r="T73" s="1501"/>
      <c r="U73" s="1501"/>
      <c r="V73" s="1501"/>
      <c r="W73" s="1501"/>
      <c r="X73" s="1501"/>
      <c r="Y73" s="1501"/>
      <c r="Z73" s="1502"/>
      <c r="AA73" s="1503"/>
      <c r="AB73" s="1504"/>
      <c r="AC73" s="1501"/>
      <c r="AD73" s="1501"/>
      <c r="AE73" s="1501"/>
      <c r="AF73" s="1501"/>
      <c r="AG73" s="1501"/>
      <c r="AH73" s="1501"/>
      <c r="AI73" s="1501"/>
      <c r="AJ73" s="1500"/>
      <c r="AK73" s="1500"/>
      <c r="AL73" s="1500"/>
      <c r="AM73" s="1500"/>
      <c r="AN73" s="1500"/>
      <c r="AO73" s="1500"/>
      <c r="AP73" s="1500"/>
      <c r="AQ73" s="1500"/>
      <c r="AR73" s="1500"/>
      <c r="AS73" s="1500"/>
      <c r="AT73" s="1500"/>
      <c r="AU73" s="1500"/>
      <c r="AV73" s="1500"/>
      <c r="AW73" s="1500"/>
      <c r="AX73" s="1500"/>
      <c r="AY73" s="1500"/>
      <c r="AZ73" s="1412"/>
      <c r="BA73" s="1412"/>
      <c r="BB73" s="1412"/>
      <c r="BC73" s="1412"/>
      <c r="BD73" s="1412"/>
      <c r="BE73" s="1412"/>
      <c r="BF73" s="1412"/>
      <c r="BG73" s="1412"/>
      <c r="BH73" s="1412"/>
      <c r="BI73" s="1412"/>
      <c r="BJ73" s="1412"/>
      <c r="BK73" s="1412"/>
      <c r="BL73" s="1412"/>
      <c r="BM73" s="1412"/>
      <c r="BN73" s="1412"/>
    </row>
    <row r="74" spans="17:66" x14ac:dyDescent="0.25">
      <c r="Q74" s="1500"/>
      <c r="R74" s="1501"/>
      <c r="S74" s="1501"/>
      <c r="T74" s="1501"/>
      <c r="U74" s="1501"/>
      <c r="V74" s="1501"/>
      <c r="W74" s="1501"/>
      <c r="X74" s="1501"/>
      <c r="Y74" s="1501"/>
      <c r="Z74" s="1502"/>
      <c r="AA74" s="1503"/>
      <c r="AB74" s="1504"/>
      <c r="AC74" s="1501"/>
      <c r="AD74" s="1501"/>
      <c r="AE74" s="1501"/>
      <c r="AF74" s="1501"/>
      <c r="AG74" s="1501"/>
      <c r="AH74" s="1501"/>
      <c r="AI74" s="1501"/>
      <c r="AJ74" s="1500"/>
      <c r="AK74" s="1500"/>
      <c r="AL74" s="1500"/>
      <c r="AM74" s="1500"/>
      <c r="AN74" s="1500"/>
      <c r="AO74" s="1500"/>
      <c r="AP74" s="1500"/>
      <c r="AQ74" s="1500"/>
      <c r="AR74" s="1500"/>
      <c r="AS74" s="1500"/>
      <c r="AT74" s="1500"/>
      <c r="AU74" s="1500"/>
      <c r="AV74" s="1500"/>
      <c r="AW74" s="1500"/>
      <c r="AX74" s="1500"/>
      <c r="AY74" s="1500"/>
      <c r="AZ74" s="1412"/>
      <c r="BA74" s="1412"/>
      <c r="BB74" s="1412"/>
      <c r="BC74" s="1412"/>
      <c r="BD74" s="1412"/>
      <c r="BE74" s="1412"/>
      <c r="BF74" s="1412"/>
      <c r="BG74" s="1412"/>
      <c r="BH74" s="1412"/>
      <c r="BI74" s="1412"/>
      <c r="BJ74" s="1412"/>
      <c r="BK74" s="1412"/>
      <c r="BL74" s="1412"/>
      <c r="BM74" s="1412"/>
      <c r="BN74" s="1412"/>
    </row>
    <row r="75" spans="17:66" x14ac:dyDescent="0.25">
      <c r="Q75" s="1500"/>
      <c r="R75" s="1501"/>
      <c r="S75" s="1501"/>
      <c r="T75" s="1501"/>
      <c r="U75" s="1501"/>
      <c r="V75" s="1501"/>
      <c r="W75" s="1501"/>
      <c r="X75" s="1501"/>
      <c r="Y75" s="1501"/>
      <c r="Z75" s="1502"/>
      <c r="AA75" s="1503"/>
      <c r="AB75" s="1504"/>
      <c r="AC75" s="1501"/>
      <c r="AD75" s="1501"/>
      <c r="AE75" s="1501"/>
      <c r="AF75" s="1501"/>
      <c r="AG75" s="1501"/>
      <c r="AH75" s="1501"/>
      <c r="AI75" s="1501"/>
      <c r="AJ75" s="1500"/>
      <c r="AK75" s="1500"/>
      <c r="AL75" s="1500"/>
      <c r="AM75" s="1500"/>
      <c r="AN75" s="1500"/>
      <c r="AO75" s="1500"/>
      <c r="AP75" s="1500"/>
      <c r="AQ75" s="1500"/>
      <c r="AR75" s="1500"/>
      <c r="AS75" s="1500"/>
      <c r="AT75" s="1500"/>
      <c r="AU75" s="1500"/>
      <c r="AV75" s="1500"/>
      <c r="AW75" s="1500"/>
      <c r="AX75" s="1500"/>
      <c r="AY75" s="1500"/>
      <c r="AZ75" s="1412"/>
      <c r="BA75" s="1412"/>
      <c r="BB75" s="1412"/>
      <c r="BC75" s="1412"/>
      <c r="BD75" s="1412"/>
      <c r="BE75" s="1412"/>
      <c r="BF75" s="1412"/>
      <c r="BG75" s="1412"/>
      <c r="BH75" s="1412"/>
      <c r="BI75" s="1412"/>
      <c r="BJ75" s="1412"/>
      <c r="BK75" s="1412"/>
      <c r="BL75" s="1412"/>
      <c r="BM75" s="1412"/>
      <c r="BN75" s="1412"/>
    </row>
    <row r="76" spans="17:66" ht="15.75" thickBot="1" x14ac:dyDescent="0.3">
      <c r="Q76" s="1500"/>
      <c r="R76" s="1501"/>
      <c r="S76" s="1501"/>
      <c r="T76" s="1501"/>
      <c r="U76" s="1501"/>
      <c r="V76" s="1501"/>
      <c r="W76" s="1501"/>
      <c r="X76" s="1501"/>
      <c r="Y76" s="1501"/>
      <c r="Z76" s="32"/>
      <c r="AA76" s="1505"/>
      <c r="AB76" s="774"/>
      <c r="AC76" s="1501"/>
      <c r="AD76" s="1501"/>
      <c r="AE76" s="1501"/>
      <c r="AF76" s="1501"/>
      <c r="AG76" s="1501"/>
      <c r="AH76" s="1501"/>
      <c r="AI76" s="1501"/>
      <c r="AJ76" s="1500"/>
      <c r="AK76" s="1500"/>
      <c r="AL76" s="1500"/>
      <c r="AM76" s="1500"/>
      <c r="AN76" s="1500"/>
      <c r="AO76" s="1500"/>
      <c r="AP76" s="1500"/>
      <c r="AQ76" s="1500"/>
      <c r="AR76" s="1500"/>
      <c r="AS76" s="1500"/>
      <c r="AT76" s="1500"/>
      <c r="AU76" s="1500"/>
      <c r="AV76" s="1500"/>
      <c r="AW76" s="1500"/>
      <c r="AX76" s="1500"/>
      <c r="AY76" s="1500"/>
      <c r="AZ76" s="1412"/>
      <c r="BA76" s="1412"/>
      <c r="BB76" s="1412"/>
      <c r="BC76" s="1412"/>
      <c r="BD76" s="1412"/>
      <c r="BE76" s="1412"/>
      <c r="BF76" s="1412"/>
      <c r="BG76" s="1412"/>
      <c r="BH76" s="1412"/>
      <c r="BI76" s="1412"/>
      <c r="BJ76" s="1412"/>
      <c r="BK76" s="1412"/>
      <c r="BL76" s="1412"/>
      <c r="BM76" s="1412"/>
      <c r="BN76" s="1412"/>
    </row>
    <row r="77" spans="17:66" x14ac:dyDescent="0.25">
      <c r="Q77" s="1500"/>
      <c r="R77" s="1501"/>
      <c r="S77" s="1501"/>
      <c r="T77" s="1501"/>
      <c r="U77" s="1501"/>
      <c r="V77" s="1501"/>
      <c r="W77" s="1501"/>
      <c r="X77" s="1501"/>
      <c r="Y77" s="1501"/>
      <c r="Z77" s="1501"/>
      <c r="AA77" s="1501"/>
      <c r="AB77" s="1501"/>
      <c r="AC77" s="1501"/>
      <c r="AD77" s="1501"/>
      <c r="AE77" s="1501"/>
      <c r="AF77" s="1501"/>
      <c r="AG77" s="1501"/>
      <c r="AH77" s="1501"/>
      <c r="AI77" s="1501"/>
      <c r="AJ77" s="1500"/>
      <c r="AK77" s="1500"/>
      <c r="AL77" s="1500"/>
      <c r="AM77" s="1500"/>
      <c r="AN77" s="1500"/>
      <c r="AO77" s="1500"/>
      <c r="AP77" s="1500"/>
      <c r="AQ77" s="1500"/>
      <c r="AR77" s="1500"/>
      <c r="AS77" s="1500"/>
      <c r="AT77" s="1500"/>
      <c r="AU77" s="1500"/>
      <c r="AV77" s="1500"/>
      <c r="AW77" s="1500"/>
      <c r="AX77" s="1500"/>
      <c r="AY77" s="1500"/>
      <c r="AZ77" s="1412"/>
      <c r="BA77" s="1412"/>
      <c r="BB77" s="1412"/>
      <c r="BC77" s="1412"/>
      <c r="BD77" s="1412"/>
      <c r="BE77" s="1412"/>
      <c r="BF77" s="1412"/>
      <c r="BG77" s="1412"/>
      <c r="BH77" s="1412"/>
      <c r="BI77" s="1412"/>
      <c r="BJ77" s="1412"/>
      <c r="BK77" s="1412"/>
      <c r="BL77" s="1412"/>
      <c r="BM77" s="1412"/>
      <c r="BN77" s="1412"/>
    </row>
    <row r="78" spans="17:66" x14ac:dyDescent="0.25">
      <c r="Q78" s="1500"/>
      <c r="R78" s="1501"/>
      <c r="S78" s="1501"/>
      <c r="T78" s="1501"/>
      <c r="U78" s="1501"/>
      <c r="V78" s="1501"/>
      <c r="W78" s="1501"/>
      <c r="X78" s="1501"/>
      <c r="Y78" s="1501"/>
      <c r="Z78" s="1501"/>
      <c r="AA78" s="1501"/>
      <c r="AB78" s="1501"/>
      <c r="AC78" s="1501"/>
      <c r="AD78" s="1501"/>
      <c r="AE78" s="1501"/>
      <c r="AF78" s="1501"/>
      <c r="AG78" s="1501"/>
      <c r="AH78" s="1501"/>
      <c r="AI78" s="1501"/>
      <c r="AJ78" s="1500"/>
      <c r="AK78" s="1500"/>
      <c r="AL78" s="1500"/>
      <c r="AM78" s="1500"/>
      <c r="AN78" s="1500"/>
      <c r="AO78" s="1500"/>
      <c r="AP78" s="1500"/>
      <c r="AQ78" s="1500"/>
      <c r="AR78" s="1500"/>
      <c r="AS78" s="1500"/>
      <c r="AT78" s="1500"/>
      <c r="AU78" s="1500"/>
      <c r="AV78" s="1500"/>
      <c r="AW78" s="1500"/>
      <c r="AX78" s="1500"/>
      <c r="AY78" s="1500"/>
      <c r="AZ78" s="1412"/>
      <c r="BA78" s="1412"/>
      <c r="BB78" s="1412"/>
      <c r="BC78" s="1412"/>
      <c r="BD78" s="1412"/>
      <c r="BE78" s="1412"/>
      <c r="BF78" s="1412"/>
      <c r="BG78" s="1412"/>
      <c r="BH78" s="1412"/>
      <c r="BI78" s="1412"/>
      <c r="BJ78" s="1412"/>
      <c r="BK78" s="1412"/>
      <c r="BL78" s="1412"/>
      <c r="BM78" s="1412"/>
      <c r="BN78" s="1412"/>
    </row>
    <row r="79" spans="17:66" x14ac:dyDescent="0.25">
      <c r="Q79" s="1500"/>
      <c r="R79" s="1500"/>
      <c r="S79" s="1500"/>
      <c r="X79" s="1500"/>
      <c r="Y79" s="1500"/>
      <c r="Z79" s="1500"/>
      <c r="AA79" s="1500"/>
      <c r="AB79" s="1500"/>
      <c r="AC79" s="1500"/>
      <c r="AD79" s="1500"/>
      <c r="AE79" s="1500"/>
      <c r="AF79" s="1500"/>
      <c r="AG79" s="1500"/>
      <c r="AH79" s="1500"/>
      <c r="AI79" s="1500"/>
      <c r="AJ79" s="1500"/>
      <c r="AK79" s="1500"/>
      <c r="AL79" s="1500"/>
      <c r="AM79" s="1500"/>
      <c r="AN79" s="1500"/>
      <c r="AO79" s="1500"/>
      <c r="AP79" s="1500"/>
      <c r="AQ79" s="1500"/>
      <c r="AR79" s="1500"/>
      <c r="AS79" s="1500"/>
      <c r="AT79" s="1500"/>
      <c r="AU79" s="1500"/>
      <c r="AV79" s="1500"/>
      <c r="AW79" s="1500"/>
      <c r="AX79" s="1500"/>
      <c r="AY79" s="1500"/>
      <c r="AZ79" s="1412"/>
      <c r="BA79" s="1412"/>
      <c r="BB79" s="1412"/>
      <c r="BC79" s="1412"/>
      <c r="BD79" s="1412"/>
      <c r="BE79" s="1412"/>
      <c r="BF79" s="1412"/>
      <c r="BG79" s="1412"/>
      <c r="BH79" s="1412"/>
      <c r="BI79" s="1412"/>
      <c r="BJ79" s="1412"/>
      <c r="BK79" s="1412"/>
      <c r="BL79" s="1412"/>
      <c r="BM79" s="1412"/>
      <c r="BN79" s="1412"/>
    </row>
    <row r="80" spans="17:66" x14ac:dyDescent="0.25">
      <c r="Q80" s="1500"/>
      <c r="R80" s="1500"/>
      <c r="S80" s="1500"/>
      <c r="X80" s="1500"/>
      <c r="Y80" s="1500"/>
      <c r="Z80" s="1500"/>
      <c r="AA80" s="1500"/>
      <c r="AB80" s="1500"/>
      <c r="AC80" s="1500"/>
      <c r="AD80" s="1500"/>
      <c r="AE80" s="1500"/>
      <c r="AF80" s="1500"/>
      <c r="AG80" s="1500"/>
      <c r="AH80" s="1500"/>
      <c r="AI80" s="1500"/>
      <c r="AJ80" s="1500"/>
      <c r="AK80" s="1500"/>
      <c r="AL80" s="1500"/>
      <c r="AM80" s="1500"/>
      <c r="AN80" s="1500"/>
      <c r="AO80" s="1500"/>
      <c r="AP80" s="1500"/>
      <c r="AQ80" s="1500"/>
      <c r="AR80" s="1500"/>
      <c r="AS80" s="1500"/>
      <c r="AT80" s="1500"/>
      <c r="AU80" s="1500"/>
      <c r="AV80" s="1500"/>
      <c r="AW80" s="1500"/>
      <c r="AX80" s="1500"/>
      <c r="AY80" s="1500"/>
      <c r="AZ80" s="1412"/>
      <c r="BA80" s="1412"/>
      <c r="BB80" s="1412"/>
      <c r="BC80" s="1412"/>
      <c r="BD80" s="1412"/>
      <c r="BE80" s="1412"/>
      <c r="BF80" s="1412"/>
      <c r="BG80" s="1412"/>
      <c r="BH80" s="1412"/>
      <c r="BI80" s="1412"/>
      <c r="BJ80" s="1412"/>
      <c r="BK80" s="1412"/>
      <c r="BL80" s="1412"/>
      <c r="BM80" s="1412"/>
      <c r="BN80" s="1412"/>
    </row>
    <row r="81" spans="17:66" x14ac:dyDescent="0.25">
      <c r="Q81" s="1500"/>
      <c r="R81" s="1500"/>
      <c r="S81" s="1500"/>
      <c r="X81" s="1500"/>
      <c r="Y81" s="1500"/>
      <c r="Z81" s="1500"/>
      <c r="AA81" s="1500"/>
      <c r="AB81" s="1500"/>
      <c r="AC81" s="1500"/>
      <c r="AD81" s="1500"/>
      <c r="AE81" s="1500"/>
      <c r="AF81" s="1500"/>
      <c r="AG81" s="1500"/>
      <c r="AH81" s="1500"/>
      <c r="AI81" s="1500"/>
      <c r="AJ81" s="1500"/>
      <c r="AK81" s="1500"/>
      <c r="AL81" s="1500"/>
      <c r="AM81" s="1500"/>
      <c r="AN81" s="1500"/>
      <c r="AO81" s="1500"/>
      <c r="AP81" s="1500"/>
      <c r="AQ81" s="1500"/>
      <c r="AR81" s="1500"/>
      <c r="AS81" s="1500"/>
      <c r="AT81" s="1500"/>
      <c r="AU81" s="1500"/>
      <c r="AV81" s="1500"/>
      <c r="AW81" s="1500"/>
      <c r="AX81" s="1500"/>
      <c r="AY81" s="1500"/>
      <c r="AZ81" s="1412"/>
      <c r="BA81" s="1412"/>
      <c r="BB81" s="1412"/>
      <c r="BC81" s="1412"/>
      <c r="BD81" s="1412"/>
      <c r="BE81" s="1412"/>
      <c r="BF81" s="1412"/>
      <c r="BG81" s="1412"/>
      <c r="BH81" s="1412"/>
      <c r="BI81" s="1412"/>
      <c r="BJ81" s="1412"/>
      <c r="BK81" s="1412"/>
      <c r="BL81" s="1412"/>
      <c r="BM81" s="1412"/>
      <c r="BN81" s="1412"/>
    </row>
    <row r="82" spans="17:66" x14ac:dyDescent="0.25">
      <c r="Q82" s="1500"/>
      <c r="R82" s="1500"/>
      <c r="S82" s="1500"/>
      <c r="X82" s="1500"/>
      <c r="Y82" s="1500"/>
      <c r="Z82" s="1500"/>
      <c r="AA82" s="1500"/>
      <c r="AB82" s="1500"/>
      <c r="AC82" s="1500"/>
      <c r="AD82" s="1500"/>
      <c r="AE82" s="1500"/>
      <c r="AF82" s="1500"/>
      <c r="AG82" s="1500"/>
      <c r="AH82" s="1500"/>
      <c r="AI82" s="1500"/>
      <c r="AJ82" s="1500"/>
      <c r="AK82" s="1500"/>
      <c r="AL82" s="1500"/>
      <c r="AM82" s="1500"/>
      <c r="AN82" s="1500"/>
      <c r="AO82" s="1500"/>
      <c r="AP82" s="1500"/>
      <c r="AQ82" s="1500"/>
      <c r="AR82" s="1500"/>
      <c r="AS82" s="1500"/>
      <c r="AT82" s="1500"/>
      <c r="AU82" s="1500"/>
      <c r="AV82" s="1500"/>
      <c r="AW82" s="1500"/>
      <c r="AX82" s="1500"/>
      <c r="AY82" s="1500"/>
    </row>
    <row r="83" spans="17:66" x14ac:dyDescent="0.25">
      <c r="Q83" s="1500"/>
      <c r="R83" s="1500"/>
      <c r="S83" s="1500"/>
      <c r="X83" s="1500"/>
      <c r="Y83" s="1500"/>
      <c r="Z83" s="1500"/>
      <c r="AA83" s="1500"/>
      <c r="AB83" s="1500"/>
      <c r="AC83" s="1500"/>
      <c r="AD83" s="1500"/>
      <c r="AE83" s="1500"/>
      <c r="AF83" s="1500"/>
      <c r="AG83" s="1500"/>
      <c r="AH83" s="1500"/>
      <c r="AI83" s="1500"/>
      <c r="AJ83" s="1500"/>
      <c r="AK83" s="1500"/>
      <c r="AL83" s="1500"/>
      <c r="AM83" s="1500"/>
      <c r="AN83" s="1500"/>
      <c r="AO83" s="1500"/>
      <c r="AP83" s="1500"/>
      <c r="AQ83" s="1500"/>
      <c r="AR83" s="1500"/>
      <c r="AS83" s="1500"/>
      <c r="AT83" s="1500"/>
      <c r="AU83" s="1500"/>
      <c r="AV83" s="1500"/>
      <c r="AW83" s="1500"/>
      <c r="AX83" s="1500"/>
      <c r="AY83" s="1500"/>
    </row>
    <row r="84" spans="17:66" x14ac:dyDescent="0.25">
      <c r="Q84" s="1500"/>
      <c r="R84" s="1500"/>
      <c r="S84" s="1500"/>
      <c r="X84" s="1500"/>
      <c r="Y84" s="1500"/>
      <c r="Z84" s="1500"/>
      <c r="AA84" s="1500"/>
      <c r="AB84" s="1500"/>
      <c r="AC84" s="1500"/>
      <c r="AD84" s="1500"/>
      <c r="AE84" s="1500"/>
      <c r="AF84" s="1500"/>
      <c r="AG84" s="1500"/>
      <c r="AH84" s="1500"/>
      <c r="AI84" s="1500"/>
      <c r="AJ84" s="1500"/>
      <c r="AK84" s="1500"/>
      <c r="AL84" s="1500"/>
      <c r="AM84" s="1500"/>
      <c r="AN84" s="1500"/>
      <c r="AO84" s="1500"/>
      <c r="AP84" s="1500"/>
      <c r="AQ84" s="1500"/>
      <c r="AR84" s="1500"/>
      <c r="AS84" s="1500"/>
      <c r="AT84" s="1500"/>
      <c r="AU84" s="1500"/>
      <c r="AV84" s="1500"/>
      <c r="AW84" s="1500"/>
      <c r="AX84" s="1500"/>
      <c r="AY84" s="1500"/>
    </row>
    <row r="85" spans="17:66" x14ac:dyDescent="0.25">
      <c r="Q85" s="1500"/>
      <c r="R85" s="1500"/>
      <c r="S85" s="1500"/>
      <c r="X85" s="1500"/>
      <c r="Y85" s="1500"/>
      <c r="Z85" s="1500"/>
      <c r="AA85" s="1500"/>
      <c r="AB85" s="1500"/>
      <c r="AC85" s="1500"/>
      <c r="AD85" s="1500"/>
      <c r="AE85" s="1500"/>
      <c r="AF85" s="1500"/>
      <c r="AG85" s="1500"/>
      <c r="AH85" s="1500"/>
      <c r="AI85" s="1500"/>
      <c r="AJ85" s="1500"/>
      <c r="AK85" s="1500"/>
      <c r="AL85" s="1500"/>
      <c r="AM85" s="1500"/>
      <c r="AN85" s="1500"/>
      <c r="AO85" s="1500"/>
      <c r="AP85" s="1500"/>
      <c r="AQ85" s="1500"/>
      <c r="AR85" s="1500"/>
      <c r="AS85" s="1500"/>
      <c r="AT85" s="1500"/>
      <c r="AU85" s="1500"/>
      <c r="AV85" s="1500"/>
      <c r="AW85" s="1500"/>
      <c r="AX85" s="1500"/>
      <c r="AY85" s="1500"/>
    </row>
    <row r="86" spans="17:66" x14ac:dyDescent="0.25">
      <c r="Q86" s="1500"/>
      <c r="R86" s="1500"/>
      <c r="S86" s="1500"/>
      <c r="X86" s="1500"/>
      <c r="Y86" s="1500"/>
      <c r="Z86" s="1500"/>
      <c r="AA86" s="1500"/>
      <c r="AB86" s="1500"/>
      <c r="AC86" s="1500"/>
      <c r="AD86" s="1500"/>
      <c r="AE86" s="1500"/>
      <c r="AF86" s="1500"/>
      <c r="AG86" s="1500"/>
      <c r="AH86" s="1500"/>
      <c r="AI86" s="1500"/>
      <c r="AJ86" s="1500"/>
      <c r="AK86" s="1500"/>
      <c r="AL86" s="1500"/>
      <c r="AM86" s="1500"/>
      <c r="AN86" s="1500"/>
      <c r="AO86" s="1500"/>
      <c r="AP86" s="1500"/>
      <c r="AQ86" s="1500"/>
      <c r="AR86" s="1500"/>
      <c r="AS86" s="1500"/>
      <c r="AT86" s="1500"/>
      <c r="AU86" s="1500"/>
      <c r="AV86" s="1500"/>
      <c r="AW86" s="1500"/>
      <c r="AX86" s="1500"/>
      <c r="AY86" s="1500"/>
    </row>
    <row r="87" spans="17:66" x14ac:dyDescent="0.25">
      <c r="Q87" s="1500"/>
      <c r="R87" s="1500"/>
      <c r="S87" s="1500"/>
      <c r="X87" s="1500"/>
      <c r="Y87" s="1500"/>
      <c r="Z87" s="1500"/>
      <c r="AA87" s="1500"/>
      <c r="AB87" s="1500"/>
      <c r="AC87" s="1500"/>
      <c r="AD87" s="1500"/>
      <c r="AE87" s="1500"/>
      <c r="AF87" s="1500"/>
      <c r="AG87" s="1500"/>
      <c r="AH87" s="1500"/>
      <c r="AI87" s="1500"/>
      <c r="AJ87" s="1500"/>
      <c r="AK87" s="1500"/>
      <c r="AL87" s="1500"/>
      <c r="AM87" s="1500"/>
      <c r="AN87" s="1500"/>
      <c r="AO87" s="1500"/>
      <c r="AP87" s="1500"/>
      <c r="AQ87" s="1500"/>
      <c r="AR87" s="1500"/>
      <c r="AS87" s="1500"/>
      <c r="AT87" s="1500"/>
      <c r="AU87" s="1500"/>
      <c r="AV87" s="1500"/>
      <c r="AW87" s="1500"/>
      <c r="AX87" s="1500"/>
      <c r="AY87" s="1500"/>
    </row>
    <row r="88" spans="17:66" x14ac:dyDescent="0.25">
      <c r="Q88" s="1500"/>
      <c r="R88" s="1500"/>
      <c r="S88" s="1500"/>
      <c r="X88" s="1500"/>
      <c r="Y88" s="1500"/>
      <c r="Z88" s="1500"/>
      <c r="AA88" s="1500"/>
      <c r="AB88" s="1500"/>
      <c r="AC88" s="1500"/>
      <c r="AD88" s="1500"/>
      <c r="AE88" s="1500"/>
      <c r="AF88" s="1500"/>
      <c r="AG88" s="1500"/>
      <c r="AH88" s="1500"/>
      <c r="AI88" s="1500"/>
      <c r="AJ88" s="1500"/>
      <c r="AK88" s="1500"/>
      <c r="AL88" s="1500"/>
      <c r="AM88" s="1500"/>
      <c r="AN88" s="1500"/>
      <c r="AO88" s="1500"/>
      <c r="AP88" s="1500"/>
      <c r="AQ88" s="1500"/>
      <c r="AR88" s="1500"/>
      <c r="AS88" s="1500"/>
      <c r="AT88" s="1500"/>
      <c r="AU88" s="1500"/>
      <c r="AV88" s="1500"/>
      <c r="AW88" s="1500"/>
      <c r="AX88" s="1500"/>
      <c r="AY88" s="1500"/>
    </row>
  </sheetData>
  <mergeCells count="4">
    <mergeCell ref="AC1:AD1"/>
    <mergeCell ref="AC5:AD5"/>
    <mergeCell ref="AC6:AD6"/>
    <mergeCell ref="BD11:BD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T67"/>
  <sheetViews>
    <sheetView workbookViewId="0">
      <selection activeCell="AR13" sqref="AR13"/>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3" max="44" width="9.140625" style="1500"/>
    <col min="47" max="47" width="4.28515625" customWidth="1"/>
    <col min="48" max="48" width="9.140625" bestFit="1" customWidth="1"/>
    <col min="49" max="50" width="11" bestFit="1" customWidth="1"/>
    <col min="51" max="51" width="8.85546875" bestFit="1" customWidth="1"/>
    <col min="52" max="52" width="11.140625" bestFit="1" customWidth="1"/>
    <col min="53" max="53" width="13.7109375" bestFit="1" customWidth="1"/>
    <col min="54" max="55" width="12.140625" bestFit="1" customWidth="1"/>
    <col min="56" max="56" width="8.28515625" bestFit="1" customWidth="1"/>
    <col min="57" max="57" width="8.85546875" bestFit="1" customWidth="1"/>
    <col min="58" max="58" width="10.28515625" customWidth="1"/>
    <col min="59" max="60" width="11.140625" bestFit="1" customWidth="1"/>
    <col min="61" max="62" width="12.140625" bestFit="1" customWidth="1"/>
    <col min="63" max="63" width="8.85546875" bestFit="1" customWidth="1"/>
    <col min="64" max="64" width="6" bestFit="1" customWidth="1"/>
    <col min="65" max="65" width="11.85546875" bestFit="1" customWidth="1"/>
    <col min="66" max="67" width="3.28515625" bestFit="1" customWidth="1"/>
    <col min="68" max="72" width="8.85546875" customWidth="1"/>
  </cols>
  <sheetData>
    <row r="1" spans="1:72" ht="15.75" thickBot="1" x14ac:dyDescent="0.3"/>
    <row r="2" spans="1:72" ht="15.75" thickBot="1" x14ac:dyDescent="0.3">
      <c r="AV2" s="82" t="s">
        <v>878</v>
      </c>
      <c r="AW2" s="38">
        <f>$AL$33</f>
        <v>0</v>
      </c>
      <c r="BA2" s="387" t="s">
        <v>912</v>
      </c>
      <c r="BB2" s="256"/>
      <c r="BC2" s="256"/>
      <c r="BD2" s="256"/>
      <c r="BE2" s="256"/>
      <c r="BF2" s="256"/>
      <c r="BG2" s="256"/>
      <c r="BH2" s="256"/>
      <c r="BM2" s="387" t="s">
        <v>912</v>
      </c>
    </row>
    <row r="3" spans="1:72" x14ac:dyDescent="0.25">
      <c r="AV3" s="82" t="s">
        <v>461</v>
      </c>
      <c r="AW3" s="24">
        <f>'Customer Inputs'!$AC$26</f>
        <v>0</v>
      </c>
      <c r="BA3" s="389">
        <v>334319</v>
      </c>
      <c r="BB3" s="388" t="s">
        <v>212</v>
      </c>
      <c r="BC3" s="51" t="s">
        <v>212</v>
      </c>
      <c r="BD3" s="381">
        <v>0.04</v>
      </c>
      <c r="BE3" s="381">
        <v>0.08</v>
      </c>
      <c r="BF3" s="381">
        <v>9.2999999999999999E-2</v>
      </c>
      <c r="BG3" s="381">
        <v>0.11</v>
      </c>
      <c r="BH3" s="382">
        <v>0.153</v>
      </c>
      <c r="BM3" s="389">
        <v>301441</v>
      </c>
      <c r="BN3" s="388" t="s">
        <v>212</v>
      </c>
      <c r="BO3" s="51" t="s">
        <v>212</v>
      </c>
      <c r="BP3" s="381">
        <v>4.5999999999999999E-2</v>
      </c>
      <c r="BQ3" s="381">
        <v>8.8999999999999996E-2</v>
      </c>
      <c r="BR3" s="381">
        <v>0.107</v>
      </c>
      <c r="BS3" s="381">
        <v>0.127</v>
      </c>
      <c r="BT3" s="381">
        <v>0.17100000000000001</v>
      </c>
    </row>
    <row r="4" spans="1:72" ht="15.75" thickBot="1" x14ac:dyDescent="0.3">
      <c r="BA4" s="390">
        <v>723899</v>
      </c>
      <c r="BB4" s="272" t="s">
        <v>213</v>
      </c>
      <c r="BC4" s="1" t="s">
        <v>213</v>
      </c>
      <c r="BD4" s="383">
        <v>4.2000000000000003E-2</v>
      </c>
      <c r="BE4" s="383">
        <v>7.4999999999999997E-2</v>
      </c>
      <c r="BF4" s="383">
        <v>8.6999999999999994E-2</v>
      </c>
      <c r="BG4" s="383">
        <v>0.1</v>
      </c>
      <c r="BH4" s="384">
        <v>0.13600000000000001</v>
      </c>
      <c r="BM4" s="390">
        <v>684993</v>
      </c>
      <c r="BN4" s="272" t="s">
        <v>213</v>
      </c>
      <c r="BO4" s="1" t="s">
        <v>213</v>
      </c>
      <c r="BP4" s="383">
        <v>4.8000000000000001E-2</v>
      </c>
      <c r="BQ4" s="383">
        <v>8.3000000000000004E-2</v>
      </c>
      <c r="BR4" s="383">
        <v>0.1</v>
      </c>
      <c r="BS4" s="383">
        <v>0.115</v>
      </c>
      <c r="BT4" s="383">
        <v>0.152</v>
      </c>
    </row>
    <row r="5" spans="1:72" ht="15.75" thickBot="1" x14ac:dyDescent="0.3">
      <c r="AY5" s="2002" t="s">
        <v>910</v>
      </c>
      <c r="AZ5" s="2003"/>
      <c r="BA5" s="390">
        <v>1757315</v>
      </c>
      <c r="BB5" s="272" t="s">
        <v>214</v>
      </c>
      <c r="BC5" s="1" t="s">
        <v>214</v>
      </c>
      <c r="BD5" s="383">
        <v>3.2000000000000001E-2</v>
      </c>
      <c r="BE5" s="383">
        <v>6.9000000000000006E-2</v>
      </c>
      <c r="BF5" s="383">
        <v>8.2000000000000003E-2</v>
      </c>
      <c r="BG5" s="383">
        <v>9.6000000000000002E-2</v>
      </c>
      <c r="BH5" s="384">
        <v>0.13300000000000001</v>
      </c>
      <c r="BK5" s="2002" t="s">
        <v>911</v>
      </c>
      <c r="BL5" s="2003"/>
      <c r="BM5" s="390">
        <v>1554219</v>
      </c>
      <c r="BN5" s="272" t="s">
        <v>214</v>
      </c>
      <c r="BO5" s="1" t="s">
        <v>214</v>
      </c>
      <c r="BP5" s="383">
        <v>3.6999999999999998E-2</v>
      </c>
      <c r="BQ5" s="383">
        <v>7.8E-2</v>
      </c>
      <c r="BR5" s="383">
        <v>9.4E-2</v>
      </c>
      <c r="BS5" s="383">
        <v>0.11</v>
      </c>
      <c r="BT5" s="383">
        <v>0.151</v>
      </c>
    </row>
    <row r="6" spans="1:72" ht="15.75" thickBot="1" x14ac:dyDescent="0.3">
      <c r="AY6" s="47" t="s">
        <v>491</v>
      </c>
      <c r="AZ6" s="48" t="str">
        <f>IF($AW$2&lt;$BA$3,$BB$3,IF($AW$2&lt;$BA$4,$BB$4,IF($AW$2&lt;$BA$5,$BB$5,IF($AW$2&lt;$BA$6,$BB$6,$BB$7))))</f>
        <v>Q1</v>
      </c>
      <c r="BA6" s="390">
        <v>3873056</v>
      </c>
      <c r="BB6" s="272" t="s">
        <v>265</v>
      </c>
      <c r="BC6" s="1" t="s">
        <v>265</v>
      </c>
      <c r="BD6" s="383">
        <v>2.5000000000000001E-2</v>
      </c>
      <c r="BE6" s="383">
        <v>6.3E-2</v>
      </c>
      <c r="BF6" s="383">
        <v>7.5999999999999998E-2</v>
      </c>
      <c r="BG6" s="383">
        <v>0.09</v>
      </c>
      <c r="BH6" s="384">
        <v>0.13</v>
      </c>
      <c r="BK6" s="47" t="s">
        <v>491</v>
      </c>
      <c r="BL6" s="48" t="str">
        <f>IF($AW$2&lt;$BA$3,$BB$3,IF($AW$2&lt;$BA$4,$BB$4,IF($AW$2&lt;$BA$5,$BB$5,IF($AW$2&lt;$BA$6,$BB$6,$BB$7))))</f>
        <v>Q1</v>
      </c>
      <c r="BM6" s="390">
        <v>3316405</v>
      </c>
      <c r="BN6" s="272" t="s">
        <v>265</v>
      </c>
      <c r="BO6" s="1" t="s">
        <v>265</v>
      </c>
      <c r="BP6" s="383">
        <v>3.1E-2</v>
      </c>
      <c r="BQ6" s="383">
        <v>7.0000000000000007E-2</v>
      </c>
      <c r="BR6" s="383">
        <v>8.6999999999999994E-2</v>
      </c>
      <c r="BS6" s="383">
        <v>0.104</v>
      </c>
      <c r="BT6" s="383">
        <v>0.14899999999999999</v>
      </c>
    </row>
    <row r="7" spans="1:72" ht="15.75" thickBot="1" x14ac:dyDescent="0.3">
      <c r="AY7" s="47" t="s">
        <v>492</v>
      </c>
      <c r="AZ7" s="49">
        <f>VLOOKUP($AZ$6,$BC$3:$BH$7,3,FALSE)</f>
        <v>0.08</v>
      </c>
      <c r="BA7" s="391"/>
      <c r="BB7" s="335" t="s">
        <v>266</v>
      </c>
      <c r="BC7" s="33" t="s">
        <v>266</v>
      </c>
      <c r="BD7" s="385">
        <v>2.5999999999999999E-2</v>
      </c>
      <c r="BE7" s="385">
        <v>5.6000000000000001E-2</v>
      </c>
      <c r="BF7" s="385">
        <v>6.8000000000000005E-2</v>
      </c>
      <c r="BG7" s="385">
        <v>8.3000000000000004E-2</v>
      </c>
      <c r="BH7" s="386">
        <v>0.114</v>
      </c>
      <c r="BK7" s="47" t="s">
        <v>492</v>
      </c>
      <c r="BL7" s="49">
        <f>VLOOKUP($BL$6,$BO$3:$BQ$7,3,FALSE)</f>
        <v>8.8999999999999996E-2</v>
      </c>
      <c r="BM7" s="392"/>
      <c r="BN7" s="335" t="s">
        <v>266</v>
      </c>
      <c r="BO7" s="33" t="s">
        <v>266</v>
      </c>
      <c r="BP7" s="385">
        <v>0.03</v>
      </c>
      <c r="BQ7" s="385">
        <v>6.4000000000000001E-2</v>
      </c>
      <c r="BR7" s="385">
        <v>7.8E-2</v>
      </c>
      <c r="BS7" s="385">
        <v>9.5000000000000001E-2</v>
      </c>
      <c r="BT7" s="385">
        <v>0.13100000000000001</v>
      </c>
    </row>
    <row r="8" spans="1:72" x14ac:dyDescent="0.25">
      <c r="AW8" s="39"/>
    </row>
    <row r="10" spans="1:72" ht="15.75" x14ac:dyDescent="0.25">
      <c r="C10" s="360" t="s">
        <v>902</v>
      </c>
      <c r="D10" s="2" t="s">
        <v>460</v>
      </c>
      <c r="E10" s="2" t="s">
        <v>460</v>
      </c>
      <c r="F10" s="2" t="s">
        <v>460</v>
      </c>
      <c r="G10" s="2" t="s">
        <v>460</v>
      </c>
      <c r="H10" s="2" t="s">
        <v>460</v>
      </c>
      <c r="I10" s="2" t="s">
        <v>460</v>
      </c>
      <c r="J10" s="2"/>
      <c r="K10" s="2"/>
      <c r="L10" s="2"/>
      <c r="N10" s="360" t="s">
        <v>903</v>
      </c>
      <c r="O10" s="2" t="s">
        <v>460</v>
      </c>
      <c r="P10" s="2" t="s">
        <v>460</v>
      </c>
      <c r="Q10" s="2" t="s">
        <v>460</v>
      </c>
      <c r="R10" s="2" t="s">
        <v>460</v>
      </c>
      <c r="S10" s="2" t="s">
        <v>460</v>
      </c>
      <c r="T10" s="2" t="s">
        <v>460</v>
      </c>
      <c r="U10" s="2"/>
      <c r="V10" s="2"/>
      <c r="W10" s="305">
        <f>IF('Multi-Customer'!$AQ$37="MULTIPLE MENU TYPES","INDEPENDENT RESTAURATEURS (PYR)",'Multi-Customer'!$AQ$37)</f>
        <v>0</v>
      </c>
      <c r="X10" s="2"/>
      <c r="Y10" s="2"/>
      <c r="Z10" s="2"/>
      <c r="AA10" s="2"/>
      <c r="AB10" s="2"/>
      <c r="AC10" s="2"/>
      <c r="AD10" s="2" t="s">
        <v>948</v>
      </c>
      <c r="AE10" s="2"/>
      <c r="AF10" s="2"/>
      <c r="AG10" s="2"/>
      <c r="AH10" s="2"/>
      <c r="AI10" s="2"/>
      <c r="AJ10" s="2"/>
      <c r="AK10" s="360" t="s">
        <v>905</v>
      </c>
      <c r="AL10" s="40" t="s">
        <v>460</v>
      </c>
      <c r="AM10" s="40" t="s">
        <v>460</v>
      </c>
      <c r="AN10" s="40" t="s">
        <v>460</v>
      </c>
      <c r="AO10" s="40" t="s">
        <v>460</v>
      </c>
      <c r="AP10" s="40" t="s">
        <v>460</v>
      </c>
      <c r="AQ10" s="40"/>
      <c r="AR10" s="40"/>
      <c r="AS10" s="2005" t="s">
        <v>909</v>
      </c>
      <c r="AT10" s="2005"/>
      <c r="AY10" s="2004" t="s">
        <v>907</v>
      </c>
      <c r="AZ10" s="2004"/>
      <c r="BA10" s="2004"/>
      <c r="BB10" s="2004"/>
      <c r="BC10" s="2004"/>
      <c r="BF10" s="2004" t="s">
        <v>908</v>
      </c>
      <c r="BG10" s="2004"/>
      <c r="BH10" s="2004"/>
      <c r="BI10" s="2004"/>
      <c r="BJ10" s="2004"/>
    </row>
    <row r="11" spans="1:72" x14ac:dyDescent="0.25">
      <c r="A11" s="2" t="s">
        <v>858</v>
      </c>
      <c r="C11" t="s">
        <v>252</v>
      </c>
      <c r="D11" s="2" t="s">
        <v>395</v>
      </c>
      <c r="E11" s="2" t="s">
        <v>83</v>
      </c>
      <c r="F11" s="2" t="s">
        <v>396</v>
      </c>
      <c r="G11" s="2" t="s">
        <v>498</v>
      </c>
      <c r="H11" s="2" t="s">
        <v>501</v>
      </c>
      <c r="I11" s="2" t="s">
        <v>499</v>
      </c>
      <c r="J11" s="2"/>
      <c r="K11" s="2"/>
      <c r="L11" s="2" t="s">
        <v>858</v>
      </c>
      <c r="N11" s="2" t="s">
        <v>252</v>
      </c>
      <c r="O11" s="2" t="s">
        <v>395</v>
      </c>
      <c r="P11" s="2" t="s">
        <v>83</v>
      </c>
      <c r="Q11" s="2" t="s">
        <v>396</v>
      </c>
      <c r="R11" s="2" t="s">
        <v>498</v>
      </c>
      <c r="S11" s="2" t="s">
        <v>501</v>
      </c>
      <c r="T11" s="2" t="s">
        <v>499</v>
      </c>
      <c r="U11" s="2"/>
      <c r="V11" s="2" t="s">
        <v>942</v>
      </c>
      <c r="W11" s="2" t="s">
        <v>943</v>
      </c>
      <c r="X11" s="2" t="s">
        <v>944</v>
      </c>
      <c r="Y11" s="2"/>
      <c r="Z11" s="2"/>
      <c r="AA11" s="2" t="s">
        <v>904</v>
      </c>
      <c r="AB11" s="2" t="s">
        <v>947</v>
      </c>
      <c r="AC11" s="2" t="s">
        <v>945</v>
      </c>
      <c r="AD11" s="2" t="s">
        <v>946</v>
      </c>
      <c r="AE11" s="2"/>
      <c r="AF11" s="2" t="s">
        <v>904</v>
      </c>
      <c r="AG11" s="2"/>
      <c r="AH11" s="2"/>
      <c r="AI11" s="2"/>
      <c r="AJ11" s="2"/>
      <c r="AK11" s="40" t="s">
        <v>252</v>
      </c>
      <c r="AL11" s="40" t="s">
        <v>395</v>
      </c>
      <c r="AM11" s="40" t="s">
        <v>83</v>
      </c>
      <c r="AN11" s="40" t="s">
        <v>498</v>
      </c>
      <c r="AO11" s="40" t="s">
        <v>501</v>
      </c>
      <c r="AP11" s="40" t="s">
        <v>499</v>
      </c>
      <c r="AQ11" s="40" t="s">
        <v>2091</v>
      </c>
      <c r="AR11" s="40" t="s">
        <v>2092</v>
      </c>
      <c r="AS11" s="373" t="s">
        <v>372</v>
      </c>
      <c r="AT11" s="373" t="s">
        <v>941</v>
      </c>
      <c r="AX11" s="2"/>
      <c r="AY11" s="52" t="s">
        <v>252</v>
      </c>
      <c r="AZ11" s="15" t="s">
        <v>212</v>
      </c>
      <c r="BA11" s="15" t="s">
        <v>213</v>
      </c>
      <c r="BB11" s="15" t="s">
        <v>214</v>
      </c>
      <c r="BC11" s="15" t="s">
        <v>265</v>
      </c>
      <c r="BE11" s="2"/>
      <c r="BF11" s="52" t="s">
        <v>252</v>
      </c>
      <c r="BG11" s="15" t="s">
        <v>212</v>
      </c>
      <c r="BH11" s="15" t="s">
        <v>213</v>
      </c>
      <c r="BI11" s="15" t="s">
        <v>214</v>
      </c>
      <c r="BJ11" s="15" t="s">
        <v>265</v>
      </c>
      <c r="BQ11" s="54"/>
    </row>
    <row r="12" spans="1:72" x14ac:dyDescent="0.25">
      <c r="A12">
        <f>IFERROR(D12/$D$33,0)</f>
        <v>0</v>
      </c>
      <c r="B12">
        <v>3</v>
      </c>
      <c r="C12" t="s">
        <v>99</v>
      </c>
      <c r="D12" s="25">
        <f>'Multi-Customer'!C14</f>
        <v>0</v>
      </c>
      <c r="E12">
        <f>'Multi-Customer'!D14</f>
        <v>0</v>
      </c>
      <c r="F12">
        <f>'Multi-Customer'!E14</f>
        <v>0</v>
      </c>
      <c r="G12" s="274">
        <f>'Multi-Customer'!F14</f>
        <v>0</v>
      </c>
      <c r="H12" s="19">
        <f>IFERROR(D12/E12,0)</f>
        <v>0</v>
      </c>
      <c r="I12" s="19">
        <f>IFERROR(D12/G12,0)</f>
        <v>0</v>
      </c>
      <c r="J12" s="274"/>
      <c r="K12" s="274" t="str">
        <f>'PIM Model'!E10</f>
        <v>INCLUDE</v>
      </c>
      <c r="L12" s="274">
        <f>IFERROR(IF($K12="Exclude",0,$A12),0)</f>
        <v>0</v>
      </c>
      <c r="M12">
        <v>3</v>
      </c>
      <c r="N12" s="274" t="s">
        <v>99</v>
      </c>
      <c r="O12" s="274">
        <f>IFERROR(IF($K12="Exclude",0,D12/$L$33),0)</f>
        <v>0</v>
      </c>
      <c r="P12" s="274">
        <f t="shared" ref="P12:P31" si="0">IFERROR(IF($K12="Exclude",0,E12/$L$33),0)</f>
        <v>0</v>
      </c>
      <c r="Q12" s="274">
        <f>IFERROR(IF($K12="Exclude",0,F12/$L$33),0)</f>
        <v>0</v>
      </c>
      <c r="R12" s="274">
        <f t="shared" ref="R12:R31" si="1">IFERROR(IF($K12="Exclude",0,G12/$L$33),0)</f>
        <v>0</v>
      </c>
      <c r="S12" s="274">
        <f>IFERROR(O12/P12,0)</f>
        <v>0</v>
      </c>
      <c r="T12" s="19">
        <f>IFERROR(O12/R12,0)</f>
        <v>0</v>
      </c>
      <c r="U12" s="19"/>
      <c r="V12" s="2">
        <f>'PIM Model'!$C$10</f>
        <v>0</v>
      </c>
      <c r="W12" s="498">
        <f>IFERROR('Multi-Customer'!R14,0)</f>
        <v>0</v>
      </c>
      <c r="X12" s="19">
        <f t="shared" ref="X12:X31" si="2">IFERROR($W12*$Z$33,0)</f>
        <v>0</v>
      </c>
      <c r="Y12" s="274">
        <f>IFERROR(IF(V12="AVG",X12,O12),0)</f>
        <v>0</v>
      </c>
      <c r="Z12" s="274">
        <f>IFERROR(IF($V12="AVG",0,$Y12),0)</f>
        <v>0</v>
      </c>
      <c r="AA12" s="274">
        <f>IFERROR(IF($V12="AVG",IF($O12=0,$Y12,$Y12-$O12),0),0)</f>
        <v>0</v>
      </c>
      <c r="AB12" s="499">
        <f>IFERROR($X12/$X$33,0)</f>
        <v>0</v>
      </c>
      <c r="AC12" s="499">
        <f t="shared" ref="AC12:AC31" si="3">IFERROR(IF($AA12=0,AB12,0),0)</f>
        <v>0</v>
      </c>
      <c r="AD12" s="274">
        <f>IFERROR(IF($AA12=0,$O12-($AA$33*($AC12/$AC$33)),$Y12),0)</f>
        <v>0</v>
      </c>
      <c r="AE12" s="274"/>
      <c r="AF12" s="274">
        <f t="shared" ref="AF12:AF31" si="4">IFERROR(AD12*(1+$AG12)-AD12,0)</f>
        <v>0</v>
      </c>
      <c r="AG12" s="39">
        <f>'PIM Model'!B10</f>
        <v>0</v>
      </c>
      <c r="AH12" s="361">
        <f t="shared" ref="AH12:AH32" si="5">L12*(1+AG12)</f>
        <v>0</v>
      </c>
      <c r="AI12" s="361">
        <f>IFERROR(IF(AF12=0,AH12,0),0)</f>
        <v>0</v>
      </c>
      <c r="AJ12">
        <v>3</v>
      </c>
      <c r="AK12" s="362" t="s">
        <v>99</v>
      </c>
      <c r="AL12" s="362">
        <f t="shared" ref="AL12:AL31" si="6">IFERROR(IF($AG12=0,$AD12-($AF$33*($AI12/$AI$33)),$AD12+$AF12),0)</f>
        <v>0</v>
      </c>
      <c r="AM12" s="362">
        <f t="shared" ref="AM12:AM32" si="7">IFERROR($AL12/AO12,0)</f>
        <v>0</v>
      </c>
      <c r="AN12" s="362">
        <f t="shared" ref="AN12:AN32" si="8">IFERROR($AL12/AP12,0)</f>
        <v>0</v>
      </c>
      <c r="AO12" s="363">
        <f t="shared" ref="AO12:AO32" si="9">S12</f>
        <v>0</v>
      </c>
      <c r="AP12" s="363">
        <f t="shared" ref="AP12:AP32" si="10">T12</f>
        <v>0</v>
      </c>
      <c r="AQ12" s="363">
        <f>IF('Multi-Customer'!C14=0,'Multi-Customer'!U14,'Multi-Customer'!T14)*AL12</f>
        <v>0</v>
      </c>
      <c r="AR12" s="363">
        <f>IF('Multi-Customer'!C14=0,'Multi-Customer'!W14,'Multi-Customer'!V14)*AL12</f>
        <v>0</v>
      </c>
      <c r="AS12" s="1" t="str">
        <f t="shared" ref="AS12:AS31" si="11">IF($AK12=$BF$12,IF($AL12&lt;$BG$12,"Q1",IF($AL12&lt;$BH$12,"Q2",IF($AL12&lt;$BI$12,"Q3",IF($AL12&lt;$BJ$12,"Q4","Q5")))),IF($AK12=$BF$13,IF($AL12&lt;$BG$13,"Q1",IF($AL12&lt;$BH$13,"Q2",IF($AL12&lt;$BI$13,"Q3",IF($AL12&lt;$BJ$13,"Q4","Q5")))),IF($AK12=$BF$14,IF($AL12&lt;$BG$14,"Q1",IF($AL12&lt;$BH$14,"Q2",IF($AL12&lt;$BI$14,"Q3",IF($AL12&lt;$BJ$14,"Q4","Q5")))),IF($AK12=$BF$15,IF($AL12&lt;$BG$15,"Q1",IF($AL12&lt;$BH$15,"Q2",IF($AL12&lt;$BI$15,"Q3",IF($AL12&lt;$BJ$15,"Q4","Q5")))),IF($AK12=$BF$16,IF($AL12&lt;$BG$16,"Q1",IF($AL12&lt;$BH$16,"Q2",IF($AL12&lt;$BI$16,"Q3",IF($AL12&lt;$BJ$16,"Q4","Q5")))),IF($AK12=$BF$17,IF($AL12&lt;$BG$17,"Q1",IF($AL12&lt;$BH$17,"Q2",IF($AL12&lt;$BI$17,"Q3",IF($AL12&lt;$BJ$17,"Q4","Q5")))),IF($AK12=$BF$18,IF($AL12&lt;$BG$18,"Q1",IF($AL12&lt;$BH$18,"Q2",IF($AL12&lt;$BI$18,"Q3",IF($AL12&lt;$BJ$18,"Q4","Q5")))),IF($AK12=$BF$19,IF($AL12&lt;$BG$19,"Q1",IF($AL12&lt;$BH$19,"Q2",IF($AL12&lt;$BI$19,"Q3",IF($AL12&lt;$BJ$19,"Q4","Q5")))),IF($AK12=$BF$20,IF($AL12&lt;$BG$20,"Q1",IF($AL12&lt;$BH$20,"Q2",IF($AL12&lt;$BI$20,"Q3",IF($AL12&lt;$BJ$20,"Q4","Q5")))),IF($AK12=$BF$21,IF($AL12&lt;$BG$21,"Q1",IF($AL12&lt;$BH$21,"Q2",IF($AL12&lt;$BI$21,"Q3",IF($AL12&lt;$BJ$21,"Q4","Q5")))),IF($AK12=$BF$22,IF($AL12&lt;$BG$22,"Q1",IF($AL12&lt;$BH$22,"Q2",IF($AL12&lt;$BI$22,"Q3",IF($AL12&lt;$BJ$22,"Q4","Q5")))),IF($AK12=$BF$23,IF($AL12&lt;$BG$23,"Q1",IF($AL12&lt;$BH$23,"Q2",IF($AL12&lt;$BI$23,"Q3",IF($AL12&lt;$BJ$23,"Q4","Q5")))),IF($AK12=$BF$24,IF($AL12&lt;$BG$24,"Q1",IF($AL12&lt;$BH$24,"Q2",IF($AL12&lt;$BI$24,"Q3",IF($AL12&lt;$BJ$24,"Q4","Q5")))),IF($AK12=$BF$25,IF($AL12&lt;$BG$25,"Q1",IF($AL12&lt;$BH$25,"Q2",IF($AL12&lt;$BI$25,"Q3",IF($AL12&lt;$BJ$25,"Q4","Q5")))),IF($AK12=$BF$26,IF($AL12&lt;$BG$26,"Q1",IF($AL12&lt;$BH$26,"Q2",IF($AL12&lt;$BI$26,"Q3",IF($AL12&lt;$BJ$26,"Q4","Q5")))),IF($AK12=$BF$27,IF($AL12&lt;$BG$27,"Q1",IF($AL12&lt;$BH$27,"Q2",IF($AL12&lt;$BI$27,"Q3",IF($AL12&lt;$BJ$27,"Q4","Q5")))),IF($AK12=$BF$28,IF($AL12&lt;$BG$28,"Q1",IF($AL12&lt;$BH$28,"Q2",IF($AL12&lt;$BI$28,"Q3",IF($AL12&lt;$BJ$28,"Q4","Q5")))),IF($AK12=$BF$29,IF($AL12&lt;$BG$29,"Q1",IF($AL12&lt;$BH$29,"Q2",IF($AL12&lt;$BI$29,"Q3",IF($AL12&lt;$BJ$29,"Q4","Q5")))),IF($AK12=$BF$30,IF($AL12&lt;$BG$30,"Q1",IF($AL12&lt;$BH$30,"Q2",IF($AL12&lt;$BI$30,"Q3",IF($AL12&lt;$BJ$30,"Q4","Q5")))),IF($AK12=$BF$31,IF($AL12&lt;$BG$31,"Q1",IF($AL12&lt;$BH$31,"Q2",IF($AL12&lt;$BI$31,"Q3",IF($AL12&lt;$BJ$31,"Q4","Q5")))),IF($AK12=$BF$32,IF($AL12&lt;$BG$32,"Q1",IF($AL12&lt;$BH$32,"Q2",IF($AL12&lt;$BI$32,"Q3",IF($AL12&lt;$BJ$32,"Q4","Q5")))),IF($AK12=$BF$33,IF($AL12&lt;$BG$33,"Q1",IF($AL12&lt;$BH$33,"Q2",IF($AL12&lt;$BI$33,"Q3",IF($AL12&lt;$BJ$33,"Q4","Q5"))))))))))))))))))))))))))</f>
        <v>Q1</v>
      </c>
      <c r="AT12" s="1" t="str">
        <f>IF('PIM Ranges'!$AK12='PIM Ranges'!$AY$11,IF('PIM Ranges'!$AL12&lt;'PIM Ranges'!$AZ$11,"Q1",IF('PIM Ranges'!$AL12&lt;'PIM Ranges'!$BA$11,"Q2",IF('PIM Ranges'!$AL12&lt;'PIM Ranges'!$BB$11,"Q3",IF('PIM Ranges'!$AL12&lt;'PIM Ranges'!$BC$11,"Q4","Q5")))),IF('PIM Ranges'!$AK12='PIM Ranges'!$AY$12,IF('PIM Ranges'!$AL12&lt;'PIM Ranges'!$AZ$12,"Q1",IF('PIM Ranges'!$AL12&lt;'PIM Ranges'!$BA$12,"Q2",IF('PIM Ranges'!$AL12&lt;'PIM Ranges'!$BB$12,"Q3",IF('PIM Ranges'!$AL12&lt;'PIM Ranges'!$BC$12,"Q4","Q5")))),IF('PIM Ranges'!$AK12='PIM Ranges'!$AY$13,IF('PIM Ranges'!$AL12&lt;'PIM Ranges'!$AZ$13,"Q1",IF('PIM Ranges'!$AL12&lt;'PIM Ranges'!$BA$13,"Q2",IF('PIM Ranges'!$AL12&lt;'PIM Ranges'!$BB$13,"Q3",IF('PIM Ranges'!$AL12&lt;'PIM Ranges'!$BC$13,"Q4","Q5")))),IF('PIM Ranges'!$AK12='PIM Ranges'!$AY$14,IF('PIM Ranges'!$AL12&lt;'PIM Ranges'!$AZ$14,"Q1",IF('PIM Ranges'!$AL12&lt;'PIM Ranges'!$BA$14,"Q2",IF('PIM Ranges'!$AL12&lt;'PIM Ranges'!$BB$14,"Q3",IF('PIM Ranges'!$AL12&lt;'PIM Ranges'!$BC$14,"Q4","Q5")))),IF('PIM Ranges'!$AK12='PIM Ranges'!$AY$15,IF('PIM Ranges'!$AL12&lt;'PIM Ranges'!$AZ$15,"Q1",IF('PIM Ranges'!$AL12&lt;'PIM Ranges'!$BA$15,"Q2",IF('PIM Ranges'!$AL12&lt;'PIM Ranges'!$BB$15,"Q3",IF('PIM Ranges'!$AL12&lt;'PIM Ranges'!$BC$15,"Q4","Q5")))),IF('PIM Ranges'!$AK12='PIM Ranges'!$AY$16,IF('PIM Ranges'!$AL12&lt;'PIM Ranges'!$AZ$16,"Q1",IF('PIM Ranges'!$AL12&lt;'PIM Ranges'!$BA$16,"Q2",IF('PIM Ranges'!$AL12&lt;'PIM Ranges'!$BB$16,"Q3",IF('PIM Ranges'!$AL12&lt;'PIM Ranges'!$BC$16,"Q4","Q5")))),IF('PIM Ranges'!$AK12='PIM Ranges'!$AY$17,IF('PIM Ranges'!$AL12&lt;'PIM Ranges'!$AZ$17,"Q1",IF('PIM Ranges'!$AL12&lt;'PIM Ranges'!$BA$17,"Q2",IF('PIM Ranges'!$AL12&lt;'PIM Ranges'!$BB$17,"Q3",IF('PIM Ranges'!$AL12&lt;'PIM Ranges'!$BC$17,"Q4","Q5")))),IF('PIM Ranges'!$AK12='PIM Ranges'!$AY$18,IF('PIM Ranges'!$AL12&lt;'PIM Ranges'!$AZ$18,"Q1",IF('PIM Ranges'!$AL12&lt;'PIM Ranges'!$BA$18,"Q2",IF('PIM Ranges'!$AL12&lt;'PIM Ranges'!$BB$18,"Q3",IF('PIM Ranges'!$AL12&lt;'PIM Ranges'!$BC$18,"Q4","Q5")))),IF('PIM Ranges'!$AK12='PIM Ranges'!$AY$19,IF('PIM Ranges'!$AL12&lt;'PIM Ranges'!$AZ$19,"Q1",IF('PIM Ranges'!$AL12&lt;'PIM Ranges'!$BA$19,"Q2",IF('PIM Ranges'!$AL12&lt;'PIM Ranges'!$BB$19,"Q3",IF('PIM Ranges'!$AL12&lt;'PIM Ranges'!$BC$19,"Q4","Q5")))),IF('PIM Ranges'!$AK12='PIM Ranges'!$AY$20,IF('PIM Ranges'!$AL12&lt;'PIM Ranges'!$AZ$20,"Q1",IF('PIM Ranges'!$AL12&lt;'PIM Ranges'!$BA$20,"Q2",IF('PIM Ranges'!$AL12&lt;'PIM Ranges'!$BB$20,"Q3",IF('PIM Ranges'!$AL12&lt;'PIM Ranges'!$BC$20,"Q4","Q5")))),IF('PIM Ranges'!$AK12='PIM Ranges'!$AY$21,IF('PIM Ranges'!$AL12&lt;'PIM Ranges'!$AZ$21,"Q1",IF('PIM Ranges'!$AL12&lt;'PIM Ranges'!$BA$21,"Q2",IF('PIM Ranges'!$AL12&lt;'PIM Ranges'!$BB$21,"Q3",IF('PIM Ranges'!$AL12&lt;'PIM Ranges'!$BC$21,"Q4","Q5")))),IF('PIM Ranges'!$AK12='PIM Ranges'!$AY$22,IF('PIM Ranges'!$AL12&lt;'PIM Ranges'!$AZ$22,"Q1",IF('PIM Ranges'!$AL12&lt;'PIM Ranges'!$BA$22,"Q2",IF('PIM Ranges'!$AL12&lt;'PIM Ranges'!$BB$22,"Q3",IF('PIM Ranges'!$AL12&lt;'PIM Ranges'!$BC$22,"Q4","Q5")))),IF('PIM Ranges'!$AK12='PIM Ranges'!$AY$23,IF('PIM Ranges'!$AL12&lt;'PIM Ranges'!$AZ$23,"Q1",IF('PIM Ranges'!$AL12&lt;'PIM Ranges'!$BA$23,"Q2",IF('PIM Ranges'!$AL12&lt;'PIM Ranges'!$BB$23,"Q3",IF('PIM Ranges'!$AL12&lt;'PIM Ranges'!$BC$23,"Q4","Q5")))),IF('PIM Ranges'!$AK12='PIM Ranges'!$AY$24,IF('PIM Ranges'!$AL12&lt;'PIM Ranges'!$AZ$24,"Q1",IF('PIM Ranges'!$AL12&lt;'PIM Ranges'!$BA$24,"Q2",IF('PIM Ranges'!$AL12&lt;'PIM Ranges'!$BB$24,"Q3",IF('PIM Ranges'!$AL12&lt;'PIM Ranges'!$BC$24,"Q4","Q5")))),IF('PIM Ranges'!$AK12='PIM Ranges'!$AY$25,IF('PIM Ranges'!$AL12&lt;'PIM Ranges'!$AZ$25,"Q1",IF('PIM Ranges'!$AL12&lt;'PIM Ranges'!$BA$25,"Q2",IF('PIM Ranges'!$AL12&lt;'PIM Ranges'!$BB$25,"Q3",IF('PIM Ranges'!$AL12&lt;'PIM Ranges'!$BC$25,"Q4","Q5")))),IF('PIM Ranges'!$AK12='PIM Ranges'!$AY$26,IF('PIM Ranges'!$AL12&lt;'PIM Ranges'!$AZ$26,"Q1",IF('PIM Ranges'!$AL12&lt;'PIM Ranges'!$BA$26,"Q2",IF('PIM Ranges'!$AL12&lt;'PIM Ranges'!$BB$26,"Q3",IF('PIM Ranges'!$AL12&lt;'PIM Ranges'!$BC$26,"Q4","Q5")))),IF('PIM Ranges'!$AK12='PIM Ranges'!$AY$27,IF('PIM Ranges'!$AL12&lt;'PIM Ranges'!$AZ$27,"Q1",IF('PIM Ranges'!$AL12&lt;'PIM Ranges'!$BA$27,"Q2",IF('PIM Ranges'!$AL12&lt;'PIM Ranges'!$BB$27,"Q3",IF('PIM Ranges'!$AL12&lt;'PIM Ranges'!$BC$27,"Q4","Q5")))),IF('PIM Ranges'!$AK12='PIM Ranges'!$AY$28,IF('PIM Ranges'!$AL12&lt;'PIM Ranges'!$AZ$28,"Q1",IF('PIM Ranges'!$AL12&lt;'PIM Ranges'!$BA$28,"Q2",IF('PIM Ranges'!$AL12&lt;'PIM Ranges'!$BB$28,"Q3",IF('PIM Ranges'!$AL12&lt;'PIM Ranges'!$BC$28,"Q4","Q5")))),IF('PIM Ranges'!$AK12='PIM Ranges'!$AY$29,IF('PIM Ranges'!$AL12&lt;'PIM Ranges'!$AZ$29,"Q1",IF('PIM Ranges'!$AL12&lt;'PIM Ranges'!$BA$29,"Q2",IF('PIM Ranges'!$AL12&lt;'PIM Ranges'!$BB$29,"Q3",IF('PIM Ranges'!$AL12&lt;'PIM Ranges'!$BC$29,"Q4","Q5")))),IF('PIM Ranges'!$AK12='PIM Ranges'!$AY$30,IF('PIM Ranges'!$AL12&lt;'PIM Ranges'!$AZ$30,"Q1",IF('PIM Ranges'!$AL12&lt;'PIM Ranges'!$BA$30,"Q2",IF('PIM Ranges'!$AL12&lt;'PIM Ranges'!$BB$30,"Q3",IF('PIM Ranges'!$AL12&lt;'PIM Ranges'!$BC$30,"Q4","Q5")))),IF('PIM Ranges'!$AK12='PIM Ranges'!$AY$31,IF('PIM Ranges'!$AL12&lt;'PIM Ranges'!$AZ$31,"Q1",IF('PIM Ranges'!$AL12&lt;'PIM Ranges'!$BA$31,"Q2",IF('PIM Ranges'!$AL12&lt;'PIM Ranges'!$BB$31,"Q3",IF('PIM Ranges'!$AL12&lt;'PIM Ranges'!$BC$31,"Q4","Q5")))),IF('PIM Ranges'!$AK12='PIM Ranges'!$AY$32,IF('PIM Ranges'!$AL12&lt;'PIM Ranges'!$AZ$32,"Q1",IF('PIM Ranges'!$AL12&lt;'PIM Ranges'!$BA$32,"Q2",IF('PIM Ranges'!$AL12&lt;'PIM Ranges'!$BB$32,"Q3",IF('PIM Ranges'!$AL12&lt;'PIM Ranges'!$BC$32,"Q4","Q5"))))))))))))))))))))))))))</f>
        <v>Q1</v>
      </c>
      <c r="AX12" s="393"/>
      <c r="AY12" s="52" t="s">
        <v>99</v>
      </c>
      <c r="AZ12" s="394">
        <v>6992</v>
      </c>
      <c r="BA12" s="394">
        <v>18976</v>
      </c>
      <c r="BB12" s="394">
        <v>35942</v>
      </c>
      <c r="BC12" s="394">
        <v>79246</v>
      </c>
      <c r="BE12" s="2"/>
      <c r="BF12" s="52" t="s">
        <v>99</v>
      </c>
      <c r="BG12" s="394">
        <v>13830</v>
      </c>
      <c r="BH12" s="394">
        <v>40121</v>
      </c>
      <c r="BI12" s="394">
        <v>106847</v>
      </c>
      <c r="BJ12" s="394">
        <v>246211</v>
      </c>
    </row>
    <row r="13" spans="1:72" x14ac:dyDescent="0.25">
      <c r="A13" s="870">
        <f t="shared" ref="A13:A33" si="12">IFERROR(D13/$D$33,0)</f>
        <v>0</v>
      </c>
      <c r="B13">
        <v>4</v>
      </c>
      <c r="C13" t="s">
        <v>103</v>
      </c>
      <c r="D13" s="25">
        <f>'Multi-Customer'!C15</f>
        <v>0</v>
      </c>
      <c r="E13">
        <f>'Multi-Customer'!D15</f>
        <v>0</v>
      </c>
      <c r="F13">
        <f>'Multi-Customer'!E15</f>
        <v>0</v>
      </c>
      <c r="G13" s="274">
        <f>'Multi-Customer'!F15</f>
        <v>0</v>
      </c>
      <c r="H13" s="19">
        <f t="shared" ref="H13:H32" si="13">IFERROR(D13/E13,0)</f>
        <v>0</v>
      </c>
      <c r="I13" s="19">
        <f t="shared" ref="I13:I32" si="14">IFERROR(D13/G13,0)</f>
        <v>0</v>
      </c>
      <c r="J13" s="274"/>
      <c r="K13" s="274" t="str">
        <f>'PIM Model'!E11</f>
        <v>INCLUDE</v>
      </c>
      <c r="L13" s="274">
        <f t="shared" ref="L13:L32" si="15">IFERROR(IF($K13="Exclude",0,$A13),0)</f>
        <v>0</v>
      </c>
      <c r="M13">
        <v>4</v>
      </c>
      <c r="N13" s="274" t="s">
        <v>103</v>
      </c>
      <c r="O13" s="274">
        <f t="shared" ref="O13:O32" si="16">IFERROR(IF($K13="Exclude",0,D13/$L$33),0)</f>
        <v>0</v>
      </c>
      <c r="P13" s="274">
        <f t="shared" si="0"/>
        <v>0</v>
      </c>
      <c r="Q13" s="274">
        <f t="shared" ref="Q13:Q32" si="17">IFERROR(IF($K13="Exclude",0,F13/$L$33),0)</f>
        <v>0</v>
      </c>
      <c r="R13" s="274">
        <f t="shared" si="1"/>
        <v>0</v>
      </c>
      <c r="S13" s="274">
        <f t="shared" ref="S13:S32" si="18">IFERROR(O13/P13,0)</f>
        <v>0</v>
      </c>
      <c r="T13" s="19">
        <f t="shared" ref="T13:T32" si="19">IFERROR(O13/R13,0)</f>
        <v>0</v>
      </c>
      <c r="U13" s="19"/>
      <c r="V13" s="2">
        <f>'PIM Model'!$C$11</f>
        <v>0</v>
      </c>
      <c r="W13" s="498">
        <f>IFERROR('Multi-Customer'!R15,0)</f>
        <v>0</v>
      </c>
      <c r="X13" s="19">
        <f t="shared" si="2"/>
        <v>0</v>
      </c>
      <c r="Y13" s="274">
        <f t="shared" ref="Y13:Y32" si="20">IFERROR(IF(V13="AVG",X13,O13),0)</f>
        <v>0</v>
      </c>
      <c r="Z13" s="274">
        <f t="shared" ref="Z13:Z32" si="21">IFERROR(IF($V13="AVG",0,$Y13),0)</f>
        <v>0</v>
      </c>
      <c r="AA13" s="274">
        <f t="shared" ref="AA13:AA32" si="22">IFERROR(IF($V13="AVG",IF($O13=0,$Y13,$Y13-$O13),0),0)</f>
        <v>0</v>
      </c>
      <c r="AB13" s="499">
        <f t="shared" ref="AB13:AB32" si="23">IFERROR($X13/$X$33,0)</f>
        <v>0</v>
      </c>
      <c r="AC13" s="499">
        <f t="shared" si="3"/>
        <v>0</v>
      </c>
      <c r="AD13" s="274">
        <f t="shared" ref="AD13:AD32" si="24">IFERROR(IF($AA13=0,$O13-($AA$33*($AC13/$AC$33)),$Y13),0)</f>
        <v>0</v>
      </c>
      <c r="AE13" s="274"/>
      <c r="AF13" s="274">
        <f t="shared" si="4"/>
        <v>0</v>
      </c>
      <c r="AG13" s="39">
        <f>'PIM Model'!B11</f>
        <v>0</v>
      </c>
      <c r="AH13" s="361">
        <f t="shared" si="5"/>
        <v>0</v>
      </c>
      <c r="AI13" s="361">
        <f t="shared" ref="AI13:AI32" si="25">IFERROR(IF(AF13=0,AH13,0),0)</f>
        <v>0</v>
      </c>
      <c r="AJ13">
        <v>4</v>
      </c>
      <c r="AK13" s="362" t="s">
        <v>103</v>
      </c>
      <c r="AL13" s="362">
        <f t="shared" si="6"/>
        <v>0</v>
      </c>
      <c r="AM13" s="362">
        <f t="shared" si="7"/>
        <v>0</v>
      </c>
      <c r="AN13" s="362">
        <f t="shared" si="8"/>
        <v>0</v>
      </c>
      <c r="AO13" s="363">
        <f>S13</f>
        <v>0</v>
      </c>
      <c r="AP13" s="363">
        <f t="shared" si="10"/>
        <v>0</v>
      </c>
      <c r="AQ13" s="363">
        <f>IF('Multi-Customer'!C15=0,'Multi-Customer'!U15,'Multi-Customer'!T15)*AL13</f>
        <v>0</v>
      </c>
      <c r="AR13" s="363">
        <f>IF('Multi-Customer'!C15=0,'Multi-Customer'!W15,'Multi-Customer'!V15)*AL13</f>
        <v>0</v>
      </c>
      <c r="AS13" s="1" t="str">
        <f t="shared" si="11"/>
        <v>Q1</v>
      </c>
      <c r="AT13" s="1" t="str">
        <f>IF('PIM Ranges'!$AK13='PIM Ranges'!$AY$11,IF('PIM Ranges'!$AL13&lt;'PIM Ranges'!$AZ$11,"Q1",IF('PIM Ranges'!$AL13&lt;'PIM Ranges'!$BA$11,"Q2",IF('PIM Ranges'!$AL13&lt;'PIM Ranges'!$BB$11,"Q3",IF('PIM Ranges'!$AL13&lt;'PIM Ranges'!$BC$11,"Q4","Q5")))),IF('PIM Ranges'!$AK13='PIM Ranges'!$AY$12,IF('PIM Ranges'!$AL13&lt;'PIM Ranges'!$AZ$12,"Q1",IF('PIM Ranges'!$AL13&lt;'PIM Ranges'!$BA$12,"Q2",IF('PIM Ranges'!$AL13&lt;'PIM Ranges'!$BB$12,"Q3",IF('PIM Ranges'!$AL13&lt;'PIM Ranges'!$BC$12,"Q4","Q5")))),IF('PIM Ranges'!$AK13='PIM Ranges'!$AY$13,IF('PIM Ranges'!$AL13&lt;'PIM Ranges'!$AZ$13,"Q1",IF('PIM Ranges'!$AL13&lt;'PIM Ranges'!$BA$13,"Q2",IF('PIM Ranges'!$AL13&lt;'PIM Ranges'!$BB$13,"Q3",IF('PIM Ranges'!$AL13&lt;'PIM Ranges'!$BC$13,"Q4","Q5")))),IF('PIM Ranges'!$AK13='PIM Ranges'!$AY$14,IF('PIM Ranges'!$AL13&lt;'PIM Ranges'!$AZ$14,"Q1",IF('PIM Ranges'!$AL13&lt;'PIM Ranges'!$BA$14,"Q2",IF('PIM Ranges'!$AL13&lt;'PIM Ranges'!$BB$14,"Q3",IF('PIM Ranges'!$AL13&lt;'PIM Ranges'!$BC$14,"Q4","Q5")))),IF('PIM Ranges'!$AK13='PIM Ranges'!$AY$15,IF('PIM Ranges'!$AL13&lt;'PIM Ranges'!$AZ$15,"Q1",IF('PIM Ranges'!$AL13&lt;'PIM Ranges'!$BA$15,"Q2",IF('PIM Ranges'!$AL13&lt;'PIM Ranges'!$BB$15,"Q3",IF('PIM Ranges'!$AL13&lt;'PIM Ranges'!$BC$15,"Q4","Q5")))),IF('PIM Ranges'!$AK13='PIM Ranges'!$AY$16,IF('PIM Ranges'!$AL13&lt;'PIM Ranges'!$AZ$16,"Q1",IF('PIM Ranges'!$AL13&lt;'PIM Ranges'!$BA$16,"Q2",IF('PIM Ranges'!$AL13&lt;'PIM Ranges'!$BB$16,"Q3",IF('PIM Ranges'!$AL13&lt;'PIM Ranges'!$BC$16,"Q4","Q5")))),IF('PIM Ranges'!$AK13='PIM Ranges'!$AY$17,IF('PIM Ranges'!$AL13&lt;'PIM Ranges'!$AZ$17,"Q1",IF('PIM Ranges'!$AL13&lt;'PIM Ranges'!$BA$17,"Q2",IF('PIM Ranges'!$AL13&lt;'PIM Ranges'!$BB$17,"Q3",IF('PIM Ranges'!$AL13&lt;'PIM Ranges'!$BC$17,"Q4","Q5")))),IF('PIM Ranges'!$AK13='PIM Ranges'!$AY$18,IF('PIM Ranges'!$AL13&lt;'PIM Ranges'!$AZ$18,"Q1",IF('PIM Ranges'!$AL13&lt;'PIM Ranges'!$BA$18,"Q2",IF('PIM Ranges'!$AL13&lt;'PIM Ranges'!$BB$18,"Q3",IF('PIM Ranges'!$AL13&lt;'PIM Ranges'!$BC$18,"Q4","Q5")))),IF('PIM Ranges'!$AK13='PIM Ranges'!$AY$19,IF('PIM Ranges'!$AL13&lt;'PIM Ranges'!$AZ$19,"Q1",IF('PIM Ranges'!$AL13&lt;'PIM Ranges'!$BA$19,"Q2",IF('PIM Ranges'!$AL13&lt;'PIM Ranges'!$BB$19,"Q3",IF('PIM Ranges'!$AL13&lt;'PIM Ranges'!$BC$19,"Q4","Q5")))),IF('PIM Ranges'!$AK13='PIM Ranges'!$AY$20,IF('PIM Ranges'!$AL13&lt;'PIM Ranges'!$AZ$20,"Q1",IF('PIM Ranges'!$AL13&lt;'PIM Ranges'!$BA$20,"Q2",IF('PIM Ranges'!$AL13&lt;'PIM Ranges'!$BB$20,"Q3",IF('PIM Ranges'!$AL13&lt;'PIM Ranges'!$BC$20,"Q4","Q5")))),IF('PIM Ranges'!$AK13='PIM Ranges'!$AY$21,IF('PIM Ranges'!$AL13&lt;'PIM Ranges'!$AZ$21,"Q1",IF('PIM Ranges'!$AL13&lt;'PIM Ranges'!$BA$21,"Q2",IF('PIM Ranges'!$AL13&lt;'PIM Ranges'!$BB$21,"Q3",IF('PIM Ranges'!$AL13&lt;'PIM Ranges'!$BC$21,"Q4","Q5")))),IF('PIM Ranges'!$AK13='PIM Ranges'!$AY$22,IF('PIM Ranges'!$AL13&lt;'PIM Ranges'!$AZ$22,"Q1",IF('PIM Ranges'!$AL13&lt;'PIM Ranges'!$BA$22,"Q2",IF('PIM Ranges'!$AL13&lt;'PIM Ranges'!$BB$22,"Q3",IF('PIM Ranges'!$AL13&lt;'PIM Ranges'!$BC$22,"Q4","Q5")))),IF('PIM Ranges'!$AK13='PIM Ranges'!$AY$23,IF('PIM Ranges'!$AL13&lt;'PIM Ranges'!$AZ$23,"Q1",IF('PIM Ranges'!$AL13&lt;'PIM Ranges'!$BA$23,"Q2",IF('PIM Ranges'!$AL13&lt;'PIM Ranges'!$BB$23,"Q3",IF('PIM Ranges'!$AL13&lt;'PIM Ranges'!$BC$23,"Q4","Q5")))),IF('PIM Ranges'!$AK13='PIM Ranges'!$AY$24,IF('PIM Ranges'!$AL13&lt;'PIM Ranges'!$AZ$24,"Q1",IF('PIM Ranges'!$AL13&lt;'PIM Ranges'!$BA$24,"Q2",IF('PIM Ranges'!$AL13&lt;'PIM Ranges'!$BB$24,"Q3",IF('PIM Ranges'!$AL13&lt;'PIM Ranges'!$BC$24,"Q4","Q5")))),IF('PIM Ranges'!$AK13='PIM Ranges'!$AY$25,IF('PIM Ranges'!$AL13&lt;'PIM Ranges'!$AZ$25,"Q1",IF('PIM Ranges'!$AL13&lt;'PIM Ranges'!$BA$25,"Q2",IF('PIM Ranges'!$AL13&lt;'PIM Ranges'!$BB$25,"Q3",IF('PIM Ranges'!$AL13&lt;'PIM Ranges'!$BC$25,"Q4","Q5")))),IF('PIM Ranges'!$AK13='PIM Ranges'!$AY$26,IF('PIM Ranges'!$AL13&lt;'PIM Ranges'!$AZ$26,"Q1",IF('PIM Ranges'!$AL13&lt;'PIM Ranges'!$BA$26,"Q2",IF('PIM Ranges'!$AL13&lt;'PIM Ranges'!$BB$26,"Q3",IF('PIM Ranges'!$AL13&lt;'PIM Ranges'!$BC$26,"Q4","Q5")))),IF('PIM Ranges'!$AK13='PIM Ranges'!$AY$27,IF('PIM Ranges'!$AL13&lt;'PIM Ranges'!$AZ$27,"Q1",IF('PIM Ranges'!$AL13&lt;'PIM Ranges'!$BA$27,"Q2",IF('PIM Ranges'!$AL13&lt;'PIM Ranges'!$BB$27,"Q3",IF('PIM Ranges'!$AL13&lt;'PIM Ranges'!$BC$27,"Q4","Q5")))),IF('PIM Ranges'!$AK13='PIM Ranges'!$AY$28,IF('PIM Ranges'!$AL13&lt;'PIM Ranges'!$AZ$28,"Q1",IF('PIM Ranges'!$AL13&lt;'PIM Ranges'!$BA$28,"Q2",IF('PIM Ranges'!$AL13&lt;'PIM Ranges'!$BB$28,"Q3",IF('PIM Ranges'!$AL13&lt;'PIM Ranges'!$BC$28,"Q4","Q5")))),IF('PIM Ranges'!$AK13='PIM Ranges'!$AY$29,IF('PIM Ranges'!$AL13&lt;'PIM Ranges'!$AZ$29,"Q1",IF('PIM Ranges'!$AL13&lt;'PIM Ranges'!$BA$29,"Q2",IF('PIM Ranges'!$AL13&lt;'PIM Ranges'!$BB$29,"Q3",IF('PIM Ranges'!$AL13&lt;'PIM Ranges'!$BC$29,"Q4","Q5")))),IF('PIM Ranges'!$AK13='PIM Ranges'!$AY$30,IF('PIM Ranges'!$AL13&lt;'PIM Ranges'!$AZ$30,"Q1",IF('PIM Ranges'!$AL13&lt;'PIM Ranges'!$BA$30,"Q2",IF('PIM Ranges'!$AL13&lt;'PIM Ranges'!$BB$30,"Q3",IF('PIM Ranges'!$AL13&lt;'PIM Ranges'!$BC$30,"Q4","Q5")))),IF('PIM Ranges'!$AK13='PIM Ranges'!$AY$31,IF('PIM Ranges'!$AL13&lt;'PIM Ranges'!$AZ$31,"Q1",IF('PIM Ranges'!$AL13&lt;'PIM Ranges'!$BA$31,"Q2",IF('PIM Ranges'!$AL13&lt;'PIM Ranges'!$BB$31,"Q3",IF('PIM Ranges'!$AL13&lt;'PIM Ranges'!$BC$31,"Q4","Q5")))),IF('PIM Ranges'!$AK13='PIM Ranges'!$AY$32,IF('PIM Ranges'!$AL13&lt;'PIM Ranges'!$AZ$32,"Q1",IF('PIM Ranges'!$AL13&lt;'PIM Ranges'!$BA$32,"Q2",IF('PIM Ranges'!$AL13&lt;'PIM Ranges'!$BB$32,"Q3",IF('PIM Ranges'!$AL13&lt;'PIM Ranges'!$BC$32,"Q4","Q5"))))))))))))))))))))))))))</f>
        <v>Q1</v>
      </c>
      <c r="AX13" s="393"/>
      <c r="AY13" s="56" t="s">
        <v>103</v>
      </c>
      <c r="AZ13" s="394">
        <v>9726</v>
      </c>
      <c r="BA13" s="394">
        <v>36145</v>
      </c>
      <c r="BB13" s="394">
        <v>112255</v>
      </c>
      <c r="BC13" s="394">
        <v>235495</v>
      </c>
      <c r="BF13" s="56" t="s">
        <v>103</v>
      </c>
      <c r="BG13" s="394">
        <v>10238</v>
      </c>
      <c r="BH13" s="394">
        <v>41074</v>
      </c>
      <c r="BI13" s="394">
        <v>127563</v>
      </c>
      <c r="BJ13" s="394">
        <v>301917</v>
      </c>
    </row>
    <row r="14" spans="1:72" x14ac:dyDescent="0.25">
      <c r="A14" s="870">
        <f t="shared" si="12"/>
        <v>0</v>
      </c>
      <c r="B14">
        <v>5</v>
      </c>
      <c r="C14" t="s">
        <v>1296</v>
      </c>
      <c r="D14" s="25">
        <f>'Multi-Customer'!C16</f>
        <v>0</v>
      </c>
      <c r="E14">
        <f>'Multi-Customer'!D16</f>
        <v>0</v>
      </c>
      <c r="F14">
        <f>'Multi-Customer'!E16</f>
        <v>0</v>
      </c>
      <c r="G14" s="274">
        <f>'Multi-Customer'!F16</f>
        <v>0</v>
      </c>
      <c r="H14" s="19">
        <f t="shared" si="13"/>
        <v>0</v>
      </c>
      <c r="I14" s="19">
        <f t="shared" si="14"/>
        <v>0</v>
      </c>
      <c r="J14" s="274"/>
      <c r="K14" s="274" t="str">
        <f>'PIM Model'!E12</f>
        <v>INCLUDE</v>
      </c>
      <c r="L14" s="274">
        <f t="shared" si="15"/>
        <v>0</v>
      </c>
      <c r="M14">
        <v>5</v>
      </c>
      <c r="N14" s="274" t="s">
        <v>1296</v>
      </c>
      <c r="O14" s="274">
        <f t="shared" si="16"/>
        <v>0</v>
      </c>
      <c r="P14" s="274">
        <f t="shared" si="0"/>
        <v>0</v>
      </c>
      <c r="Q14" s="274">
        <f t="shared" si="17"/>
        <v>0</v>
      </c>
      <c r="R14" s="274">
        <f t="shared" si="1"/>
        <v>0</v>
      </c>
      <c r="S14" s="274">
        <f t="shared" si="18"/>
        <v>0</v>
      </c>
      <c r="T14" s="19">
        <f t="shared" si="19"/>
        <v>0</v>
      </c>
      <c r="U14" s="19"/>
      <c r="V14" s="2">
        <f>'PIM Model'!$C$12</f>
        <v>0</v>
      </c>
      <c r="W14" s="498">
        <f>IFERROR('Multi-Customer'!R16,0)</f>
        <v>0</v>
      </c>
      <c r="X14" s="19">
        <f t="shared" si="2"/>
        <v>0</v>
      </c>
      <c r="Y14" s="274">
        <f t="shared" si="20"/>
        <v>0</v>
      </c>
      <c r="Z14" s="274">
        <f t="shared" si="21"/>
        <v>0</v>
      </c>
      <c r="AA14" s="274">
        <f t="shared" si="22"/>
        <v>0</v>
      </c>
      <c r="AB14" s="499">
        <f t="shared" si="23"/>
        <v>0</v>
      </c>
      <c r="AC14" s="499">
        <f t="shared" si="3"/>
        <v>0</v>
      </c>
      <c r="AD14" s="274">
        <f t="shared" si="24"/>
        <v>0</v>
      </c>
      <c r="AE14" s="274"/>
      <c r="AF14" s="274">
        <f t="shared" si="4"/>
        <v>0</v>
      </c>
      <c r="AG14" s="39">
        <f>'PIM Model'!B12</f>
        <v>0</v>
      </c>
      <c r="AH14" s="361">
        <f t="shared" si="5"/>
        <v>0</v>
      </c>
      <c r="AI14" s="361">
        <f t="shared" si="25"/>
        <v>0</v>
      </c>
      <c r="AJ14">
        <v>5</v>
      </c>
      <c r="AK14" s="362" t="s">
        <v>1296</v>
      </c>
      <c r="AL14" s="362">
        <f t="shared" si="6"/>
        <v>0</v>
      </c>
      <c r="AM14" s="362">
        <f t="shared" si="7"/>
        <v>0</v>
      </c>
      <c r="AN14" s="362">
        <f t="shared" si="8"/>
        <v>0</v>
      </c>
      <c r="AO14" s="363">
        <f t="shared" si="9"/>
        <v>0</v>
      </c>
      <c r="AP14" s="363">
        <f t="shared" si="10"/>
        <v>0</v>
      </c>
      <c r="AQ14" s="363">
        <f>IF('Multi-Customer'!C16=0,'Multi-Customer'!U16,'Multi-Customer'!T16)*AL14</f>
        <v>0</v>
      </c>
      <c r="AR14" s="363">
        <f>IF('Multi-Customer'!C16=0,'Multi-Customer'!W16,'Multi-Customer'!V16)*AL14</f>
        <v>0</v>
      </c>
      <c r="AS14" s="1" t="str">
        <f t="shared" si="11"/>
        <v>Q1</v>
      </c>
      <c r="AT14" s="1" t="str">
        <f>IF('PIM Ranges'!$AK14='PIM Ranges'!$AY$11,IF('PIM Ranges'!$AL14&lt;'PIM Ranges'!$AZ$11,"Q1",IF('PIM Ranges'!$AL14&lt;'PIM Ranges'!$BA$11,"Q2",IF('PIM Ranges'!$AL14&lt;'PIM Ranges'!$BB$11,"Q3",IF('PIM Ranges'!$AL14&lt;'PIM Ranges'!$BC$11,"Q4","Q5")))),IF('PIM Ranges'!$AK14='PIM Ranges'!$AY$12,IF('PIM Ranges'!$AL14&lt;'PIM Ranges'!$AZ$12,"Q1",IF('PIM Ranges'!$AL14&lt;'PIM Ranges'!$BA$12,"Q2",IF('PIM Ranges'!$AL14&lt;'PIM Ranges'!$BB$12,"Q3",IF('PIM Ranges'!$AL14&lt;'PIM Ranges'!$BC$12,"Q4","Q5")))),IF('PIM Ranges'!$AK14='PIM Ranges'!$AY$13,IF('PIM Ranges'!$AL14&lt;'PIM Ranges'!$AZ$13,"Q1",IF('PIM Ranges'!$AL14&lt;'PIM Ranges'!$BA$13,"Q2",IF('PIM Ranges'!$AL14&lt;'PIM Ranges'!$BB$13,"Q3",IF('PIM Ranges'!$AL14&lt;'PIM Ranges'!$BC$13,"Q4","Q5")))),IF('PIM Ranges'!$AK14='PIM Ranges'!$AY$14,IF('PIM Ranges'!$AL14&lt;'PIM Ranges'!$AZ$14,"Q1",IF('PIM Ranges'!$AL14&lt;'PIM Ranges'!$BA$14,"Q2",IF('PIM Ranges'!$AL14&lt;'PIM Ranges'!$BB$14,"Q3",IF('PIM Ranges'!$AL14&lt;'PIM Ranges'!$BC$14,"Q4","Q5")))),IF('PIM Ranges'!$AK14='PIM Ranges'!$AY$15,IF('PIM Ranges'!$AL14&lt;'PIM Ranges'!$AZ$15,"Q1",IF('PIM Ranges'!$AL14&lt;'PIM Ranges'!$BA$15,"Q2",IF('PIM Ranges'!$AL14&lt;'PIM Ranges'!$BB$15,"Q3",IF('PIM Ranges'!$AL14&lt;'PIM Ranges'!$BC$15,"Q4","Q5")))),IF('PIM Ranges'!$AK14='PIM Ranges'!$AY$16,IF('PIM Ranges'!$AL14&lt;'PIM Ranges'!$AZ$16,"Q1",IF('PIM Ranges'!$AL14&lt;'PIM Ranges'!$BA$16,"Q2",IF('PIM Ranges'!$AL14&lt;'PIM Ranges'!$BB$16,"Q3",IF('PIM Ranges'!$AL14&lt;'PIM Ranges'!$BC$16,"Q4","Q5")))),IF('PIM Ranges'!$AK14='PIM Ranges'!$AY$17,IF('PIM Ranges'!$AL14&lt;'PIM Ranges'!$AZ$17,"Q1",IF('PIM Ranges'!$AL14&lt;'PIM Ranges'!$BA$17,"Q2",IF('PIM Ranges'!$AL14&lt;'PIM Ranges'!$BB$17,"Q3",IF('PIM Ranges'!$AL14&lt;'PIM Ranges'!$BC$17,"Q4","Q5")))),IF('PIM Ranges'!$AK14='PIM Ranges'!$AY$18,IF('PIM Ranges'!$AL14&lt;'PIM Ranges'!$AZ$18,"Q1",IF('PIM Ranges'!$AL14&lt;'PIM Ranges'!$BA$18,"Q2",IF('PIM Ranges'!$AL14&lt;'PIM Ranges'!$BB$18,"Q3",IF('PIM Ranges'!$AL14&lt;'PIM Ranges'!$BC$18,"Q4","Q5")))),IF('PIM Ranges'!$AK14='PIM Ranges'!$AY$19,IF('PIM Ranges'!$AL14&lt;'PIM Ranges'!$AZ$19,"Q1",IF('PIM Ranges'!$AL14&lt;'PIM Ranges'!$BA$19,"Q2",IF('PIM Ranges'!$AL14&lt;'PIM Ranges'!$BB$19,"Q3",IF('PIM Ranges'!$AL14&lt;'PIM Ranges'!$BC$19,"Q4","Q5")))),IF('PIM Ranges'!$AK14='PIM Ranges'!$AY$20,IF('PIM Ranges'!$AL14&lt;'PIM Ranges'!$AZ$20,"Q1",IF('PIM Ranges'!$AL14&lt;'PIM Ranges'!$BA$20,"Q2",IF('PIM Ranges'!$AL14&lt;'PIM Ranges'!$BB$20,"Q3",IF('PIM Ranges'!$AL14&lt;'PIM Ranges'!$BC$20,"Q4","Q5")))),IF('PIM Ranges'!$AK14='PIM Ranges'!$AY$21,IF('PIM Ranges'!$AL14&lt;'PIM Ranges'!$AZ$21,"Q1",IF('PIM Ranges'!$AL14&lt;'PIM Ranges'!$BA$21,"Q2",IF('PIM Ranges'!$AL14&lt;'PIM Ranges'!$BB$21,"Q3",IF('PIM Ranges'!$AL14&lt;'PIM Ranges'!$BC$21,"Q4","Q5")))),IF('PIM Ranges'!$AK14='PIM Ranges'!$AY$22,IF('PIM Ranges'!$AL14&lt;'PIM Ranges'!$AZ$22,"Q1",IF('PIM Ranges'!$AL14&lt;'PIM Ranges'!$BA$22,"Q2",IF('PIM Ranges'!$AL14&lt;'PIM Ranges'!$BB$22,"Q3",IF('PIM Ranges'!$AL14&lt;'PIM Ranges'!$BC$22,"Q4","Q5")))),IF('PIM Ranges'!$AK14='PIM Ranges'!$AY$23,IF('PIM Ranges'!$AL14&lt;'PIM Ranges'!$AZ$23,"Q1",IF('PIM Ranges'!$AL14&lt;'PIM Ranges'!$BA$23,"Q2",IF('PIM Ranges'!$AL14&lt;'PIM Ranges'!$BB$23,"Q3",IF('PIM Ranges'!$AL14&lt;'PIM Ranges'!$BC$23,"Q4","Q5")))),IF('PIM Ranges'!$AK14='PIM Ranges'!$AY$24,IF('PIM Ranges'!$AL14&lt;'PIM Ranges'!$AZ$24,"Q1",IF('PIM Ranges'!$AL14&lt;'PIM Ranges'!$BA$24,"Q2",IF('PIM Ranges'!$AL14&lt;'PIM Ranges'!$BB$24,"Q3",IF('PIM Ranges'!$AL14&lt;'PIM Ranges'!$BC$24,"Q4","Q5")))),IF('PIM Ranges'!$AK14='PIM Ranges'!$AY$25,IF('PIM Ranges'!$AL14&lt;'PIM Ranges'!$AZ$25,"Q1",IF('PIM Ranges'!$AL14&lt;'PIM Ranges'!$BA$25,"Q2",IF('PIM Ranges'!$AL14&lt;'PIM Ranges'!$BB$25,"Q3",IF('PIM Ranges'!$AL14&lt;'PIM Ranges'!$BC$25,"Q4","Q5")))),IF('PIM Ranges'!$AK14='PIM Ranges'!$AY$26,IF('PIM Ranges'!$AL14&lt;'PIM Ranges'!$AZ$26,"Q1",IF('PIM Ranges'!$AL14&lt;'PIM Ranges'!$BA$26,"Q2",IF('PIM Ranges'!$AL14&lt;'PIM Ranges'!$BB$26,"Q3",IF('PIM Ranges'!$AL14&lt;'PIM Ranges'!$BC$26,"Q4","Q5")))),IF('PIM Ranges'!$AK14='PIM Ranges'!$AY$27,IF('PIM Ranges'!$AL14&lt;'PIM Ranges'!$AZ$27,"Q1",IF('PIM Ranges'!$AL14&lt;'PIM Ranges'!$BA$27,"Q2",IF('PIM Ranges'!$AL14&lt;'PIM Ranges'!$BB$27,"Q3",IF('PIM Ranges'!$AL14&lt;'PIM Ranges'!$BC$27,"Q4","Q5")))),IF('PIM Ranges'!$AK14='PIM Ranges'!$AY$28,IF('PIM Ranges'!$AL14&lt;'PIM Ranges'!$AZ$28,"Q1",IF('PIM Ranges'!$AL14&lt;'PIM Ranges'!$BA$28,"Q2",IF('PIM Ranges'!$AL14&lt;'PIM Ranges'!$BB$28,"Q3",IF('PIM Ranges'!$AL14&lt;'PIM Ranges'!$BC$28,"Q4","Q5")))),IF('PIM Ranges'!$AK14='PIM Ranges'!$AY$29,IF('PIM Ranges'!$AL14&lt;'PIM Ranges'!$AZ$29,"Q1",IF('PIM Ranges'!$AL14&lt;'PIM Ranges'!$BA$29,"Q2",IF('PIM Ranges'!$AL14&lt;'PIM Ranges'!$BB$29,"Q3",IF('PIM Ranges'!$AL14&lt;'PIM Ranges'!$BC$29,"Q4","Q5")))),IF('PIM Ranges'!$AK14='PIM Ranges'!$AY$30,IF('PIM Ranges'!$AL14&lt;'PIM Ranges'!$AZ$30,"Q1",IF('PIM Ranges'!$AL14&lt;'PIM Ranges'!$BA$30,"Q2",IF('PIM Ranges'!$AL14&lt;'PIM Ranges'!$BB$30,"Q3",IF('PIM Ranges'!$AL14&lt;'PIM Ranges'!$BC$30,"Q4","Q5")))),IF('PIM Ranges'!$AK14='PIM Ranges'!$AY$31,IF('PIM Ranges'!$AL14&lt;'PIM Ranges'!$AZ$31,"Q1",IF('PIM Ranges'!$AL14&lt;'PIM Ranges'!$BA$31,"Q2",IF('PIM Ranges'!$AL14&lt;'PIM Ranges'!$BB$31,"Q3",IF('PIM Ranges'!$AL14&lt;'PIM Ranges'!$BC$31,"Q4","Q5")))),IF('PIM Ranges'!$AK14='PIM Ranges'!$AY$32,IF('PIM Ranges'!$AL14&lt;'PIM Ranges'!$AZ$32,"Q1",IF('PIM Ranges'!$AL14&lt;'PIM Ranges'!$BA$32,"Q2",IF('PIM Ranges'!$AL14&lt;'PIM Ranges'!$BB$32,"Q3",IF('PIM Ranges'!$AL14&lt;'PIM Ranges'!$BC$32,"Q4","Q5"))))))))))))))))))))))))))</f>
        <v>Q1</v>
      </c>
      <c r="AX14" s="393"/>
      <c r="AY14" s="56" t="s">
        <v>1296</v>
      </c>
      <c r="AZ14" s="394">
        <v>7627</v>
      </c>
      <c r="BA14" s="394">
        <v>25048</v>
      </c>
      <c r="BB14" s="394">
        <v>65918</v>
      </c>
      <c r="BC14" s="394">
        <v>149490</v>
      </c>
      <c r="BF14" s="56" t="s">
        <v>1296</v>
      </c>
      <c r="BG14" s="394">
        <v>8381</v>
      </c>
      <c r="BH14" s="394">
        <v>27692</v>
      </c>
      <c r="BI14" s="394">
        <v>73242</v>
      </c>
      <c r="BJ14" s="394">
        <v>169875</v>
      </c>
    </row>
    <row r="15" spans="1:72" x14ac:dyDescent="0.25">
      <c r="A15" s="870">
        <f t="shared" si="12"/>
        <v>0</v>
      </c>
      <c r="B15">
        <v>6</v>
      </c>
      <c r="C15" t="s">
        <v>102</v>
      </c>
      <c r="D15" s="25">
        <f>'Multi-Customer'!C17</f>
        <v>0</v>
      </c>
      <c r="E15">
        <f>'Multi-Customer'!D17</f>
        <v>0</v>
      </c>
      <c r="F15">
        <f>'Multi-Customer'!E17</f>
        <v>0</v>
      </c>
      <c r="G15" s="274">
        <f>'Multi-Customer'!F17</f>
        <v>0</v>
      </c>
      <c r="H15" s="19">
        <f t="shared" si="13"/>
        <v>0</v>
      </c>
      <c r="I15" s="19">
        <f t="shared" si="14"/>
        <v>0</v>
      </c>
      <c r="J15" s="274"/>
      <c r="K15" s="274" t="str">
        <f>'PIM Model'!E13</f>
        <v>INCLUDE</v>
      </c>
      <c r="L15" s="274">
        <f t="shared" si="15"/>
        <v>0</v>
      </c>
      <c r="M15">
        <v>6</v>
      </c>
      <c r="N15" s="274" t="s">
        <v>102</v>
      </c>
      <c r="O15" s="274">
        <f t="shared" si="16"/>
        <v>0</v>
      </c>
      <c r="P15" s="274">
        <f t="shared" si="0"/>
        <v>0</v>
      </c>
      <c r="Q15" s="274">
        <f t="shared" si="17"/>
        <v>0</v>
      </c>
      <c r="R15" s="274">
        <f t="shared" si="1"/>
        <v>0</v>
      </c>
      <c r="S15" s="274">
        <f t="shared" si="18"/>
        <v>0</v>
      </c>
      <c r="T15" s="19">
        <f t="shared" si="19"/>
        <v>0</v>
      </c>
      <c r="U15" s="19"/>
      <c r="V15" s="2">
        <f>'PIM Model'!$C$13</f>
        <v>0</v>
      </c>
      <c r="W15" s="498">
        <f>IFERROR('Multi-Customer'!R17,0)</f>
        <v>0</v>
      </c>
      <c r="X15" s="19">
        <f t="shared" si="2"/>
        <v>0</v>
      </c>
      <c r="Y15" s="274">
        <f t="shared" si="20"/>
        <v>0</v>
      </c>
      <c r="Z15" s="274">
        <f t="shared" si="21"/>
        <v>0</v>
      </c>
      <c r="AA15" s="274">
        <f t="shared" si="22"/>
        <v>0</v>
      </c>
      <c r="AB15" s="499">
        <f t="shared" si="23"/>
        <v>0</v>
      </c>
      <c r="AC15" s="499">
        <f t="shared" si="3"/>
        <v>0</v>
      </c>
      <c r="AD15" s="274">
        <f t="shared" si="24"/>
        <v>0</v>
      </c>
      <c r="AE15" s="274"/>
      <c r="AF15" s="274">
        <f t="shared" si="4"/>
        <v>0</v>
      </c>
      <c r="AG15" s="39">
        <f>'PIM Model'!B13</f>
        <v>0</v>
      </c>
      <c r="AH15" s="361">
        <f t="shared" si="5"/>
        <v>0</v>
      </c>
      <c r="AI15" s="361">
        <f t="shared" si="25"/>
        <v>0</v>
      </c>
      <c r="AJ15">
        <v>6</v>
      </c>
      <c r="AK15" s="362" t="s">
        <v>102</v>
      </c>
      <c r="AL15" s="362">
        <f t="shared" si="6"/>
        <v>0</v>
      </c>
      <c r="AM15" s="362">
        <f t="shared" si="7"/>
        <v>0</v>
      </c>
      <c r="AN15" s="362">
        <f t="shared" si="8"/>
        <v>0</v>
      </c>
      <c r="AO15" s="363">
        <f t="shared" si="9"/>
        <v>0</v>
      </c>
      <c r="AP15" s="363">
        <f t="shared" si="10"/>
        <v>0</v>
      </c>
      <c r="AQ15" s="363">
        <f>IF('Multi-Customer'!C17=0,'Multi-Customer'!U17,'Multi-Customer'!T17)*AL15</f>
        <v>0</v>
      </c>
      <c r="AR15" s="363">
        <f>IF('Multi-Customer'!C17=0,'Multi-Customer'!W17,'Multi-Customer'!V17)*AL15</f>
        <v>0</v>
      </c>
      <c r="AS15" s="1" t="str">
        <f t="shared" si="11"/>
        <v>Q1</v>
      </c>
      <c r="AT15" s="1" t="str">
        <f>IF('PIM Ranges'!$AK15='PIM Ranges'!$AY$11,IF('PIM Ranges'!$AL15&lt;'PIM Ranges'!$AZ$11,"Q1",IF('PIM Ranges'!$AL15&lt;'PIM Ranges'!$BA$11,"Q2",IF('PIM Ranges'!$AL15&lt;'PIM Ranges'!$BB$11,"Q3",IF('PIM Ranges'!$AL15&lt;'PIM Ranges'!$BC$11,"Q4","Q5")))),IF('PIM Ranges'!$AK15='PIM Ranges'!$AY$12,IF('PIM Ranges'!$AL15&lt;'PIM Ranges'!$AZ$12,"Q1",IF('PIM Ranges'!$AL15&lt;'PIM Ranges'!$BA$12,"Q2",IF('PIM Ranges'!$AL15&lt;'PIM Ranges'!$BB$12,"Q3",IF('PIM Ranges'!$AL15&lt;'PIM Ranges'!$BC$12,"Q4","Q5")))),IF('PIM Ranges'!$AK15='PIM Ranges'!$AY$13,IF('PIM Ranges'!$AL15&lt;'PIM Ranges'!$AZ$13,"Q1",IF('PIM Ranges'!$AL15&lt;'PIM Ranges'!$BA$13,"Q2",IF('PIM Ranges'!$AL15&lt;'PIM Ranges'!$BB$13,"Q3",IF('PIM Ranges'!$AL15&lt;'PIM Ranges'!$BC$13,"Q4","Q5")))),IF('PIM Ranges'!$AK15='PIM Ranges'!$AY$14,IF('PIM Ranges'!$AL15&lt;'PIM Ranges'!$AZ$14,"Q1",IF('PIM Ranges'!$AL15&lt;'PIM Ranges'!$BA$14,"Q2",IF('PIM Ranges'!$AL15&lt;'PIM Ranges'!$BB$14,"Q3",IF('PIM Ranges'!$AL15&lt;'PIM Ranges'!$BC$14,"Q4","Q5")))),IF('PIM Ranges'!$AK15='PIM Ranges'!$AY$15,IF('PIM Ranges'!$AL15&lt;'PIM Ranges'!$AZ$15,"Q1",IF('PIM Ranges'!$AL15&lt;'PIM Ranges'!$BA$15,"Q2",IF('PIM Ranges'!$AL15&lt;'PIM Ranges'!$BB$15,"Q3",IF('PIM Ranges'!$AL15&lt;'PIM Ranges'!$BC$15,"Q4","Q5")))),IF('PIM Ranges'!$AK15='PIM Ranges'!$AY$16,IF('PIM Ranges'!$AL15&lt;'PIM Ranges'!$AZ$16,"Q1",IF('PIM Ranges'!$AL15&lt;'PIM Ranges'!$BA$16,"Q2",IF('PIM Ranges'!$AL15&lt;'PIM Ranges'!$BB$16,"Q3",IF('PIM Ranges'!$AL15&lt;'PIM Ranges'!$BC$16,"Q4","Q5")))),IF('PIM Ranges'!$AK15='PIM Ranges'!$AY$17,IF('PIM Ranges'!$AL15&lt;'PIM Ranges'!$AZ$17,"Q1",IF('PIM Ranges'!$AL15&lt;'PIM Ranges'!$BA$17,"Q2",IF('PIM Ranges'!$AL15&lt;'PIM Ranges'!$BB$17,"Q3",IF('PIM Ranges'!$AL15&lt;'PIM Ranges'!$BC$17,"Q4","Q5")))),IF('PIM Ranges'!$AK15='PIM Ranges'!$AY$18,IF('PIM Ranges'!$AL15&lt;'PIM Ranges'!$AZ$18,"Q1",IF('PIM Ranges'!$AL15&lt;'PIM Ranges'!$BA$18,"Q2",IF('PIM Ranges'!$AL15&lt;'PIM Ranges'!$BB$18,"Q3",IF('PIM Ranges'!$AL15&lt;'PIM Ranges'!$BC$18,"Q4","Q5")))),IF('PIM Ranges'!$AK15='PIM Ranges'!$AY$19,IF('PIM Ranges'!$AL15&lt;'PIM Ranges'!$AZ$19,"Q1",IF('PIM Ranges'!$AL15&lt;'PIM Ranges'!$BA$19,"Q2",IF('PIM Ranges'!$AL15&lt;'PIM Ranges'!$BB$19,"Q3",IF('PIM Ranges'!$AL15&lt;'PIM Ranges'!$BC$19,"Q4","Q5")))),IF('PIM Ranges'!$AK15='PIM Ranges'!$AY$20,IF('PIM Ranges'!$AL15&lt;'PIM Ranges'!$AZ$20,"Q1",IF('PIM Ranges'!$AL15&lt;'PIM Ranges'!$BA$20,"Q2",IF('PIM Ranges'!$AL15&lt;'PIM Ranges'!$BB$20,"Q3",IF('PIM Ranges'!$AL15&lt;'PIM Ranges'!$BC$20,"Q4","Q5")))),IF('PIM Ranges'!$AK15='PIM Ranges'!$AY$21,IF('PIM Ranges'!$AL15&lt;'PIM Ranges'!$AZ$21,"Q1",IF('PIM Ranges'!$AL15&lt;'PIM Ranges'!$BA$21,"Q2",IF('PIM Ranges'!$AL15&lt;'PIM Ranges'!$BB$21,"Q3",IF('PIM Ranges'!$AL15&lt;'PIM Ranges'!$BC$21,"Q4","Q5")))),IF('PIM Ranges'!$AK15='PIM Ranges'!$AY$22,IF('PIM Ranges'!$AL15&lt;'PIM Ranges'!$AZ$22,"Q1",IF('PIM Ranges'!$AL15&lt;'PIM Ranges'!$BA$22,"Q2",IF('PIM Ranges'!$AL15&lt;'PIM Ranges'!$BB$22,"Q3",IF('PIM Ranges'!$AL15&lt;'PIM Ranges'!$BC$22,"Q4","Q5")))),IF('PIM Ranges'!$AK15='PIM Ranges'!$AY$23,IF('PIM Ranges'!$AL15&lt;'PIM Ranges'!$AZ$23,"Q1",IF('PIM Ranges'!$AL15&lt;'PIM Ranges'!$BA$23,"Q2",IF('PIM Ranges'!$AL15&lt;'PIM Ranges'!$BB$23,"Q3",IF('PIM Ranges'!$AL15&lt;'PIM Ranges'!$BC$23,"Q4","Q5")))),IF('PIM Ranges'!$AK15='PIM Ranges'!$AY$24,IF('PIM Ranges'!$AL15&lt;'PIM Ranges'!$AZ$24,"Q1",IF('PIM Ranges'!$AL15&lt;'PIM Ranges'!$BA$24,"Q2",IF('PIM Ranges'!$AL15&lt;'PIM Ranges'!$BB$24,"Q3",IF('PIM Ranges'!$AL15&lt;'PIM Ranges'!$BC$24,"Q4","Q5")))),IF('PIM Ranges'!$AK15='PIM Ranges'!$AY$25,IF('PIM Ranges'!$AL15&lt;'PIM Ranges'!$AZ$25,"Q1",IF('PIM Ranges'!$AL15&lt;'PIM Ranges'!$BA$25,"Q2",IF('PIM Ranges'!$AL15&lt;'PIM Ranges'!$BB$25,"Q3",IF('PIM Ranges'!$AL15&lt;'PIM Ranges'!$BC$25,"Q4","Q5")))),IF('PIM Ranges'!$AK15='PIM Ranges'!$AY$26,IF('PIM Ranges'!$AL15&lt;'PIM Ranges'!$AZ$26,"Q1",IF('PIM Ranges'!$AL15&lt;'PIM Ranges'!$BA$26,"Q2",IF('PIM Ranges'!$AL15&lt;'PIM Ranges'!$BB$26,"Q3",IF('PIM Ranges'!$AL15&lt;'PIM Ranges'!$BC$26,"Q4","Q5")))),IF('PIM Ranges'!$AK15='PIM Ranges'!$AY$27,IF('PIM Ranges'!$AL15&lt;'PIM Ranges'!$AZ$27,"Q1",IF('PIM Ranges'!$AL15&lt;'PIM Ranges'!$BA$27,"Q2",IF('PIM Ranges'!$AL15&lt;'PIM Ranges'!$BB$27,"Q3",IF('PIM Ranges'!$AL15&lt;'PIM Ranges'!$BC$27,"Q4","Q5")))),IF('PIM Ranges'!$AK15='PIM Ranges'!$AY$28,IF('PIM Ranges'!$AL15&lt;'PIM Ranges'!$AZ$28,"Q1",IF('PIM Ranges'!$AL15&lt;'PIM Ranges'!$BA$28,"Q2",IF('PIM Ranges'!$AL15&lt;'PIM Ranges'!$BB$28,"Q3",IF('PIM Ranges'!$AL15&lt;'PIM Ranges'!$BC$28,"Q4","Q5")))),IF('PIM Ranges'!$AK15='PIM Ranges'!$AY$29,IF('PIM Ranges'!$AL15&lt;'PIM Ranges'!$AZ$29,"Q1",IF('PIM Ranges'!$AL15&lt;'PIM Ranges'!$BA$29,"Q2",IF('PIM Ranges'!$AL15&lt;'PIM Ranges'!$BB$29,"Q3",IF('PIM Ranges'!$AL15&lt;'PIM Ranges'!$BC$29,"Q4","Q5")))),IF('PIM Ranges'!$AK15='PIM Ranges'!$AY$30,IF('PIM Ranges'!$AL15&lt;'PIM Ranges'!$AZ$30,"Q1",IF('PIM Ranges'!$AL15&lt;'PIM Ranges'!$BA$30,"Q2",IF('PIM Ranges'!$AL15&lt;'PIM Ranges'!$BB$30,"Q3",IF('PIM Ranges'!$AL15&lt;'PIM Ranges'!$BC$30,"Q4","Q5")))),IF('PIM Ranges'!$AK15='PIM Ranges'!$AY$31,IF('PIM Ranges'!$AL15&lt;'PIM Ranges'!$AZ$31,"Q1",IF('PIM Ranges'!$AL15&lt;'PIM Ranges'!$BA$31,"Q2",IF('PIM Ranges'!$AL15&lt;'PIM Ranges'!$BB$31,"Q3",IF('PIM Ranges'!$AL15&lt;'PIM Ranges'!$BC$31,"Q4","Q5")))),IF('PIM Ranges'!$AK15='PIM Ranges'!$AY$32,IF('PIM Ranges'!$AL15&lt;'PIM Ranges'!$AZ$32,"Q1",IF('PIM Ranges'!$AL15&lt;'PIM Ranges'!$BA$32,"Q2",IF('PIM Ranges'!$AL15&lt;'PIM Ranges'!$BB$32,"Q3",IF('PIM Ranges'!$AL15&lt;'PIM Ranges'!$BC$32,"Q4","Q5"))))))))))))))))))))))))))</f>
        <v>Q1</v>
      </c>
      <c r="AX15" s="393"/>
      <c r="AY15" s="52" t="s">
        <v>102</v>
      </c>
      <c r="AZ15" s="394">
        <v>2926</v>
      </c>
      <c r="BA15" s="394">
        <v>7075</v>
      </c>
      <c r="BB15" s="394">
        <v>14145</v>
      </c>
      <c r="BC15" s="394">
        <v>30916</v>
      </c>
      <c r="BF15" s="52" t="s">
        <v>102</v>
      </c>
      <c r="BG15" s="394">
        <v>5828</v>
      </c>
      <c r="BH15" s="394">
        <v>18598</v>
      </c>
      <c r="BI15" s="394">
        <v>52273</v>
      </c>
      <c r="BJ15" s="394">
        <v>121106</v>
      </c>
    </row>
    <row r="16" spans="1:72" x14ac:dyDescent="0.25">
      <c r="A16" s="870">
        <f t="shared" si="12"/>
        <v>0</v>
      </c>
      <c r="B16">
        <v>7</v>
      </c>
      <c r="C16" t="s">
        <v>100</v>
      </c>
      <c r="D16" s="25">
        <f>'Multi-Customer'!C18</f>
        <v>0</v>
      </c>
      <c r="E16">
        <f>'Multi-Customer'!D18</f>
        <v>0</v>
      </c>
      <c r="F16">
        <f>'Multi-Customer'!E18</f>
        <v>0</v>
      </c>
      <c r="G16" s="274">
        <f>'Multi-Customer'!F18</f>
        <v>0</v>
      </c>
      <c r="H16" s="19">
        <f t="shared" si="13"/>
        <v>0</v>
      </c>
      <c r="I16" s="19">
        <f t="shared" si="14"/>
        <v>0</v>
      </c>
      <c r="J16" s="274"/>
      <c r="K16" s="274" t="str">
        <f>'PIM Model'!E14</f>
        <v>INCLUDE</v>
      </c>
      <c r="L16" s="274">
        <f t="shared" si="15"/>
        <v>0</v>
      </c>
      <c r="M16">
        <v>7</v>
      </c>
      <c r="N16" s="274" t="s">
        <v>100</v>
      </c>
      <c r="O16" s="274">
        <f t="shared" si="16"/>
        <v>0</v>
      </c>
      <c r="P16" s="274">
        <f t="shared" si="0"/>
        <v>0</v>
      </c>
      <c r="Q16" s="274">
        <f t="shared" si="17"/>
        <v>0</v>
      </c>
      <c r="R16" s="274">
        <f t="shared" si="1"/>
        <v>0</v>
      </c>
      <c r="S16" s="274">
        <f t="shared" si="18"/>
        <v>0</v>
      </c>
      <c r="T16" s="19">
        <f t="shared" si="19"/>
        <v>0</v>
      </c>
      <c r="U16" s="19"/>
      <c r="V16" s="2">
        <f>'PIM Model'!$C$14</f>
        <v>0</v>
      </c>
      <c r="W16" s="498">
        <f>IFERROR('Multi-Customer'!R18,0)</f>
        <v>0</v>
      </c>
      <c r="X16" s="19">
        <f t="shared" si="2"/>
        <v>0</v>
      </c>
      <c r="Y16" s="274">
        <f t="shared" si="20"/>
        <v>0</v>
      </c>
      <c r="Z16" s="274">
        <f t="shared" si="21"/>
        <v>0</v>
      </c>
      <c r="AA16" s="274">
        <f t="shared" si="22"/>
        <v>0</v>
      </c>
      <c r="AB16" s="499">
        <f t="shared" si="23"/>
        <v>0</v>
      </c>
      <c r="AC16" s="499">
        <f t="shared" si="3"/>
        <v>0</v>
      </c>
      <c r="AD16" s="274">
        <f t="shared" si="24"/>
        <v>0</v>
      </c>
      <c r="AE16" s="274"/>
      <c r="AF16" s="274">
        <f t="shared" si="4"/>
        <v>0</v>
      </c>
      <c r="AG16" s="39">
        <f>'PIM Model'!B14</f>
        <v>0</v>
      </c>
      <c r="AH16" s="361">
        <f t="shared" si="5"/>
        <v>0</v>
      </c>
      <c r="AI16" s="361">
        <f t="shared" si="25"/>
        <v>0</v>
      </c>
      <c r="AJ16">
        <v>7</v>
      </c>
      <c r="AK16" s="362" t="s">
        <v>100</v>
      </c>
      <c r="AL16" s="362">
        <f t="shared" si="6"/>
        <v>0</v>
      </c>
      <c r="AM16" s="362">
        <f t="shared" si="7"/>
        <v>0</v>
      </c>
      <c r="AN16" s="362">
        <f t="shared" si="8"/>
        <v>0</v>
      </c>
      <c r="AO16" s="363">
        <f t="shared" si="9"/>
        <v>0</v>
      </c>
      <c r="AP16" s="363">
        <f t="shared" si="10"/>
        <v>0</v>
      </c>
      <c r="AQ16" s="363">
        <f>IF('Multi-Customer'!C18=0,'Multi-Customer'!U18,'Multi-Customer'!T18)*AL16</f>
        <v>0</v>
      </c>
      <c r="AR16" s="363">
        <f>IF('Multi-Customer'!C18=0,'Multi-Customer'!W18,'Multi-Customer'!V18)*AL16</f>
        <v>0</v>
      </c>
      <c r="AS16" s="1" t="str">
        <f t="shared" si="11"/>
        <v>Q1</v>
      </c>
      <c r="AT16" s="1" t="str">
        <f>IF('PIM Ranges'!$AK16='PIM Ranges'!$AY$11,IF('PIM Ranges'!$AL16&lt;'PIM Ranges'!$AZ$11,"Q1",IF('PIM Ranges'!$AL16&lt;'PIM Ranges'!$BA$11,"Q2",IF('PIM Ranges'!$AL16&lt;'PIM Ranges'!$BB$11,"Q3",IF('PIM Ranges'!$AL16&lt;'PIM Ranges'!$BC$11,"Q4","Q5")))),IF('PIM Ranges'!$AK16='PIM Ranges'!$AY$12,IF('PIM Ranges'!$AL16&lt;'PIM Ranges'!$AZ$12,"Q1",IF('PIM Ranges'!$AL16&lt;'PIM Ranges'!$BA$12,"Q2",IF('PIM Ranges'!$AL16&lt;'PIM Ranges'!$BB$12,"Q3",IF('PIM Ranges'!$AL16&lt;'PIM Ranges'!$BC$12,"Q4","Q5")))),IF('PIM Ranges'!$AK16='PIM Ranges'!$AY$13,IF('PIM Ranges'!$AL16&lt;'PIM Ranges'!$AZ$13,"Q1",IF('PIM Ranges'!$AL16&lt;'PIM Ranges'!$BA$13,"Q2",IF('PIM Ranges'!$AL16&lt;'PIM Ranges'!$BB$13,"Q3",IF('PIM Ranges'!$AL16&lt;'PIM Ranges'!$BC$13,"Q4","Q5")))),IF('PIM Ranges'!$AK16='PIM Ranges'!$AY$14,IF('PIM Ranges'!$AL16&lt;'PIM Ranges'!$AZ$14,"Q1",IF('PIM Ranges'!$AL16&lt;'PIM Ranges'!$BA$14,"Q2",IF('PIM Ranges'!$AL16&lt;'PIM Ranges'!$BB$14,"Q3",IF('PIM Ranges'!$AL16&lt;'PIM Ranges'!$BC$14,"Q4","Q5")))),IF('PIM Ranges'!$AK16='PIM Ranges'!$AY$15,IF('PIM Ranges'!$AL16&lt;'PIM Ranges'!$AZ$15,"Q1",IF('PIM Ranges'!$AL16&lt;'PIM Ranges'!$BA$15,"Q2",IF('PIM Ranges'!$AL16&lt;'PIM Ranges'!$BB$15,"Q3",IF('PIM Ranges'!$AL16&lt;'PIM Ranges'!$BC$15,"Q4","Q5")))),IF('PIM Ranges'!$AK16='PIM Ranges'!$AY$16,IF('PIM Ranges'!$AL16&lt;'PIM Ranges'!$AZ$16,"Q1",IF('PIM Ranges'!$AL16&lt;'PIM Ranges'!$BA$16,"Q2",IF('PIM Ranges'!$AL16&lt;'PIM Ranges'!$BB$16,"Q3",IF('PIM Ranges'!$AL16&lt;'PIM Ranges'!$BC$16,"Q4","Q5")))),IF('PIM Ranges'!$AK16='PIM Ranges'!$AY$17,IF('PIM Ranges'!$AL16&lt;'PIM Ranges'!$AZ$17,"Q1",IF('PIM Ranges'!$AL16&lt;'PIM Ranges'!$BA$17,"Q2",IF('PIM Ranges'!$AL16&lt;'PIM Ranges'!$BB$17,"Q3",IF('PIM Ranges'!$AL16&lt;'PIM Ranges'!$BC$17,"Q4","Q5")))),IF('PIM Ranges'!$AK16='PIM Ranges'!$AY$18,IF('PIM Ranges'!$AL16&lt;'PIM Ranges'!$AZ$18,"Q1",IF('PIM Ranges'!$AL16&lt;'PIM Ranges'!$BA$18,"Q2",IF('PIM Ranges'!$AL16&lt;'PIM Ranges'!$BB$18,"Q3",IF('PIM Ranges'!$AL16&lt;'PIM Ranges'!$BC$18,"Q4","Q5")))),IF('PIM Ranges'!$AK16='PIM Ranges'!$AY$19,IF('PIM Ranges'!$AL16&lt;'PIM Ranges'!$AZ$19,"Q1",IF('PIM Ranges'!$AL16&lt;'PIM Ranges'!$BA$19,"Q2",IF('PIM Ranges'!$AL16&lt;'PIM Ranges'!$BB$19,"Q3",IF('PIM Ranges'!$AL16&lt;'PIM Ranges'!$BC$19,"Q4","Q5")))),IF('PIM Ranges'!$AK16='PIM Ranges'!$AY$20,IF('PIM Ranges'!$AL16&lt;'PIM Ranges'!$AZ$20,"Q1",IF('PIM Ranges'!$AL16&lt;'PIM Ranges'!$BA$20,"Q2",IF('PIM Ranges'!$AL16&lt;'PIM Ranges'!$BB$20,"Q3",IF('PIM Ranges'!$AL16&lt;'PIM Ranges'!$BC$20,"Q4","Q5")))),IF('PIM Ranges'!$AK16='PIM Ranges'!$AY$21,IF('PIM Ranges'!$AL16&lt;'PIM Ranges'!$AZ$21,"Q1",IF('PIM Ranges'!$AL16&lt;'PIM Ranges'!$BA$21,"Q2",IF('PIM Ranges'!$AL16&lt;'PIM Ranges'!$BB$21,"Q3",IF('PIM Ranges'!$AL16&lt;'PIM Ranges'!$BC$21,"Q4","Q5")))),IF('PIM Ranges'!$AK16='PIM Ranges'!$AY$22,IF('PIM Ranges'!$AL16&lt;'PIM Ranges'!$AZ$22,"Q1",IF('PIM Ranges'!$AL16&lt;'PIM Ranges'!$BA$22,"Q2",IF('PIM Ranges'!$AL16&lt;'PIM Ranges'!$BB$22,"Q3",IF('PIM Ranges'!$AL16&lt;'PIM Ranges'!$BC$22,"Q4","Q5")))),IF('PIM Ranges'!$AK16='PIM Ranges'!$AY$23,IF('PIM Ranges'!$AL16&lt;'PIM Ranges'!$AZ$23,"Q1",IF('PIM Ranges'!$AL16&lt;'PIM Ranges'!$BA$23,"Q2",IF('PIM Ranges'!$AL16&lt;'PIM Ranges'!$BB$23,"Q3",IF('PIM Ranges'!$AL16&lt;'PIM Ranges'!$BC$23,"Q4","Q5")))),IF('PIM Ranges'!$AK16='PIM Ranges'!$AY$24,IF('PIM Ranges'!$AL16&lt;'PIM Ranges'!$AZ$24,"Q1",IF('PIM Ranges'!$AL16&lt;'PIM Ranges'!$BA$24,"Q2",IF('PIM Ranges'!$AL16&lt;'PIM Ranges'!$BB$24,"Q3",IF('PIM Ranges'!$AL16&lt;'PIM Ranges'!$BC$24,"Q4","Q5")))),IF('PIM Ranges'!$AK16='PIM Ranges'!$AY$25,IF('PIM Ranges'!$AL16&lt;'PIM Ranges'!$AZ$25,"Q1",IF('PIM Ranges'!$AL16&lt;'PIM Ranges'!$BA$25,"Q2",IF('PIM Ranges'!$AL16&lt;'PIM Ranges'!$BB$25,"Q3",IF('PIM Ranges'!$AL16&lt;'PIM Ranges'!$BC$25,"Q4","Q5")))),IF('PIM Ranges'!$AK16='PIM Ranges'!$AY$26,IF('PIM Ranges'!$AL16&lt;'PIM Ranges'!$AZ$26,"Q1",IF('PIM Ranges'!$AL16&lt;'PIM Ranges'!$BA$26,"Q2",IF('PIM Ranges'!$AL16&lt;'PIM Ranges'!$BB$26,"Q3",IF('PIM Ranges'!$AL16&lt;'PIM Ranges'!$BC$26,"Q4","Q5")))),IF('PIM Ranges'!$AK16='PIM Ranges'!$AY$27,IF('PIM Ranges'!$AL16&lt;'PIM Ranges'!$AZ$27,"Q1",IF('PIM Ranges'!$AL16&lt;'PIM Ranges'!$BA$27,"Q2",IF('PIM Ranges'!$AL16&lt;'PIM Ranges'!$BB$27,"Q3",IF('PIM Ranges'!$AL16&lt;'PIM Ranges'!$BC$27,"Q4","Q5")))),IF('PIM Ranges'!$AK16='PIM Ranges'!$AY$28,IF('PIM Ranges'!$AL16&lt;'PIM Ranges'!$AZ$28,"Q1",IF('PIM Ranges'!$AL16&lt;'PIM Ranges'!$BA$28,"Q2",IF('PIM Ranges'!$AL16&lt;'PIM Ranges'!$BB$28,"Q3",IF('PIM Ranges'!$AL16&lt;'PIM Ranges'!$BC$28,"Q4","Q5")))),IF('PIM Ranges'!$AK16='PIM Ranges'!$AY$29,IF('PIM Ranges'!$AL16&lt;'PIM Ranges'!$AZ$29,"Q1",IF('PIM Ranges'!$AL16&lt;'PIM Ranges'!$BA$29,"Q2",IF('PIM Ranges'!$AL16&lt;'PIM Ranges'!$BB$29,"Q3",IF('PIM Ranges'!$AL16&lt;'PIM Ranges'!$BC$29,"Q4","Q5")))),IF('PIM Ranges'!$AK16='PIM Ranges'!$AY$30,IF('PIM Ranges'!$AL16&lt;'PIM Ranges'!$AZ$30,"Q1",IF('PIM Ranges'!$AL16&lt;'PIM Ranges'!$BA$30,"Q2",IF('PIM Ranges'!$AL16&lt;'PIM Ranges'!$BB$30,"Q3",IF('PIM Ranges'!$AL16&lt;'PIM Ranges'!$BC$30,"Q4","Q5")))),IF('PIM Ranges'!$AK16='PIM Ranges'!$AY$31,IF('PIM Ranges'!$AL16&lt;'PIM Ranges'!$AZ$31,"Q1",IF('PIM Ranges'!$AL16&lt;'PIM Ranges'!$BA$31,"Q2",IF('PIM Ranges'!$AL16&lt;'PIM Ranges'!$BB$31,"Q3",IF('PIM Ranges'!$AL16&lt;'PIM Ranges'!$BC$31,"Q4","Q5")))),IF('PIM Ranges'!$AK16='PIM Ranges'!$AY$32,IF('PIM Ranges'!$AL16&lt;'PIM Ranges'!$AZ$32,"Q1",IF('PIM Ranges'!$AL16&lt;'PIM Ranges'!$BA$32,"Q2",IF('PIM Ranges'!$AL16&lt;'PIM Ranges'!$BB$32,"Q3",IF('PIM Ranges'!$AL16&lt;'PIM Ranges'!$BC$32,"Q4","Q5"))))))))))))))))))))))))))</f>
        <v>Q1</v>
      </c>
      <c r="AX16" s="393"/>
      <c r="AY16" s="52" t="s">
        <v>100</v>
      </c>
      <c r="AZ16" s="394">
        <v>9661</v>
      </c>
      <c r="BA16" s="394">
        <v>18992</v>
      </c>
      <c r="BB16" s="394">
        <v>36524</v>
      </c>
      <c r="BC16" s="394">
        <v>76773</v>
      </c>
      <c r="BF16" s="52" t="s">
        <v>100</v>
      </c>
      <c r="BG16" s="394">
        <v>14922</v>
      </c>
      <c r="BH16" s="394">
        <v>36880</v>
      </c>
      <c r="BI16" s="394">
        <v>97878</v>
      </c>
      <c r="BJ16" s="394">
        <v>221341</v>
      </c>
    </row>
    <row r="17" spans="1:62" x14ac:dyDescent="0.25">
      <c r="A17" s="870">
        <f t="shared" si="12"/>
        <v>0</v>
      </c>
      <c r="B17">
        <v>8</v>
      </c>
      <c r="C17" t="s">
        <v>104</v>
      </c>
      <c r="D17" s="25">
        <f>'Multi-Customer'!C19</f>
        <v>0</v>
      </c>
      <c r="E17">
        <f>'Multi-Customer'!D19</f>
        <v>0</v>
      </c>
      <c r="F17">
        <f>'Multi-Customer'!E19</f>
        <v>0</v>
      </c>
      <c r="G17" s="274">
        <f>'Multi-Customer'!F19</f>
        <v>0</v>
      </c>
      <c r="H17" s="19">
        <f t="shared" si="13"/>
        <v>0</v>
      </c>
      <c r="I17" s="19">
        <f t="shared" si="14"/>
        <v>0</v>
      </c>
      <c r="J17" s="274"/>
      <c r="K17" s="274" t="str">
        <f>'PIM Model'!E15</f>
        <v>INCLUDE</v>
      </c>
      <c r="L17" s="274">
        <f t="shared" si="15"/>
        <v>0</v>
      </c>
      <c r="M17">
        <v>8</v>
      </c>
      <c r="N17" s="274" t="s">
        <v>104</v>
      </c>
      <c r="O17" s="274">
        <f t="shared" si="16"/>
        <v>0</v>
      </c>
      <c r="P17" s="274">
        <f t="shared" si="0"/>
        <v>0</v>
      </c>
      <c r="Q17" s="274">
        <f t="shared" si="17"/>
        <v>0</v>
      </c>
      <c r="R17" s="274">
        <f t="shared" si="1"/>
        <v>0</v>
      </c>
      <c r="S17" s="274">
        <f t="shared" si="18"/>
        <v>0</v>
      </c>
      <c r="T17" s="19">
        <f t="shared" si="19"/>
        <v>0</v>
      </c>
      <c r="U17" s="19"/>
      <c r="V17" s="2">
        <f>'PIM Model'!$C$15</f>
        <v>0</v>
      </c>
      <c r="W17" s="498">
        <f>IFERROR('Multi-Customer'!R19,0)</f>
        <v>0</v>
      </c>
      <c r="X17" s="19">
        <f t="shared" si="2"/>
        <v>0</v>
      </c>
      <c r="Y17" s="274">
        <f t="shared" si="20"/>
        <v>0</v>
      </c>
      <c r="Z17" s="274">
        <f t="shared" si="21"/>
        <v>0</v>
      </c>
      <c r="AA17" s="274">
        <f t="shared" si="22"/>
        <v>0</v>
      </c>
      <c r="AB17" s="499">
        <f t="shared" si="23"/>
        <v>0</v>
      </c>
      <c r="AC17" s="499">
        <f t="shared" si="3"/>
        <v>0</v>
      </c>
      <c r="AD17" s="274">
        <f t="shared" si="24"/>
        <v>0</v>
      </c>
      <c r="AE17" s="274"/>
      <c r="AF17" s="274">
        <f t="shared" si="4"/>
        <v>0</v>
      </c>
      <c r="AG17" s="39">
        <f>'PIM Model'!B15</f>
        <v>0</v>
      </c>
      <c r="AH17" s="361">
        <f t="shared" si="5"/>
        <v>0</v>
      </c>
      <c r="AI17" s="361">
        <f t="shared" si="25"/>
        <v>0</v>
      </c>
      <c r="AJ17">
        <v>8</v>
      </c>
      <c r="AK17" s="362" t="s">
        <v>104</v>
      </c>
      <c r="AL17" s="362">
        <f t="shared" si="6"/>
        <v>0</v>
      </c>
      <c r="AM17" s="362">
        <f t="shared" si="7"/>
        <v>0</v>
      </c>
      <c r="AN17" s="362">
        <f t="shared" si="8"/>
        <v>0</v>
      </c>
      <c r="AO17" s="363">
        <f t="shared" si="9"/>
        <v>0</v>
      </c>
      <c r="AP17" s="363">
        <f t="shared" si="10"/>
        <v>0</v>
      </c>
      <c r="AQ17" s="363">
        <f>IF('Multi-Customer'!C19=0,'Multi-Customer'!U19,'Multi-Customer'!T19)*AL17</f>
        <v>0</v>
      </c>
      <c r="AR17" s="363">
        <f>IF('Multi-Customer'!C19=0,'Multi-Customer'!W19,'Multi-Customer'!V19)*AL17</f>
        <v>0</v>
      </c>
      <c r="AS17" s="1" t="str">
        <f t="shared" si="11"/>
        <v>Q1</v>
      </c>
      <c r="AT17" s="1" t="str">
        <f>IF('PIM Ranges'!$AK17='PIM Ranges'!$AY$11,IF('PIM Ranges'!$AL17&lt;'PIM Ranges'!$AZ$11,"Q1",IF('PIM Ranges'!$AL17&lt;'PIM Ranges'!$BA$11,"Q2",IF('PIM Ranges'!$AL17&lt;'PIM Ranges'!$BB$11,"Q3",IF('PIM Ranges'!$AL17&lt;'PIM Ranges'!$BC$11,"Q4","Q5")))),IF('PIM Ranges'!$AK17='PIM Ranges'!$AY$12,IF('PIM Ranges'!$AL17&lt;'PIM Ranges'!$AZ$12,"Q1",IF('PIM Ranges'!$AL17&lt;'PIM Ranges'!$BA$12,"Q2",IF('PIM Ranges'!$AL17&lt;'PIM Ranges'!$BB$12,"Q3",IF('PIM Ranges'!$AL17&lt;'PIM Ranges'!$BC$12,"Q4","Q5")))),IF('PIM Ranges'!$AK17='PIM Ranges'!$AY$13,IF('PIM Ranges'!$AL17&lt;'PIM Ranges'!$AZ$13,"Q1",IF('PIM Ranges'!$AL17&lt;'PIM Ranges'!$BA$13,"Q2",IF('PIM Ranges'!$AL17&lt;'PIM Ranges'!$BB$13,"Q3",IF('PIM Ranges'!$AL17&lt;'PIM Ranges'!$BC$13,"Q4","Q5")))),IF('PIM Ranges'!$AK17='PIM Ranges'!$AY$14,IF('PIM Ranges'!$AL17&lt;'PIM Ranges'!$AZ$14,"Q1",IF('PIM Ranges'!$AL17&lt;'PIM Ranges'!$BA$14,"Q2",IF('PIM Ranges'!$AL17&lt;'PIM Ranges'!$BB$14,"Q3",IF('PIM Ranges'!$AL17&lt;'PIM Ranges'!$BC$14,"Q4","Q5")))),IF('PIM Ranges'!$AK17='PIM Ranges'!$AY$15,IF('PIM Ranges'!$AL17&lt;'PIM Ranges'!$AZ$15,"Q1",IF('PIM Ranges'!$AL17&lt;'PIM Ranges'!$BA$15,"Q2",IF('PIM Ranges'!$AL17&lt;'PIM Ranges'!$BB$15,"Q3",IF('PIM Ranges'!$AL17&lt;'PIM Ranges'!$BC$15,"Q4","Q5")))),IF('PIM Ranges'!$AK17='PIM Ranges'!$AY$16,IF('PIM Ranges'!$AL17&lt;'PIM Ranges'!$AZ$16,"Q1",IF('PIM Ranges'!$AL17&lt;'PIM Ranges'!$BA$16,"Q2",IF('PIM Ranges'!$AL17&lt;'PIM Ranges'!$BB$16,"Q3",IF('PIM Ranges'!$AL17&lt;'PIM Ranges'!$BC$16,"Q4","Q5")))),IF('PIM Ranges'!$AK17='PIM Ranges'!$AY$17,IF('PIM Ranges'!$AL17&lt;'PIM Ranges'!$AZ$17,"Q1",IF('PIM Ranges'!$AL17&lt;'PIM Ranges'!$BA$17,"Q2",IF('PIM Ranges'!$AL17&lt;'PIM Ranges'!$BB$17,"Q3",IF('PIM Ranges'!$AL17&lt;'PIM Ranges'!$BC$17,"Q4","Q5")))),IF('PIM Ranges'!$AK17='PIM Ranges'!$AY$18,IF('PIM Ranges'!$AL17&lt;'PIM Ranges'!$AZ$18,"Q1",IF('PIM Ranges'!$AL17&lt;'PIM Ranges'!$BA$18,"Q2",IF('PIM Ranges'!$AL17&lt;'PIM Ranges'!$BB$18,"Q3",IF('PIM Ranges'!$AL17&lt;'PIM Ranges'!$BC$18,"Q4","Q5")))),IF('PIM Ranges'!$AK17='PIM Ranges'!$AY$19,IF('PIM Ranges'!$AL17&lt;'PIM Ranges'!$AZ$19,"Q1",IF('PIM Ranges'!$AL17&lt;'PIM Ranges'!$BA$19,"Q2",IF('PIM Ranges'!$AL17&lt;'PIM Ranges'!$BB$19,"Q3",IF('PIM Ranges'!$AL17&lt;'PIM Ranges'!$BC$19,"Q4","Q5")))),IF('PIM Ranges'!$AK17='PIM Ranges'!$AY$20,IF('PIM Ranges'!$AL17&lt;'PIM Ranges'!$AZ$20,"Q1",IF('PIM Ranges'!$AL17&lt;'PIM Ranges'!$BA$20,"Q2",IF('PIM Ranges'!$AL17&lt;'PIM Ranges'!$BB$20,"Q3",IF('PIM Ranges'!$AL17&lt;'PIM Ranges'!$BC$20,"Q4","Q5")))),IF('PIM Ranges'!$AK17='PIM Ranges'!$AY$21,IF('PIM Ranges'!$AL17&lt;'PIM Ranges'!$AZ$21,"Q1",IF('PIM Ranges'!$AL17&lt;'PIM Ranges'!$BA$21,"Q2",IF('PIM Ranges'!$AL17&lt;'PIM Ranges'!$BB$21,"Q3",IF('PIM Ranges'!$AL17&lt;'PIM Ranges'!$BC$21,"Q4","Q5")))),IF('PIM Ranges'!$AK17='PIM Ranges'!$AY$22,IF('PIM Ranges'!$AL17&lt;'PIM Ranges'!$AZ$22,"Q1",IF('PIM Ranges'!$AL17&lt;'PIM Ranges'!$BA$22,"Q2",IF('PIM Ranges'!$AL17&lt;'PIM Ranges'!$BB$22,"Q3",IF('PIM Ranges'!$AL17&lt;'PIM Ranges'!$BC$22,"Q4","Q5")))),IF('PIM Ranges'!$AK17='PIM Ranges'!$AY$23,IF('PIM Ranges'!$AL17&lt;'PIM Ranges'!$AZ$23,"Q1",IF('PIM Ranges'!$AL17&lt;'PIM Ranges'!$BA$23,"Q2",IF('PIM Ranges'!$AL17&lt;'PIM Ranges'!$BB$23,"Q3",IF('PIM Ranges'!$AL17&lt;'PIM Ranges'!$BC$23,"Q4","Q5")))),IF('PIM Ranges'!$AK17='PIM Ranges'!$AY$24,IF('PIM Ranges'!$AL17&lt;'PIM Ranges'!$AZ$24,"Q1",IF('PIM Ranges'!$AL17&lt;'PIM Ranges'!$BA$24,"Q2",IF('PIM Ranges'!$AL17&lt;'PIM Ranges'!$BB$24,"Q3",IF('PIM Ranges'!$AL17&lt;'PIM Ranges'!$BC$24,"Q4","Q5")))),IF('PIM Ranges'!$AK17='PIM Ranges'!$AY$25,IF('PIM Ranges'!$AL17&lt;'PIM Ranges'!$AZ$25,"Q1",IF('PIM Ranges'!$AL17&lt;'PIM Ranges'!$BA$25,"Q2",IF('PIM Ranges'!$AL17&lt;'PIM Ranges'!$BB$25,"Q3",IF('PIM Ranges'!$AL17&lt;'PIM Ranges'!$BC$25,"Q4","Q5")))),IF('PIM Ranges'!$AK17='PIM Ranges'!$AY$26,IF('PIM Ranges'!$AL17&lt;'PIM Ranges'!$AZ$26,"Q1",IF('PIM Ranges'!$AL17&lt;'PIM Ranges'!$BA$26,"Q2",IF('PIM Ranges'!$AL17&lt;'PIM Ranges'!$BB$26,"Q3",IF('PIM Ranges'!$AL17&lt;'PIM Ranges'!$BC$26,"Q4","Q5")))),IF('PIM Ranges'!$AK17='PIM Ranges'!$AY$27,IF('PIM Ranges'!$AL17&lt;'PIM Ranges'!$AZ$27,"Q1",IF('PIM Ranges'!$AL17&lt;'PIM Ranges'!$BA$27,"Q2",IF('PIM Ranges'!$AL17&lt;'PIM Ranges'!$BB$27,"Q3",IF('PIM Ranges'!$AL17&lt;'PIM Ranges'!$BC$27,"Q4","Q5")))),IF('PIM Ranges'!$AK17='PIM Ranges'!$AY$28,IF('PIM Ranges'!$AL17&lt;'PIM Ranges'!$AZ$28,"Q1",IF('PIM Ranges'!$AL17&lt;'PIM Ranges'!$BA$28,"Q2",IF('PIM Ranges'!$AL17&lt;'PIM Ranges'!$BB$28,"Q3",IF('PIM Ranges'!$AL17&lt;'PIM Ranges'!$BC$28,"Q4","Q5")))),IF('PIM Ranges'!$AK17='PIM Ranges'!$AY$29,IF('PIM Ranges'!$AL17&lt;'PIM Ranges'!$AZ$29,"Q1",IF('PIM Ranges'!$AL17&lt;'PIM Ranges'!$BA$29,"Q2",IF('PIM Ranges'!$AL17&lt;'PIM Ranges'!$BB$29,"Q3",IF('PIM Ranges'!$AL17&lt;'PIM Ranges'!$BC$29,"Q4","Q5")))),IF('PIM Ranges'!$AK17='PIM Ranges'!$AY$30,IF('PIM Ranges'!$AL17&lt;'PIM Ranges'!$AZ$30,"Q1",IF('PIM Ranges'!$AL17&lt;'PIM Ranges'!$BA$30,"Q2",IF('PIM Ranges'!$AL17&lt;'PIM Ranges'!$BB$30,"Q3",IF('PIM Ranges'!$AL17&lt;'PIM Ranges'!$BC$30,"Q4","Q5")))),IF('PIM Ranges'!$AK17='PIM Ranges'!$AY$31,IF('PIM Ranges'!$AL17&lt;'PIM Ranges'!$AZ$31,"Q1",IF('PIM Ranges'!$AL17&lt;'PIM Ranges'!$BA$31,"Q2",IF('PIM Ranges'!$AL17&lt;'PIM Ranges'!$BB$31,"Q3",IF('PIM Ranges'!$AL17&lt;'PIM Ranges'!$BC$31,"Q4","Q5")))),IF('PIM Ranges'!$AK17='PIM Ranges'!$AY$32,IF('PIM Ranges'!$AL17&lt;'PIM Ranges'!$AZ$32,"Q1",IF('PIM Ranges'!$AL17&lt;'PIM Ranges'!$BA$32,"Q2",IF('PIM Ranges'!$AL17&lt;'PIM Ranges'!$BB$32,"Q3",IF('PIM Ranges'!$AL17&lt;'PIM Ranges'!$BC$32,"Q4","Q5"))))))))))))))))))))))))))</f>
        <v>Q1</v>
      </c>
      <c r="AX17" s="393"/>
      <c r="AY17" s="52" t="s">
        <v>104</v>
      </c>
      <c r="AZ17" s="394">
        <v>1374</v>
      </c>
      <c r="BA17" s="394">
        <v>4152</v>
      </c>
      <c r="BB17" s="394">
        <v>8859</v>
      </c>
      <c r="BC17" s="394">
        <v>20083</v>
      </c>
      <c r="BF17" s="52" t="s">
        <v>104</v>
      </c>
      <c r="BG17" s="394">
        <v>2515</v>
      </c>
      <c r="BH17" s="394">
        <v>9191</v>
      </c>
      <c r="BI17" s="394">
        <v>28229</v>
      </c>
      <c r="BJ17" s="394">
        <v>66332</v>
      </c>
    </row>
    <row r="18" spans="1:62" x14ac:dyDescent="0.25">
      <c r="A18" s="870">
        <f t="shared" si="12"/>
        <v>0</v>
      </c>
      <c r="B18">
        <v>9</v>
      </c>
      <c r="C18" t="s">
        <v>98</v>
      </c>
      <c r="D18" s="25">
        <f>'Multi-Customer'!C20</f>
        <v>0</v>
      </c>
      <c r="E18">
        <f>'Multi-Customer'!D20</f>
        <v>0</v>
      </c>
      <c r="F18">
        <f>'Multi-Customer'!E20</f>
        <v>0</v>
      </c>
      <c r="G18" s="274">
        <f>'Multi-Customer'!F20</f>
        <v>0</v>
      </c>
      <c r="H18" s="19">
        <f t="shared" si="13"/>
        <v>0</v>
      </c>
      <c r="I18" s="19">
        <f t="shared" si="14"/>
        <v>0</v>
      </c>
      <c r="J18" s="274"/>
      <c r="K18" s="274" t="str">
        <f>'PIM Model'!E16</f>
        <v>INCLUDE</v>
      </c>
      <c r="L18" s="274">
        <f t="shared" si="15"/>
        <v>0</v>
      </c>
      <c r="M18">
        <v>9</v>
      </c>
      <c r="N18" s="274" t="s">
        <v>98</v>
      </c>
      <c r="O18" s="274">
        <f t="shared" si="16"/>
        <v>0</v>
      </c>
      <c r="P18" s="274">
        <f t="shared" si="0"/>
        <v>0</v>
      </c>
      <c r="Q18" s="274">
        <f t="shared" si="17"/>
        <v>0</v>
      </c>
      <c r="R18" s="274">
        <f t="shared" si="1"/>
        <v>0</v>
      </c>
      <c r="S18" s="274">
        <f t="shared" si="18"/>
        <v>0</v>
      </c>
      <c r="T18" s="19">
        <f t="shared" si="19"/>
        <v>0</v>
      </c>
      <c r="U18" s="19"/>
      <c r="V18" s="2">
        <f>'PIM Model'!$C$16</f>
        <v>0</v>
      </c>
      <c r="W18" s="498">
        <f>IFERROR('Multi-Customer'!R20,0)</f>
        <v>0</v>
      </c>
      <c r="X18" s="19">
        <f t="shared" si="2"/>
        <v>0</v>
      </c>
      <c r="Y18" s="274">
        <f t="shared" si="20"/>
        <v>0</v>
      </c>
      <c r="Z18" s="274">
        <f t="shared" si="21"/>
        <v>0</v>
      </c>
      <c r="AA18" s="274">
        <f t="shared" si="22"/>
        <v>0</v>
      </c>
      <c r="AB18" s="499">
        <f t="shared" si="23"/>
        <v>0</v>
      </c>
      <c r="AC18" s="499">
        <f t="shared" si="3"/>
        <v>0</v>
      </c>
      <c r="AD18" s="274">
        <f t="shared" si="24"/>
        <v>0</v>
      </c>
      <c r="AE18" s="274"/>
      <c r="AF18" s="274">
        <f t="shared" si="4"/>
        <v>0</v>
      </c>
      <c r="AG18" s="39">
        <f>'PIM Model'!B16</f>
        <v>0</v>
      </c>
      <c r="AH18" s="361">
        <f t="shared" si="5"/>
        <v>0</v>
      </c>
      <c r="AI18" s="361">
        <f t="shared" si="25"/>
        <v>0</v>
      </c>
      <c r="AJ18">
        <v>9</v>
      </c>
      <c r="AK18" s="362" t="s">
        <v>98</v>
      </c>
      <c r="AL18" s="362">
        <f t="shared" si="6"/>
        <v>0</v>
      </c>
      <c r="AM18" s="362">
        <f t="shared" si="7"/>
        <v>0</v>
      </c>
      <c r="AN18" s="362">
        <f t="shared" si="8"/>
        <v>0</v>
      </c>
      <c r="AO18" s="363">
        <f t="shared" si="9"/>
        <v>0</v>
      </c>
      <c r="AP18" s="363">
        <f t="shared" si="10"/>
        <v>0</v>
      </c>
      <c r="AQ18" s="363">
        <f>IF('Multi-Customer'!C20=0,'Multi-Customer'!U20,'Multi-Customer'!T20)*AL18</f>
        <v>0</v>
      </c>
      <c r="AR18" s="363">
        <f>IF('Multi-Customer'!C20=0,'Multi-Customer'!W20,'Multi-Customer'!V20)*AL18</f>
        <v>0</v>
      </c>
      <c r="AS18" s="1" t="str">
        <f t="shared" si="11"/>
        <v>Q1</v>
      </c>
      <c r="AT18" s="1" t="str">
        <f>IF('PIM Ranges'!$AK18='PIM Ranges'!$AY$11,IF('PIM Ranges'!$AL18&lt;'PIM Ranges'!$AZ$11,"Q1",IF('PIM Ranges'!$AL18&lt;'PIM Ranges'!$BA$11,"Q2",IF('PIM Ranges'!$AL18&lt;'PIM Ranges'!$BB$11,"Q3",IF('PIM Ranges'!$AL18&lt;'PIM Ranges'!$BC$11,"Q4","Q5")))),IF('PIM Ranges'!$AK18='PIM Ranges'!$AY$12,IF('PIM Ranges'!$AL18&lt;'PIM Ranges'!$AZ$12,"Q1",IF('PIM Ranges'!$AL18&lt;'PIM Ranges'!$BA$12,"Q2",IF('PIM Ranges'!$AL18&lt;'PIM Ranges'!$BB$12,"Q3",IF('PIM Ranges'!$AL18&lt;'PIM Ranges'!$BC$12,"Q4","Q5")))),IF('PIM Ranges'!$AK18='PIM Ranges'!$AY$13,IF('PIM Ranges'!$AL18&lt;'PIM Ranges'!$AZ$13,"Q1",IF('PIM Ranges'!$AL18&lt;'PIM Ranges'!$BA$13,"Q2",IF('PIM Ranges'!$AL18&lt;'PIM Ranges'!$BB$13,"Q3",IF('PIM Ranges'!$AL18&lt;'PIM Ranges'!$BC$13,"Q4","Q5")))),IF('PIM Ranges'!$AK18='PIM Ranges'!$AY$14,IF('PIM Ranges'!$AL18&lt;'PIM Ranges'!$AZ$14,"Q1",IF('PIM Ranges'!$AL18&lt;'PIM Ranges'!$BA$14,"Q2",IF('PIM Ranges'!$AL18&lt;'PIM Ranges'!$BB$14,"Q3",IF('PIM Ranges'!$AL18&lt;'PIM Ranges'!$BC$14,"Q4","Q5")))),IF('PIM Ranges'!$AK18='PIM Ranges'!$AY$15,IF('PIM Ranges'!$AL18&lt;'PIM Ranges'!$AZ$15,"Q1",IF('PIM Ranges'!$AL18&lt;'PIM Ranges'!$BA$15,"Q2",IF('PIM Ranges'!$AL18&lt;'PIM Ranges'!$BB$15,"Q3",IF('PIM Ranges'!$AL18&lt;'PIM Ranges'!$BC$15,"Q4","Q5")))),IF('PIM Ranges'!$AK18='PIM Ranges'!$AY$16,IF('PIM Ranges'!$AL18&lt;'PIM Ranges'!$AZ$16,"Q1",IF('PIM Ranges'!$AL18&lt;'PIM Ranges'!$BA$16,"Q2",IF('PIM Ranges'!$AL18&lt;'PIM Ranges'!$BB$16,"Q3",IF('PIM Ranges'!$AL18&lt;'PIM Ranges'!$BC$16,"Q4","Q5")))),IF('PIM Ranges'!$AK18='PIM Ranges'!$AY$17,IF('PIM Ranges'!$AL18&lt;'PIM Ranges'!$AZ$17,"Q1",IF('PIM Ranges'!$AL18&lt;'PIM Ranges'!$BA$17,"Q2",IF('PIM Ranges'!$AL18&lt;'PIM Ranges'!$BB$17,"Q3",IF('PIM Ranges'!$AL18&lt;'PIM Ranges'!$BC$17,"Q4","Q5")))),IF('PIM Ranges'!$AK18='PIM Ranges'!$AY$18,IF('PIM Ranges'!$AL18&lt;'PIM Ranges'!$AZ$18,"Q1",IF('PIM Ranges'!$AL18&lt;'PIM Ranges'!$BA$18,"Q2",IF('PIM Ranges'!$AL18&lt;'PIM Ranges'!$BB$18,"Q3",IF('PIM Ranges'!$AL18&lt;'PIM Ranges'!$BC$18,"Q4","Q5")))),IF('PIM Ranges'!$AK18='PIM Ranges'!$AY$19,IF('PIM Ranges'!$AL18&lt;'PIM Ranges'!$AZ$19,"Q1",IF('PIM Ranges'!$AL18&lt;'PIM Ranges'!$BA$19,"Q2",IF('PIM Ranges'!$AL18&lt;'PIM Ranges'!$BB$19,"Q3",IF('PIM Ranges'!$AL18&lt;'PIM Ranges'!$BC$19,"Q4","Q5")))),IF('PIM Ranges'!$AK18='PIM Ranges'!$AY$20,IF('PIM Ranges'!$AL18&lt;'PIM Ranges'!$AZ$20,"Q1",IF('PIM Ranges'!$AL18&lt;'PIM Ranges'!$BA$20,"Q2",IF('PIM Ranges'!$AL18&lt;'PIM Ranges'!$BB$20,"Q3",IF('PIM Ranges'!$AL18&lt;'PIM Ranges'!$BC$20,"Q4","Q5")))),IF('PIM Ranges'!$AK18='PIM Ranges'!$AY$21,IF('PIM Ranges'!$AL18&lt;'PIM Ranges'!$AZ$21,"Q1",IF('PIM Ranges'!$AL18&lt;'PIM Ranges'!$BA$21,"Q2",IF('PIM Ranges'!$AL18&lt;'PIM Ranges'!$BB$21,"Q3",IF('PIM Ranges'!$AL18&lt;'PIM Ranges'!$BC$21,"Q4","Q5")))),IF('PIM Ranges'!$AK18='PIM Ranges'!$AY$22,IF('PIM Ranges'!$AL18&lt;'PIM Ranges'!$AZ$22,"Q1",IF('PIM Ranges'!$AL18&lt;'PIM Ranges'!$BA$22,"Q2",IF('PIM Ranges'!$AL18&lt;'PIM Ranges'!$BB$22,"Q3",IF('PIM Ranges'!$AL18&lt;'PIM Ranges'!$BC$22,"Q4","Q5")))),IF('PIM Ranges'!$AK18='PIM Ranges'!$AY$23,IF('PIM Ranges'!$AL18&lt;'PIM Ranges'!$AZ$23,"Q1",IF('PIM Ranges'!$AL18&lt;'PIM Ranges'!$BA$23,"Q2",IF('PIM Ranges'!$AL18&lt;'PIM Ranges'!$BB$23,"Q3",IF('PIM Ranges'!$AL18&lt;'PIM Ranges'!$BC$23,"Q4","Q5")))),IF('PIM Ranges'!$AK18='PIM Ranges'!$AY$24,IF('PIM Ranges'!$AL18&lt;'PIM Ranges'!$AZ$24,"Q1",IF('PIM Ranges'!$AL18&lt;'PIM Ranges'!$BA$24,"Q2",IF('PIM Ranges'!$AL18&lt;'PIM Ranges'!$BB$24,"Q3",IF('PIM Ranges'!$AL18&lt;'PIM Ranges'!$BC$24,"Q4","Q5")))),IF('PIM Ranges'!$AK18='PIM Ranges'!$AY$25,IF('PIM Ranges'!$AL18&lt;'PIM Ranges'!$AZ$25,"Q1",IF('PIM Ranges'!$AL18&lt;'PIM Ranges'!$BA$25,"Q2",IF('PIM Ranges'!$AL18&lt;'PIM Ranges'!$BB$25,"Q3",IF('PIM Ranges'!$AL18&lt;'PIM Ranges'!$BC$25,"Q4","Q5")))),IF('PIM Ranges'!$AK18='PIM Ranges'!$AY$26,IF('PIM Ranges'!$AL18&lt;'PIM Ranges'!$AZ$26,"Q1",IF('PIM Ranges'!$AL18&lt;'PIM Ranges'!$BA$26,"Q2",IF('PIM Ranges'!$AL18&lt;'PIM Ranges'!$BB$26,"Q3",IF('PIM Ranges'!$AL18&lt;'PIM Ranges'!$BC$26,"Q4","Q5")))),IF('PIM Ranges'!$AK18='PIM Ranges'!$AY$27,IF('PIM Ranges'!$AL18&lt;'PIM Ranges'!$AZ$27,"Q1",IF('PIM Ranges'!$AL18&lt;'PIM Ranges'!$BA$27,"Q2",IF('PIM Ranges'!$AL18&lt;'PIM Ranges'!$BB$27,"Q3",IF('PIM Ranges'!$AL18&lt;'PIM Ranges'!$BC$27,"Q4","Q5")))),IF('PIM Ranges'!$AK18='PIM Ranges'!$AY$28,IF('PIM Ranges'!$AL18&lt;'PIM Ranges'!$AZ$28,"Q1",IF('PIM Ranges'!$AL18&lt;'PIM Ranges'!$BA$28,"Q2",IF('PIM Ranges'!$AL18&lt;'PIM Ranges'!$BB$28,"Q3",IF('PIM Ranges'!$AL18&lt;'PIM Ranges'!$BC$28,"Q4","Q5")))),IF('PIM Ranges'!$AK18='PIM Ranges'!$AY$29,IF('PIM Ranges'!$AL18&lt;'PIM Ranges'!$AZ$29,"Q1",IF('PIM Ranges'!$AL18&lt;'PIM Ranges'!$BA$29,"Q2",IF('PIM Ranges'!$AL18&lt;'PIM Ranges'!$BB$29,"Q3",IF('PIM Ranges'!$AL18&lt;'PIM Ranges'!$BC$29,"Q4","Q5")))),IF('PIM Ranges'!$AK18='PIM Ranges'!$AY$30,IF('PIM Ranges'!$AL18&lt;'PIM Ranges'!$AZ$30,"Q1",IF('PIM Ranges'!$AL18&lt;'PIM Ranges'!$BA$30,"Q2",IF('PIM Ranges'!$AL18&lt;'PIM Ranges'!$BB$30,"Q3",IF('PIM Ranges'!$AL18&lt;'PIM Ranges'!$BC$30,"Q4","Q5")))),IF('PIM Ranges'!$AK18='PIM Ranges'!$AY$31,IF('PIM Ranges'!$AL18&lt;'PIM Ranges'!$AZ$31,"Q1",IF('PIM Ranges'!$AL18&lt;'PIM Ranges'!$BA$31,"Q2",IF('PIM Ranges'!$AL18&lt;'PIM Ranges'!$BB$31,"Q3",IF('PIM Ranges'!$AL18&lt;'PIM Ranges'!$BC$31,"Q4","Q5")))),IF('PIM Ranges'!$AK18='PIM Ranges'!$AY$32,IF('PIM Ranges'!$AL18&lt;'PIM Ranges'!$AZ$32,"Q1",IF('PIM Ranges'!$AL18&lt;'PIM Ranges'!$BA$32,"Q2",IF('PIM Ranges'!$AL18&lt;'PIM Ranges'!$BB$32,"Q3",IF('PIM Ranges'!$AL18&lt;'PIM Ranges'!$BC$32,"Q4","Q5"))))))))))))))))))))))))))</f>
        <v>Q1</v>
      </c>
      <c r="AX18" s="393"/>
      <c r="AY18" s="52" t="s">
        <v>98</v>
      </c>
      <c r="AZ18" s="394">
        <v>5735</v>
      </c>
      <c r="BA18" s="394">
        <v>12048</v>
      </c>
      <c r="BB18" s="394">
        <v>22223</v>
      </c>
      <c r="BC18" s="394">
        <v>46885</v>
      </c>
      <c r="BF18" s="52" t="s">
        <v>98</v>
      </c>
      <c r="BG18" s="394">
        <v>11588</v>
      </c>
      <c r="BH18" s="394">
        <v>31399</v>
      </c>
      <c r="BI18" s="394">
        <v>78180</v>
      </c>
      <c r="BJ18" s="394">
        <v>177577</v>
      </c>
    </row>
    <row r="19" spans="1:62" x14ac:dyDescent="0.25">
      <c r="A19" s="870">
        <f t="shared" si="12"/>
        <v>0</v>
      </c>
      <c r="B19">
        <v>10</v>
      </c>
      <c r="C19" t="s">
        <v>95</v>
      </c>
      <c r="D19" s="25">
        <f>'Multi-Customer'!C21</f>
        <v>0</v>
      </c>
      <c r="E19">
        <f>'Multi-Customer'!D21</f>
        <v>0</v>
      </c>
      <c r="F19">
        <f>'Multi-Customer'!E21</f>
        <v>0</v>
      </c>
      <c r="G19" s="274">
        <f>'Multi-Customer'!F21</f>
        <v>0</v>
      </c>
      <c r="H19" s="19">
        <f t="shared" si="13"/>
        <v>0</v>
      </c>
      <c r="I19" s="19">
        <f t="shared" si="14"/>
        <v>0</v>
      </c>
      <c r="J19" s="274"/>
      <c r="K19" s="274" t="str">
        <f>'PIM Model'!E17</f>
        <v>INCLUDE</v>
      </c>
      <c r="L19" s="274">
        <f t="shared" si="15"/>
        <v>0</v>
      </c>
      <c r="M19">
        <v>10</v>
      </c>
      <c r="N19" s="274" t="s">
        <v>95</v>
      </c>
      <c r="O19" s="274">
        <f t="shared" si="16"/>
        <v>0</v>
      </c>
      <c r="P19" s="274">
        <f t="shared" si="0"/>
        <v>0</v>
      </c>
      <c r="Q19" s="274">
        <f t="shared" si="17"/>
        <v>0</v>
      </c>
      <c r="R19" s="274">
        <f t="shared" si="1"/>
        <v>0</v>
      </c>
      <c r="S19" s="274">
        <f t="shared" si="18"/>
        <v>0</v>
      </c>
      <c r="T19" s="19">
        <f t="shared" si="19"/>
        <v>0</v>
      </c>
      <c r="U19" s="19"/>
      <c r="V19" s="2">
        <f>'PIM Model'!$C$17</f>
        <v>0</v>
      </c>
      <c r="W19" s="498">
        <f>IFERROR('Multi-Customer'!R21,0)</f>
        <v>0</v>
      </c>
      <c r="X19" s="19">
        <f t="shared" si="2"/>
        <v>0</v>
      </c>
      <c r="Y19" s="274">
        <f t="shared" si="20"/>
        <v>0</v>
      </c>
      <c r="Z19" s="274">
        <f t="shared" si="21"/>
        <v>0</v>
      </c>
      <c r="AA19" s="274">
        <f t="shared" si="22"/>
        <v>0</v>
      </c>
      <c r="AB19" s="499">
        <f t="shared" si="23"/>
        <v>0</v>
      </c>
      <c r="AC19" s="499">
        <f t="shared" si="3"/>
        <v>0</v>
      </c>
      <c r="AD19" s="274">
        <f t="shared" si="24"/>
        <v>0</v>
      </c>
      <c r="AE19" s="274"/>
      <c r="AF19" s="274">
        <f t="shared" si="4"/>
        <v>0</v>
      </c>
      <c r="AG19" s="39">
        <f>'PIM Model'!B17</f>
        <v>0</v>
      </c>
      <c r="AH19" s="361">
        <f t="shared" si="5"/>
        <v>0</v>
      </c>
      <c r="AI19" s="361">
        <f t="shared" si="25"/>
        <v>0</v>
      </c>
      <c r="AJ19">
        <v>10</v>
      </c>
      <c r="AK19" s="362" t="s">
        <v>95</v>
      </c>
      <c r="AL19" s="362">
        <f t="shared" si="6"/>
        <v>0</v>
      </c>
      <c r="AM19" s="362">
        <f t="shared" si="7"/>
        <v>0</v>
      </c>
      <c r="AN19" s="362">
        <f t="shared" si="8"/>
        <v>0</v>
      </c>
      <c r="AO19" s="363">
        <f t="shared" si="9"/>
        <v>0</v>
      </c>
      <c r="AP19" s="363">
        <f t="shared" si="10"/>
        <v>0</v>
      </c>
      <c r="AQ19" s="363">
        <f>IF('Multi-Customer'!C21=0,'Multi-Customer'!U21,'Multi-Customer'!T21)*AL19</f>
        <v>0</v>
      </c>
      <c r="AR19" s="363">
        <f>IF('Multi-Customer'!C21=0,'Multi-Customer'!W21,'Multi-Customer'!V21)*AL19</f>
        <v>0</v>
      </c>
      <c r="AS19" s="1" t="str">
        <f t="shared" si="11"/>
        <v>Q1</v>
      </c>
      <c r="AT19" s="1" t="str">
        <f>IF('PIM Ranges'!$AK19='PIM Ranges'!$AY$11,IF('PIM Ranges'!$AL19&lt;'PIM Ranges'!$AZ$11,"Q1",IF('PIM Ranges'!$AL19&lt;'PIM Ranges'!$BA$11,"Q2",IF('PIM Ranges'!$AL19&lt;'PIM Ranges'!$BB$11,"Q3",IF('PIM Ranges'!$AL19&lt;'PIM Ranges'!$BC$11,"Q4","Q5")))),IF('PIM Ranges'!$AK19='PIM Ranges'!$AY$12,IF('PIM Ranges'!$AL19&lt;'PIM Ranges'!$AZ$12,"Q1",IF('PIM Ranges'!$AL19&lt;'PIM Ranges'!$BA$12,"Q2",IF('PIM Ranges'!$AL19&lt;'PIM Ranges'!$BB$12,"Q3",IF('PIM Ranges'!$AL19&lt;'PIM Ranges'!$BC$12,"Q4","Q5")))),IF('PIM Ranges'!$AK19='PIM Ranges'!$AY$13,IF('PIM Ranges'!$AL19&lt;'PIM Ranges'!$AZ$13,"Q1",IF('PIM Ranges'!$AL19&lt;'PIM Ranges'!$BA$13,"Q2",IF('PIM Ranges'!$AL19&lt;'PIM Ranges'!$BB$13,"Q3",IF('PIM Ranges'!$AL19&lt;'PIM Ranges'!$BC$13,"Q4","Q5")))),IF('PIM Ranges'!$AK19='PIM Ranges'!$AY$14,IF('PIM Ranges'!$AL19&lt;'PIM Ranges'!$AZ$14,"Q1",IF('PIM Ranges'!$AL19&lt;'PIM Ranges'!$BA$14,"Q2",IF('PIM Ranges'!$AL19&lt;'PIM Ranges'!$BB$14,"Q3",IF('PIM Ranges'!$AL19&lt;'PIM Ranges'!$BC$14,"Q4","Q5")))),IF('PIM Ranges'!$AK19='PIM Ranges'!$AY$15,IF('PIM Ranges'!$AL19&lt;'PIM Ranges'!$AZ$15,"Q1",IF('PIM Ranges'!$AL19&lt;'PIM Ranges'!$BA$15,"Q2",IF('PIM Ranges'!$AL19&lt;'PIM Ranges'!$BB$15,"Q3",IF('PIM Ranges'!$AL19&lt;'PIM Ranges'!$BC$15,"Q4","Q5")))),IF('PIM Ranges'!$AK19='PIM Ranges'!$AY$16,IF('PIM Ranges'!$AL19&lt;'PIM Ranges'!$AZ$16,"Q1",IF('PIM Ranges'!$AL19&lt;'PIM Ranges'!$BA$16,"Q2",IF('PIM Ranges'!$AL19&lt;'PIM Ranges'!$BB$16,"Q3",IF('PIM Ranges'!$AL19&lt;'PIM Ranges'!$BC$16,"Q4","Q5")))),IF('PIM Ranges'!$AK19='PIM Ranges'!$AY$17,IF('PIM Ranges'!$AL19&lt;'PIM Ranges'!$AZ$17,"Q1",IF('PIM Ranges'!$AL19&lt;'PIM Ranges'!$BA$17,"Q2",IF('PIM Ranges'!$AL19&lt;'PIM Ranges'!$BB$17,"Q3",IF('PIM Ranges'!$AL19&lt;'PIM Ranges'!$BC$17,"Q4","Q5")))),IF('PIM Ranges'!$AK19='PIM Ranges'!$AY$18,IF('PIM Ranges'!$AL19&lt;'PIM Ranges'!$AZ$18,"Q1",IF('PIM Ranges'!$AL19&lt;'PIM Ranges'!$BA$18,"Q2",IF('PIM Ranges'!$AL19&lt;'PIM Ranges'!$BB$18,"Q3",IF('PIM Ranges'!$AL19&lt;'PIM Ranges'!$BC$18,"Q4","Q5")))),IF('PIM Ranges'!$AK19='PIM Ranges'!$AY$19,IF('PIM Ranges'!$AL19&lt;'PIM Ranges'!$AZ$19,"Q1",IF('PIM Ranges'!$AL19&lt;'PIM Ranges'!$BA$19,"Q2",IF('PIM Ranges'!$AL19&lt;'PIM Ranges'!$BB$19,"Q3",IF('PIM Ranges'!$AL19&lt;'PIM Ranges'!$BC$19,"Q4","Q5")))),IF('PIM Ranges'!$AK19='PIM Ranges'!$AY$20,IF('PIM Ranges'!$AL19&lt;'PIM Ranges'!$AZ$20,"Q1",IF('PIM Ranges'!$AL19&lt;'PIM Ranges'!$BA$20,"Q2",IF('PIM Ranges'!$AL19&lt;'PIM Ranges'!$BB$20,"Q3",IF('PIM Ranges'!$AL19&lt;'PIM Ranges'!$BC$20,"Q4","Q5")))),IF('PIM Ranges'!$AK19='PIM Ranges'!$AY$21,IF('PIM Ranges'!$AL19&lt;'PIM Ranges'!$AZ$21,"Q1",IF('PIM Ranges'!$AL19&lt;'PIM Ranges'!$BA$21,"Q2",IF('PIM Ranges'!$AL19&lt;'PIM Ranges'!$BB$21,"Q3",IF('PIM Ranges'!$AL19&lt;'PIM Ranges'!$BC$21,"Q4","Q5")))),IF('PIM Ranges'!$AK19='PIM Ranges'!$AY$22,IF('PIM Ranges'!$AL19&lt;'PIM Ranges'!$AZ$22,"Q1",IF('PIM Ranges'!$AL19&lt;'PIM Ranges'!$BA$22,"Q2",IF('PIM Ranges'!$AL19&lt;'PIM Ranges'!$BB$22,"Q3",IF('PIM Ranges'!$AL19&lt;'PIM Ranges'!$BC$22,"Q4","Q5")))),IF('PIM Ranges'!$AK19='PIM Ranges'!$AY$23,IF('PIM Ranges'!$AL19&lt;'PIM Ranges'!$AZ$23,"Q1",IF('PIM Ranges'!$AL19&lt;'PIM Ranges'!$BA$23,"Q2",IF('PIM Ranges'!$AL19&lt;'PIM Ranges'!$BB$23,"Q3",IF('PIM Ranges'!$AL19&lt;'PIM Ranges'!$BC$23,"Q4","Q5")))),IF('PIM Ranges'!$AK19='PIM Ranges'!$AY$24,IF('PIM Ranges'!$AL19&lt;'PIM Ranges'!$AZ$24,"Q1",IF('PIM Ranges'!$AL19&lt;'PIM Ranges'!$BA$24,"Q2",IF('PIM Ranges'!$AL19&lt;'PIM Ranges'!$BB$24,"Q3",IF('PIM Ranges'!$AL19&lt;'PIM Ranges'!$BC$24,"Q4","Q5")))),IF('PIM Ranges'!$AK19='PIM Ranges'!$AY$25,IF('PIM Ranges'!$AL19&lt;'PIM Ranges'!$AZ$25,"Q1",IF('PIM Ranges'!$AL19&lt;'PIM Ranges'!$BA$25,"Q2",IF('PIM Ranges'!$AL19&lt;'PIM Ranges'!$BB$25,"Q3",IF('PIM Ranges'!$AL19&lt;'PIM Ranges'!$BC$25,"Q4","Q5")))),IF('PIM Ranges'!$AK19='PIM Ranges'!$AY$26,IF('PIM Ranges'!$AL19&lt;'PIM Ranges'!$AZ$26,"Q1",IF('PIM Ranges'!$AL19&lt;'PIM Ranges'!$BA$26,"Q2",IF('PIM Ranges'!$AL19&lt;'PIM Ranges'!$BB$26,"Q3",IF('PIM Ranges'!$AL19&lt;'PIM Ranges'!$BC$26,"Q4","Q5")))),IF('PIM Ranges'!$AK19='PIM Ranges'!$AY$27,IF('PIM Ranges'!$AL19&lt;'PIM Ranges'!$AZ$27,"Q1",IF('PIM Ranges'!$AL19&lt;'PIM Ranges'!$BA$27,"Q2",IF('PIM Ranges'!$AL19&lt;'PIM Ranges'!$BB$27,"Q3",IF('PIM Ranges'!$AL19&lt;'PIM Ranges'!$BC$27,"Q4","Q5")))),IF('PIM Ranges'!$AK19='PIM Ranges'!$AY$28,IF('PIM Ranges'!$AL19&lt;'PIM Ranges'!$AZ$28,"Q1",IF('PIM Ranges'!$AL19&lt;'PIM Ranges'!$BA$28,"Q2",IF('PIM Ranges'!$AL19&lt;'PIM Ranges'!$BB$28,"Q3",IF('PIM Ranges'!$AL19&lt;'PIM Ranges'!$BC$28,"Q4","Q5")))),IF('PIM Ranges'!$AK19='PIM Ranges'!$AY$29,IF('PIM Ranges'!$AL19&lt;'PIM Ranges'!$AZ$29,"Q1",IF('PIM Ranges'!$AL19&lt;'PIM Ranges'!$BA$29,"Q2",IF('PIM Ranges'!$AL19&lt;'PIM Ranges'!$BB$29,"Q3",IF('PIM Ranges'!$AL19&lt;'PIM Ranges'!$BC$29,"Q4","Q5")))),IF('PIM Ranges'!$AK19='PIM Ranges'!$AY$30,IF('PIM Ranges'!$AL19&lt;'PIM Ranges'!$AZ$30,"Q1",IF('PIM Ranges'!$AL19&lt;'PIM Ranges'!$BA$30,"Q2",IF('PIM Ranges'!$AL19&lt;'PIM Ranges'!$BB$30,"Q3",IF('PIM Ranges'!$AL19&lt;'PIM Ranges'!$BC$30,"Q4","Q5")))),IF('PIM Ranges'!$AK19='PIM Ranges'!$AY$31,IF('PIM Ranges'!$AL19&lt;'PIM Ranges'!$AZ$31,"Q1",IF('PIM Ranges'!$AL19&lt;'PIM Ranges'!$BA$31,"Q2",IF('PIM Ranges'!$AL19&lt;'PIM Ranges'!$BB$31,"Q3",IF('PIM Ranges'!$AL19&lt;'PIM Ranges'!$BC$31,"Q4","Q5")))),IF('PIM Ranges'!$AK19='PIM Ranges'!$AY$32,IF('PIM Ranges'!$AL19&lt;'PIM Ranges'!$AZ$32,"Q1",IF('PIM Ranges'!$AL19&lt;'PIM Ranges'!$BA$32,"Q2",IF('PIM Ranges'!$AL19&lt;'PIM Ranges'!$BB$32,"Q3",IF('PIM Ranges'!$AL19&lt;'PIM Ranges'!$BC$32,"Q4","Q5"))))))))))))))))))))))))))</f>
        <v>Q1</v>
      </c>
      <c r="AX19" s="393"/>
      <c r="AY19" s="52" t="s">
        <v>95</v>
      </c>
      <c r="AZ19" s="394">
        <v>5783</v>
      </c>
      <c r="BA19" s="394">
        <v>15190</v>
      </c>
      <c r="BB19" s="394">
        <v>28191</v>
      </c>
      <c r="BC19" s="394">
        <v>61587</v>
      </c>
      <c r="BF19" s="52" t="s">
        <v>95</v>
      </c>
      <c r="BG19" s="394">
        <v>11697</v>
      </c>
      <c r="BH19" s="394">
        <v>35019</v>
      </c>
      <c r="BI19" s="394">
        <v>103570</v>
      </c>
      <c r="BJ19" s="394">
        <v>238698</v>
      </c>
    </row>
    <row r="20" spans="1:62" x14ac:dyDescent="0.25">
      <c r="A20" s="870">
        <f t="shared" si="12"/>
        <v>0</v>
      </c>
      <c r="B20">
        <v>11</v>
      </c>
      <c r="C20" t="s">
        <v>96</v>
      </c>
      <c r="D20" s="25">
        <f>'Multi-Customer'!C22</f>
        <v>0</v>
      </c>
      <c r="E20">
        <f>'Multi-Customer'!D22</f>
        <v>0</v>
      </c>
      <c r="F20">
        <f>'Multi-Customer'!E22</f>
        <v>0</v>
      </c>
      <c r="G20" s="274">
        <f>'Multi-Customer'!F22</f>
        <v>0</v>
      </c>
      <c r="H20" s="19">
        <f t="shared" si="13"/>
        <v>0</v>
      </c>
      <c r="I20" s="19">
        <f t="shared" si="14"/>
        <v>0</v>
      </c>
      <c r="J20" s="274"/>
      <c r="K20" s="274" t="str">
        <f>'PIM Model'!E18</f>
        <v>INCLUDE</v>
      </c>
      <c r="L20" s="274">
        <f t="shared" si="15"/>
        <v>0</v>
      </c>
      <c r="M20">
        <v>11</v>
      </c>
      <c r="N20" s="274" t="s">
        <v>96</v>
      </c>
      <c r="O20" s="274">
        <f t="shared" si="16"/>
        <v>0</v>
      </c>
      <c r="P20" s="274">
        <f t="shared" si="0"/>
        <v>0</v>
      </c>
      <c r="Q20" s="274">
        <f t="shared" si="17"/>
        <v>0</v>
      </c>
      <c r="R20" s="274">
        <f t="shared" si="1"/>
        <v>0</v>
      </c>
      <c r="S20" s="274">
        <f t="shared" si="18"/>
        <v>0</v>
      </c>
      <c r="T20" s="19">
        <f t="shared" si="19"/>
        <v>0</v>
      </c>
      <c r="U20" s="19"/>
      <c r="V20" s="2">
        <f>'PIM Model'!$C$18</f>
        <v>0</v>
      </c>
      <c r="W20" s="498">
        <f>IFERROR('Multi-Customer'!R22,0)</f>
        <v>0</v>
      </c>
      <c r="X20" s="19">
        <f t="shared" si="2"/>
        <v>0</v>
      </c>
      <c r="Y20" s="274">
        <f t="shared" si="20"/>
        <v>0</v>
      </c>
      <c r="Z20" s="274">
        <f t="shared" si="21"/>
        <v>0</v>
      </c>
      <c r="AA20" s="274">
        <f t="shared" si="22"/>
        <v>0</v>
      </c>
      <c r="AB20" s="499">
        <f t="shared" si="23"/>
        <v>0</v>
      </c>
      <c r="AC20" s="499">
        <f t="shared" si="3"/>
        <v>0</v>
      </c>
      <c r="AD20" s="274">
        <f t="shared" si="24"/>
        <v>0</v>
      </c>
      <c r="AE20" s="274"/>
      <c r="AF20" s="274">
        <f t="shared" si="4"/>
        <v>0</v>
      </c>
      <c r="AG20" s="39">
        <f>'PIM Model'!B18</f>
        <v>0</v>
      </c>
      <c r="AH20" s="361">
        <f t="shared" si="5"/>
        <v>0</v>
      </c>
      <c r="AI20" s="361">
        <f t="shared" si="25"/>
        <v>0</v>
      </c>
      <c r="AJ20">
        <v>11</v>
      </c>
      <c r="AK20" s="362" t="s">
        <v>96</v>
      </c>
      <c r="AL20" s="362">
        <f t="shared" si="6"/>
        <v>0</v>
      </c>
      <c r="AM20" s="362">
        <f t="shared" si="7"/>
        <v>0</v>
      </c>
      <c r="AN20" s="362">
        <f t="shared" si="8"/>
        <v>0</v>
      </c>
      <c r="AO20" s="363">
        <f t="shared" si="9"/>
        <v>0</v>
      </c>
      <c r="AP20" s="363">
        <f t="shared" si="10"/>
        <v>0</v>
      </c>
      <c r="AQ20" s="363">
        <f>IF('Multi-Customer'!C22=0,'Multi-Customer'!U22,'Multi-Customer'!T22)*AL20</f>
        <v>0</v>
      </c>
      <c r="AR20" s="363">
        <f>IF('Multi-Customer'!C22=0,'Multi-Customer'!W22,'Multi-Customer'!V22)*AL20</f>
        <v>0</v>
      </c>
      <c r="AS20" s="1" t="str">
        <f t="shared" si="11"/>
        <v>Q1</v>
      </c>
      <c r="AT20" s="1" t="str">
        <f>IF('PIM Ranges'!$AK20='PIM Ranges'!$AY$11,IF('PIM Ranges'!$AL20&lt;'PIM Ranges'!$AZ$11,"Q1",IF('PIM Ranges'!$AL20&lt;'PIM Ranges'!$BA$11,"Q2",IF('PIM Ranges'!$AL20&lt;'PIM Ranges'!$BB$11,"Q3",IF('PIM Ranges'!$AL20&lt;'PIM Ranges'!$BC$11,"Q4","Q5")))),IF('PIM Ranges'!$AK20='PIM Ranges'!$AY$12,IF('PIM Ranges'!$AL20&lt;'PIM Ranges'!$AZ$12,"Q1",IF('PIM Ranges'!$AL20&lt;'PIM Ranges'!$BA$12,"Q2",IF('PIM Ranges'!$AL20&lt;'PIM Ranges'!$BB$12,"Q3",IF('PIM Ranges'!$AL20&lt;'PIM Ranges'!$BC$12,"Q4","Q5")))),IF('PIM Ranges'!$AK20='PIM Ranges'!$AY$13,IF('PIM Ranges'!$AL20&lt;'PIM Ranges'!$AZ$13,"Q1",IF('PIM Ranges'!$AL20&lt;'PIM Ranges'!$BA$13,"Q2",IF('PIM Ranges'!$AL20&lt;'PIM Ranges'!$BB$13,"Q3",IF('PIM Ranges'!$AL20&lt;'PIM Ranges'!$BC$13,"Q4","Q5")))),IF('PIM Ranges'!$AK20='PIM Ranges'!$AY$14,IF('PIM Ranges'!$AL20&lt;'PIM Ranges'!$AZ$14,"Q1",IF('PIM Ranges'!$AL20&lt;'PIM Ranges'!$BA$14,"Q2",IF('PIM Ranges'!$AL20&lt;'PIM Ranges'!$BB$14,"Q3",IF('PIM Ranges'!$AL20&lt;'PIM Ranges'!$BC$14,"Q4","Q5")))),IF('PIM Ranges'!$AK20='PIM Ranges'!$AY$15,IF('PIM Ranges'!$AL20&lt;'PIM Ranges'!$AZ$15,"Q1",IF('PIM Ranges'!$AL20&lt;'PIM Ranges'!$BA$15,"Q2",IF('PIM Ranges'!$AL20&lt;'PIM Ranges'!$BB$15,"Q3",IF('PIM Ranges'!$AL20&lt;'PIM Ranges'!$BC$15,"Q4","Q5")))),IF('PIM Ranges'!$AK20='PIM Ranges'!$AY$16,IF('PIM Ranges'!$AL20&lt;'PIM Ranges'!$AZ$16,"Q1",IF('PIM Ranges'!$AL20&lt;'PIM Ranges'!$BA$16,"Q2",IF('PIM Ranges'!$AL20&lt;'PIM Ranges'!$BB$16,"Q3",IF('PIM Ranges'!$AL20&lt;'PIM Ranges'!$BC$16,"Q4","Q5")))),IF('PIM Ranges'!$AK20='PIM Ranges'!$AY$17,IF('PIM Ranges'!$AL20&lt;'PIM Ranges'!$AZ$17,"Q1",IF('PIM Ranges'!$AL20&lt;'PIM Ranges'!$BA$17,"Q2",IF('PIM Ranges'!$AL20&lt;'PIM Ranges'!$BB$17,"Q3",IF('PIM Ranges'!$AL20&lt;'PIM Ranges'!$BC$17,"Q4","Q5")))),IF('PIM Ranges'!$AK20='PIM Ranges'!$AY$18,IF('PIM Ranges'!$AL20&lt;'PIM Ranges'!$AZ$18,"Q1",IF('PIM Ranges'!$AL20&lt;'PIM Ranges'!$BA$18,"Q2",IF('PIM Ranges'!$AL20&lt;'PIM Ranges'!$BB$18,"Q3",IF('PIM Ranges'!$AL20&lt;'PIM Ranges'!$BC$18,"Q4","Q5")))),IF('PIM Ranges'!$AK20='PIM Ranges'!$AY$19,IF('PIM Ranges'!$AL20&lt;'PIM Ranges'!$AZ$19,"Q1",IF('PIM Ranges'!$AL20&lt;'PIM Ranges'!$BA$19,"Q2",IF('PIM Ranges'!$AL20&lt;'PIM Ranges'!$BB$19,"Q3",IF('PIM Ranges'!$AL20&lt;'PIM Ranges'!$BC$19,"Q4","Q5")))),IF('PIM Ranges'!$AK20='PIM Ranges'!$AY$20,IF('PIM Ranges'!$AL20&lt;'PIM Ranges'!$AZ$20,"Q1",IF('PIM Ranges'!$AL20&lt;'PIM Ranges'!$BA$20,"Q2",IF('PIM Ranges'!$AL20&lt;'PIM Ranges'!$BB$20,"Q3",IF('PIM Ranges'!$AL20&lt;'PIM Ranges'!$BC$20,"Q4","Q5")))),IF('PIM Ranges'!$AK20='PIM Ranges'!$AY$21,IF('PIM Ranges'!$AL20&lt;'PIM Ranges'!$AZ$21,"Q1",IF('PIM Ranges'!$AL20&lt;'PIM Ranges'!$BA$21,"Q2",IF('PIM Ranges'!$AL20&lt;'PIM Ranges'!$BB$21,"Q3",IF('PIM Ranges'!$AL20&lt;'PIM Ranges'!$BC$21,"Q4","Q5")))),IF('PIM Ranges'!$AK20='PIM Ranges'!$AY$22,IF('PIM Ranges'!$AL20&lt;'PIM Ranges'!$AZ$22,"Q1",IF('PIM Ranges'!$AL20&lt;'PIM Ranges'!$BA$22,"Q2",IF('PIM Ranges'!$AL20&lt;'PIM Ranges'!$BB$22,"Q3",IF('PIM Ranges'!$AL20&lt;'PIM Ranges'!$BC$22,"Q4","Q5")))),IF('PIM Ranges'!$AK20='PIM Ranges'!$AY$23,IF('PIM Ranges'!$AL20&lt;'PIM Ranges'!$AZ$23,"Q1",IF('PIM Ranges'!$AL20&lt;'PIM Ranges'!$BA$23,"Q2",IF('PIM Ranges'!$AL20&lt;'PIM Ranges'!$BB$23,"Q3",IF('PIM Ranges'!$AL20&lt;'PIM Ranges'!$BC$23,"Q4","Q5")))),IF('PIM Ranges'!$AK20='PIM Ranges'!$AY$24,IF('PIM Ranges'!$AL20&lt;'PIM Ranges'!$AZ$24,"Q1",IF('PIM Ranges'!$AL20&lt;'PIM Ranges'!$BA$24,"Q2",IF('PIM Ranges'!$AL20&lt;'PIM Ranges'!$BB$24,"Q3",IF('PIM Ranges'!$AL20&lt;'PIM Ranges'!$BC$24,"Q4","Q5")))),IF('PIM Ranges'!$AK20='PIM Ranges'!$AY$25,IF('PIM Ranges'!$AL20&lt;'PIM Ranges'!$AZ$25,"Q1",IF('PIM Ranges'!$AL20&lt;'PIM Ranges'!$BA$25,"Q2",IF('PIM Ranges'!$AL20&lt;'PIM Ranges'!$BB$25,"Q3",IF('PIM Ranges'!$AL20&lt;'PIM Ranges'!$BC$25,"Q4","Q5")))),IF('PIM Ranges'!$AK20='PIM Ranges'!$AY$26,IF('PIM Ranges'!$AL20&lt;'PIM Ranges'!$AZ$26,"Q1",IF('PIM Ranges'!$AL20&lt;'PIM Ranges'!$BA$26,"Q2",IF('PIM Ranges'!$AL20&lt;'PIM Ranges'!$BB$26,"Q3",IF('PIM Ranges'!$AL20&lt;'PIM Ranges'!$BC$26,"Q4","Q5")))),IF('PIM Ranges'!$AK20='PIM Ranges'!$AY$27,IF('PIM Ranges'!$AL20&lt;'PIM Ranges'!$AZ$27,"Q1",IF('PIM Ranges'!$AL20&lt;'PIM Ranges'!$BA$27,"Q2",IF('PIM Ranges'!$AL20&lt;'PIM Ranges'!$BB$27,"Q3",IF('PIM Ranges'!$AL20&lt;'PIM Ranges'!$BC$27,"Q4","Q5")))),IF('PIM Ranges'!$AK20='PIM Ranges'!$AY$28,IF('PIM Ranges'!$AL20&lt;'PIM Ranges'!$AZ$28,"Q1",IF('PIM Ranges'!$AL20&lt;'PIM Ranges'!$BA$28,"Q2",IF('PIM Ranges'!$AL20&lt;'PIM Ranges'!$BB$28,"Q3",IF('PIM Ranges'!$AL20&lt;'PIM Ranges'!$BC$28,"Q4","Q5")))),IF('PIM Ranges'!$AK20='PIM Ranges'!$AY$29,IF('PIM Ranges'!$AL20&lt;'PIM Ranges'!$AZ$29,"Q1",IF('PIM Ranges'!$AL20&lt;'PIM Ranges'!$BA$29,"Q2",IF('PIM Ranges'!$AL20&lt;'PIM Ranges'!$BB$29,"Q3",IF('PIM Ranges'!$AL20&lt;'PIM Ranges'!$BC$29,"Q4","Q5")))),IF('PIM Ranges'!$AK20='PIM Ranges'!$AY$30,IF('PIM Ranges'!$AL20&lt;'PIM Ranges'!$AZ$30,"Q1",IF('PIM Ranges'!$AL20&lt;'PIM Ranges'!$BA$30,"Q2",IF('PIM Ranges'!$AL20&lt;'PIM Ranges'!$BB$30,"Q3",IF('PIM Ranges'!$AL20&lt;'PIM Ranges'!$BC$30,"Q4","Q5")))),IF('PIM Ranges'!$AK20='PIM Ranges'!$AY$31,IF('PIM Ranges'!$AL20&lt;'PIM Ranges'!$AZ$31,"Q1",IF('PIM Ranges'!$AL20&lt;'PIM Ranges'!$BA$31,"Q2",IF('PIM Ranges'!$AL20&lt;'PIM Ranges'!$BB$31,"Q3",IF('PIM Ranges'!$AL20&lt;'PIM Ranges'!$BC$31,"Q4","Q5")))),IF('PIM Ranges'!$AK20='PIM Ranges'!$AY$32,IF('PIM Ranges'!$AL20&lt;'PIM Ranges'!$AZ$32,"Q1",IF('PIM Ranges'!$AL20&lt;'PIM Ranges'!$BA$32,"Q2",IF('PIM Ranges'!$AL20&lt;'PIM Ranges'!$BB$32,"Q3",IF('PIM Ranges'!$AL20&lt;'PIM Ranges'!$BC$32,"Q4","Q5"))))))))))))))))))))))))))</f>
        <v>Q1</v>
      </c>
      <c r="AX20" s="393"/>
      <c r="AY20" s="52" t="s">
        <v>96</v>
      </c>
      <c r="AZ20" s="394">
        <v>830</v>
      </c>
      <c r="BA20" s="394">
        <v>2480</v>
      </c>
      <c r="BB20" s="394">
        <v>6004</v>
      </c>
      <c r="BC20" s="394">
        <v>13761</v>
      </c>
      <c r="BF20" s="52" t="s">
        <v>96</v>
      </c>
      <c r="BG20" s="394">
        <v>1562</v>
      </c>
      <c r="BH20" s="394">
        <v>5701</v>
      </c>
      <c r="BI20" s="394">
        <v>19578</v>
      </c>
      <c r="BJ20" s="394">
        <v>45979</v>
      </c>
    </row>
    <row r="21" spans="1:62" x14ac:dyDescent="0.25">
      <c r="A21" s="870">
        <f t="shared" si="12"/>
        <v>0</v>
      </c>
      <c r="B21">
        <v>12</v>
      </c>
      <c r="C21" t="s">
        <v>101</v>
      </c>
      <c r="D21" s="25">
        <f>'Multi-Customer'!C23</f>
        <v>0</v>
      </c>
      <c r="E21">
        <f>'Multi-Customer'!D23</f>
        <v>0</v>
      </c>
      <c r="F21">
        <f>'Multi-Customer'!E23</f>
        <v>0</v>
      </c>
      <c r="G21" s="274">
        <f>'Multi-Customer'!F23</f>
        <v>0</v>
      </c>
      <c r="H21" s="19">
        <f t="shared" si="13"/>
        <v>0</v>
      </c>
      <c r="I21" s="19">
        <f t="shared" si="14"/>
        <v>0</v>
      </c>
      <c r="J21" s="274"/>
      <c r="K21" s="274" t="str">
        <f>'PIM Model'!E19</f>
        <v>INCLUDE</v>
      </c>
      <c r="L21" s="274">
        <f t="shared" si="15"/>
        <v>0</v>
      </c>
      <c r="M21">
        <v>12</v>
      </c>
      <c r="N21" s="274" t="s">
        <v>101</v>
      </c>
      <c r="O21" s="274">
        <f t="shared" si="16"/>
        <v>0</v>
      </c>
      <c r="P21" s="274">
        <f t="shared" si="0"/>
        <v>0</v>
      </c>
      <c r="Q21" s="274">
        <f t="shared" si="17"/>
        <v>0</v>
      </c>
      <c r="R21" s="274">
        <f t="shared" si="1"/>
        <v>0</v>
      </c>
      <c r="S21" s="274">
        <f t="shared" si="18"/>
        <v>0</v>
      </c>
      <c r="T21" s="19">
        <f t="shared" si="19"/>
        <v>0</v>
      </c>
      <c r="U21" s="19"/>
      <c r="V21" s="2">
        <f>'PIM Model'!$C$19</f>
        <v>0</v>
      </c>
      <c r="W21" s="498">
        <f>IFERROR('Multi-Customer'!R23,0)</f>
        <v>0</v>
      </c>
      <c r="X21" s="19">
        <f t="shared" si="2"/>
        <v>0</v>
      </c>
      <c r="Y21" s="274">
        <f t="shared" si="20"/>
        <v>0</v>
      </c>
      <c r="Z21" s="274">
        <f t="shared" si="21"/>
        <v>0</v>
      </c>
      <c r="AA21" s="274">
        <f t="shared" si="22"/>
        <v>0</v>
      </c>
      <c r="AB21" s="499">
        <f t="shared" si="23"/>
        <v>0</v>
      </c>
      <c r="AC21" s="499">
        <f t="shared" si="3"/>
        <v>0</v>
      </c>
      <c r="AD21" s="274">
        <f t="shared" si="24"/>
        <v>0</v>
      </c>
      <c r="AE21" s="274"/>
      <c r="AF21" s="274">
        <f t="shared" si="4"/>
        <v>0</v>
      </c>
      <c r="AG21" s="39">
        <f>'PIM Model'!B19</f>
        <v>0</v>
      </c>
      <c r="AH21" s="361">
        <f t="shared" si="5"/>
        <v>0</v>
      </c>
      <c r="AI21" s="361">
        <f t="shared" si="25"/>
        <v>0</v>
      </c>
      <c r="AJ21">
        <v>12</v>
      </c>
      <c r="AK21" s="362" t="s">
        <v>101</v>
      </c>
      <c r="AL21" s="362">
        <f t="shared" si="6"/>
        <v>0</v>
      </c>
      <c r="AM21" s="362">
        <f t="shared" si="7"/>
        <v>0</v>
      </c>
      <c r="AN21" s="362">
        <f t="shared" si="8"/>
        <v>0</v>
      </c>
      <c r="AO21" s="363">
        <f t="shared" si="9"/>
        <v>0</v>
      </c>
      <c r="AP21" s="363">
        <f t="shared" si="10"/>
        <v>0</v>
      </c>
      <c r="AQ21" s="363">
        <f>IF('Multi-Customer'!C23=0,'Multi-Customer'!U23,'Multi-Customer'!T23)*AL21</f>
        <v>0</v>
      </c>
      <c r="AR21" s="363">
        <f>IF('Multi-Customer'!C23=0,'Multi-Customer'!W23,'Multi-Customer'!V23)*AL21</f>
        <v>0</v>
      </c>
      <c r="AS21" s="1" t="str">
        <f t="shared" si="11"/>
        <v>Q1</v>
      </c>
      <c r="AT21" s="1" t="str">
        <f>IF('PIM Ranges'!$AK21='PIM Ranges'!$AY$11,IF('PIM Ranges'!$AL21&lt;'PIM Ranges'!$AZ$11,"Q1",IF('PIM Ranges'!$AL21&lt;'PIM Ranges'!$BA$11,"Q2",IF('PIM Ranges'!$AL21&lt;'PIM Ranges'!$BB$11,"Q3",IF('PIM Ranges'!$AL21&lt;'PIM Ranges'!$BC$11,"Q4","Q5")))),IF('PIM Ranges'!$AK21='PIM Ranges'!$AY$12,IF('PIM Ranges'!$AL21&lt;'PIM Ranges'!$AZ$12,"Q1",IF('PIM Ranges'!$AL21&lt;'PIM Ranges'!$BA$12,"Q2",IF('PIM Ranges'!$AL21&lt;'PIM Ranges'!$BB$12,"Q3",IF('PIM Ranges'!$AL21&lt;'PIM Ranges'!$BC$12,"Q4","Q5")))),IF('PIM Ranges'!$AK21='PIM Ranges'!$AY$13,IF('PIM Ranges'!$AL21&lt;'PIM Ranges'!$AZ$13,"Q1",IF('PIM Ranges'!$AL21&lt;'PIM Ranges'!$BA$13,"Q2",IF('PIM Ranges'!$AL21&lt;'PIM Ranges'!$BB$13,"Q3",IF('PIM Ranges'!$AL21&lt;'PIM Ranges'!$BC$13,"Q4","Q5")))),IF('PIM Ranges'!$AK21='PIM Ranges'!$AY$14,IF('PIM Ranges'!$AL21&lt;'PIM Ranges'!$AZ$14,"Q1",IF('PIM Ranges'!$AL21&lt;'PIM Ranges'!$BA$14,"Q2",IF('PIM Ranges'!$AL21&lt;'PIM Ranges'!$BB$14,"Q3",IF('PIM Ranges'!$AL21&lt;'PIM Ranges'!$BC$14,"Q4","Q5")))),IF('PIM Ranges'!$AK21='PIM Ranges'!$AY$15,IF('PIM Ranges'!$AL21&lt;'PIM Ranges'!$AZ$15,"Q1",IF('PIM Ranges'!$AL21&lt;'PIM Ranges'!$BA$15,"Q2",IF('PIM Ranges'!$AL21&lt;'PIM Ranges'!$BB$15,"Q3",IF('PIM Ranges'!$AL21&lt;'PIM Ranges'!$BC$15,"Q4","Q5")))),IF('PIM Ranges'!$AK21='PIM Ranges'!$AY$16,IF('PIM Ranges'!$AL21&lt;'PIM Ranges'!$AZ$16,"Q1",IF('PIM Ranges'!$AL21&lt;'PIM Ranges'!$BA$16,"Q2",IF('PIM Ranges'!$AL21&lt;'PIM Ranges'!$BB$16,"Q3",IF('PIM Ranges'!$AL21&lt;'PIM Ranges'!$BC$16,"Q4","Q5")))),IF('PIM Ranges'!$AK21='PIM Ranges'!$AY$17,IF('PIM Ranges'!$AL21&lt;'PIM Ranges'!$AZ$17,"Q1",IF('PIM Ranges'!$AL21&lt;'PIM Ranges'!$BA$17,"Q2",IF('PIM Ranges'!$AL21&lt;'PIM Ranges'!$BB$17,"Q3",IF('PIM Ranges'!$AL21&lt;'PIM Ranges'!$BC$17,"Q4","Q5")))),IF('PIM Ranges'!$AK21='PIM Ranges'!$AY$18,IF('PIM Ranges'!$AL21&lt;'PIM Ranges'!$AZ$18,"Q1",IF('PIM Ranges'!$AL21&lt;'PIM Ranges'!$BA$18,"Q2",IF('PIM Ranges'!$AL21&lt;'PIM Ranges'!$BB$18,"Q3",IF('PIM Ranges'!$AL21&lt;'PIM Ranges'!$BC$18,"Q4","Q5")))),IF('PIM Ranges'!$AK21='PIM Ranges'!$AY$19,IF('PIM Ranges'!$AL21&lt;'PIM Ranges'!$AZ$19,"Q1",IF('PIM Ranges'!$AL21&lt;'PIM Ranges'!$BA$19,"Q2",IF('PIM Ranges'!$AL21&lt;'PIM Ranges'!$BB$19,"Q3",IF('PIM Ranges'!$AL21&lt;'PIM Ranges'!$BC$19,"Q4","Q5")))),IF('PIM Ranges'!$AK21='PIM Ranges'!$AY$20,IF('PIM Ranges'!$AL21&lt;'PIM Ranges'!$AZ$20,"Q1",IF('PIM Ranges'!$AL21&lt;'PIM Ranges'!$BA$20,"Q2",IF('PIM Ranges'!$AL21&lt;'PIM Ranges'!$BB$20,"Q3",IF('PIM Ranges'!$AL21&lt;'PIM Ranges'!$BC$20,"Q4","Q5")))),IF('PIM Ranges'!$AK21='PIM Ranges'!$AY$21,IF('PIM Ranges'!$AL21&lt;'PIM Ranges'!$AZ$21,"Q1",IF('PIM Ranges'!$AL21&lt;'PIM Ranges'!$BA$21,"Q2",IF('PIM Ranges'!$AL21&lt;'PIM Ranges'!$BB$21,"Q3",IF('PIM Ranges'!$AL21&lt;'PIM Ranges'!$BC$21,"Q4","Q5")))),IF('PIM Ranges'!$AK21='PIM Ranges'!$AY$22,IF('PIM Ranges'!$AL21&lt;'PIM Ranges'!$AZ$22,"Q1",IF('PIM Ranges'!$AL21&lt;'PIM Ranges'!$BA$22,"Q2",IF('PIM Ranges'!$AL21&lt;'PIM Ranges'!$BB$22,"Q3",IF('PIM Ranges'!$AL21&lt;'PIM Ranges'!$BC$22,"Q4","Q5")))),IF('PIM Ranges'!$AK21='PIM Ranges'!$AY$23,IF('PIM Ranges'!$AL21&lt;'PIM Ranges'!$AZ$23,"Q1",IF('PIM Ranges'!$AL21&lt;'PIM Ranges'!$BA$23,"Q2",IF('PIM Ranges'!$AL21&lt;'PIM Ranges'!$BB$23,"Q3",IF('PIM Ranges'!$AL21&lt;'PIM Ranges'!$BC$23,"Q4","Q5")))),IF('PIM Ranges'!$AK21='PIM Ranges'!$AY$24,IF('PIM Ranges'!$AL21&lt;'PIM Ranges'!$AZ$24,"Q1",IF('PIM Ranges'!$AL21&lt;'PIM Ranges'!$BA$24,"Q2",IF('PIM Ranges'!$AL21&lt;'PIM Ranges'!$BB$24,"Q3",IF('PIM Ranges'!$AL21&lt;'PIM Ranges'!$BC$24,"Q4","Q5")))),IF('PIM Ranges'!$AK21='PIM Ranges'!$AY$25,IF('PIM Ranges'!$AL21&lt;'PIM Ranges'!$AZ$25,"Q1",IF('PIM Ranges'!$AL21&lt;'PIM Ranges'!$BA$25,"Q2",IF('PIM Ranges'!$AL21&lt;'PIM Ranges'!$BB$25,"Q3",IF('PIM Ranges'!$AL21&lt;'PIM Ranges'!$BC$25,"Q4","Q5")))),IF('PIM Ranges'!$AK21='PIM Ranges'!$AY$26,IF('PIM Ranges'!$AL21&lt;'PIM Ranges'!$AZ$26,"Q1",IF('PIM Ranges'!$AL21&lt;'PIM Ranges'!$BA$26,"Q2",IF('PIM Ranges'!$AL21&lt;'PIM Ranges'!$BB$26,"Q3",IF('PIM Ranges'!$AL21&lt;'PIM Ranges'!$BC$26,"Q4","Q5")))),IF('PIM Ranges'!$AK21='PIM Ranges'!$AY$27,IF('PIM Ranges'!$AL21&lt;'PIM Ranges'!$AZ$27,"Q1",IF('PIM Ranges'!$AL21&lt;'PIM Ranges'!$BA$27,"Q2",IF('PIM Ranges'!$AL21&lt;'PIM Ranges'!$BB$27,"Q3",IF('PIM Ranges'!$AL21&lt;'PIM Ranges'!$BC$27,"Q4","Q5")))),IF('PIM Ranges'!$AK21='PIM Ranges'!$AY$28,IF('PIM Ranges'!$AL21&lt;'PIM Ranges'!$AZ$28,"Q1",IF('PIM Ranges'!$AL21&lt;'PIM Ranges'!$BA$28,"Q2",IF('PIM Ranges'!$AL21&lt;'PIM Ranges'!$BB$28,"Q3",IF('PIM Ranges'!$AL21&lt;'PIM Ranges'!$BC$28,"Q4","Q5")))),IF('PIM Ranges'!$AK21='PIM Ranges'!$AY$29,IF('PIM Ranges'!$AL21&lt;'PIM Ranges'!$AZ$29,"Q1",IF('PIM Ranges'!$AL21&lt;'PIM Ranges'!$BA$29,"Q2",IF('PIM Ranges'!$AL21&lt;'PIM Ranges'!$BB$29,"Q3",IF('PIM Ranges'!$AL21&lt;'PIM Ranges'!$BC$29,"Q4","Q5")))),IF('PIM Ranges'!$AK21='PIM Ranges'!$AY$30,IF('PIM Ranges'!$AL21&lt;'PIM Ranges'!$AZ$30,"Q1",IF('PIM Ranges'!$AL21&lt;'PIM Ranges'!$BA$30,"Q2",IF('PIM Ranges'!$AL21&lt;'PIM Ranges'!$BB$30,"Q3",IF('PIM Ranges'!$AL21&lt;'PIM Ranges'!$BC$30,"Q4","Q5")))),IF('PIM Ranges'!$AK21='PIM Ranges'!$AY$31,IF('PIM Ranges'!$AL21&lt;'PIM Ranges'!$AZ$31,"Q1",IF('PIM Ranges'!$AL21&lt;'PIM Ranges'!$BA$31,"Q2",IF('PIM Ranges'!$AL21&lt;'PIM Ranges'!$BB$31,"Q3",IF('PIM Ranges'!$AL21&lt;'PIM Ranges'!$BC$31,"Q4","Q5")))),IF('PIM Ranges'!$AK21='PIM Ranges'!$AY$32,IF('PIM Ranges'!$AL21&lt;'PIM Ranges'!$AZ$32,"Q1",IF('PIM Ranges'!$AL21&lt;'PIM Ranges'!$BA$32,"Q2",IF('PIM Ranges'!$AL21&lt;'PIM Ranges'!$BB$32,"Q3",IF('PIM Ranges'!$AL21&lt;'PIM Ranges'!$BC$32,"Q4","Q5"))))))))))))))))))))))))))</f>
        <v>Q1</v>
      </c>
      <c r="AX21" s="393"/>
      <c r="AY21" s="52" t="s">
        <v>101</v>
      </c>
      <c r="AZ21" s="394">
        <v>2353</v>
      </c>
      <c r="BA21" s="394">
        <v>5189</v>
      </c>
      <c r="BB21" s="394">
        <v>10687</v>
      </c>
      <c r="BC21" s="394">
        <v>23163</v>
      </c>
      <c r="BF21" s="52" t="s">
        <v>101</v>
      </c>
      <c r="BG21" s="394">
        <v>3473</v>
      </c>
      <c r="BH21" s="394">
        <v>9790</v>
      </c>
      <c r="BI21" s="394">
        <v>29037</v>
      </c>
      <c r="BJ21" s="394">
        <v>66663</v>
      </c>
    </row>
    <row r="22" spans="1:62" x14ac:dyDescent="0.25">
      <c r="A22" s="870">
        <f t="shared" si="12"/>
        <v>0</v>
      </c>
      <c r="B22">
        <v>13</v>
      </c>
      <c r="C22" t="s">
        <v>97</v>
      </c>
      <c r="D22" s="25">
        <f>'Multi-Customer'!C24</f>
        <v>0</v>
      </c>
      <c r="E22">
        <f>'Multi-Customer'!D24</f>
        <v>0</v>
      </c>
      <c r="F22">
        <f>'Multi-Customer'!E24</f>
        <v>0</v>
      </c>
      <c r="G22" s="274">
        <f>'Multi-Customer'!F24</f>
        <v>0</v>
      </c>
      <c r="H22" s="19">
        <f t="shared" si="13"/>
        <v>0</v>
      </c>
      <c r="I22" s="19">
        <f t="shared" si="14"/>
        <v>0</v>
      </c>
      <c r="J22" s="274"/>
      <c r="K22" s="274" t="str">
        <f>'PIM Model'!E20</f>
        <v>INCLUDE</v>
      </c>
      <c r="L22" s="274">
        <f t="shared" si="15"/>
        <v>0</v>
      </c>
      <c r="M22">
        <v>13</v>
      </c>
      <c r="N22" s="274" t="s">
        <v>97</v>
      </c>
      <c r="O22" s="274">
        <f t="shared" si="16"/>
        <v>0</v>
      </c>
      <c r="P22" s="274">
        <f t="shared" si="0"/>
        <v>0</v>
      </c>
      <c r="Q22" s="274">
        <f t="shared" si="17"/>
        <v>0</v>
      </c>
      <c r="R22" s="274">
        <f t="shared" si="1"/>
        <v>0</v>
      </c>
      <c r="S22" s="274">
        <f t="shared" si="18"/>
        <v>0</v>
      </c>
      <c r="T22" s="19">
        <f t="shared" si="19"/>
        <v>0</v>
      </c>
      <c r="U22" s="19"/>
      <c r="V22" s="2">
        <f>'PIM Model'!$C$20</f>
        <v>0</v>
      </c>
      <c r="W22" s="498">
        <f>IFERROR('Multi-Customer'!R24,0)</f>
        <v>0</v>
      </c>
      <c r="X22" s="19">
        <f t="shared" si="2"/>
        <v>0</v>
      </c>
      <c r="Y22" s="274">
        <f t="shared" si="20"/>
        <v>0</v>
      </c>
      <c r="Z22" s="274">
        <f t="shared" si="21"/>
        <v>0</v>
      </c>
      <c r="AA22" s="274">
        <f t="shared" si="22"/>
        <v>0</v>
      </c>
      <c r="AB22" s="499">
        <f t="shared" si="23"/>
        <v>0</v>
      </c>
      <c r="AC22" s="499">
        <f t="shared" si="3"/>
        <v>0</v>
      </c>
      <c r="AD22" s="274">
        <f t="shared" si="24"/>
        <v>0</v>
      </c>
      <c r="AE22" s="274"/>
      <c r="AF22" s="274">
        <f t="shared" si="4"/>
        <v>0</v>
      </c>
      <c r="AG22" s="39">
        <f>'PIM Model'!B20</f>
        <v>0</v>
      </c>
      <c r="AH22" s="361">
        <f t="shared" si="5"/>
        <v>0</v>
      </c>
      <c r="AI22" s="361">
        <f t="shared" si="25"/>
        <v>0</v>
      </c>
      <c r="AJ22">
        <v>13</v>
      </c>
      <c r="AK22" s="362" t="s">
        <v>97</v>
      </c>
      <c r="AL22" s="362">
        <f t="shared" si="6"/>
        <v>0</v>
      </c>
      <c r="AM22" s="362">
        <f t="shared" si="7"/>
        <v>0</v>
      </c>
      <c r="AN22" s="362">
        <f t="shared" si="8"/>
        <v>0</v>
      </c>
      <c r="AO22" s="363">
        <f t="shared" si="9"/>
        <v>0</v>
      </c>
      <c r="AP22" s="363">
        <f t="shared" si="10"/>
        <v>0</v>
      </c>
      <c r="AQ22" s="363">
        <f>IF('Multi-Customer'!C24=0,'Multi-Customer'!U24,'Multi-Customer'!T24)*AL22</f>
        <v>0</v>
      </c>
      <c r="AR22" s="363">
        <f>IF('Multi-Customer'!C24=0,'Multi-Customer'!W24,'Multi-Customer'!V24)*AL22</f>
        <v>0</v>
      </c>
      <c r="AS22" s="1" t="str">
        <f t="shared" si="11"/>
        <v>Q1</v>
      </c>
      <c r="AT22" s="1" t="str">
        <f>IF('PIM Ranges'!$AK22='PIM Ranges'!$AY$11,IF('PIM Ranges'!$AL22&lt;'PIM Ranges'!$AZ$11,"Q1",IF('PIM Ranges'!$AL22&lt;'PIM Ranges'!$BA$11,"Q2",IF('PIM Ranges'!$AL22&lt;'PIM Ranges'!$BB$11,"Q3",IF('PIM Ranges'!$AL22&lt;'PIM Ranges'!$BC$11,"Q4","Q5")))),IF('PIM Ranges'!$AK22='PIM Ranges'!$AY$12,IF('PIM Ranges'!$AL22&lt;'PIM Ranges'!$AZ$12,"Q1",IF('PIM Ranges'!$AL22&lt;'PIM Ranges'!$BA$12,"Q2",IF('PIM Ranges'!$AL22&lt;'PIM Ranges'!$BB$12,"Q3",IF('PIM Ranges'!$AL22&lt;'PIM Ranges'!$BC$12,"Q4","Q5")))),IF('PIM Ranges'!$AK22='PIM Ranges'!$AY$13,IF('PIM Ranges'!$AL22&lt;'PIM Ranges'!$AZ$13,"Q1",IF('PIM Ranges'!$AL22&lt;'PIM Ranges'!$BA$13,"Q2",IF('PIM Ranges'!$AL22&lt;'PIM Ranges'!$BB$13,"Q3",IF('PIM Ranges'!$AL22&lt;'PIM Ranges'!$BC$13,"Q4","Q5")))),IF('PIM Ranges'!$AK22='PIM Ranges'!$AY$14,IF('PIM Ranges'!$AL22&lt;'PIM Ranges'!$AZ$14,"Q1",IF('PIM Ranges'!$AL22&lt;'PIM Ranges'!$BA$14,"Q2",IF('PIM Ranges'!$AL22&lt;'PIM Ranges'!$BB$14,"Q3",IF('PIM Ranges'!$AL22&lt;'PIM Ranges'!$BC$14,"Q4","Q5")))),IF('PIM Ranges'!$AK22='PIM Ranges'!$AY$15,IF('PIM Ranges'!$AL22&lt;'PIM Ranges'!$AZ$15,"Q1",IF('PIM Ranges'!$AL22&lt;'PIM Ranges'!$BA$15,"Q2",IF('PIM Ranges'!$AL22&lt;'PIM Ranges'!$BB$15,"Q3",IF('PIM Ranges'!$AL22&lt;'PIM Ranges'!$BC$15,"Q4","Q5")))),IF('PIM Ranges'!$AK22='PIM Ranges'!$AY$16,IF('PIM Ranges'!$AL22&lt;'PIM Ranges'!$AZ$16,"Q1",IF('PIM Ranges'!$AL22&lt;'PIM Ranges'!$BA$16,"Q2",IF('PIM Ranges'!$AL22&lt;'PIM Ranges'!$BB$16,"Q3",IF('PIM Ranges'!$AL22&lt;'PIM Ranges'!$BC$16,"Q4","Q5")))),IF('PIM Ranges'!$AK22='PIM Ranges'!$AY$17,IF('PIM Ranges'!$AL22&lt;'PIM Ranges'!$AZ$17,"Q1",IF('PIM Ranges'!$AL22&lt;'PIM Ranges'!$BA$17,"Q2",IF('PIM Ranges'!$AL22&lt;'PIM Ranges'!$BB$17,"Q3",IF('PIM Ranges'!$AL22&lt;'PIM Ranges'!$BC$17,"Q4","Q5")))),IF('PIM Ranges'!$AK22='PIM Ranges'!$AY$18,IF('PIM Ranges'!$AL22&lt;'PIM Ranges'!$AZ$18,"Q1",IF('PIM Ranges'!$AL22&lt;'PIM Ranges'!$BA$18,"Q2",IF('PIM Ranges'!$AL22&lt;'PIM Ranges'!$BB$18,"Q3",IF('PIM Ranges'!$AL22&lt;'PIM Ranges'!$BC$18,"Q4","Q5")))),IF('PIM Ranges'!$AK22='PIM Ranges'!$AY$19,IF('PIM Ranges'!$AL22&lt;'PIM Ranges'!$AZ$19,"Q1",IF('PIM Ranges'!$AL22&lt;'PIM Ranges'!$BA$19,"Q2",IF('PIM Ranges'!$AL22&lt;'PIM Ranges'!$BB$19,"Q3",IF('PIM Ranges'!$AL22&lt;'PIM Ranges'!$BC$19,"Q4","Q5")))),IF('PIM Ranges'!$AK22='PIM Ranges'!$AY$20,IF('PIM Ranges'!$AL22&lt;'PIM Ranges'!$AZ$20,"Q1",IF('PIM Ranges'!$AL22&lt;'PIM Ranges'!$BA$20,"Q2",IF('PIM Ranges'!$AL22&lt;'PIM Ranges'!$BB$20,"Q3",IF('PIM Ranges'!$AL22&lt;'PIM Ranges'!$BC$20,"Q4","Q5")))),IF('PIM Ranges'!$AK22='PIM Ranges'!$AY$21,IF('PIM Ranges'!$AL22&lt;'PIM Ranges'!$AZ$21,"Q1",IF('PIM Ranges'!$AL22&lt;'PIM Ranges'!$BA$21,"Q2",IF('PIM Ranges'!$AL22&lt;'PIM Ranges'!$BB$21,"Q3",IF('PIM Ranges'!$AL22&lt;'PIM Ranges'!$BC$21,"Q4","Q5")))),IF('PIM Ranges'!$AK22='PIM Ranges'!$AY$22,IF('PIM Ranges'!$AL22&lt;'PIM Ranges'!$AZ$22,"Q1",IF('PIM Ranges'!$AL22&lt;'PIM Ranges'!$BA$22,"Q2",IF('PIM Ranges'!$AL22&lt;'PIM Ranges'!$BB$22,"Q3",IF('PIM Ranges'!$AL22&lt;'PIM Ranges'!$BC$22,"Q4","Q5")))),IF('PIM Ranges'!$AK22='PIM Ranges'!$AY$23,IF('PIM Ranges'!$AL22&lt;'PIM Ranges'!$AZ$23,"Q1",IF('PIM Ranges'!$AL22&lt;'PIM Ranges'!$BA$23,"Q2",IF('PIM Ranges'!$AL22&lt;'PIM Ranges'!$BB$23,"Q3",IF('PIM Ranges'!$AL22&lt;'PIM Ranges'!$BC$23,"Q4","Q5")))),IF('PIM Ranges'!$AK22='PIM Ranges'!$AY$24,IF('PIM Ranges'!$AL22&lt;'PIM Ranges'!$AZ$24,"Q1",IF('PIM Ranges'!$AL22&lt;'PIM Ranges'!$BA$24,"Q2",IF('PIM Ranges'!$AL22&lt;'PIM Ranges'!$BB$24,"Q3",IF('PIM Ranges'!$AL22&lt;'PIM Ranges'!$BC$24,"Q4","Q5")))),IF('PIM Ranges'!$AK22='PIM Ranges'!$AY$25,IF('PIM Ranges'!$AL22&lt;'PIM Ranges'!$AZ$25,"Q1",IF('PIM Ranges'!$AL22&lt;'PIM Ranges'!$BA$25,"Q2",IF('PIM Ranges'!$AL22&lt;'PIM Ranges'!$BB$25,"Q3",IF('PIM Ranges'!$AL22&lt;'PIM Ranges'!$BC$25,"Q4","Q5")))),IF('PIM Ranges'!$AK22='PIM Ranges'!$AY$26,IF('PIM Ranges'!$AL22&lt;'PIM Ranges'!$AZ$26,"Q1",IF('PIM Ranges'!$AL22&lt;'PIM Ranges'!$BA$26,"Q2",IF('PIM Ranges'!$AL22&lt;'PIM Ranges'!$BB$26,"Q3",IF('PIM Ranges'!$AL22&lt;'PIM Ranges'!$BC$26,"Q4","Q5")))),IF('PIM Ranges'!$AK22='PIM Ranges'!$AY$27,IF('PIM Ranges'!$AL22&lt;'PIM Ranges'!$AZ$27,"Q1",IF('PIM Ranges'!$AL22&lt;'PIM Ranges'!$BA$27,"Q2",IF('PIM Ranges'!$AL22&lt;'PIM Ranges'!$BB$27,"Q3",IF('PIM Ranges'!$AL22&lt;'PIM Ranges'!$BC$27,"Q4","Q5")))),IF('PIM Ranges'!$AK22='PIM Ranges'!$AY$28,IF('PIM Ranges'!$AL22&lt;'PIM Ranges'!$AZ$28,"Q1",IF('PIM Ranges'!$AL22&lt;'PIM Ranges'!$BA$28,"Q2",IF('PIM Ranges'!$AL22&lt;'PIM Ranges'!$BB$28,"Q3",IF('PIM Ranges'!$AL22&lt;'PIM Ranges'!$BC$28,"Q4","Q5")))),IF('PIM Ranges'!$AK22='PIM Ranges'!$AY$29,IF('PIM Ranges'!$AL22&lt;'PIM Ranges'!$AZ$29,"Q1",IF('PIM Ranges'!$AL22&lt;'PIM Ranges'!$BA$29,"Q2",IF('PIM Ranges'!$AL22&lt;'PIM Ranges'!$BB$29,"Q3",IF('PIM Ranges'!$AL22&lt;'PIM Ranges'!$BC$29,"Q4","Q5")))),IF('PIM Ranges'!$AK22='PIM Ranges'!$AY$30,IF('PIM Ranges'!$AL22&lt;'PIM Ranges'!$AZ$30,"Q1",IF('PIM Ranges'!$AL22&lt;'PIM Ranges'!$BA$30,"Q2",IF('PIM Ranges'!$AL22&lt;'PIM Ranges'!$BB$30,"Q3",IF('PIM Ranges'!$AL22&lt;'PIM Ranges'!$BC$30,"Q4","Q5")))),IF('PIM Ranges'!$AK22='PIM Ranges'!$AY$31,IF('PIM Ranges'!$AL22&lt;'PIM Ranges'!$AZ$31,"Q1",IF('PIM Ranges'!$AL22&lt;'PIM Ranges'!$BA$31,"Q2",IF('PIM Ranges'!$AL22&lt;'PIM Ranges'!$BB$31,"Q3",IF('PIM Ranges'!$AL22&lt;'PIM Ranges'!$BC$31,"Q4","Q5")))),IF('PIM Ranges'!$AK22='PIM Ranges'!$AY$32,IF('PIM Ranges'!$AL22&lt;'PIM Ranges'!$AZ$32,"Q1",IF('PIM Ranges'!$AL22&lt;'PIM Ranges'!$BA$32,"Q2",IF('PIM Ranges'!$AL22&lt;'PIM Ranges'!$BB$32,"Q3",IF('PIM Ranges'!$AL22&lt;'PIM Ranges'!$BC$32,"Q4","Q5"))))))))))))))))))))))))))</f>
        <v>Q1</v>
      </c>
      <c r="AX22" s="393"/>
      <c r="AY22" s="52" t="s">
        <v>97</v>
      </c>
      <c r="AZ22" s="394">
        <v>26250</v>
      </c>
      <c r="BA22" s="394">
        <v>37715</v>
      </c>
      <c r="BB22" s="394">
        <v>54986</v>
      </c>
      <c r="BC22" s="394">
        <v>98006</v>
      </c>
      <c r="BF22" s="52" t="s">
        <v>97</v>
      </c>
      <c r="BG22" s="394">
        <v>34732</v>
      </c>
      <c r="BH22" s="394">
        <v>78310</v>
      </c>
      <c r="BI22" s="394">
        <v>203159</v>
      </c>
      <c r="BJ22" s="394">
        <v>451886</v>
      </c>
    </row>
    <row r="23" spans="1:62" x14ac:dyDescent="0.25">
      <c r="A23" s="870">
        <f t="shared" si="12"/>
        <v>0</v>
      </c>
      <c r="B23">
        <v>14</v>
      </c>
      <c r="C23" t="s">
        <v>93</v>
      </c>
      <c r="D23" s="25">
        <f>'Multi-Customer'!C25</f>
        <v>0</v>
      </c>
      <c r="E23">
        <f>'Multi-Customer'!D25</f>
        <v>0</v>
      </c>
      <c r="F23">
        <f>'Multi-Customer'!E25</f>
        <v>0</v>
      </c>
      <c r="G23" s="274">
        <f>'Multi-Customer'!F25</f>
        <v>0</v>
      </c>
      <c r="H23" s="19">
        <f t="shared" si="13"/>
        <v>0</v>
      </c>
      <c r="I23" s="19">
        <f t="shared" si="14"/>
        <v>0</v>
      </c>
      <c r="J23" s="274"/>
      <c r="K23" s="274" t="str">
        <f>'PIM Model'!E21</f>
        <v>INCLUDE</v>
      </c>
      <c r="L23" s="274">
        <f t="shared" si="15"/>
        <v>0</v>
      </c>
      <c r="M23">
        <v>14</v>
      </c>
      <c r="N23" s="274" t="s">
        <v>93</v>
      </c>
      <c r="O23" s="274">
        <f t="shared" si="16"/>
        <v>0</v>
      </c>
      <c r="P23" s="274">
        <f t="shared" si="0"/>
        <v>0</v>
      </c>
      <c r="Q23" s="274">
        <f t="shared" si="17"/>
        <v>0</v>
      </c>
      <c r="R23" s="274">
        <f t="shared" si="1"/>
        <v>0</v>
      </c>
      <c r="S23" s="274">
        <f t="shared" si="18"/>
        <v>0</v>
      </c>
      <c r="T23" s="19">
        <f t="shared" si="19"/>
        <v>0</v>
      </c>
      <c r="U23" s="19"/>
      <c r="V23" s="2">
        <f>'PIM Model'!$C$21</f>
        <v>0</v>
      </c>
      <c r="W23" s="498">
        <f>IFERROR('Multi-Customer'!R25,0)</f>
        <v>0</v>
      </c>
      <c r="X23" s="19">
        <f t="shared" si="2"/>
        <v>0</v>
      </c>
      <c r="Y23" s="274">
        <f t="shared" si="20"/>
        <v>0</v>
      </c>
      <c r="Z23" s="274">
        <f t="shared" si="21"/>
        <v>0</v>
      </c>
      <c r="AA23" s="274">
        <f t="shared" si="22"/>
        <v>0</v>
      </c>
      <c r="AB23" s="499">
        <f t="shared" si="23"/>
        <v>0</v>
      </c>
      <c r="AC23" s="499">
        <f t="shared" si="3"/>
        <v>0</v>
      </c>
      <c r="AD23" s="274">
        <f t="shared" si="24"/>
        <v>0</v>
      </c>
      <c r="AE23" s="274"/>
      <c r="AF23" s="274">
        <f t="shared" si="4"/>
        <v>0</v>
      </c>
      <c r="AG23" s="39">
        <f>'PIM Model'!B21</f>
        <v>0</v>
      </c>
      <c r="AH23" s="361">
        <f t="shared" si="5"/>
        <v>0</v>
      </c>
      <c r="AI23" s="361">
        <f t="shared" si="25"/>
        <v>0</v>
      </c>
      <c r="AJ23">
        <v>14</v>
      </c>
      <c r="AK23" s="362" t="s">
        <v>93</v>
      </c>
      <c r="AL23" s="362">
        <f t="shared" si="6"/>
        <v>0</v>
      </c>
      <c r="AM23" s="362">
        <f t="shared" si="7"/>
        <v>0</v>
      </c>
      <c r="AN23" s="362">
        <f t="shared" si="8"/>
        <v>0</v>
      </c>
      <c r="AO23" s="363">
        <f t="shared" si="9"/>
        <v>0</v>
      </c>
      <c r="AP23" s="363">
        <f t="shared" si="10"/>
        <v>0</v>
      </c>
      <c r="AQ23" s="363">
        <f>IF('Multi-Customer'!C25=0,'Multi-Customer'!U25,'Multi-Customer'!T25)*AL23</f>
        <v>0</v>
      </c>
      <c r="AR23" s="363">
        <f>IF('Multi-Customer'!C25=0,'Multi-Customer'!W25,'Multi-Customer'!V25)*AL23</f>
        <v>0</v>
      </c>
      <c r="AS23" s="1" t="str">
        <f t="shared" si="11"/>
        <v>Q1</v>
      </c>
      <c r="AT23" s="1" t="str">
        <f>IF('PIM Ranges'!$AK23='PIM Ranges'!$AY$11,IF('PIM Ranges'!$AL23&lt;'PIM Ranges'!$AZ$11,"Q1",IF('PIM Ranges'!$AL23&lt;'PIM Ranges'!$BA$11,"Q2",IF('PIM Ranges'!$AL23&lt;'PIM Ranges'!$BB$11,"Q3",IF('PIM Ranges'!$AL23&lt;'PIM Ranges'!$BC$11,"Q4","Q5")))),IF('PIM Ranges'!$AK23='PIM Ranges'!$AY$12,IF('PIM Ranges'!$AL23&lt;'PIM Ranges'!$AZ$12,"Q1",IF('PIM Ranges'!$AL23&lt;'PIM Ranges'!$BA$12,"Q2",IF('PIM Ranges'!$AL23&lt;'PIM Ranges'!$BB$12,"Q3",IF('PIM Ranges'!$AL23&lt;'PIM Ranges'!$BC$12,"Q4","Q5")))),IF('PIM Ranges'!$AK23='PIM Ranges'!$AY$13,IF('PIM Ranges'!$AL23&lt;'PIM Ranges'!$AZ$13,"Q1",IF('PIM Ranges'!$AL23&lt;'PIM Ranges'!$BA$13,"Q2",IF('PIM Ranges'!$AL23&lt;'PIM Ranges'!$BB$13,"Q3",IF('PIM Ranges'!$AL23&lt;'PIM Ranges'!$BC$13,"Q4","Q5")))),IF('PIM Ranges'!$AK23='PIM Ranges'!$AY$14,IF('PIM Ranges'!$AL23&lt;'PIM Ranges'!$AZ$14,"Q1",IF('PIM Ranges'!$AL23&lt;'PIM Ranges'!$BA$14,"Q2",IF('PIM Ranges'!$AL23&lt;'PIM Ranges'!$BB$14,"Q3",IF('PIM Ranges'!$AL23&lt;'PIM Ranges'!$BC$14,"Q4","Q5")))),IF('PIM Ranges'!$AK23='PIM Ranges'!$AY$15,IF('PIM Ranges'!$AL23&lt;'PIM Ranges'!$AZ$15,"Q1",IF('PIM Ranges'!$AL23&lt;'PIM Ranges'!$BA$15,"Q2",IF('PIM Ranges'!$AL23&lt;'PIM Ranges'!$BB$15,"Q3",IF('PIM Ranges'!$AL23&lt;'PIM Ranges'!$BC$15,"Q4","Q5")))),IF('PIM Ranges'!$AK23='PIM Ranges'!$AY$16,IF('PIM Ranges'!$AL23&lt;'PIM Ranges'!$AZ$16,"Q1",IF('PIM Ranges'!$AL23&lt;'PIM Ranges'!$BA$16,"Q2",IF('PIM Ranges'!$AL23&lt;'PIM Ranges'!$BB$16,"Q3",IF('PIM Ranges'!$AL23&lt;'PIM Ranges'!$BC$16,"Q4","Q5")))),IF('PIM Ranges'!$AK23='PIM Ranges'!$AY$17,IF('PIM Ranges'!$AL23&lt;'PIM Ranges'!$AZ$17,"Q1",IF('PIM Ranges'!$AL23&lt;'PIM Ranges'!$BA$17,"Q2",IF('PIM Ranges'!$AL23&lt;'PIM Ranges'!$BB$17,"Q3",IF('PIM Ranges'!$AL23&lt;'PIM Ranges'!$BC$17,"Q4","Q5")))),IF('PIM Ranges'!$AK23='PIM Ranges'!$AY$18,IF('PIM Ranges'!$AL23&lt;'PIM Ranges'!$AZ$18,"Q1",IF('PIM Ranges'!$AL23&lt;'PIM Ranges'!$BA$18,"Q2",IF('PIM Ranges'!$AL23&lt;'PIM Ranges'!$BB$18,"Q3",IF('PIM Ranges'!$AL23&lt;'PIM Ranges'!$BC$18,"Q4","Q5")))),IF('PIM Ranges'!$AK23='PIM Ranges'!$AY$19,IF('PIM Ranges'!$AL23&lt;'PIM Ranges'!$AZ$19,"Q1",IF('PIM Ranges'!$AL23&lt;'PIM Ranges'!$BA$19,"Q2",IF('PIM Ranges'!$AL23&lt;'PIM Ranges'!$BB$19,"Q3",IF('PIM Ranges'!$AL23&lt;'PIM Ranges'!$BC$19,"Q4","Q5")))),IF('PIM Ranges'!$AK23='PIM Ranges'!$AY$20,IF('PIM Ranges'!$AL23&lt;'PIM Ranges'!$AZ$20,"Q1",IF('PIM Ranges'!$AL23&lt;'PIM Ranges'!$BA$20,"Q2",IF('PIM Ranges'!$AL23&lt;'PIM Ranges'!$BB$20,"Q3",IF('PIM Ranges'!$AL23&lt;'PIM Ranges'!$BC$20,"Q4","Q5")))),IF('PIM Ranges'!$AK23='PIM Ranges'!$AY$21,IF('PIM Ranges'!$AL23&lt;'PIM Ranges'!$AZ$21,"Q1",IF('PIM Ranges'!$AL23&lt;'PIM Ranges'!$BA$21,"Q2",IF('PIM Ranges'!$AL23&lt;'PIM Ranges'!$BB$21,"Q3",IF('PIM Ranges'!$AL23&lt;'PIM Ranges'!$BC$21,"Q4","Q5")))),IF('PIM Ranges'!$AK23='PIM Ranges'!$AY$22,IF('PIM Ranges'!$AL23&lt;'PIM Ranges'!$AZ$22,"Q1",IF('PIM Ranges'!$AL23&lt;'PIM Ranges'!$BA$22,"Q2",IF('PIM Ranges'!$AL23&lt;'PIM Ranges'!$BB$22,"Q3",IF('PIM Ranges'!$AL23&lt;'PIM Ranges'!$BC$22,"Q4","Q5")))),IF('PIM Ranges'!$AK23='PIM Ranges'!$AY$23,IF('PIM Ranges'!$AL23&lt;'PIM Ranges'!$AZ$23,"Q1",IF('PIM Ranges'!$AL23&lt;'PIM Ranges'!$BA$23,"Q2",IF('PIM Ranges'!$AL23&lt;'PIM Ranges'!$BB$23,"Q3",IF('PIM Ranges'!$AL23&lt;'PIM Ranges'!$BC$23,"Q4","Q5")))),IF('PIM Ranges'!$AK23='PIM Ranges'!$AY$24,IF('PIM Ranges'!$AL23&lt;'PIM Ranges'!$AZ$24,"Q1",IF('PIM Ranges'!$AL23&lt;'PIM Ranges'!$BA$24,"Q2",IF('PIM Ranges'!$AL23&lt;'PIM Ranges'!$BB$24,"Q3",IF('PIM Ranges'!$AL23&lt;'PIM Ranges'!$BC$24,"Q4","Q5")))),IF('PIM Ranges'!$AK23='PIM Ranges'!$AY$25,IF('PIM Ranges'!$AL23&lt;'PIM Ranges'!$AZ$25,"Q1",IF('PIM Ranges'!$AL23&lt;'PIM Ranges'!$BA$25,"Q2",IF('PIM Ranges'!$AL23&lt;'PIM Ranges'!$BB$25,"Q3",IF('PIM Ranges'!$AL23&lt;'PIM Ranges'!$BC$25,"Q4","Q5")))),IF('PIM Ranges'!$AK23='PIM Ranges'!$AY$26,IF('PIM Ranges'!$AL23&lt;'PIM Ranges'!$AZ$26,"Q1",IF('PIM Ranges'!$AL23&lt;'PIM Ranges'!$BA$26,"Q2",IF('PIM Ranges'!$AL23&lt;'PIM Ranges'!$BB$26,"Q3",IF('PIM Ranges'!$AL23&lt;'PIM Ranges'!$BC$26,"Q4","Q5")))),IF('PIM Ranges'!$AK23='PIM Ranges'!$AY$27,IF('PIM Ranges'!$AL23&lt;'PIM Ranges'!$AZ$27,"Q1",IF('PIM Ranges'!$AL23&lt;'PIM Ranges'!$BA$27,"Q2",IF('PIM Ranges'!$AL23&lt;'PIM Ranges'!$BB$27,"Q3",IF('PIM Ranges'!$AL23&lt;'PIM Ranges'!$BC$27,"Q4","Q5")))),IF('PIM Ranges'!$AK23='PIM Ranges'!$AY$28,IF('PIM Ranges'!$AL23&lt;'PIM Ranges'!$AZ$28,"Q1",IF('PIM Ranges'!$AL23&lt;'PIM Ranges'!$BA$28,"Q2",IF('PIM Ranges'!$AL23&lt;'PIM Ranges'!$BB$28,"Q3",IF('PIM Ranges'!$AL23&lt;'PIM Ranges'!$BC$28,"Q4","Q5")))),IF('PIM Ranges'!$AK23='PIM Ranges'!$AY$29,IF('PIM Ranges'!$AL23&lt;'PIM Ranges'!$AZ$29,"Q1",IF('PIM Ranges'!$AL23&lt;'PIM Ranges'!$BA$29,"Q2",IF('PIM Ranges'!$AL23&lt;'PIM Ranges'!$BB$29,"Q3",IF('PIM Ranges'!$AL23&lt;'PIM Ranges'!$BC$29,"Q4","Q5")))),IF('PIM Ranges'!$AK23='PIM Ranges'!$AY$30,IF('PIM Ranges'!$AL23&lt;'PIM Ranges'!$AZ$30,"Q1",IF('PIM Ranges'!$AL23&lt;'PIM Ranges'!$BA$30,"Q2",IF('PIM Ranges'!$AL23&lt;'PIM Ranges'!$BB$30,"Q3",IF('PIM Ranges'!$AL23&lt;'PIM Ranges'!$BC$30,"Q4","Q5")))),IF('PIM Ranges'!$AK23='PIM Ranges'!$AY$31,IF('PIM Ranges'!$AL23&lt;'PIM Ranges'!$AZ$31,"Q1",IF('PIM Ranges'!$AL23&lt;'PIM Ranges'!$BA$31,"Q2",IF('PIM Ranges'!$AL23&lt;'PIM Ranges'!$BB$31,"Q3",IF('PIM Ranges'!$AL23&lt;'PIM Ranges'!$BC$31,"Q4","Q5")))),IF('PIM Ranges'!$AK23='PIM Ranges'!$AY$32,IF('PIM Ranges'!$AL23&lt;'PIM Ranges'!$AZ$32,"Q1",IF('PIM Ranges'!$AL23&lt;'PIM Ranges'!$BA$32,"Q2",IF('PIM Ranges'!$AL23&lt;'PIM Ranges'!$BB$32,"Q3",IF('PIM Ranges'!$AL23&lt;'PIM Ranges'!$BC$32,"Q4","Q5"))))))))))))))))))))))))))</f>
        <v>Q1</v>
      </c>
      <c r="AX23" s="393"/>
      <c r="AY23" s="52" t="s">
        <v>93</v>
      </c>
      <c r="AZ23" s="394">
        <v>9242</v>
      </c>
      <c r="BA23" s="394">
        <v>18705</v>
      </c>
      <c r="BB23" s="394">
        <v>31626</v>
      </c>
      <c r="BC23" s="394">
        <v>65192</v>
      </c>
      <c r="BF23" s="52" t="s">
        <v>93</v>
      </c>
      <c r="BG23" s="394">
        <v>19767</v>
      </c>
      <c r="BH23" s="394">
        <v>50065</v>
      </c>
      <c r="BI23" s="394">
        <v>124322</v>
      </c>
      <c r="BJ23" s="394">
        <v>278212</v>
      </c>
    </row>
    <row r="24" spans="1:62" x14ac:dyDescent="0.25">
      <c r="A24" s="870">
        <f t="shared" si="12"/>
        <v>0</v>
      </c>
      <c r="B24">
        <v>15</v>
      </c>
      <c r="C24" t="s">
        <v>105</v>
      </c>
      <c r="D24" s="25">
        <f>'Multi-Customer'!C26</f>
        <v>0</v>
      </c>
      <c r="E24">
        <f>'Multi-Customer'!D26</f>
        <v>0</v>
      </c>
      <c r="F24">
        <f>'Multi-Customer'!E26</f>
        <v>0</v>
      </c>
      <c r="G24" s="274">
        <f>'Multi-Customer'!F26</f>
        <v>0</v>
      </c>
      <c r="H24" s="19">
        <f t="shared" si="13"/>
        <v>0</v>
      </c>
      <c r="I24" s="19">
        <f t="shared" si="14"/>
        <v>0</v>
      </c>
      <c r="J24" s="274"/>
      <c r="K24" s="274" t="str">
        <f>'PIM Model'!E22</f>
        <v>INCLUDE</v>
      </c>
      <c r="L24" s="274">
        <f t="shared" si="15"/>
        <v>0</v>
      </c>
      <c r="M24">
        <v>15</v>
      </c>
      <c r="N24" s="274" t="s">
        <v>105</v>
      </c>
      <c r="O24" s="274">
        <f t="shared" si="16"/>
        <v>0</v>
      </c>
      <c r="P24" s="274">
        <f t="shared" si="0"/>
        <v>0</v>
      </c>
      <c r="Q24" s="274">
        <f t="shared" si="17"/>
        <v>0</v>
      </c>
      <c r="R24" s="274">
        <f t="shared" si="1"/>
        <v>0</v>
      </c>
      <c r="S24" s="274">
        <f t="shared" si="18"/>
        <v>0</v>
      </c>
      <c r="T24" s="19">
        <f t="shared" si="19"/>
        <v>0</v>
      </c>
      <c r="U24" s="19"/>
      <c r="V24" s="2">
        <f>'PIM Model'!$C$22</f>
        <v>0</v>
      </c>
      <c r="W24" s="498">
        <f>IFERROR('Multi-Customer'!R26,0)</f>
        <v>0</v>
      </c>
      <c r="X24" s="19">
        <f t="shared" si="2"/>
        <v>0</v>
      </c>
      <c r="Y24" s="274">
        <f t="shared" si="20"/>
        <v>0</v>
      </c>
      <c r="Z24" s="274">
        <f t="shared" si="21"/>
        <v>0</v>
      </c>
      <c r="AA24" s="274">
        <f t="shared" si="22"/>
        <v>0</v>
      </c>
      <c r="AB24" s="499">
        <f t="shared" si="23"/>
        <v>0</v>
      </c>
      <c r="AC24" s="499">
        <f t="shared" si="3"/>
        <v>0</v>
      </c>
      <c r="AD24" s="274">
        <f t="shared" si="24"/>
        <v>0</v>
      </c>
      <c r="AE24" s="274"/>
      <c r="AF24" s="274">
        <f t="shared" si="4"/>
        <v>0</v>
      </c>
      <c r="AG24" s="39">
        <f>'PIM Model'!B22</f>
        <v>0</v>
      </c>
      <c r="AH24" s="361">
        <f t="shared" si="5"/>
        <v>0</v>
      </c>
      <c r="AI24" s="361">
        <f t="shared" si="25"/>
        <v>0</v>
      </c>
      <c r="AJ24">
        <v>15</v>
      </c>
      <c r="AK24" s="362" t="s">
        <v>105</v>
      </c>
      <c r="AL24" s="362">
        <f t="shared" si="6"/>
        <v>0</v>
      </c>
      <c r="AM24" s="362">
        <f t="shared" si="7"/>
        <v>0</v>
      </c>
      <c r="AN24" s="362">
        <f t="shared" si="8"/>
        <v>0</v>
      </c>
      <c r="AO24" s="363">
        <f t="shared" si="9"/>
        <v>0</v>
      </c>
      <c r="AP24" s="363">
        <f t="shared" si="10"/>
        <v>0</v>
      </c>
      <c r="AQ24" s="363">
        <f>IF('Multi-Customer'!C26=0,'Multi-Customer'!U26,'Multi-Customer'!T26)*AL24</f>
        <v>0</v>
      </c>
      <c r="AR24" s="363">
        <f>IF('Multi-Customer'!C26=0,'Multi-Customer'!W26,'Multi-Customer'!V26)*AL24</f>
        <v>0</v>
      </c>
      <c r="AS24" s="1" t="str">
        <f t="shared" si="11"/>
        <v>Q1</v>
      </c>
      <c r="AT24" s="1" t="str">
        <f>IF('PIM Ranges'!$AK24='PIM Ranges'!$AY$11,IF('PIM Ranges'!$AL24&lt;'PIM Ranges'!$AZ$11,"Q1",IF('PIM Ranges'!$AL24&lt;'PIM Ranges'!$BA$11,"Q2",IF('PIM Ranges'!$AL24&lt;'PIM Ranges'!$BB$11,"Q3",IF('PIM Ranges'!$AL24&lt;'PIM Ranges'!$BC$11,"Q4","Q5")))),IF('PIM Ranges'!$AK24='PIM Ranges'!$AY$12,IF('PIM Ranges'!$AL24&lt;'PIM Ranges'!$AZ$12,"Q1",IF('PIM Ranges'!$AL24&lt;'PIM Ranges'!$BA$12,"Q2",IF('PIM Ranges'!$AL24&lt;'PIM Ranges'!$BB$12,"Q3",IF('PIM Ranges'!$AL24&lt;'PIM Ranges'!$BC$12,"Q4","Q5")))),IF('PIM Ranges'!$AK24='PIM Ranges'!$AY$13,IF('PIM Ranges'!$AL24&lt;'PIM Ranges'!$AZ$13,"Q1",IF('PIM Ranges'!$AL24&lt;'PIM Ranges'!$BA$13,"Q2",IF('PIM Ranges'!$AL24&lt;'PIM Ranges'!$BB$13,"Q3",IF('PIM Ranges'!$AL24&lt;'PIM Ranges'!$BC$13,"Q4","Q5")))),IF('PIM Ranges'!$AK24='PIM Ranges'!$AY$14,IF('PIM Ranges'!$AL24&lt;'PIM Ranges'!$AZ$14,"Q1",IF('PIM Ranges'!$AL24&lt;'PIM Ranges'!$BA$14,"Q2",IF('PIM Ranges'!$AL24&lt;'PIM Ranges'!$BB$14,"Q3",IF('PIM Ranges'!$AL24&lt;'PIM Ranges'!$BC$14,"Q4","Q5")))),IF('PIM Ranges'!$AK24='PIM Ranges'!$AY$15,IF('PIM Ranges'!$AL24&lt;'PIM Ranges'!$AZ$15,"Q1",IF('PIM Ranges'!$AL24&lt;'PIM Ranges'!$BA$15,"Q2",IF('PIM Ranges'!$AL24&lt;'PIM Ranges'!$BB$15,"Q3",IF('PIM Ranges'!$AL24&lt;'PIM Ranges'!$BC$15,"Q4","Q5")))),IF('PIM Ranges'!$AK24='PIM Ranges'!$AY$16,IF('PIM Ranges'!$AL24&lt;'PIM Ranges'!$AZ$16,"Q1",IF('PIM Ranges'!$AL24&lt;'PIM Ranges'!$BA$16,"Q2",IF('PIM Ranges'!$AL24&lt;'PIM Ranges'!$BB$16,"Q3",IF('PIM Ranges'!$AL24&lt;'PIM Ranges'!$BC$16,"Q4","Q5")))),IF('PIM Ranges'!$AK24='PIM Ranges'!$AY$17,IF('PIM Ranges'!$AL24&lt;'PIM Ranges'!$AZ$17,"Q1",IF('PIM Ranges'!$AL24&lt;'PIM Ranges'!$BA$17,"Q2",IF('PIM Ranges'!$AL24&lt;'PIM Ranges'!$BB$17,"Q3",IF('PIM Ranges'!$AL24&lt;'PIM Ranges'!$BC$17,"Q4","Q5")))),IF('PIM Ranges'!$AK24='PIM Ranges'!$AY$18,IF('PIM Ranges'!$AL24&lt;'PIM Ranges'!$AZ$18,"Q1",IF('PIM Ranges'!$AL24&lt;'PIM Ranges'!$BA$18,"Q2",IF('PIM Ranges'!$AL24&lt;'PIM Ranges'!$BB$18,"Q3",IF('PIM Ranges'!$AL24&lt;'PIM Ranges'!$BC$18,"Q4","Q5")))),IF('PIM Ranges'!$AK24='PIM Ranges'!$AY$19,IF('PIM Ranges'!$AL24&lt;'PIM Ranges'!$AZ$19,"Q1",IF('PIM Ranges'!$AL24&lt;'PIM Ranges'!$BA$19,"Q2",IF('PIM Ranges'!$AL24&lt;'PIM Ranges'!$BB$19,"Q3",IF('PIM Ranges'!$AL24&lt;'PIM Ranges'!$BC$19,"Q4","Q5")))),IF('PIM Ranges'!$AK24='PIM Ranges'!$AY$20,IF('PIM Ranges'!$AL24&lt;'PIM Ranges'!$AZ$20,"Q1",IF('PIM Ranges'!$AL24&lt;'PIM Ranges'!$BA$20,"Q2",IF('PIM Ranges'!$AL24&lt;'PIM Ranges'!$BB$20,"Q3",IF('PIM Ranges'!$AL24&lt;'PIM Ranges'!$BC$20,"Q4","Q5")))),IF('PIM Ranges'!$AK24='PIM Ranges'!$AY$21,IF('PIM Ranges'!$AL24&lt;'PIM Ranges'!$AZ$21,"Q1",IF('PIM Ranges'!$AL24&lt;'PIM Ranges'!$BA$21,"Q2",IF('PIM Ranges'!$AL24&lt;'PIM Ranges'!$BB$21,"Q3",IF('PIM Ranges'!$AL24&lt;'PIM Ranges'!$BC$21,"Q4","Q5")))),IF('PIM Ranges'!$AK24='PIM Ranges'!$AY$22,IF('PIM Ranges'!$AL24&lt;'PIM Ranges'!$AZ$22,"Q1",IF('PIM Ranges'!$AL24&lt;'PIM Ranges'!$BA$22,"Q2",IF('PIM Ranges'!$AL24&lt;'PIM Ranges'!$BB$22,"Q3",IF('PIM Ranges'!$AL24&lt;'PIM Ranges'!$BC$22,"Q4","Q5")))),IF('PIM Ranges'!$AK24='PIM Ranges'!$AY$23,IF('PIM Ranges'!$AL24&lt;'PIM Ranges'!$AZ$23,"Q1",IF('PIM Ranges'!$AL24&lt;'PIM Ranges'!$BA$23,"Q2",IF('PIM Ranges'!$AL24&lt;'PIM Ranges'!$BB$23,"Q3",IF('PIM Ranges'!$AL24&lt;'PIM Ranges'!$BC$23,"Q4","Q5")))),IF('PIM Ranges'!$AK24='PIM Ranges'!$AY$24,IF('PIM Ranges'!$AL24&lt;'PIM Ranges'!$AZ$24,"Q1",IF('PIM Ranges'!$AL24&lt;'PIM Ranges'!$BA$24,"Q2",IF('PIM Ranges'!$AL24&lt;'PIM Ranges'!$BB$24,"Q3",IF('PIM Ranges'!$AL24&lt;'PIM Ranges'!$BC$24,"Q4","Q5")))),IF('PIM Ranges'!$AK24='PIM Ranges'!$AY$25,IF('PIM Ranges'!$AL24&lt;'PIM Ranges'!$AZ$25,"Q1",IF('PIM Ranges'!$AL24&lt;'PIM Ranges'!$BA$25,"Q2",IF('PIM Ranges'!$AL24&lt;'PIM Ranges'!$BB$25,"Q3",IF('PIM Ranges'!$AL24&lt;'PIM Ranges'!$BC$25,"Q4","Q5")))),IF('PIM Ranges'!$AK24='PIM Ranges'!$AY$26,IF('PIM Ranges'!$AL24&lt;'PIM Ranges'!$AZ$26,"Q1",IF('PIM Ranges'!$AL24&lt;'PIM Ranges'!$BA$26,"Q2",IF('PIM Ranges'!$AL24&lt;'PIM Ranges'!$BB$26,"Q3",IF('PIM Ranges'!$AL24&lt;'PIM Ranges'!$BC$26,"Q4","Q5")))),IF('PIM Ranges'!$AK24='PIM Ranges'!$AY$27,IF('PIM Ranges'!$AL24&lt;'PIM Ranges'!$AZ$27,"Q1",IF('PIM Ranges'!$AL24&lt;'PIM Ranges'!$BA$27,"Q2",IF('PIM Ranges'!$AL24&lt;'PIM Ranges'!$BB$27,"Q3",IF('PIM Ranges'!$AL24&lt;'PIM Ranges'!$BC$27,"Q4","Q5")))),IF('PIM Ranges'!$AK24='PIM Ranges'!$AY$28,IF('PIM Ranges'!$AL24&lt;'PIM Ranges'!$AZ$28,"Q1",IF('PIM Ranges'!$AL24&lt;'PIM Ranges'!$BA$28,"Q2",IF('PIM Ranges'!$AL24&lt;'PIM Ranges'!$BB$28,"Q3",IF('PIM Ranges'!$AL24&lt;'PIM Ranges'!$BC$28,"Q4","Q5")))),IF('PIM Ranges'!$AK24='PIM Ranges'!$AY$29,IF('PIM Ranges'!$AL24&lt;'PIM Ranges'!$AZ$29,"Q1",IF('PIM Ranges'!$AL24&lt;'PIM Ranges'!$BA$29,"Q2",IF('PIM Ranges'!$AL24&lt;'PIM Ranges'!$BB$29,"Q3",IF('PIM Ranges'!$AL24&lt;'PIM Ranges'!$BC$29,"Q4","Q5")))),IF('PIM Ranges'!$AK24='PIM Ranges'!$AY$30,IF('PIM Ranges'!$AL24&lt;'PIM Ranges'!$AZ$30,"Q1",IF('PIM Ranges'!$AL24&lt;'PIM Ranges'!$BA$30,"Q2",IF('PIM Ranges'!$AL24&lt;'PIM Ranges'!$BB$30,"Q3",IF('PIM Ranges'!$AL24&lt;'PIM Ranges'!$BC$30,"Q4","Q5")))),IF('PIM Ranges'!$AK24='PIM Ranges'!$AY$31,IF('PIM Ranges'!$AL24&lt;'PIM Ranges'!$AZ$31,"Q1",IF('PIM Ranges'!$AL24&lt;'PIM Ranges'!$BA$31,"Q2",IF('PIM Ranges'!$AL24&lt;'PIM Ranges'!$BB$31,"Q3",IF('PIM Ranges'!$AL24&lt;'PIM Ranges'!$BC$31,"Q4","Q5")))),IF('PIM Ranges'!$AK24='PIM Ranges'!$AY$32,IF('PIM Ranges'!$AL24&lt;'PIM Ranges'!$AZ$32,"Q1",IF('PIM Ranges'!$AL24&lt;'PIM Ranges'!$BA$32,"Q2",IF('PIM Ranges'!$AL24&lt;'PIM Ranges'!$BB$32,"Q3",IF('PIM Ranges'!$AL24&lt;'PIM Ranges'!$BC$32,"Q4","Q5"))))))))))))))))))))))))))</f>
        <v>Q1</v>
      </c>
      <c r="AX24" s="393"/>
      <c r="AY24" s="52" t="s">
        <v>105</v>
      </c>
      <c r="AZ24" s="394">
        <v>142</v>
      </c>
      <c r="BA24" s="394">
        <v>469</v>
      </c>
      <c r="BB24" s="394">
        <v>1089</v>
      </c>
      <c r="BC24" s="394">
        <v>2473</v>
      </c>
      <c r="BF24" s="52" t="s">
        <v>105</v>
      </c>
      <c r="BG24" s="394">
        <v>179</v>
      </c>
      <c r="BH24" s="394">
        <v>732</v>
      </c>
      <c r="BI24" s="394">
        <v>2385</v>
      </c>
      <c r="BJ24" s="394">
        <v>5645</v>
      </c>
    </row>
    <row r="25" spans="1:62" x14ac:dyDescent="0.25">
      <c r="A25" s="870">
        <f t="shared" si="12"/>
        <v>0</v>
      </c>
      <c r="B25">
        <v>16</v>
      </c>
      <c r="C25" t="s">
        <v>92</v>
      </c>
      <c r="D25" s="25">
        <f>'Multi-Customer'!C27</f>
        <v>0</v>
      </c>
      <c r="E25">
        <f>'Multi-Customer'!D27</f>
        <v>0</v>
      </c>
      <c r="F25">
        <f>'Multi-Customer'!E27</f>
        <v>0</v>
      </c>
      <c r="G25" s="274">
        <f>'Multi-Customer'!F27</f>
        <v>0</v>
      </c>
      <c r="H25" s="19">
        <f>IFERROR(D25/E25,0)</f>
        <v>0</v>
      </c>
      <c r="I25" s="19">
        <f>IFERROR(D25/G25,0)</f>
        <v>0</v>
      </c>
      <c r="J25" s="274"/>
      <c r="K25" s="274" t="str">
        <f>'PIM Model'!E23</f>
        <v>INCLUDE</v>
      </c>
      <c r="L25" s="274">
        <f t="shared" si="15"/>
        <v>0</v>
      </c>
      <c r="M25">
        <v>16</v>
      </c>
      <c r="N25" s="274" t="s">
        <v>92</v>
      </c>
      <c r="O25" s="274">
        <f t="shared" si="16"/>
        <v>0</v>
      </c>
      <c r="P25" s="274">
        <f t="shared" si="0"/>
        <v>0</v>
      </c>
      <c r="Q25" s="274">
        <f t="shared" si="17"/>
        <v>0</v>
      </c>
      <c r="R25" s="274">
        <f t="shared" si="1"/>
        <v>0</v>
      </c>
      <c r="S25" s="274">
        <f t="shared" si="18"/>
        <v>0</v>
      </c>
      <c r="T25" s="19">
        <f t="shared" si="19"/>
        <v>0</v>
      </c>
      <c r="U25" s="19"/>
      <c r="V25" s="2">
        <f>'PIM Model'!$C$23</f>
        <v>0</v>
      </c>
      <c r="W25" s="498">
        <f>IFERROR('Multi-Customer'!R27,0)</f>
        <v>0</v>
      </c>
      <c r="X25" s="19">
        <f t="shared" si="2"/>
        <v>0</v>
      </c>
      <c r="Y25" s="274">
        <f t="shared" si="20"/>
        <v>0</v>
      </c>
      <c r="Z25" s="274">
        <f t="shared" si="21"/>
        <v>0</v>
      </c>
      <c r="AA25" s="274">
        <f t="shared" si="22"/>
        <v>0</v>
      </c>
      <c r="AB25" s="499">
        <f t="shared" si="23"/>
        <v>0</v>
      </c>
      <c r="AC25" s="499">
        <f t="shared" si="3"/>
        <v>0</v>
      </c>
      <c r="AD25" s="274">
        <f t="shared" si="24"/>
        <v>0</v>
      </c>
      <c r="AE25" s="274"/>
      <c r="AF25" s="274">
        <f t="shared" si="4"/>
        <v>0</v>
      </c>
      <c r="AG25" s="39">
        <f>'PIM Model'!B23</f>
        <v>0</v>
      </c>
      <c r="AH25" s="361">
        <f t="shared" si="5"/>
        <v>0</v>
      </c>
      <c r="AI25" s="361">
        <f t="shared" si="25"/>
        <v>0</v>
      </c>
      <c r="AJ25">
        <v>16</v>
      </c>
      <c r="AK25" s="362" t="s">
        <v>92</v>
      </c>
      <c r="AL25" s="362">
        <f t="shared" si="6"/>
        <v>0</v>
      </c>
      <c r="AM25" s="362">
        <f t="shared" si="7"/>
        <v>0</v>
      </c>
      <c r="AN25" s="362">
        <f t="shared" si="8"/>
        <v>0</v>
      </c>
      <c r="AO25" s="363">
        <f t="shared" si="9"/>
        <v>0</v>
      </c>
      <c r="AP25" s="363">
        <f t="shared" si="10"/>
        <v>0</v>
      </c>
      <c r="AQ25" s="363">
        <f>IF('Multi-Customer'!C27=0,'Multi-Customer'!U27,'Multi-Customer'!T27)*AL25</f>
        <v>0</v>
      </c>
      <c r="AR25" s="363">
        <f>IF('Multi-Customer'!C27=0,'Multi-Customer'!W27,'Multi-Customer'!V27)*AL25</f>
        <v>0</v>
      </c>
      <c r="AS25" s="1" t="str">
        <f t="shared" si="11"/>
        <v>Q1</v>
      </c>
      <c r="AT25" s="1" t="str">
        <f>IF('PIM Ranges'!$AK25='PIM Ranges'!$AY$11,IF('PIM Ranges'!$AL25&lt;'PIM Ranges'!$AZ$11,"Q1",IF('PIM Ranges'!$AL25&lt;'PIM Ranges'!$BA$11,"Q2",IF('PIM Ranges'!$AL25&lt;'PIM Ranges'!$BB$11,"Q3",IF('PIM Ranges'!$AL25&lt;'PIM Ranges'!$BC$11,"Q4","Q5")))),IF('PIM Ranges'!$AK25='PIM Ranges'!$AY$12,IF('PIM Ranges'!$AL25&lt;'PIM Ranges'!$AZ$12,"Q1",IF('PIM Ranges'!$AL25&lt;'PIM Ranges'!$BA$12,"Q2",IF('PIM Ranges'!$AL25&lt;'PIM Ranges'!$BB$12,"Q3",IF('PIM Ranges'!$AL25&lt;'PIM Ranges'!$BC$12,"Q4","Q5")))),IF('PIM Ranges'!$AK25='PIM Ranges'!$AY$13,IF('PIM Ranges'!$AL25&lt;'PIM Ranges'!$AZ$13,"Q1",IF('PIM Ranges'!$AL25&lt;'PIM Ranges'!$BA$13,"Q2",IF('PIM Ranges'!$AL25&lt;'PIM Ranges'!$BB$13,"Q3",IF('PIM Ranges'!$AL25&lt;'PIM Ranges'!$BC$13,"Q4","Q5")))),IF('PIM Ranges'!$AK25='PIM Ranges'!$AY$14,IF('PIM Ranges'!$AL25&lt;'PIM Ranges'!$AZ$14,"Q1",IF('PIM Ranges'!$AL25&lt;'PIM Ranges'!$BA$14,"Q2",IF('PIM Ranges'!$AL25&lt;'PIM Ranges'!$BB$14,"Q3",IF('PIM Ranges'!$AL25&lt;'PIM Ranges'!$BC$14,"Q4","Q5")))),IF('PIM Ranges'!$AK25='PIM Ranges'!$AY$15,IF('PIM Ranges'!$AL25&lt;'PIM Ranges'!$AZ$15,"Q1",IF('PIM Ranges'!$AL25&lt;'PIM Ranges'!$BA$15,"Q2",IF('PIM Ranges'!$AL25&lt;'PIM Ranges'!$BB$15,"Q3",IF('PIM Ranges'!$AL25&lt;'PIM Ranges'!$BC$15,"Q4","Q5")))),IF('PIM Ranges'!$AK25='PIM Ranges'!$AY$16,IF('PIM Ranges'!$AL25&lt;'PIM Ranges'!$AZ$16,"Q1",IF('PIM Ranges'!$AL25&lt;'PIM Ranges'!$BA$16,"Q2",IF('PIM Ranges'!$AL25&lt;'PIM Ranges'!$BB$16,"Q3",IF('PIM Ranges'!$AL25&lt;'PIM Ranges'!$BC$16,"Q4","Q5")))),IF('PIM Ranges'!$AK25='PIM Ranges'!$AY$17,IF('PIM Ranges'!$AL25&lt;'PIM Ranges'!$AZ$17,"Q1",IF('PIM Ranges'!$AL25&lt;'PIM Ranges'!$BA$17,"Q2",IF('PIM Ranges'!$AL25&lt;'PIM Ranges'!$BB$17,"Q3",IF('PIM Ranges'!$AL25&lt;'PIM Ranges'!$BC$17,"Q4","Q5")))),IF('PIM Ranges'!$AK25='PIM Ranges'!$AY$18,IF('PIM Ranges'!$AL25&lt;'PIM Ranges'!$AZ$18,"Q1",IF('PIM Ranges'!$AL25&lt;'PIM Ranges'!$BA$18,"Q2",IF('PIM Ranges'!$AL25&lt;'PIM Ranges'!$BB$18,"Q3",IF('PIM Ranges'!$AL25&lt;'PIM Ranges'!$BC$18,"Q4","Q5")))),IF('PIM Ranges'!$AK25='PIM Ranges'!$AY$19,IF('PIM Ranges'!$AL25&lt;'PIM Ranges'!$AZ$19,"Q1",IF('PIM Ranges'!$AL25&lt;'PIM Ranges'!$BA$19,"Q2",IF('PIM Ranges'!$AL25&lt;'PIM Ranges'!$BB$19,"Q3",IF('PIM Ranges'!$AL25&lt;'PIM Ranges'!$BC$19,"Q4","Q5")))),IF('PIM Ranges'!$AK25='PIM Ranges'!$AY$20,IF('PIM Ranges'!$AL25&lt;'PIM Ranges'!$AZ$20,"Q1",IF('PIM Ranges'!$AL25&lt;'PIM Ranges'!$BA$20,"Q2",IF('PIM Ranges'!$AL25&lt;'PIM Ranges'!$BB$20,"Q3",IF('PIM Ranges'!$AL25&lt;'PIM Ranges'!$BC$20,"Q4","Q5")))),IF('PIM Ranges'!$AK25='PIM Ranges'!$AY$21,IF('PIM Ranges'!$AL25&lt;'PIM Ranges'!$AZ$21,"Q1",IF('PIM Ranges'!$AL25&lt;'PIM Ranges'!$BA$21,"Q2",IF('PIM Ranges'!$AL25&lt;'PIM Ranges'!$BB$21,"Q3",IF('PIM Ranges'!$AL25&lt;'PIM Ranges'!$BC$21,"Q4","Q5")))),IF('PIM Ranges'!$AK25='PIM Ranges'!$AY$22,IF('PIM Ranges'!$AL25&lt;'PIM Ranges'!$AZ$22,"Q1",IF('PIM Ranges'!$AL25&lt;'PIM Ranges'!$BA$22,"Q2",IF('PIM Ranges'!$AL25&lt;'PIM Ranges'!$BB$22,"Q3",IF('PIM Ranges'!$AL25&lt;'PIM Ranges'!$BC$22,"Q4","Q5")))),IF('PIM Ranges'!$AK25='PIM Ranges'!$AY$23,IF('PIM Ranges'!$AL25&lt;'PIM Ranges'!$AZ$23,"Q1",IF('PIM Ranges'!$AL25&lt;'PIM Ranges'!$BA$23,"Q2",IF('PIM Ranges'!$AL25&lt;'PIM Ranges'!$BB$23,"Q3",IF('PIM Ranges'!$AL25&lt;'PIM Ranges'!$BC$23,"Q4","Q5")))),IF('PIM Ranges'!$AK25='PIM Ranges'!$AY$24,IF('PIM Ranges'!$AL25&lt;'PIM Ranges'!$AZ$24,"Q1",IF('PIM Ranges'!$AL25&lt;'PIM Ranges'!$BA$24,"Q2",IF('PIM Ranges'!$AL25&lt;'PIM Ranges'!$BB$24,"Q3",IF('PIM Ranges'!$AL25&lt;'PIM Ranges'!$BC$24,"Q4","Q5")))),IF('PIM Ranges'!$AK25='PIM Ranges'!$AY$25,IF('PIM Ranges'!$AL25&lt;'PIM Ranges'!$AZ$25,"Q1",IF('PIM Ranges'!$AL25&lt;'PIM Ranges'!$BA$25,"Q2",IF('PIM Ranges'!$AL25&lt;'PIM Ranges'!$BB$25,"Q3",IF('PIM Ranges'!$AL25&lt;'PIM Ranges'!$BC$25,"Q4","Q5")))),IF('PIM Ranges'!$AK25='PIM Ranges'!$AY$26,IF('PIM Ranges'!$AL25&lt;'PIM Ranges'!$AZ$26,"Q1",IF('PIM Ranges'!$AL25&lt;'PIM Ranges'!$BA$26,"Q2",IF('PIM Ranges'!$AL25&lt;'PIM Ranges'!$BB$26,"Q3",IF('PIM Ranges'!$AL25&lt;'PIM Ranges'!$BC$26,"Q4","Q5")))),IF('PIM Ranges'!$AK25='PIM Ranges'!$AY$27,IF('PIM Ranges'!$AL25&lt;'PIM Ranges'!$AZ$27,"Q1",IF('PIM Ranges'!$AL25&lt;'PIM Ranges'!$BA$27,"Q2",IF('PIM Ranges'!$AL25&lt;'PIM Ranges'!$BB$27,"Q3",IF('PIM Ranges'!$AL25&lt;'PIM Ranges'!$BC$27,"Q4","Q5")))),IF('PIM Ranges'!$AK25='PIM Ranges'!$AY$28,IF('PIM Ranges'!$AL25&lt;'PIM Ranges'!$AZ$28,"Q1",IF('PIM Ranges'!$AL25&lt;'PIM Ranges'!$BA$28,"Q2",IF('PIM Ranges'!$AL25&lt;'PIM Ranges'!$BB$28,"Q3",IF('PIM Ranges'!$AL25&lt;'PIM Ranges'!$BC$28,"Q4","Q5")))),IF('PIM Ranges'!$AK25='PIM Ranges'!$AY$29,IF('PIM Ranges'!$AL25&lt;'PIM Ranges'!$AZ$29,"Q1",IF('PIM Ranges'!$AL25&lt;'PIM Ranges'!$BA$29,"Q2",IF('PIM Ranges'!$AL25&lt;'PIM Ranges'!$BB$29,"Q3",IF('PIM Ranges'!$AL25&lt;'PIM Ranges'!$BC$29,"Q4","Q5")))),IF('PIM Ranges'!$AK25='PIM Ranges'!$AY$30,IF('PIM Ranges'!$AL25&lt;'PIM Ranges'!$AZ$30,"Q1",IF('PIM Ranges'!$AL25&lt;'PIM Ranges'!$BA$30,"Q2",IF('PIM Ranges'!$AL25&lt;'PIM Ranges'!$BB$30,"Q3",IF('PIM Ranges'!$AL25&lt;'PIM Ranges'!$BC$30,"Q4","Q5")))),IF('PIM Ranges'!$AK25='PIM Ranges'!$AY$31,IF('PIM Ranges'!$AL25&lt;'PIM Ranges'!$AZ$31,"Q1",IF('PIM Ranges'!$AL25&lt;'PIM Ranges'!$BA$31,"Q2",IF('PIM Ranges'!$AL25&lt;'PIM Ranges'!$BB$31,"Q3",IF('PIM Ranges'!$AL25&lt;'PIM Ranges'!$BC$31,"Q4","Q5")))),IF('PIM Ranges'!$AK25='PIM Ranges'!$AY$32,IF('PIM Ranges'!$AL25&lt;'PIM Ranges'!$AZ$32,"Q1",IF('PIM Ranges'!$AL25&lt;'PIM Ranges'!$BA$32,"Q2",IF('PIM Ranges'!$AL25&lt;'PIM Ranges'!$BB$32,"Q3",IF('PIM Ranges'!$AL25&lt;'PIM Ranges'!$BC$32,"Q4","Q5"))))))))))))))))))))))))))</f>
        <v>Q1</v>
      </c>
      <c r="AX25" s="393"/>
      <c r="AY25" s="52" t="s">
        <v>92</v>
      </c>
      <c r="AZ25" s="394">
        <v>6610</v>
      </c>
      <c r="BA25" s="394">
        <v>11026</v>
      </c>
      <c r="BB25" s="394">
        <v>16902</v>
      </c>
      <c r="BC25" s="394">
        <v>32235</v>
      </c>
      <c r="BF25" s="52" t="s">
        <v>92</v>
      </c>
      <c r="BG25" s="394">
        <v>7323</v>
      </c>
      <c r="BH25" s="394">
        <v>19194</v>
      </c>
      <c r="BI25" s="394">
        <v>47517</v>
      </c>
      <c r="BJ25" s="394">
        <v>107183</v>
      </c>
    </row>
    <row r="26" spans="1:62" x14ac:dyDescent="0.25">
      <c r="A26" s="870">
        <f t="shared" si="12"/>
        <v>0</v>
      </c>
      <c r="B26">
        <v>17</v>
      </c>
      <c r="C26" t="s">
        <v>91</v>
      </c>
      <c r="D26" s="25">
        <f>'Multi-Customer'!C28</f>
        <v>0</v>
      </c>
      <c r="E26">
        <f>'Multi-Customer'!D28</f>
        <v>0</v>
      </c>
      <c r="F26">
        <f>'Multi-Customer'!E28</f>
        <v>0</v>
      </c>
      <c r="G26" s="274">
        <f>'Multi-Customer'!F28</f>
        <v>0</v>
      </c>
      <c r="H26" s="19">
        <f t="shared" si="13"/>
        <v>0</v>
      </c>
      <c r="I26" s="19">
        <f t="shared" si="14"/>
        <v>0</v>
      </c>
      <c r="J26" s="274"/>
      <c r="K26" s="274" t="str">
        <f>'PIM Model'!E24</f>
        <v>INCLUDE</v>
      </c>
      <c r="L26" s="274">
        <f t="shared" si="15"/>
        <v>0</v>
      </c>
      <c r="M26">
        <v>17</v>
      </c>
      <c r="N26" s="274" t="s">
        <v>91</v>
      </c>
      <c r="O26" s="274">
        <f t="shared" si="16"/>
        <v>0</v>
      </c>
      <c r="P26" s="274">
        <f t="shared" si="0"/>
        <v>0</v>
      </c>
      <c r="Q26" s="274">
        <f t="shared" si="17"/>
        <v>0</v>
      </c>
      <c r="R26" s="274">
        <f t="shared" si="1"/>
        <v>0</v>
      </c>
      <c r="S26" s="274">
        <f t="shared" si="18"/>
        <v>0</v>
      </c>
      <c r="T26" s="19">
        <f t="shared" si="19"/>
        <v>0</v>
      </c>
      <c r="U26" s="19"/>
      <c r="V26" s="2">
        <f>'PIM Model'!$C$24</f>
        <v>0</v>
      </c>
      <c r="W26" s="498">
        <f>IFERROR('Multi-Customer'!R28,0)</f>
        <v>0</v>
      </c>
      <c r="X26" s="19">
        <f t="shared" si="2"/>
        <v>0</v>
      </c>
      <c r="Y26" s="274">
        <f t="shared" si="20"/>
        <v>0</v>
      </c>
      <c r="Z26" s="274">
        <f t="shared" si="21"/>
        <v>0</v>
      </c>
      <c r="AA26" s="274">
        <f t="shared" si="22"/>
        <v>0</v>
      </c>
      <c r="AB26" s="499">
        <f t="shared" si="23"/>
        <v>0</v>
      </c>
      <c r="AC26" s="499">
        <f t="shared" si="3"/>
        <v>0</v>
      </c>
      <c r="AD26" s="274">
        <f t="shared" si="24"/>
        <v>0</v>
      </c>
      <c r="AE26" s="274"/>
      <c r="AF26" s="274">
        <f t="shared" si="4"/>
        <v>0</v>
      </c>
      <c r="AG26" s="39">
        <f>'PIM Model'!B24</f>
        <v>0</v>
      </c>
      <c r="AH26" s="361">
        <f t="shared" si="5"/>
        <v>0</v>
      </c>
      <c r="AI26" s="361">
        <f t="shared" si="25"/>
        <v>0</v>
      </c>
      <c r="AJ26">
        <v>17</v>
      </c>
      <c r="AK26" s="362" t="s">
        <v>91</v>
      </c>
      <c r="AL26" s="362">
        <f t="shared" si="6"/>
        <v>0</v>
      </c>
      <c r="AM26" s="362">
        <f t="shared" si="7"/>
        <v>0</v>
      </c>
      <c r="AN26" s="362">
        <f t="shared" si="8"/>
        <v>0</v>
      </c>
      <c r="AO26" s="363">
        <f t="shared" si="9"/>
        <v>0</v>
      </c>
      <c r="AP26" s="363">
        <f t="shared" si="10"/>
        <v>0</v>
      </c>
      <c r="AQ26" s="363">
        <f>IF('Multi-Customer'!C28=0,'Multi-Customer'!U28,'Multi-Customer'!T28)*AL26</f>
        <v>0</v>
      </c>
      <c r="AR26" s="363">
        <f>IF('Multi-Customer'!C28=0,'Multi-Customer'!W28,'Multi-Customer'!V28)*AL26</f>
        <v>0</v>
      </c>
      <c r="AS26" s="1" t="str">
        <f t="shared" si="11"/>
        <v>Q1</v>
      </c>
      <c r="AT26" s="1" t="str">
        <f>IF('PIM Ranges'!$AK26='PIM Ranges'!$AY$11,IF('PIM Ranges'!$AL26&lt;'PIM Ranges'!$AZ$11,"Q1",IF('PIM Ranges'!$AL26&lt;'PIM Ranges'!$BA$11,"Q2",IF('PIM Ranges'!$AL26&lt;'PIM Ranges'!$BB$11,"Q3",IF('PIM Ranges'!$AL26&lt;'PIM Ranges'!$BC$11,"Q4","Q5")))),IF('PIM Ranges'!$AK26='PIM Ranges'!$AY$12,IF('PIM Ranges'!$AL26&lt;'PIM Ranges'!$AZ$12,"Q1",IF('PIM Ranges'!$AL26&lt;'PIM Ranges'!$BA$12,"Q2",IF('PIM Ranges'!$AL26&lt;'PIM Ranges'!$BB$12,"Q3",IF('PIM Ranges'!$AL26&lt;'PIM Ranges'!$BC$12,"Q4","Q5")))),IF('PIM Ranges'!$AK26='PIM Ranges'!$AY$13,IF('PIM Ranges'!$AL26&lt;'PIM Ranges'!$AZ$13,"Q1",IF('PIM Ranges'!$AL26&lt;'PIM Ranges'!$BA$13,"Q2",IF('PIM Ranges'!$AL26&lt;'PIM Ranges'!$BB$13,"Q3",IF('PIM Ranges'!$AL26&lt;'PIM Ranges'!$BC$13,"Q4","Q5")))),IF('PIM Ranges'!$AK26='PIM Ranges'!$AY$14,IF('PIM Ranges'!$AL26&lt;'PIM Ranges'!$AZ$14,"Q1",IF('PIM Ranges'!$AL26&lt;'PIM Ranges'!$BA$14,"Q2",IF('PIM Ranges'!$AL26&lt;'PIM Ranges'!$BB$14,"Q3",IF('PIM Ranges'!$AL26&lt;'PIM Ranges'!$BC$14,"Q4","Q5")))),IF('PIM Ranges'!$AK26='PIM Ranges'!$AY$15,IF('PIM Ranges'!$AL26&lt;'PIM Ranges'!$AZ$15,"Q1",IF('PIM Ranges'!$AL26&lt;'PIM Ranges'!$BA$15,"Q2",IF('PIM Ranges'!$AL26&lt;'PIM Ranges'!$BB$15,"Q3",IF('PIM Ranges'!$AL26&lt;'PIM Ranges'!$BC$15,"Q4","Q5")))),IF('PIM Ranges'!$AK26='PIM Ranges'!$AY$16,IF('PIM Ranges'!$AL26&lt;'PIM Ranges'!$AZ$16,"Q1",IF('PIM Ranges'!$AL26&lt;'PIM Ranges'!$BA$16,"Q2",IF('PIM Ranges'!$AL26&lt;'PIM Ranges'!$BB$16,"Q3",IF('PIM Ranges'!$AL26&lt;'PIM Ranges'!$BC$16,"Q4","Q5")))),IF('PIM Ranges'!$AK26='PIM Ranges'!$AY$17,IF('PIM Ranges'!$AL26&lt;'PIM Ranges'!$AZ$17,"Q1",IF('PIM Ranges'!$AL26&lt;'PIM Ranges'!$BA$17,"Q2",IF('PIM Ranges'!$AL26&lt;'PIM Ranges'!$BB$17,"Q3",IF('PIM Ranges'!$AL26&lt;'PIM Ranges'!$BC$17,"Q4","Q5")))),IF('PIM Ranges'!$AK26='PIM Ranges'!$AY$18,IF('PIM Ranges'!$AL26&lt;'PIM Ranges'!$AZ$18,"Q1",IF('PIM Ranges'!$AL26&lt;'PIM Ranges'!$BA$18,"Q2",IF('PIM Ranges'!$AL26&lt;'PIM Ranges'!$BB$18,"Q3",IF('PIM Ranges'!$AL26&lt;'PIM Ranges'!$BC$18,"Q4","Q5")))),IF('PIM Ranges'!$AK26='PIM Ranges'!$AY$19,IF('PIM Ranges'!$AL26&lt;'PIM Ranges'!$AZ$19,"Q1",IF('PIM Ranges'!$AL26&lt;'PIM Ranges'!$BA$19,"Q2",IF('PIM Ranges'!$AL26&lt;'PIM Ranges'!$BB$19,"Q3",IF('PIM Ranges'!$AL26&lt;'PIM Ranges'!$BC$19,"Q4","Q5")))),IF('PIM Ranges'!$AK26='PIM Ranges'!$AY$20,IF('PIM Ranges'!$AL26&lt;'PIM Ranges'!$AZ$20,"Q1",IF('PIM Ranges'!$AL26&lt;'PIM Ranges'!$BA$20,"Q2",IF('PIM Ranges'!$AL26&lt;'PIM Ranges'!$BB$20,"Q3",IF('PIM Ranges'!$AL26&lt;'PIM Ranges'!$BC$20,"Q4","Q5")))),IF('PIM Ranges'!$AK26='PIM Ranges'!$AY$21,IF('PIM Ranges'!$AL26&lt;'PIM Ranges'!$AZ$21,"Q1",IF('PIM Ranges'!$AL26&lt;'PIM Ranges'!$BA$21,"Q2",IF('PIM Ranges'!$AL26&lt;'PIM Ranges'!$BB$21,"Q3",IF('PIM Ranges'!$AL26&lt;'PIM Ranges'!$BC$21,"Q4","Q5")))),IF('PIM Ranges'!$AK26='PIM Ranges'!$AY$22,IF('PIM Ranges'!$AL26&lt;'PIM Ranges'!$AZ$22,"Q1",IF('PIM Ranges'!$AL26&lt;'PIM Ranges'!$BA$22,"Q2",IF('PIM Ranges'!$AL26&lt;'PIM Ranges'!$BB$22,"Q3",IF('PIM Ranges'!$AL26&lt;'PIM Ranges'!$BC$22,"Q4","Q5")))),IF('PIM Ranges'!$AK26='PIM Ranges'!$AY$23,IF('PIM Ranges'!$AL26&lt;'PIM Ranges'!$AZ$23,"Q1",IF('PIM Ranges'!$AL26&lt;'PIM Ranges'!$BA$23,"Q2",IF('PIM Ranges'!$AL26&lt;'PIM Ranges'!$BB$23,"Q3",IF('PIM Ranges'!$AL26&lt;'PIM Ranges'!$BC$23,"Q4","Q5")))),IF('PIM Ranges'!$AK26='PIM Ranges'!$AY$24,IF('PIM Ranges'!$AL26&lt;'PIM Ranges'!$AZ$24,"Q1",IF('PIM Ranges'!$AL26&lt;'PIM Ranges'!$BA$24,"Q2",IF('PIM Ranges'!$AL26&lt;'PIM Ranges'!$BB$24,"Q3",IF('PIM Ranges'!$AL26&lt;'PIM Ranges'!$BC$24,"Q4","Q5")))),IF('PIM Ranges'!$AK26='PIM Ranges'!$AY$25,IF('PIM Ranges'!$AL26&lt;'PIM Ranges'!$AZ$25,"Q1",IF('PIM Ranges'!$AL26&lt;'PIM Ranges'!$BA$25,"Q2",IF('PIM Ranges'!$AL26&lt;'PIM Ranges'!$BB$25,"Q3",IF('PIM Ranges'!$AL26&lt;'PIM Ranges'!$BC$25,"Q4","Q5")))),IF('PIM Ranges'!$AK26='PIM Ranges'!$AY$26,IF('PIM Ranges'!$AL26&lt;'PIM Ranges'!$AZ$26,"Q1",IF('PIM Ranges'!$AL26&lt;'PIM Ranges'!$BA$26,"Q2",IF('PIM Ranges'!$AL26&lt;'PIM Ranges'!$BB$26,"Q3",IF('PIM Ranges'!$AL26&lt;'PIM Ranges'!$BC$26,"Q4","Q5")))),IF('PIM Ranges'!$AK26='PIM Ranges'!$AY$27,IF('PIM Ranges'!$AL26&lt;'PIM Ranges'!$AZ$27,"Q1",IF('PIM Ranges'!$AL26&lt;'PIM Ranges'!$BA$27,"Q2",IF('PIM Ranges'!$AL26&lt;'PIM Ranges'!$BB$27,"Q3",IF('PIM Ranges'!$AL26&lt;'PIM Ranges'!$BC$27,"Q4","Q5")))),IF('PIM Ranges'!$AK26='PIM Ranges'!$AY$28,IF('PIM Ranges'!$AL26&lt;'PIM Ranges'!$AZ$28,"Q1",IF('PIM Ranges'!$AL26&lt;'PIM Ranges'!$BA$28,"Q2",IF('PIM Ranges'!$AL26&lt;'PIM Ranges'!$BB$28,"Q3",IF('PIM Ranges'!$AL26&lt;'PIM Ranges'!$BC$28,"Q4","Q5")))),IF('PIM Ranges'!$AK26='PIM Ranges'!$AY$29,IF('PIM Ranges'!$AL26&lt;'PIM Ranges'!$AZ$29,"Q1",IF('PIM Ranges'!$AL26&lt;'PIM Ranges'!$BA$29,"Q2",IF('PIM Ranges'!$AL26&lt;'PIM Ranges'!$BB$29,"Q3",IF('PIM Ranges'!$AL26&lt;'PIM Ranges'!$BC$29,"Q4","Q5")))),IF('PIM Ranges'!$AK26='PIM Ranges'!$AY$30,IF('PIM Ranges'!$AL26&lt;'PIM Ranges'!$AZ$30,"Q1",IF('PIM Ranges'!$AL26&lt;'PIM Ranges'!$BA$30,"Q2",IF('PIM Ranges'!$AL26&lt;'PIM Ranges'!$BB$30,"Q3",IF('PIM Ranges'!$AL26&lt;'PIM Ranges'!$BC$30,"Q4","Q5")))),IF('PIM Ranges'!$AK26='PIM Ranges'!$AY$31,IF('PIM Ranges'!$AL26&lt;'PIM Ranges'!$AZ$31,"Q1",IF('PIM Ranges'!$AL26&lt;'PIM Ranges'!$BA$31,"Q2",IF('PIM Ranges'!$AL26&lt;'PIM Ranges'!$BB$31,"Q3",IF('PIM Ranges'!$AL26&lt;'PIM Ranges'!$BC$31,"Q4","Q5")))),IF('PIM Ranges'!$AK26='PIM Ranges'!$AY$32,IF('PIM Ranges'!$AL26&lt;'PIM Ranges'!$AZ$32,"Q1",IF('PIM Ranges'!$AL26&lt;'PIM Ranges'!$BA$32,"Q2",IF('PIM Ranges'!$AL26&lt;'PIM Ranges'!$BB$32,"Q3",IF('PIM Ranges'!$AL26&lt;'PIM Ranges'!$BC$32,"Q4","Q5"))))))))))))))))))))))))))</f>
        <v>Q1</v>
      </c>
      <c r="AX26" s="393"/>
      <c r="AY26" s="52" t="s">
        <v>91</v>
      </c>
      <c r="AZ26" s="394">
        <v>7459</v>
      </c>
      <c r="BA26" s="394">
        <v>15542</v>
      </c>
      <c r="BB26" s="394">
        <v>28734</v>
      </c>
      <c r="BC26" s="394">
        <v>60450</v>
      </c>
      <c r="BF26" s="52" t="s">
        <v>91</v>
      </c>
      <c r="BG26" s="394">
        <v>13315</v>
      </c>
      <c r="BH26" s="394">
        <v>33760</v>
      </c>
      <c r="BI26" s="394">
        <v>91382</v>
      </c>
      <c r="BJ26" s="394">
        <v>208294</v>
      </c>
    </row>
    <row r="27" spans="1:62" x14ac:dyDescent="0.25">
      <c r="A27" s="870">
        <f t="shared" si="12"/>
        <v>0</v>
      </c>
      <c r="B27">
        <v>18</v>
      </c>
      <c r="C27" t="s">
        <v>90</v>
      </c>
      <c r="D27" s="25">
        <f>'Multi-Customer'!C29</f>
        <v>0</v>
      </c>
      <c r="E27">
        <f>'Multi-Customer'!D29</f>
        <v>0</v>
      </c>
      <c r="F27">
        <f>'Multi-Customer'!E29</f>
        <v>0</v>
      </c>
      <c r="G27" s="274">
        <f>'Multi-Customer'!F29</f>
        <v>0</v>
      </c>
      <c r="H27" s="19">
        <f t="shared" si="13"/>
        <v>0</v>
      </c>
      <c r="I27" s="19">
        <f t="shared" si="14"/>
        <v>0</v>
      </c>
      <c r="J27" s="274"/>
      <c r="K27" s="274" t="str">
        <f>'PIM Model'!E25</f>
        <v>INCLUDE</v>
      </c>
      <c r="L27" s="274">
        <f t="shared" si="15"/>
        <v>0</v>
      </c>
      <c r="M27">
        <v>18</v>
      </c>
      <c r="N27" s="274" t="s">
        <v>90</v>
      </c>
      <c r="O27" s="274">
        <f t="shared" si="16"/>
        <v>0</v>
      </c>
      <c r="P27" s="274">
        <f t="shared" si="0"/>
        <v>0</v>
      </c>
      <c r="Q27" s="274">
        <f t="shared" si="17"/>
        <v>0</v>
      </c>
      <c r="R27" s="274">
        <f t="shared" si="1"/>
        <v>0</v>
      </c>
      <c r="S27" s="274">
        <f t="shared" si="18"/>
        <v>0</v>
      </c>
      <c r="T27" s="19">
        <f t="shared" si="19"/>
        <v>0</v>
      </c>
      <c r="U27" s="19"/>
      <c r="V27" s="2">
        <f>'PIM Model'!$C$25</f>
        <v>0</v>
      </c>
      <c r="W27" s="498">
        <f>IFERROR('Multi-Customer'!R29,0)</f>
        <v>0</v>
      </c>
      <c r="X27" s="19">
        <f t="shared" si="2"/>
        <v>0</v>
      </c>
      <c r="Y27" s="274">
        <f t="shared" si="20"/>
        <v>0</v>
      </c>
      <c r="Z27" s="274">
        <f t="shared" si="21"/>
        <v>0</v>
      </c>
      <c r="AA27" s="274">
        <f t="shared" si="22"/>
        <v>0</v>
      </c>
      <c r="AB27" s="499">
        <f t="shared" si="23"/>
        <v>0</v>
      </c>
      <c r="AC27" s="499">
        <f t="shared" si="3"/>
        <v>0</v>
      </c>
      <c r="AD27" s="274">
        <f t="shared" si="24"/>
        <v>0</v>
      </c>
      <c r="AE27" s="274"/>
      <c r="AF27" s="274">
        <f t="shared" si="4"/>
        <v>0</v>
      </c>
      <c r="AG27" s="39">
        <f>'PIM Model'!B25</f>
        <v>0</v>
      </c>
      <c r="AH27" s="361">
        <f t="shared" si="5"/>
        <v>0</v>
      </c>
      <c r="AI27" s="361">
        <f t="shared" si="25"/>
        <v>0</v>
      </c>
      <c r="AJ27">
        <v>18</v>
      </c>
      <c r="AK27" s="362" t="s">
        <v>90</v>
      </c>
      <c r="AL27" s="362">
        <f t="shared" si="6"/>
        <v>0</v>
      </c>
      <c r="AM27" s="362">
        <f t="shared" si="7"/>
        <v>0</v>
      </c>
      <c r="AN27" s="362">
        <f t="shared" si="8"/>
        <v>0</v>
      </c>
      <c r="AO27" s="363">
        <f t="shared" si="9"/>
        <v>0</v>
      </c>
      <c r="AP27" s="363">
        <f t="shared" si="10"/>
        <v>0</v>
      </c>
      <c r="AQ27" s="363">
        <f>IF('Multi-Customer'!C29=0,'Multi-Customer'!U29,'Multi-Customer'!T29)*AL27</f>
        <v>0</v>
      </c>
      <c r="AR27" s="363">
        <f>IF('Multi-Customer'!C29=0,'Multi-Customer'!W29,'Multi-Customer'!V29)*AL27</f>
        <v>0</v>
      </c>
      <c r="AS27" s="1" t="str">
        <f t="shared" si="11"/>
        <v>Q1</v>
      </c>
      <c r="AT27" s="1" t="str">
        <f>IF('PIM Ranges'!$AK27='PIM Ranges'!$AY$11,IF('PIM Ranges'!$AL27&lt;'PIM Ranges'!$AZ$11,"Q1",IF('PIM Ranges'!$AL27&lt;'PIM Ranges'!$BA$11,"Q2",IF('PIM Ranges'!$AL27&lt;'PIM Ranges'!$BB$11,"Q3",IF('PIM Ranges'!$AL27&lt;'PIM Ranges'!$BC$11,"Q4","Q5")))),IF('PIM Ranges'!$AK27='PIM Ranges'!$AY$12,IF('PIM Ranges'!$AL27&lt;'PIM Ranges'!$AZ$12,"Q1",IF('PIM Ranges'!$AL27&lt;'PIM Ranges'!$BA$12,"Q2",IF('PIM Ranges'!$AL27&lt;'PIM Ranges'!$BB$12,"Q3",IF('PIM Ranges'!$AL27&lt;'PIM Ranges'!$BC$12,"Q4","Q5")))),IF('PIM Ranges'!$AK27='PIM Ranges'!$AY$13,IF('PIM Ranges'!$AL27&lt;'PIM Ranges'!$AZ$13,"Q1",IF('PIM Ranges'!$AL27&lt;'PIM Ranges'!$BA$13,"Q2",IF('PIM Ranges'!$AL27&lt;'PIM Ranges'!$BB$13,"Q3",IF('PIM Ranges'!$AL27&lt;'PIM Ranges'!$BC$13,"Q4","Q5")))),IF('PIM Ranges'!$AK27='PIM Ranges'!$AY$14,IF('PIM Ranges'!$AL27&lt;'PIM Ranges'!$AZ$14,"Q1",IF('PIM Ranges'!$AL27&lt;'PIM Ranges'!$BA$14,"Q2",IF('PIM Ranges'!$AL27&lt;'PIM Ranges'!$BB$14,"Q3",IF('PIM Ranges'!$AL27&lt;'PIM Ranges'!$BC$14,"Q4","Q5")))),IF('PIM Ranges'!$AK27='PIM Ranges'!$AY$15,IF('PIM Ranges'!$AL27&lt;'PIM Ranges'!$AZ$15,"Q1",IF('PIM Ranges'!$AL27&lt;'PIM Ranges'!$BA$15,"Q2",IF('PIM Ranges'!$AL27&lt;'PIM Ranges'!$BB$15,"Q3",IF('PIM Ranges'!$AL27&lt;'PIM Ranges'!$BC$15,"Q4","Q5")))),IF('PIM Ranges'!$AK27='PIM Ranges'!$AY$16,IF('PIM Ranges'!$AL27&lt;'PIM Ranges'!$AZ$16,"Q1",IF('PIM Ranges'!$AL27&lt;'PIM Ranges'!$BA$16,"Q2",IF('PIM Ranges'!$AL27&lt;'PIM Ranges'!$BB$16,"Q3",IF('PIM Ranges'!$AL27&lt;'PIM Ranges'!$BC$16,"Q4","Q5")))),IF('PIM Ranges'!$AK27='PIM Ranges'!$AY$17,IF('PIM Ranges'!$AL27&lt;'PIM Ranges'!$AZ$17,"Q1",IF('PIM Ranges'!$AL27&lt;'PIM Ranges'!$BA$17,"Q2",IF('PIM Ranges'!$AL27&lt;'PIM Ranges'!$BB$17,"Q3",IF('PIM Ranges'!$AL27&lt;'PIM Ranges'!$BC$17,"Q4","Q5")))),IF('PIM Ranges'!$AK27='PIM Ranges'!$AY$18,IF('PIM Ranges'!$AL27&lt;'PIM Ranges'!$AZ$18,"Q1",IF('PIM Ranges'!$AL27&lt;'PIM Ranges'!$BA$18,"Q2",IF('PIM Ranges'!$AL27&lt;'PIM Ranges'!$BB$18,"Q3",IF('PIM Ranges'!$AL27&lt;'PIM Ranges'!$BC$18,"Q4","Q5")))),IF('PIM Ranges'!$AK27='PIM Ranges'!$AY$19,IF('PIM Ranges'!$AL27&lt;'PIM Ranges'!$AZ$19,"Q1",IF('PIM Ranges'!$AL27&lt;'PIM Ranges'!$BA$19,"Q2",IF('PIM Ranges'!$AL27&lt;'PIM Ranges'!$BB$19,"Q3",IF('PIM Ranges'!$AL27&lt;'PIM Ranges'!$BC$19,"Q4","Q5")))),IF('PIM Ranges'!$AK27='PIM Ranges'!$AY$20,IF('PIM Ranges'!$AL27&lt;'PIM Ranges'!$AZ$20,"Q1",IF('PIM Ranges'!$AL27&lt;'PIM Ranges'!$BA$20,"Q2",IF('PIM Ranges'!$AL27&lt;'PIM Ranges'!$BB$20,"Q3",IF('PIM Ranges'!$AL27&lt;'PIM Ranges'!$BC$20,"Q4","Q5")))),IF('PIM Ranges'!$AK27='PIM Ranges'!$AY$21,IF('PIM Ranges'!$AL27&lt;'PIM Ranges'!$AZ$21,"Q1",IF('PIM Ranges'!$AL27&lt;'PIM Ranges'!$BA$21,"Q2",IF('PIM Ranges'!$AL27&lt;'PIM Ranges'!$BB$21,"Q3",IF('PIM Ranges'!$AL27&lt;'PIM Ranges'!$BC$21,"Q4","Q5")))),IF('PIM Ranges'!$AK27='PIM Ranges'!$AY$22,IF('PIM Ranges'!$AL27&lt;'PIM Ranges'!$AZ$22,"Q1",IF('PIM Ranges'!$AL27&lt;'PIM Ranges'!$BA$22,"Q2",IF('PIM Ranges'!$AL27&lt;'PIM Ranges'!$BB$22,"Q3",IF('PIM Ranges'!$AL27&lt;'PIM Ranges'!$BC$22,"Q4","Q5")))),IF('PIM Ranges'!$AK27='PIM Ranges'!$AY$23,IF('PIM Ranges'!$AL27&lt;'PIM Ranges'!$AZ$23,"Q1",IF('PIM Ranges'!$AL27&lt;'PIM Ranges'!$BA$23,"Q2",IF('PIM Ranges'!$AL27&lt;'PIM Ranges'!$BB$23,"Q3",IF('PIM Ranges'!$AL27&lt;'PIM Ranges'!$BC$23,"Q4","Q5")))),IF('PIM Ranges'!$AK27='PIM Ranges'!$AY$24,IF('PIM Ranges'!$AL27&lt;'PIM Ranges'!$AZ$24,"Q1",IF('PIM Ranges'!$AL27&lt;'PIM Ranges'!$BA$24,"Q2",IF('PIM Ranges'!$AL27&lt;'PIM Ranges'!$BB$24,"Q3",IF('PIM Ranges'!$AL27&lt;'PIM Ranges'!$BC$24,"Q4","Q5")))),IF('PIM Ranges'!$AK27='PIM Ranges'!$AY$25,IF('PIM Ranges'!$AL27&lt;'PIM Ranges'!$AZ$25,"Q1",IF('PIM Ranges'!$AL27&lt;'PIM Ranges'!$BA$25,"Q2",IF('PIM Ranges'!$AL27&lt;'PIM Ranges'!$BB$25,"Q3",IF('PIM Ranges'!$AL27&lt;'PIM Ranges'!$BC$25,"Q4","Q5")))),IF('PIM Ranges'!$AK27='PIM Ranges'!$AY$26,IF('PIM Ranges'!$AL27&lt;'PIM Ranges'!$AZ$26,"Q1",IF('PIM Ranges'!$AL27&lt;'PIM Ranges'!$BA$26,"Q2",IF('PIM Ranges'!$AL27&lt;'PIM Ranges'!$BB$26,"Q3",IF('PIM Ranges'!$AL27&lt;'PIM Ranges'!$BC$26,"Q4","Q5")))),IF('PIM Ranges'!$AK27='PIM Ranges'!$AY$27,IF('PIM Ranges'!$AL27&lt;'PIM Ranges'!$AZ$27,"Q1",IF('PIM Ranges'!$AL27&lt;'PIM Ranges'!$BA$27,"Q2",IF('PIM Ranges'!$AL27&lt;'PIM Ranges'!$BB$27,"Q3",IF('PIM Ranges'!$AL27&lt;'PIM Ranges'!$BC$27,"Q4","Q5")))),IF('PIM Ranges'!$AK27='PIM Ranges'!$AY$28,IF('PIM Ranges'!$AL27&lt;'PIM Ranges'!$AZ$28,"Q1",IF('PIM Ranges'!$AL27&lt;'PIM Ranges'!$BA$28,"Q2",IF('PIM Ranges'!$AL27&lt;'PIM Ranges'!$BB$28,"Q3",IF('PIM Ranges'!$AL27&lt;'PIM Ranges'!$BC$28,"Q4","Q5")))),IF('PIM Ranges'!$AK27='PIM Ranges'!$AY$29,IF('PIM Ranges'!$AL27&lt;'PIM Ranges'!$AZ$29,"Q1",IF('PIM Ranges'!$AL27&lt;'PIM Ranges'!$BA$29,"Q2",IF('PIM Ranges'!$AL27&lt;'PIM Ranges'!$BB$29,"Q3",IF('PIM Ranges'!$AL27&lt;'PIM Ranges'!$BC$29,"Q4","Q5")))),IF('PIM Ranges'!$AK27='PIM Ranges'!$AY$30,IF('PIM Ranges'!$AL27&lt;'PIM Ranges'!$AZ$30,"Q1",IF('PIM Ranges'!$AL27&lt;'PIM Ranges'!$BA$30,"Q2",IF('PIM Ranges'!$AL27&lt;'PIM Ranges'!$BB$30,"Q3",IF('PIM Ranges'!$AL27&lt;'PIM Ranges'!$BC$30,"Q4","Q5")))),IF('PIM Ranges'!$AK27='PIM Ranges'!$AY$31,IF('PIM Ranges'!$AL27&lt;'PIM Ranges'!$AZ$31,"Q1",IF('PIM Ranges'!$AL27&lt;'PIM Ranges'!$BA$31,"Q2",IF('PIM Ranges'!$AL27&lt;'PIM Ranges'!$BB$31,"Q3",IF('PIM Ranges'!$AL27&lt;'PIM Ranges'!$BC$31,"Q4","Q5")))),IF('PIM Ranges'!$AK27='PIM Ranges'!$AY$32,IF('PIM Ranges'!$AL27&lt;'PIM Ranges'!$AZ$32,"Q1",IF('PIM Ranges'!$AL27&lt;'PIM Ranges'!$BA$32,"Q2",IF('PIM Ranges'!$AL27&lt;'PIM Ranges'!$BB$32,"Q3",IF('PIM Ranges'!$AL27&lt;'PIM Ranges'!$BC$32,"Q4","Q5"))))))))))))))))))))))))))</f>
        <v>Q1</v>
      </c>
      <c r="AX27" s="393"/>
      <c r="AY27" s="52" t="s">
        <v>90</v>
      </c>
      <c r="AZ27" s="394">
        <v>17969</v>
      </c>
      <c r="BA27" s="394">
        <v>34626</v>
      </c>
      <c r="BB27" s="394">
        <v>59214</v>
      </c>
      <c r="BC27" s="394">
        <v>120996</v>
      </c>
      <c r="BF27" s="52" t="s">
        <v>90</v>
      </c>
      <c r="BG27" s="394">
        <v>25337</v>
      </c>
      <c r="BH27" s="394">
        <v>62445</v>
      </c>
      <c r="BI27" s="394">
        <v>178249</v>
      </c>
      <c r="BJ27" s="394">
        <v>407116</v>
      </c>
    </row>
    <row r="28" spans="1:62" x14ac:dyDescent="0.25">
      <c r="A28" s="870">
        <f t="shared" si="12"/>
        <v>0</v>
      </c>
      <c r="B28">
        <v>19</v>
      </c>
      <c r="C28" t="s">
        <v>89</v>
      </c>
      <c r="D28" s="25">
        <f>'Multi-Customer'!C30</f>
        <v>0</v>
      </c>
      <c r="E28">
        <f>'Multi-Customer'!D30</f>
        <v>0</v>
      </c>
      <c r="F28">
        <f>'Multi-Customer'!E30</f>
        <v>0</v>
      </c>
      <c r="G28" s="274">
        <f>'Multi-Customer'!F30</f>
        <v>0</v>
      </c>
      <c r="H28" s="19">
        <f t="shared" si="13"/>
        <v>0</v>
      </c>
      <c r="I28" s="19">
        <f t="shared" si="14"/>
        <v>0</v>
      </c>
      <c r="J28" s="274"/>
      <c r="K28" s="274" t="str">
        <f>'PIM Model'!E26</f>
        <v>INCLUDE</v>
      </c>
      <c r="L28" s="274">
        <f t="shared" si="15"/>
        <v>0</v>
      </c>
      <c r="M28">
        <v>19</v>
      </c>
      <c r="N28" s="274" t="s">
        <v>89</v>
      </c>
      <c r="O28" s="274">
        <f t="shared" si="16"/>
        <v>0</v>
      </c>
      <c r="P28" s="274">
        <f t="shared" si="0"/>
        <v>0</v>
      </c>
      <c r="Q28" s="274">
        <f t="shared" si="17"/>
        <v>0</v>
      </c>
      <c r="R28" s="274">
        <f t="shared" si="1"/>
        <v>0</v>
      </c>
      <c r="S28" s="274">
        <f t="shared" si="18"/>
        <v>0</v>
      </c>
      <c r="T28" s="19">
        <f t="shared" si="19"/>
        <v>0</v>
      </c>
      <c r="U28" s="19"/>
      <c r="V28" s="2">
        <f>'PIM Model'!$C$26</f>
        <v>0</v>
      </c>
      <c r="W28" s="498">
        <f>IFERROR('Multi-Customer'!R30,0)</f>
        <v>0</v>
      </c>
      <c r="X28" s="19">
        <f t="shared" si="2"/>
        <v>0</v>
      </c>
      <c r="Y28" s="274">
        <f t="shared" si="20"/>
        <v>0</v>
      </c>
      <c r="Z28" s="274">
        <f t="shared" si="21"/>
        <v>0</v>
      </c>
      <c r="AA28" s="274">
        <f t="shared" si="22"/>
        <v>0</v>
      </c>
      <c r="AB28" s="499">
        <f t="shared" si="23"/>
        <v>0</v>
      </c>
      <c r="AC28" s="499">
        <f t="shared" si="3"/>
        <v>0</v>
      </c>
      <c r="AD28" s="274">
        <f t="shared" si="24"/>
        <v>0</v>
      </c>
      <c r="AE28" s="274"/>
      <c r="AF28" s="274">
        <f t="shared" si="4"/>
        <v>0</v>
      </c>
      <c r="AG28" s="39">
        <f>'PIM Model'!B26</f>
        <v>0</v>
      </c>
      <c r="AH28" s="361">
        <f t="shared" si="5"/>
        <v>0</v>
      </c>
      <c r="AI28" s="361">
        <f t="shared" si="25"/>
        <v>0</v>
      </c>
      <c r="AJ28">
        <v>19</v>
      </c>
      <c r="AK28" s="362" t="s">
        <v>89</v>
      </c>
      <c r="AL28" s="362">
        <f t="shared" si="6"/>
        <v>0</v>
      </c>
      <c r="AM28" s="362">
        <f t="shared" si="7"/>
        <v>0</v>
      </c>
      <c r="AN28" s="362">
        <f t="shared" si="8"/>
        <v>0</v>
      </c>
      <c r="AO28" s="363">
        <f t="shared" si="9"/>
        <v>0</v>
      </c>
      <c r="AP28" s="363">
        <f t="shared" si="10"/>
        <v>0</v>
      </c>
      <c r="AQ28" s="363">
        <f>IF('Multi-Customer'!C30=0,'Multi-Customer'!U30,'Multi-Customer'!T30)*AL28</f>
        <v>0</v>
      </c>
      <c r="AR28" s="363">
        <f>IF('Multi-Customer'!C30=0,'Multi-Customer'!W30,'Multi-Customer'!V30)*AL28</f>
        <v>0</v>
      </c>
      <c r="AS28" s="1" t="str">
        <f t="shared" si="11"/>
        <v>Q1</v>
      </c>
      <c r="AT28" s="1" t="str">
        <f>IF('PIM Ranges'!$AK28='PIM Ranges'!$AY$11,IF('PIM Ranges'!$AL28&lt;'PIM Ranges'!$AZ$11,"Q1",IF('PIM Ranges'!$AL28&lt;'PIM Ranges'!$BA$11,"Q2",IF('PIM Ranges'!$AL28&lt;'PIM Ranges'!$BB$11,"Q3",IF('PIM Ranges'!$AL28&lt;'PIM Ranges'!$BC$11,"Q4","Q5")))),IF('PIM Ranges'!$AK28='PIM Ranges'!$AY$12,IF('PIM Ranges'!$AL28&lt;'PIM Ranges'!$AZ$12,"Q1",IF('PIM Ranges'!$AL28&lt;'PIM Ranges'!$BA$12,"Q2",IF('PIM Ranges'!$AL28&lt;'PIM Ranges'!$BB$12,"Q3",IF('PIM Ranges'!$AL28&lt;'PIM Ranges'!$BC$12,"Q4","Q5")))),IF('PIM Ranges'!$AK28='PIM Ranges'!$AY$13,IF('PIM Ranges'!$AL28&lt;'PIM Ranges'!$AZ$13,"Q1",IF('PIM Ranges'!$AL28&lt;'PIM Ranges'!$BA$13,"Q2",IF('PIM Ranges'!$AL28&lt;'PIM Ranges'!$BB$13,"Q3",IF('PIM Ranges'!$AL28&lt;'PIM Ranges'!$BC$13,"Q4","Q5")))),IF('PIM Ranges'!$AK28='PIM Ranges'!$AY$14,IF('PIM Ranges'!$AL28&lt;'PIM Ranges'!$AZ$14,"Q1",IF('PIM Ranges'!$AL28&lt;'PIM Ranges'!$BA$14,"Q2",IF('PIM Ranges'!$AL28&lt;'PIM Ranges'!$BB$14,"Q3",IF('PIM Ranges'!$AL28&lt;'PIM Ranges'!$BC$14,"Q4","Q5")))),IF('PIM Ranges'!$AK28='PIM Ranges'!$AY$15,IF('PIM Ranges'!$AL28&lt;'PIM Ranges'!$AZ$15,"Q1",IF('PIM Ranges'!$AL28&lt;'PIM Ranges'!$BA$15,"Q2",IF('PIM Ranges'!$AL28&lt;'PIM Ranges'!$BB$15,"Q3",IF('PIM Ranges'!$AL28&lt;'PIM Ranges'!$BC$15,"Q4","Q5")))),IF('PIM Ranges'!$AK28='PIM Ranges'!$AY$16,IF('PIM Ranges'!$AL28&lt;'PIM Ranges'!$AZ$16,"Q1",IF('PIM Ranges'!$AL28&lt;'PIM Ranges'!$BA$16,"Q2",IF('PIM Ranges'!$AL28&lt;'PIM Ranges'!$BB$16,"Q3",IF('PIM Ranges'!$AL28&lt;'PIM Ranges'!$BC$16,"Q4","Q5")))),IF('PIM Ranges'!$AK28='PIM Ranges'!$AY$17,IF('PIM Ranges'!$AL28&lt;'PIM Ranges'!$AZ$17,"Q1",IF('PIM Ranges'!$AL28&lt;'PIM Ranges'!$BA$17,"Q2",IF('PIM Ranges'!$AL28&lt;'PIM Ranges'!$BB$17,"Q3",IF('PIM Ranges'!$AL28&lt;'PIM Ranges'!$BC$17,"Q4","Q5")))),IF('PIM Ranges'!$AK28='PIM Ranges'!$AY$18,IF('PIM Ranges'!$AL28&lt;'PIM Ranges'!$AZ$18,"Q1",IF('PIM Ranges'!$AL28&lt;'PIM Ranges'!$BA$18,"Q2",IF('PIM Ranges'!$AL28&lt;'PIM Ranges'!$BB$18,"Q3",IF('PIM Ranges'!$AL28&lt;'PIM Ranges'!$BC$18,"Q4","Q5")))),IF('PIM Ranges'!$AK28='PIM Ranges'!$AY$19,IF('PIM Ranges'!$AL28&lt;'PIM Ranges'!$AZ$19,"Q1",IF('PIM Ranges'!$AL28&lt;'PIM Ranges'!$BA$19,"Q2",IF('PIM Ranges'!$AL28&lt;'PIM Ranges'!$BB$19,"Q3",IF('PIM Ranges'!$AL28&lt;'PIM Ranges'!$BC$19,"Q4","Q5")))),IF('PIM Ranges'!$AK28='PIM Ranges'!$AY$20,IF('PIM Ranges'!$AL28&lt;'PIM Ranges'!$AZ$20,"Q1",IF('PIM Ranges'!$AL28&lt;'PIM Ranges'!$BA$20,"Q2",IF('PIM Ranges'!$AL28&lt;'PIM Ranges'!$BB$20,"Q3",IF('PIM Ranges'!$AL28&lt;'PIM Ranges'!$BC$20,"Q4","Q5")))),IF('PIM Ranges'!$AK28='PIM Ranges'!$AY$21,IF('PIM Ranges'!$AL28&lt;'PIM Ranges'!$AZ$21,"Q1",IF('PIM Ranges'!$AL28&lt;'PIM Ranges'!$BA$21,"Q2",IF('PIM Ranges'!$AL28&lt;'PIM Ranges'!$BB$21,"Q3",IF('PIM Ranges'!$AL28&lt;'PIM Ranges'!$BC$21,"Q4","Q5")))),IF('PIM Ranges'!$AK28='PIM Ranges'!$AY$22,IF('PIM Ranges'!$AL28&lt;'PIM Ranges'!$AZ$22,"Q1",IF('PIM Ranges'!$AL28&lt;'PIM Ranges'!$BA$22,"Q2",IF('PIM Ranges'!$AL28&lt;'PIM Ranges'!$BB$22,"Q3",IF('PIM Ranges'!$AL28&lt;'PIM Ranges'!$BC$22,"Q4","Q5")))),IF('PIM Ranges'!$AK28='PIM Ranges'!$AY$23,IF('PIM Ranges'!$AL28&lt;'PIM Ranges'!$AZ$23,"Q1",IF('PIM Ranges'!$AL28&lt;'PIM Ranges'!$BA$23,"Q2",IF('PIM Ranges'!$AL28&lt;'PIM Ranges'!$BB$23,"Q3",IF('PIM Ranges'!$AL28&lt;'PIM Ranges'!$BC$23,"Q4","Q5")))),IF('PIM Ranges'!$AK28='PIM Ranges'!$AY$24,IF('PIM Ranges'!$AL28&lt;'PIM Ranges'!$AZ$24,"Q1",IF('PIM Ranges'!$AL28&lt;'PIM Ranges'!$BA$24,"Q2",IF('PIM Ranges'!$AL28&lt;'PIM Ranges'!$BB$24,"Q3",IF('PIM Ranges'!$AL28&lt;'PIM Ranges'!$BC$24,"Q4","Q5")))),IF('PIM Ranges'!$AK28='PIM Ranges'!$AY$25,IF('PIM Ranges'!$AL28&lt;'PIM Ranges'!$AZ$25,"Q1",IF('PIM Ranges'!$AL28&lt;'PIM Ranges'!$BA$25,"Q2",IF('PIM Ranges'!$AL28&lt;'PIM Ranges'!$BB$25,"Q3",IF('PIM Ranges'!$AL28&lt;'PIM Ranges'!$BC$25,"Q4","Q5")))),IF('PIM Ranges'!$AK28='PIM Ranges'!$AY$26,IF('PIM Ranges'!$AL28&lt;'PIM Ranges'!$AZ$26,"Q1",IF('PIM Ranges'!$AL28&lt;'PIM Ranges'!$BA$26,"Q2",IF('PIM Ranges'!$AL28&lt;'PIM Ranges'!$BB$26,"Q3",IF('PIM Ranges'!$AL28&lt;'PIM Ranges'!$BC$26,"Q4","Q5")))),IF('PIM Ranges'!$AK28='PIM Ranges'!$AY$27,IF('PIM Ranges'!$AL28&lt;'PIM Ranges'!$AZ$27,"Q1",IF('PIM Ranges'!$AL28&lt;'PIM Ranges'!$BA$27,"Q2",IF('PIM Ranges'!$AL28&lt;'PIM Ranges'!$BB$27,"Q3",IF('PIM Ranges'!$AL28&lt;'PIM Ranges'!$BC$27,"Q4","Q5")))),IF('PIM Ranges'!$AK28='PIM Ranges'!$AY$28,IF('PIM Ranges'!$AL28&lt;'PIM Ranges'!$AZ$28,"Q1",IF('PIM Ranges'!$AL28&lt;'PIM Ranges'!$BA$28,"Q2",IF('PIM Ranges'!$AL28&lt;'PIM Ranges'!$BB$28,"Q3",IF('PIM Ranges'!$AL28&lt;'PIM Ranges'!$BC$28,"Q4","Q5")))),IF('PIM Ranges'!$AK28='PIM Ranges'!$AY$29,IF('PIM Ranges'!$AL28&lt;'PIM Ranges'!$AZ$29,"Q1",IF('PIM Ranges'!$AL28&lt;'PIM Ranges'!$BA$29,"Q2",IF('PIM Ranges'!$AL28&lt;'PIM Ranges'!$BB$29,"Q3",IF('PIM Ranges'!$AL28&lt;'PIM Ranges'!$BC$29,"Q4","Q5")))),IF('PIM Ranges'!$AK28='PIM Ranges'!$AY$30,IF('PIM Ranges'!$AL28&lt;'PIM Ranges'!$AZ$30,"Q1",IF('PIM Ranges'!$AL28&lt;'PIM Ranges'!$BA$30,"Q2",IF('PIM Ranges'!$AL28&lt;'PIM Ranges'!$BB$30,"Q3",IF('PIM Ranges'!$AL28&lt;'PIM Ranges'!$BC$30,"Q4","Q5")))),IF('PIM Ranges'!$AK28='PIM Ranges'!$AY$31,IF('PIM Ranges'!$AL28&lt;'PIM Ranges'!$AZ$31,"Q1",IF('PIM Ranges'!$AL28&lt;'PIM Ranges'!$BA$31,"Q2",IF('PIM Ranges'!$AL28&lt;'PIM Ranges'!$BB$31,"Q3",IF('PIM Ranges'!$AL28&lt;'PIM Ranges'!$BC$31,"Q4","Q5")))),IF('PIM Ranges'!$AK28='PIM Ranges'!$AY$32,IF('PIM Ranges'!$AL28&lt;'PIM Ranges'!$AZ$32,"Q1",IF('PIM Ranges'!$AL28&lt;'PIM Ranges'!$BA$32,"Q2",IF('PIM Ranges'!$AL28&lt;'PIM Ranges'!$BB$32,"Q3",IF('PIM Ranges'!$AL28&lt;'PIM Ranges'!$BC$32,"Q4","Q5"))))))))))))))))))))))))))</f>
        <v>Q1</v>
      </c>
      <c r="AX28" s="393"/>
      <c r="AY28" s="52" t="s">
        <v>89</v>
      </c>
      <c r="AZ28" s="394">
        <v>1058</v>
      </c>
      <c r="BA28" s="394">
        <v>3034</v>
      </c>
      <c r="BB28" s="394">
        <v>8013</v>
      </c>
      <c r="BC28" s="394">
        <v>18443</v>
      </c>
      <c r="BF28" s="52" t="s">
        <v>89</v>
      </c>
      <c r="BG28" s="394">
        <v>2315</v>
      </c>
      <c r="BH28" s="394">
        <v>7746</v>
      </c>
      <c r="BI28" s="394">
        <v>24790</v>
      </c>
      <c r="BJ28" s="394">
        <v>58388</v>
      </c>
    </row>
    <row r="29" spans="1:62" x14ac:dyDescent="0.25">
      <c r="A29" s="870">
        <f t="shared" si="12"/>
        <v>0</v>
      </c>
      <c r="B29">
        <v>20</v>
      </c>
      <c r="C29" t="s">
        <v>94</v>
      </c>
      <c r="D29" s="25">
        <f>'Multi-Customer'!C31</f>
        <v>0</v>
      </c>
      <c r="E29">
        <f>'Multi-Customer'!D31</f>
        <v>0</v>
      </c>
      <c r="F29">
        <f>'Multi-Customer'!E31</f>
        <v>0</v>
      </c>
      <c r="G29" s="274">
        <f>'Multi-Customer'!F31</f>
        <v>0</v>
      </c>
      <c r="H29" s="19">
        <f t="shared" si="13"/>
        <v>0</v>
      </c>
      <c r="I29" s="19">
        <f t="shared" si="14"/>
        <v>0</v>
      </c>
      <c r="J29" s="274"/>
      <c r="K29" s="274" t="str">
        <f>'PIM Model'!E27</f>
        <v>INCLUDE</v>
      </c>
      <c r="L29" s="274">
        <f t="shared" si="15"/>
        <v>0</v>
      </c>
      <c r="M29">
        <v>20</v>
      </c>
      <c r="N29" s="274" t="s">
        <v>94</v>
      </c>
      <c r="O29" s="274">
        <f t="shared" si="16"/>
        <v>0</v>
      </c>
      <c r="P29" s="274">
        <f t="shared" si="0"/>
        <v>0</v>
      </c>
      <c r="Q29" s="274">
        <f t="shared" si="17"/>
        <v>0</v>
      </c>
      <c r="R29" s="274">
        <f t="shared" si="1"/>
        <v>0</v>
      </c>
      <c r="S29" s="274">
        <f t="shared" si="18"/>
        <v>0</v>
      </c>
      <c r="T29" s="19">
        <f t="shared" si="19"/>
        <v>0</v>
      </c>
      <c r="U29" s="19"/>
      <c r="V29" s="2">
        <f>'PIM Model'!$C$27</f>
        <v>0</v>
      </c>
      <c r="W29" s="498">
        <f>IFERROR('Multi-Customer'!R31,0)</f>
        <v>0</v>
      </c>
      <c r="X29" s="19">
        <f t="shared" si="2"/>
        <v>0</v>
      </c>
      <c r="Y29" s="274">
        <f t="shared" si="20"/>
        <v>0</v>
      </c>
      <c r="Z29" s="274">
        <f t="shared" si="21"/>
        <v>0</v>
      </c>
      <c r="AA29" s="274">
        <f t="shared" si="22"/>
        <v>0</v>
      </c>
      <c r="AB29" s="499">
        <f t="shared" si="23"/>
        <v>0</v>
      </c>
      <c r="AC29" s="499">
        <f t="shared" si="3"/>
        <v>0</v>
      </c>
      <c r="AD29" s="274">
        <f t="shared" si="24"/>
        <v>0</v>
      </c>
      <c r="AE29" s="274"/>
      <c r="AF29" s="274">
        <f t="shared" si="4"/>
        <v>0</v>
      </c>
      <c r="AG29" s="39">
        <f>'PIM Model'!B27</f>
        <v>0</v>
      </c>
      <c r="AH29" s="361">
        <f t="shared" si="5"/>
        <v>0</v>
      </c>
      <c r="AI29" s="361">
        <f t="shared" si="25"/>
        <v>0</v>
      </c>
      <c r="AJ29">
        <v>20</v>
      </c>
      <c r="AK29" s="362" t="s">
        <v>94</v>
      </c>
      <c r="AL29" s="362">
        <f t="shared" si="6"/>
        <v>0</v>
      </c>
      <c r="AM29" s="362">
        <f t="shared" si="7"/>
        <v>0</v>
      </c>
      <c r="AN29" s="362">
        <f t="shared" si="8"/>
        <v>0</v>
      </c>
      <c r="AO29" s="363">
        <f t="shared" si="9"/>
        <v>0</v>
      </c>
      <c r="AP29" s="363">
        <f t="shared" si="10"/>
        <v>0</v>
      </c>
      <c r="AQ29" s="363">
        <f>IF('Multi-Customer'!C31=0,'Multi-Customer'!U31,'Multi-Customer'!T31)*AL29</f>
        <v>0</v>
      </c>
      <c r="AR29" s="363">
        <f>IF('Multi-Customer'!C31=0,'Multi-Customer'!W31,'Multi-Customer'!V31)*AL29</f>
        <v>0</v>
      </c>
      <c r="AS29" s="1" t="str">
        <f t="shared" si="11"/>
        <v>Q1</v>
      </c>
      <c r="AT29" s="1" t="str">
        <f>IF('PIM Ranges'!$AK29='PIM Ranges'!$AY$11,IF('PIM Ranges'!$AL29&lt;'PIM Ranges'!$AZ$11,"Q1",IF('PIM Ranges'!$AL29&lt;'PIM Ranges'!$BA$11,"Q2",IF('PIM Ranges'!$AL29&lt;'PIM Ranges'!$BB$11,"Q3",IF('PIM Ranges'!$AL29&lt;'PIM Ranges'!$BC$11,"Q4","Q5")))),IF('PIM Ranges'!$AK29='PIM Ranges'!$AY$12,IF('PIM Ranges'!$AL29&lt;'PIM Ranges'!$AZ$12,"Q1",IF('PIM Ranges'!$AL29&lt;'PIM Ranges'!$BA$12,"Q2",IF('PIM Ranges'!$AL29&lt;'PIM Ranges'!$BB$12,"Q3",IF('PIM Ranges'!$AL29&lt;'PIM Ranges'!$BC$12,"Q4","Q5")))),IF('PIM Ranges'!$AK29='PIM Ranges'!$AY$13,IF('PIM Ranges'!$AL29&lt;'PIM Ranges'!$AZ$13,"Q1",IF('PIM Ranges'!$AL29&lt;'PIM Ranges'!$BA$13,"Q2",IF('PIM Ranges'!$AL29&lt;'PIM Ranges'!$BB$13,"Q3",IF('PIM Ranges'!$AL29&lt;'PIM Ranges'!$BC$13,"Q4","Q5")))),IF('PIM Ranges'!$AK29='PIM Ranges'!$AY$14,IF('PIM Ranges'!$AL29&lt;'PIM Ranges'!$AZ$14,"Q1",IF('PIM Ranges'!$AL29&lt;'PIM Ranges'!$BA$14,"Q2",IF('PIM Ranges'!$AL29&lt;'PIM Ranges'!$BB$14,"Q3",IF('PIM Ranges'!$AL29&lt;'PIM Ranges'!$BC$14,"Q4","Q5")))),IF('PIM Ranges'!$AK29='PIM Ranges'!$AY$15,IF('PIM Ranges'!$AL29&lt;'PIM Ranges'!$AZ$15,"Q1",IF('PIM Ranges'!$AL29&lt;'PIM Ranges'!$BA$15,"Q2",IF('PIM Ranges'!$AL29&lt;'PIM Ranges'!$BB$15,"Q3",IF('PIM Ranges'!$AL29&lt;'PIM Ranges'!$BC$15,"Q4","Q5")))),IF('PIM Ranges'!$AK29='PIM Ranges'!$AY$16,IF('PIM Ranges'!$AL29&lt;'PIM Ranges'!$AZ$16,"Q1",IF('PIM Ranges'!$AL29&lt;'PIM Ranges'!$BA$16,"Q2",IF('PIM Ranges'!$AL29&lt;'PIM Ranges'!$BB$16,"Q3",IF('PIM Ranges'!$AL29&lt;'PIM Ranges'!$BC$16,"Q4","Q5")))),IF('PIM Ranges'!$AK29='PIM Ranges'!$AY$17,IF('PIM Ranges'!$AL29&lt;'PIM Ranges'!$AZ$17,"Q1",IF('PIM Ranges'!$AL29&lt;'PIM Ranges'!$BA$17,"Q2",IF('PIM Ranges'!$AL29&lt;'PIM Ranges'!$BB$17,"Q3",IF('PIM Ranges'!$AL29&lt;'PIM Ranges'!$BC$17,"Q4","Q5")))),IF('PIM Ranges'!$AK29='PIM Ranges'!$AY$18,IF('PIM Ranges'!$AL29&lt;'PIM Ranges'!$AZ$18,"Q1",IF('PIM Ranges'!$AL29&lt;'PIM Ranges'!$BA$18,"Q2",IF('PIM Ranges'!$AL29&lt;'PIM Ranges'!$BB$18,"Q3",IF('PIM Ranges'!$AL29&lt;'PIM Ranges'!$BC$18,"Q4","Q5")))),IF('PIM Ranges'!$AK29='PIM Ranges'!$AY$19,IF('PIM Ranges'!$AL29&lt;'PIM Ranges'!$AZ$19,"Q1",IF('PIM Ranges'!$AL29&lt;'PIM Ranges'!$BA$19,"Q2",IF('PIM Ranges'!$AL29&lt;'PIM Ranges'!$BB$19,"Q3",IF('PIM Ranges'!$AL29&lt;'PIM Ranges'!$BC$19,"Q4","Q5")))),IF('PIM Ranges'!$AK29='PIM Ranges'!$AY$20,IF('PIM Ranges'!$AL29&lt;'PIM Ranges'!$AZ$20,"Q1",IF('PIM Ranges'!$AL29&lt;'PIM Ranges'!$BA$20,"Q2",IF('PIM Ranges'!$AL29&lt;'PIM Ranges'!$BB$20,"Q3",IF('PIM Ranges'!$AL29&lt;'PIM Ranges'!$BC$20,"Q4","Q5")))),IF('PIM Ranges'!$AK29='PIM Ranges'!$AY$21,IF('PIM Ranges'!$AL29&lt;'PIM Ranges'!$AZ$21,"Q1",IF('PIM Ranges'!$AL29&lt;'PIM Ranges'!$BA$21,"Q2",IF('PIM Ranges'!$AL29&lt;'PIM Ranges'!$BB$21,"Q3",IF('PIM Ranges'!$AL29&lt;'PIM Ranges'!$BC$21,"Q4","Q5")))),IF('PIM Ranges'!$AK29='PIM Ranges'!$AY$22,IF('PIM Ranges'!$AL29&lt;'PIM Ranges'!$AZ$22,"Q1",IF('PIM Ranges'!$AL29&lt;'PIM Ranges'!$BA$22,"Q2",IF('PIM Ranges'!$AL29&lt;'PIM Ranges'!$BB$22,"Q3",IF('PIM Ranges'!$AL29&lt;'PIM Ranges'!$BC$22,"Q4","Q5")))),IF('PIM Ranges'!$AK29='PIM Ranges'!$AY$23,IF('PIM Ranges'!$AL29&lt;'PIM Ranges'!$AZ$23,"Q1",IF('PIM Ranges'!$AL29&lt;'PIM Ranges'!$BA$23,"Q2",IF('PIM Ranges'!$AL29&lt;'PIM Ranges'!$BB$23,"Q3",IF('PIM Ranges'!$AL29&lt;'PIM Ranges'!$BC$23,"Q4","Q5")))),IF('PIM Ranges'!$AK29='PIM Ranges'!$AY$24,IF('PIM Ranges'!$AL29&lt;'PIM Ranges'!$AZ$24,"Q1",IF('PIM Ranges'!$AL29&lt;'PIM Ranges'!$BA$24,"Q2",IF('PIM Ranges'!$AL29&lt;'PIM Ranges'!$BB$24,"Q3",IF('PIM Ranges'!$AL29&lt;'PIM Ranges'!$BC$24,"Q4","Q5")))),IF('PIM Ranges'!$AK29='PIM Ranges'!$AY$25,IF('PIM Ranges'!$AL29&lt;'PIM Ranges'!$AZ$25,"Q1",IF('PIM Ranges'!$AL29&lt;'PIM Ranges'!$BA$25,"Q2",IF('PIM Ranges'!$AL29&lt;'PIM Ranges'!$BB$25,"Q3",IF('PIM Ranges'!$AL29&lt;'PIM Ranges'!$BC$25,"Q4","Q5")))),IF('PIM Ranges'!$AK29='PIM Ranges'!$AY$26,IF('PIM Ranges'!$AL29&lt;'PIM Ranges'!$AZ$26,"Q1",IF('PIM Ranges'!$AL29&lt;'PIM Ranges'!$BA$26,"Q2",IF('PIM Ranges'!$AL29&lt;'PIM Ranges'!$BB$26,"Q3",IF('PIM Ranges'!$AL29&lt;'PIM Ranges'!$BC$26,"Q4","Q5")))),IF('PIM Ranges'!$AK29='PIM Ranges'!$AY$27,IF('PIM Ranges'!$AL29&lt;'PIM Ranges'!$AZ$27,"Q1",IF('PIM Ranges'!$AL29&lt;'PIM Ranges'!$BA$27,"Q2",IF('PIM Ranges'!$AL29&lt;'PIM Ranges'!$BB$27,"Q3",IF('PIM Ranges'!$AL29&lt;'PIM Ranges'!$BC$27,"Q4","Q5")))),IF('PIM Ranges'!$AK29='PIM Ranges'!$AY$28,IF('PIM Ranges'!$AL29&lt;'PIM Ranges'!$AZ$28,"Q1",IF('PIM Ranges'!$AL29&lt;'PIM Ranges'!$BA$28,"Q2",IF('PIM Ranges'!$AL29&lt;'PIM Ranges'!$BB$28,"Q3",IF('PIM Ranges'!$AL29&lt;'PIM Ranges'!$BC$28,"Q4","Q5")))),IF('PIM Ranges'!$AK29='PIM Ranges'!$AY$29,IF('PIM Ranges'!$AL29&lt;'PIM Ranges'!$AZ$29,"Q1",IF('PIM Ranges'!$AL29&lt;'PIM Ranges'!$BA$29,"Q2",IF('PIM Ranges'!$AL29&lt;'PIM Ranges'!$BB$29,"Q3",IF('PIM Ranges'!$AL29&lt;'PIM Ranges'!$BC$29,"Q4","Q5")))),IF('PIM Ranges'!$AK29='PIM Ranges'!$AY$30,IF('PIM Ranges'!$AL29&lt;'PIM Ranges'!$AZ$30,"Q1",IF('PIM Ranges'!$AL29&lt;'PIM Ranges'!$BA$30,"Q2",IF('PIM Ranges'!$AL29&lt;'PIM Ranges'!$BB$30,"Q3",IF('PIM Ranges'!$AL29&lt;'PIM Ranges'!$BC$30,"Q4","Q5")))),IF('PIM Ranges'!$AK29='PIM Ranges'!$AY$31,IF('PIM Ranges'!$AL29&lt;'PIM Ranges'!$AZ$31,"Q1",IF('PIM Ranges'!$AL29&lt;'PIM Ranges'!$BA$31,"Q2",IF('PIM Ranges'!$AL29&lt;'PIM Ranges'!$BB$31,"Q3",IF('PIM Ranges'!$AL29&lt;'PIM Ranges'!$BC$31,"Q4","Q5")))),IF('PIM Ranges'!$AK29='PIM Ranges'!$AY$32,IF('PIM Ranges'!$AL29&lt;'PIM Ranges'!$AZ$32,"Q1",IF('PIM Ranges'!$AL29&lt;'PIM Ranges'!$BA$32,"Q2",IF('PIM Ranges'!$AL29&lt;'PIM Ranges'!$BB$32,"Q3",IF('PIM Ranges'!$AL29&lt;'PIM Ranges'!$BC$32,"Q4","Q5"))))))))))))))))))))))))))</f>
        <v>Q1</v>
      </c>
      <c r="AX29" s="393"/>
      <c r="AY29" s="52" t="s">
        <v>94</v>
      </c>
      <c r="AZ29" s="394">
        <v>6052</v>
      </c>
      <c r="BA29" s="394">
        <v>19330</v>
      </c>
      <c r="BB29" s="394">
        <v>36449</v>
      </c>
      <c r="BC29" s="394">
        <v>81904</v>
      </c>
      <c r="BF29" s="52" t="s">
        <v>94</v>
      </c>
      <c r="BG29" s="394">
        <v>8676</v>
      </c>
      <c r="BH29" s="394">
        <v>33383</v>
      </c>
      <c r="BI29" s="394">
        <v>87871</v>
      </c>
      <c r="BJ29" s="394">
        <v>205967</v>
      </c>
    </row>
    <row r="30" spans="1:62" x14ac:dyDescent="0.25">
      <c r="A30" s="870">
        <f t="shared" si="12"/>
        <v>0</v>
      </c>
      <c r="B30">
        <v>21</v>
      </c>
      <c r="C30" t="s">
        <v>86</v>
      </c>
      <c r="D30" s="25">
        <f>'Multi-Customer'!C32</f>
        <v>0</v>
      </c>
      <c r="E30">
        <f>'Multi-Customer'!D32</f>
        <v>0</v>
      </c>
      <c r="F30">
        <f>'Multi-Customer'!E32</f>
        <v>0</v>
      </c>
      <c r="G30" s="274">
        <f>'Multi-Customer'!F32</f>
        <v>0</v>
      </c>
      <c r="H30" s="19">
        <f t="shared" si="13"/>
        <v>0</v>
      </c>
      <c r="I30" s="19">
        <f t="shared" si="14"/>
        <v>0</v>
      </c>
      <c r="J30" s="274"/>
      <c r="K30" s="274" t="str">
        <f>'PIM Model'!E28</f>
        <v>INCLUDE</v>
      </c>
      <c r="L30" s="274">
        <f t="shared" si="15"/>
        <v>0</v>
      </c>
      <c r="M30">
        <v>21</v>
      </c>
      <c r="N30" s="274" t="s">
        <v>86</v>
      </c>
      <c r="O30" s="274">
        <f t="shared" si="16"/>
        <v>0</v>
      </c>
      <c r="P30" s="274">
        <f t="shared" si="0"/>
        <v>0</v>
      </c>
      <c r="Q30" s="274">
        <f t="shared" si="17"/>
        <v>0</v>
      </c>
      <c r="R30" s="274">
        <f t="shared" si="1"/>
        <v>0</v>
      </c>
      <c r="S30" s="274">
        <f t="shared" si="18"/>
        <v>0</v>
      </c>
      <c r="T30" s="19">
        <f t="shared" si="19"/>
        <v>0</v>
      </c>
      <c r="U30" s="19"/>
      <c r="V30" s="2">
        <f>'PIM Model'!$C$28</f>
        <v>0</v>
      </c>
      <c r="W30" s="498">
        <f>IFERROR('Multi-Customer'!R32,0)</f>
        <v>0</v>
      </c>
      <c r="X30" s="19">
        <f t="shared" si="2"/>
        <v>0</v>
      </c>
      <c r="Y30" s="274">
        <f t="shared" si="20"/>
        <v>0</v>
      </c>
      <c r="Z30" s="274">
        <f t="shared" si="21"/>
        <v>0</v>
      </c>
      <c r="AA30" s="274">
        <f t="shared" si="22"/>
        <v>0</v>
      </c>
      <c r="AB30" s="499">
        <f t="shared" si="23"/>
        <v>0</v>
      </c>
      <c r="AC30" s="499">
        <f t="shared" si="3"/>
        <v>0</v>
      </c>
      <c r="AD30" s="274">
        <f t="shared" si="24"/>
        <v>0</v>
      </c>
      <c r="AE30" s="274"/>
      <c r="AF30" s="274">
        <f t="shared" si="4"/>
        <v>0</v>
      </c>
      <c r="AG30" s="39">
        <f>'PIM Model'!B28</f>
        <v>0</v>
      </c>
      <c r="AH30" s="361">
        <f t="shared" si="5"/>
        <v>0</v>
      </c>
      <c r="AI30" s="361">
        <f t="shared" si="25"/>
        <v>0</v>
      </c>
      <c r="AJ30">
        <v>21</v>
      </c>
      <c r="AK30" s="362" t="s">
        <v>86</v>
      </c>
      <c r="AL30" s="362">
        <f t="shared" si="6"/>
        <v>0</v>
      </c>
      <c r="AM30" s="362">
        <f t="shared" si="7"/>
        <v>0</v>
      </c>
      <c r="AN30" s="362">
        <f t="shared" si="8"/>
        <v>0</v>
      </c>
      <c r="AO30" s="363">
        <f t="shared" si="9"/>
        <v>0</v>
      </c>
      <c r="AP30" s="363">
        <f t="shared" si="10"/>
        <v>0</v>
      </c>
      <c r="AQ30" s="363">
        <f>IF('Multi-Customer'!C32=0,'Multi-Customer'!U32,'Multi-Customer'!T32)*AL30</f>
        <v>0</v>
      </c>
      <c r="AR30" s="363">
        <f>IF('Multi-Customer'!C32=0,'Multi-Customer'!W32,'Multi-Customer'!V32)*AL30</f>
        <v>0</v>
      </c>
      <c r="AS30" s="1" t="str">
        <f t="shared" si="11"/>
        <v>Q1</v>
      </c>
      <c r="AT30" s="1" t="str">
        <f>IF('PIM Ranges'!$AK30='PIM Ranges'!$AY$11,IF('PIM Ranges'!$AL30&lt;'PIM Ranges'!$AZ$11,"Q1",IF('PIM Ranges'!$AL30&lt;'PIM Ranges'!$BA$11,"Q2",IF('PIM Ranges'!$AL30&lt;'PIM Ranges'!$BB$11,"Q3",IF('PIM Ranges'!$AL30&lt;'PIM Ranges'!$BC$11,"Q4","Q5")))),IF('PIM Ranges'!$AK30='PIM Ranges'!$AY$12,IF('PIM Ranges'!$AL30&lt;'PIM Ranges'!$AZ$12,"Q1",IF('PIM Ranges'!$AL30&lt;'PIM Ranges'!$BA$12,"Q2",IF('PIM Ranges'!$AL30&lt;'PIM Ranges'!$BB$12,"Q3",IF('PIM Ranges'!$AL30&lt;'PIM Ranges'!$BC$12,"Q4","Q5")))),IF('PIM Ranges'!$AK30='PIM Ranges'!$AY$13,IF('PIM Ranges'!$AL30&lt;'PIM Ranges'!$AZ$13,"Q1",IF('PIM Ranges'!$AL30&lt;'PIM Ranges'!$BA$13,"Q2",IF('PIM Ranges'!$AL30&lt;'PIM Ranges'!$BB$13,"Q3",IF('PIM Ranges'!$AL30&lt;'PIM Ranges'!$BC$13,"Q4","Q5")))),IF('PIM Ranges'!$AK30='PIM Ranges'!$AY$14,IF('PIM Ranges'!$AL30&lt;'PIM Ranges'!$AZ$14,"Q1",IF('PIM Ranges'!$AL30&lt;'PIM Ranges'!$BA$14,"Q2",IF('PIM Ranges'!$AL30&lt;'PIM Ranges'!$BB$14,"Q3",IF('PIM Ranges'!$AL30&lt;'PIM Ranges'!$BC$14,"Q4","Q5")))),IF('PIM Ranges'!$AK30='PIM Ranges'!$AY$15,IF('PIM Ranges'!$AL30&lt;'PIM Ranges'!$AZ$15,"Q1",IF('PIM Ranges'!$AL30&lt;'PIM Ranges'!$BA$15,"Q2",IF('PIM Ranges'!$AL30&lt;'PIM Ranges'!$BB$15,"Q3",IF('PIM Ranges'!$AL30&lt;'PIM Ranges'!$BC$15,"Q4","Q5")))),IF('PIM Ranges'!$AK30='PIM Ranges'!$AY$16,IF('PIM Ranges'!$AL30&lt;'PIM Ranges'!$AZ$16,"Q1",IF('PIM Ranges'!$AL30&lt;'PIM Ranges'!$BA$16,"Q2",IF('PIM Ranges'!$AL30&lt;'PIM Ranges'!$BB$16,"Q3",IF('PIM Ranges'!$AL30&lt;'PIM Ranges'!$BC$16,"Q4","Q5")))),IF('PIM Ranges'!$AK30='PIM Ranges'!$AY$17,IF('PIM Ranges'!$AL30&lt;'PIM Ranges'!$AZ$17,"Q1",IF('PIM Ranges'!$AL30&lt;'PIM Ranges'!$BA$17,"Q2",IF('PIM Ranges'!$AL30&lt;'PIM Ranges'!$BB$17,"Q3",IF('PIM Ranges'!$AL30&lt;'PIM Ranges'!$BC$17,"Q4","Q5")))),IF('PIM Ranges'!$AK30='PIM Ranges'!$AY$18,IF('PIM Ranges'!$AL30&lt;'PIM Ranges'!$AZ$18,"Q1",IF('PIM Ranges'!$AL30&lt;'PIM Ranges'!$BA$18,"Q2",IF('PIM Ranges'!$AL30&lt;'PIM Ranges'!$BB$18,"Q3",IF('PIM Ranges'!$AL30&lt;'PIM Ranges'!$BC$18,"Q4","Q5")))),IF('PIM Ranges'!$AK30='PIM Ranges'!$AY$19,IF('PIM Ranges'!$AL30&lt;'PIM Ranges'!$AZ$19,"Q1",IF('PIM Ranges'!$AL30&lt;'PIM Ranges'!$BA$19,"Q2",IF('PIM Ranges'!$AL30&lt;'PIM Ranges'!$BB$19,"Q3",IF('PIM Ranges'!$AL30&lt;'PIM Ranges'!$BC$19,"Q4","Q5")))),IF('PIM Ranges'!$AK30='PIM Ranges'!$AY$20,IF('PIM Ranges'!$AL30&lt;'PIM Ranges'!$AZ$20,"Q1",IF('PIM Ranges'!$AL30&lt;'PIM Ranges'!$BA$20,"Q2",IF('PIM Ranges'!$AL30&lt;'PIM Ranges'!$BB$20,"Q3",IF('PIM Ranges'!$AL30&lt;'PIM Ranges'!$BC$20,"Q4","Q5")))),IF('PIM Ranges'!$AK30='PIM Ranges'!$AY$21,IF('PIM Ranges'!$AL30&lt;'PIM Ranges'!$AZ$21,"Q1",IF('PIM Ranges'!$AL30&lt;'PIM Ranges'!$BA$21,"Q2",IF('PIM Ranges'!$AL30&lt;'PIM Ranges'!$BB$21,"Q3",IF('PIM Ranges'!$AL30&lt;'PIM Ranges'!$BC$21,"Q4","Q5")))),IF('PIM Ranges'!$AK30='PIM Ranges'!$AY$22,IF('PIM Ranges'!$AL30&lt;'PIM Ranges'!$AZ$22,"Q1",IF('PIM Ranges'!$AL30&lt;'PIM Ranges'!$BA$22,"Q2",IF('PIM Ranges'!$AL30&lt;'PIM Ranges'!$BB$22,"Q3",IF('PIM Ranges'!$AL30&lt;'PIM Ranges'!$BC$22,"Q4","Q5")))),IF('PIM Ranges'!$AK30='PIM Ranges'!$AY$23,IF('PIM Ranges'!$AL30&lt;'PIM Ranges'!$AZ$23,"Q1",IF('PIM Ranges'!$AL30&lt;'PIM Ranges'!$BA$23,"Q2",IF('PIM Ranges'!$AL30&lt;'PIM Ranges'!$BB$23,"Q3",IF('PIM Ranges'!$AL30&lt;'PIM Ranges'!$BC$23,"Q4","Q5")))),IF('PIM Ranges'!$AK30='PIM Ranges'!$AY$24,IF('PIM Ranges'!$AL30&lt;'PIM Ranges'!$AZ$24,"Q1",IF('PIM Ranges'!$AL30&lt;'PIM Ranges'!$BA$24,"Q2",IF('PIM Ranges'!$AL30&lt;'PIM Ranges'!$BB$24,"Q3",IF('PIM Ranges'!$AL30&lt;'PIM Ranges'!$BC$24,"Q4","Q5")))),IF('PIM Ranges'!$AK30='PIM Ranges'!$AY$25,IF('PIM Ranges'!$AL30&lt;'PIM Ranges'!$AZ$25,"Q1",IF('PIM Ranges'!$AL30&lt;'PIM Ranges'!$BA$25,"Q2",IF('PIM Ranges'!$AL30&lt;'PIM Ranges'!$BB$25,"Q3",IF('PIM Ranges'!$AL30&lt;'PIM Ranges'!$BC$25,"Q4","Q5")))),IF('PIM Ranges'!$AK30='PIM Ranges'!$AY$26,IF('PIM Ranges'!$AL30&lt;'PIM Ranges'!$AZ$26,"Q1",IF('PIM Ranges'!$AL30&lt;'PIM Ranges'!$BA$26,"Q2",IF('PIM Ranges'!$AL30&lt;'PIM Ranges'!$BB$26,"Q3",IF('PIM Ranges'!$AL30&lt;'PIM Ranges'!$BC$26,"Q4","Q5")))),IF('PIM Ranges'!$AK30='PIM Ranges'!$AY$27,IF('PIM Ranges'!$AL30&lt;'PIM Ranges'!$AZ$27,"Q1",IF('PIM Ranges'!$AL30&lt;'PIM Ranges'!$BA$27,"Q2",IF('PIM Ranges'!$AL30&lt;'PIM Ranges'!$BB$27,"Q3",IF('PIM Ranges'!$AL30&lt;'PIM Ranges'!$BC$27,"Q4","Q5")))),IF('PIM Ranges'!$AK30='PIM Ranges'!$AY$28,IF('PIM Ranges'!$AL30&lt;'PIM Ranges'!$AZ$28,"Q1",IF('PIM Ranges'!$AL30&lt;'PIM Ranges'!$BA$28,"Q2",IF('PIM Ranges'!$AL30&lt;'PIM Ranges'!$BB$28,"Q3",IF('PIM Ranges'!$AL30&lt;'PIM Ranges'!$BC$28,"Q4","Q5")))),IF('PIM Ranges'!$AK30='PIM Ranges'!$AY$29,IF('PIM Ranges'!$AL30&lt;'PIM Ranges'!$AZ$29,"Q1",IF('PIM Ranges'!$AL30&lt;'PIM Ranges'!$BA$29,"Q2",IF('PIM Ranges'!$AL30&lt;'PIM Ranges'!$BB$29,"Q3",IF('PIM Ranges'!$AL30&lt;'PIM Ranges'!$BC$29,"Q4","Q5")))),IF('PIM Ranges'!$AK30='PIM Ranges'!$AY$30,IF('PIM Ranges'!$AL30&lt;'PIM Ranges'!$AZ$30,"Q1",IF('PIM Ranges'!$AL30&lt;'PIM Ranges'!$BA$30,"Q2",IF('PIM Ranges'!$AL30&lt;'PIM Ranges'!$BB$30,"Q3",IF('PIM Ranges'!$AL30&lt;'PIM Ranges'!$BC$30,"Q4","Q5")))),IF('PIM Ranges'!$AK30='PIM Ranges'!$AY$31,IF('PIM Ranges'!$AL30&lt;'PIM Ranges'!$AZ$31,"Q1",IF('PIM Ranges'!$AL30&lt;'PIM Ranges'!$BA$31,"Q2",IF('PIM Ranges'!$AL30&lt;'PIM Ranges'!$BB$31,"Q3",IF('PIM Ranges'!$AL30&lt;'PIM Ranges'!$BC$31,"Q4","Q5")))),IF('PIM Ranges'!$AK30='PIM Ranges'!$AY$32,IF('PIM Ranges'!$AL30&lt;'PIM Ranges'!$AZ$32,"Q1",IF('PIM Ranges'!$AL30&lt;'PIM Ranges'!$BA$32,"Q2",IF('PIM Ranges'!$AL30&lt;'PIM Ranges'!$BB$32,"Q3",IF('PIM Ranges'!$AL30&lt;'PIM Ranges'!$BC$32,"Q4","Q5"))))))))))))))))))))))))))</f>
        <v>Q1</v>
      </c>
      <c r="AX30" s="393"/>
      <c r="AY30" s="52" t="s">
        <v>86</v>
      </c>
      <c r="AZ30" s="394">
        <v>88</v>
      </c>
      <c r="BA30" s="394">
        <v>544</v>
      </c>
      <c r="BB30" s="394">
        <v>2063</v>
      </c>
      <c r="BC30" s="394">
        <v>4981</v>
      </c>
      <c r="BF30" s="52" t="s">
        <v>86</v>
      </c>
      <c r="BG30" s="394">
        <v>151</v>
      </c>
      <c r="BH30" s="394">
        <v>808</v>
      </c>
      <c r="BI30" s="394">
        <v>4097</v>
      </c>
      <c r="BJ30" s="394">
        <v>9886</v>
      </c>
    </row>
    <row r="31" spans="1:62" x14ac:dyDescent="0.25">
      <c r="A31" s="870">
        <f t="shared" si="12"/>
        <v>0</v>
      </c>
      <c r="B31">
        <v>22</v>
      </c>
      <c r="C31" t="s">
        <v>88</v>
      </c>
      <c r="D31" s="25">
        <f>'Multi-Customer'!C33</f>
        <v>0</v>
      </c>
      <c r="E31">
        <f>'Multi-Customer'!D33</f>
        <v>0</v>
      </c>
      <c r="F31">
        <f>'Multi-Customer'!E33</f>
        <v>0</v>
      </c>
      <c r="G31" s="274">
        <f>'Multi-Customer'!F33</f>
        <v>0</v>
      </c>
      <c r="H31" s="19">
        <f t="shared" si="13"/>
        <v>0</v>
      </c>
      <c r="I31" s="19">
        <f t="shared" si="14"/>
        <v>0</v>
      </c>
      <c r="J31" s="274"/>
      <c r="K31" s="274" t="str">
        <f>'PIM Model'!E29</f>
        <v>INCLUDE</v>
      </c>
      <c r="L31" s="274">
        <f t="shared" si="15"/>
        <v>0</v>
      </c>
      <c r="M31">
        <v>22</v>
      </c>
      <c r="N31" s="274" t="s">
        <v>88</v>
      </c>
      <c r="O31" s="274">
        <f t="shared" si="16"/>
        <v>0</v>
      </c>
      <c r="P31" s="274">
        <f t="shared" si="0"/>
        <v>0</v>
      </c>
      <c r="Q31" s="274">
        <f t="shared" si="17"/>
        <v>0</v>
      </c>
      <c r="R31" s="274">
        <f t="shared" si="1"/>
        <v>0</v>
      </c>
      <c r="S31" s="274">
        <f t="shared" si="18"/>
        <v>0</v>
      </c>
      <c r="T31" s="19">
        <f t="shared" si="19"/>
        <v>0</v>
      </c>
      <c r="U31" s="19"/>
      <c r="V31" s="2">
        <f>'PIM Model'!$C$29</f>
        <v>0</v>
      </c>
      <c r="W31" s="498">
        <f>IFERROR('Multi-Customer'!R33,0)</f>
        <v>0</v>
      </c>
      <c r="X31" s="19">
        <f t="shared" si="2"/>
        <v>0</v>
      </c>
      <c r="Y31" s="274">
        <f t="shared" si="20"/>
        <v>0</v>
      </c>
      <c r="Z31" s="274">
        <f t="shared" si="21"/>
        <v>0</v>
      </c>
      <c r="AA31" s="274">
        <f t="shared" si="22"/>
        <v>0</v>
      </c>
      <c r="AB31" s="499">
        <f t="shared" si="23"/>
        <v>0</v>
      </c>
      <c r="AC31" s="499">
        <f t="shared" si="3"/>
        <v>0</v>
      </c>
      <c r="AD31" s="274">
        <f t="shared" si="24"/>
        <v>0</v>
      </c>
      <c r="AE31" s="274"/>
      <c r="AF31" s="274">
        <f t="shared" si="4"/>
        <v>0</v>
      </c>
      <c r="AG31" s="39">
        <f>'PIM Model'!B29</f>
        <v>0</v>
      </c>
      <c r="AH31" s="361">
        <f t="shared" si="5"/>
        <v>0</v>
      </c>
      <c r="AI31" s="361">
        <f t="shared" si="25"/>
        <v>0</v>
      </c>
      <c r="AJ31">
        <v>22</v>
      </c>
      <c r="AK31" s="362" t="s">
        <v>88</v>
      </c>
      <c r="AL31" s="362">
        <f t="shared" si="6"/>
        <v>0</v>
      </c>
      <c r="AM31" s="362">
        <f t="shared" si="7"/>
        <v>0</v>
      </c>
      <c r="AN31" s="362">
        <f t="shared" si="8"/>
        <v>0</v>
      </c>
      <c r="AO31" s="363">
        <f t="shared" si="9"/>
        <v>0</v>
      </c>
      <c r="AP31" s="363">
        <f t="shared" si="10"/>
        <v>0</v>
      </c>
      <c r="AQ31" s="363">
        <f>IF('Multi-Customer'!C33=0,'Multi-Customer'!U33,'Multi-Customer'!T33)*AL31</f>
        <v>0</v>
      </c>
      <c r="AR31" s="363">
        <f>IF('Multi-Customer'!C33=0,'Multi-Customer'!W33,'Multi-Customer'!V33)*AL31</f>
        <v>0</v>
      </c>
      <c r="AS31" s="1" t="str">
        <f t="shared" si="11"/>
        <v>Q1</v>
      </c>
      <c r="AT31" s="1" t="str">
        <f>IF('PIM Ranges'!$AK31='PIM Ranges'!$AY$11,IF('PIM Ranges'!$AL31&lt;'PIM Ranges'!$AZ$11,"Q1",IF('PIM Ranges'!$AL31&lt;'PIM Ranges'!$BA$11,"Q2",IF('PIM Ranges'!$AL31&lt;'PIM Ranges'!$BB$11,"Q3",IF('PIM Ranges'!$AL31&lt;'PIM Ranges'!$BC$11,"Q4","Q5")))),IF('PIM Ranges'!$AK31='PIM Ranges'!$AY$12,IF('PIM Ranges'!$AL31&lt;'PIM Ranges'!$AZ$12,"Q1",IF('PIM Ranges'!$AL31&lt;'PIM Ranges'!$BA$12,"Q2",IF('PIM Ranges'!$AL31&lt;'PIM Ranges'!$BB$12,"Q3",IF('PIM Ranges'!$AL31&lt;'PIM Ranges'!$BC$12,"Q4","Q5")))),IF('PIM Ranges'!$AK31='PIM Ranges'!$AY$13,IF('PIM Ranges'!$AL31&lt;'PIM Ranges'!$AZ$13,"Q1",IF('PIM Ranges'!$AL31&lt;'PIM Ranges'!$BA$13,"Q2",IF('PIM Ranges'!$AL31&lt;'PIM Ranges'!$BB$13,"Q3",IF('PIM Ranges'!$AL31&lt;'PIM Ranges'!$BC$13,"Q4","Q5")))),IF('PIM Ranges'!$AK31='PIM Ranges'!$AY$14,IF('PIM Ranges'!$AL31&lt;'PIM Ranges'!$AZ$14,"Q1",IF('PIM Ranges'!$AL31&lt;'PIM Ranges'!$BA$14,"Q2",IF('PIM Ranges'!$AL31&lt;'PIM Ranges'!$BB$14,"Q3",IF('PIM Ranges'!$AL31&lt;'PIM Ranges'!$BC$14,"Q4","Q5")))),IF('PIM Ranges'!$AK31='PIM Ranges'!$AY$15,IF('PIM Ranges'!$AL31&lt;'PIM Ranges'!$AZ$15,"Q1",IF('PIM Ranges'!$AL31&lt;'PIM Ranges'!$BA$15,"Q2",IF('PIM Ranges'!$AL31&lt;'PIM Ranges'!$BB$15,"Q3",IF('PIM Ranges'!$AL31&lt;'PIM Ranges'!$BC$15,"Q4","Q5")))),IF('PIM Ranges'!$AK31='PIM Ranges'!$AY$16,IF('PIM Ranges'!$AL31&lt;'PIM Ranges'!$AZ$16,"Q1",IF('PIM Ranges'!$AL31&lt;'PIM Ranges'!$BA$16,"Q2",IF('PIM Ranges'!$AL31&lt;'PIM Ranges'!$BB$16,"Q3",IF('PIM Ranges'!$AL31&lt;'PIM Ranges'!$BC$16,"Q4","Q5")))),IF('PIM Ranges'!$AK31='PIM Ranges'!$AY$17,IF('PIM Ranges'!$AL31&lt;'PIM Ranges'!$AZ$17,"Q1",IF('PIM Ranges'!$AL31&lt;'PIM Ranges'!$BA$17,"Q2",IF('PIM Ranges'!$AL31&lt;'PIM Ranges'!$BB$17,"Q3",IF('PIM Ranges'!$AL31&lt;'PIM Ranges'!$BC$17,"Q4","Q5")))),IF('PIM Ranges'!$AK31='PIM Ranges'!$AY$18,IF('PIM Ranges'!$AL31&lt;'PIM Ranges'!$AZ$18,"Q1",IF('PIM Ranges'!$AL31&lt;'PIM Ranges'!$BA$18,"Q2",IF('PIM Ranges'!$AL31&lt;'PIM Ranges'!$BB$18,"Q3",IF('PIM Ranges'!$AL31&lt;'PIM Ranges'!$BC$18,"Q4","Q5")))),IF('PIM Ranges'!$AK31='PIM Ranges'!$AY$19,IF('PIM Ranges'!$AL31&lt;'PIM Ranges'!$AZ$19,"Q1",IF('PIM Ranges'!$AL31&lt;'PIM Ranges'!$BA$19,"Q2",IF('PIM Ranges'!$AL31&lt;'PIM Ranges'!$BB$19,"Q3",IF('PIM Ranges'!$AL31&lt;'PIM Ranges'!$BC$19,"Q4","Q5")))),IF('PIM Ranges'!$AK31='PIM Ranges'!$AY$20,IF('PIM Ranges'!$AL31&lt;'PIM Ranges'!$AZ$20,"Q1",IF('PIM Ranges'!$AL31&lt;'PIM Ranges'!$BA$20,"Q2",IF('PIM Ranges'!$AL31&lt;'PIM Ranges'!$BB$20,"Q3",IF('PIM Ranges'!$AL31&lt;'PIM Ranges'!$BC$20,"Q4","Q5")))),IF('PIM Ranges'!$AK31='PIM Ranges'!$AY$21,IF('PIM Ranges'!$AL31&lt;'PIM Ranges'!$AZ$21,"Q1",IF('PIM Ranges'!$AL31&lt;'PIM Ranges'!$BA$21,"Q2",IF('PIM Ranges'!$AL31&lt;'PIM Ranges'!$BB$21,"Q3",IF('PIM Ranges'!$AL31&lt;'PIM Ranges'!$BC$21,"Q4","Q5")))),IF('PIM Ranges'!$AK31='PIM Ranges'!$AY$22,IF('PIM Ranges'!$AL31&lt;'PIM Ranges'!$AZ$22,"Q1",IF('PIM Ranges'!$AL31&lt;'PIM Ranges'!$BA$22,"Q2",IF('PIM Ranges'!$AL31&lt;'PIM Ranges'!$BB$22,"Q3",IF('PIM Ranges'!$AL31&lt;'PIM Ranges'!$BC$22,"Q4","Q5")))),IF('PIM Ranges'!$AK31='PIM Ranges'!$AY$23,IF('PIM Ranges'!$AL31&lt;'PIM Ranges'!$AZ$23,"Q1",IF('PIM Ranges'!$AL31&lt;'PIM Ranges'!$BA$23,"Q2",IF('PIM Ranges'!$AL31&lt;'PIM Ranges'!$BB$23,"Q3",IF('PIM Ranges'!$AL31&lt;'PIM Ranges'!$BC$23,"Q4","Q5")))),IF('PIM Ranges'!$AK31='PIM Ranges'!$AY$24,IF('PIM Ranges'!$AL31&lt;'PIM Ranges'!$AZ$24,"Q1",IF('PIM Ranges'!$AL31&lt;'PIM Ranges'!$BA$24,"Q2",IF('PIM Ranges'!$AL31&lt;'PIM Ranges'!$BB$24,"Q3",IF('PIM Ranges'!$AL31&lt;'PIM Ranges'!$BC$24,"Q4","Q5")))),IF('PIM Ranges'!$AK31='PIM Ranges'!$AY$25,IF('PIM Ranges'!$AL31&lt;'PIM Ranges'!$AZ$25,"Q1",IF('PIM Ranges'!$AL31&lt;'PIM Ranges'!$BA$25,"Q2",IF('PIM Ranges'!$AL31&lt;'PIM Ranges'!$BB$25,"Q3",IF('PIM Ranges'!$AL31&lt;'PIM Ranges'!$BC$25,"Q4","Q5")))),IF('PIM Ranges'!$AK31='PIM Ranges'!$AY$26,IF('PIM Ranges'!$AL31&lt;'PIM Ranges'!$AZ$26,"Q1",IF('PIM Ranges'!$AL31&lt;'PIM Ranges'!$BA$26,"Q2",IF('PIM Ranges'!$AL31&lt;'PIM Ranges'!$BB$26,"Q3",IF('PIM Ranges'!$AL31&lt;'PIM Ranges'!$BC$26,"Q4","Q5")))),IF('PIM Ranges'!$AK31='PIM Ranges'!$AY$27,IF('PIM Ranges'!$AL31&lt;'PIM Ranges'!$AZ$27,"Q1",IF('PIM Ranges'!$AL31&lt;'PIM Ranges'!$BA$27,"Q2",IF('PIM Ranges'!$AL31&lt;'PIM Ranges'!$BB$27,"Q3",IF('PIM Ranges'!$AL31&lt;'PIM Ranges'!$BC$27,"Q4","Q5")))),IF('PIM Ranges'!$AK31='PIM Ranges'!$AY$28,IF('PIM Ranges'!$AL31&lt;'PIM Ranges'!$AZ$28,"Q1",IF('PIM Ranges'!$AL31&lt;'PIM Ranges'!$BA$28,"Q2",IF('PIM Ranges'!$AL31&lt;'PIM Ranges'!$BB$28,"Q3",IF('PIM Ranges'!$AL31&lt;'PIM Ranges'!$BC$28,"Q4","Q5")))),IF('PIM Ranges'!$AK31='PIM Ranges'!$AY$29,IF('PIM Ranges'!$AL31&lt;'PIM Ranges'!$AZ$29,"Q1",IF('PIM Ranges'!$AL31&lt;'PIM Ranges'!$BA$29,"Q2",IF('PIM Ranges'!$AL31&lt;'PIM Ranges'!$BB$29,"Q3",IF('PIM Ranges'!$AL31&lt;'PIM Ranges'!$BC$29,"Q4","Q5")))),IF('PIM Ranges'!$AK31='PIM Ranges'!$AY$30,IF('PIM Ranges'!$AL31&lt;'PIM Ranges'!$AZ$30,"Q1",IF('PIM Ranges'!$AL31&lt;'PIM Ranges'!$BA$30,"Q2",IF('PIM Ranges'!$AL31&lt;'PIM Ranges'!$BB$30,"Q3",IF('PIM Ranges'!$AL31&lt;'PIM Ranges'!$BC$30,"Q4","Q5")))),IF('PIM Ranges'!$AK31='PIM Ranges'!$AY$31,IF('PIM Ranges'!$AL31&lt;'PIM Ranges'!$AZ$31,"Q1",IF('PIM Ranges'!$AL31&lt;'PIM Ranges'!$BA$31,"Q2",IF('PIM Ranges'!$AL31&lt;'PIM Ranges'!$BB$31,"Q3",IF('PIM Ranges'!$AL31&lt;'PIM Ranges'!$BC$31,"Q4","Q5")))),IF('PIM Ranges'!$AK31='PIM Ranges'!$AY$32,IF('PIM Ranges'!$AL31&lt;'PIM Ranges'!$AZ$32,"Q1",IF('PIM Ranges'!$AL31&lt;'PIM Ranges'!$BA$32,"Q2",IF('PIM Ranges'!$AL31&lt;'PIM Ranges'!$BB$32,"Q3",IF('PIM Ranges'!$AL31&lt;'PIM Ranges'!$BC$32,"Q4","Q5"))))))))))))))))))))))))))</f>
        <v>Q1</v>
      </c>
      <c r="AX31" s="393"/>
      <c r="AY31" s="52" t="s">
        <v>88</v>
      </c>
      <c r="AZ31" s="394">
        <v>6782</v>
      </c>
      <c r="BA31" s="394">
        <v>19966</v>
      </c>
      <c r="BB31" s="394">
        <v>43486</v>
      </c>
      <c r="BC31" s="394">
        <v>97858</v>
      </c>
      <c r="BF31" s="52" t="s">
        <v>88</v>
      </c>
      <c r="BG31" s="394">
        <v>8688</v>
      </c>
      <c r="BH31" s="394">
        <v>30144</v>
      </c>
      <c r="BI31" s="394">
        <v>100469</v>
      </c>
      <c r="BJ31" s="394">
        <v>234604</v>
      </c>
    </row>
    <row r="32" spans="1:62" x14ac:dyDescent="0.25">
      <c r="A32" s="870">
        <f t="shared" si="12"/>
        <v>0</v>
      </c>
      <c r="B32">
        <v>23</v>
      </c>
      <c r="C32" t="s">
        <v>87</v>
      </c>
      <c r="D32" s="25">
        <f>'Multi-Customer'!C34</f>
        <v>0</v>
      </c>
      <c r="E32">
        <f>'Multi-Customer'!D34</f>
        <v>0</v>
      </c>
      <c r="F32">
        <f>'Multi-Customer'!E34</f>
        <v>0</v>
      </c>
      <c r="G32" s="274">
        <f>'Multi-Customer'!F34</f>
        <v>0</v>
      </c>
      <c r="H32" s="19">
        <f t="shared" si="13"/>
        <v>0</v>
      </c>
      <c r="I32" s="19">
        <f t="shared" si="14"/>
        <v>0</v>
      </c>
      <c r="J32" s="274"/>
      <c r="K32" s="274" t="str">
        <f>'PIM Model'!E30</f>
        <v>INCLUDE</v>
      </c>
      <c r="L32" s="274">
        <f t="shared" si="15"/>
        <v>0</v>
      </c>
      <c r="M32">
        <v>23</v>
      </c>
      <c r="N32" s="274" t="s">
        <v>87</v>
      </c>
      <c r="O32" s="274">
        <f t="shared" si="16"/>
        <v>0</v>
      </c>
      <c r="P32" s="274">
        <f>IFERROR(IF($K32="Exclude",0,E32/$L$33),0)</f>
        <v>0</v>
      </c>
      <c r="Q32" s="274">
        <f t="shared" si="17"/>
        <v>0</v>
      </c>
      <c r="R32" s="274">
        <f>IFERROR(IF($K32="Exclude",0,G32/$L$33),0)</f>
        <v>0</v>
      </c>
      <c r="S32" s="274">
        <f t="shared" si="18"/>
        <v>0</v>
      </c>
      <c r="T32" s="19">
        <f t="shared" si="19"/>
        <v>0</v>
      </c>
      <c r="U32" s="19"/>
      <c r="V32" s="2">
        <f>'PIM Model'!$C$30</f>
        <v>0</v>
      </c>
      <c r="W32" s="498">
        <f>IFERROR('Multi-Customer'!R34,0)</f>
        <v>0</v>
      </c>
      <c r="X32" s="19">
        <f>IFERROR($W32*$Z$33,0)</f>
        <v>0</v>
      </c>
      <c r="Y32" s="274">
        <f t="shared" si="20"/>
        <v>0</v>
      </c>
      <c r="Z32" s="274">
        <f t="shared" si="21"/>
        <v>0</v>
      </c>
      <c r="AA32" s="274">
        <f t="shared" si="22"/>
        <v>0</v>
      </c>
      <c r="AB32" s="499">
        <f t="shared" si="23"/>
        <v>0</v>
      </c>
      <c r="AC32" s="499">
        <f>IFERROR(IF($AA32=0,AB32,0),0)</f>
        <v>0</v>
      </c>
      <c r="AD32" s="274">
        <f t="shared" si="24"/>
        <v>0</v>
      </c>
      <c r="AE32" s="274"/>
      <c r="AF32" s="274">
        <f>IFERROR(AD32*(1+$AG32)-AD32,0)</f>
        <v>0</v>
      </c>
      <c r="AG32" s="39">
        <f>'PIM Model'!B30</f>
        <v>0</v>
      </c>
      <c r="AH32" s="361">
        <f t="shared" si="5"/>
        <v>0</v>
      </c>
      <c r="AI32" s="361">
        <f t="shared" si="25"/>
        <v>0</v>
      </c>
      <c r="AJ32">
        <v>23</v>
      </c>
      <c r="AK32" s="362" t="s">
        <v>87</v>
      </c>
      <c r="AL32" s="362">
        <f>IFERROR(IF($AG32=0,$AD32-($AF$33*($AI32/$AI$33)),$AD32+$AF32),0)</f>
        <v>0</v>
      </c>
      <c r="AM32" s="362">
        <f t="shared" si="7"/>
        <v>0</v>
      </c>
      <c r="AN32" s="362">
        <f t="shared" si="8"/>
        <v>0</v>
      </c>
      <c r="AO32" s="363">
        <f t="shared" si="9"/>
        <v>0</v>
      </c>
      <c r="AP32" s="363">
        <f t="shared" si="10"/>
        <v>0</v>
      </c>
      <c r="AQ32" s="363">
        <f>IF('Multi-Customer'!C34=0,'Multi-Customer'!U34,'Multi-Customer'!T34)*AL32</f>
        <v>0</v>
      </c>
      <c r="AR32" s="363">
        <f>IF('Multi-Customer'!C34=0,'Multi-Customer'!W34,'Multi-Customer'!V34)*AL32</f>
        <v>0</v>
      </c>
      <c r="AS32" s="1" t="str">
        <f>IF($AK32=$BF$12,IF($AL32&lt;$BG$12,"Q1",IF($AL32&lt;$BH$12,"Q2",IF($AL32&lt;$BI$12,"Q3",IF($AL32&lt;$BJ$12,"Q4","Q5")))),IF($AK32=$BF$13,IF($AL32&lt;$BG$13,"Q1",IF($AL32&lt;$BH$13,"Q2",IF($AL32&lt;$BI$13,"Q3",IF($AL32&lt;$BJ$13,"Q4","Q5")))),IF($AK32=$BF$14,IF($AL32&lt;$BG$14,"Q1",IF($AL32&lt;$BH$14,"Q2",IF($AL32&lt;$BI$14,"Q3",IF($AL32&lt;$BJ$14,"Q4","Q5")))),IF($AK32=$BF$15,IF($AL32&lt;$BG$15,"Q1",IF($AL32&lt;$BH$15,"Q2",IF($AL32&lt;$BI$15,"Q3",IF($AL32&lt;$BJ$15,"Q4","Q5")))),IF($AK32=$BF$16,IF($AL32&lt;$BG$16,"Q1",IF($AL32&lt;$BH$16,"Q2",IF($AL32&lt;$BI$16,"Q3",IF($AL32&lt;$BJ$16,"Q4","Q5")))),IF($AK32=$BF$17,IF($AL32&lt;$BG$17,"Q1",IF($AL32&lt;$BH$17,"Q2",IF($AL32&lt;$BI$17,"Q3",IF($AL32&lt;$BJ$17,"Q4","Q5")))),IF($AK32=$BF$18,IF($AL32&lt;$BG$18,"Q1",IF($AL32&lt;$BH$18,"Q2",IF($AL32&lt;$BI$18,"Q3",IF($AL32&lt;$BJ$18,"Q4","Q5")))),IF($AK32=$BF$19,IF($AL32&lt;$BG$19,"Q1",IF($AL32&lt;$BH$19,"Q2",IF($AL32&lt;$BI$19,"Q3",IF($AL32&lt;$BJ$19,"Q4","Q5")))),IF($AK32=$BF$20,IF($AL32&lt;$BG$20,"Q1",IF($AL32&lt;$BH$20,"Q2",IF($AL32&lt;$BI$20,"Q3",IF($AL32&lt;$BJ$20,"Q4","Q5")))),IF($AK32=$BF$21,IF($AL32&lt;$BG$21,"Q1",IF($AL32&lt;$BH$21,"Q2",IF($AL32&lt;$BI$21,"Q3",IF($AL32&lt;$BJ$21,"Q4","Q5")))),IF($AK32=$BF$22,IF($AL32&lt;$BG$22,"Q1",IF($AL32&lt;$BH$22,"Q2",IF($AL32&lt;$BI$22,"Q3",IF($AL32&lt;$BJ$22,"Q4","Q5")))),IF($AK32=$BF$23,IF($AL32&lt;$BG$23,"Q1",IF($AL32&lt;$BH$23,"Q2",IF($AL32&lt;$BI$23,"Q3",IF($AL32&lt;$BJ$23,"Q4","Q5")))),IF($AK32=$BF$24,IF($AL32&lt;$BG$24,"Q1",IF($AL32&lt;$BH$24,"Q2",IF($AL32&lt;$BI$24,"Q3",IF($AL32&lt;$BJ$24,"Q4","Q5")))),IF($AK32=$BF$25,IF($AL32&lt;$BG$25,"Q1",IF($AL32&lt;$BH$25,"Q2",IF($AL32&lt;$BI$25,"Q3",IF($AL32&lt;$BJ$25,"Q4","Q5")))),IF($AK32=$BF$26,IF($AL32&lt;$BG$26,"Q1",IF($AL32&lt;$BH$26,"Q2",IF($AL32&lt;$BI$26,"Q3",IF($AL32&lt;$BJ$26,"Q4","Q5")))),IF($AK32=$BF$27,IF($AL32&lt;$BG$27,"Q1",IF($AL32&lt;$BH$27,"Q2",IF($AL32&lt;$BI$27,"Q3",IF($AL32&lt;$BJ$27,"Q4","Q5")))),IF($AK32=$BF$28,IF($AL32&lt;$BG$28,"Q1",IF($AL32&lt;$BH$28,"Q2",IF($AL32&lt;$BI$28,"Q3",IF($AL32&lt;$BJ$28,"Q4","Q5")))),IF($AK32=$BF$29,IF($AL32&lt;$BG$29,"Q1",IF($AL32&lt;$BH$29,"Q2",IF($AL32&lt;$BI$29,"Q3",IF($AL32&lt;$BJ$29,"Q4","Q5")))),IF($AK32=$BF$30,IF($AL32&lt;$BG$30,"Q1",IF($AL32&lt;$BH$30,"Q2",IF($AL32&lt;$BI$30,"Q3",IF($AL32&lt;$BJ$30,"Q4","Q5")))),IF($AK32=$BF$31,IF($AL32&lt;$BG$31,"Q1",IF($AL32&lt;$BH$31,"Q2",IF($AL32&lt;$BI$31,"Q3",IF($AL32&lt;$BJ$31,"Q4","Q5")))),IF($AK32=$BF$32,IF($AL32&lt;$BG$32,"Q1",IF($AL32&lt;$BH$32,"Q2",IF($AL32&lt;$BI$32,"Q3",IF($AL32&lt;$BJ$32,"Q4","Q5")))),IF($AK32=$BF$33,IF($AL32&lt;$BG$33,"Q1",IF($AL32&lt;$BH$33,"Q2",IF($AL32&lt;$BI$33,"Q3",IF($AL32&lt;$BJ$33,"Q4","Q5"))))))))))))))))))))))))))</f>
        <v>Q1</v>
      </c>
      <c r="AT32" s="1" t="str">
        <f>IF('PIM Ranges'!$AK32='PIM Ranges'!$AY$11,IF('PIM Ranges'!$AL32&lt;'PIM Ranges'!$AZ$11,"Q1",IF('PIM Ranges'!$AL32&lt;'PIM Ranges'!$BA$11,"Q2",IF('PIM Ranges'!$AL32&lt;'PIM Ranges'!$BB$11,"Q3",IF('PIM Ranges'!$AL32&lt;'PIM Ranges'!$BC$11,"Q4","Q5")))),IF('PIM Ranges'!$AK32='PIM Ranges'!$AY$12,IF('PIM Ranges'!$AL32&lt;'PIM Ranges'!$AZ$12,"Q1",IF('PIM Ranges'!$AL32&lt;'PIM Ranges'!$BA$12,"Q2",IF('PIM Ranges'!$AL32&lt;'PIM Ranges'!$BB$12,"Q3",IF('PIM Ranges'!$AL32&lt;'PIM Ranges'!$BC$12,"Q4","Q5")))),IF('PIM Ranges'!$AK32='PIM Ranges'!$AY$13,IF('PIM Ranges'!$AL32&lt;'PIM Ranges'!$AZ$13,"Q1",IF('PIM Ranges'!$AL32&lt;'PIM Ranges'!$BA$13,"Q2",IF('PIM Ranges'!$AL32&lt;'PIM Ranges'!$BB$13,"Q3",IF('PIM Ranges'!$AL32&lt;'PIM Ranges'!$BC$13,"Q4","Q5")))),IF('PIM Ranges'!$AK32='PIM Ranges'!$AY$14,IF('PIM Ranges'!$AL32&lt;'PIM Ranges'!$AZ$14,"Q1",IF('PIM Ranges'!$AL32&lt;'PIM Ranges'!$BA$14,"Q2",IF('PIM Ranges'!$AL32&lt;'PIM Ranges'!$BB$14,"Q3",IF('PIM Ranges'!$AL32&lt;'PIM Ranges'!$BC$14,"Q4","Q5")))),IF('PIM Ranges'!$AK32='PIM Ranges'!$AY$15,IF('PIM Ranges'!$AL32&lt;'PIM Ranges'!$AZ$15,"Q1",IF('PIM Ranges'!$AL32&lt;'PIM Ranges'!$BA$15,"Q2",IF('PIM Ranges'!$AL32&lt;'PIM Ranges'!$BB$15,"Q3",IF('PIM Ranges'!$AL32&lt;'PIM Ranges'!$BC$15,"Q4","Q5")))),IF('PIM Ranges'!$AK32='PIM Ranges'!$AY$16,IF('PIM Ranges'!$AL32&lt;'PIM Ranges'!$AZ$16,"Q1",IF('PIM Ranges'!$AL32&lt;'PIM Ranges'!$BA$16,"Q2",IF('PIM Ranges'!$AL32&lt;'PIM Ranges'!$BB$16,"Q3",IF('PIM Ranges'!$AL32&lt;'PIM Ranges'!$BC$16,"Q4","Q5")))),IF('PIM Ranges'!$AK32='PIM Ranges'!$AY$17,IF('PIM Ranges'!$AL32&lt;'PIM Ranges'!$AZ$17,"Q1",IF('PIM Ranges'!$AL32&lt;'PIM Ranges'!$BA$17,"Q2",IF('PIM Ranges'!$AL32&lt;'PIM Ranges'!$BB$17,"Q3",IF('PIM Ranges'!$AL32&lt;'PIM Ranges'!$BC$17,"Q4","Q5")))),IF('PIM Ranges'!$AK32='PIM Ranges'!$AY$18,IF('PIM Ranges'!$AL32&lt;'PIM Ranges'!$AZ$18,"Q1",IF('PIM Ranges'!$AL32&lt;'PIM Ranges'!$BA$18,"Q2",IF('PIM Ranges'!$AL32&lt;'PIM Ranges'!$BB$18,"Q3",IF('PIM Ranges'!$AL32&lt;'PIM Ranges'!$BC$18,"Q4","Q5")))),IF('PIM Ranges'!$AK32='PIM Ranges'!$AY$19,IF('PIM Ranges'!$AL32&lt;'PIM Ranges'!$AZ$19,"Q1",IF('PIM Ranges'!$AL32&lt;'PIM Ranges'!$BA$19,"Q2",IF('PIM Ranges'!$AL32&lt;'PIM Ranges'!$BB$19,"Q3",IF('PIM Ranges'!$AL32&lt;'PIM Ranges'!$BC$19,"Q4","Q5")))),IF('PIM Ranges'!$AK32='PIM Ranges'!$AY$20,IF('PIM Ranges'!$AL32&lt;'PIM Ranges'!$AZ$20,"Q1",IF('PIM Ranges'!$AL32&lt;'PIM Ranges'!$BA$20,"Q2",IF('PIM Ranges'!$AL32&lt;'PIM Ranges'!$BB$20,"Q3",IF('PIM Ranges'!$AL32&lt;'PIM Ranges'!$BC$20,"Q4","Q5")))),IF('PIM Ranges'!$AK32='PIM Ranges'!$AY$21,IF('PIM Ranges'!$AL32&lt;'PIM Ranges'!$AZ$21,"Q1",IF('PIM Ranges'!$AL32&lt;'PIM Ranges'!$BA$21,"Q2",IF('PIM Ranges'!$AL32&lt;'PIM Ranges'!$BB$21,"Q3",IF('PIM Ranges'!$AL32&lt;'PIM Ranges'!$BC$21,"Q4","Q5")))),IF('PIM Ranges'!$AK32='PIM Ranges'!$AY$22,IF('PIM Ranges'!$AL32&lt;'PIM Ranges'!$AZ$22,"Q1",IF('PIM Ranges'!$AL32&lt;'PIM Ranges'!$BA$22,"Q2",IF('PIM Ranges'!$AL32&lt;'PIM Ranges'!$BB$22,"Q3",IF('PIM Ranges'!$AL32&lt;'PIM Ranges'!$BC$22,"Q4","Q5")))),IF('PIM Ranges'!$AK32='PIM Ranges'!$AY$23,IF('PIM Ranges'!$AL32&lt;'PIM Ranges'!$AZ$23,"Q1",IF('PIM Ranges'!$AL32&lt;'PIM Ranges'!$BA$23,"Q2",IF('PIM Ranges'!$AL32&lt;'PIM Ranges'!$BB$23,"Q3",IF('PIM Ranges'!$AL32&lt;'PIM Ranges'!$BC$23,"Q4","Q5")))),IF('PIM Ranges'!$AK32='PIM Ranges'!$AY$24,IF('PIM Ranges'!$AL32&lt;'PIM Ranges'!$AZ$24,"Q1",IF('PIM Ranges'!$AL32&lt;'PIM Ranges'!$BA$24,"Q2",IF('PIM Ranges'!$AL32&lt;'PIM Ranges'!$BB$24,"Q3",IF('PIM Ranges'!$AL32&lt;'PIM Ranges'!$BC$24,"Q4","Q5")))),IF('PIM Ranges'!$AK32='PIM Ranges'!$AY$25,IF('PIM Ranges'!$AL32&lt;'PIM Ranges'!$AZ$25,"Q1",IF('PIM Ranges'!$AL32&lt;'PIM Ranges'!$BA$25,"Q2",IF('PIM Ranges'!$AL32&lt;'PIM Ranges'!$BB$25,"Q3",IF('PIM Ranges'!$AL32&lt;'PIM Ranges'!$BC$25,"Q4","Q5")))),IF('PIM Ranges'!$AK32='PIM Ranges'!$AY$26,IF('PIM Ranges'!$AL32&lt;'PIM Ranges'!$AZ$26,"Q1",IF('PIM Ranges'!$AL32&lt;'PIM Ranges'!$BA$26,"Q2",IF('PIM Ranges'!$AL32&lt;'PIM Ranges'!$BB$26,"Q3",IF('PIM Ranges'!$AL32&lt;'PIM Ranges'!$BC$26,"Q4","Q5")))),IF('PIM Ranges'!$AK32='PIM Ranges'!$AY$27,IF('PIM Ranges'!$AL32&lt;'PIM Ranges'!$AZ$27,"Q1",IF('PIM Ranges'!$AL32&lt;'PIM Ranges'!$BA$27,"Q2",IF('PIM Ranges'!$AL32&lt;'PIM Ranges'!$BB$27,"Q3",IF('PIM Ranges'!$AL32&lt;'PIM Ranges'!$BC$27,"Q4","Q5")))),IF('PIM Ranges'!$AK32='PIM Ranges'!$AY$28,IF('PIM Ranges'!$AL32&lt;'PIM Ranges'!$AZ$28,"Q1",IF('PIM Ranges'!$AL32&lt;'PIM Ranges'!$BA$28,"Q2",IF('PIM Ranges'!$AL32&lt;'PIM Ranges'!$BB$28,"Q3",IF('PIM Ranges'!$AL32&lt;'PIM Ranges'!$BC$28,"Q4","Q5")))),IF('PIM Ranges'!$AK32='PIM Ranges'!$AY$29,IF('PIM Ranges'!$AL32&lt;'PIM Ranges'!$AZ$29,"Q1",IF('PIM Ranges'!$AL32&lt;'PIM Ranges'!$BA$29,"Q2",IF('PIM Ranges'!$AL32&lt;'PIM Ranges'!$BB$29,"Q3",IF('PIM Ranges'!$AL32&lt;'PIM Ranges'!$BC$29,"Q4","Q5")))),IF('PIM Ranges'!$AK32='PIM Ranges'!$AY$30,IF('PIM Ranges'!$AL32&lt;'PIM Ranges'!$AZ$30,"Q1",IF('PIM Ranges'!$AL32&lt;'PIM Ranges'!$BA$30,"Q2",IF('PIM Ranges'!$AL32&lt;'PIM Ranges'!$BB$30,"Q3",IF('PIM Ranges'!$AL32&lt;'PIM Ranges'!$BC$30,"Q4","Q5")))),IF('PIM Ranges'!$AK32='PIM Ranges'!$AY$31,IF('PIM Ranges'!$AL32&lt;'PIM Ranges'!$AZ$31,"Q1",IF('PIM Ranges'!$AL32&lt;'PIM Ranges'!$BA$31,"Q2",IF('PIM Ranges'!$AL32&lt;'PIM Ranges'!$BB$31,"Q3",IF('PIM Ranges'!$AL32&lt;'PIM Ranges'!$BC$31,"Q4","Q5")))),IF('PIM Ranges'!$AK32='PIM Ranges'!$AY$32,IF('PIM Ranges'!$AL32&lt;'PIM Ranges'!$AZ$32,"Q1",IF('PIM Ranges'!$AL32&lt;'PIM Ranges'!$BA$32,"Q2",IF('PIM Ranges'!$AL32&lt;'PIM Ranges'!$BB$32,"Q3",IF('PIM Ranges'!$AL32&lt;'PIM Ranges'!$BC$32,"Q4","Q5"))))))))))))))))))))))))))</f>
        <v>Q1</v>
      </c>
      <c r="AX32" s="393"/>
      <c r="AY32" s="52" t="s">
        <v>87</v>
      </c>
      <c r="AZ32" s="394">
        <v>317</v>
      </c>
      <c r="BA32" s="394">
        <v>1177</v>
      </c>
      <c r="BB32" s="394">
        <v>4361</v>
      </c>
      <c r="BC32" s="394">
        <v>10380</v>
      </c>
      <c r="BF32" s="52" t="s">
        <v>87</v>
      </c>
      <c r="BG32" s="394">
        <v>496</v>
      </c>
      <c r="BH32" s="394">
        <v>2401</v>
      </c>
      <c r="BI32" s="394">
        <v>10817</v>
      </c>
      <c r="BJ32" s="394">
        <v>25725</v>
      </c>
    </row>
    <row r="33" spans="1:62" x14ac:dyDescent="0.25">
      <c r="A33" s="870">
        <f t="shared" si="12"/>
        <v>0</v>
      </c>
      <c r="D33" s="25">
        <f>SUM(D$12:D$32)</f>
        <v>0</v>
      </c>
      <c r="E33">
        <f>SUM(E$12:E$32)</f>
        <v>0</v>
      </c>
      <c r="F33">
        <f>SUM(F$12:F$32)</f>
        <v>0</v>
      </c>
      <c r="G33">
        <f>SUM(G$12:G$32)</f>
        <v>0</v>
      </c>
      <c r="L33" s="274">
        <f>SUM(L12:L32)</f>
        <v>0</v>
      </c>
      <c r="O33" s="25">
        <f>SUM(O$12:O$32)</f>
        <v>0</v>
      </c>
      <c r="P33">
        <f>SUM(P$12:P$32)</f>
        <v>0</v>
      </c>
      <c r="Q33">
        <f>SUM(Q$12:Q$32)</f>
        <v>0</v>
      </c>
      <c r="R33">
        <f>SUM(R$12:R$32)</f>
        <v>0</v>
      </c>
      <c r="W33" s="274">
        <f>SUM($W$12:$W$32)</f>
        <v>0</v>
      </c>
      <c r="X33" s="274">
        <f>SUM(X12:X32)</f>
        <v>0</v>
      </c>
      <c r="Y33" s="274">
        <f>SUM(Y12:Y32)</f>
        <v>0</v>
      </c>
      <c r="Z33" s="274">
        <f>SUM($Z$12:$Z$32)</f>
        <v>0</v>
      </c>
      <c r="AA33" s="274">
        <f>SUM(AA12:AA32)</f>
        <v>0</v>
      </c>
      <c r="AB33" s="499">
        <f>SUM(AB12:AB32)</f>
        <v>0</v>
      </c>
      <c r="AC33" s="499">
        <f>SUM(AC12:AC32)</f>
        <v>0</v>
      </c>
      <c r="AD33" s="274">
        <f>SUM(AD12:AD32)</f>
        <v>0</v>
      </c>
      <c r="AF33" s="274">
        <f>SUM(AF12:AF32)</f>
        <v>0</v>
      </c>
      <c r="AH33" s="274">
        <f>SUM(AH12:AH32)</f>
        <v>0</v>
      </c>
      <c r="AI33" s="274">
        <f>SUM(AI12:AI32)</f>
        <v>0</v>
      </c>
      <c r="AL33" s="274">
        <f>SUM(AL12:AL32)</f>
        <v>0</v>
      </c>
      <c r="AM33" s="274">
        <f>SUM(AM12:AM32)</f>
        <v>0</v>
      </c>
      <c r="AN33" s="274">
        <f>SUM(AN12:AN32)</f>
        <v>0</v>
      </c>
      <c r="AQ33" s="274">
        <f>SUM(AQ12:AQ32)</f>
        <v>0</v>
      </c>
      <c r="AR33" s="274">
        <f>SUM(AR12:AR32)</f>
        <v>0</v>
      </c>
      <c r="AX33" s="393"/>
      <c r="AY33" s="52" t="s">
        <v>253</v>
      </c>
      <c r="AZ33" s="394">
        <v>3824</v>
      </c>
      <c r="BA33" s="394">
        <v>15819</v>
      </c>
      <c r="BB33" s="394">
        <v>31421</v>
      </c>
      <c r="BC33" s="394">
        <v>38852</v>
      </c>
      <c r="BF33" s="52" t="s">
        <v>253</v>
      </c>
      <c r="BG33" s="394">
        <v>3824</v>
      </c>
      <c r="BH33" s="394">
        <v>15819</v>
      </c>
      <c r="BI33" s="394">
        <v>31421</v>
      </c>
      <c r="BJ33" s="394">
        <v>38852</v>
      </c>
    </row>
    <row r="34" spans="1:62" x14ac:dyDescent="0.25">
      <c r="AX34" s="23"/>
      <c r="AY34" s="26"/>
      <c r="AZ34" s="26"/>
      <c r="BA34" s="26"/>
      <c r="BB34" s="26"/>
      <c r="BC34" s="26"/>
      <c r="BD34" s="26"/>
      <c r="BE34" s="26"/>
    </row>
    <row r="35" spans="1:62" x14ac:dyDescent="0.25">
      <c r="AX35" s="23"/>
      <c r="AY35" s="26"/>
      <c r="AZ35" s="26"/>
      <c r="BA35" s="26"/>
      <c r="BB35" s="26"/>
      <c r="BC35" s="26"/>
      <c r="BD35" s="26"/>
      <c r="BE35" s="26"/>
      <c r="BF35" s="26"/>
      <c r="BG35" s="57"/>
      <c r="BH35" s="26"/>
      <c r="BI35" s="26"/>
    </row>
    <row r="36" spans="1:62" x14ac:dyDescent="0.25">
      <c r="AX36" s="23"/>
      <c r="AY36" s="26"/>
      <c r="AZ36" s="26"/>
      <c r="BA36" s="26"/>
      <c r="BB36" s="26"/>
      <c r="BC36" s="26"/>
      <c r="BD36" s="26"/>
      <c r="BE36" s="26"/>
      <c r="BF36" s="26"/>
      <c r="BG36" s="26"/>
      <c r="BH36" s="26"/>
      <c r="BI36" s="26"/>
    </row>
    <row r="37" spans="1:62" x14ac:dyDescent="0.25">
      <c r="AX37" s="23"/>
      <c r="AY37" s="26"/>
      <c r="AZ37" s="26"/>
      <c r="BA37" s="26"/>
      <c r="BB37" s="26"/>
      <c r="BC37" s="26"/>
      <c r="BD37" s="26"/>
      <c r="BE37" s="26"/>
      <c r="BF37" s="26"/>
      <c r="BG37" s="26"/>
      <c r="BH37" s="26"/>
      <c r="BI37" s="26"/>
    </row>
    <row r="38" spans="1:62" x14ac:dyDescent="0.25">
      <c r="AX38" s="23"/>
      <c r="AY38" s="26"/>
      <c r="AZ38" s="26"/>
      <c r="BA38" s="26"/>
      <c r="BB38" s="26"/>
      <c r="BC38" s="26"/>
      <c r="BD38" s="26"/>
      <c r="BE38" s="26"/>
      <c r="BF38" s="26"/>
      <c r="BG38" s="26"/>
      <c r="BH38" s="26"/>
      <c r="BI38" s="26"/>
    </row>
    <row r="39" spans="1:62" x14ac:dyDescent="0.25">
      <c r="AX39" s="23"/>
      <c r="AY39" s="26"/>
      <c r="AZ39" s="26"/>
      <c r="BA39" s="26"/>
      <c r="BB39" s="26"/>
      <c r="BC39" s="26"/>
      <c r="BD39" s="26"/>
      <c r="BE39" s="26"/>
      <c r="BF39" s="26"/>
      <c r="BG39" s="26"/>
      <c r="BH39" s="26"/>
      <c r="BI39" s="26"/>
    </row>
    <row r="40" spans="1:62" x14ac:dyDescent="0.25">
      <c r="AX40" s="23"/>
      <c r="AY40" s="26"/>
      <c r="AZ40" s="26"/>
      <c r="BA40" s="26"/>
      <c r="BB40" s="26"/>
      <c r="BC40" s="26"/>
      <c r="BD40" s="26"/>
      <c r="BE40" s="26"/>
      <c r="BF40" s="26"/>
      <c r="BG40" s="26"/>
      <c r="BH40" s="26"/>
      <c r="BI40" s="26"/>
    </row>
    <row r="41" spans="1:62" x14ac:dyDescent="0.25">
      <c r="AX41" s="23"/>
      <c r="AY41" s="26"/>
      <c r="AZ41" s="26"/>
      <c r="BA41" s="26"/>
      <c r="BB41" s="26"/>
      <c r="BC41" s="26"/>
      <c r="BD41" s="26"/>
      <c r="BE41" s="26"/>
      <c r="BF41" s="26"/>
      <c r="BG41" s="26"/>
      <c r="BH41" s="26"/>
      <c r="BI41" s="26"/>
    </row>
    <row r="42" spans="1:62" x14ac:dyDescent="0.25">
      <c r="AX42" s="23"/>
      <c r="AY42" s="26"/>
      <c r="AZ42" s="26"/>
      <c r="BA42" s="26"/>
      <c r="BB42" s="26"/>
      <c r="BC42" s="26"/>
      <c r="BD42" s="26"/>
      <c r="BE42" s="26"/>
      <c r="BF42" s="26"/>
      <c r="BG42" s="26"/>
      <c r="BH42" s="26"/>
      <c r="BI42" s="26"/>
    </row>
    <row r="43" spans="1:62" x14ac:dyDescent="0.25">
      <c r="AX43" s="23"/>
      <c r="AY43" s="26"/>
      <c r="AZ43" s="26"/>
      <c r="BA43" s="26"/>
      <c r="BB43" s="26"/>
      <c r="BC43" s="26"/>
      <c r="BD43" s="26"/>
      <c r="BE43" s="26"/>
      <c r="BF43" s="26"/>
      <c r="BG43" s="26"/>
      <c r="BH43" s="26"/>
      <c r="BI43" s="26"/>
    </row>
    <row r="44" spans="1:62" x14ac:dyDescent="0.25">
      <c r="AX44" s="23"/>
      <c r="AY44" s="26"/>
      <c r="AZ44" s="26"/>
      <c r="BA44" s="26"/>
      <c r="BB44" s="26"/>
      <c r="BC44" s="26"/>
      <c r="BD44" s="26"/>
      <c r="BE44" s="26"/>
      <c r="BF44" s="26"/>
      <c r="BG44" s="26"/>
      <c r="BH44" s="26"/>
      <c r="BI44" s="26"/>
    </row>
    <row r="45" spans="1:62" x14ac:dyDescent="0.25">
      <c r="AX45" s="23"/>
      <c r="AY45" s="26"/>
      <c r="AZ45" s="26"/>
      <c r="BA45" s="26"/>
      <c r="BB45" s="26"/>
      <c r="BC45" s="26"/>
      <c r="BD45" s="26"/>
      <c r="BE45" s="26"/>
      <c r="BF45" s="26"/>
      <c r="BG45" s="26"/>
      <c r="BH45" s="26"/>
      <c r="BI45" s="26"/>
    </row>
    <row r="46" spans="1:62" x14ac:dyDescent="0.25">
      <c r="AX46" s="23"/>
      <c r="AY46" s="26"/>
      <c r="AZ46" s="26"/>
      <c r="BA46" s="26"/>
      <c r="BB46" s="26"/>
      <c r="BC46" s="26"/>
      <c r="BD46" s="26"/>
      <c r="BE46" s="26"/>
      <c r="BF46" s="26"/>
      <c r="BG46" s="26"/>
      <c r="BH46" s="26"/>
      <c r="BI46" s="26"/>
    </row>
    <row r="47" spans="1:62" x14ac:dyDescent="0.25">
      <c r="AX47" s="23"/>
      <c r="AY47" s="26"/>
      <c r="AZ47" s="26"/>
      <c r="BA47" s="26"/>
      <c r="BB47" s="26"/>
      <c r="BC47" s="26"/>
      <c r="BD47" s="26"/>
      <c r="BE47" s="26"/>
      <c r="BF47" s="26"/>
      <c r="BG47" s="26"/>
      <c r="BH47" s="26"/>
      <c r="BI47" s="26"/>
    </row>
    <row r="48" spans="1:62" x14ac:dyDescent="0.25">
      <c r="AX48" s="23"/>
      <c r="AY48" s="26"/>
      <c r="AZ48" s="26"/>
      <c r="BA48" s="26"/>
      <c r="BB48" s="26"/>
      <c r="BC48" s="26"/>
      <c r="BD48" s="26"/>
      <c r="BE48" s="26"/>
      <c r="BF48" s="26"/>
      <c r="BG48" s="26"/>
      <c r="BH48" s="26"/>
      <c r="BI48" s="26"/>
    </row>
    <row r="49" spans="49:61" x14ac:dyDescent="0.25">
      <c r="AX49" s="23"/>
      <c r="AY49" s="26"/>
      <c r="AZ49" s="26"/>
      <c r="BA49" s="26"/>
      <c r="BB49" s="26"/>
      <c r="BC49" s="26"/>
      <c r="BD49" s="26"/>
      <c r="BE49" s="26"/>
      <c r="BF49" s="26"/>
      <c r="BG49" s="26"/>
      <c r="BH49" s="26"/>
      <c r="BI49" s="26"/>
    </row>
    <row r="50" spans="49:61" x14ac:dyDescent="0.25">
      <c r="AX50" s="23"/>
      <c r="AY50" s="26"/>
      <c r="AZ50" s="26"/>
      <c r="BA50" s="26"/>
      <c r="BB50" s="26"/>
      <c r="BC50" s="26"/>
      <c r="BD50" s="26"/>
      <c r="BE50" s="26"/>
      <c r="BF50" s="26"/>
      <c r="BG50" s="26"/>
      <c r="BH50" s="26"/>
      <c r="BI50" s="26"/>
    </row>
    <row r="51" spans="49:61" x14ac:dyDescent="0.25">
      <c r="AX51" s="23"/>
      <c r="AY51" s="26"/>
      <c r="AZ51" s="26"/>
      <c r="BA51" s="26"/>
      <c r="BB51" s="26"/>
      <c r="BC51" s="26"/>
      <c r="BD51" s="26"/>
      <c r="BE51" s="26"/>
      <c r="BF51" s="26"/>
      <c r="BG51" s="26"/>
      <c r="BH51" s="26"/>
      <c r="BI51" s="26"/>
    </row>
    <row r="52" spans="49:61" x14ac:dyDescent="0.25">
      <c r="AX52" s="23"/>
      <c r="AY52" s="26"/>
      <c r="AZ52" s="26"/>
      <c r="BA52" s="26"/>
      <c r="BB52" s="26"/>
      <c r="BC52" s="26"/>
      <c r="BD52" s="26"/>
      <c r="BE52" s="26"/>
      <c r="BF52" s="26"/>
      <c r="BG52" s="26"/>
      <c r="BH52" s="26"/>
      <c r="BI52" s="26"/>
    </row>
    <row r="53" spans="49:61" x14ac:dyDescent="0.25">
      <c r="AX53" s="23"/>
      <c r="AY53" s="26"/>
      <c r="AZ53" s="26"/>
      <c r="BA53" s="26"/>
      <c r="BB53" s="26"/>
      <c r="BC53" s="26"/>
      <c r="BD53" s="26"/>
      <c r="BE53" s="26"/>
      <c r="BF53" s="26"/>
      <c r="BG53" s="26"/>
      <c r="BH53" s="26"/>
      <c r="BI53" s="26"/>
    </row>
    <row r="54" spans="49:61" x14ac:dyDescent="0.25">
      <c r="AX54" s="23"/>
      <c r="AY54" s="26"/>
      <c r="AZ54" s="26"/>
      <c r="BA54" s="26"/>
      <c r="BB54" s="26"/>
      <c r="BC54" s="26"/>
      <c r="BD54" s="26"/>
      <c r="BE54" s="26"/>
      <c r="BF54" s="26"/>
      <c r="BG54" s="26"/>
      <c r="BH54" s="26"/>
      <c r="BI54" s="26"/>
    </row>
    <row r="56" spans="49:61" ht="16.149999999999999" customHeight="1" x14ac:dyDescent="0.25"/>
    <row r="57" spans="49:61" x14ac:dyDescent="0.25">
      <c r="BA57" s="2"/>
      <c r="BB57" s="2"/>
      <c r="BC57" s="2"/>
      <c r="BH57" s="2"/>
    </row>
    <row r="58" spans="49:61" x14ac:dyDescent="0.25">
      <c r="AW58" s="2"/>
      <c r="AX58" s="2"/>
      <c r="AY58" s="2"/>
      <c r="AZ58" s="2"/>
      <c r="BA58" s="2"/>
      <c r="BB58" s="2"/>
      <c r="BC58" s="2"/>
      <c r="BD58" s="2"/>
      <c r="BE58" s="2"/>
      <c r="BF58" s="2"/>
      <c r="BG58" s="2"/>
      <c r="BH58" s="2"/>
      <c r="BI58" s="2"/>
    </row>
    <row r="59" spans="49:61" x14ac:dyDescent="0.25">
      <c r="AW59" s="25"/>
      <c r="AX59" s="2"/>
      <c r="AY59" s="2"/>
      <c r="AZ59" s="2"/>
      <c r="BA59" s="2"/>
      <c r="BB59" s="2"/>
      <c r="BC59" s="2"/>
      <c r="BD59" s="2"/>
      <c r="BE59" s="2"/>
      <c r="BF59" s="2"/>
      <c r="BG59" s="2"/>
      <c r="BH59" s="2"/>
      <c r="BI59" s="2"/>
    </row>
    <row r="60" spans="49:61" x14ac:dyDescent="0.25">
      <c r="AW60" s="25"/>
      <c r="AX60" s="53"/>
      <c r="AY60" s="53"/>
      <c r="AZ60" s="24"/>
      <c r="BA60" s="24"/>
      <c r="BB60" s="24"/>
      <c r="BC60" s="24"/>
      <c r="BD60" s="24"/>
      <c r="BE60" s="24"/>
      <c r="BF60" s="24"/>
      <c r="BG60" s="24"/>
      <c r="BH60" s="24"/>
      <c r="BI60" s="24"/>
    </row>
    <row r="61" spans="49:61" x14ac:dyDescent="0.25">
      <c r="AW61" s="25"/>
      <c r="AX61" s="53"/>
      <c r="AY61" s="53"/>
      <c r="AZ61" s="24"/>
      <c r="BA61" s="24"/>
      <c r="BB61" s="24"/>
      <c r="BC61" s="24"/>
      <c r="BD61" s="24"/>
      <c r="BE61" s="24"/>
      <c r="BF61" s="24"/>
      <c r="BG61" s="24"/>
      <c r="BH61" s="24"/>
      <c r="BI61" s="24"/>
    </row>
    <row r="62" spans="49:61" x14ac:dyDescent="0.25">
      <c r="AW62" s="25"/>
      <c r="AX62" s="53"/>
      <c r="AY62" s="53"/>
      <c r="AZ62" s="24"/>
      <c r="BA62" s="24"/>
      <c r="BB62" s="24"/>
      <c r="BC62" s="24"/>
      <c r="BD62" s="24"/>
      <c r="BE62" s="24"/>
      <c r="BF62" s="24"/>
      <c r="BG62" s="24"/>
      <c r="BH62" s="24"/>
      <c r="BI62" s="24"/>
    </row>
    <row r="63" spans="49:61" x14ac:dyDescent="0.25">
      <c r="AW63" s="25"/>
      <c r="AX63" s="53"/>
      <c r="AY63" s="53"/>
      <c r="AZ63" s="24"/>
      <c r="BA63" s="24"/>
      <c r="BB63" s="24"/>
      <c r="BC63" s="24"/>
      <c r="BD63" s="24"/>
      <c r="BE63" s="24"/>
      <c r="BF63" s="24"/>
      <c r="BG63" s="24"/>
      <c r="BH63" s="24"/>
      <c r="BI63" s="24"/>
    </row>
    <row r="64" spans="49:61" x14ac:dyDescent="0.25">
      <c r="AW64" s="25"/>
      <c r="AX64" s="53"/>
      <c r="AY64" s="53"/>
      <c r="AZ64" s="24"/>
      <c r="BA64" s="24"/>
      <c r="BB64" s="24"/>
      <c r="BC64" s="24"/>
      <c r="BD64" s="24"/>
      <c r="BE64" s="24"/>
      <c r="BF64" s="24"/>
      <c r="BG64" s="24"/>
      <c r="BH64" s="24"/>
      <c r="BI64" s="24"/>
    </row>
    <row r="65" spans="49:61" x14ac:dyDescent="0.25">
      <c r="AW65" s="25"/>
      <c r="AX65" s="53"/>
      <c r="AY65" s="53"/>
      <c r="AZ65" s="24"/>
      <c r="BA65" s="24"/>
      <c r="BB65" s="24"/>
      <c r="BC65" s="24"/>
      <c r="BD65" s="24"/>
      <c r="BE65" s="24"/>
      <c r="BF65" s="24"/>
      <c r="BG65" s="24"/>
      <c r="BH65" s="24"/>
      <c r="BI65" s="24"/>
    </row>
    <row r="66" spans="49:61" x14ac:dyDescent="0.25">
      <c r="AW66" s="25"/>
      <c r="AX66" s="53"/>
      <c r="AY66" s="53"/>
      <c r="AZ66" s="24"/>
      <c r="BA66" s="24"/>
      <c r="BB66" s="24"/>
      <c r="BC66" s="24"/>
      <c r="BD66" s="24"/>
      <c r="BE66" s="24"/>
      <c r="BF66" s="24"/>
      <c r="BG66" s="24"/>
      <c r="BH66" s="24"/>
      <c r="BI66" s="24"/>
    </row>
    <row r="67" spans="49:61" x14ac:dyDescent="0.25">
      <c r="AX67" s="53"/>
      <c r="AY67" s="53"/>
      <c r="AZ67" s="24"/>
      <c r="BA67" s="24"/>
      <c r="BB67" s="24"/>
      <c r="BC67" s="24"/>
      <c r="BD67" s="24"/>
      <c r="BE67" s="24"/>
      <c r="BF67" s="24"/>
      <c r="BG67" s="24"/>
      <c r="BH67" s="24"/>
      <c r="BI67" s="24"/>
    </row>
  </sheetData>
  <mergeCells count="5">
    <mergeCell ref="BK5:BL5"/>
    <mergeCell ref="BF10:BJ10"/>
    <mergeCell ref="AY10:BC10"/>
    <mergeCell ref="AS10:AT10"/>
    <mergeCell ref="AY5:AZ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2084FA-A8BB-451D-8125-D1EB9DE9679B}">
  <sheetPr codeName="Sheet36">
    <tabColor rgb="FFFF0000"/>
  </sheetPr>
  <dimension ref="A1:CK423"/>
  <sheetViews>
    <sheetView zoomScale="80" zoomScaleNormal="80" workbookViewId="0">
      <selection activeCell="A2" sqref="A2"/>
    </sheetView>
  </sheetViews>
  <sheetFormatPr defaultRowHeight="15" x14ac:dyDescent="0.25"/>
  <cols>
    <col min="2" max="2" width="20.42578125" customWidth="1"/>
    <col min="3" max="3" width="18.42578125" customWidth="1"/>
    <col min="4" max="4" width="20.85546875" customWidth="1"/>
    <col min="5" max="5" width="21.28515625" customWidth="1"/>
    <col min="6" max="6" width="25.5703125" customWidth="1"/>
    <col min="7" max="7" width="20.85546875" customWidth="1"/>
    <col min="8" max="8" width="18.5703125" customWidth="1"/>
    <col min="9" max="9" width="24.42578125" customWidth="1"/>
    <col min="10" max="10" width="25.28515625" customWidth="1"/>
    <col min="11" max="11" width="25.85546875" customWidth="1"/>
    <col min="12" max="12" width="21.140625" customWidth="1"/>
    <col min="13" max="13" width="22.5703125" customWidth="1"/>
    <col min="14" max="14" width="23" customWidth="1"/>
    <col min="15" max="15" width="25.5703125" customWidth="1"/>
    <col min="16" max="16" width="21.140625" customWidth="1"/>
    <col min="17" max="17" width="23.5703125" customWidth="1"/>
    <col min="18" max="18" width="23.85546875" customWidth="1"/>
    <col min="19" max="19" width="23.7109375" customWidth="1"/>
    <col min="20" max="20" width="20.28515625" customWidth="1"/>
    <col min="21" max="21" width="18.7109375" customWidth="1"/>
    <col min="22" max="22" width="20.28515625" customWidth="1"/>
    <col min="23" max="23" width="20.140625" customWidth="1"/>
    <col min="24" max="24" width="23.7109375" customWidth="1"/>
    <col min="25" max="25" width="22.85546875" customWidth="1"/>
    <col min="26" max="26" width="21.5703125" customWidth="1"/>
    <col min="27" max="27" width="29.28515625" customWidth="1"/>
    <col min="28" max="28" width="28.28515625" customWidth="1"/>
    <col min="29" max="29" width="20.140625" customWidth="1"/>
    <col min="30" max="30" width="22.7109375" customWidth="1"/>
    <col min="31" max="31" width="20.5703125" customWidth="1"/>
    <col min="32" max="32" width="21.85546875" customWidth="1"/>
    <col min="33" max="33" width="23" customWidth="1"/>
    <col min="34" max="34" width="24.42578125" customWidth="1"/>
    <col min="35" max="35" width="24.85546875" customWidth="1"/>
    <col min="36" max="36" width="22.7109375" customWidth="1"/>
    <col min="37" max="37" width="26.85546875" customWidth="1"/>
    <col min="38" max="38" width="22.5703125" customWidth="1"/>
    <col min="39" max="39" width="19.5703125" customWidth="1"/>
    <col min="40" max="40" width="20.28515625" customWidth="1"/>
    <col min="41" max="41" width="19" customWidth="1"/>
    <col min="42" max="42" width="24.140625" customWidth="1"/>
    <col min="43" max="43" width="22.85546875" customWidth="1"/>
    <col min="44" max="44" width="20.5703125" customWidth="1"/>
    <col min="45" max="45" width="32.42578125" customWidth="1"/>
    <col min="46" max="46" width="26.42578125" customWidth="1"/>
    <col min="47" max="47" width="22.85546875" customWidth="1"/>
    <col min="48" max="48" width="21" customWidth="1"/>
    <col min="49" max="49" width="22" customWidth="1"/>
    <col min="50" max="50" width="22.140625" customWidth="1"/>
    <col min="51" max="51" width="27.140625" customWidth="1"/>
    <col min="52" max="52" width="24.5703125" customWidth="1"/>
    <col min="53" max="53" width="25.28515625" customWidth="1"/>
    <col min="54" max="54" width="23.5703125" customWidth="1"/>
    <col min="55" max="55" width="22.28515625" customWidth="1"/>
    <col min="56" max="56" width="20.140625" customWidth="1"/>
    <col min="57" max="57" width="19" customWidth="1"/>
    <col min="58" max="58" width="23.42578125" customWidth="1"/>
    <col min="59" max="59" width="25.140625" customWidth="1"/>
    <col min="60" max="60" width="23.140625" customWidth="1"/>
    <col min="61" max="61" width="24.7109375" customWidth="1"/>
    <col min="62" max="62" width="24.42578125" customWidth="1"/>
    <col min="63" max="63" width="22.5703125" customWidth="1"/>
    <col min="64" max="64" width="20" customWidth="1"/>
    <col min="65" max="65" width="20.85546875" customWidth="1"/>
    <col min="66" max="66" width="21" customWidth="1"/>
    <col min="67" max="67" width="30.85546875" customWidth="1"/>
    <col min="68" max="68" width="17.28515625" customWidth="1"/>
    <col min="69" max="69" width="16.7109375" customWidth="1"/>
    <col min="70" max="70" width="32.140625" customWidth="1"/>
    <col min="72" max="72" width="23.85546875" customWidth="1"/>
    <col min="73" max="73" width="20.42578125" customWidth="1"/>
    <col min="74" max="74" width="25.140625" customWidth="1"/>
    <col min="75" max="75" width="18" customWidth="1"/>
    <col min="76" max="76" width="20.7109375" customWidth="1"/>
    <col min="77" max="77" width="22.7109375" customWidth="1"/>
    <col min="78" max="78" width="20.140625" customWidth="1"/>
    <col min="79" max="79" width="33.42578125" customWidth="1"/>
    <col min="80" max="80" width="29.140625" customWidth="1"/>
    <col min="81" max="81" width="23.28515625" customWidth="1"/>
    <col min="82" max="82" width="21.28515625" customWidth="1"/>
    <col min="83" max="83" width="21.85546875" customWidth="1"/>
    <col min="84" max="84" width="19" customWidth="1"/>
    <col min="85" max="85" width="14.7109375" customWidth="1"/>
    <col min="86" max="86" width="17.7109375" customWidth="1"/>
    <col min="87" max="87" width="26" customWidth="1"/>
  </cols>
  <sheetData>
    <row r="1" spans="1:89" ht="15.75" thickBot="1" x14ac:dyDescent="0.3">
      <c r="A1" s="1107"/>
      <c r="B1" s="1107"/>
      <c r="C1" s="1107"/>
      <c r="D1" s="1107"/>
      <c r="E1" s="1107"/>
      <c r="F1" s="1107"/>
      <c r="G1" s="1107"/>
      <c r="H1" s="1107"/>
      <c r="I1" s="1107"/>
      <c r="J1" s="1107"/>
      <c r="K1" s="1107"/>
      <c r="L1" s="1107"/>
      <c r="M1" s="1107"/>
      <c r="N1" s="1107"/>
      <c r="O1" s="1107"/>
      <c r="P1" s="1107"/>
      <c r="Q1" s="1107"/>
      <c r="R1" s="1107"/>
      <c r="S1" s="1107"/>
      <c r="T1" s="1107"/>
      <c r="U1" s="1107"/>
      <c r="V1" s="1107"/>
      <c r="W1" s="1107"/>
      <c r="X1" s="1107"/>
      <c r="Y1" s="1107"/>
      <c r="Z1" s="1107"/>
      <c r="AA1" s="1107"/>
      <c r="AB1" s="1107"/>
      <c r="AC1" s="1107"/>
      <c r="AD1" s="1107"/>
      <c r="AE1" s="1107"/>
      <c r="AF1" s="1107"/>
      <c r="AG1" s="1107"/>
      <c r="AH1" s="1107"/>
      <c r="AI1" s="1107"/>
      <c r="AJ1" s="1107"/>
      <c r="AK1" s="1107"/>
      <c r="AL1" s="1107"/>
      <c r="AM1" s="1107"/>
      <c r="AN1" s="1107"/>
      <c r="AO1" s="1107"/>
      <c r="AP1" s="1107"/>
      <c r="AQ1" s="1107"/>
      <c r="AR1" s="1107"/>
      <c r="AS1" s="1107"/>
      <c r="AT1" s="1107"/>
      <c r="AU1" s="1107"/>
      <c r="AV1" s="1107"/>
      <c r="AW1" s="1107"/>
      <c r="AX1" s="1107"/>
      <c r="AY1" s="1107"/>
      <c r="AZ1" s="1107"/>
      <c r="BA1" s="1107"/>
      <c r="BB1" s="1107"/>
      <c r="BC1" s="1107"/>
      <c r="BD1" s="1107"/>
      <c r="BE1" s="1107"/>
      <c r="BF1" s="1107"/>
      <c r="BG1" s="1107"/>
      <c r="BH1" s="1107"/>
      <c r="BI1" s="1107"/>
      <c r="BJ1" s="1107"/>
      <c r="BK1" s="1107"/>
      <c r="BL1" s="1107"/>
      <c r="BM1" s="1107"/>
      <c r="BN1" s="1107"/>
      <c r="BO1" s="1107"/>
      <c r="BP1" s="1107"/>
      <c r="BQ1" s="1107"/>
      <c r="BR1" s="1107"/>
      <c r="BS1" s="1107"/>
      <c r="BT1" s="1107"/>
      <c r="BU1" s="1107"/>
      <c r="BV1" s="1107"/>
      <c r="BW1" s="1107"/>
      <c r="BX1" s="1107"/>
      <c r="BY1" s="1107"/>
      <c r="BZ1" s="1107"/>
      <c r="CA1" s="1107"/>
      <c r="CB1" s="1107"/>
      <c r="CC1" s="1107"/>
      <c r="CD1" s="1107"/>
      <c r="CE1" s="1107"/>
      <c r="CF1" s="1107"/>
      <c r="CG1" s="1107"/>
      <c r="CH1" s="1107"/>
      <c r="CI1" s="1107"/>
      <c r="CJ1" s="1107"/>
      <c r="CK1" s="1107"/>
    </row>
    <row r="2" spans="1:89" ht="15.75" customHeight="1" thickBot="1" x14ac:dyDescent="0.3">
      <c r="A2" s="1107"/>
      <c r="B2" s="2014" t="s">
        <v>1836</v>
      </c>
      <c r="C2" s="2015"/>
      <c r="D2" s="2015"/>
      <c r="E2" s="2015"/>
      <c r="F2" s="2015"/>
      <c r="G2" s="2015"/>
      <c r="H2" s="2015"/>
      <c r="I2" s="2015"/>
      <c r="J2" s="2016"/>
      <c r="K2" s="1113"/>
      <c r="L2" s="1107"/>
      <c r="M2" s="2020" t="s">
        <v>1896</v>
      </c>
      <c r="N2" s="2021"/>
      <c r="O2" s="2022"/>
      <c r="P2" s="2023"/>
      <c r="Q2" s="1107"/>
      <c r="R2" s="1107"/>
      <c r="S2" s="1107"/>
      <c r="T2" s="1107"/>
      <c r="U2" s="1107"/>
      <c r="V2" s="1107"/>
      <c r="W2" s="1107"/>
      <c r="X2" s="1107"/>
      <c r="Y2" s="1107"/>
      <c r="Z2" s="1107"/>
      <c r="AA2" s="1107"/>
      <c r="AB2" s="1107"/>
      <c r="AC2" s="1107"/>
      <c r="AD2" s="1107"/>
      <c r="AE2" s="1107"/>
      <c r="AF2" s="1107"/>
      <c r="AG2" s="1107"/>
      <c r="AH2" s="1107"/>
      <c r="AI2" s="1107"/>
      <c r="AJ2" s="1107"/>
      <c r="AK2" s="1107"/>
      <c r="AL2" s="1107"/>
      <c r="AM2" s="1107"/>
      <c r="AN2" s="1107"/>
      <c r="AO2" s="1107"/>
      <c r="AP2" s="1107"/>
      <c r="AQ2" s="1107"/>
      <c r="AR2" s="1107"/>
      <c r="AS2" s="1107"/>
      <c r="AT2" s="1107"/>
      <c r="AU2" s="1107"/>
      <c r="AV2" s="1107"/>
      <c r="AW2" s="1107"/>
      <c r="AX2" s="1107"/>
      <c r="AY2" s="1107"/>
      <c r="AZ2" s="1107"/>
      <c r="BA2" s="1107"/>
      <c r="BB2" s="1107"/>
      <c r="BC2" s="1107"/>
      <c r="BD2" s="1107"/>
      <c r="BE2" s="1107"/>
      <c r="BF2" s="1107"/>
      <c r="BG2" s="1107"/>
      <c r="BH2" s="1107"/>
      <c r="BI2" s="1107"/>
      <c r="BJ2" s="1107"/>
      <c r="BK2" s="1107"/>
      <c r="BL2" s="1107"/>
      <c r="BM2" s="1107"/>
      <c r="BN2" s="1107"/>
      <c r="BO2" s="1107"/>
      <c r="BP2" s="1107"/>
      <c r="BQ2" s="1107"/>
      <c r="BR2" s="1107"/>
      <c r="BS2" s="1107"/>
      <c r="BT2" s="1107"/>
      <c r="BU2" s="1107"/>
      <c r="BV2" s="1107"/>
      <c r="BW2" s="1107"/>
      <c r="BX2" s="1107"/>
      <c r="BY2" s="1107"/>
      <c r="BZ2" s="1107"/>
      <c r="CA2" s="1107"/>
      <c r="CB2" s="1107"/>
      <c r="CC2" s="1107"/>
      <c r="CD2" s="1107"/>
      <c r="CE2" s="1107"/>
      <c r="CF2" s="1107"/>
      <c r="CG2" s="1107"/>
      <c r="CH2" s="1107"/>
      <c r="CI2" s="1107"/>
      <c r="CJ2" s="1107"/>
      <c r="CK2" s="1107"/>
    </row>
    <row r="3" spans="1:89" ht="32.25" customHeight="1" thickBot="1" x14ac:dyDescent="0.3">
      <c r="A3" s="1107"/>
      <c r="B3" s="2017" t="s">
        <v>1837</v>
      </c>
      <c r="C3" s="1100" t="s">
        <v>728</v>
      </c>
      <c r="D3" s="1101" t="s">
        <v>721</v>
      </c>
      <c r="E3" s="1101" t="s">
        <v>722</v>
      </c>
      <c r="F3" s="1100" t="s">
        <v>1838</v>
      </c>
      <c r="G3" s="1101" t="s">
        <v>1402</v>
      </c>
      <c r="H3" s="1100" t="s">
        <v>1839</v>
      </c>
      <c r="I3" s="1100" t="s">
        <v>1840</v>
      </c>
      <c r="J3" s="1100" t="s">
        <v>1769</v>
      </c>
      <c r="K3" s="1100" t="s">
        <v>1841</v>
      </c>
      <c r="L3" s="1107"/>
      <c r="M3" s="1114" t="s">
        <v>1897</v>
      </c>
      <c r="N3" s="1115" t="s">
        <v>523</v>
      </c>
      <c r="O3" s="1115" t="s">
        <v>1897</v>
      </c>
      <c r="P3" s="1116" t="s">
        <v>523</v>
      </c>
      <c r="Q3" s="1107"/>
      <c r="R3" s="1107"/>
      <c r="S3" s="1107"/>
      <c r="T3" s="1107"/>
      <c r="U3" s="1107"/>
      <c r="V3" s="1107"/>
      <c r="W3" s="1107"/>
      <c r="X3" s="1107"/>
      <c r="Y3" s="1107"/>
      <c r="Z3" s="1107"/>
      <c r="AA3" s="1107"/>
      <c r="AB3" s="1107"/>
      <c r="AC3" s="1107"/>
      <c r="AD3" s="1107"/>
      <c r="AE3" s="1107"/>
      <c r="AF3" s="1107"/>
      <c r="AG3" s="1107"/>
      <c r="AH3" s="1107"/>
      <c r="AI3" s="1107"/>
      <c r="AJ3" s="1107"/>
      <c r="AK3" s="1107"/>
      <c r="AL3" s="1107"/>
      <c r="AM3" s="1107"/>
      <c r="AN3" s="1107"/>
      <c r="AO3" s="1107"/>
      <c r="AP3" s="1107"/>
      <c r="AQ3" s="1107"/>
      <c r="AR3" s="1107"/>
      <c r="AS3" s="1107"/>
      <c r="AT3" s="1107"/>
      <c r="AU3" s="1107"/>
      <c r="AV3" s="1107"/>
      <c r="AW3" s="1107"/>
      <c r="AX3" s="1107"/>
      <c r="AY3" s="1107"/>
      <c r="AZ3" s="1107"/>
      <c r="BA3" s="1107"/>
      <c r="BB3" s="1107"/>
      <c r="BC3" s="1107"/>
      <c r="BD3" s="1107"/>
      <c r="BE3" s="1107"/>
      <c r="BF3" s="1107"/>
      <c r="BG3" s="1107"/>
      <c r="BH3" s="1107"/>
      <c r="BI3" s="1107"/>
      <c r="BJ3" s="1107"/>
      <c r="BK3" s="1107"/>
      <c r="BL3" s="1107"/>
      <c r="BM3" s="1107"/>
      <c r="BN3" s="1107"/>
      <c r="BO3" s="1107"/>
      <c r="BP3" s="1107"/>
      <c r="BQ3" s="1107"/>
      <c r="BR3" s="1107"/>
      <c r="BS3" s="1107"/>
      <c r="BT3" s="1107"/>
      <c r="BU3" s="1107"/>
      <c r="BV3" s="1107"/>
      <c r="BW3" s="1107"/>
      <c r="BX3" s="1107"/>
      <c r="BY3" s="1107"/>
      <c r="BZ3" s="1107"/>
      <c r="CA3" s="1107"/>
      <c r="CB3" s="1107"/>
      <c r="CC3" s="1107"/>
      <c r="CD3" s="1107"/>
      <c r="CE3" s="1107"/>
      <c r="CF3" s="1107"/>
      <c r="CG3" s="1107"/>
      <c r="CH3" s="1107"/>
      <c r="CI3" s="1107"/>
      <c r="CJ3" s="1107"/>
      <c r="CK3" s="1107"/>
    </row>
    <row r="4" spans="1:89" ht="27.75" customHeight="1" thickBot="1" x14ac:dyDescent="0.3">
      <c r="A4" s="1107"/>
      <c r="B4" s="2018"/>
      <c r="C4" s="1102" t="str">
        <f>IF(ISBLANK('Required Info to Submit'!F8),"",'Required Info to Submit'!F8)</f>
        <v/>
      </c>
      <c r="D4" s="1413" t="str">
        <f>IF(ISBLANK('Required Info to Submit'!F14),"",'Required Info to Submit'!F14)</f>
        <v/>
      </c>
      <c r="E4" s="1413" t="str">
        <f>'Required Info to Submit'!F17</f>
        <v/>
      </c>
      <c r="F4" s="1104" t="s">
        <v>1842</v>
      </c>
      <c r="G4" s="1104" t="str">
        <f>IF(Welcome!D10="","",Welcome!D10)</f>
        <v>Please Select</v>
      </c>
      <c r="H4" s="1102" t="str">
        <f>IF('Agreement Worksheet'!F5="No","Select Non-Std","")</f>
        <v/>
      </c>
      <c r="I4" s="1102" t="str">
        <f>IF('Required Info to Submit'!F19="MDA","Select Local MDA","")</f>
        <v/>
      </c>
      <c r="J4" s="1102" t="str">
        <f>IF(Incentives!E6="Yes","Select Auto Approval",Incentives!E6)</f>
        <v>No</v>
      </c>
      <c r="K4" s="1104" t="str" cm="1">
        <f t="array" aca="1" ref="K4" ca="1">IF(OR(INDIRECT("'Incentives Worksheet'!T"&amp;'Configurable Tab'!I29-1)="Yes",INDIRECT("'Incentives Worksheet'!T"&amp;'Configurable Tab'!I30-1)="Yes"),"Please Provide CASIS Master and Tracking program in notes section for clawback"," ")</f>
        <v xml:space="preserve"> </v>
      </c>
      <c r="L4" s="1107"/>
      <c r="M4" s="1117" t="s">
        <v>851</v>
      </c>
      <c r="N4" s="1118" t="str" cm="1">
        <f t="array" aca="1" ref="N4" ca="1">IF(OR(INDIRECT("'Incentives'!E"&amp;'Configurable Tab'!C3+1)="Yes",INDIRECT("'Incentives'!E"&amp;'Configurable Tab'!C4+1)="Yes",INDIRECT("'Incentives'!E"&amp;'Configurable Tab'!C5+1)="Yes"),"Yes","")</f>
        <v/>
      </c>
      <c r="O4" s="1119" t="s">
        <v>1898</v>
      </c>
      <c r="P4" s="1120" t="str" cm="1">
        <f t="array" aca="1" ref="P4" ca="1">IF(INDIRECT("'Incentives'!E"&amp;'Configurable Tab'!C18+1)="Yes","Yes","")</f>
        <v/>
      </c>
      <c r="Q4" s="1107"/>
      <c r="R4" s="1107"/>
      <c r="S4" s="1107"/>
      <c r="T4" s="1107"/>
      <c r="U4" s="1107"/>
      <c r="V4" s="1107"/>
      <c r="W4" s="1107"/>
      <c r="X4" s="1107"/>
      <c r="Y4" s="1107"/>
      <c r="Z4" s="1107"/>
      <c r="AA4" s="1107"/>
      <c r="AB4" s="1107"/>
      <c r="AC4" s="1107"/>
      <c r="AD4" s="1107"/>
      <c r="AE4" s="1107"/>
      <c r="AF4" s="1107"/>
      <c r="AG4" s="1107"/>
      <c r="AH4" s="1107"/>
      <c r="AI4" s="1107"/>
      <c r="AJ4" s="1107"/>
      <c r="AK4" s="1107"/>
      <c r="AL4" s="1107"/>
      <c r="AM4" s="1107"/>
      <c r="AN4" s="1107"/>
      <c r="AO4" s="1107"/>
      <c r="AP4" s="1107"/>
      <c r="AQ4" s="1107"/>
      <c r="AR4" s="1107"/>
      <c r="AS4" s="1107"/>
      <c r="AT4" s="1107"/>
      <c r="AU4" s="1107"/>
      <c r="AV4" s="1107"/>
      <c r="AW4" s="1107"/>
      <c r="AX4" s="1107"/>
      <c r="AY4" s="1107"/>
      <c r="AZ4" s="1107"/>
      <c r="BA4" s="1107"/>
      <c r="BB4" s="1107"/>
      <c r="BC4" s="1107"/>
      <c r="BD4" s="1107"/>
      <c r="BE4" s="1107"/>
      <c r="BF4" s="1107"/>
      <c r="BG4" s="1107"/>
      <c r="BH4" s="1107"/>
      <c r="BI4" s="1107"/>
      <c r="BJ4" s="1107"/>
      <c r="BK4" s="1107"/>
      <c r="BL4" s="1107"/>
      <c r="BM4" s="1107"/>
      <c r="BN4" s="1107"/>
      <c r="BO4" s="1107"/>
      <c r="BP4" s="1107"/>
      <c r="BQ4" s="1107"/>
      <c r="BR4" s="1107"/>
      <c r="BS4" s="1107"/>
      <c r="BT4" s="1107"/>
      <c r="BU4" s="1107"/>
      <c r="BV4" s="1107"/>
      <c r="BW4" s="1107"/>
      <c r="BX4" s="1107"/>
      <c r="BY4" s="1107"/>
      <c r="BZ4" s="1107"/>
      <c r="CA4" s="1107"/>
      <c r="CB4" s="1107"/>
      <c r="CC4" s="1107"/>
      <c r="CD4" s="1107"/>
      <c r="CE4" s="1107"/>
      <c r="CF4" s="1107"/>
      <c r="CG4" s="1107"/>
      <c r="CH4" s="1107"/>
      <c r="CI4" s="1107"/>
      <c r="CJ4" s="1107"/>
      <c r="CK4" s="1107"/>
    </row>
    <row r="5" spans="1:89" ht="38.25" customHeight="1" thickBot="1" x14ac:dyDescent="0.3">
      <c r="A5" s="1107"/>
      <c r="B5" s="2006" t="s">
        <v>1843</v>
      </c>
      <c r="C5" s="1100" t="s">
        <v>1844</v>
      </c>
      <c r="D5" s="1105" t="s">
        <v>1845</v>
      </c>
      <c r="E5" s="1105" t="s">
        <v>1846</v>
      </c>
      <c r="F5" s="1106" t="s">
        <v>729</v>
      </c>
      <c r="G5" s="1105" t="s">
        <v>1847</v>
      </c>
      <c r="H5" s="1105" t="s">
        <v>1848</v>
      </c>
      <c r="I5" s="1121"/>
      <c r="J5" s="1121"/>
      <c r="K5" s="1122"/>
      <c r="L5" s="1107"/>
      <c r="M5" s="1123" t="s">
        <v>475</v>
      </c>
      <c r="N5" s="1124" t="str" cm="1">
        <f t="array" aca="1" ref="N5" ca="1">IF(OR(INDIRECT("'Incentives'!E"&amp;'Configurable Tab'!C6+1)="Yes",INDIRECT("'Incentives'!E"&amp;'Configurable Tab'!C7+1)="Yes"),"Yes","")</f>
        <v/>
      </c>
      <c r="O5" s="1125" t="s">
        <v>1473</v>
      </c>
      <c r="P5" s="1126" t="str" cm="1">
        <f t="array" aca="1" ref="P5" ca="1">IF(INDIRECT("'Incentives'!E"&amp;'Configurable Tab'!C19+1)="Yes","Yes","")</f>
        <v/>
      </c>
      <c r="Q5" s="1107"/>
      <c r="R5" s="1107"/>
      <c r="S5" s="1107"/>
      <c r="T5" s="1107"/>
      <c r="U5" s="1107"/>
      <c r="V5" s="1107"/>
      <c r="W5" s="1107"/>
      <c r="X5" s="1107"/>
      <c r="Y5" s="1107"/>
      <c r="Z5" s="1107"/>
      <c r="AA5" s="1107"/>
      <c r="AB5" s="1107"/>
      <c r="AC5" s="1107"/>
      <c r="AD5" s="1107"/>
      <c r="AE5" s="1107"/>
      <c r="AF5" s="1107"/>
      <c r="AG5" s="1107"/>
      <c r="AH5" s="1107"/>
      <c r="AI5" s="1107"/>
      <c r="AJ5" s="1107"/>
      <c r="AK5" s="1107"/>
      <c r="AL5" s="1107"/>
      <c r="AM5" s="1107"/>
      <c r="AN5" s="1107"/>
      <c r="AO5" s="1107"/>
      <c r="AP5" s="1107"/>
      <c r="AQ5" s="1107"/>
      <c r="AR5" s="1107"/>
      <c r="AS5" s="1107"/>
      <c r="AT5" s="1107"/>
      <c r="AU5" s="1107"/>
      <c r="AV5" s="1107"/>
      <c r="AW5" s="1107"/>
      <c r="AX5" s="1107"/>
      <c r="AY5" s="1107"/>
      <c r="AZ5" s="1107"/>
      <c r="BA5" s="1107"/>
      <c r="BB5" s="1107"/>
      <c r="BC5" s="1107"/>
      <c r="BD5" s="1107"/>
      <c r="BE5" s="1107"/>
      <c r="BF5" s="1107"/>
      <c r="BG5" s="1107"/>
      <c r="BH5" s="1107"/>
      <c r="BI5" s="1107"/>
      <c r="BJ5" s="1107"/>
      <c r="BK5" s="1107"/>
      <c r="BL5" s="1107"/>
      <c r="BM5" s="1107"/>
      <c r="BN5" s="1107"/>
      <c r="BO5" s="1107"/>
      <c r="BP5" s="1107"/>
      <c r="BQ5" s="1107"/>
      <c r="BR5" s="1107"/>
      <c r="BS5" s="1107"/>
      <c r="BT5" s="1107"/>
      <c r="BU5" s="1107"/>
      <c r="BV5" s="1107"/>
      <c r="BW5" s="1107"/>
      <c r="BX5" s="1107"/>
      <c r="BY5" s="1107"/>
      <c r="BZ5" s="1107"/>
      <c r="CA5" s="1107"/>
      <c r="CB5" s="1107"/>
      <c r="CC5" s="1107"/>
      <c r="CD5" s="1107"/>
      <c r="CE5" s="1107"/>
      <c r="CF5" s="1107"/>
      <c r="CG5" s="1107"/>
      <c r="CH5" s="1107"/>
      <c r="CI5" s="1107"/>
      <c r="CJ5" s="1107"/>
      <c r="CK5" s="1107"/>
    </row>
    <row r="6" spans="1:89" ht="31.5" customHeight="1" thickBot="1" x14ac:dyDescent="0.3">
      <c r="A6" s="1107"/>
      <c r="B6" s="2019"/>
      <c r="C6" s="1102" t="str">
        <f>'Required Info to Submit'!E23</f>
        <v/>
      </c>
      <c r="D6" s="1102" t="str">
        <f>IFERROR(VLOOKUP('Existing Customers'!AB2,'Market Geography'!A:F,5,0),"")</f>
        <v/>
      </c>
      <c r="E6" s="1102" t="str">
        <f>IF(ISBLANK('Required Info to Submit'!F6),"",'Required Info to Submit'!F6)</f>
        <v/>
      </c>
      <c r="F6" s="1278" t="str">
        <f>IF('Tracking &amp; Profitability'!E23=0,"",'Tracking &amp; Profitability'!E23*-1)</f>
        <v/>
      </c>
      <c r="G6" s="1102" t="str">
        <f>IF(ISBLANK('Required Info to Submit'!F10),"",'Required Info to Submit'!F10)</f>
        <v/>
      </c>
      <c r="H6" s="1102"/>
      <c r="I6" s="1121"/>
      <c r="J6" s="1121"/>
      <c r="K6" s="1122"/>
      <c r="L6" s="1107"/>
      <c r="M6" s="1123" t="s">
        <v>525</v>
      </c>
      <c r="N6" s="1124" t="str" cm="1">
        <f t="array" aca="1" ref="N6" ca="1">IF(OR(INDIRECT("'Incentives'!E"&amp;'Configurable Tab'!C8+1)="Yes",INDIRECT("'Incentives'!E"&amp;'Configurable Tab'!C9+1)="Yes"),"Yes","")</f>
        <v/>
      </c>
      <c r="O6" s="1125" t="s">
        <v>1099</v>
      </c>
      <c r="P6" s="1126" t="str" cm="1">
        <f t="array" aca="1" ref="P6" ca="1">IF(OR(INDIRECT("'Incentives'!E"&amp;'Configurable Tab'!C20+1)="Yes",INDIRECT("'Incentives'!E"&amp;'Configurable Tab'!C21+1)="Yes"),"Yes","")</f>
        <v/>
      </c>
      <c r="Q6" s="1107"/>
      <c r="R6" s="1107"/>
      <c r="S6" s="1107"/>
      <c r="T6" s="1107"/>
      <c r="U6" s="1107"/>
      <c r="V6" s="1107"/>
      <c r="W6" s="1107"/>
      <c r="X6" s="1107"/>
      <c r="Y6" s="1107"/>
      <c r="Z6" s="1107"/>
      <c r="AA6" s="1107"/>
      <c r="AB6" s="1107"/>
      <c r="AC6" s="1107"/>
      <c r="AD6" s="1107"/>
      <c r="AE6" s="1107"/>
      <c r="AF6" s="1107"/>
      <c r="AG6" s="1107"/>
      <c r="AH6" s="1107"/>
      <c r="AI6" s="1107"/>
      <c r="AJ6" s="1107"/>
      <c r="AK6" s="1107"/>
      <c r="AL6" s="1107"/>
      <c r="AM6" s="1107"/>
      <c r="AN6" s="1107"/>
      <c r="AO6" s="1107"/>
      <c r="AP6" s="1107"/>
      <c r="AQ6" s="1107"/>
      <c r="AR6" s="1107"/>
      <c r="AS6" s="1107"/>
      <c r="AT6" s="1107"/>
      <c r="AU6" s="1107"/>
      <c r="AV6" s="1107"/>
      <c r="AW6" s="1107"/>
      <c r="AX6" s="1107"/>
      <c r="AY6" s="1107"/>
      <c r="AZ6" s="1107"/>
      <c r="BA6" s="1107"/>
      <c r="BB6" s="1107"/>
      <c r="BC6" s="1107"/>
      <c r="BD6" s="1107"/>
      <c r="BE6" s="1107"/>
      <c r="BF6" s="1107"/>
      <c r="BG6" s="1107"/>
      <c r="BH6" s="1107"/>
      <c r="BI6" s="1107"/>
      <c r="BJ6" s="1107"/>
      <c r="BK6" s="1107"/>
      <c r="BL6" s="1107"/>
      <c r="BM6" s="1107"/>
      <c r="BN6" s="1107"/>
      <c r="BO6" s="1107"/>
      <c r="BP6" s="1107"/>
      <c r="BQ6" s="1107"/>
      <c r="BR6" s="1107"/>
      <c r="BS6" s="1107"/>
      <c r="BT6" s="1107"/>
      <c r="BU6" s="1107"/>
      <c r="BV6" s="1107"/>
      <c r="BW6" s="1107"/>
      <c r="BX6" s="1107"/>
      <c r="BY6" s="1107"/>
      <c r="BZ6" s="1107"/>
      <c r="CA6" s="1107"/>
      <c r="CB6" s="1107"/>
      <c r="CC6" s="1107"/>
      <c r="CD6" s="1107"/>
      <c r="CE6" s="1107"/>
      <c r="CF6" s="1107"/>
      <c r="CG6" s="1107"/>
      <c r="CH6" s="1107"/>
      <c r="CI6" s="1107"/>
      <c r="CJ6" s="1107"/>
      <c r="CK6" s="1107"/>
    </row>
    <row r="7" spans="1:89" ht="31.5" customHeight="1" thickBot="1" x14ac:dyDescent="0.3">
      <c r="A7" s="1107"/>
      <c r="B7" s="2006" t="s">
        <v>1416</v>
      </c>
      <c r="C7" s="1101" t="s">
        <v>1447</v>
      </c>
      <c r="D7" s="1101" t="s">
        <v>967</v>
      </c>
      <c r="E7" s="1101" t="s">
        <v>1450</v>
      </c>
      <c r="F7" s="1101" t="s">
        <v>1453</v>
      </c>
      <c r="G7" s="1101" t="s">
        <v>1185</v>
      </c>
      <c r="H7" s="1101" t="s">
        <v>1403</v>
      </c>
      <c r="I7" s="1101" t="s">
        <v>1768</v>
      </c>
      <c r="J7" s="1109" t="s">
        <v>1452</v>
      </c>
      <c r="K7" s="1122"/>
      <c r="L7" s="1107"/>
      <c r="M7" s="1123" t="s">
        <v>1899</v>
      </c>
      <c r="N7" s="1124" t="str" cm="1">
        <f t="array" aca="1" ref="N7" ca="1">IF(OR(INDIRECT("'Incentives'!E"&amp;'Configurable Tab'!C10+1)="Yes",INDIRECT("'Incentives'!E"&amp;'Configurable Tab'!C11+1)="Yes",INDIRECT("'Incentives'!E"&amp;'Configurable Tab'!C12+1)="Yes",INDIRECT("'Incentives'!E"&amp;'Configurable Tab'!C13+1)="Yes",INDIRECT("'Incentives'!E"&amp;'Configurable Tab'!C14+1)="Yes"),"Yes","")</f>
        <v/>
      </c>
      <c r="O7" s="1125" t="s">
        <v>1483</v>
      </c>
      <c r="P7" s="1126" t="str" cm="1">
        <f t="array" aca="1" ref="P7" ca="1">IF(INDIRECT("'Incentives'!E"&amp;'Configurable Tab'!C22+1)="Yes","Yes","")</f>
        <v/>
      </c>
      <c r="Q7" s="1107"/>
      <c r="R7" s="1107"/>
      <c r="S7" s="1107"/>
      <c r="T7" s="1107"/>
      <c r="U7" s="1107"/>
      <c r="V7" s="1107"/>
      <c r="W7" s="1107"/>
      <c r="X7" s="1107"/>
      <c r="Y7" s="1107"/>
      <c r="Z7" s="1107"/>
      <c r="AA7" s="1107"/>
      <c r="AB7" s="1107"/>
      <c r="AC7" s="1107"/>
      <c r="AD7" s="1107"/>
      <c r="AE7" s="1107"/>
      <c r="AF7" s="1107"/>
      <c r="AG7" s="1107"/>
      <c r="AH7" s="1107"/>
      <c r="AI7" s="1107"/>
      <c r="AJ7" s="1107"/>
      <c r="AK7" s="1107"/>
      <c r="AL7" s="1107"/>
      <c r="AM7" s="1107"/>
      <c r="AN7" s="1107"/>
      <c r="AO7" s="1107"/>
      <c r="AP7" s="1107"/>
      <c r="AQ7" s="1107"/>
      <c r="AR7" s="1107"/>
      <c r="AS7" s="1107"/>
      <c r="AT7" s="1107"/>
      <c r="AU7" s="1107"/>
      <c r="AV7" s="1107"/>
      <c r="AW7" s="1107"/>
      <c r="AX7" s="1107"/>
      <c r="AY7" s="1107"/>
      <c r="AZ7" s="1107"/>
      <c r="BA7" s="1107"/>
      <c r="BB7" s="1107"/>
      <c r="BC7" s="1107"/>
      <c r="BD7" s="1107"/>
      <c r="BE7" s="1107"/>
      <c r="BF7" s="1107"/>
      <c r="BG7" s="1107"/>
      <c r="BH7" s="1107"/>
      <c r="BI7" s="1107"/>
      <c r="BJ7" s="1107"/>
      <c r="BK7" s="1107"/>
      <c r="BL7" s="1107"/>
      <c r="BM7" s="1107"/>
      <c r="BN7" s="1107"/>
      <c r="BO7" s="1107"/>
      <c r="BP7" s="1107"/>
      <c r="BQ7" s="1107"/>
      <c r="BR7" s="1107"/>
      <c r="BS7" s="1107"/>
      <c r="BT7" s="1107"/>
      <c r="BU7" s="1107"/>
      <c r="BV7" s="1107"/>
      <c r="BW7" s="1107"/>
      <c r="BX7" s="1107"/>
      <c r="BY7" s="1107"/>
      <c r="BZ7" s="1107"/>
      <c r="CA7" s="1107"/>
      <c r="CB7" s="1107"/>
      <c r="CC7" s="1107"/>
      <c r="CD7" s="1107"/>
      <c r="CE7" s="1107"/>
      <c r="CF7" s="1107"/>
      <c r="CG7" s="1107"/>
      <c r="CH7" s="1107"/>
      <c r="CI7" s="1107"/>
      <c r="CJ7" s="1107"/>
      <c r="CK7" s="1107"/>
    </row>
    <row r="8" spans="1:89" ht="90" customHeight="1" thickBot="1" x14ac:dyDescent="0.3">
      <c r="A8" s="1107"/>
      <c r="B8" s="2019"/>
      <c r="C8" s="1104" t="str">
        <f>IF(ISBLANK('Required Info to Submit'!F6),"",'Required Info to Submit'!F6)</f>
        <v/>
      </c>
      <c r="D8" s="1104" t="str">
        <f>IF(ISBLANK('Required Info to Submit'!F8),"",'Required Info to Submit'!F8)</f>
        <v/>
      </c>
      <c r="E8" s="1104" t="str">
        <f>IF(ISBLANK('Required Info to Submit'!F9),"",'Required Info to Submit'!F9)</f>
        <v/>
      </c>
      <c r="F8" s="1104" t="str">
        <f>IF(ISBLANK('Required Info to Submit'!F12),"",'Required Info to Submit'!F12)</f>
        <v/>
      </c>
      <c r="G8" s="1279" t="str">
        <f>'Agreement Worksheet'!H18</f>
        <v/>
      </c>
      <c r="H8" s="1102" t="str">
        <f>IF(Welcome!D16="Select Term","",Welcome!D16)</f>
        <v/>
      </c>
      <c r="I8" s="1102" t="str">
        <f>Incentives!E4</f>
        <v>Yes</v>
      </c>
      <c r="J8" s="1102" t="str">
        <f>IF(ISBLANK('Required Info to Submit'!F11),"",'Required Info to Submit'!F11)</f>
        <v/>
      </c>
      <c r="K8" s="1127"/>
      <c r="L8" s="1107"/>
      <c r="M8" s="1123" t="s">
        <v>717</v>
      </c>
      <c r="N8" s="1124" t="str" cm="1">
        <f t="array" aca="1" ref="N8" ca="1">IF(INDIRECT("'Incentives'!E"&amp;'Configurable Tab'!C15+1)="Yes","Yes","")</f>
        <v/>
      </c>
      <c r="O8" s="1125" t="s">
        <v>1775</v>
      </c>
      <c r="P8" s="1126"/>
      <c r="Q8" s="1107"/>
      <c r="R8" s="1107"/>
      <c r="S8" s="1107"/>
      <c r="T8" s="1107"/>
      <c r="U8" s="1107"/>
      <c r="V8" s="1107"/>
      <c r="W8" s="1107"/>
      <c r="X8" s="1107"/>
      <c r="Y8" s="1107"/>
      <c r="Z8" s="1107"/>
      <c r="AA8" s="1107"/>
      <c r="AB8" s="1107"/>
      <c r="AC8" s="1107"/>
      <c r="AD8" s="1107"/>
      <c r="AE8" s="1107"/>
      <c r="AF8" s="1107"/>
      <c r="AG8" s="1107"/>
      <c r="AH8" s="1107"/>
      <c r="AI8" s="1107"/>
      <c r="AJ8" s="1107"/>
      <c r="AK8" s="1107"/>
      <c r="AL8" s="1107"/>
      <c r="AM8" s="1107"/>
      <c r="AN8" s="1107"/>
      <c r="AO8" s="1107"/>
      <c r="AP8" s="1107"/>
      <c r="AQ8" s="1107"/>
      <c r="AR8" s="1107"/>
      <c r="AS8" s="1107"/>
      <c r="AT8" s="1107"/>
      <c r="AU8" s="1107"/>
      <c r="AV8" s="1107"/>
      <c r="AW8" s="1107"/>
      <c r="AX8" s="1107"/>
      <c r="AY8" s="1107"/>
      <c r="AZ8" s="1107"/>
      <c r="BA8" s="1107"/>
      <c r="BB8" s="1107"/>
      <c r="BC8" s="1107"/>
      <c r="BD8" s="1107"/>
      <c r="BE8" s="1107"/>
      <c r="BF8" s="1107"/>
      <c r="BG8" s="1107"/>
      <c r="BH8" s="1107"/>
      <c r="BI8" s="1107"/>
      <c r="BJ8" s="1107"/>
      <c r="BK8" s="1107"/>
      <c r="BL8" s="1107"/>
      <c r="BM8" s="1107"/>
      <c r="BN8" s="1107"/>
      <c r="BO8" s="1107"/>
      <c r="BP8" s="1107"/>
      <c r="BQ8" s="1107"/>
      <c r="BR8" s="1107"/>
      <c r="BS8" s="1107"/>
      <c r="BT8" s="1107"/>
      <c r="BU8" s="1107"/>
      <c r="BV8" s="1107"/>
      <c r="BW8" s="1107"/>
      <c r="BX8" s="1107"/>
      <c r="BY8" s="1107"/>
      <c r="BZ8" s="1107"/>
      <c r="CA8" s="1107"/>
      <c r="CB8" s="1107"/>
      <c r="CC8" s="1107"/>
      <c r="CD8" s="1107"/>
      <c r="CE8" s="1107"/>
      <c r="CF8" s="1107"/>
      <c r="CG8" s="1107"/>
      <c r="CH8" s="1107"/>
      <c r="CI8" s="1107"/>
      <c r="CJ8" s="1107"/>
      <c r="CK8" s="1107"/>
    </row>
    <row r="9" spans="1:89" ht="30.75" customHeight="1" thickBot="1" x14ac:dyDescent="0.3">
      <c r="A9" s="1107"/>
      <c r="B9" s="1107"/>
      <c r="C9" s="1107"/>
      <c r="D9" s="1107"/>
      <c r="E9" s="1107"/>
      <c r="F9" s="1107"/>
      <c r="G9" s="1107"/>
      <c r="H9" s="1107"/>
      <c r="I9" s="1107"/>
      <c r="J9" s="1107"/>
      <c r="K9" s="1107"/>
      <c r="L9" s="1107"/>
      <c r="M9" s="1128" t="s">
        <v>1095</v>
      </c>
      <c r="N9" s="1129" t="str" cm="1">
        <f t="array" aca="1" ref="N9" ca="1">IF(OR(INDIRECT("'Incentives'!E"&amp;'Configurable Tab'!C16+1)="Yes",INDIRECT("'Incentives'!E"&amp;'Configurable Tab'!C17+1)="Yes"),"Yes","")</f>
        <v/>
      </c>
      <c r="O9" s="2024"/>
      <c r="P9" s="2025"/>
      <c r="Q9" s="1107"/>
      <c r="R9" s="1107"/>
      <c r="S9" s="1107"/>
      <c r="T9" s="1107"/>
      <c r="U9" s="1107"/>
      <c r="V9" s="1107"/>
      <c r="W9" s="1107"/>
      <c r="X9" s="1107"/>
      <c r="Y9" s="1107"/>
      <c r="Z9" s="1107"/>
      <c r="AA9" s="1107"/>
      <c r="AB9" s="1107"/>
      <c r="AC9" s="1107"/>
      <c r="AD9" s="1107"/>
      <c r="AE9" s="1107"/>
      <c r="AF9" s="1107"/>
      <c r="AG9" s="1107"/>
      <c r="AH9" s="1107"/>
      <c r="AI9" s="1107"/>
      <c r="AJ9" s="1107"/>
      <c r="AK9" s="1107"/>
      <c r="AL9" s="1107"/>
      <c r="AM9" s="1107"/>
      <c r="AN9" s="1107"/>
      <c r="AO9" s="1107"/>
      <c r="AP9" s="1107"/>
      <c r="AQ9" s="1107"/>
      <c r="AR9" s="1107"/>
      <c r="AS9" s="1107"/>
      <c r="AT9" s="1107"/>
      <c r="AU9" s="1107"/>
      <c r="AV9" s="1107"/>
      <c r="AW9" s="1107"/>
      <c r="AX9" s="1107"/>
      <c r="AY9" s="1107"/>
      <c r="AZ9" s="1107"/>
      <c r="BA9" s="1107"/>
      <c r="BB9" s="1107"/>
      <c r="BC9" s="1107"/>
      <c r="BD9" s="1107"/>
      <c r="BE9" s="1107"/>
      <c r="BF9" s="1107"/>
      <c r="BG9" s="1107"/>
      <c r="BH9" s="1107"/>
      <c r="BI9" s="1107"/>
      <c r="BJ9" s="1107"/>
      <c r="BK9" s="1107"/>
      <c r="BL9" s="1107"/>
      <c r="BM9" s="1107"/>
      <c r="BN9" s="1107"/>
      <c r="BO9" s="1107"/>
      <c r="BP9" s="1107"/>
      <c r="BQ9" s="1107"/>
      <c r="BR9" s="1107"/>
      <c r="BS9" s="1107"/>
      <c r="BT9" s="1107"/>
      <c r="BU9" s="1107"/>
      <c r="BV9" s="1107"/>
      <c r="BW9" s="1107"/>
      <c r="BX9" s="1107"/>
      <c r="BY9" s="1107"/>
      <c r="BZ9" s="1107"/>
      <c r="CA9" s="1107"/>
      <c r="CB9" s="1107"/>
      <c r="CC9" s="1107"/>
      <c r="CD9" s="1107"/>
      <c r="CE9" s="1107"/>
      <c r="CF9" s="1107"/>
      <c r="CG9" s="1107"/>
      <c r="CH9" s="1107"/>
      <c r="CI9" s="1107"/>
      <c r="CJ9" s="1107"/>
      <c r="CK9" s="1107"/>
    </row>
    <row r="10" spans="1:89" x14ac:dyDescent="0.25">
      <c r="A10" s="1107"/>
      <c r="B10" s="1107"/>
      <c r="C10" s="1107"/>
      <c r="D10" s="1107"/>
      <c r="E10" s="1107"/>
      <c r="F10" s="1107"/>
      <c r="G10" s="1107"/>
      <c r="H10" s="1107"/>
      <c r="I10" s="1107"/>
      <c r="J10" s="1107"/>
      <c r="K10" s="1107"/>
      <c r="L10" s="1107"/>
      <c r="M10" s="1107"/>
      <c r="N10" s="1107"/>
      <c r="O10" s="1107"/>
      <c r="P10" s="1107"/>
      <c r="Q10" s="1107"/>
      <c r="R10" s="1107"/>
      <c r="S10" s="1107"/>
      <c r="T10" s="1107"/>
      <c r="U10" s="1107"/>
      <c r="V10" s="1107"/>
      <c r="W10" s="1107"/>
      <c r="X10" s="1107"/>
      <c r="Y10" s="1107"/>
      <c r="Z10" s="1107"/>
      <c r="AA10" s="1107"/>
      <c r="AB10" s="1107"/>
      <c r="AC10" s="1107"/>
      <c r="AD10" s="1107"/>
      <c r="AE10" s="1107"/>
      <c r="AF10" s="1107"/>
      <c r="AG10" s="1107"/>
      <c r="AH10" s="1107"/>
      <c r="AI10" s="1107"/>
      <c r="AJ10" s="1107"/>
      <c r="AK10" s="1107"/>
      <c r="AL10" s="1107"/>
      <c r="AM10" s="1107"/>
      <c r="AN10" s="1107"/>
      <c r="AO10" s="1107"/>
      <c r="AP10" s="1107"/>
      <c r="AQ10" s="1107"/>
      <c r="AR10" s="1107"/>
      <c r="AS10" s="1107"/>
      <c r="AT10" s="1107"/>
      <c r="AU10" s="1107"/>
      <c r="AV10" s="1107"/>
      <c r="AW10" s="1107"/>
      <c r="AX10" s="1107"/>
      <c r="AY10" s="1107"/>
      <c r="AZ10" s="1107"/>
      <c r="BA10" s="1107"/>
      <c r="BB10" s="1107"/>
      <c r="BC10" s="1107"/>
      <c r="BD10" s="1107"/>
      <c r="BE10" s="1107"/>
      <c r="BF10" s="1107"/>
      <c r="BG10" s="1107"/>
      <c r="BH10" s="1107"/>
      <c r="BI10" s="1107"/>
      <c r="BJ10" s="1107"/>
      <c r="BK10" s="1107"/>
      <c r="BL10" s="1107"/>
      <c r="BM10" s="1107"/>
      <c r="BN10" s="1107"/>
      <c r="BO10" s="1107"/>
      <c r="BP10" s="1107"/>
      <c r="BQ10" s="1107"/>
      <c r="BR10" s="1107"/>
      <c r="BS10" s="1107"/>
      <c r="BT10" s="1107"/>
      <c r="BU10" s="1107"/>
      <c r="BV10" s="1107"/>
      <c r="BW10" s="1107"/>
      <c r="BX10" s="1107"/>
      <c r="BY10" s="1107"/>
      <c r="BZ10" s="1107"/>
      <c r="CA10" s="1107"/>
      <c r="CB10" s="1107"/>
      <c r="CC10" s="1107"/>
      <c r="CD10" s="1107"/>
      <c r="CE10" s="1107"/>
      <c r="CF10" s="1107"/>
      <c r="CG10" s="1107"/>
      <c r="CH10" s="1107"/>
      <c r="CI10" s="1107"/>
      <c r="CJ10" s="1107"/>
      <c r="CK10" s="1107"/>
    </row>
    <row r="11" spans="1:89" ht="37.5" customHeight="1" thickBot="1" x14ac:dyDescent="0.3">
      <c r="A11" s="1107"/>
      <c r="B11" s="1107"/>
      <c r="C11" s="1107"/>
      <c r="D11" s="1107"/>
      <c r="E11" s="1107"/>
      <c r="F11" s="1107"/>
      <c r="G11" s="1107"/>
      <c r="H11" s="1107"/>
      <c r="I11" s="1107"/>
      <c r="J11" s="1107"/>
      <c r="K11" s="1107"/>
      <c r="L11" s="1107"/>
      <c r="M11" s="1107"/>
      <c r="N11" s="1107"/>
      <c r="O11" s="1107"/>
      <c r="P11" s="1107"/>
      <c r="Q11" s="1107"/>
      <c r="R11" s="1107"/>
      <c r="S11" s="1107"/>
      <c r="T11" s="1107"/>
      <c r="U11" s="1107"/>
      <c r="V11" s="1107"/>
      <c r="W11" s="1107"/>
      <c r="X11" s="1107"/>
      <c r="Y11" s="1107"/>
      <c r="Z11" s="1107"/>
      <c r="AA11" s="1107"/>
      <c r="AB11" s="1107"/>
      <c r="AC11" s="1107"/>
      <c r="AD11" s="1107"/>
      <c r="AE11" s="1107"/>
      <c r="AF11" s="1107"/>
      <c r="AG11" s="1107"/>
      <c r="AH11" s="1107"/>
      <c r="AI11" s="1107"/>
      <c r="AJ11" s="1107"/>
      <c r="AK11" s="1107"/>
      <c r="AL11" s="1107"/>
      <c r="AM11" s="1107"/>
      <c r="AN11" s="1107"/>
      <c r="AO11" s="1107"/>
      <c r="AP11" s="1107"/>
      <c r="AQ11" s="1107"/>
      <c r="AR11" s="1107"/>
      <c r="AS11" s="1107"/>
      <c r="AT11" s="1107"/>
      <c r="AU11" s="1107"/>
      <c r="AV11" s="1107"/>
      <c r="AW11" s="1107"/>
      <c r="AX11" s="1107"/>
      <c r="AY11" s="1107"/>
      <c r="AZ11" s="1107"/>
      <c r="BA11" s="1107"/>
      <c r="BB11" s="1107"/>
      <c r="BC11" s="1107"/>
      <c r="BD11" s="1107"/>
      <c r="BE11" s="1107"/>
      <c r="BF11" s="1107"/>
      <c r="BG11" s="1107"/>
      <c r="BH11" s="1107"/>
      <c r="BI11" s="1107"/>
      <c r="BJ11" s="1107"/>
      <c r="BK11" s="1107"/>
      <c r="BL11" s="1107"/>
      <c r="BM11" s="1107"/>
      <c r="BN11" s="1107"/>
      <c r="BO11" s="1107"/>
      <c r="BP11" s="1107"/>
      <c r="BQ11" s="1107"/>
      <c r="BR11" s="1107"/>
      <c r="BS11" s="1107"/>
      <c r="BT11" s="1107"/>
      <c r="BU11" s="1107"/>
      <c r="BV11" s="1107"/>
      <c r="BW11" s="1107"/>
      <c r="BX11" s="1107"/>
      <c r="BY11" s="1107"/>
      <c r="BZ11" s="1107"/>
      <c r="CA11" s="1107"/>
      <c r="CB11" s="1107"/>
      <c r="CC11" s="1107"/>
      <c r="CD11" s="1107"/>
      <c r="CE11" s="1107"/>
      <c r="CF11" s="1107"/>
      <c r="CG11" s="1107"/>
      <c r="CH11" s="1107"/>
      <c r="CI11" s="1107"/>
      <c r="CJ11" s="1107"/>
      <c r="CK11" s="1107"/>
    </row>
    <row r="12" spans="1:89" ht="63.75" customHeight="1" thickBot="1" x14ac:dyDescent="0.3">
      <c r="A12" s="1107"/>
      <c r="B12" s="1130"/>
      <c r="C12" s="1100" t="s">
        <v>1383</v>
      </c>
      <c r="D12" s="1100" t="s">
        <v>1491</v>
      </c>
      <c r="E12" s="1100" t="s">
        <v>766</v>
      </c>
      <c r="F12" s="1100" t="s">
        <v>1496</v>
      </c>
      <c r="G12" s="1100" t="s">
        <v>1849</v>
      </c>
      <c r="H12" s="1101" t="s">
        <v>1850</v>
      </c>
      <c r="I12" s="1101" t="s">
        <v>1851</v>
      </c>
      <c r="J12" s="1100" t="s">
        <v>1852</v>
      </c>
      <c r="K12" s="1101" t="s">
        <v>1397</v>
      </c>
      <c r="L12" s="1101" t="s">
        <v>1381</v>
      </c>
      <c r="M12" s="1100" t="s">
        <v>1382</v>
      </c>
      <c r="N12" s="1100" t="s">
        <v>721</v>
      </c>
      <c r="O12" s="1100" t="s">
        <v>722</v>
      </c>
      <c r="P12" s="1101" t="s">
        <v>1495</v>
      </c>
      <c r="Q12" s="1131"/>
      <c r="R12" s="1131"/>
      <c r="S12" s="1107"/>
      <c r="T12" s="1130"/>
      <c r="U12" s="1100" t="s">
        <v>1383</v>
      </c>
      <c r="V12" s="1100" t="s">
        <v>1491</v>
      </c>
      <c r="W12" s="1100" t="s">
        <v>766</v>
      </c>
      <c r="X12" s="1100" t="s">
        <v>1496</v>
      </c>
      <c r="Y12" s="1100" t="s">
        <v>1849</v>
      </c>
      <c r="Z12" s="1101" t="s">
        <v>1850</v>
      </c>
      <c r="AA12" s="1101" t="s">
        <v>1851</v>
      </c>
      <c r="AB12" s="1100" t="s">
        <v>1852</v>
      </c>
      <c r="AC12" s="1101" t="s">
        <v>1397</v>
      </c>
      <c r="AD12" s="1101" t="s">
        <v>1381</v>
      </c>
      <c r="AE12" s="1100" t="s">
        <v>1382</v>
      </c>
      <c r="AF12" s="1100" t="s">
        <v>721</v>
      </c>
      <c r="AG12" s="1100" t="s">
        <v>722</v>
      </c>
      <c r="AH12" s="1101" t="s">
        <v>1495</v>
      </c>
      <c r="AI12" s="1107"/>
      <c r="AJ12" s="1107"/>
      <c r="AK12" s="1107"/>
      <c r="AL12" s="1107"/>
      <c r="AM12" s="1107"/>
      <c r="AN12" s="1107"/>
      <c r="AO12" s="1107"/>
      <c r="AP12" s="1107"/>
      <c r="AQ12" s="1107"/>
      <c r="AR12" s="1107"/>
      <c r="AS12" s="1107"/>
      <c r="AT12" s="1107"/>
      <c r="AU12" s="1107"/>
      <c r="AV12" s="1107"/>
      <c r="AW12" s="1107"/>
      <c r="AX12" s="1107"/>
      <c r="AY12" s="1107"/>
      <c r="AZ12" s="1107"/>
      <c r="BA12" s="1107"/>
      <c r="BB12" s="1107"/>
      <c r="BC12" s="1107"/>
      <c r="BD12" s="1107"/>
      <c r="BE12" s="1107"/>
      <c r="BF12" s="1107"/>
      <c r="BG12" s="1107"/>
      <c r="BH12" s="1107"/>
      <c r="BI12" s="1107"/>
      <c r="BJ12" s="1107"/>
      <c r="BK12" s="1107"/>
      <c r="BL12" s="1107"/>
      <c r="BM12" s="1107"/>
      <c r="BN12" s="1107"/>
      <c r="BO12" s="1107"/>
      <c r="BP12" s="1107"/>
      <c r="BQ12" s="1107"/>
      <c r="BR12" s="1107"/>
      <c r="BS12" s="1107"/>
      <c r="BT12" s="1107"/>
      <c r="BU12" s="1107"/>
      <c r="BV12" s="1107"/>
      <c r="BW12" s="1107"/>
      <c r="BX12" s="1107"/>
      <c r="BY12" s="1107"/>
      <c r="BZ12" s="1107"/>
      <c r="CA12" s="1107"/>
      <c r="CB12" s="1107"/>
      <c r="CC12" s="1107"/>
      <c r="CD12" s="1107"/>
      <c r="CE12" s="1107"/>
      <c r="CF12" s="1107"/>
      <c r="CG12" s="1107"/>
      <c r="CH12" s="1107"/>
      <c r="CI12" s="1107"/>
      <c r="CJ12" s="1107"/>
      <c r="CK12" s="1107"/>
    </row>
    <row r="13" spans="1:89" ht="72" customHeight="1" thickBot="1" x14ac:dyDescent="0.3">
      <c r="A13" s="1107"/>
      <c r="B13" s="1132" t="s">
        <v>1853</v>
      </c>
      <c r="C13" s="1133" t="s">
        <v>1485</v>
      </c>
      <c r="D13" s="1134">
        <v>1201</v>
      </c>
      <c r="E13" s="1104" t="s">
        <v>2061</v>
      </c>
      <c r="F13" s="1104" t="s">
        <v>1497</v>
      </c>
      <c r="G13" s="1135" t="str" cm="1">
        <f t="array" aca="1" ref="G13" ca="1">INDIRECT("'Incentives Worksheet'!P"&amp;'Configurable Tab'!H3+3)</f>
        <v>Same as Payout Cycle</v>
      </c>
      <c r="H13" s="1102" t="str" cm="1">
        <f t="array" aca="1" ref="H13" ca="1">IF(ISBLANK(INDIRECT("'Incentives Worksheet'!H"&amp;'Configurable Tab'!H3+3)),"",INDIRECT("'Incentives Worksheet'!H"&amp;'Configurable Tab'!H3+3))</f>
        <v/>
      </c>
      <c r="I13" s="1135" t="str" cm="1">
        <f t="array" aca="1" ref="I13" ca="1">IF(INDIRECT("'Incentives Worksheet'!R"&amp;'Configurable Tab'!H3+3)="USF Calendar","Fiscal",INDIRECT("'Incentives Worksheet'!R"&amp;'Configurable Tab'!H3+3))</f>
        <v>Fiscal</v>
      </c>
      <c r="J13" s="1102" t="str" cm="1">
        <f t="array" aca="1" ref="J13" ca="1">IF(INDIRECT("'Incentives Worksheet'!T"&amp;'Configurable Tab'!H3+3)="Yes","Post to GL","")</f>
        <v/>
      </c>
      <c r="K13" s="1102" t="str" cm="1">
        <f t="array" aca="1" ref="K13" ca="1">IF(ISBLANK(INDIRECT("'Incentives Worksheet'!L"&amp;'Configurable Tab'!H3+3)),"",INDIRECT("'Incentives Worksheet'!L"&amp;'Configurable Tab'!H3+3))</f>
        <v/>
      </c>
      <c r="L13" s="1102" t="str" cm="1">
        <f t="array" aca="1" ref="L13" ca="1">IF(ISBLANK(INDIRECT("'Incentives Worksheet'!J"&amp;'Configurable Tab'!H3+3)),"",INDIRECT("'Incentives Worksheet'!J"&amp;'Configurable Tab'!H3+3))</f>
        <v/>
      </c>
      <c r="M13" s="1102" t="str" cm="1">
        <f t="array" aca="1" ref="M13" ca="1">IF(ISBLANK(INDIRECT("'Incentives Worksheet'!N"&amp;'Configurable Tab'!H3+3)),"",INDIRECT("'Incentives Worksheet'!N"&amp;'Configurable Tab'!H3+3))</f>
        <v/>
      </c>
      <c r="N13" s="1103" t="str" cm="1">
        <f t="array" aca="1" ref="N13" ca="1">INDIRECT("'Incentives Worksheet'!D"&amp;'Configurable Tab'!H3+6)</f>
        <v/>
      </c>
      <c r="O13" s="1103" t="str" cm="1">
        <f t="array" aca="1" ref="O13" ca="1">INDIRECT("'Incentives Worksheet'!D"&amp;'Configurable Tab'!H3+8)</f>
        <v/>
      </c>
      <c r="P13" s="1102" t="str" cm="1">
        <f t="array" aca="1" ref="P13" ca="1">IF(INDIRECT("'Incentives Worksheet'!D"&amp;'Configurable Tab'!H3+10)="No","Update tracking dates",INDIRECT("'Incentives Worksheet'!D"&amp;'Configurable Tab'!H3+10))</f>
        <v>Yes</v>
      </c>
      <c r="Q13" s="1136"/>
      <c r="R13" s="1136"/>
      <c r="S13" s="1107"/>
      <c r="T13" s="1132" t="s">
        <v>1853</v>
      </c>
      <c r="U13" s="1133" t="s">
        <v>1485</v>
      </c>
      <c r="V13" s="1134">
        <v>1202</v>
      </c>
      <c r="W13" s="1104" t="s">
        <v>2061</v>
      </c>
      <c r="X13" s="1104" t="s">
        <v>1497</v>
      </c>
      <c r="Y13" s="1102" t="str" cm="1">
        <f t="array" aca="1" ref="Y13" ca="1">INDIRECT("'Incentives Worksheet'!P"&amp;'Configurable Tab'!H4+3)</f>
        <v>Same as Payout Cycle</v>
      </c>
      <c r="Z13" s="1102" t="str" cm="1">
        <f t="array" aca="1" ref="Z13" ca="1">IF(ISBLANK(INDIRECT("'Incentives Worksheet'!H"&amp;'Configurable Tab'!H4+3)),"",INDIRECT("'Incentives Worksheet'!H"&amp;'Configurable Tab'!H4+3))</f>
        <v/>
      </c>
      <c r="AA13" s="1102" t="str" cm="1">
        <f t="array" aca="1" ref="AA13" ca="1">IF(INDIRECT("'Incentives Worksheet'!R"&amp;'Configurable Tab'!H4+3)="USF Calendar","Fiscal",INDIRECT("'Incentives Worksheet'!R"&amp;'Configurable Tab'!H4+3))</f>
        <v>Fiscal</v>
      </c>
      <c r="AB13" s="1102" t="str" cm="1">
        <f t="array" aca="1" ref="AB13" ca="1">IF(INDIRECT("'Incentives Worksheet'!T"&amp;'Configurable Tab'!H4+3)="Yes","Post to GL","")</f>
        <v/>
      </c>
      <c r="AC13" s="1102" t="str" cm="1">
        <f t="array" aca="1" ref="AC13" ca="1">IF(ISBLANK(INDIRECT("'Incentives Worksheet'!L"&amp;'Configurable Tab'!H4+3)),"",INDIRECT("'Incentives Worksheet'!L"&amp;'Configurable Tab'!H4+3))</f>
        <v/>
      </c>
      <c r="AD13" s="1102" t="str" cm="1">
        <f t="array" aca="1" ref="AD13" ca="1">IF(ISBLANK(INDIRECT("'Incentives Worksheet'!J"&amp;'Configurable Tab'!H3+3)),"",INDIRECT("'Incentives Worksheet'!J"&amp;'Configurable Tab'!H3+3))</f>
        <v/>
      </c>
      <c r="AE13" s="1102" t="str" cm="1">
        <f t="array" aca="1" ref="AE13" ca="1">IF(ISBLANK(INDIRECT("'Incentives Worksheet'!N"&amp;'Configurable Tab'!H4+3)),"",INDIRECT("'Incentives Worksheet'!N"&amp;'Configurable Tab'!H4+3))</f>
        <v/>
      </c>
      <c r="AF13" s="1103" t="str" cm="1">
        <f t="array" aca="1" ref="AF13" ca="1">INDIRECT("'Incentives Worksheet'!D"&amp;'Configurable Tab'!H4+6)</f>
        <v/>
      </c>
      <c r="AG13" s="1103" t="str" cm="1">
        <f t="array" aca="1" ref="AG13" ca="1">INDIRECT("'Incentives Worksheet'!D"&amp;'Configurable Tab'!H4+8)</f>
        <v/>
      </c>
      <c r="AH13" s="1102" t="str" cm="1">
        <f t="array" aca="1" ref="AH13" ca="1">IF(INDIRECT("'Incentives Worksheet'!D"&amp;'Configurable Tab'!H4+10)="No","Update tracking dates",INDIRECT("'Incentives Worksheet'!D"&amp;'Configurable Tab'!H4+10))</f>
        <v>Yes</v>
      </c>
      <c r="AI13" s="1107"/>
      <c r="AJ13" s="1107"/>
      <c r="AK13" s="1107"/>
      <c r="AL13" s="1107"/>
      <c r="AM13" s="1107"/>
      <c r="AN13" s="1107"/>
      <c r="AO13" s="1107"/>
      <c r="AP13" s="1107"/>
      <c r="AQ13" s="1107"/>
      <c r="AR13" s="1107"/>
      <c r="AS13" s="1107"/>
      <c r="AT13" s="1107"/>
      <c r="AU13" s="1107"/>
      <c r="AV13" s="1107"/>
      <c r="AW13" s="1107"/>
      <c r="AX13" s="1107"/>
      <c r="AY13" s="1107"/>
      <c r="AZ13" s="1107"/>
      <c r="BA13" s="1107"/>
      <c r="BB13" s="1107"/>
      <c r="BC13" s="1107"/>
      <c r="BD13" s="1107"/>
      <c r="BE13" s="1107"/>
      <c r="BF13" s="1107"/>
      <c r="BG13" s="1107"/>
      <c r="BH13" s="1107"/>
      <c r="BI13" s="1107"/>
      <c r="BJ13" s="1107"/>
      <c r="BK13" s="1107"/>
      <c r="BL13" s="1107"/>
      <c r="BM13" s="1107"/>
      <c r="BN13" s="1107"/>
      <c r="BO13" s="1107"/>
      <c r="BP13" s="1107"/>
      <c r="BQ13" s="1107"/>
      <c r="BR13" s="1107"/>
      <c r="BS13" s="1107"/>
      <c r="BT13" s="1107"/>
      <c r="BU13" s="1107"/>
      <c r="BV13" s="1107"/>
      <c r="BW13" s="1107"/>
      <c r="BX13" s="1107"/>
      <c r="BY13" s="1107"/>
      <c r="BZ13" s="1107"/>
      <c r="CA13" s="1107"/>
      <c r="CB13" s="1107"/>
      <c r="CC13" s="1107"/>
      <c r="CD13" s="1107"/>
      <c r="CE13" s="1107"/>
      <c r="CF13" s="1107"/>
      <c r="CG13" s="1107"/>
      <c r="CH13" s="1107"/>
      <c r="CI13" s="1107"/>
      <c r="CJ13" s="1107"/>
      <c r="CK13" s="1107"/>
    </row>
    <row r="14" spans="1:89" ht="15.75" customHeight="1" thickBot="1" x14ac:dyDescent="0.3">
      <c r="A14" s="1107"/>
      <c r="B14" s="2012" t="s">
        <v>1854</v>
      </c>
      <c r="C14" s="1100" t="s">
        <v>1855</v>
      </c>
      <c r="D14" s="1101" t="s">
        <v>1856</v>
      </c>
      <c r="E14" s="1136"/>
      <c r="F14" s="1136"/>
      <c r="G14" s="1136"/>
      <c r="H14" s="1136"/>
      <c r="I14" s="1136"/>
      <c r="J14" s="1136"/>
      <c r="K14" s="1136"/>
      <c r="L14" s="1136"/>
      <c r="M14" s="1136"/>
      <c r="N14" s="1136"/>
      <c r="O14" s="1136"/>
      <c r="P14" s="1137"/>
      <c r="Q14" s="1136"/>
      <c r="R14" s="1136"/>
      <c r="S14" s="1136"/>
      <c r="T14" s="2012" t="s">
        <v>1854</v>
      </c>
      <c r="U14" s="1100" t="s">
        <v>1855</v>
      </c>
      <c r="V14" s="1101" t="s">
        <v>1856</v>
      </c>
      <c r="W14" s="1136"/>
      <c r="X14" s="1136"/>
      <c r="Y14" s="1136"/>
      <c r="Z14" s="1136"/>
      <c r="AA14" s="1136"/>
      <c r="AB14" s="1136"/>
      <c r="AC14" s="1136"/>
      <c r="AD14" s="1136"/>
      <c r="AE14" s="1136"/>
      <c r="AF14" s="1136"/>
      <c r="AG14" s="1136"/>
      <c r="AH14" s="1137"/>
      <c r="AI14" s="1107"/>
      <c r="AJ14" s="1107"/>
      <c r="AK14" s="1107"/>
      <c r="AL14" s="1107"/>
      <c r="AM14" s="1107"/>
      <c r="AN14" s="1107"/>
      <c r="AO14" s="1107"/>
      <c r="AP14" s="1107"/>
      <c r="AQ14" s="1107"/>
      <c r="AR14" s="1107"/>
      <c r="AS14" s="1107"/>
      <c r="AT14" s="1107"/>
      <c r="AU14" s="1107"/>
      <c r="AV14" s="1107"/>
      <c r="AW14" s="1107"/>
      <c r="AX14" s="1107"/>
      <c r="AY14" s="1107"/>
      <c r="AZ14" s="1107"/>
      <c r="BA14" s="1107"/>
      <c r="BB14" s="1107"/>
      <c r="BC14" s="1107"/>
      <c r="BD14" s="1107"/>
      <c r="BE14" s="1107"/>
      <c r="BF14" s="1107"/>
      <c r="BG14" s="1107"/>
      <c r="BH14" s="1107"/>
      <c r="BI14" s="1107"/>
      <c r="BJ14" s="1107"/>
      <c r="BK14" s="1107"/>
      <c r="BL14" s="1107"/>
      <c r="BM14" s="1107"/>
      <c r="BN14" s="1107"/>
      <c r="BO14" s="1107"/>
      <c r="BP14" s="1107"/>
      <c r="BQ14" s="1107"/>
      <c r="BR14" s="1107"/>
      <c r="BS14" s="1107"/>
      <c r="BT14" s="1107"/>
      <c r="BU14" s="1107"/>
      <c r="BV14" s="1107"/>
      <c r="BW14" s="1107"/>
      <c r="BX14" s="1107"/>
      <c r="BY14" s="1107"/>
      <c r="BZ14" s="1107"/>
      <c r="CA14" s="1107"/>
      <c r="CB14" s="1107"/>
      <c r="CC14" s="1107"/>
      <c r="CD14" s="1107"/>
      <c r="CE14" s="1107"/>
      <c r="CF14" s="1107"/>
      <c r="CG14" s="1107"/>
      <c r="CH14" s="1107"/>
      <c r="CI14" s="1107"/>
      <c r="CJ14" s="1107"/>
      <c r="CK14" s="1107"/>
    </row>
    <row r="15" spans="1:89" ht="15.75" customHeight="1" thickBot="1" x14ac:dyDescent="0.3">
      <c r="A15" s="1107"/>
      <c r="B15" s="2013"/>
      <c r="C15" s="1138" t="s">
        <v>1857</v>
      </c>
      <c r="D15" s="1138" t="str" cm="1">
        <f t="array" aca="1" ref="D15" ca="1">IF(ISBLANK(INDIRECT("'Incentives Worksheet'!L"&amp;'Configurable Tab'!H3+6)),"",INDIRECT("'Incentives Worksheet'!L"&amp;'Configurable Tab'!H3+6))</f>
        <v/>
      </c>
      <c r="E15" s="1136"/>
      <c r="F15" s="1136"/>
      <c r="G15" s="1136"/>
      <c r="H15" s="1136"/>
      <c r="I15" s="1136"/>
      <c r="J15" s="1136"/>
      <c r="K15" s="1136"/>
      <c r="L15" s="1136"/>
      <c r="M15" s="1136"/>
      <c r="N15" s="1136"/>
      <c r="O15" s="1136"/>
      <c r="P15" s="1137"/>
      <c r="Q15" s="1136"/>
      <c r="R15" s="1136"/>
      <c r="S15" s="1136"/>
      <c r="T15" s="2013"/>
      <c r="U15" s="1138" t="s">
        <v>1857</v>
      </c>
      <c r="V15" s="1138" t="str" cm="1">
        <f t="array" aca="1" ref="V15" ca="1">IF(ISBLANK(INDIRECT("'Incentives Worksheet'!L"&amp;'Configurable Tab'!H4+6)),"",INDIRECT("'Incentives Worksheet'!L"&amp;'Configurable Tab'!H4+6))</f>
        <v/>
      </c>
      <c r="W15" s="1136"/>
      <c r="X15" s="1136"/>
      <c r="Y15" s="1136"/>
      <c r="Z15" s="1136"/>
      <c r="AA15" s="1136"/>
      <c r="AB15" s="1136"/>
      <c r="AC15" s="1136"/>
      <c r="AD15" s="1136"/>
      <c r="AE15" s="1136"/>
      <c r="AF15" s="1136"/>
      <c r="AG15" s="1136"/>
      <c r="AH15" s="1137"/>
      <c r="AI15" s="1107"/>
      <c r="AJ15" s="1107"/>
      <c r="AK15" s="1107"/>
      <c r="AL15" s="1107"/>
      <c r="AM15" s="1107"/>
      <c r="AN15" s="1107"/>
      <c r="AO15" s="1107"/>
      <c r="AP15" s="1107"/>
      <c r="AQ15" s="1107"/>
      <c r="AR15" s="1107"/>
      <c r="AS15" s="1107"/>
      <c r="AT15" s="1107"/>
      <c r="AU15" s="1107"/>
      <c r="AV15" s="1107"/>
      <c r="AW15" s="1107"/>
      <c r="AX15" s="1107"/>
      <c r="AY15" s="1107"/>
      <c r="AZ15" s="1107"/>
      <c r="BA15" s="1107"/>
      <c r="BB15" s="1107"/>
      <c r="BC15" s="1107"/>
      <c r="BD15" s="1107"/>
      <c r="BE15" s="1107"/>
      <c r="BF15" s="1107"/>
      <c r="BG15" s="1107"/>
      <c r="BH15" s="1107"/>
      <c r="BI15" s="1107"/>
      <c r="BJ15" s="1107"/>
      <c r="BK15" s="1107"/>
      <c r="BL15" s="1107"/>
      <c r="BM15" s="1107"/>
      <c r="BN15" s="1107"/>
      <c r="BO15" s="1107"/>
      <c r="BP15" s="1107"/>
      <c r="BQ15" s="1107"/>
      <c r="BR15" s="1107"/>
      <c r="BS15" s="1107"/>
      <c r="BT15" s="1107"/>
      <c r="BU15" s="1107"/>
      <c r="BV15" s="1107"/>
      <c r="BW15" s="1107"/>
      <c r="BX15" s="1107"/>
      <c r="BY15" s="1107"/>
      <c r="BZ15" s="1107"/>
      <c r="CA15" s="1107"/>
      <c r="CB15" s="1107"/>
      <c r="CC15" s="1107"/>
      <c r="CD15" s="1107"/>
      <c r="CE15" s="1107"/>
      <c r="CF15" s="1107"/>
      <c r="CG15" s="1107"/>
      <c r="CH15" s="1107"/>
      <c r="CI15" s="1107"/>
      <c r="CJ15" s="1107"/>
      <c r="CK15" s="1107"/>
    </row>
    <row r="16" spans="1:89" ht="15.75" customHeight="1" thickBot="1" x14ac:dyDescent="0.3">
      <c r="A16" s="1107"/>
      <c r="B16" s="2026" t="s">
        <v>1858</v>
      </c>
      <c r="C16" s="1139" t="s">
        <v>1859</v>
      </c>
      <c r="D16" s="1140" t="s">
        <v>131</v>
      </c>
      <c r="E16" s="1140" t="s">
        <v>1860</v>
      </c>
      <c r="F16" s="1107"/>
      <c r="G16" s="1107"/>
      <c r="H16" s="1107"/>
      <c r="I16" s="1107"/>
      <c r="J16" s="1107"/>
      <c r="K16" s="1107"/>
      <c r="L16" s="1107"/>
      <c r="M16" s="1107"/>
      <c r="N16" s="1107"/>
      <c r="O16" s="1107"/>
      <c r="P16" s="1108"/>
      <c r="Q16" s="1107"/>
      <c r="R16" s="1107"/>
      <c r="S16" s="1107"/>
      <c r="T16" s="2026" t="s">
        <v>1858</v>
      </c>
      <c r="U16" s="1139" t="s">
        <v>1859</v>
      </c>
      <c r="V16" s="1140" t="s">
        <v>131</v>
      </c>
      <c r="W16" s="1140" t="s">
        <v>1860</v>
      </c>
      <c r="X16" s="1107"/>
      <c r="Y16" s="1107"/>
      <c r="Z16" s="1107"/>
      <c r="AA16" s="1107"/>
      <c r="AB16" s="1107"/>
      <c r="AC16" s="1107"/>
      <c r="AD16" s="1107"/>
      <c r="AE16" s="1107"/>
      <c r="AF16" s="1107"/>
      <c r="AG16" s="1107"/>
      <c r="AH16" s="1108"/>
      <c r="AI16" s="1107"/>
      <c r="AJ16" s="1107"/>
      <c r="AK16" s="1107"/>
      <c r="AL16" s="1107"/>
      <c r="AM16" s="1107"/>
      <c r="AN16" s="1107"/>
      <c r="AO16" s="1107"/>
      <c r="AP16" s="1107"/>
      <c r="AQ16" s="1107"/>
      <c r="AR16" s="1107"/>
      <c r="AS16" s="1107"/>
      <c r="AT16" s="1107"/>
      <c r="AU16" s="1107"/>
      <c r="AV16" s="1107"/>
      <c r="AW16" s="1107"/>
      <c r="AX16" s="1107"/>
      <c r="AY16" s="1107"/>
      <c r="AZ16" s="1107"/>
      <c r="BA16" s="1107"/>
      <c r="BB16" s="1107"/>
      <c r="BC16" s="1107"/>
      <c r="BD16" s="1107"/>
      <c r="BE16" s="1107"/>
      <c r="BF16" s="1107"/>
      <c r="BG16" s="1107"/>
      <c r="BH16" s="1107"/>
      <c r="BI16" s="1107"/>
      <c r="BJ16" s="1107"/>
      <c r="BK16" s="1107"/>
      <c r="BL16" s="1107"/>
      <c r="BM16" s="1107"/>
      <c r="BN16" s="1107"/>
      <c r="BO16" s="1107"/>
      <c r="BP16" s="1107"/>
      <c r="BQ16" s="1107"/>
      <c r="BR16" s="1107"/>
      <c r="BS16" s="1107"/>
      <c r="BT16" s="1107"/>
      <c r="BU16" s="1107"/>
      <c r="BV16" s="1107"/>
      <c r="BW16" s="1107"/>
      <c r="BX16" s="1107"/>
      <c r="BY16" s="1107"/>
      <c r="BZ16" s="1107"/>
      <c r="CA16" s="1107"/>
      <c r="CB16" s="1107"/>
      <c r="CC16" s="1107"/>
      <c r="CD16" s="1107"/>
      <c r="CE16" s="1107"/>
      <c r="CF16" s="1107"/>
      <c r="CG16" s="1107"/>
      <c r="CH16" s="1107"/>
      <c r="CI16" s="1107"/>
      <c r="CJ16" s="1107"/>
      <c r="CK16" s="1107"/>
    </row>
    <row r="17" spans="1:89" x14ac:dyDescent="0.25">
      <c r="A17" s="1107"/>
      <c r="B17" s="2008"/>
      <c r="C17" s="1141" t="s">
        <v>1861</v>
      </c>
      <c r="D17" s="1141" t="s">
        <v>1862</v>
      </c>
      <c r="E17" s="1142"/>
      <c r="F17" s="1107"/>
      <c r="G17" s="1107"/>
      <c r="H17" s="1107"/>
      <c r="I17" s="1107"/>
      <c r="J17" s="1107"/>
      <c r="K17" s="1107"/>
      <c r="L17" s="1107"/>
      <c r="M17" s="1107"/>
      <c r="N17" s="1107"/>
      <c r="O17" s="1107"/>
      <c r="P17" s="1108"/>
      <c r="Q17" s="1107"/>
      <c r="R17" s="1107"/>
      <c r="S17" s="1107"/>
      <c r="T17" s="2008"/>
      <c r="U17" s="1141" t="s">
        <v>1861</v>
      </c>
      <c r="V17" s="1141" t="s">
        <v>1862</v>
      </c>
      <c r="W17" s="1142"/>
      <c r="X17" s="1107"/>
      <c r="Y17" s="1107"/>
      <c r="Z17" s="1107"/>
      <c r="AA17" s="1107"/>
      <c r="AB17" s="1107"/>
      <c r="AC17" s="1107"/>
      <c r="AD17" s="1107"/>
      <c r="AE17" s="1107"/>
      <c r="AF17" s="1107"/>
      <c r="AG17" s="1107"/>
      <c r="AH17" s="1108"/>
      <c r="AI17" s="1107"/>
      <c r="AJ17" s="1107"/>
      <c r="AK17" s="1107"/>
      <c r="AL17" s="1107"/>
      <c r="AM17" s="1107"/>
      <c r="AN17" s="1107"/>
      <c r="AO17" s="1107"/>
      <c r="AP17" s="1107"/>
      <c r="AQ17" s="1107"/>
      <c r="AR17" s="1107"/>
      <c r="AS17" s="1107"/>
      <c r="AT17" s="1107"/>
      <c r="AU17" s="1107"/>
      <c r="AV17" s="1107"/>
      <c r="AW17" s="1107"/>
      <c r="AX17" s="1107"/>
      <c r="AY17" s="1107"/>
      <c r="AZ17" s="1107"/>
      <c r="BA17" s="1107"/>
      <c r="BB17" s="1107"/>
      <c r="BC17" s="1107"/>
      <c r="BD17" s="1107"/>
      <c r="BE17" s="1107"/>
      <c r="BF17" s="1107"/>
      <c r="BG17" s="1107"/>
      <c r="BH17" s="1107"/>
      <c r="BI17" s="1107"/>
      <c r="BJ17" s="1107"/>
      <c r="BK17" s="1107"/>
      <c r="BL17" s="1107"/>
      <c r="BM17" s="1107"/>
      <c r="BN17" s="1107"/>
      <c r="BO17" s="1107"/>
      <c r="BP17" s="1107"/>
      <c r="BQ17" s="1107"/>
      <c r="BR17" s="1107"/>
      <c r="BS17" s="1107"/>
      <c r="BT17" s="1107"/>
      <c r="BU17" s="1107"/>
      <c r="BV17" s="1107"/>
      <c r="BW17" s="1107"/>
      <c r="BX17" s="1107"/>
      <c r="BY17" s="1107"/>
      <c r="BZ17" s="1107"/>
      <c r="CA17" s="1107"/>
      <c r="CB17" s="1107"/>
      <c r="CC17" s="1107"/>
      <c r="CD17" s="1107"/>
      <c r="CE17" s="1107"/>
      <c r="CF17" s="1107"/>
      <c r="CG17" s="1107"/>
      <c r="CH17" s="1107"/>
      <c r="CI17" s="1107"/>
      <c r="CJ17" s="1107"/>
      <c r="CK17" s="1107"/>
    </row>
    <row r="18" spans="1:89" x14ac:dyDescent="0.25">
      <c r="A18" s="1107"/>
      <c r="B18" s="2008"/>
      <c r="C18" s="1143" t="s">
        <v>1861</v>
      </c>
      <c r="D18" s="1143" t="s">
        <v>1863</v>
      </c>
      <c r="E18" s="1144" t="s">
        <v>1864</v>
      </c>
      <c r="F18" s="1107"/>
      <c r="G18" s="1107"/>
      <c r="H18" s="1107"/>
      <c r="I18" s="1107"/>
      <c r="J18" s="1107"/>
      <c r="K18" s="1107"/>
      <c r="L18" s="1107"/>
      <c r="M18" s="1107"/>
      <c r="N18" s="1107"/>
      <c r="O18" s="1107"/>
      <c r="P18" s="1108"/>
      <c r="Q18" s="1107"/>
      <c r="R18" s="1107"/>
      <c r="S18" s="1107"/>
      <c r="T18" s="2008"/>
      <c r="U18" s="1143" t="s">
        <v>1861</v>
      </c>
      <c r="V18" s="1143" t="s">
        <v>1863</v>
      </c>
      <c r="W18" s="1144" t="s">
        <v>1864</v>
      </c>
      <c r="X18" s="1107"/>
      <c r="Y18" s="1107"/>
      <c r="Z18" s="1107"/>
      <c r="AA18" s="1107"/>
      <c r="AB18" s="1107"/>
      <c r="AC18" s="1107"/>
      <c r="AD18" s="1107"/>
      <c r="AE18" s="1107"/>
      <c r="AF18" s="1107"/>
      <c r="AG18" s="1107"/>
      <c r="AH18" s="1108"/>
      <c r="AI18" s="1107"/>
      <c r="AJ18" s="1107"/>
      <c r="AK18" s="1107"/>
      <c r="AL18" s="1107"/>
      <c r="AM18" s="1107"/>
      <c r="AN18" s="1107"/>
      <c r="AO18" s="1107"/>
      <c r="AP18" s="1107"/>
      <c r="AQ18" s="1107"/>
      <c r="AR18" s="1107"/>
      <c r="AS18" s="1107"/>
      <c r="AT18" s="1107"/>
      <c r="AU18" s="1107"/>
      <c r="AV18" s="1107"/>
      <c r="AW18" s="1107"/>
      <c r="AX18" s="1107"/>
      <c r="AY18" s="1107"/>
      <c r="AZ18" s="1107"/>
      <c r="BA18" s="1107"/>
      <c r="BB18" s="1107"/>
      <c r="BC18" s="1107"/>
      <c r="BD18" s="1107"/>
      <c r="BE18" s="1107"/>
      <c r="BF18" s="1107"/>
      <c r="BG18" s="1107"/>
      <c r="BH18" s="1107"/>
      <c r="BI18" s="1107"/>
      <c r="BJ18" s="1107"/>
      <c r="BK18" s="1107"/>
      <c r="BL18" s="1107"/>
      <c r="BM18" s="1107"/>
      <c r="BN18" s="1107"/>
      <c r="BO18" s="1107"/>
      <c r="BP18" s="1107"/>
      <c r="BQ18" s="1107"/>
      <c r="BR18" s="1107"/>
      <c r="BS18" s="1107"/>
      <c r="BT18" s="1107"/>
      <c r="BU18" s="1107"/>
      <c r="BV18" s="1107"/>
      <c r="BW18" s="1107"/>
      <c r="BX18" s="1107"/>
      <c r="BY18" s="1107"/>
      <c r="BZ18" s="1107"/>
      <c r="CA18" s="1107"/>
      <c r="CB18" s="1107"/>
      <c r="CC18" s="1107"/>
      <c r="CD18" s="1107"/>
      <c r="CE18" s="1107"/>
      <c r="CF18" s="1107"/>
      <c r="CG18" s="1107"/>
      <c r="CH18" s="1107"/>
      <c r="CI18" s="1107"/>
      <c r="CJ18" s="1107"/>
      <c r="CK18" s="1107"/>
    </row>
    <row r="19" spans="1:89" x14ac:dyDescent="0.25">
      <c r="A19" s="1107"/>
      <c r="B19" s="2008"/>
      <c r="C19" s="1143" t="s">
        <v>1861</v>
      </c>
      <c r="D19" s="1143" t="s">
        <v>1865</v>
      </c>
      <c r="E19" s="1144" t="s">
        <v>1699</v>
      </c>
      <c r="F19" s="1107"/>
      <c r="G19" s="1107"/>
      <c r="H19" s="1107"/>
      <c r="I19" s="1107"/>
      <c r="J19" s="1107"/>
      <c r="K19" s="1107"/>
      <c r="L19" s="1107"/>
      <c r="M19" s="1107"/>
      <c r="N19" s="1107"/>
      <c r="O19" s="1107"/>
      <c r="P19" s="1108"/>
      <c r="Q19" s="1107"/>
      <c r="R19" s="1107"/>
      <c r="S19" s="1107"/>
      <c r="T19" s="2008"/>
      <c r="U19" s="1143" t="s">
        <v>1861</v>
      </c>
      <c r="V19" s="1143" t="s">
        <v>1865</v>
      </c>
      <c r="W19" s="1144" t="s">
        <v>1699</v>
      </c>
      <c r="X19" s="1107"/>
      <c r="Y19" s="1107"/>
      <c r="Z19" s="1107"/>
      <c r="AA19" s="1107"/>
      <c r="AB19" s="1107"/>
      <c r="AC19" s="1107"/>
      <c r="AD19" s="1107"/>
      <c r="AE19" s="1107"/>
      <c r="AF19" s="1107"/>
      <c r="AG19" s="1107"/>
      <c r="AH19" s="1108"/>
      <c r="AI19" s="1107"/>
      <c r="AJ19" s="1107"/>
      <c r="AK19" s="1107"/>
      <c r="AL19" s="1107"/>
      <c r="AM19" s="1107"/>
      <c r="AN19" s="1107"/>
      <c r="AO19" s="1107"/>
      <c r="AP19" s="1107"/>
      <c r="AQ19" s="1107"/>
      <c r="AR19" s="1107"/>
      <c r="AS19" s="1107"/>
      <c r="AT19" s="1107"/>
      <c r="AU19" s="1107"/>
      <c r="AV19" s="1107"/>
      <c r="AW19" s="1107"/>
      <c r="AX19" s="1107"/>
      <c r="AY19" s="1107"/>
      <c r="AZ19" s="1107"/>
      <c r="BA19" s="1107"/>
      <c r="BB19" s="1107"/>
      <c r="BC19" s="1107"/>
      <c r="BD19" s="1107"/>
      <c r="BE19" s="1107"/>
      <c r="BF19" s="1107"/>
      <c r="BG19" s="1107"/>
      <c r="BH19" s="1107"/>
      <c r="BI19" s="1107"/>
      <c r="BJ19" s="1107"/>
      <c r="BK19" s="1107"/>
      <c r="BL19" s="1107"/>
      <c r="BM19" s="1107"/>
      <c r="BN19" s="1107"/>
      <c r="BO19" s="1107"/>
      <c r="BP19" s="1107"/>
      <c r="BQ19" s="1107"/>
      <c r="BR19" s="1107"/>
      <c r="BS19" s="1107"/>
      <c r="BT19" s="1107"/>
      <c r="BU19" s="1107"/>
      <c r="BV19" s="1107"/>
      <c r="BW19" s="1107"/>
      <c r="BX19" s="1107"/>
      <c r="BY19" s="1107"/>
      <c r="BZ19" s="1107"/>
      <c r="CA19" s="1107"/>
      <c r="CB19" s="1107"/>
      <c r="CC19" s="1107"/>
      <c r="CD19" s="1107"/>
      <c r="CE19" s="1107"/>
      <c r="CF19" s="1107"/>
      <c r="CG19" s="1107"/>
      <c r="CH19" s="1107"/>
      <c r="CI19" s="1107"/>
      <c r="CJ19" s="1107"/>
      <c r="CK19" s="1107"/>
    </row>
    <row r="20" spans="1:89" ht="15.75" customHeight="1" thickBot="1" x14ac:dyDescent="0.3">
      <c r="A20" s="1107"/>
      <c r="B20" s="2009"/>
      <c r="C20" s="1145" t="s">
        <v>1861</v>
      </c>
      <c r="D20" s="1145" t="s">
        <v>1866</v>
      </c>
      <c r="E20" s="1146" t="s">
        <v>1867</v>
      </c>
      <c r="F20" s="1107"/>
      <c r="G20" s="1107"/>
      <c r="H20" s="1107"/>
      <c r="I20" s="1107"/>
      <c r="J20" s="1107"/>
      <c r="K20" s="1107"/>
      <c r="L20" s="1107"/>
      <c r="M20" s="1107"/>
      <c r="N20" s="1107"/>
      <c r="O20" s="1107"/>
      <c r="P20" s="1108"/>
      <c r="Q20" s="1107"/>
      <c r="R20" s="1107"/>
      <c r="S20" s="1107"/>
      <c r="T20" s="2009"/>
      <c r="U20" s="1145" t="s">
        <v>1861</v>
      </c>
      <c r="V20" s="1145" t="s">
        <v>1866</v>
      </c>
      <c r="W20" s="1146" t="s">
        <v>1867</v>
      </c>
      <c r="X20" s="1107"/>
      <c r="Y20" s="1107"/>
      <c r="Z20" s="1107"/>
      <c r="AA20" s="1107"/>
      <c r="AB20" s="1107"/>
      <c r="AC20" s="1107"/>
      <c r="AD20" s="1107"/>
      <c r="AE20" s="1107"/>
      <c r="AF20" s="1107"/>
      <c r="AG20" s="1107"/>
      <c r="AH20" s="1108"/>
      <c r="AI20" s="1107"/>
      <c r="AJ20" s="1107"/>
      <c r="AK20" s="1107"/>
      <c r="AL20" s="1107"/>
      <c r="AM20" s="1107"/>
      <c r="AN20" s="1107"/>
      <c r="AO20" s="1107"/>
      <c r="AP20" s="1107"/>
      <c r="AQ20" s="1107"/>
      <c r="AR20" s="1107"/>
      <c r="AS20" s="1107"/>
      <c r="AT20" s="1107"/>
      <c r="AU20" s="1107"/>
      <c r="AV20" s="1107"/>
      <c r="AW20" s="1107"/>
      <c r="AX20" s="1107"/>
      <c r="AY20" s="1107"/>
      <c r="AZ20" s="1107"/>
      <c r="BA20" s="1107"/>
      <c r="BB20" s="1107"/>
      <c r="BC20" s="1107"/>
      <c r="BD20" s="1107"/>
      <c r="BE20" s="1107"/>
      <c r="BF20" s="1107"/>
      <c r="BG20" s="1107"/>
      <c r="BH20" s="1107"/>
      <c r="BI20" s="1107"/>
      <c r="BJ20" s="1107"/>
      <c r="BK20" s="1107"/>
      <c r="BL20" s="1107"/>
      <c r="BM20" s="1107"/>
      <c r="BN20" s="1107"/>
      <c r="BO20" s="1107"/>
      <c r="BP20" s="1107"/>
      <c r="BQ20" s="1107"/>
      <c r="BR20" s="1107"/>
      <c r="BS20" s="1107"/>
      <c r="BT20" s="1107"/>
      <c r="BU20" s="1107"/>
      <c r="BV20" s="1107"/>
      <c r="BW20" s="1107"/>
      <c r="BX20" s="1107"/>
      <c r="BY20" s="1107"/>
      <c r="BZ20" s="1107"/>
      <c r="CA20" s="1107"/>
      <c r="CB20" s="1107"/>
      <c r="CC20" s="1107"/>
      <c r="CD20" s="1107"/>
      <c r="CE20" s="1107"/>
      <c r="CF20" s="1107"/>
      <c r="CG20" s="1107"/>
      <c r="CH20" s="1107"/>
      <c r="CI20" s="1107"/>
      <c r="CJ20" s="1107"/>
      <c r="CK20" s="1107"/>
    </row>
    <row r="21" spans="1:89" ht="15.75" customHeight="1" thickBot="1" x14ac:dyDescent="0.3">
      <c r="A21" s="1107"/>
      <c r="B21" s="2006" t="s">
        <v>1868</v>
      </c>
      <c r="C21" s="1147" t="s">
        <v>1869</v>
      </c>
      <c r="D21" s="1148" t="s">
        <v>1859</v>
      </c>
      <c r="E21" s="1148" t="s">
        <v>131</v>
      </c>
      <c r="F21" s="1148" t="s">
        <v>1860</v>
      </c>
      <c r="G21" s="1148" t="s">
        <v>1870</v>
      </c>
      <c r="H21" s="1149" t="s">
        <v>1871</v>
      </c>
      <c r="I21" s="1150" t="s">
        <v>766</v>
      </c>
      <c r="J21" s="1150" t="s">
        <v>767</v>
      </c>
      <c r="K21" s="1150" t="s">
        <v>768</v>
      </c>
      <c r="L21" s="1150" t="s">
        <v>769</v>
      </c>
      <c r="M21" s="1150" t="s">
        <v>204</v>
      </c>
      <c r="N21" s="1107"/>
      <c r="O21" s="1107"/>
      <c r="P21" s="1108"/>
      <c r="Q21" s="1107"/>
      <c r="R21" s="1107"/>
      <c r="S21" s="1107"/>
      <c r="T21" s="2006" t="s">
        <v>1868</v>
      </c>
      <c r="U21" s="1147" t="s">
        <v>1869</v>
      </c>
      <c r="V21" s="1148" t="s">
        <v>1859</v>
      </c>
      <c r="W21" s="1148" t="s">
        <v>131</v>
      </c>
      <c r="X21" s="1148" t="s">
        <v>1860</v>
      </c>
      <c r="Y21" s="1148" t="s">
        <v>1870</v>
      </c>
      <c r="Z21" s="1149" t="s">
        <v>1871</v>
      </c>
      <c r="AA21" s="1150" t="s">
        <v>766</v>
      </c>
      <c r="AB21" s="1150" t="s">
        <v>767</v>
      </c>
      <c r="AC21" s="1150" t="s">
        <v>768</v>
      </c>
      <c r="AD21" s="1150" t="s">
        <v>769</v>
      </c>
      <c r="AE21" s="1150" t="s">
        <v>204</v>
      </c>
      <c r="AF21" s="1107"/>
      <c r="AG21" s="1107"/>
      <c r="AH21" s="1108"/>
      <c r="AI21" s="1107"/>
      <c r="AJ21" s="1107"/>
      <c r="AK21" s="1107"/>
      <c r="AL21" s="1107"/>
      <c r="AM21" s="1107"/>
      <c r="AN21" s="1107"/>
      <c r="AO21" s="1107"/>
      <c r="AP21" s="1107"/>
      <c r="AQ21" s="1107"/>
      <c r="AR21" s="1107"/>
      <c r="AS21" s="1107"/>
      <c r="AT21" s="1107"/>
      <c r="AU21" s="1107"/>
      <c r="AV21" s="1107"/>
      <c r="AW21" s="1107"/>
      <c r="AX21" s="1107"/>
      <c r="AY21" s="1107"/>
      <c r="AZ21" s="1107"/>
      <c r="BA21" s="1107"/>
      <c r="BB21" s="1107"/>
      <c r="BC21" s="1107"/>
      <c r="BD21" s="1107"/>
      <c r="BE21" s="1107"/>
      <c r="BF21" s="1107"/>
      <c r="BG21" s="1107"/>
      <c r="BH21" s="1107"/>
      <c r="BI21" s="1107"/>
      <c r="BJ21" s="1107"/>
      <c r="BK21" s="1107"/>
      <c r="BL21" s="1107"/>
      <c r="BM21" s="1107"/>
      <c r="BN21" s="1107"/>
      <c r="BO21" s="1107"/>
      <c r="BP21" s="1107"/>
      <c r="BQ21" s="1107"/>
      <c r="BR21" s="1107"/>
      <c r="BS21" s="1107"/>
      <c r="BT21" s="1107"/>
      <c r="BU21" s="1107"/>
      <c r="BV21" s="1107"/>
      <c r="BW21" s="1107"/>
      <c r="BX21" s="1107"/>
      <c r="BY21" s="1107"/>
      <c r="BZ21" s="1107"/>
      <c r="CA21" s="1107"/>
      <c r="CB21" s="1107"/>
      <c r="CC21" s="1107"/>
      <c r="CD21" s="1107"/>
      <c r="CE21" s="1107"/>
      <c r="CF21" s="1107"/>
      <c r="CG21" s="1107"/>
      <c r="CH21" s="1107"/>
      <c r="CI21" s="1107"/>
      <c r="CJ21" s="1107"/>
      <c r="CK21" s="1107"/>
    </row>
    <row r="22" spans="1:89" x14ac:dyDescent="0.25">
      <c r="A22" s="1107"/>
      <c r="B22" s="2008"/>
      <c r="C22" s="1151">
        <v>1</v>
      </c>
      <c r="D22" s="1144" t="s">
        <v>1872</v>
      </c>
      <c r="E22" s="1144" t="s">
        <v>1426</v>
      </c>
      <c r="F22" s="1144" t="str">
        <f>'Required Info to Submit'!E23</f>
        <v/>
      </c>
      <c r="G22" s="1414" t="str">
        <f>IF(F22="","",'Required Info to Submit'!K23)</f>
        <v/>
      </c>
      <c r="H22" s="1415" t="str">
        <f>IF(F22="","",'Required Info to Submit'!L23)</f>
        <v/>
      </c>
      <c r="I22" s="1144" t="str">
        <f>'Required Info to Submit'!F23</f>
        <v/>
      </c>
      <c r="J22" s="1144" t="str">
        <f>'Required Info to Submit'!G23</f>
        <v/>
      </c>
      <c r="K22" s="1144" t="str">
        <f>'Required Info to Submit'!H23</f>
        <v/>
      </c>
      <c r="L22" s="1144" t="str">
        <f>'Required Info to Submit'!I23</f>
        <v/>
      </c>
      <c r="M22" s="1144" t="str">
        <f>'Required Info to Submit'!J23</f>
        <v/>
      </c>
      <c r="N22" s="1107"/>
      <c r="O22" s="1107"/>
      <c r="P22" s="1108"/>
      <c r="Q22" s="1107"/>
      <c r="R22" s="1107"/>
      <c r="S22" s="1107"/>
      <c r="T22" s="2008"/>
      <c r="U22" s="1152">
        <v>1</v>
      </c>
      <c r="V22" s="1153" t="s">
        <v>1872</v>
      </c>
      <c r="W22" s="1153" t="s">
        <v>1426</v>
      </c>
      <c r="X22" s="1153" t="str">
        <f>'Required Info to Submit'!E23</f>
        <v/>
      </c>
      <c r="Y22" s="1417" t="str">
        <f>IF(X22="","",'Required Info to Submit'!K23)</f>
        <v/>
      </c>
      <c r="Z22" s="1418" t="str">
        <f>IF(X22="","",'Required Info to Submit'!L23)</f>
        <v/>
      </c>
      <c r="AA22" s="1153" t="str">
        <f>'Required Info to Submit'!F23</f>
        <v/>
      </c>
      <c r="AB22" s="1153" t="str">
        <f>'Required Info to Submit'!G23</f>
        <v/>
      </c>
      <c r="AC22" s="1153" t="str">
        <f>'Required Info to Submit'!H23</f>
        <v/>
      </c>
      <c r="AD22" s="1153" t="str">
        <f>'Required Info to Submit'!I23</f>
        <v/>
      </c>
      <c r="AE22" s="1153" t="str">
        <f>'Required Info to Submit'!J23</f>
        <v/>
      </c>
      <c r="AF22" s="1107"/>
      <c r="AG22" s="1107"/>
      <c r="AH22" s="1108"/>
      <c r="AI22" s="1107"/>
      <c r="AJ22" s="1107"/>
      <c r="AK22" s="1107"/>
      <c r="AL22" s="1107"/>
      <c r="AM22" s="1107"/>
      <c r="AN22" s="1107"/>
      <c r="AO22" s="1107"/>
      <c r="AP22" s="1107"/>
      <c r="AQ22" s="1107"/>
      <c r="AR22" s="1107"/>
      <c r="AS22" s="1107"/>
      <c r="AT22" s="1107"/>
      <c r="AU22" s="1107"/>
      <c r="AV22" s="1107"/>
      <c r="AW22" s="1107"/>
      <c r="AX22" s="1107"/>
      <c r="AY22" s="1107"/>
      <c r="AZ22" s="1107"/>
      <c r="BA22" s="1107"/>
      <c r="BB22" s="1107"/>
      <c r="BC22" s="1107"/>
      <c r="BD22" s="1107"/>
      <c r="BE22" s="1107"/>
      <c r="BF22" s="1107"/>
      <c r="BG22" s="1107"/>
      <c r="BH22" s="1107"/>
      <c r="BI22" s="1107"/>
      <c r="BJ22" s="1107"/>
      <c r="BK22" s="1107"/>
      <c r="BL22" s="1107"/>
      <c r="BM22" s="1107"/>
      <c r="BN22" s="1107"/>
      <c r="BO22" s="1107"/>
      <c r="BP22" s="1107"/>
      <c r="BQ22" s="1107"/>
      <c r="BR22" s="1107"/>
      <c r="BS22" s="1107"/>
      <c r="BT22" s="1107"/>
      <c r="BU22" s="1107"/>
      <c r="BV22" s="1107"/>
      <c r="BW22" s="1107"/>
      <c r="BX22" s="1107"/>
      <c r="BY22" s="1107"/>
      <c r="BZ22" s="1107"/>
      <c r="CA22" s="1107"/>
      <c r="CB22" s="1107"/>
      <c r="CC22" s="1107"/>
      <c r="CD22" s="1107"/>
      <c r="CE22" s="1107"/>
      <c r="CF22" s="1107"/>
      <c r="CG22" s="1107"/>
      <c r="CH22" s="1107"/>
      <c r="CI22" s="1107"/>
      <c r="CJ22" s="1107"/>
      <c r="CK22" s="1107"/>
    </row>
    <row r="23" spans="1:89" x14ac:dyDescent="0.25">
      <c r="A23" s="1107"/>
      <c r="B23" s="2008"/>
      <c r="C23" s="1154">
        <v>2</v>
      </c>
      <c r="D23" s="1144" t="s">
        <v>1872</v>
      </c>
      <c r="E23" s="1144" t="s">
        <v>1426</v>
      </c>
      <c r="F23" s="1144" t="str">
        <f>'Required Info to Submit'!E24</f>
        <v/>
      </c>
      <c r="G23" s="1414" t="str">
        <f>IF(F23="","",'Required Info to Submit'!K24)</f>
        <v/>
      </c>
      <c r="H23" s="1415" t="str">
        <f>IF(F23="","",'Required Info to Submit'!L24)</f>
        <v/>
      </c>
      <c r="I23" s="1144" t="str">
        <f>'Required Info to Submit'!F24</f>
        <v/>
      </c>
      <c r="J23" s="1144" t="str">
        <f>'Required Info to Submit'!G24</f>
        <v/>
      </c>
      <c r="K23" s="1144" t="str">
        <f>'Required Info to Submit'!H24</f>
        <v/>
      </c>
      <c r="L23" s="1144" t="str">
        <f>'Required Info to Submit'!I24</f>
        <v/>
      </c>
      <c r="M23" s="1144" t="str">
        <f>'Required Info to Submit'!J24</f>
        <v/>
      </c>
      <c r="N23" s="1107"/>
      <c r="O23" s="1107"/>
      <c r="P23" s="1108"/>
      <c r="Q23" s="1107"/>
      <c r="R23" s="1107"/>
      <c r="S23" s="1107"/>
      <c r="T23" s="2008"/>
      <c r="U23" s="1155">
        <v>2</v>
      </c>
      <c r="V23" s="1153" t="s">
        <v>1872</v>
      </c>
      <c r="W23" s="1153" t="s">
        <v>1426</v>
      </c>
      <c r="X23" s="1153" t="str">
        <f>'Required Info to Submit'!E24</f>
        <v/>
      </c>
      <c r="Y23" s="1417" t="str">
        <f>IF(X23="","",'Required Info to Submit'!K24)</f>
        <v/>
      </c>
      <c r="Z23" s="1418" t="str">
        <f>IF(X23="","",'Required Info to Submit'!L24)</f>
        <v/>
      </c>
      <c r="AA23" s="1153" t="str">
        <f>'Required Info to Submit'!F24</f>
        <v/>
      </c>
      <c r="AB23" s="1153" t="str">
        <f>'Required Info to Submit'!G24</f>
        <v/>
      </c>
      <c r="AC23" s="1153" t="str">
        <f>'Required Info to Submit'!H24</f>
        <v/>
      </c>
      <c r="AD23" s="1153" t="str">
        <f>'Required Info to Submit'!I24</f>
        <v/>
      </c>
      <c r="AE23" s="1153" t="str">
        <f>'Required Info to Submit'!J24</f>
        <v/>
      </c>
      <c r="AF23" s="1107"/>
      <c r="AG23" s="1107"/>
      <c r="AH23" s="1108"/>
      <c r="AI23" s="1107"/>
      <c r="AJ23" s="1107"/>
      <c r="AK23" s="1107"/>
      <c r="AL23" s="1107"/>
      <c r="AM23" s="1107"/>
      <c r="AN23" s="1107"/>
      <c r="AO23" s="1107"/>
      <c r="AP23" s="1107"/>
      <c r="AQ23" s="1107"/>
      <c r="AR23" s="1107"/>
      <c r="AS23" s="1107"/>
      <c r="AT23" s="1107"/>
      <c r="AU23" s="1107"/>
      <c r="AV23" s="1107"/>
      <c r="AW23" s="1107"/>
      <c r="AX23" s="1107"/>
      <c r="AY23" s="1107"/>
      <c r="AZ23" s="1107"/>
      <c r="BA23" s="1107"/>
      <c r="BB23" s="1107"/>
      <c r="BC23" s="1107"/>
      <c r="BD23" s="1107"/>
      <c r="BE23" s="1107"/>
      <c r="BF23" s="1107"/>
      <c r="BG23" s="1107"/>
      <c r="BH23" s="1107"/>
      <c r="BI23" s="1107"/>
      <c r="BJ23" s="1107"/>
      <c r="BK23" s="1107"/>
      <c r="BL23" s="1107"/>
      <c r="BM23" s="1107"/>
      <c r="BN23" s="1107"/>
      <c r="BO23" s="1107"/>
      <c r="BP23" s="1107"/>
      <c r="BQ23" s="1107"/>
      <c r="BR23" s="1107"/>
      <c r="BS23" s="1107"/>
      <c r="BT23" s="1107"/>
      <c r="BU23" s="1107"/>
      <c r="BV23" s="1107"/>
      <c r="BW23" s="1107"/>
      <c r="BX23" s="1107"/>
      <c r="BY23" s="1107"/>
      <c r="BZ23" s="1107"/>
      <c r="CA23" s="1107"/>
      <c r="CB23" s="1107"/>
      <c r="CC23" s="1107"/>
      <c r="CD23" s="1107"/>
      <c r="CE23" s="1107"/>
      <c r="CF23" s="1107"/>
      <c r="CG23" s="1107"/>
      <c r="CH23" s="1107"/>
      <c r="CI23" s="1107"/>
      <c r="CJ23" s="1107"/>
      <c r="CK23" s="1107"/>
    </row>
    <row r="24" spans="1:89" x14ac:dyDescent="0.25">
      <c r="A24" s="1107"/>
      <c r="B24" s="2008"/>
      <c r="C24" s="1154">
        <v>3</v>
      </c>
      <c r="D24" s="1144" t="s">
        <v>1872</v>
      </c>
      <c r="E24" s="1144" t="s">
        <v>1426</v>
      </c>
      <c r="F24" s="1144" t="str">
        <f>'Required Info to Submit'!E25</f>
        <v/>
      </c>
      <c r="G24" s="1414" t="str">
        <f>IF(F24="","",'Required Info to Submit'!K25)</f>
        <v/>
      </c>
      <c r="H24" s="1415" t="str">
        <f>IF(F24="","",'Required Info to Submit'!L25)</f>
        <v/>
      </c>
      <c r="I24" s="1144" t="str">
        <f>'Required Info to Submit'!F25</f>
        <v/>
      </c>
      <c r="J24" s="1144" t="str">
        <f>'Required Info to Submit'!G25</f>
        <v/>
      </c>
      <c r="K24" s="1144" t="str">
        <f>'Required Info to Submit'!H25</f>
        <v/>
      </c>
      <c r="L24" s="1144" t="str">
        <f>'Required Info to Submit'!I25</f>
        <v/>
      </c>
      <c r="M24" s="1144" t="str">
        <f>'Required Info to Submit'!J25</f>
        <v/>
      </c>
      <c r="N24" s="1107"/>
      <c r="O24" s="1107"/>
      <c r="P24" s="1108"/>
      <c r="Q24" s="1107"/>
      <c r="R24" s="1107"/>
      <c r="S24" s="1107"/>
      <c r="T24" s="2008"/>
      <c r="U24" s="1155">
        <v>3</v>
      </c>
      <c r="V24" s="1153" t="s">
        <v>1872</v>
      </c>
      <c r="W24" s="1153" t="s">
        <v>1426</v>
      </c>
      <c r="X24" s="1153" t="str">
        <f>'Required Info to Submit'!E25</f>
        <v/>
      </c>
      <c r="Y24" s="1417" t="str">
        <f>IF(X24="","",'Required Info to Submit'!K25)</f>
        <v/>
      </c>
      <c r="Z24" s="1418" t="str">
        <f>IF(X24="","",'Required Info to Submit'!L25)</f>
        <v/>
      </c>
      <c r="AA24" s="1153" t="str">
        <f>'Required Info to Submit'!F25</f>
        <v/>
      </c>
      <c r="AB24" s="1153" t="str">
        <f>'Required Info to Submit'!G25</f>
        <v/>
      </c>
      <c r="AC24" s="1153" t="str">
        <f>'Required Info to Submit'!H25</f>
        <v/>
      </c>
      <c r="AD24" s="1153" t="str">
        <f>'Required Info to Submit'!I25</f>
        <v/>
      </c>
      <c r="AE24" s="1153" t="str">
        <f>'Required Info to Submit'!J25</f>
        <v/>
      </c>
      <c r="AF24" s="1107"/>
      <c r="AG24" s="1107"/>
      <c r="AH24" s="1108"/>
      <c r="AI24" s="1107"/>
      <c r="AJ24" s="1107"/>
      <c r="AK24" s="1107"/>
      <c r="AL24" s="1107"/>
      <c r="AM24" s="1107"/>
      <c r="AN24" s="1107"/>
      <c r="AO24" s="1107"/>
      <c r="AP24" s="1107"/>
      <c r="AQ24" s="1107"/>
      <c r="AR24" s="1107"/>
      <c r="AS24" s="1107"/>
      <c r="AT24" s="1107"/>
      <c r="AU24" s="1107"/>
      <c r="AV24" s="1107"/>
      <c r="AW24" s="1107"/>
      <c r="AX24" s="1107"/>
      <c r="AY24" s="1107"/>
      <c r="AZ24" s="1107"/>
      <c r="BA24" s="1107"/>
      <c r="BB24" s="1107"/>
      <c r="BC24" s="1107"/>
      <c r="BD24" s="1107"/>
      <c r="BE24" s="1107"/>
      <c r="BF24" s="1107"/>
      <c r="BG24" s="1107"/>
      <c r="BH24" s="1107"/>
      <c r="BI24" s="1107"/>
      <c r="BJ24" s="1107"/>
      <c r="BK24" s="1107"/>
      <c r="BL24" s="1107"/>
      <c r="BM24" s="1107"/>
      <c r="BN24" s="1107"/>
      <c r="BO24" s="1107"/>
      <c r="BP24" s="1107"/>
      <c r="BQ24" s="1107"/>
      <c r="BR24" s="1107"/>
      <c r="BS24" s="1107"/>
      <c r="BT24" s="1107"/>
      <c r="BU24" s="1107"/>
      <c r="BV24" s="1107"/>
      <c r="BW24" s="1107"/>
      <c r="BX24" s="1107"/>
      <c r="BY24" s="1107"/>
      <c r="BZ24" s="1107"/>
      <c r="CA24" s="1107"/>
      <c r="CB24" s="1107"/>
      <c r="CC24" s="1107"/>
      <c r="CD24" s="1107"/>
      <c r="CE24" s="1107"/>
      <c r="CF24" s="1107"/>
      <c r="CG24" s="1107"/>
      <c r="CH24" s="1107"/>
      <c r="CI24" s="1107"/>
      <c r="CJ24" s="1107"/>
      <c r="CK24" s="1107"/>
    </row>
    <row r="25" spans="1:89" x14ac:dyDescent="0.25">
      <c r="A25" s="1107"/>
      <c r="B25" s="2008"/>
      <c r="C25" s="1154">
        <v>4</v>
      </c>
      <c r="D25" s="1144" t="s">
        <v>1872</v>
      </c>
      <c r="E25" s="1144" t="s">
        <v>1426</v>
      </c>
      <c r="F25" s="1144" t="str">
        <f>'Required Info to Submit'!E26</f>
        <v/>
      </c>
      <c r="G25" s="1414" t="str">
        <f>IF(F25="","",'Required Info to Submit'!K26)</f>
        <v/>
      </c>
      <c r="H25" s="1415" t="str">
        <f>IF(F25="","",'Required Info to Submit'!L26)</f>
        <v/>
      </c>
      <c r="I25" s="1144" t="str">
        <f>'Required Info to Submit'!F26</f>
        <v/>
      </c>
      <c r="J25" s="1144" t="str">
        <f>'Required Info to Submit'!G26</f>
        <v/>
      </c>
      <c r="K25" s="1144" t="str">
        <f>'Required Info to Submit'!H26</f>
        <v/>
      </c>
      <c r="L25" s="1144" t="str">
        <f>'Required Info to Submit'!I26</f>
        <v/>
      </c>
      <c r="M25" s="1144" t="str">
        <f>'Required Info to Submit'!J26</f>
        <v/>
      </c>
      <c r="N25" s="1107"/>
      <c r="O25" s="1107"/>
      <c r="P25" s="1108"/>
      <c r="Q25" s="1107"/>
      <c r="R25" s="1107"/>
      <c r="S25" s="1107"/>
      <c r="T25" s="2008"/>
      <c r="U25" s="1155">
        <v>4</v>
      </c>
      <c r="V25" s="1153" t="s">
        <v>1872</v>
      </c>
      <c r="W25" s="1153" t="s">
        <v>1426</v>
      </c>
      <c r="X25" s="1153" t="str">
        <f>'Required Info to Submit'!E26</f>
        <v/>
      </c>
      <c r="Y25" s="1417" t="str">
        <f>IF(X25="","",'Required Info to Submit'!K26)</f>
        <v/>
      </c>
      <c r="Z25" s="1418" t="str">
        <f>IF(X25="","",'Required Info to Submit'!L26)</f>
        <v/>
      </c>
      <c r="AA25" s="1153" t="str">
        <f>'Required Info to Submit'!F26</f>
        <v/>
      </c>
      <c r="AB25" s="1153" t="str">
        <f>'Required Info to Submit'!G26</f>
        <v/>
      </c>
      <c r="AC25" s="1153" t="str">
        <f>'Required Info to Submit'!H26</f>
        <v/>
      </c>
      <c r="AD25" s="1153" t="str">
        <f>'Required Info to Submit'!I26</f>
        <v/>
      </c>
      <c r="AE25" s="1153" t="str">
        <f>'Required Info to Submit'!J26</f>
        <v/>
      </c>
      <c r="AF25" s="1107"/>
      <c r="AG25" s="1107"/>
      <c r="AH25" s="1108"/>
      <c r="AI25" s="1107"/>
      <c r="AJ25" s="1107"/>
      <c r="AK25" s="1107"/>
      <c r="AL25" s="1107"/>
      <c r="AM25" s="1107"/>
      <c r="AN25" s="1107"/>
      <c r="AO25" s="1107"/>
      <c r="AP25" s="1107"/>
      <c r="AQ25" s="1107"/>
      <c r="AR25" s="1107"/>
      <c r="AS25" s="1107"/>
      <c r="AT25" s="1107"/>
      <c r="AU25" s="1107"/>
      <c r="AV25" s="1107"/>
      <c r="AW25" s="1107"/>
      <c r="AX25" s="1107"/>
      <c r="AY25" s="1107"/>
      <c r="AZ25" s="1107"/>
      <c r="BA25" s="1107"/>
      <c r="BB25" s="1107"/>
      <c r="BC25" s="1107"/>
      <c r="BD25" s="1107"/>
      <c r="BE25" s="1107"/>
      <c r="BF25" s="1107"/>
      <c r="BG25" s="1107"/>
      <c r="BH25" s="1107"/>
      <c r="BI25" s="1107"/>
      <c r="BJ25" s="1107"/>
      <c r="BK25" s="1107"/>
      <c r="BL25" s="1107"/>
      <c r="BM25" s="1107"/>
      <c r="BN25" s="1107"/>
      <c r="BO25" s="1107"/>
      <c r="BP25" s="1107"/>
      <c r="BQ25" s="1107"/>
      <c r="BR25" s="1107"/>
      <c r="BS25" s="1107"/>
      <c r="BT25" s="1107"/>
      <c r="BU25" s="1107"/>
      <c r="BV25" s="1107"/>
      <c r="BW25" s="1107"/>
      <c r="BX25" s="1107"/>
      <c r="BY25" s="1107"/>
      <c r="BZ25" s="1107"/>
      <c r="CA25" s="1107"/>
      <c r="CB25" s="1107"/>
      <c r="CC25" s="1107"/>
      <c r="CD25" s="1107"/>
      <c r="CE25" s="1107"/>
      <c r="CF25" s="1107"/>
      <c r="CG25" s="1107"/>
      <c r="CH25" s="1107"/>
      <c r="CI25" s="1107"/>
      <c r="CJ25" s="1107"/>
      <c r="CK25" s="1107"/>
    </row>
    <row r="26" spans="1:89" x14ac:dyDescent="0.25">
      <c r="A26" s="1107"/>
      <c r="B26" s="2008"/>
      <c r="C26" s="1154">
        <v>5</v>
      </c>
      <c r="D26" s="1144" t="s">
        <v>1872</v>
      </c>
      <c r="E26" s="1144" t="s">
        <v>1426</v>
      </c>
      <c r="F26" s="1144" t="str">
        <f>'Required Info to Submit'!E27</f>
        <v/>
      </c>
      <c r="G26" s="1414" t="str">
        <f>IF(F26="","",'Required Info to Submit'!K27)</f>
        <v/>
      </c>
      <c r="H26" s="1415" t="str">
        <f>IF(F26="","",'Required Info to Submit'!L27)</f>
        <v/>
      </c>
      <c r="I26" s="1144" t="str">
        <f>'Required Info to Submit'!F27</f>
        <v/>
      </c>
      <c r="J26" s="1144" t="str">
        <f>'Required Info to Submit'!G27</f>
        <v/>
      </c>
      <c r="K26" s="1144" t="str">
        <f>'Required Info to Submit'!H27</f>
        <v/>
      </c>
      <c r="L26" s="1144" t="str">
        <f>'Required Info to Submit'!I27</f>
        <v/>
      </c>
      <c r="M26" s="1144" t="str">
        <f>'Required Info to Submit'!J27</f>
        <v/>
      </c>
      <c r="N26" s="1107"/>
      <c r="O26" s="1107"/>
      <c r="P26" s="1108"/>
      <c r="Q26" s="1107"/>
      <c r="R26" s="1107"/>
      <c r="S26" s="1107"/>
      <c r="T26" s="2008"/>
      <c r="U26" s="1155">
        <v>5</v>
      </c>
      <c r="V26" s="1153" t="s">
        <v>1872</v>
      </c>
      <c r="W26" s="1153" t="s">
        <v>1426</v>
      </c>
      <c r="X26" s="1153" t="str">
        <f>'Required Info to Submit'!E27</f>
        <v/>
      </c>
      <c r="Y26" s="1417" t="str">
        <f>IF(X26="","",'Required Info to Submit'!K27)</f>
        <v/>
      </c>
      <c r="Z26" s="1418" t="str">
        <f>IF(X26="","",'Required Info to Submit'!L27)</f>
        <v/>
      </c>
      <c r="AA26" s="1153" t="str">
        <f>'Required Info to Submit'!F27</f>
        <v/>
      </c>
      <c r="AB26" s="1153" t="str">
        <f>'Required Info to Submit'!G27</f>
        <v/>
      </c>
      <c r="AC26" s="1153" t="str">
        <f>'Required Info to Submit'!H27</f>
        <v/>
      </c>
      <c r="AD26" s="1153" t="str">
        <f>'Required Info to Submit'!I27</f>
        <v/>
      </c>
      <c r="AE26" s="1153" t="str">
        <f>'Required Info to Submit'!J27</f>
        <v/>
      </c>
      <c r="AF26" s="1107"/>
      <c r="AG26" s="1107"/>
      <c r="AH26" s="1108"/>
      <c r="AI26" s="1107"/>
      <c r="AJ26" s="1107"/>
      <c r="AK26" s="1107"/>
      <c r="AL26" s="1107"/>
      <c r="AM26" s="1107"/>
      <c r="AN26" s="1107"/>
      <c r="AO26" s="1107"/>
      <c r="AP26" s="1107"/>
      <c r="AQ26" s="1107"/>
      <c r="AR26" s="1107"/>
      <c r="AS26" s="1107"/>
      <c r="AT26" s="1107"/>
      <c r="AU26" s="1107"/>
      <c r="AV26" s="1107"/>
      <c r="AW26" s="1107"/>
      <c r="AX26" s="1107"/>
      <c r="AY26" s="1107"/>
      <c r="AZ26" s="1107"/>
      <c r="BA26" s="1107"/>
      <c r="BB26" s="1107"/>
      <c r="BC26" s="1107"/>
      <c r="BD26" s="1107"/>
      <c r="BE26" s="1107"/>
      <c r="BF26" s="1107"/>
      <c r="BG26" s="1107"/>
      <c r="BH26" s="1107"/>
      <c r="BI26" s="1107"/>
      <c r="BJ26" s="1107"/>
      <c r="BK26" s="1107"/>
      <c r="BL26" s="1107"/>
      <c r="BM26" s="1107"/>
      <c r="BN26" s="1107"/>
      <c r="BO26" s="1107"/>
      <c r="BP26" s="1107"/>
      <c r="BQ26" s="1107"/>
      <c r="BR26" s="1107"/>
      <c r="BS26" s="1107"/>
      <c r="BT26" s="1107"/>
      <c r="BU26" s="1107"/>
      <c r="BV26" s="1107"/>
      <c r="BW26" s="1107"/>
      <c r="BX26" s="1107"/>
      <c r="BY26" s="1107"/>
      <c r="BZ26" s="1107"/>
      <c r="CA26" s="1107"/>
      <c r="CB26" s="1107"/>
      <c r="CC26" s="1107"/>
      <c r="CD26" s="1107"/>
      <c r="CE26" s="1107"/>
      <c r="CF26" s="1107"/>
      <c r="CG26" s="1107"/>
      <c r="CH26" s="1107"/>
      <c r="CI26" s="1107"/>
      <c r="CJ26" s="1107"/>
      <c r="CK26" s="1107"/>
    </row>
    <row r="27" spans="1:89" x14ac:dyDescent="0.25">
      <c r="A27" s="1107"/>
      <c r="B27" s="2008"/>
      <c r="C27" s="1154">
        <v>6</v>
      </c>
      <c r="D27" s="1144" t="s">
        <v>1872</v>
      </c>
      <c r="E27" s="1144" t="s">
        <v>1426</v>
      </c>
      <c r="F27" s="1144" t="str">
        <f>'Required Info to Submit'!E28</f>
        <v/>
      </c>
      <c r="G27" s="1414" t="str">
        <f>IF(F27="","",'Required Info to Submit'!K28)</f>
        <v/>
      </c>
      <c r="H27" s="1415" t="str">
        <f>IF(F27="","",'Required Info to Submit'!L28)</f>
        <v/>
      </c>
      <c r="I27" s="1144" t="str">
        <f>'Required Info to Submit'!F28</f>
        <v/>
      </c>
      <c r="J27" s="1144" t="str">
        <f>'Required Info to Submit'!G28</f>
        <v/>
      </c>
      <c r="K27" s="1144" t="str">
        <f>'Required Info to Submit'!H28</f>
        <v/>
      </c>
      <c r="L27" s="1144" t="str">
        <f>'Required Info to Submit'!I28</f>
        <v/>
      </c>
      <c r="M27" s="1144" t="str">
        <f>'Required Info to Submit'!J28</f>
        <v/>
      </c>
      <c r="N27" s="1107"/>
      <c r="O27" s="1107"/>
      <c r="P27" s="1108"/>
      <c r="Q27" s="1107"/>
      <c r="R27" s="1107"/>
      <c r="S27" s="1107"/>
      <c r="T27" s="2008"/>
      <c r="U27" s="1155">
        <v>6</v>
      </c>
      <c r="V27" s="1153" t="s">
        <v>1872</v>
      </c>
      <c r="W27" s="1153" t="s">
        <v>1426</v>
      </c>
      <c r="X27" s="1153" t="str">
        <f>'Required Info to Submit'!E28</f>
        <v/>
      </c>
      <c r="Y27" s="1417" t="str">
        <f>IF(X27="","",'Required Info to Submit'!K28)</f>
        <v/>
      </c>
      <c r="Z27" s="1418" t="str">
        <f>IF(X27="","",'Required Info to Submit'!L28)</f>
        <v/>
      </c>
      <c r="AA27" s="1153" t="str">
        <f>'Required Info to Submit'!F28</f>
        <v/>
      </c>
      <c r="AB27" s="1153" t="str">
        <f>'Required Info to Submit'!G28</f>
        <v/>
      </c>
      <c r="AC27" s="1153" t="str">
        <f>'Required Info to Submit'!H28</f>
        <v/>
      </c>
      <c r="AD27" s="1153" t="str">
        <f>'Required Info to Submit'!I28</f>
        <v/>
      </c>
      <c r="AE27" s="1153" t="str">
        <f>'Required Info to Submit'!J28</f>
        <v/>
      </c>
      <c r="AF27" s="1107"/>
      <c r="AG27" s="1107"/>
      <c r="AH27" s="1108"/>
      <c r="AI27" s="1107"/>
      <c r="AJ27" s="1107"/>
      <c r="AK27" s="1107"/>
      <c r="AL27" s="1107"/>
      <c r="AM27" s="1107"/>
      <c r="AN27" s="1107"/>
      <c r="AO27" s="1107"/>
      <c r="AP27" s="1107"/>
      <c r="AQ27" s="1107"/>
      <c r="AR27" s="1107"/>
      <c r="AS27" s="1107"/>
      <c r="AT27" s="1107"/>
      <c r="AU27" s="1107"/>
      <c r="AV27" s="1107"/>
      <c r="AW27" s="1107"/>
      <c r="AX27" s="1107"/>
      <c r="AY27" s="1107"/>
      <c r="AZ27" s="1107"/>
      <c r="BA27" s="1107"/>
      <c r="BB27" s="1107"/>
      <c r="BC27" s="1107"/>
      <c r="BD27" s="1107"/>
      <c r="BE27" s="1107"/>
      <c r="BF27" s="1107"/>
      <c r="BG27" s="1107"/>
      <c r="BH27" s="1107"/>
      <c r="BI27" s="1107"/>
      <c r="BJ27" s="1107"/>
      <c r="BK27" s="1107"/>
      <c r="BL27" s="1107"/>
      <c r="BM27" s="1107"/>
      <c r="BN27" s="1107"/>
      <c r="BO27" s="1107"/>
      <c r="BP27" s="1107"/>
      <c r="BQ27" s="1107"/>
      <c r="BR27" s="1107"/>
      <c r="BS27" s="1107"/>
      <c r="BT27" s="1107"/>
      <c r="BU27" s="1107"/>
      <c r="BV27" s="1107"/>
      <c r="BW27" s="1107"/>
      <c r="BX27" s="1107"/>
      <c r="BY27" s="1107"/>
      <c r="BZ27" s="1107"/>
      <c r="CA27" s="1107"/>
      <c r="CB27" s="1107"/>
      <c r="CC27" s="1107"/>
      <c r="CD27" s="1107"/>
      <c r="CE27" s="1107"/>
      <c r="CF27" s="1107"/>
      <c r="CG27" s="1107"/>
      <c r="CH27" s="1107"/>
      <c r="CI27" s="1107"/>
      <c r="CJ27" s="1107"/>
      <c r="CK27" s="1107"/>
    </row>
    <row r="28" spans="1:89" x14ac:dyDescent="0.25">
      <c r="A28" s="1107"/>
      <c r="B28" s="2008"/>
      <c r="C28" s="1154">
        <v>7</v>
      </c>
      <c r="D28" s="1144" t="s">
        <v>1872</v>
      </c>
      <c r="E28" s="1144" t="s">
        <v>1426</v>
      </c>
      <c r="F28" s="1144" t="str">
        <f>'Required Info to Submit'!E29</f>
        <v/>
      </c>
      <c r="G28" s="1414" t="str">
        <f>IF(F28="","",'Required Info to Submit'!K29)</f>
        <v/>
      </c>
      <c r="H28" s="1415" t="str">
        <f>IF(F28="","",'Required Info to Submit'!L29)</f>
        <v/>
      </c>
      <c r="I28" s="1144" t="str">
        <f>'Required Info to Submit'!F29</f>
        <v/>
      </c>
      <c r="J28" s="1144" t="str">
        <f>'Required Info to Submit'!G29</f>
        <v/>
      </c>
      <c r="K28" s="1144" t="str">
        <f>'Required Info to Submit'!H29</f>
        <v/>
      </c>
      <c r="L28" s="1144" t="str">
        <f>'Required Info to Submit'!I29</f>
        <v/>
      </c>
      <c r="M28" s="1144" t="str">
        <f>'Required Info to Submit'!J29</f>
        <v/>
      </c>
      <c r="N28" s="1107"/>
      <c r="O28" s="1107"/>
      <c r="P28" s="1108"/>
      <c r="Q28" s="1107"/>
      <c r="R28" s="1107"/>
      <c r="S28" s="1107"/>
      <c r="T28" s="2008"/>
      <c r="U28" s="1155">
        <v>7</v>
      </c>
      <c r="V28" s="1153" t="s">
        <v>1872</v>
      </c>
      <c r="W28" s="1153" t="s">
        <v>1426</v>
      </c>
      <c r="X28" s="1153" t="str">
        <f>'Required Info to Submit'!E29</f>
        <v/>
      </c>
      <c r="Y28" s="1417" t="str">
        <f>IF(X28="","",'Required Info to Submit'!K29)</f>
        <v/>
      </c>
      <c r="Z28" s="1418" t="str">
        <f>IF(X28="","",'Required Info to Submit'!L29)</f>
        <v/>
      </c>
      <c r="AA28" s="1153" t="str">
        <f>'Required Info to Submit'!F29</f>
        <v/>
      </c>
      <c r="AB28" s="1153" t="str">
        <f>'Required Info to Submit'!G29</f>
        <v/>
      </c>
      <c r="AC28" s="1153" t="str">
        <f>'Required Info to Submit'!H29</f>
        <v/>
      </c>
      <c r="AD28" s="1153" t="str">
        <f>'Required Info to Submit'!I29</f>
        <v/>
      </c>
      <c r="AE28" s="1153" t="str">
        <f>'Required Info to Submit'!J29</f>
        <v/>
      </c>
      <c r="AF28" s="1107"/>
      <c r="AG28" s="1107"/>
      <c r="AH28" s="1108"/>
      <c r="AI28" s="1107"/>
      <c r="AJ28" s="1107"/>
      <c r="AK28" s="1107"/>
      <c r="AL28" s="1107"/>
      <c r="AM28" s="1107"/>
      <c r="AN28" s="1107"/>
      <c r="AO28" s="1107"/>
      <c r="AP28" s="1107"/>
      <c r="AQ28" s="1107"/>
      <c r="AR28" s="1107"/>
      <c r="AS28" s="1107"/>
      <c r="AT28" s="1107"/>
      <c r="AU28" s="1107"/>
      <c r="AV28" s="1107"/>
      <c r="AW28" s="1107"/>
      <c r="AX28" s="1107"/>
      <c r="AY28" s="1107"/>
      <c r="AZ28" s="1107"/>
      <c r="BA28" s="1107"/>
      <c r="BB28" s="1107"/>
      <c r="BC28" s="1107"/>
      <c r="BD28" s="1107"/>
      <c r="BE28" s="1107"/>
      <c r="BF28" s="1107"/>
      <c r="BG28" s="1107"/>
      <c r="BH28" s="1107"/>
      <c r="BI28" s="1107"/>
      <c r="BJ28" s="1107"/>
      <c r="BK28" s="1107"/>
      <c r="BL28" s="1107"/>
      <c r="BM28" s="1107"/>
      <c r="BN28" s="1107"/>
      <c r="BO28" s="1107"/>
      <c r="BP28" s="1107"/>
      <c r="BQ28" s="1107"/>
      <c r="BR28" s="1107"/>
      <c r="BS28" s="1107"/>
      <c r="BT28" s="1107"/>
      <c r="BU28" s="1107"/>
      <c r="BV28" s="1107"/>
      <c r="BW28" s="1107"/>
      <c r="BX28" s="1107"/>
      <c r="BY28" s="1107"/>
      <c r="BZ28" s="1107"/>
      <c r="CA28" s="1107"/>
      <c r="CB28" s="1107"/>
      <c r="CC28" s="1107"/>
      <c r="CD28" s="1107"/>
      <c r="CE28" s="1107"/>
      <c r="CF28" s="1107"/>
      <c r="CG28" s="1107"/>
      <c r="CH28" s="1107"/>
      <c r="CI28" s="1107"/>
      <c r="CJ28" s="1107"/>
      <c r="CK28" s="1107"/>
    </row>
    <row r="29" spans="1:89" x14ac:dyDescent="0.25">
      <c r="A29" s="1107"/>
      <c r="B29" s="2008"/>
      <c r="C29" s="1154">
        <v>8</v>
      </c>
      <c r="D29" s="1144" t="s">
        <v>1872</v>
      </c>
      <c r="E29" s="1144" t="s">
        <v>1426</v>
      </c>
      <c r="F29" s="1144" t="str">
        <f>'Required Info to Submit'!E30</f>
        <v/>
      </c>
      <c r="G29" s="1414" t="str">
        <f>IF(F29="","",'Required Info to Submit'!K30)</f>
        <v/>
      </c>
      <c r="H29" s="1415" t="str">
        <f>IF(F29="","",'Required Info to Submit'!L30)</f>
        <v/>
      </c>
      <c r="I29" s="1144" t="str">
        <f>'Required Info to Submit'!F30</f>
        <v/>
      </c>
      <c r="J29" s="1144" t="str">
        <f>'Required Info to Submit'!G30</f>
        <v/>
      </c>
      <c r="K29" s="1144" t="str">
        <f>'Required Info to Submit'!H30</f>
        <v/>
      </c>
      <c r="L29" s="1144" t="str">
        <f>'Required Info to Submit'!I30</f>
        <v/>
      </c>
      <c r="M29" s="1144" t="str">
        <f>'Required Info to Submit'!J30</f>
        <v/>
      </c>
      <c r="N29" s="1107"/>
      <c r="O29" s="1107"/>
      <c r="P29" s="1108"/>
      <c r="Q29" s="1107"/>
      <c r="R29" s="1107"/>
      <c r="S29" s="1107"/>
      <c r="T29" s="2008"/>
      <c r="U29" s="1155">
        <v>8</v>
      </c>
      <c r="V29" s="1153" t="s">
        <v>1872</v>
      </c>
      <c r="W29" s="1153" t="s">
        <v>1426</v>
      </c>
      <c r="X29" s="1153" t="str">
        <f>'Required Info to Submit'!E30</f>
        <v/>
      </c>
      <c r="Y29" s="1417" t="str">
        <f>IF(X29="","",'Required Info to Submit'!K30)</f>
        <v/>
      </c>
      <c r="Z29" s="1418" t="str">
        <f>IF(X29="","",'Required Info to Submit'!L30)</f>
        <v/>
      </c>
      <c r="AA29" s="1153" t="str">
        <f>'Required Info to Submit'!F30</f>
        <v/>
      </c>
      <c r="AB29" s="1153" t="str">
        <f>'Required Info to Submit'!G30</f>
        <v/>
      </c>
      <c r="AC29" s="1153" t="str">
        <f>'Required Info to Submit'!H30</f>
        <v/>
      </c>
      <c r="AD29" s="1153" t="str">
        <f>'Required Info to Submit'!I30</f>
        <v/>
      </c>
      <c r="AE29" s="1153" t="str">
        <f>'Required Info to Submit'!J30</f>
        <v/>
      </c>
      <c r="AF29" s="1107"/>
      <c r="AG29" s="1107"/>
      <c r="AH29" s="1108"/>
      <c r="AI29" s="1107"/>
      <c r="AJ29" s="1107"/>
      <c r="AK29" s="1107"/>
      <c r="AL29" s="1107"/>
      <c r="AM29" s="1107"/>
      <c r="AN29" s="1107"/>
      <c r="AO29" s="1107"/>
      <c r="AP29" s="1107"/>
      <c r="AQ29" s="1107"/>
      <c r="AR29" s="1107"/>
      <c r="AS29" s="1107"/>
      <c r="AT29" s="1107"/>
      <c r="AU29" s="1107"/>
      <c r="AV29" s="1107"/>
      <c r="AW29" s="1107"/>
      <c r="AX29" s="1107"/>
      <c r="AY29" s="1107"/>
      <c r="AZ29" s="1107"/>
      <c r="BA29" s="1107"/>
      <c r="BB29" s="1107"/>
      <c r="BC29" s="1107"/>
      <c r="BD29" s="1107"/>
      <c r="BE29" s="1107"/>
      <c r="BF29" s="1107"/>
      <c r="BG29" s="1107"/>
      <c r="BH29" s="1107"/>
      <c r="BI29" s="1107"/>
      <c r="BJ29" s="1107"/>
      <c r="BK29" s="1107"/>
      <c r="BL29" s="1107"/>
      <c r="BM29" s="1107"/>
      <c r="BN29" s="1107"/>
      <c r="BO29" s="1107"/>
      <c r="BP29" s="1107"/>
      <c r="BQ29" s="1107"/>
      <c r="BR29" s="1107"/>
      <c r="BS29" s="1107"/>
      <c r="BT29" s="1107"/>
      <c r="BU29" s="1107"/>
      <c r="BV29" s="1107"/>
      <c r="BW29" s="1107"/>
      <c r="BX29" s="1107"/>
      <c r="BY29" s="1107"/>
      <c r="BZ29" s="1107"/>
      <c r="CA29" s="1107"/>
      <c r="CB29" s="1107"/>
      <c r="CC29" s="1107"/>
      <c r="CD29" s="1107"/>
      <c r="CE29" s="1107"/>
      <c r="CF29" s="1107"/>
      <c r="CG29" s="1107"/>
      <c r="CH29" s="1107"/>
      <c r="CI29" s="1107"/>
      <c r="CJ29" s="1107"/>
      <c r="CK29" s="1107"/>
    </row>
    <row r="30" spans="1:89" x14ac:dyDescent="0.25">
      <c r="A30" s="1107"/>
      <c r="B30" s="2008"/>
      <c r="C30" s="1154">
        <v>9</v>
      </c>
      <c r="D30" s="1144" t="s">
        <v>1872</v>
      </c>
      <c r="E30" s="1144" t="s">
        <v>1426</v>
      </c>
      <c r="F30" s="1144" t="str">
        <f>'Required Info to Submit'!E31</f>
        <v/>
      </c>
      <c r="G30" s="1414" t="str">
        <f>IF(F30="","",'Required Info to Submit'!K31)</f>
        <v/>
      </c>
      <c r="H30" s="1415" t="str">
        <f>IF(F30="","",'Required Info to Submit'!L31)</f>
        <v/>
      </c>
      <c r="I30" s="1144" t="str">
        <f>'Required Info to Submit'!F31</f>
        <v/>
      </c>
      <c r="J30" s="1144" t="str">
        <f>'Required Info to Submit'!G31</f>
        <v/>
      </c>
      <c r="K30" s="1144" t="str">
        <f>'Required Info to Submit'!H31</f>
        <v/>
      </c>
      <c r="L30" s="1144" t="str">
        <f>'Required Info to Submit'!I31</f>
        <v/>
      </c>
      <c r="M30" s="1144" t="str">
        <f>'Required Info to Submit'!J31</f>
        <v/>
      </c>
      <c r="N30" s="1107"/>
      <c r="O30" s="1107"/>
      <c r="P30" s="1108"/>
      <c r="Q30" s="1107"/>
      <c r="R30" s="1107"/>
      <c r="S30" s="1107"/>
      <c r="T30" s="2008"/>
      <c r="U30" s="1155">
        <v>9</v>
      </c>
      <c r="V30" s="1153" t="s">
        <v>1872</v>
      </c>
      <c r="W30" s="1153" t="s">
        <v>1426</v>
      </c>
      <c r="X30" s="1153" t="str">
        <f>'Required Info to Submit'!E31</f>
        <v/>
      </c>
      <c r="Y30" s="1417" t="str">
        <f>IF(X30="","",'Required Info to Submit'!K31)</f>
        <v/>
      </c>
      <c r="Z30" s="1418" t="str">
        <f>IF(X30="","",'Required Info to Submit'!L31)</f>
        <v/>
      </c>
      <c r="AA30" s="1153" t="str">
        <f>'Required Info to Submit'!F31</f>
        <v/>
      </c>
      <c r="AB30" s="1153" t="str">
        <f>'Required Info to Submit'!G31</f>
        <v/>
      </c>
      <c r="AC30" s="1153" t="str">
        <f>'Required Info to Submit'!H31</f>
        <v/>
      </c>
      <c r="AD30" s="1153" t="str">
        <f>'Required Info to Submit'!I31</f>
        <v/>
      </c>
      <c r="AE30" s="1153" t="str">
        <f>'Required Info to Submit'!J31</f>
        <v/>
      </c>
      <c r="AF30" s="1107"/>
      <c r="AG30" s="1107"/>
      <c r="AH30" s="1108"/>
      <c r="AI30" s="1107"/>
      <c r="AJ30" s="1107"/>
      <c r="AK30" s="1107"/>
      <c r="AL30" s="1107"/>
      <c r="AM30" s="1107"/>
      <c r="AN30" s="1107"/>
      <c r="AO30" s="1107"/>
      <c r="AP30" s="1107"/>
      <c r="AQ30" s="1107"/>
      <c r="AR30" s="1107"/>
      <c r="AS30" s="1107"/>
      <c r="AT30" s="1107"/>
      <c r="AU30" s="1107"/>
      <c r="AV30" s="1107"/>
      <c r="AW30" s="1107"/>
      <c r="AX30" s="1107"/>
      <c r="AY30" s="1107"/>
      <c r="AZ30" s="1107"/>
      <c r="BA30" s="1107"/>
      <c r="BB30" s="1107"/>
      <c r="BC30" s="1107"/>
      <c r="BD30" s="1107"/>
      <c r="BE30" s="1107"/>
      <c r="BF30" s="1107"/>
      <c r="BG30" s="1107"/>
      <c r="BH30" s="1107"/>
      <c r="BI30" s="1107"/>
      <c r="BJ30" s="1107"/>
      <c r="BK30" s="1107"/>
      <c r="BL30" s="1107"/>
      <c r="BM30" s="1107"/>
      <c r="BN30" s="1107"/>
      <c r="BO30" s="1107"/>
      <c r="BP30" s="1107"/>
      <c r="BQ30" s="1107"/>
      <c r="BR30" s="1107"/>
      <c r="BS30" s="1107"/>
      <c r="BT30" s="1107"/>
      <c r="BU30" s="1107"/>
      <c r="BV30" s="1107"/>
      <c r="BW30" s="1107"/>
      <c r="BX30" s="1107"/>
      <c r="BY30" s="1107"/>
      <c r="BZ30" s="1107"/>
      <c r="CA30" s="1107"/>
      <c r="CB30" s="1107"/>
      <c r="CC30" s="1107"/>
      <c r="CD30" s="1107"/>
      <c r="CE30" s="1107"/>
      <c r="CF30" s="1107"/>
      <c r="CG30" s="1107"/>
      <c r="CH30" s="1107"/>
      <c r="CI30" s="1107"/>
      <c r="CJ30" s="1107"/>
      <c r="CK30" s="1107"/>
    </row>
    <row r="31" spans="1:89" ht="15.75" thickBot="1" x14ac:dyDescent="0.3">
      <c r="A31" s="1107"/>
      <c r="B31" s="2009"/>
      <c r="C31" s="1156">
        <v>10</v>
      </c>
      <c r="D31" s="1146" t="s">
        <v>1872</v>
      </c>
      <c r="E31" s="1146" t="s">
        <v>1426</v>
      </c>
      <c r="F31" s="1146" t="str">
        <f>'Required Info to Submit'!E32</f>
        <v/>
      </c>
      <c r="G31" s="1416" t="str">
        <f>IF(F31="","",'Required Info to Submit'!K32)</f>
        <v/>
      </c>
      <c r="H31" s="1416" t="str">
        <f>IF(F31="","",'Required Info to Submit'!L32)</f>
        <v/>
      </c>
      <c r="I31" s="1146" t="str">
        <f>'Required Info to Submit'!F32</f>
        <v/>
      </c>
      <c r="J31" s="1146" t="str">
        <f>'Required Info to Submit'!G32</f>
        <v/>
      </c>
      <c r="K31" s="1146" t="str">
        <f>'Required Info to Submit'!H32</f>
        <v/>
      </c>
      <c r="L31" s="1146" t="str">
        <f>'Required Info to Submit'!I32</f>
        <v/>
      </c>
      <c r="M31" s="1146" t="str">
        <f>'Required Info to Submit'!J32</f>
        <v/>
      </c>
      <c r="N31" s="1157"/>
      <c r="O31" s="1157"/>
      <c r="P31" s="1110"/>
      <c r="Q31" s="1107"/>
      <c r="R31" s="1107"/>
      <c r="S31" s="1107"/>
      <c r="T31" s="2009"/>
      <c r="U31" s="1158">
        <v>10</v>
      </c>
      <c r="V31" s="1159" t="s">
        <v>1872</v>
      </c>
      <c r="W31" s="1159" t="s">
        <v>1426</v>
      </c>
      <c r="X31" s="1159" t="str">
        <f>'Required Info to Submit'!E32</f>
        <v/>
      </c>
      <c r="Y31" s="1419" t="str">
        <f>IF(X31="","",'Required Info to Submit'!K32)</f>
        <v/>
      </c>
      <c r="Z31" s="1419" t="str">
        <f>IF(X31="","",'Required Info to Submit'!L32)</f>
        <v/>
      </c>
      <c r="AA31" s="1159" t="str">
        <f>'Required Info to Submit'!F32</f>
        <v/>
      </c>
      <c r="AB31" s="1159" t="str">
        <f>'Required Info to Submit'!G32</f>
        <v/>
      </c>
      <c r="AC31" s="1159" t="str">
        <f>'Required Info to Submit'!H32</f>
        <v/>
      </c>
      <c r="AD31" s="1159" t="str">
        <f>'Required Info to Submit'!I32</f>
        <v/>
      </c>
      <c r="AE31" s="1159" t="str">
        <f>'Required Info to Submit'!J32</f>
        <v/>
      </c>
      <c r="AF31" s="1157"/>
      <c r="AG31" s="1157"/>
      <c r="AH31" s="1110"/>
      <c r="AI31" s="1107"/>
      <c r="AJ31" s="1107"/>
      <c r="AK31" s="1107"/>
      <c r="AL31" s="1107"/>
      <c r="AM31" s="1107"/>
      <c r="AN31" s="1107"/>
      <c r="AO31" s="1107"/>
      <c r="AP31" s="1107"/>
      <c r="AQ31" s="1107"/>
      <c r="AR31" s="1107"/>
      <c r="AS31" s="1107"/>
      <c r="AT31" s="1107"/>
      <c r="AU31" s="1107"/>
      <c r="AV31" s="1107"/>
      <c r="AW31" s="1107"/>
      <c r="AX31" s="1107"/>
      <c r="AY31" s="1107"/>
      <c r="AZ31" s="1107"/>
      <c r="BA31" s="1107"/>
      <c r="BB31" s="1107"/>
      <c r="BC31" s="1107"/>
      <c r="BD31" s="1107"/>
      <c r="BE31" s="1107"/>
      <c r="BF31" s="1107"/>
      <c r="BG31" s="1107"/>
      <c r="BH31" s="1107"/>
      <c r="BI31" s="1107"/>
      <c r="BJ31" s="1107"/>
      <c r="BK31" s="1107"/>
      <c r="BL31" s="1107"/>
      <c r="BM31" s="1107"/>
      <c r="BN31" s="1107"/>
      <c r="BO31" s="1107"/>
      <c r="BP31" s="1107"/>
      <c r="BQ31" s="1107"/>
      <c r="BR31" s="1107"/>
      <c r="BS31" s="1107"/>
      <c r="BT31" s="1107"/>
      <c r="BU31" s="1107"/>
      <c r="BV31" s="1107"/>
      <c r="BW31" s="1107"/>
      <c r="BX31" s="1107"/>
      <c r="BY31" s="1107"/>
      <c r="BZ31" s="1107"/>
      <c r="CA31" s="1107"/>
      <c r="CB31" s="1107"/>
      <c r="CC31" s="1107"/>
      <c r="CD31" s="1107"/>
      <c r="CE31" s="1107"/>
      <c r="CF31" s="1107"/>
      <c r="CG31" s="1107"/>
      <c r="CH31" s="1107"/>
      <c r="CI31" s="1107"/>
      <c r="CJ31" s="1107"/>
      <c r="CK31" s="1107"/>
    </row>
    <row r="32" spans="1:89" x14ac:dyDescent="0.25">
      <c r="A32" s="1107"/>
      <c r="B32" s="1107"/>
      <c r="C32" s="1107"/>
      <c r="D32" s="1107"/>
      <c r="E32" s="1107"/>
      <c r="F32" s="1107"/>
      <c r="G32" s="1107"/>
      <c r="H32" s="1107"/>
      <c r="I32" s="1107"/>
      <c r="J32" s="1107"/>
      <c r="K32" s="1107"/>
      <c r="L32" s="1107"/>
      <c r="M32" s="1107"/>
      <c r="N32" s="1107"/>
      <c r="O32" s="1107"/>
      <c r="P32" s="1107"/>
      <c r="Q32" s="1107"/>
      <c r="R32" s="1107"/>
      <c r="S32" s="1107"/>
      <c r="T32" s="1107"/>
      <c r="U32" s="1107"/>
      <c r="V32" s="1107"/>
      <c r="W32" s="1107"/>
      <c r="X32" s="1107"/>
      <c r="Y32" s="1107"/>
      <c r="Z32" s="1107"/>
      <c r="AA32" s="1107"/>
      <c r="AB32" s="1107"/>
      <c r="AC32" s="1107"/>
      <c r="AD32" s="1107"/>
      <c r="AE32" s="1107"/>
      <c r="AF32" s="1107"/>
      <c r="AG32" s="1107"/>
      <c r="AH32" s="1107"/>
      <c r="AI32" s="1107"/>
      <c r="AJ32" s="1107"/>
      <c r="AK32" s="1107"/>
      <c r="AL32" s="1107"/>
      <c r="AM32" s="1107"/>
      <c r="AN32" s="1107"/>
      <c r="AO32" s="1107"/>
      <c r="AP32" s="1107"/>
      <c r="AQ32" s="1107"/>
      <c r="AR32" s="1107"/>
      <c r="AS32" s="1107"/>
      <c r="AT32" s="1107"/>
      <c r="AU32" s="1107"/>
      <c r="AV32" s="1107"/>
      <c r="AW32" s="1107"/>
      <c r="AX32" s="1107"/>
      <c r="AY32" s="1107"/>
      <c r="AZ32" s="1107"/>
      <c r="BA32" s="1107"/>
      <c r="BB32" s="1107"/>
      <c r="BC32" s="1107"/>
      <c r="BD32" s="1107"/>
      <c r="BE32" s="1107"/>
      <c r="BF32" s="1107"/>
      <c r="BG32" s="1107"/>
      <c r="BH32" s="1107"/>
      <c r="BI32" s="1107"/>
      <c r="BJ32" s="1107"/>
      <c r="BK32" s="1107"/>
      <c r="BL32" s="1107"/>
      <c r="BM32" s="1107"/>
      <c r="BN32" s="1107"/>
      <c r="BO32" s="1107"/>
      <c r="BP32" s="1107"/>
      <c r="BQ32" s="1107"/>
      <c r="BR32" s="1107"/>
      <c r="BS32" s="1107"/>
      <c r="BT32" s="1107"/>
      <c r="BU32" s="1107"/>
      <c r="BV32" s="1107"/>
      <c r="BW32" s="1107"/>
      <c r="BX32" s="1107"/>
      <c r="BY32" s="1107"/>
      <c r="BZ32" s="1107"/>
      <c r="CA32" s="1107"/>
      <c r="CB32" s="1107"/>
      <c r="CC32" s="1107"/>
      <c r="CD32" s="1107"/>
      <c r="CE32" s="1107"/>
      <c r="CF32" s="1107"/>
      <c r="CG32" s="1107"/>
      <c r="CH32" s="1107"/>
      <c r="CI32" s="1107"/>
      <c r="CJ32" s="1107"/>
      <c r="CK32" s="1107"/>
    </row>
    <row r="33" spans="1:89" ht="36" customHeight="1" thickBot="1" x14ac:dyDescent="0.3">
      <c r="A33" s="1107"/>
      <c r="B33" s="1107"/>
      <c r="C33" s="1107"/>
      <c r="D33" s="1107"/>
      <c r="E33" s="1107"/>
      <c r="F33" s="1107"/>
      <c r="G33" s="1107"/>
      <c r="H33" s="1107"/>
      <c r="I33" s="1107"/>
      <c r="J33" s="1107"/>
      <c r="K33" s="1107"/>
      <c r="L33" s="1107"/>
      <c r="M33" s="1107"/>
      <c r="N33" s="1107"/>
      <c r="O33" s="1107"/>
      <c r="P33" s="1107"/>
      <c r="Q33" s="1107"/>
      <c r="R33" s="1107"/>
      <c r="S33" s="1107"/>
      <c r="T33" s="1107"/>
      <c r="U33" s="1107"/>
      <c r="V33" s="1107"/>
      <c r="W33" s="1107"/>
      <c r="X33" s="1107"/>
      <c r="Y33" s="1107"/>
      <c r="Z33" s="1107"/>
      <c r="AA33" s="1107"/>
      <c r="AB33" s="1107"/>
      <c r="AC33" s="1107"/>
      <c r="AD33" s="1107"/>
      <c r="AE33" s="1107"/>
      <c r="AF33" s="1107"/>
      <c r="AG33" s="1107"/>
      <c r="AH33" s="1107"/>
      <c r="AI33" s="1107"/>
      <c r="AJ33" s="1107"/>
      <c r="AK33" s="1107"/>
      <c r="AL33" s="1107"/>
      <c r="AM33" s="1107"/>
      <c r="AN33" s="1107"/>
      <c r="AO33" s="1107"/>
      <c r="AP33" s="1107"/>
      <c r="AQ33" s="1107"/>
      <c r="AR33" s="1107"/>
      <c r="AS33" s="1107"/>
      <c r="AT33" s="1107"/>
      <c r="AU33" s="1107"/>
      <c r="AV33" s="1107"/>
      <c r="AW33" s="1107"/>
      <c r="AX33" s="1107"/>
      <c r="AY33" s="1107"/>
      <c r="AZ33" s="1107"/>
      <c r="BA33" s="1107"/>
      <c r="BB33" s="1107"/>
      <c r="BC33" s="1107"/>
      <c r="BD33" s="1107"/>
      <c r="BE33" s="1107"/>
      <c r="BF33" s="1107"/>
      <c r="BG33" s="1107"/>
      <c r="BH33" s="1107"/>
      <c r="BI33" s="1107"/>
      <c r="BJ33" s="1107"/>
      <c r="BK33" s="1107"/>
      <c r="BL33" s="1107"/>
      <c r="BM33" s="1107"/>
      <c r="BN33" s="1107"/>
      <c r="BO33" s="1107"/>
      <c r="BP33" s="1107"/>
      <c r="BQ33" s="1107"/>
      <c r="BR33" s="1107"/>
      <c r="BS33" s="1107"/>
      <c r="BT33" s="1107"/>
      <c r="BU33" s="1107"/>
      <c r="BV33" s="1107"/>
      <c r="BW33" s="1107"/>
      <c r="BX33" s="1107"/>
      <c r="BY33" s="1107"/>
      <c r="BZ33" s="1107"/>
      <c r="CA33" s="1107"/>
      <c r="CB33" s="1107"/>
      <c r="CC33" s="1107"/>
      <c r="CD33" s="1107"/>
      <c r="CE33" s="1107"/>
      <c r="CF33" s="1107"/>
      <c r="CG33" s="1107"/>
      <c r="CH33" s="1107"/>
      <c r="CI33" s="1107"/>
      <c r="CJ33" s="1107"/>
      <c r="CK33" s="1107"/>
    </row>
    <row r="34" spans="1:89" ht="63" customHeight="1" thickBot="1" x14ac:dyDescent="0.3">
      <c r="A34" s="1107"/>
      <c r="B34" s="1130"/>
      <c r="C34" s="1100" t="s">
        <v>1383</v>
      </c>
      <c r="D34" s="1100" t="s">
        <v>1491</v>
      </c>
      <c r="E34" s="1100" t="s">
        <v>766</v>
      </c>
      <c r="F34" s="1100" t="s">
        <v>1496</v>
      </c>
      <c r="G34" s="1100" t="s">
        <v>1849</v>
      </c>
      <c r="H34" s="1101" t="s">
        <v>1850</v>
      </c>
      <c r="I34" s="1101" t="s">
        <v>1851</v>
      </c>
      <c r="J34" s="1100" t="s">
        <v>1873</v>
      </c>
      <c r="K34" s="1100" t="s">
        <v>1852</v>
      </c>
      <c r="L34" s="1101" t="s">
        <v>1397</v>
      </c>
      <c r="M34" s="1101" t="s">
        <v>1381</v>
      </c>
      <c r="N34" s="1100" t="s">
        <v>1382</v>
      </c>
      <c r="O34" s="1100" t="s">
        <v>721</v>
      </c>
      <c r="P34" s="1100" t="s">
        <v>722</v>
      </c>
      <c r="Q34" s="1101" t="s">
        <v>1495</v>
      </c>
      <c r="R34" s="1107"/>
      <c r="S34" s="1107"/>
      <c r="T34" s="1130"/>
      <c r="U34" s="1100" t="s">
        <v>1383</v>
      </c>
      <c r="V34" s="1100" t="s">
        <v>1491</v>
      </c>
      <c r="W34" s="1100" t="s">
        <v>766</v>
      </c>
      <c r="X34" s="1100" t="s">
        <v>1496</v>
      </c>
      <c r="Y34" s="1100" t="s">
        <v>1849</v>
      </c>
      <c r="Z34" s="1101" t="s">
        <v>1850</v>
      </c>
      <c r="AA34" s="1101" t="s">
        <v>1851</v>
      </c>
      <c r="AB34" s="1100" t="s">
        <v>1873</v>
      </c>
      <c r="AC34" s="1100" t="s">
        <v>1852</v>
      </c>
      <c r="AD34" s="1101" t="s">
        <v>1397</v>
      </c>
      <c r="AE34" s="1101" t="s">
        <v>1381</v>
      </c>
      <c r="AF34" s="1100" t="s">
        <v>1382</v>
      </c>
      <c r="AG34" s="1100" t="s">
        <v>721</v>
      </c>
      <c r="AH34" s="1100" t="s">
        <v>722</v>
      </c>
      <c r="AI34" s="1101" t="s">
        <v>1495</v>
      </c>
      <c r="AJ34" s="1107"/>
      <c r="AK34" s="1107"/>
      <c r="AL34" s="1107"/>
      <c r="AM34" s="1107"/>
      <c r="AN34" s="1107"/>
      <c r="AO34" s="1107"/>
      <c r="AP34" s="1107"/>
      <c r="AQ34" s="1107"/>
      <c r="AR34" s="1107"/>
      <c r="AS34" s="1107"/>
      <c r="AT34" s="1107"/>
      <c r="AU34" s="1107"/>
      <c r="AV34" s="1107"/>
      <c r="AW34" s="1107"/>
      <c r="AX34" s="1107"/>
      <c r="AY34" s="1107"/>
      <c r="AZ34" s="1107"/>
      <c r="BA34" s="1107"/>
      <c r="BB34" s="1107"/>
      <c r="BC34" s="1107"/>
      <c r="BD34" s="1107"/>
      <c r="BE34" s="1107"/>
      <c r="BF34" s="1107"/>
      <c r="BG34" s="1107"/>
      <c r="BH34" s="1107"/>
      <c r="BI34" s="1107"/>
      <c r="BJ34" s="1107"/>
      <c r="BK34" s="1107"/>
      <c r="BL34" s="1107"/>
      <c r="BM34" s="1107"/>
      <c r="BN34" s="1107"/>
      <c r="BO34" s="1107"/>
      <c r="BP34" s="1107"/>
      <c r="BQ34" s="1107"/>
      <c r="BR34" s="1107"/>
      <c r="BS34" s="1107"/>
      <c r="BT34" s="1107"/>
      <c r="BU34" s="1107"/>
      <c r="BV34" s="1107"/>
      <c r="BW34" s="1107"/>
      <c r="BX34" s="1107"/>
      <c r="BY34" s="1107"/>
      <c r="BZ34" s="1107"/>
      <c r="CA34" s="1107"/>
      <c r="CB34" s="1107"/>
      <c r="CC34" s="1107"/>
      <c r="CD34" s="1107"/>
      <c r="CE34" s="1107"/>
      <c r="CF34" s="1107"/>
      <c r="CG34" s="1107"/>
      <c r="CH34" s="1107"/>
      <c r="CI34" s="1107"/>
      <c r="CJ34" s="1107"/>
      <c r="CK34" s="1107"/>
    </row>
    <row r="35" spans="1:89" ht="60.75" customHeight="1" thickBot="1" x14ac:dyDescent="0.3">
      <c r="A35" s="1107"/>
      <c r="B35" s="1132" t="s">
        <v>1853</v>
      </c>
      <c r="C35" s="1133" t="s">
        <v>1500</v>
      </c>
      <c r="D35" s="1134">
        <v>1401</v>
      </c>
      <c r="E35" s="1104" t="s">
        <v>2062</v>
      </c>
      <c r="F35" s="1104" t="s">
        <v>1497</v>
      </c>
      <c r="G35" s="1102" t="str" cm="1">
        <f t="array" aca="1" ref="G35" ca="1">INDIRECT("'Incentives Worksheet'!P"&amp;'Configurable Tab'!H5+3)</f>
        <v>Same as Payout Cycle</v>
      </c>
      <c r="H35" s="1102" t="str" cm="1">
        <f t="array" aca="1" ref="H35" ca="1">IF(ISBLANK(INDIRECT("'Incentives Worksheet'!H"&amp;'Configurable Tab'!H5+3)),"",INDIRECT("'Incentives Worksheet'!H"&amp;'Configurable Tab'!H5+3))</f>
        <v/>
      </c>
      <c r="I35" s="1102" t="str" cm="1">
        <f t="array" aca="1" ref="I35" ca="1">IF(INDIRECT("'Incentives Worksheet'!R"&amp;'Configurable Tab'!H5+3)="USF Calendar","Fiscal",INDIRECT("'Incentives Worksheet'!R"&amp;'Configurable Tab'!H5+3))</f>
        <v>Fiscal</v>
      </c>
      <c r="J35" s="1135" t="str" cm="1">
        <f t="array" aca="1" ref="J35" ca="1">IF(INDIRECT("'Incentives Worksheet'!L"&amp;'Configurable Tab'!H5+9)="All"," Select All Products","Unselect All Products")</f>
        <v xml:space="preserve"> Select All Products</v>
      </c>
      <c r="K35" s="1102" t="str" cm="1">
        <f t="array" aca="1" ref="K35" ca="1">IF(INDIRECT("'Incentives Worksheet'!T"&amp;'Configurable Tab'!H5+3)="Yes","Post to GL","")</f>
        <v/>
      </c>
      <c r="L35" s="1102" t="str" cm="1">
        <f t="array" aca="1" ref="L35" ca="1">IF(ISBLANK(INDIRECT("'Incentives Worksheet'!L"&amp;'Configurable Tab'!H5+3)),"",INDIRECT("'Incentives Worksheet'!L"&amp;'Configurable Tab'!H5+3))</f>
        <v/>
      </c>
      <c r="M35" s="1102" t="str" cm="1">
        <f t="array" aca="1" ref="M35" ca="1">IF(ISBLANK(INDIRECT("'Incentives Worksheet'!J"&amp;'Configurable Tab'!H5+3)),"",INDIRECT("'Incentives Worksheet'!J"&amp;'Configurable Tab'!H5+3))</f>
        <v/>
      </c>
      <c r="N35" s="1102" t="str" cm="1">
        <f t="array" aca="1" ref="N35" ca="1">IF(ISBLANK(INDIRECT("'Incentives Worksheet'!N"&amp;'Configurable Tab'!H5+3)),"",INDIRECT("'Incentives Worksheet'!N"&amp;'Configurable Tab'!H5+3))</f>
        <v/>
      </c>
      <c r="O35" s="1103" t="str" cm="1">
        <f t="array" aca="1" ref="O35" ca="1">INDIRECT("'Incentives Worksheet'!D"&amp;'Configurable Tab'!H5+6)</f>
        <v/>
      </c>
      <c r="P35" s="1103" t="str" cm="1">
        <f t="array" aca="1" ref="P35" ca="1">INDIRECT("'Incentives Worksheet'!D"&amp;'Configurable Tab'!H5+8)</f>
        <v/>
      </c>
      <c r="Q35" s="1102" t="str" cm="1">
        <f t="array" aca="1" ref="Q35" ca="1">IF(INDIRECT("'Incentives Worksheet'!D"&amp;'Configurable Tab'!H5+10)="No","Update tracking dates",INDIRECT("'Incentives Worksheet'!D"&amp;'Configurable Tab'!H5+10))</f>
        <v>Yes</v>
      </c>
      <c r="R35" s="1107"/>
      <c r="S35" s="1107"/>
      <c r="T35" s="1132" t="s">
        <v>1853</v>
      </c>
      <c r="U35" s="1133" t="s">
        <v>1500</v>
      </c>
      <c r="V35" s="1134">
        <v>1402</v>
      </c>
      <c r="W35" s="1104" t="s">
        <v>2062</v>
      </c>
      <c r="X35" s="1104" t="s">
        <v>1497</v>
      </c>
      <c r="Y35" s="1102" t="str" cm="1">
        <f t="array" aca="1" ref="Y35" ca="1">INDIRECT("'Incentives Worksheet'!P"&amp;'Configurable Tab'!H6+3)</f>
        <v>Same as Payout Cycle</v>
      </c>
      <c r="Z35" s="1102" t="str" cm="1">
        <f t="array" aca="1" ref="Z35" ca="1">IF(ISBLANK(INDIRECT("'Incentives Worksheet'!H"&amp;'Configurable Tab'!H6+3)),"",INDIRECT("'Incentives Worksheet'!H"&amp;'Configurable Tab'!H6+3))</f>
        <v/>
      </c>
      <c r="AA35" s="1102" t="str" cm="1">
        <f t="array" aca="1" ref="AA35" ca="1">IF(INDIRECT("'Incentives Worksheet'!R"&amp;'Configurable Tab'!H6+3)="USF Calendar","Fiscal",INDIRECT("'Incentives Worksheet'!R"&amp;'Configurable Tab'!H6+3))</f>
        <v>Fiscal</v>
      </c>
      <c r="AB35" s="1102" t="str" cm="1">
        <f t="array" aca="1" ref="AB35" ca="1">IF(INDIRECT("'Incentives Worksheet'!L"&amp;'Configurable Tab'!H6+9)="All"," Select All Products","Unselect All Products")</f>
        <v xml:space="preserve"> Select All Products</v>
      </c>
      <c r="AC35" s="1102" t="str" cm="1">
        <f t="array" aca="1" ref="AC35" ca="1">IF(INDIRECT("'Incentives Worksheet'!T"&amp;'Configurable Tab'!H6+3)="Yes","Post to GL","")</f>
        <v/>
      </c>
      <c r="AD35" s="1102" t="str" cm="1">
        <f t="array" aca="1" ref="AD35" ca="1">IF(ISBLANK(INDIRECT("'Incentives Worksheet'!L"&amp;'Configurable Tab'!H6+3)),"",INDIRECT("'Incentives Worksheet'!L"&amp;'Configurable Tab'!H6+3))</f>
        <v/>
      </c>
      <c r="AE35" s="1102" t="str" cm="1">
        <f t="array" aca="1" ref="AE35" ca="1">IF(ISBLANK(INDIRECT("'Incentives Worksheet'!J"&amp;'Configurable Tab'!H6+3)),"",INDIRECT("'Incentives Worksheet'!J"&amp;'Configurable Tab'!H6+3))</f>
        <v/>
      </c>
      <c r="AF35" s="1102" t="str" cm="1">
        <f t="array" aca="1" ref="AF35" ca="1">IF(ISBLANK(INDIRECT("'Incentives Worksheet'!N"&amp;'Configurable Tab'!H6+3)),"",INDIRECT("'Incentives Worksheet'!N"&amp;'Configurable Tab'!H6+3))</f>
        <v/>
      </c>
      <c r="AG35" s="1103" t="str" cm="1">
        <f t="array" aca="1" ref="AG35" ca="1">INDIRECT("'Incentives Worksheet'!D"&amp;'Configurable Tab'!H6+6)</f>
        <v/>
      </c>
      <c r="AH35" s="1103" t="str" cm="1">
        <f t="array" aca="1" ref="AH35" ca="1">INDIRECT("'Incentives Worksheet'!D"&amp;'Configurable Tab'!H6+8)</f>
        <v/>
      </c>
      <c r="AI35" s="1102" t="str" cm="1">
        <f t="array" aca="1" ref="AI35" ca="1">IF(INDIRECT("'Incentives Worksheet'!D"&amp;'Configurable Tab'!H6+10)="No","Update tracking dates",INDIRECT("'Incentives Worksheet'!D"&amp;'Configurable Tab'!H6+10))</f>
        <v>Yes</v>
      </c>
      <c r="AJ35" s="1107"/>
      <c r="AK35" s="1107"/>
      <c r="AL35" s="1107"/>
      <c r="AM35" s="1107"/>
      <c r="AN35" s="1107"/>
      <c r="AO35" s="1107"/>
      <c r="AP35" s="1107"/>
      <c r="AQ35" s="1107"/>
      <c r="AR35" s="1107"/>
      <c r="AS35" s="1107"/>
      <c r="AT35" s="1107"/>
      <c r="AU35" s="1107"/>
      <c r="AV35" s="1107"/>
      <c r="AW35" s="1107"/>
      <c r="AX35" s="1107"/>
      <c r="AY35" s="1107"/>
      <c r="AZ35" s="1107"/>
      <c r="BA35" s="1107"/>
      <c r="BB35" s="1107"/>
      <c r="BC35" s="1107"/>
      <c r="BD35" s="1107"/>
      <c r="BE35" s="1107"/>
      <c r="BF35" s="1107"/>
      <c r="BG35" s="1107"/>
      <c r="BH35" s="1107"/>
      <c r="BI35" s="1107"/>
      <c r="BJ35" s="1107"/>
      <c r="BK35" s="1107"/>
      <c r="BL35" s="1107"/>
      <c r="BM35" s="1107"/>
      <c r="BN35" s="1107"/>
      <c r="BO35" s="1107"/>
      <c r="BP35" s="1107"/>
      <c r="BQ35" s="1107"/>
      <c r="BR35" s="1107"/>
      <c r="BS35" s="1107"/>
      <c r="BT35" s="1107"/>
      <c r="BU35" s="1107"/>
      <c r="BV35" s="1107"/>
      <c r="BW35" s="1107"/>
      <c r="BX35" s="1107"/>
      <c r="BY35" s="1107"/>
      <c r="BZ35" s="1107"/>
      <c r="CA35" s="1107"/>
      <c r="CB35" s="1107"/>
      <c r="CC35" s="1107"/>
      <c r="CD35" s="1107"/>
      <c r="CE35" s="1107"/>
      <c r="CF35" s="1107"/>
      <c r="CG35" s="1107"/>
      <c r="CH35" s="1107"/>
      <c r="CI35" s="1107"/>
      <c r="CJ35" s="1107"/>
      <c r="CK35" s="1107"/>
    </row>
    <row r="36" spans="1:89" ht="30.75" customHeight="1" thickBot="1" x14ac:dyDescent="0.3">
      <c r="A36" s="1107"/>
      <c r="B36" s="2006" t="s">
        <v>1854</v>
      </c>
      <c r="C36" s="1160" t="s">
        <v>1874</v>
      </c>
      <c r="D36" s="1100" t="s">
        <v>1875</v>
      </c>
      <c r="E36" s="1101" t="s">
        <v>1359</v>
      </c>
      <c r="F36" s="1101" t="s">
        <v>1876</v>
      </c>
      <c r="G36" s="1100" t="s">
        <v>1877</v>
      </c>
      <c r="H36" s="1161" t="s">
        <v>1878</v>
      </c>
      <c r="I36" s="1161" t="s">
        <v>1879</v>
      </c>
      <c r="J36" s="1161" t="s">
        <v>1880</v>
      </c>
      <c r="K36" s="1162"/>
      <c r="L36" s="1162"/>
      <c r="M36" s="1162"/>
      <c r="N36" s="1162"/>
      <c r="O36" s="1162"/>
      <c r="P36" s="1162"/>
      <c r="Q36" s="1163"/>
      <c r="R36" s="1162"/>
      <c r="S36" s="1162"/>
      <c r="T36" s="2006" t="s">
        <v>1854</v>
      </c>
      <c r="U36" s="1164" t="s">
        <v>1874</v>
      </c>
      <c r="V36" s="1100" t="s">
        <v>1875</v>
      </c>
      <c r="W36" s="1101" t="s">
        <v>1359</v>
      </c>
      <c r="X36" s="1100" t="s">
        <v>1876</v>
      </c>
      <c r="Y36" s="1100" t="s">
        <v>1877</v>
      </c>
      <c r="Z36" s="1161" t="s">
        <v>1878</v>
      </c>
      <c r="AA36" s="1161" t="s">
        <v>1879</v>
      </c>
      <c r="AB36" s="1165" t="s">
        <v>1880</v>
      </c>
      <c r="AC36" s="1162"/>
      <c r="AD36" s="1162"/>
      <c r="AE36" s="1162"/>
      <c r="AF36" s="1162"/>
      <c r="AG36" s="1162"/>
      <c r="AH36" s="1162"/>
      <c r="AI36" s="1163"/>
      <c r="AJ36" s="1107"/>
      <c r="AK36" s="1107"/>
      <c r="AL36" s="1107"/>
      <c r="AM36" s="1107"/>
      <c r="AN36" s="1107"/>
      <c r="AO36" s="1107"/>
      <c r="AP36" s="1107"/>
      <c r="AQ36" s="1107"/>
      <c r="AR36" s="1107"/>
      <c r="AS36" s="1107"/>
      <c r="AT36" s="1107"/>
      <c r="AU36" s="1107"/>
      <c r="AV36" s="1107"/>
      <c r="AW36" s="1107"/>
      <c r="AX36" s="1107"/>
      <c r="AY36" s="1107"/>
      <c r="AZ36" s="1107"/>
      <c r="BA36" s="1107"/>
      <c r="BB36" s="1107"/>
      <c r="BC36" s="1107"/>
      <c r="BD36" s="1107"/>
      <c r="BE36" s="1107"/>
      <c r="BF36" s="1107"/>
      <c r="BG36" s="1107"/>
      <c r="BH36" s="1107"/>
      <c r="BI36" s="1107"/>
      <c r="BJ36" s="1107"/>
      <c r="BK36" s="1107"/>
      <c r="BL36" s="1107"/>
      <c r="BM36" s="1107"/>
      <c r="BN36" s="1107"/>
      <c r="BO36" s="1107"/>
      <c r="BP36" s="1107"/>
      <c r="BQ36" s="1107"/>
      <c r="BR36" s="1107"/>
      <c r="BS36" s="1107"/>
      <c r="BT36" s="1107"/>
      <c r="BU36" s="1107"/>
      <c r="BV36" s="1107"/>
      <c r="BW36" s="1107"/>
      <c r="BX36" s="1107"/>
      <c r="BY36" s="1107"/>
      <c r="BZ36" s="1107"/>
      <c r="CA36" s="1107"/>
      <c r="CB36" s="1107"/>
      <c r="CC36" s="1107"/>
      <c r="CD36" s="1107"/>
      <c r="CE36" s="1107"/>
      <c r="CF36" s="1107"/>
      <c r="CG36" s="1107"/>
      <c r="CH36" s="1107"/>
      <c r="CI36" s="1107"/>
      <c r="CJ36" s="1107"/>
      <c r="CK36" s="1107"/>
    </row>
    <row r="37" spans="1:89" ht="15.75" thickBot="1" x14ac:dyDescent="0.3">
      <c r="A37" s="1107"/>
      <c r="B37" s="2011"/>
      <c r="C37" s="1166" t="s">
        <v>1881</v>
      </c>
      <c r="D37" s="1166" t="str" cm="1">
        <f t="array" aca="1" ref="D37" ca="1">IF(INDIRECT("'Incentives Worksheet'!L"&amp;'Configurable Tab'!H5+9)="All"," All Products","Included Products")</f>
        <v xml:space="preserve"> All Products</v>
      </c>
      <c r="E37" s="1167" t="str" cm="1">
        <f t="array" aca="1" ref="E37" ca="1">IF(INDIRECT("'Incentives Worksheet'!J"&amp;'Configurable Tab'!H5+9)="All","All Customers","Individual")</f>
        <v>All Customers</v>
      </c>
      <c r="F37" s="1166" t="str" cm="1">
        <f t="array" aca="1" ref="F37" ca="1">INDIRECT("'Incentives Worksheet'!P"&amp;'Configurable Tab'!H5+9)</f>
        <v>Yes</v>
      </c>
      <c r="G37" s="1168" t="str" cm="1">
        <f t="array" aca="1" ref="G37" ca="1">IF(INDIRECT("'Incentives Worksheet'!L"&amp;'Configurable Tab'!H5+6)&lt;&gt;0,INDIRECT("'Incentives Worksheet'!L"&amp;'Configurable Tab'!H5+6),"")</f>
        <v/>
      </c>
      <c r="H37" s="1102" t="s">
        <v>1882</v>
      </c>
      <c r="I37" s="1102" t="s">
        <v>1883</v>
      </c>
      <c r="J37" s="1135" t="str" cm="1">
        <f t="array" aca="1" ref="J37" ca="1">INDIRECT("'Incentives Worksheet'!N"&amp;'Configurable Tab'!H5+6)</f>
        <v>%</v>
      </c>
      <c r="K37" s="1136"/>
      <c r="L37" s="1136"/>
      <c r="M37" s="1136"/>
      <c r="N37" s="1136"/>
      <c r="O37" s="1136"/>
      <c r="P37" s="1136"/>
      <c r="Q37" s="1108"/>
      <c r="R37" s="1107"/>
      <c r="S37" s="1107"/>
      <c r="T37" s="2011"/>
      <c r="U37" s="1166" t="s">
        <v>1881</v>
      </c>
      <c r="V37" s="1166" t="str" cm="1">
        <f t="array" aca="1" ref="V37" ca="1">IF(INDIRECT("'Incentives Worksheet'!L"&amp;'Configurable Tab'!H6+9)="All"," All Products","Included Products")</f>
        <v xml:space="preserve"> All Products</v>
      </c>
      <c r="W37" s="1169" t="str" cm="1">
        <f t="array" aca="1" ref="W37" ca="1">IF(INDIRECT("'Incentives Worksheet'!J"&amp;'Configurable Tab'!H6+9)="All","All Customers","Individual")</f>
        <v>All Customers</v>
      </c>
      <c r="X37" s="1169" t="str" cm="1">
        <f t="array" aca="1" ref="X37" ca="1">INDIRECT("'Incentives Worksheet'!P"&amp;'Configurable Tab'!H6+9)</f>
        <v>Yes</v>
      </c>
      <c r="Y37" s="1169" t="str" cm="1">
        <f t="array" aca="1" ref="Y37" ca="1">IF(INDIRECT("'Incentives Worksheet'!L"&amp;'Configurable Tab'!H6+6)=0,"",INDIRECT("'Incentives Worksheet'!L"&amp;'Configurable Tab'!H6+6))</f>
        <v/>
      </c>
      <c r="Z37" s="1102" t="s">
        <v>1882</v>
      </c>
      <c r="AA37" s="1102" t="s">
        <v>1883</v>
      </c>
      <c r="AB37" s="1102" t="str" cm="1">
        <f t="array" aca="1" ref="AB37" ca="1">INDIRECT("'Incentives Worksheet'!N"&amp;'Configurable Tab'!H6+6)</f>
        <v>%</v>
      </c>
      <c r="AC37" s="1136"/>
      <c r="AD37" s="1136"/>
      <c r="AE37" s="1136"/>
      <c r="AF37" s="1136"/>
      <c r="AG37" s="1136"/>
      <c r="AH37" s="1136"/>
      <c r="AI37" s="1108"/>
      <c r="AJ37" s="1107"/>
      <c r="AK37" s="1107"/>
      <c r="AL37" s="1107"/>
      <c r="AM37" s="1107"/>
      <c r="AN37" s="1107"/>
      <c r="AO37" s="1107"/>
      <c r="AP37" s="1107"/>
      <c r="AQ37" s="1107"/>
      <c r="AR37" s="1107"/>
      <c r="AS37" s="1107"/>
      <c r="AT37" s="1107"/>
      <c r="AU37" s="1107"/>
      <c r="AV37" s="1107"/>
      <c r="AW37" s="1107"/>
      <c r="AX37" s="1107"/>
      <c r="AY37" s="1107"/>
      <c r="AZ37" s="1107"/>
      <c r="BA37" s="1107"/>
      <c r="BB37" s="1107"/>
      <c r="BC37" s="1107"/>
      <c r="BD37" s="1107"/>
      <c r="BE37" s="1107"/>
      <c r="BF37" s="1107"/>
      <c r="BG37" s="1107"/>
      <c r="BH37" s="1107"/>
      <c r="BI37" s="1107"/>
      <c r="BJ37" s="1107"/>
      <c r="BK37" s="1107"/>
      <c r="BL37" s="1107"/>
      <c r="BM37" s="1107"/>
      <c r="BN37" s="1107"/>
      <c r="BO37" s="1107"/>
      <c r="BP37" s="1107"/>
      <c r="BQ37" s="1107"/>
      <c r="BR37" s="1107"/>
      <c r="BS37" s="1107"/>
      <c r="BT37" s="1107"/>
      <c r="BU37" s="1107"/>
      <c r="BV37" s="1107"/>
      <c r="BW37" s="1107"/>
      <c r="BX37" s="1107"/>
      <c r="BY37" s="1107"/>
      <c r="BZ37" s="1107"/>
      <c r="CA37" s="1107"/>
      <c r="CB37" s="1107"/>
      <c r="CC37" s="1107"/>
      <c r="CD37" s="1107"/>
      <c r="CE37" s="1107"/>
      <c r="CF37" s="1107"/>
      <c r="CG37" s="1107"/>
      <c r="CH37" s="1107"/>
      <c r="CI37" s="1107"/>
      <c r="CJ37" s="1107"/>
      <c r="CK37" s="1107"/>
    </row>
    <row r="38" spans="1:89" x14ac:dyDescent="0.25">
      <c r="A38" s="1107"/>
      <c r="B38" s="2008"/>
      <c r="C38" s="1170" t="s">
        <v>1884</v>
      </c>
      <c r="D38" s="1171" t="s">
        <v>126</v>
      </c>
      <c r="E38" s="1172" t="s">
        <v>128</v>
      </c>
      <c r="F38" s="1173" t="s">
        <v>1104</v>
      </c>
      <c r="G38" s="1136"/>
      <c r="H38" s="1136"/>
      <c r="I38" s="1136"/>
      <c r="J38" s="1136"/>
      <c r="K38" s="1136"/>
      <c r="L38" s="1136"/>
      <c r="M38" s="1136"/>
      <c r="N38" s="1136"/>
      <c r="O38" s="1136"/>
      <c r="P38" s="1136"/>
      <c r="Q38" s="1137"/>
      <c r="R38" s="1107"/>
      <c r="S38" s="1107"/>
      <c r="T38" s="2008"/>
      <c r="U38" s="1174" t="s">
        <v>1884</v>
      </c>
      <c r="V38" s="1175" t="s">
        <v>126</v>
      </c>
      <c r="W38" s="1176" t="s">
        <v>128</v>
      </c>
      <c r="X38" s="1177" t="s">
        <v>1104</v>
      </c>
      <c r="Y38" s="1136"/>
      <c r="Z38" s="1136"/>
      <c r="AA38" s="1136"/>
      <c r="AB38" s="1136"/>
      <c r="AC38" s="1136"/>
      <c r="AD38" s="1136"/>
      <c r="AE38" s="1136"/>
      <c r="AF38" s="1136"/>
      <c r="AG38" s="1136"/>
      <c r="AH38" s="1136"/>
      <c r="AI38" s="1137"/>
      <c r="AJ38" s="1107"/>
      <c r="AK38" s="1107"/>
      <c r="AL38" s="1107"/>
      <c r="AM38" s="1107"/>
      <c r="AN38" s="1107"/>
      <c r="AO38" s="1107"/>
      <c r="AP38" s="1107"/>
      <c r="AQ38" s="1107"/>
      <c r="AR38" s="1107"/>
      <c r="AS38" s="1107"/>
      <c r="AT38" s="1107"/>
      <c r="AU38" s="1107"/>
      <c r="AV38" s="1107"/>
      <c r="AW38" s="1107"/>
      <c r="AX38" s="1107"/>
      <c r="AY38" s="1107"/>
      <c r="AZ38" s="1107"/>
      <c r="BA38" s="1107"/>
      <c r="BB38" s="1107"/>
      <c r="BC38" s="1107"/>
      <c r="BD38" s="1107"/>
      <c r="BE38" s="1107"/>
      <c r="BF38" s="1107"/>
      <c r="BG38" s="1107"/>
      <c r="BH38" s="1107"/>
      <c r="BI38" s="1107"/>
      <c r="BJ38" s="1107"/>
      <c r="BK38" s="1107"/>
      <c r="BL38" s="1107"/>
      <c r="BM38" s="1107"/>
      <c r="BN38" s="1107"/>
      <c r="BO38" s="1107"/>
      <c r="BP38" s="1107"/>
      <c r="BQ38" s="1107"/>
      <c r="BR38" s="1107"/>
      <c r="BS38" s="1107"/>
      <c r="BT38" s="1107"/>
      <c r="BU38" s="1107"/>
      <c r="BV38" s="1107"/>
      <c r="BW38" s="1107"/>
      <c r="BX38" s="1107"/>
      <c r="BY38" s="1107"/>
      <c r="BZ38" s="1107"/>
      <c r="CA38" s="1107"/>
      <c r="CB38" s="1107"/>
      <c r="CC38" s="1107"/>
      <c r="CD38" s="1107"/>
      <c r="CE38" s="1107"/>
      <c r="CF38" s="1107"/>
      <c r="CG38" s="1107"/>
      <c r="CH38" s="1107"/>
      <c r="CI38" s="1107"/>
      <c r="CJ38" s="1107"/>
      <c r="CK38" s="1107"/>
    </row>
    <row r="39" spans="1:89" x14ac:dyDescent="0.25">
      <c r="A39" s="1107"/>
      <c r="B39" s="2008"/>
      <c r="C39" s="1178">
        <v>0</v>
      </c>
      <c r="D39" s="1179" t="str" cm="1">
        <f t="array" aca="1" ref="D39" ca="1">IF(INDIRECT("'Incentives Worksheet'!H"&amp;'Configurable Tab'!H5+6)&lt;&gt;0,0,"")</f>
        <v/>
      </c>
      <c r="E39" s="1180" t="str" cm="1">
        <f t="array" aca="1" ref="E39" ca="1">IF(INDIRECT("'Incentives Worksheet'!H"&amp;'Configurable Tab'!H5+6)&lt;&gt;0,INDIRECT("'Incentives Worksheet'!H"&amp;'Configurable Tab'!H5+6)-0.01,"")</f>
        <v/>
      </c>
      <c r="F39" s="1181" t="str" cm="1">
        <f t="array" aca="1" ref="F39" ca="1">IF(INDIRECT("'Incentives Worksheet'!H"&amp;'Configurable Tab'!H5+6)&lt;&gt;0,0,"")</f>
        <v/>
      </c>
      <c r="G39" s="1136"/>
      <c r="H39" s="1136"/>
      <c r="I39" s="1136"/>
      <c r="J39" s="1136"/>
      <c r="K39" s="1136"/>
      <c r="L39" s="1136"/>
      <c r="M39" s="1136"/>
      <c r="N39" s="1136"/>
      <c r="O39" s="1136"/>
      <c r="P39" s="1136"/>
      <c r="Q39" s="1137"/>
      <c r="R39" s="1107"/>
      <c r="S39" s="1107"/>
      <c r="T39" s="2008"/>
      <c r="U39" s="1182">
        <v>0</v>
      </c>
      <c r="V39" s="1153" t="str" cm="1">
        <f t="array" aca="1" ref="V39" ca="1">IF(INDIRECT("'Incentives Worksheet'!H"&amp;'Configurable Tab'!H6+6)&lt;&gt;0,0,"")</f>
        <v/>
      </c>
      <c r="W39" s="1183" t="str" cm="1">
        <f t="array" aca="1" ref="W39" ca="1">IF(INDIRECT("'Incentives Worksheet'!H"&amp;'Configurable Tab'!H6+6)&lt;&gt;0,INDIRECT("'Incentives Worksheet'!H"&amp;'Configurable Tab'!H6+6)-0.01,"")</f>
        <v/>
      </c>
      <c r="X39" s="1183" t="str" cm="1">
        <f t="array" aca="1" ref="X39" ca="1">IF(INDIRECT("'Incentives Worksheet'!H"&amp;'Configurable Tab'!H6+6)&lt;&gt;0,0,"")</f>
        <v/>
      </c>
      <c r="Y39" s="1136"/>
      <c r="Z39" s="1136"/>
      <c r="AA39" s="1136"/>
      <c r="AB39" s="1136"/>
      <c r="AC39" s="1136"/>
      <c r="AD39" s="1136"/>
      <c r="AE39" s="1136"/>
      <c r="AF39" s="1136"/>
      <c r="AG39" s="1136"/>
      <c r="AH39" s="1136"/>
      <c r="AI39" s="1137"/>
      <c r="AJ39" s="1107"/>
      <c r="AK39" s="1107"/>
      <c r="AL39" s="1107"/>
      <c r="AM39" s="1107"/>
      <c r="AN39" s="1107"/>
      <c r="AO39" s="1107"/>
      <c r="AP39" s="1107"/>
      <c r="AQ39" s="1107"/>
      <c r="AR39" s="1107"/>
      <c r="AS39" s="1107"/>
      <c r="AT39" s="1107"/>
      <c r="AU39" s="1107"/>
      <c r="AV39" s="1107"/>
      <c r="AW39" s="1107"/>
      <c r="AX39" s="1107"/>
      <c r="AY39" s="1107"/>
      <c r="AZ39" s="1107"/>
      <c r="BA39" s="1107"/>
      <c r="BB39" s="1107"/>
      <c r="BC39" s="1107"/>
      <c r="BD39" s="1107"/>
      <c r="BE39" s="1107"/>
      <c r="BF39" s="1107"/>
      <c r="BG39" s="1107"/>
      <c r="BH39" s="1107"/>
      <c r="BI39" s="1107"/>
      <c r="BJ39" s="1107"/>
      <c r="BK39" s="1107"/>
      <c r="BL39" s="1107"/>
      <c r="BM39" s="1107"/>
      <c r="BN39" s="1107"/>
      <c r="BO39" s="1107"/>
      <c r="BP39" s="1107"/>
      <c r="BQ39" s="1107"/>
      <c r="BR39" s="1107"/>
      <c r="BS39" s="1107"/>
      <c r="BT39" s="1107"/>
      <c r="BU39" s="1107"/>
      <c r="BV39" s="1107"/>
      <c r="BW39" s="1107"/>
      <c r="BX39" s="1107"/>
      <c r="BY39" s="1107"/>
      <c r="BZ39" s="1107"/>
      <c r="CA39" s="1107"/>
      <c r="CB39" s="1107"/>
      <c r="CC39" s="1107"/>
      <c r="CD39" s="1107"/>
      <c r="CE39" s="1107"/>
      <c r="CF39" s="1107"/>
      <c r="CG39" s="1107"/>
      <c r="CH39" s="1107"/>
      <c r="CI39" s="1107"/>
      <c r="CJ39" s="1107"/>
      <c r="CK39" s="1107"/>
    </row>
    <row r="40" spans="1:89" ht="15.75" customHeight="1" thickBot="1" x14ac:dyDescent="0.3">
      <c r="A40" s="1107"/>
      <c r="B40" s="2009"/>
      <c r="C40" s="1184">
        <v>1</v>
      </c>
      <c r="D40" s="1185" t="str" cm="1">
        <f t="array" aca="1" ref="D40" ca="1">IF(INDIRECT("'Incentives Worksheet'!H"&amp;'Configurable Tab'!H5+6)="","",INDIRECT("'Incentives Worksheet'!H"&amp;'Configurable Tab'!H5+6))</f>
        <v/>
      </c>
      <c r="E40" s="1186" t="str" cm="1">
        <f t="array" aca="1" ref="E40" ca="1">IF(INDIRECT("'Incentives Worksheet'!J"&amp;'Configurable Tab'!H5+6)="","",INDIRECT("'Incentives Worksheet'!J"&amp;'Configurable Tab'!H5+6))</f>
        <v/>
      </c>
      <c r="F40" s="1187" t="str" cm="1">
        <f t="array" aca="1" ref="F40" ca="1">IF(INDIRECT("'Incentives Worksheet'!L"&amp;'Configurable Tab'!H5+6)="","",INDIRECT("'Incentives Worksheet'!L"&amp;'Configurable Tab'!H5+6))</f>
        <v/>
      </c>
      <c r="G40" s="1136"/>
      <c r="H40" s="1136"/>
      <c r="I40" s="1136"/>
      <c r="J40" s="1136"/>
      <c r="K40" s="1136"/>
      <c r="L40" s="1136"/>
      <c r="M40" s="1136"/>
      <c r="N40" s="1136"/>
      <c r="O40" s="1136"/>
      <c r="P40" s="1136"/>
      <c r="Q40" s="1137"/>
      <c r="R40" s="1107"/>
      <c r="S40" s="1107"/>
      <c r="T40" s="2009"/>
      <c r="U40" s="1188">
        <v>1</v>
      </c>
      <c r="V40" s="1146" t="str" cm="1">
        <f t="array" aca="1" ref="V40" ca="1">IF(INDIRECT("'Incentives Worksheet'!H"&amp;'Configurable Tab'!H6+6)="","",INDIRECT("'Incentives Worksheet'!H"&amp;'Configurable Tab'!H6+6))</f>
        <v/>
      </c>
      <c r="W40" s="1189" t="str" cm="1">
        <f t="array" aca="1" ref="W40" ca="1">IF(INDIRECT("'Incentives Worksheet'!J"&amp;'Configurable Tab'!H6+6)="","",INDIRECT("'Incentives Worksheet'!J"&amp;'Configurable Tab'!H6+6))</f>
        <v/>
      </c>
      <c r="X40" s="1190" t="str" cm="1">
        <f t="array" aca="1" ref="X40" ca="1">IF(INDIRECT("'Incentives Worksheet'!L"&amp;'Configurable Tab'!H6+6)="","",INDIRECT("'Incentives Worksheet'!L"&amp;'Configurable Tab'!H6+6))</f>
        <v/>
      </c>
      <c r="Y40" s="1136"/>
      <c r="Z40" s="1136"/>
      <c r="AA40" s="1136"/>
      <c r="AB40" s="1136"/>
      <c r="AC40" s="1136"/>
      <c r="AD40" s="1136"/>
      <c r="AE40" s="1136"/>
      <c r="AF40" s="1136"/>
      <c r="AG40" s="1136"/>
      <c r="AH40" s="1136"/>
      <c r="AI40" s="1137"/>
      <c r="AJ40" s="1107"/>
      <c r="AK40" s="1107"/>
      <c r="AL40" s="1107"/>
      <c r="AM40" s="1107"/>
      <c r="AN40" s="1107"/>
      <c r="AO40" s="1107"/>
      <c r="AP40" s="1107"/>
      <c r="AQ40" s="1107"/>
      <c r="AR40" s="1107"/>
      <c r="AS40" s="1107"/>
      <c r="AT40" s="1107"/>
      <c r="AU40" s="1107"/>
      <c r="AV40" s="1107"/>
      <c r="AW40" s="1107"/>
      <c r="AX40" s="1107"/>
      <c r="AY40" s="1107"/>
      <c r="AZ40" s="1107"/>
      <c r="BA40" s="1107"/>
      <c r="BB40" s="1107"/>
      <c r="BC40" s="1107"/>
      <c r="BD40" s="1107"/>
      <c r="BE40" s="1107"/>
      <c r="BF40" s="1107"/>
      <c r="BG40" s="1107"/>
      <c r="BH40" s="1107"/>
      <c r="BI40" s="1107"/>
      <c r="BJ40" s="1107"/>
      <c r="BK40" s="1107"/>
      <c r="BL40" s="1107"/>
      <c r="BM40" s="1107"/>
      <c r="BN40" s="1107"/>
      <c r="BO40" s="1107"/>
      <c r="BP40" s="1107"/>
      <c r="BQ40" s="1107"/>
      <c r="BR40" s="1107"/>
      <c r="BS40" s="1107"/>
      <c r="BT40" s="1107"/>
      <c r="BU40" s="1107"/>
      <c r="BV40" s="1107"/>
      <c r="BW40" s="1107"/>
      <c r="BX40" s="1107"/>
      <c r="BY40" s="1107"/>
      <c r="BZ40" s="1107"/>
      <c r="CA40" s="1107"/>
      <c r="CB40" s="1107"/>
      <c r="CC40" s="1107"/>
      <c r="CD40" s="1107"/>
      <c r="CE40" s="1107"/>
      <c r="CF40" s="1107"/>
      <c r="CG40" s="1107"/>
      <c r="CH40" s="1107"/>
      <c r="CI40" s="1107"/>
      <c r="CJ40" s="1107"/>
      <c r="CK40" s="1107"/>
    </row>
    <row r="41" spans="1:89" ht="15.75" customHeight="1" thickBot="1" x14ac:dyDescent="0.3">
      <c r="A41" s="1107"/>
      <c r="B41" s="2006" t="s">
        <v>1858</v>
      </c>
      <c r="C41" s="1191" t="s">
        <v>1859</v>
      </c>
      <c r="D41" s="1192" t="s">
        <v>131</v>
      </c>
      <c r="E41" s="1192" t="s">
        <v>1860</v>
      </c>
      <c r="F41" s="1107"/>
      <c r="G41" s="1107"/>
      <c r="H41" s="1107"/>
      <c r="I41" s="1107"/>
      <c r="J41" s="1107"/>
      <c r="K41" s="1107"/>
      <c r="L41" s="1107"/>
      <c r="M41" s="1107"/>
      <c r="N41" s="1107"/>
      <c r="O41" s="1107"/>
      <c r="P41" s="1107"/>
      <c r="Q41" s="1108"/>
      <c r="R41" s="1107"/>
      <c r="S41" s="1107"/>
      <c r="T41" s="2006" t="s">
        <v>1858</v>
      </c>
      <c r="U41" s="1191" t="s">
        <v>1859</v>
      </c>
      <c r="V41" s="1192" t="s">
        <v>131</v>
      </c>
      <c r="W41" s="1140" t="s">
        <v>1860</v>
      </c>
      <c r="X41" s="1107"/>
      <c r="Y41" s="1107"/>
      <c r="Z41" s="1107"/>
      <c r="AA41" s="1107"/>
      <c r="AB41" s="1107"/>
      <c r="AC41" s="1107"/>
      <c r="AD41" s="1107"/>
      <c r="AE41" s="1107"/>
      <c r="AF41" s="1107"/>
      <c r="AG41" s="1107"/>
      <c r="AH41" s="1107"/>
      <c r="AI41" s="1108"/>
      <c r="AJ41" s="1107"/>
      <c r="AK41" s="1107"/>
      <c r="AL41" s="1107"/>
      <c r="AM41" s="1107"/>
      <c r="AN41" s="1107"/>
      <c r="AO41" s="1107"/>
      <c r="AP41" s="1107"/>
      <c r="AQ41" s="1107"/>
      <c r="AR41" s="1107"/>
      <c r="AS41" s="1107"/>
      <c r="AT41" s="1107"/>
      <c r="AU41" s="1107"/>
      <c r="AV41" s="1107"/>
      <c r="AW41" s="1107"/>
      <c r="AX41" s="1107"/>
      <c r="AY41" s="1107"/>
      <c r="AZ41" s="1107"/>
      <c r="BA41" s="1107"/>
      <c r="BB41" s="1107"/>
      <c r="BC41" s="1107"/>
      <c r="BD41" s="1107"/>
      <c r="BE41" s="1107"/>
      <c r="BF41" s="1107"/>
      <c r="BG41" s="1107"/>
      <c r="BH41" s="1107"/>
      <c r="BI41" s="1107"/>
      <c r="BJ41" s="1107"/>
      <c r="BK41" s="1107"/>
      <c r="BL41" s="1107"/>
      <c r="BM41" s="1107"/>
      <c r="BN41" s="1107"/>
      <c r="BO41" s="1107"/>
      <c r="BP41" s="1107"/>
      <c r="BQ41" s="1107"/>
      <c r="BR41" s="1107"/>
      <c r="BS41" s="1107"/>
      <c r="BT41" s="1107"/>
      <c r="BU41" s="1107"/>
      <c r="BV41" s="1107"/>
      <c r="BW41" s="1107"/>
      <c r="BX41" s="1107"/>
      <c r="BY41" s="1107"/>
      <c r="BZ41" s="1107"/>
      <c r="CA41" s="1107"/>
      <c r="CB41" s="1107"/>
      <c r="CC41" s="1107"/>
      <c r="CD41" s="1107"/>
      <c r="CE41" s="1107"/>
      <c r="CF41" s="1107"/>
      <c r="CG41" s="1107"/>
      <c r="CH41" s="1107"/>
      <c r="CI41" s="1107"/>
      <c r="CJ41" s="1107"/>
      <c r="CK41" s="1107"/>
    </row>
    <row r="42" spans="1:89" x14ac:dyDescent="0.25">
      <c r="A42" s="1107"/>
      <c r="B42" s="2011"/>
      <c r="C42" s="1141" t="s">
        <v>1861</v>
      </c>
      <c r="D42" s="1141" t="s">
        <v>1862</v>
      </c>
      <c r="E42" s="1142"/>
      <c r="F42" s="1107"/>
      <c r="G42" s="1107"/>
      <c r="H42" s="1107"/>
      <c r="I42" s="1107"/>
      <c r="J42" s="1107"/>
      <c r="K42" s="1107"/>
      <c r="L42" s="1107"/>
      <c r="M42" s="1107"/>
      <c r="N42" s="1107"/>
      <c r="O42" s="1107"/>
      <c r="P42" s="1107"/>
      <c r="Q42" s="1108"/>
      <c r="R42" s="1107"/>
      <c r="S42" s="1107"/>
      <c r="T42" s="2011"/>
      <c r="U42" s="1141" t="s">
        <v>1861</v>
      </c>
      <c r="V42" s="1141" t="s">
        <v>1862</v>
      </c>
      <c r="W42" s="1142"/>
      <c r="X42" s="1107"/>
      <c r="Y42" s="1107"/>
      <c r="Z42" s="1107"/>
      <c r="AA42" s="1107"/>
      <c r="AB42" s="1107"/>
      <c r="AC42" s="1107"/>
      <c r="AD42" s="1107"/>
      <c r="AE42" s="1107"/>
      <c r="AF42" s="1107"/>
      <c r="AG42" s="1107"/>
      <c r="AH42" s="1107"/>
      <c r="AI42" s="1108"/>
      <c r="AJ42" s="1107"/>
      <c r="AK42" s="1107"/>
      <c r="AL42" s="1107"/>
      <c r="AM42" s="1107"/>
      <c r="AN42" s="1107"/>
      <c r="AO42" s="1107"/>
      <c r="AP42" s="1107"/>
      <c r="AQ42" s="1107"/>
      <c r="AR42" s="1107"/>
      <c r="AS42" s="1107"/>
      <c r="AT42" s="1107"/>
      <c r="AU42" s="1107"/>
      <c r="AV42" s="1107"/>
      <c r="AW42" s="1107"/>
      <c r="AX42" s="1107"/>
      <c r="AY42" s="1107"/>
      <c r="AZ42" s="1107"/>
      <c r="BA42" s="1107"/>
      <c r="BB42" s="1107"/>
      <c r="BC42" s="1107"/>
      <c r="BD42" s="1107"/>
      <c r="BE42" s="1107"/>
      <c r="BF42" s="1107"/>
      <c r="BG42" s="1107"/>
      <c r="BH42" s="1107"/>
      <c r="BI42" s="1107"/>
      <c r="BJ42" s="1107"/>
      <c r="BK42" s="1107"/>
      <c r="BL42" s="1107"/>
      <c r="BM42" s="1107"/>
      <c r="BN42" s="1107"/>
      <c r="BO42" s="1107"/>
      <c r="BP42" s="1107"/>
      <c r="BQ42" s="1107"/>
      <c r="BR42" s="1107"/>
      <c r="BS42" s="1107"/>
      <c r="BT42" s="1107"/>
      <c r="BU42" s="1107"/>
      <c r="BV42" s="1107"/>
      <c r="BW42" s="1107"/>
      <c r="BX42" s="1107"/>
      <c r="BY42" s="1107"/>
      <c r="BZ42" s="1107"/>
      <c r="CA42" s="1107"/>
      <c r="CB42" s="1107"/>
      <c r="CC42" s="1107"/>
      <c r="CD42" s="1107"/>
      <c r="CE42" s="1107"/>
      <c r="CF42" s="1107"/>
      <c r="CG42" s="1107"/>
      <c r="CH42" s="1107"/>
      <c r="CI42" s="1107"/>
      <c r="CJ42" s="1107"/>
      <c r="CK42" s="1107"/>
    </row>
    <row r="43" spans="1:89" x14ac:dyDescent="0.25">
      <c r="A43" s="1107"/>
      <c r="B43" s="2011"/>
      <c r="C43" s="1143" t="s">
        <v>1861</v>
      </c>
      <c r="D43" s="1143" t="s">
        <v>1863</v>
      </c>
      <c r="E43" s="1144" t="s">
        <v>1864</v>
      </c>
      <c r="F43" s="1107"/>
      <c r="G43" s="1107"/>
      <c r="H43" s="1107"/>
      <c r="I43" s="1107"/>
      <c r="J43" s="1107"/>
      <c r="K43" s="1107"/>
      <c r="L43" s="1107"/>
      <c r="M43" s="1107"/>
      <c r="N43" s="1107"/>
      <c r="O43" s="1107"/>
      <c r="P43" s="1107"/>
      <c r="Q43" s="1108"/>
      <c r="R43" s="1107"/>
      <c r="S43" s="1107"/>
      <c r="T43" s="2011"/>
      <c r="U43" s="1143" t="s">
        <v>1861</v>
      </c>
      <c r="V43" s="1143" t="s">
        <v>1863</v>
      </c>
      <c r="W43" s="1144" t="s">
        <v>1864</v>
      </c>
      <c r="X43" s="1107"/>
      <c r="Y43" s="1107"/>
      <c r="Z43" s="1107"/>
      <c r="AA43" s="1107"/>
      <c r="AB43" s="1107"/>
      <c r="AC43" s="1107"/>
      <c r="AD43" s="1107"/>
      <c r="AE43" s="1107"/>
      <c r="AF43" s="1107"/>
      <c r="AG43" s="1107"/>
      <c r="AH43" s="1107"/>
      <c r="AI43" s="1108"/>
      <c r="AJ43" s="1107"/>
      <c r="AK43" s="1107"/>
      <c r="AL43" s="1107"/>
      <c r="AM43" s="1107"/>
      <c r="AN43" s="1107"/>
      <c r="AO43" s="1107"/>
      <c r="AP43" s="1107"/>
      <c r="AQ43" s="1107"/>
      <c r="AR43" s="1107"/>
      <c r="AS43" s="1107"/>
      <c r="AT43" s="1107"/>
      <c r="AU43" s="1107"/>
      <c r="AV43" s="1107"/>
      <c r="AW43" s="1107"/>
      <c r="AX43" s="1107"/>
      <c r="AY43" s="1107"/>
      <c r="AZ43" s="1107"/>
      <c r="BA43" s="1107"/>
      <c r="BB43" s="1107"/>
      <c r="BC43" s="1107"/>
      <c r="BD43" s="1107"/>
      <c r="BE43" s="1107"/>
      <c r="BF43" s="1107"/>
      <c r="BG43" s="1107"/>
      <c r="BH43" s="1107"/>
      <c r="BI43" s="1107"/>
      <c r="BJ43" s="1107"/>
      <c r="BK43" s="1107"/>
      <c r="BL43" s="1107"/>
      <c r="BM43" s="1107"/>
      <c r="BN43" s="1107"/>
      <c r="BO43" s="1107"/>
      <c r="BP43" s="1107"/>
      <c r="BQ43" s="1107"/>
      <c r="BR43" s="1107"/>
      <c r="BS43" s="1107"/>
      <c r="BT43" s="1107"/>
      <c r="BU43" s="1107"/>
      <c r="BV43" s="1107"/>
      <c r="BW43" s="1107"/>
      <c r="BX43" s="1107"/>
      <c r="BY43" s="1107"/>
      <c r="BZ43" s="1107"/>
      <c r="CA43" s="1107"/>
      <c r="CB43" s="1107"/>
      <c r="CC43" s="1107"/>
      <c r="CD43" s="1107"/>
      <c r="CE43" s="1107"/>
      <c r="CF43" s="1107"/>
      <c r="CG43" s="1107"/>
      <c r="CH43" s="1107"/>
      <c r="CI43" s="1107"/>
      <c r="CJ43" s="1107"/>
      <c r="CK43" s="1107"/>
    </row>
    <row r="44" spans="1:89" x14ac:dyDescent="0.25">
      <c r="A44" s="1107"/>
      <c r="B44" s="2011"/>
      <c r="C44" s="1143" t="s">
        <v>1861</v>
      </c>
      <c r="D44" s="1143" t="s">
        <v>1865</v>
      </c>
      <c r="E44" s="1144" t="s">
        <v>1699</v>
      </c>
      <c r="F44" s="1107"/>
      <c r="G44" s="1107"/>
      <c r="H44" s="1107"/>
      <c r="I44" s="1107"/>
      <c r="J44" s="1107"/>
      <c r="K44" s="1107"/>
      <c r="L44" s="1107"/>
      <c r="M44" s="1107"/>
      <c r="N44" s="1107"/>
      <c r="O44" s="1107"/>
      <c r="P44" s="1107"/>
      <c r="Q44" s="1108"/>
      <c r="R44" s="1107"/>
      <c r="S44" s="1107"/>
      <c r="T44" s="2011"/>
      <c r="U44" s="1143" t="s">
        <v>1861</v>
      </c>
      <c r="V44" s="1143" t="s">
        <v>1865</v>
      </c>
      <c r="W44" s="1144" t="s">
        <v>1699</v>
      </c>
      <c r="X44" s="1107"/>
      <c r="Y44" s="1107"/>
      <c r="Z44" s="1107"/>
      <c r="AA44" s="1107"/>
      <c r="AB44" s="1107"/>
      <c r="AC44" s="1107"/>
      <c r="AD44" s="1107"/>
      <c r="AE44" s="1107"/>
      <c r="AF44" s="1107"/>
      <c r="AG44" s="1107"/>
      <c r="AH44" s="1107"/>
      <c r="AI44" s="1108"/>
      <c r="AJ44" s="1107"/>
      <c r="AK44" s="1107"/>
      <c r="AL44" s="1107"/>
      <c r="AM44" s="1107"/>
      <c r="AN44" s="1107"/>
      <c r="AO44" s="1107"/>
      <c r="AP44" s="1107"/>
      <c r="AQ44" s="1107"/>
      <c r="AR44" s="1107"/>
      <c r="AS44" s="1107"/>
      <c r="AT44" s="1107"/>
      <c r="AU44" s="1107"/>
      <c r="AV44" s="1107"/>
      <c r="AW44" s="1107"/>
      <c r="AX44" s="1107"/>
      <c r="AY44" s="1107"/>
      <c r="AZ44" s="1107"/>
      <c r="BA44" s="1107"/>
      <c r="BB44" s="1107"/>
      <c r="BC44" s="1107"/>
      <c r="BD44" s="1107"/>
      <c r="BE44" s="1107"/>
      <c r="BF44" s="1107"/>
      <c r="BG44" s="1107"/>
      <c r="BH44" s="1107"/>
      <c r="BI44" s="1107"/>
      <c r="BJ44" s="1107"/>
      <c r="BK44" s="1107"/>
      <c r="BL44" s="1107"/>
      <c r="BM44" s="1107"/>
      <c r="BN44" s="1107"/>
      <c r="BO44" s="1107"/>
      <c r="BP44" s="1107"/>
      <c r="BQ44" s="1107"/>
      <c r="BR44" s="1107"/>
      <c r="BS44" s="1107"/>
      <c r="BT44" s="1107"/>
      <c r="BU44" s="1107"/>
      <c r="BV44" s="1107"/>
      <c r="BW44" s="1107"/>
      <c r="BX44" s="1107"/>
      <c r="BY44" s="1107"/>
      <c r="BZ44" s="1107"/>
      <c r="CA44" s="1107"/>
      <c r="CB44" s="1107"/>
      <c r="CC44" s="1107"/>
      <c r="CD44" s="1107"/>
      <c r="CE44" s="1107"/>
      <c r="CF44" s="1107"/>
      <c r="CG44" s="1107"/>
      <c r="CH44" s="1107"/>
      <c r="CI44" s="1107"/>
      <c r="CJ44" s="1107"/>
      <c r="CK44" s="1107"/>
    </row>
    <row r="45" spans="1:89" ht="15.75" customHeight="1" thickBot="1" x14ac:dyDescent="0.3">
      <c r="A45" s="1107"/>
      <c r="B45" s="2010"/>
      <c r="C45" s="1145" t="s">
        <v>1861</v>
      </c>
      <c r="D45" s="1145" t="s">
        <v>1866</v>
      </c>
      <c r="E45" s="1146" t="s">
        <v>1867</v>
      </c>
      <c r="F45" s="1107"/>
      <c r="G45" s="1107"/>
      <c r="H45" s="1107"/>
      <c r="I45" s="1107"/>
      <c r="J45" s="1107"/>
      <c r="K45" s="1107"/>
      <c r="L45" s="1107"/>
      <c r="M45" s="1107"/>
      <c r="N45" s="1107"/>
      <c r="O45" s="1107"/>
      <c r="P45" s="1107"/>
      <c r="Q45" s="1108"/>
      <c r="R45" s="1107"/>
      <c r="S45" s="1107"/>
      <c r="T45" s="2010"/>
      <c r="U45" s="1145" t="s">
        <v>1861</v>
      </c>
      <c r="V45" s="1145" t="s">
        <v>1866</v>
      </c>
      <c r="W45" s="1146" t="s">
        <v>1867</v>
      </c>
      <c r="X45" s="1107"/>
      <c r="Y45" s="1107"/>
      <c r="Z45" s="1107"/>
      <c r="AA45" s="1107"/>
      <c r="AB45" s="1107"/>
      <c r="AC45" s="1107"/>
      <c r="AD45" s="1107"/>
      <c r="AE45" s="1107"/>
      <c r="AF45" s="1107"/>
      <c r="AG45" s="1107"/>
      <c r="AH45" s="1107"/>
      <c r="AI45" s="1108"/>
      <c r="AJ45" s="1107"/>
      <c r="AK45" s="1107"/>
      <c r="AL45" s="1107"/>
      <c r="AM45" s="1107"/>
      <c r="AN45" s="1107"/>
      <c r="AO45" s="1107"/>
      <c r="AP45" s="1107"/>
      <c r="AQ45" s="1107"/>
      <c r="AR45" s="1107"/>
      <c r="AS45" s="1107"/>
      <c r="AT45" s="1107"/>
      <c r="AU45" s="1107"/>
      <c r="AV45" s="1107"/>
      <c r="AW45" s="1107"/>
      <c r="AX45" s="1107"/>
      <c r="AY45" s="1107"/>
      <c r="AZ45" s="1107"/>
      <c r="BA45" s="1107"/>
      <c r="BB45" s="1107"/>
      <c r="BC45" s="1107"/>
      <c r="BD45" s="1107"/>
      <c r="BE45" s="1107"/>
      <c r="BF45" s="1107"/>
      <c r="BG45" s="1107"/>
      <c r="BH45" s="1107"/>
      <c r="BI45" s="1107"/>
      <c r="BJ45" s="1107"/>
      <c r="BK45" s="1107"/>
      <c r="BL45" s="1107"/>
      <c r="BM45" s="1107"/>
      <c r="BN45" s="1107"/>
      <c r="BO45" s="1107"/>
      <c r="BP45" s="1107"/>
      <c r="BQ45" s="1107"/>
      <c r="BR45" s="1107"/>
      <c r="BS45" s="1107"/>
      <c r="BT45" s="1107"/>
      <c r="BU45" s="1107"/>
      <c r="BV45" s="1107"/>
      <c r="BW45" s="1107"/>
      <c r="BX45" s="1107"/>
      <c r="BY45" s="1107"/>
      <c r="BZ45" s="1107"/>
      <c r="CA45" s="1107"/>
      <c r="CB45" s="1107"/>
      <c r="CC45" s="1107"/>
      <c r="CD45" s="1107"/>
      <c r="CE45" s="1107"/>
      <c r="CF45" s="1107"/>
      <c r="CG45" s="1107"/>
      <c r="CH45" s="1107"/>
      <c r="CI45" s="1107"/>
      <c r="CJ45" s="1107"/>
      <c r="CK45" s="1107"/>
    </row>
    <row r="46" spans="1:89" ht="15.75" customHeight="1" thickBot="1" x14ac:dyDescent="0.3">
      <c r="A46" s="1107"/>
      <c r="B46" s="2006" t="s">
        <v>1868</v>
      </c>
      <c r="C46" s="1147" t="s">
        <v>1869</v>
      </c>
      <c r="D46" s="1148" t="s">
        <v>1859</v>
      </c>
      <c r="E46" s="1148" t="s">
        <v>131</v>
      </c>
      <c r="F46" s="1148" t="s">
        <v>1860</v>
      </c>
      <c r="G46" s="1148" t="s">
        <v>1870</v>
      </c>
      <c r="H46" s="1149" t="s">
        <v>1871</v>
      </c>
      <c r="I46" s="1150" t="s">
        <v>766</v>
      </c>
      <c r="J46" s="1150" t="s">
        <v>767</v>
      </c>
      <c r="K46" s="1150" t="s">
        <v>768</v>
      </c>
      <c r="L46" s="1150" t="s">
        <v>769</v>
      </c>
      <c r="M46" s="1150" t="s">
        <v>204</v>
      </c>
      <c r="N46" s="1107"/>
      <c r="O46" s="1107"/>
      <c r="P46" s="1107"/>
      <c r="Q46" s="1108"/>
      <c r="R46" s="1107"/>
      <c r="S46" s="1107"/>
      <c r="T46" s="2006" t="s">
        <v>1868</v>
      </c>
      <c r="U46" s="1147" t="s">
        <v>1869</v>
      </c>
      <c r="V46" s="1148" t="s">
        <v>1859</v>
      </c>
      <c r="W46" s="1148" t="s">
        <v>131</v>
      </c>
      <c r="X46" s="1148" t="s">
        <v>1860</v>
      </c>
      <c r="Y46" s="1148" t="s">
        <v>1870</v>
      </c>
      <c r="Z46" s="1149" t="s">
        <v>1871</v>
      </c>
      <c r="AA46" s="1150" t="s">
        <v>766</v>
      </c>
      <c r="AB46" s="1150" t="s">
        <v>767</v>
      </c>
      <c r="AC46" s="1150" t="s">
        <v>768</v>
      </c>
      <c r="AD46" s="1150" t="s">
        <v>769</v>
      </c>
      <c r="AE46" s="1150" t="s">
        <v>204</v>
      </c>
      <c r="AF46" s="1107"/>
      <c r="AG46" s="1107"/>
      <c r="AH46" s="1107"/>
      <c r="AI46" s="1108"/>
      <c r="AJ46" s="1107"/>
      <c r="AK46" s="1107"/>
      <c r="AL46" s="1107"/>
      <c r="AM46" s="1107"/>
      <c r="AN46" s="1107"/>
      <c r="AO46" s="1107"/>
      <c r="AP46" s="1107"/>
      <c r="AQ46" s="1107"/>
      <c r="AR46" s="1107"/>
      <c r="AS46" s="1107"/>
      <c r="AT46" s="1107"/>
      <c r="AU46" s="1107"/>
      <c r="AV46" s="1107"/>
      <c r="AW46" s="1107"/>
      <c r="AX46" s="1107"/>
      <c r="AY46" s="1107"/>
      <c r="AZ46" s="1107"/>
      <c r="BA46" s="1107"/>
      <c r="BB46" s="1107"/>
      <c r="BC46" s="1107"/>
      <c r="BD46" s="1107"/>
      <c r="BE46" s="1107"/>
      <c r="BF46" s="1107"/>
      <c r="BG46" s="1107"/>
      <c r="BH46" s="1107"/>
      <c r="BI46" s="1107"/>
      <c r="BJ46" s="1107"/>
      <c r="BK46" s="1107"/>
      <c r="BL46" s="1107"/>
      <c r="BM46" s="1107"/>
      <c r="BN46" s="1107"/>
      <c r="BO46" s="1107"/>
      <c r="BP46" s="1107"/>
      <c r="BQ46" s="1107"/>
      <c r="BR46" s="1107"/>
      <c r="BS46" s="1107"/>
      <c r="BT46" s="1107"/>
      <c r="BU46" s="1107"/>
      <c r="BV46" s="1107"/>
      <c r="BW46" s="1107"/>
      <c r="BX46" s="1107"/>
      <c r="BY46" s="1107"/>
      <c r="BZ46" s="1107"/>
      <c r="CA46" s="1107"/>
      <c r="CB46" s="1107"/>
      <c r="CC46" s="1107"/>
      <c r="CD46" s="1107"/>
      <c r="CE46" s="1107"/>
      <c r="CF46" s="1107"/>
      <c r="CG46" s="1107"/>
      <c r="CH46" s="1107"/>
      <c r="CI46" s="1107"/>
      <c r="CJ46" s="1107"/>
      <c r="CK46" s="1107"/>
    </row>
    <row r="47" spans="1:89" x14ac:dyDescent="0.25">
      <c r="A47" s="1107"/>
      <c r="B47" s="2008"/>
      <c r="C47" s="1151">
        <v>1</v>
      </c>
      <c r="D47" s="1144" t="s">
        <v>1872</v>
      </c>
      <c r="E47" s="1144" t="s">
        <v>1426</v>
      </c>
      <c r="F47" s="1193" t="str">
        <f>'Required Info to Submit'!E23</f>
        <v/>
      </c>
      <c r="G47" s="1420" t="str">
        <f>IF(F47="","",'Required Info to Submit'!K23)</f>
        <v/>
      </c>
      <c r="H47" s="1421" t="str">
        <f>IF(F47="","",'Required Info to Submit'!L23)</f>
        <v/>
      </c>
      <c r="I47" s="1193" t="str">
        <f>'Required Info to Submit'!F23</f>
        <v/>
      </c>
      <c r="J47" s="1193" t="str">
        <f>'Required Info to Submit'!G23</f>
        <v/>
      </c>
      <c r="K47" s="1193" t="str">
        <f>'Required Info to Submit'!H23</f>
        <v/>
      </c>
      <c r="L47" s="1193" t="str">
        <f>'Required Info to Submit'!I23</f>
        <v/>
      </c>
      <c r="M47" s="1193" t="str">
        <f>'Required Info to Submit'!J23</f>
        <v/>
      </c>
      <c r="N47" s="1107"/>
      <c r="O47" s="1107"/>
      <c r="P47" s="1107"/>
      <c r="Q47" s="1108"/>
      <c r="R47" s="1107"/>
      <c r="S47" s="1107"/>
      <c r="T47" s="2008"/>
      <c r="U47" s="1151">
        <v>1</v>
      </c>
      <c r="V47" s="1144" t="s">
        <v>1872</v>
      </c>
      <c r="W47" s="1144" t="s">
        <v>1426</v>
      </c>
      <c r="X47" s="1144" t="str">
        <f>'Required Info to Submit'!E23</f>
        <v/>
      </c>
      <c r="Y47" s="1414" t="str">
        <f>IF(X47="","",'Required Info to Submit'!K23)</f>
        <v/>
      </c>
      <c r="Z47" s="1415" t="str">
        <f>IF(X47="","",'Required Info to Submit'!L23)</f>
        <v/>
      </c>
      <c r="AA47" s="1144" t="str">
        <f>'Required Info to Submit'!F23</f>
        <v/>
      </c>
      <c r="AB47" s="1144" t="str">
        <f>'Required Info to Submit'!G23</f>
        <v/>
      </c>
      <c r="AC47" s="1144" t="str">
        <f>'Required Info to Submit'!H23</f>
        <v/>
      </c>
      <c r="AD47" s="1144" t="str">
        <f>'Required Info to Submit'!I23</f>
        <v/>
      </c>
      <c r="AE47" s="1144" t="str">
        <f>'Required Info to Submit'!J23</f>
        <v/>
      </c>
      <c r="AF47" s="1107"/>
      <c r="AG47" s="1107"/>
      <c r="AH47" s="1107"/>
      <c r="AI47" s="1108"/>
      <c r="AJ47" s="1107"/>
      <c r="AK47" s="1107"/>
      <c r="AL47" s="1107"/>
      <c r="AM47" s="1107"/>
      <c r="AN47" s="1107"/>
      <c r="AO47" s="1107"/>
      <c r="AP47" s="1107"/>
      <c r="AQ47" s="1107"/>
      <c r="AR47" s="1107"/>
      <c r="AS47" s="1107"/>
      <c r="AT47" s="1107"/>
      <c r="AU47" s="1107"/>
      <c r="AV47" s="1107"/>
      <c r="AW47" s="1107"/>
      <c r="AX47" s="1107"/>
      <c r="AY47" s="1107"/>
      <c r="AZ47" s="1107"/>
      <c r="BA47" s="1107"/>
      <c r="BB47" s="1107"/>
      <c r="BC47" s="1107"/>
      <c r="BD47" s="1107"/>
      <c r="BE47" s="1107"/>
      <c r="BF47" s="1107"/>
      <c r="BG47" s="1107"/>
      <c r="BH47" s="1107"/>
      <c r="BI47" s="1107"/>
      <c r="BJ47" s="1107"/>
      <c r="BK47" s="1107"/>
      <c r="BL47" s="1107"/>
      <c r="BM47" s="1107"/>
      <c r="BN47" s="1107"/>
      <c r="BO47" s="1107"/>
      <c r="BP47" s="1107"/>
      <c r="BQ47" s="1107"/>
      <c r="BR47" s="1107"/>
      <c r="BS47" s="1107"/>
      <c r="BT47" s="1107"/>
      <c r="BU47" s="1107"/>
      <c r="BV47" s="1107"/>
      <c r="BW47" s="1107"/>
      <c r="BX47" s="1107"/>
      <c r="BY47" s="1107"/>
      <c r="BZ47" s="1107"/>
      <c r="CA47" s="1107"/>
      <c r="CB47" s="1107"/>
      <c r="CC47" s="1107"/>
      <c r="CD47" s="1107"/>
      <c r="CE47" s="1107"/>
      <c r="CF47" s="1107"/>
      <c r="CG47" s="1107"/>
      <c r="CH47" s="1107"/>
      <c r="CI47" s="1107"/>
      <c r="CJ47" s="1107"/>
      <c r="CK47" s="1107"/>
    </row>
    <row r="48" spans="1:89" x14ac:dyDescent="0.25">
      <c r="A48" s="1107"/>
      <c r="B48" s="2008"/>
      <c r="C48" s="1154">
        <v>2</v>
      </c>
      <c r="D48" s="1144" t="s">
        <v>1872</v>
      </c>
      <c r="E48" s="1144" t="s">
        <v>1426</v>
      </c>
      <c r="F48" s="1193" t="str">
        <f>'Required Info to Submit'!E24</f>
        <v/>
      </c>
      <c r="G48" s="1420" t="str">
        <f>IF(F48="","",'Required Info to Submit'!K24)</f>
        <v/>
      </c>
      <c r="H48" s="1421" t="str">
        <f>IF(F48="","",'Required Info to Submit'!L24)</f>
        <v/>
      </c>
      <c r="I48" s="1193" t="str">
        <f>'Required Info to Submit'!F24</f>
        <v/>
      </c>
      <c r="J48" s="1193" t="str">
        <f>'Required Info to Submit'!G24</f>
        <v/>
      </c>
      <c r="K48" s="1193" t="str">
        <f>'Required Info to Submit'!H24</f>
        <v/>
      </c>
      <c r="L48" s="1193" t="str">
        <f>'Required Info to Submit'!I24</f>
        <v/>
      </c>
      <c r="M48" s="1193" t="str">
        <f>'Required Info to Submit'!J24</f>
        <v/>
      </c>
      <c r="N48" s="1107"/>
      <c r="O48" s="1107"/>
      <c r="P48" s="1107"/>
      <c r="Q48" s="1108"/>
      <c r="R48" s="1107"/>
      <c r="S48" s="1107"/>
      <c r="T48" s="2008"/>
      <c r="U48" s="1154">
        <v>2</v>
      </c>
      <c r="V48" s="1144" t="s">
        <v>1872</v>
      </c>
      <c r="W48" s="1144" t="s">
        <v>1426</v>
      </c>
      <c r="X48" s="1144" t="str">
        <f>'Required Info to Submit'!E24</f>
        <v/>
      </c>
      <c r="Y48" s="1414" t="str">
        <f>IF(X48="","",'Required Info to Submit'!K24)</f>
        <v/>
      </c>
      <c r="Z48" s="1415" t="str">
        <f>IF(X48="","",'Required Info to Submit'!L24)</f>
        <v/>
      </c>
      <c r="AA48" s="1144" t="str">
        <f>'Required Info to Submit'!F24</f>
        <v/>
      </c>
      <c r="AB48" s="1144" t="str">
        <f>'Required Info to Submit'!G24</f>
        <v/>
      </c>
      <c r="AC48" s="1144" t="str">
        <f>'Required Info to Submit'!H24</f>
        <v/>
      </c>
      <c r="AD48" s="1144" t="str">
        <f>'Required Info to Submit'!I24</f>
        <v/>
      </c>
      <c r="AE48" s="1144" t="str">
        <f>'Required Info to Submit'!J24</f>
        <v/>
      </c>
      <c r="AF48" s="1107"/>
      <c r="AG48" s="1107"/>
      <c r="AH48" s="1107"/>
      <c r="AI48" s="1108"/>
      <c r="AJ48" s="1107"/>
      <c r="AK48" s="1107"/>
      <c r="AL48" s="1107"/>
      <c r="AM48" s="1107"/>
      <c r="AN48" s="1107"/>
      <c r="AO48" s="1107"/>
      <c r="AP48" s="1107"/>
      <c r="AQ48" s="1107"/>
      <c r="AR48" s="1107"/>
      <c r="AS48" s="1107"/>
      <c r="AT48" s="1107"/>
      <c r="AU48" s="1107"/>
      <c r="AV48" s="1107"/>
      <c r="AW48" s="1107"/>
      <c r="AX48" s="1107"/>
      <c r="AY48" s="1107"/>
      <c r="AZ48" s="1107"/>
      <c r="BA48" s="1107"/>
      <c r="BB48" s="1107"/>
      <c r="BC48" s="1107"/>
      <c r="BD48" s="1107"/>
      <c r="BE48" s="1107"/>
      <c r="BF48" s="1107"/>
      <c r="BG48" s="1107"/>
      <c r="BH48" s="1107"/>
      <c r="BI48" s="1107"/>
      <c r="BJ48" s="1107"/>
      <c r="BK48" s="1107"/>
      <c r="BL48" s="1107"/>
      <c r="BM48" s="1107"/>
      <c r="BN48" s="1107"/>
      <c r="BO48" s="1107"/>
      <c r="BP48" s="1107"/>
      <c r="BQ48" s="1107"/>
      <c r="BR48" s="1107"/>
      <c r="BS48" s="1107"/>
      <c r="BT48" s="1107"/>
      <c r="BU48" s="1107"/>
      <c r="BV48" s="1107"/>
      <c r="BW48" s="1107"/>
      <c r="BX48" s="1107"/>
      <c r="BY48" s="1107"/>
      <c r="BZ48" s="1107"/>
      <c r="CA48" s="1107"/>
      <c r="CB48" s="1107"/>
      <c r="CC48" s="1107"/>
      <c r="CD48" s="1107"/>
      <c r="CE48" s="1107"/>
      <c r="CF48" s="1107"/>
      <c r="CG48" s="1107"/>
      <c r="CH48" s="1107"/>
      <c r="CI48" s="1107"/>
      <c r="CJ48" s="1107"/>
      <c r="CK48" s="1107"/>
    </row>
    <row r="49" spans="1:89" x14ac:dyDescent="0.25">
      <c r="A49" s="1107"/>
      <c r="B49" s="2008"/>
      <c r="C49" s="1154">
        <v>3</v>
      </c>
      <c r="D49" s="1144" t="s">
        <v>1872</v>
      </c>
      <c r="E49" s="1144" t="s">
        <v>1426</v>
      </c>
      <c r="F49" s="1193" t="str">
        <f>'Required Info to Submit'!E25</f>
        <v/>
      </c>
      <c r="G49" s="1420" t="str">
        <f>IF(F49="","",'Required Info to Submit'!K25)</f>
        <v/>
      </c>
      <c r="H49" s="1421" t="str">
        <f>IF(F49="","",'Required Info to Submit'!L25)</f>
        <v/>
      </c>
      <c r="I49" s="1193" t="str">
        <f>'Required Info to Submit'!F25</f>
        <v/>
      </c>
      <c r="J49" s="1193" t="str">
        <f>'Required Info to Submit'!G25</f>
        <v/>
      </c>
      <c r="K49" s="1193" t="str">
        <f>'Required Info to Submit'!H25</f>
        <v/>
      </c>
      <c r="L49" s="1193" t="str">
        <f>'Required Info to Submit'!I25</f>
        <v/>
      </c>
      <c r="M49" s="1193" t="str">
        <f>'Required Info to Submit'!J25</f>
        <v/>
      </c>
      <c r="N49" s="1107"/>
      <c r="O49" s="1107"/>
      <c r="P49" s="1107"/>
      <c r="Q49" s="1108"/>
      <c r="R49" s="1107"/>
      <c r="S49" s="1107"/>
      <c r="T49" s="2008"/>
      <c r="U49" s="1154">
        <v>3</v>
      </c>
      <c r="V49" s="1144" t="s">
        <v>1872</v>
      </c>
      <c r="W49" s="1144" t="s">
        <v>1426</v>
      </c>
      <c r="X49" s="1144" t="str">
        <f>'Required Info to Submit'!E25</f>
        <v/>
      </c>
      <c r="Y49" s="1414" t="str">
        <f>IF(X49="","",'Required Info to Submit'!K25)</f>
        <v/>
      </c>
      <c r="Z49" s="1415" t="str">
        <f>IF(X49="","",'Required Info to Submit'!L25)</f>
        <v/>
      </c>
      <c r="AA49" s="1144" t="str">
        <f>'Required Info to Submit'!F25</f>
        <v/>
      </c>
      <c r="AB49" s="1144" t="str">
        <f>'Required Info to Submit'!G25</f>
        <v/>
      </c>
      <c r="AC49" s="1144" t="str">
        <f>'Required Info to Submit'!H25</f>
        <v/>
      </c>
      <c r="AD49" s="1144" t="str">
        <f>'Required Info to Submit'!I25</f>
        <v/>
      </c>
      <c r="AE49" s="1144" t="str">
        <f>'Required Info to Submit'!J25</f>
        <v/>
      </c>
      <c r="AF49" s="1107"/>
      <c r="AG49" s="1107"/>
      <c r="AH49" s="1107"/>
      <c r="AI49" s="1108"/>
      <c r="AJ49" s="1107"/>
      <c r="AK49" s="1107"/>
      <c r="AL49" s="1107"/>
      <c r="AM49" s="1107"/>
      <c r="AN49" s="1107"/>
      <c r="AO49" s="1107"/>
      <c r="AP49" s="1107"/>
      <c r="AQ49" s="1107"/>
      <c r="AR49" s="1107"/>
      <c r="AS49" s="1107"/>
      <c r="AT49" s="1107"/>
      <c r="AU49" s="1107"/>
      <c r="AV49" s="1107"/>
      <c r="AW49" s="1107"/>
      <c r="AX49" s="1107"/>
      <c r="AY49" s="1107"/>
      <c r="AZ49" s="1107"/>
      <c r="BA49" s="1107"/>
      <c r="BB49" s="1107"/>
      <c r="BC49" s="1107"/>
      <c r="BD49" s="1107"/>
      <c r="BE49" s="1107"/>
      <c r="BF49" s="1107"/>
      <c r="BG49" s="1107"/>
      <c r="BH49" s="1107"/>
      <c r="BI49" s="1107"/>
      <c r="BJ49" s="1107"/>
      <c r="BK49" s="1107"/>
      <c r="BL49" s="1107"/>
      <c r="BM49" s="1107"/>
      <c r="BN49" s="1107"/>
      <c r="BO49" s="1107"/>
      <c r="BP49" s="1107"/>
      <c r="BQ49" s="1107"/>
      <c r="BR49" s="1107"/>
      <c r="BS49" s="1107"/>
      <c r="BT49" s="1107"/>
      <c r="BU49" s="1107"/>
      <c r="BV49" s="1107"/>
      <c r="BW49" s="1107"/>
      <c r="BX49" s="1107"/>
      <c r="BY49" s="1107"/>
      <c r="BZ49" s="1107"/>
      <c r="CA49" s="1107"/>
      <c r="CB49" s="1107"/>
      <c r="CC49" s="1107"/>
      <c r="CD49" s="1107"/>
      <c r="CE49" s="1107"/>
      <c r="CF49" s="1107"/>
      <c r="CG49" s="1107"/>
      <c r="CH49" s="1107"/>
      <c r="CI49" s="1107"/>
      <c r="CJ49" s="1107"/>
      <c r="CK49" s="1107"/>
    </row>
    <row r="50" spans="1:89" x14ac:dyDescent="0.25">
      <c r="A50" s="1107"/>
      <c r="B50" s="2008"/>
      <c r="C50" s="1154">
        <v>4</v>
      </c>
      <c r="D50" s="1144" t="s">
        <v>1872</v>
      </c>
      <c r="E50" s="1144" t="s">
        <v>1426</v>
      </c>
      <c r="F50" s="1193" t="str">
        <f>'Required Info to Submit'!E26</f>
        <v/>
      </c>
      <c r="G50" s="1420" t="str">
        <f>IF(F50="","",'Required Info to Submit'!K26)</f>
        <v/>
      </c>
      <c r="H50" s="1421" t="str">
        <f>IF(F50="","",'Required Info to Submit'!L26)</f>
        <v/>
      </c>
      <c r="I50" s="1193" t="str">
        <f>'Required Info to Submit'!F26</f>
        <v/>
      </c>
      <c r="J50" s="1193" t="str">
        <f>'Required Info to Submit'!G26</f>
        <v/>
      </c>
      <c r="K50" s="1193" t="str">
        <f>'Required Info to Submit'!H26</f>
        <v/>
      </c>
      <c r="L50" s="1193" t="str">
        <f>'Required Info to Submit'!I26</f>
        <v/>
      </c>
      <c r="M50" s="1193" t="str">
        <f>'Required Info to Submit'!J26</f>
        <v/>
      </c>
      <c r="N50" s="1107"/>
      <c r="O50" s="1107"/>
      <c r="P50" s="1107"/>
      <c r="Q50" s="1108"/>
      <c r="R50" s="1107"/>
      <c r="S50" s="1107"/>
      <c r="T50" s="2008"/>
      <c r="U50" s="1154">
        <v>4</v>
      </c>
      <c r="V50" s="1144" t="s">
        <v>1872</v>
      </c>
      <c r="W50" s="1144" t="s">
        <v>1426</v>
      </c>
      <c r="X50" s="1144" t="str">
        <f>'Required Info to Submit'!E26</f>
        <v/>
      </c>
      <c r="Y50" s="1414" t="str">
        <f>IF(X50="","",'Required Info to Submit'!K26)</f>
        <v/>
      </c>
      <c r="Z50" s="1415" t="str">
        <f>IF(X50="","",'Required Info to Submit'!L26)</f>
        <v/>
      </c>
      <c r="AA50" s="1144" t="str">
        <f>'Required Info to Submit'!F26</f>
        <v/>
      </c>
      <c r="AB50" s="1144" t="str">
        <f>'Required Info to Submit'!G26</f>
        <v/>
      </c>
      <c r="AC50" s="1144" t="str">
        <f>'Required Info to Submit'!H26</f>
        <v/>
      </c>
      <c r="AD50" s="1144" t="str">
        <f>'Required Info to Submit'!I26</f>
        <v/>
      </c>
      <c r="AE50" s="1144" t="str">
        <f>'Required Info to Submit'!J26</f>
        <v/>
      </c>
      <c r="AF50" s="1107"/>
      <c r="AG50" s="1107"/>
      <c r="AH50" s="1107"/>
      <c r="AI50" s="1108"/>
      <c r="AJ50" s="1107"/>
      <c r="AK50" s="1107"/>
      <c r="AL50" s="1107"/>
      <c r="AM50" s="1107"/>
      <c r="AN50" s="1107"/>
      <c r="AO50" s="1107"/>
      <c r="AP50" s="1107"/>
      <c r="AQ50" s="1107"/>
      <c r="AR50" s="1107"/>
      <c r="AS50" s="1107"/>
      <c r="AT50" s="1107"/>
      <c r="AU50" s="1107"/>
      <c r="AV50" s="1107"/>
      <c r="AW50" s="1107"/>
      <c r="AX50" s="1107"/>
      <c r="AY50" s="1107"/>
      <c r="AZ50" s="1107"/>
      <c r="BA50" s="1107"/>
      <c r="BB50" s="1107"/>
      <c r="BC50" s="1107"/>
      <c r="BD50" s="1107"/>
      <c r="BE50" s="1107"/>
      <c r="BF50" s="1107"/>
      <c r="BG50" s="1107"/>
      <c r="BH50" s="1107"/>
      <c r="BI50" s="1107"/>
      <c r="BJ50" s="1107"/>
      <c r="BK50" s="1107"/>
      <c r="BL50" s="1107"/>
      <c r="BM50" s="1107"/>
      <c r="BN50" s="1107"/>
      <c r="BO50" s="1107"/>
      <c r="BP50" s="1107"/>
      <c r="BQ50" s="1107"/>
      <c r="BR50" s="1107"/>
      <c r="BS50" s="1107"/>
      <c r="BT50" s="1107"/>
      <c r="BU50" s="1107"/>
      <c r="BV50" s="1107"/>
      <c r="BW50" s="1107"/>
      <c r="BX50" s="1107"/>
      <c r="BY50" s="1107"/>
      <c r="BZ50" s="1107"/>
      <c r="CA50" s="1107"/>
      <c r="CB50" s="1107"/>
      <c r="CC50" s="1107"/>
      <c r="CD50" s="1107"/>
      <c r="CE50" s="1107"/>
      <c r="CF50" s="1107"/>
      <c r="CG50" s="1107"/>
      <c r="CH50" s="1107"/>
      <c r="CI50" s="1107"/>
      <c r="CJ50" s="1107"/>
      <c r="CK50" s="1107"/>
    </row>
    <row r="51" spans="1:89" x14ac:dyDescent="0.25">
      <c r="A51" s="1107"/>
      <c r="B51" s="2008"/>
      <c r="C51" s="1154">
        <v>5</v>
      </c>
      <c r="D51" s="1144" t="s">
        <v>1872</v>
      </c>
      <c r="E51" s="1144" t="s">
        <v>1426</v>
      </c>
      <c r="F51" s="1193" t="str">
        <f>'Required Info to Submit'!E27</f>
        <v/>
      </c>
      <c r="G51" s="1420" t="str">
        <f>IF(F51="","",'Required Info to Submit'!K27)</f>
        <v/>
      </c>
      <c r="H51" s="1421" t="str">
        <f>IF(F51="","",'Required Info to Submit'!L27)</f>
        <v/>
      </c>
      <c r="I51" s="1193" t="str">
        <f>'Required Info to Submit'!F27</f>
        <v/>
      </c>
      <c r="J51" s="1193" t="str">
        <f>'Required Info to Submit'!G27</f>
        <v/>
      </c>
      <c r="K51" s="1193" t="str">
        <f>'Required Info to Submit'!H27</f>
        <v/>
      </c>
      <c r="L51" s="1193" t="str">
        <f>'Required Info to Submit'!I27</f>
        <v/>
      </c>
      <c r="M51" s="1193" t="str">
        <f>'Required Info to Submit'!J27</f>
        <v/>
      </c>
      <c r="N51" s="1107"/>
      <c r="O51" s="1107"/>
      <c r="P51" s="1107"/>
      <c r="Q51" s="1108"/>
      <c r="R51" s="1107"/>
      <c r="S51" s="1107"/>
      <c r="T51" s="2008"/>
      <c r="U51" s="1154">
        <v>5</v>
      </c>
      <c r="V51" s="1144" t="s">
        <v>1872</v>
      </c>
      <c r="W51" s="1144" t="s">
        <v>1426</v>
      </c>
      <c r="X51" s="1144" t="str">
        <f>'Required Info to Submit'!E27</f>
        <v/>
      </c>
      <c r="Y51" s="1414" t="str">
        <f>IF(X51="","",'Required Info to Submit'!K27)</f>
        <v/>
      </c>
      <c r="Z51" s="1415" t="str">
        <f>IF(X51="","",'Required Info to Submit'!L27)</f>
        <v/>
      </c>
      <c r="AA51" s="1144" t="str">
        <f>'Required Info to Submit'!F27</f>
        <v/>
      </c>
      <c r="AB51" s="1144" t="str">
        <f>'Required Info to Submit'!G27</f>
        <v/>
      </c>
      <c r="AC51" s="1144" t="str">
        <f>'Required Info to Submit'!H27</f>
        <v/>
      </c>
      <c r="AD51" s="1144" t="str">
        <f>'Required Info to Submit'!I27</f>
        <v/>
      </c>
      <c r="AE51" s="1144" t="str">
        <f>'Required Info to Submit'!J27</f>
        <v/>
      </c>
      <c r="AF51" s="1107"/>
      <c r="AG51" s="1107"/>
      <c r="AH51" s="1107"/>
      <c r="AI51" s="1108"/>
      <c r="AJ51" s="1107"/>
      <c r="AK51" s="1107"/>
      <c r="AL51" s="1107"/>
      <c r="AM51" s="1107"/>
      <c r="AN51" s="1107"/>
      <c r="AO51" s="1107"/>
      <c r="AP51" s="1107"/>
      <c r="AQ51" s="1107"/>
      <c r="AR51" s="1107"/>
      <c r="AS51" s="1107"/>
      <c r="AT51" s="1107"/>
      <c r="AU51" s="1107"/>
      <c r="AV51" s="1107"/>
      <c r="AW51" s="1107"/>
      <c r="AX51" s="1107"/>
      <c r="AY51" s="1107"/>
      <c r="AZ51" s="1107"/>
      <c r="BA51" s="1107"/>
      <c r="BB51" s="1107"/>
      <c r="BC51" s="1107"/>
      <c r="BD51" s="1107"/>
      <c r="BE51" s="1107"/>
      <c r="BF51" s="1107"/>
      <c r="BG51" s="1107"/>
      <c r="BH51" s="1107"/>
      <c r="BI51" s="1107"/>
      <c r="BJ51" s="1107"/>
      <c r="BK51" s="1107"/>
      <c r="BL51" s="1107"/>
      <c r="BM51" s="1107"/>
      <c r="BN51" s="1107"/>
      <c r="BO51" s="1107"/>
      <c r="BP51" s="1107"/>
      <c r="BQ51" s="1107"/>
      <c r="BR51" s="1107"/>
      <c r="BS51" s="1107"/>
      <c r="BT51" s="1107"/>
      <c r="BU51" s="1107"/>
      <c r="BV51" s="1107"/>
      <c r="BW51" s="1107"/>
      <c r="BX51" s="1107"/>
      <c r="BY51" s="1107"/>
      <c r="BZ51" s="1107"/>
      <c r="CA51" s="1107"/>
      <c r="CB51" s="1107"/>
      <c r="CC51" s="1107"/>
      <c r="CD51" s="1107"/>
      <c r="CE51" s="1107"/>
      <c r="CF51" s="1107"/>
      <c r="CG51" s="1107"/>
      <c r="CH51" s="1107"/>
      <c r="CI51" s="1107"/>
      <c r="CJ51" s="1107"/>
      <c r="CK51" s="1107"/>
    </row>
    <row r="52" spans="1:89" x14ac:dyDescent="0.25">
      <c r="A52" s="1107"/>
      <c r="B52" s="2008"/>
      <c r="C52" s="1154">
        <v>6</v>
      </c>
      <c r="D52" s="1144" t="s">
        <v>1872</v>
      </c>
      <c r="E52" s="1144" t="s">
        <v>1426</v>
      </c>
      <c r="F52" s="1193" t="str">
        <f>'Required Info to Submit'!E28</f>
        <v/>
      </c>
      <c r="G52" s="1420" t="str">
        <f>IF(F52="","",'Required Info to Submit'!K28)</f>
        <v/>
      </c>
      <c r="H52" s="1421" t="str">
        <f>IF(F52="","",'Required Info to Submit'!L28)</f>
        <v/>
      </c>
      <c r="I52" s="1193" t="str">
        <f>'Required Info to Submit'!F28</f>
        <v/>
      </c>
      <c r="J52" s="1193" t="str">
        <f>'Required Info to Submit'!G28</f>
        <v/>
      </c>
      <c r="K52" s="1193" t="str">
        <f>'Required Info to Submit'!H28</f>
        <v/>
      </c>
      <c r="L52" s="1193" t="str">
        <f>'Required Info to Submit'!I28</f>
        <v/>
      </c>
      <c r="M52" s="1193" t="str">
        <f>'Required Info to Submit'!J28</f>
        <v/>
      </c>
      <c r="N52" s="1107"/>
      <c r="O52" s="1107"/>
      <c r="P52" s="1107"/>
      <c r="Q52" s="1108"/>
      <c r="R52" s="1107"/>
      <c r="S52" s="1107"/>
      <c r="T52" s="2008"/>
      <c r="U52" s="1154">
        <v>6</v>
      </c>
      <c r="V52" s="1144" t="s">
        <v>1872</v>
      </c>
      <c r="W52" s="1144" t="s">
        <v>1426</v>
      </c>
      <c r="X52" s="1144" t="str">
        <f>'Required Info to Submit'!E28</f>
        <v/>
      </c>
      <c r="Y52" s="1414" t="str">
        <f>IF(X52="","",'Required Info to Submit'!K28)</f>
        <v/>
      </c>
      <c r="Z52" s="1415" t="str">
        <f>IF(X52="","",'Required Info to Submit'!L28)</f>
        <v/>
      </c>
      <c r="AA52" s="1144" t="str">
        <f>'Required Info to Submit'!F28</f>
        <v/>
      </c>
      <c r="AB52" s="1144" t="str">
        <f>'Required Info to Submit'!G28</f>
        <v/>
      </c>
      <c r="AC52" s="1144" t="str">
        <f>'Required Info to Submit'!H28</f>
        <v/>
      </c>
      <c r="AD52" s="1144" t="str">
        <f>'Required Info to Submit'!I28</f>
        <v/>
      </c>
      <c r="AE52" s="1144" t="str">
        <f>'Required Info to Submit'!J28</f>
        <v/>
      </c>
      <c r="AF52" s="1107"/>
      <c r="AG52" s="1107"/>
      <c r="AH52" s="1107"/>
      <c r="AI52" s="1108"/>
      <c r="AJ52" s="1107"/>
      <c r="AK52" s="1107"/>
      <c r="AL52" s="1107"/>
      <c r="AM52" s="1107"/>
      <c r="AN52" s="1107"/>
      <c r="AO52" s="1107"/>
      <c r="AP52" s="1107"/>
      <c r="AQ52" s="1107"/>
      <c r="AR52" s="1107"/>
      <c r="AS52" s="1107"/>
      <c r="AT52" s="1107"/>
      <c r="AU52" s="1107"/>
      <c r="AV52" s="1107"/>
      <c r="AW52" s="1107"/>
      <c r="AX52" s="1107"/>
      <c r="AY52" s="1107"/>
      <c r="AZ52" s="1107"/>
      <c r="BA52" s="1107"/>
      <c r="BB52" s="1107"/>
      <c r="BC52" s="1107"/>
      <c r="BD52" s="1107"/>
      <c r="BE52" s="1107"/>
      <c r="BF52" s="1107"/>
      <c r="BG52" s="1107"/>
      <c r="BH52" s="1107"/>
      <c r="BI52" s="1107"/>
      <c r="BJ52" s="1107"/>
      <c r="BK52" s="1107"/>
      <c r="BL52" s="1107"/>
      <c r="BM52" s="1107"/>
      <c r="BN52" s="1107"/>
      <c r="BO52" s="1107"/>
      <c r="BP52" s="1107"/>
      <c r="BQ52" s="1107"/>
      <c r="BR52" s="1107"/>
      <c r="BS52" s="1107"/>
      <c r="BT52" s="1107"/>
      <c r="BU52" s="1107"/>
      <c r="BV52" s="1107"/>
      <c r="BW52" s="1107"/>
      <c r="BX52" s="1107"/>
      <c r="BY52" s="1107"/>
      <c r="BZ52" s="1107"/>
      <c r="CA52" s="1107"/>
      <c r="CB52" s="1107"/>
      <c r="CC52" s="1107"/>
      <c r="CD52" s="1107"/>
      <c r="CE52" s="1107"/>
      <c r="CF52" s="1107"/>
      <c r="CG52" s="1107"/>
      <c r="CH52" s="1107"/>
      <c r="CI52" s="1107"/>
      <c r="CJ52" s="1107"/>
      <c r="CK52" s="1107"/>
    </row>
    <row r="53" spans="1:89" x14ac:dyDescent="0.25">
      <c r="A53" s="1107"/>
      <c r="B53" s="2008"/>
      <c r="C53" s="1154">
        <v>7</v>
      </c>
      <c r="D53" s="1144" t="s">
        <v>1872</v>
      </c>
      <c r="E53" s="1144" t="s">
        <v>1426</v>
      </c>
      <c r="F53" s="1193" t="str">
        <f>'Required Info to Submit'!E29</f>
        <v/>
      </c>
      <c r="G53" s="1420" t="str">
        <f>IF(F53="","",'Required Info to Submit'!K29)</f>
        <v/>
      </c>
      <c r="H53" s="1421" t="str">
        <f>IF(F53="","",'Required Info to Submit'!L29)</f>
        <v/>
      </c>
      <c r="I53" s="1193" t="str">
        <f>'Required Info to Submit'!F29</f>
        <v/>
      </c>
      <c r="J53" s="1193" t="str">
        <f>'Required Info to Submit'!G29</f>
        <v/>
      </c>
      <c r="K53" s="1193" t="str">
        <f>'Required Info to Submit'!H29</f>
        <v/>
      </c>
      <c r="L53" s="1193" t="str">
        <f>'Required Info to Submit'!I29</f>
        <v/>
      </c>
      <c r="M53" s="1193" t="str">
        <f>'Required Info to Submit'!J29</f>
        <v/>
      </c>
      <c r="N53" s="1107"/>
      <c r="O53" s="1107"/>
      <c r="P53" s="1107"/>
      <c r="Q53" s="1108"/>
      <c r="R53" s="1107"/>
      <c r="S53" s="1107"/>
      <c r="T53" s="2008"/>
      <c r="U53" s="1154">
        <v>7</v>
      </c>
      <c r="V53" s="1144" t="s">
        <v>1872</v>
      </c>
      <c r="W53" s="1144" t="s">
        <v>1426</v>
      </c>
      <c r="X53" s="1144" t="str">
        <f>'Required Info to Submit'!E29</f>
        <v/>
      </c>
      <c r="Y53" s="1414" t="str">
        <f>IF(X53="","",'Required Info to Submit'!K29)</f>
        <v/>
      </c>
      <c r="Z53" s="1415" t="str">
        <f>IF(X53="","",'Required Info to Submit'!L29)</f>
        <v/>
      </c>
      <c r="AA53" s="1144" t="str">
        <f>'Required Info to Submit'!F29</f>
        <v/>
      </c>
      <c r="AB53" s="1144" t="str">
        <f>'Required Info to Submit'!G29</f>
        <v/>
      </c>
      <c r="AC53" s="1144" t="str">
        <f>'Required Info to Submit'!H29</f>
        <v/>
      </c>
      <c r="AD53" s="1144" t="str">
        <f>'Required Info to Submit'!I29</f>
        <v/>
      </c>
      <c r="AE53" s="1144" t="str">
        <f>'Required Info to Submit'!J29</f>
        <v/>
      </c>
      <c r="AF53" s="1107"/>
      <c r="AG53" s="1107"/>
      <c r="AH53" s="1107"/>
      <c r="AI53" s="1108"/>
      <c r="AJ53" s="1107"/>
      <c r="AK53" s="1107"/>
      <c r="AL53" s="1107"/>
      <c r="AM53" s="1107"/>
      <c r="AN53" s="1107"/>
      <c r="AO53" s="1107"/>
      <c r="AP53" s="1107"/>
      <c r="AQ53" s="1107"/>
      <c r="AR53" s="1107"/>
      <c r="AS53" s="1107"/>
      <c r="AT53" s="1107"/>
      <c r="AU53" s="1107"/>
      <c r="AV53" s="1107"/>
      <c r="AW53" s="1107"/>
      <c r="AX53" s="1107"/>
      <c r="AY53" s="1107"/>
      <c r="AZ53" s="1107"/>
      <c r="BA53" s="1107"/>
      <c r="BB53" s="1107"/>
      <c r="BC53" s="1107"/>
      <c r="BD53" s="1107"/>
      <c r="BE53" s="1107"/>
      <c r="BF53" s="1107"/>
      <c r="BG53" s="1107"/>
      <c r="BH53" s="1107"/>
      <c r="BI53" s="1107"/>
      <c r="BJ53" s="1107"/>
      <c r="BK53" s="1107"/>
      <c r="BL53" s="1107"/>
      <c r="BM53" s="1107"/>
      <c r="BN53" s="1107"/>
      <c r="BO53" s="1107"/>
      <c r="BP53" s="1107"/>
      <c r="BQ53" s="1107"/>
      <c r="BR53" s="1107"/>
      <c r="BS53" s="1107"/>
      <c r="BT53" s="1107"/>
      <c r="BU53" s="1107"/>
      <c r="BV53" s="1107"/>
      <c r="BW53" s="1107"/>
      <c r="BX53" s="1107"/>
      <c r="BY53" s="1107"/>
      <c r="BZ53" s="1107"/>
      <c r="CA53" s="1107"/>
      <c r="CB53" s="1107"/>
      <c r="CC53" s="1107"/>
      <c r="CD53" s="1107"/>
      <c r="CE53" s="1107"/>
      <c r="CF53" s="1107"/>
      <c r="CG53" s="1107"/>
      <c r="CH53" s="1107"/>
      <c r="CI53" s="1107"/>
      <c r="CJ53" s="1107"/>
      <c r="CK53" s="1107"/>
    </row>
    <row r="54" spans="1:89" x14ac:dyDescent="0.25">
      <c r="A54" s="1107"/>
      <c r="B54" s="2008"/>
      <c r="C54" s="1154">
        <v>8</v>
      </c>
      <c r="D54" s="1144" t="s">
        <v>1872</v>
      </c>
      <c r="E54" s="1144" t="s">
        <v>1426</v>
      </c>
      <c r="F54" s="1193" t="str">
        <f>'Required Info to Submit'!E30</f>
        <v/>
      </c>
      <c r="G54" s="1420" t="str">
        <f>IF(F54="","",'Required Info to Submit'!K30)</f>
        <v/>
      </c>
      <c r="H54" s="1421" t="str">
        <f>IF(F54="","",'Required Info to Submit'!L30)</f>
        <v/>
      </c>
      <c r="I54" s="1193" t="str">
        <f>'Required Info to Submit'!F30</f>
        <v/>
      </c>
      <c r="J54" s="1193" t="str">
        <f>'Required Info to Submit'!G30</f>
        <v/>
      </c>
      <c r="K54" s="1193" t="str">
        <f>'Required Info to Submit'!H30</f>
        <v/>
      </c>
      <c r="L54" s="1193" t="str">
        <f>'Required Info to Submit'!I30</f>
        <v/>
      </c>
      <c r="M54" s="1193" t="str">
        <f>'Required Info to Submit'!J30</f>
        <v/>
      </c>
      <c r="N54" s="1107"/>
      <c r="O54" s="1107"/>
      <c r="P54" s="1107"/>
      <c r="Q54" s="1108"/>
      <c r="R54" s="1107"/>
      <c r="S54" s="1107"/>
      <c r="T54" s="2008"/>
      <c r="U54" s="1154">
        <v>8</v>
      </c>
      <c r="V54" s="1144" t="s">
        <v>1872</v>
      </c>
      <c r="W54" s="1144" t="s">
        <v>1426</v>
      </c>
      <c r="X54" s="1144" t="str">
        <f>'Required Info to Submit'!E30</f>
        <v/>
      </c>
      <c r="Y54" s="1414" t="str">
        <f>IF(X54="","",'Required Info to Submit'!K30)</f>
        <v/>
      </c>
      <c r="Z54" s="1415" t="str">
        <f>IF(X54="","",'Required Info to Submit'!L30)</f>
        <v/>
      </c>
      <c r="AA54" s="1144" t="str">
        <f>'Required Info to Submit'!F30</f>
        <v/>
      </c>
      <c r="AB54" s="1144" t="str">
        <f>'Required Info to Submit'!G30</f>
        <v/>
      </c>
      <c r="AC54" s="1144" t="str">
        <f>'Required Info to Submit'!H30</f>
        <v/>
      </c>
      <c r="AD54" s="1144" t="str">
        <f>'Required Info to Submit'!I30</f>
        <v/>
      </c>
      <c r="AE54" s="1144" t="str">
        <f>'Required Info to Submit'!J30</f>
        <v/>
      </c>
      <c r="AF54" s="1107"/>
      <c r="AG54" s="1107"/>
      <c r="AH54" s="1107"/>
      <c r="AI54" s="1108"/>
      <c r="AJ54" s="1107"/>
      <c r="AK54" s="1107"/>
      <c r="AL54" s="1107"/>
      <c r="AM54" s="1107"/>
      <c r="AN54" s="1107"/>
      <c r="AO54" s="1107"/>
      <c r="AP54" s="1107"/>
      <c r="AQ54" s="1107"/>
      <c r="AR54" s="1107"/>
      <c r="AS54" s="1107"/>
      <c r="AT54" s="1107"/>
      <c r="AU54" s="1107"/>
      <c r="AV54" s="1107"/>
      <c r="AW54" s="1107"/>
      <c r="AX54" s="1107"/>
      <c r="AY54" s="1107"/>
      <c r="AZ54" s="1107"/>
      <c r="BA54" s="1107"/>
      <c r="BB54" s="1107"/>
      <c r="BC54" s="1107"/>
      <c r="BD54" s="1107"/>
      <c r="BE54" s="1107"/>
      <c r="BF54" s="1107"/>
      <c r="BG54" s="1107"/>
      <c r="BH54" s="1107"/>
      <c r="BI54" s="1107"/>
      <c r="BJ54" s="1107"/>
      <c r="BK54" s="1107"/>
      <c r="BL54" s="1107"/>
      <c r="BM54" s="1107"/>
      <c r="BN54" s="1107"/>
      <c r="BO54" s="1107"/>
      <c r="BP54" s="1107"/>
      <c r="BQ54" s="1107"/>
      <c r="BR54" s="1107"/>
      <c r="BS54" s="1107"/>
      <c r="BT54" s="1107"/>
      <c r="BU54" s="1107"/>
      <c r="BV54" s="1107"/>
      <c r="BW54" s="1107"/>
      <c r="BX54" s="1107"/>
      <c r="BY54" s="1107"/>
      <c r="BZ54" s="1107"/>
      <c r="CA54" s="1107"/>
      <c r="CB54" s="1107"/>
      <c r="CC54" s="1107"/>
      <c r="CD54" s="1107"/>
      <c r="CE54" s="1107"/>
      <c r="CF54" s="1107"/>
      <c r="CG54" s="1107"/>
      <c r="CH54" s="1107"/>
      <c r="CI54" s="1107"/>
      <c r="CJ54" s="1107"/>
      <c r="CK54" s="1107"/>
    </row>
    <row r="55" spans="1:89" x14ac:dyDescent="0.25">
      <c r="A55" s="1107"/>
      <c r="B55" s="2008"/>
      <c r="C55" s="1154">
        <v>9</v>
      </c>
      <c r="D55" s="1144" t="s">
        <v>1872</v>
      </c>
      <c r="E55" s="1144" t="s">
        <v>1426</v>
      </c>
      <c r="F55" s="1193" t="str">
        <f>'Required Info to Submit'!E31</f>
        <v/>
      </c>
      <c r="G55" s="1420" t="str">
        <f>IF(F55="","",'Required Info to Submit'!K31)</f>
        <v/>
      </c>
      <c r="H55" s="1421" t="str">
        <f>IF(F55="","",'Required Info to Submit'!L31)</f>
        <v/>
      </c>
      <c r="I55" s="1193" t="str">
        <f>'Required Info to Submit'!F31</f>
        <v/>
      </c>
      <c r="J55" s="1193" t="str">
        <f>'Required Info to Submit'!G31</f>
        <v/>
      </c>
      <c r="K55" s="1193" t="str">
        <f>'Required Info to Submit'!H31</f>
        <v/>
      </c>
      <c r="L55" s="1193" t="str">
        <f>'Required Info to Submit'!I31</f>
        <v/>
      </c>
      <c r="M55" s="1193" t="str">
        <f>'Required Info to Submit'!J31</f>
        <v/>
      </c>
      <c r="N55" s="1107"/>
      <c r="O55" s="1107"/>
      <c r="P55" s="1107"/>
      <c r="Q55" s="1108"/>
      <c r="R55" s="1107"/>
      <c r="S55" s="1107"/>
      <c r="T55" s="2008"/>
      <c r="U55" s="1154">
        <v>9</v>
      </c>
      <c r="V55" s="1144" t="s">
        <v>1872</v>
      </c>
      <c r="W55" s="1144" t="s">
        <v>1426</v>
      </c>
      <c r="X55" s="1144" t="str">
        <f>'Required Info to Submit'!E31</f>
        <v/>
      </c>
      <c r="Y55" s="1414" t="str">
        <f>IF(X55="","",'Required Info to Submit'!K31)</f>
        <v/>
      </c>
      <c r="Z55" s="1415" t="str">
        <f>IF(X55="","",'Required Info to Submit'!L31)</f>
        <v/>
      </c>
      <c r="AA55" s="1144" t="str">
        <f>'Required Info to Submit'!F31</f>
        <v/>
      </c>
      <c r="AB55" s="1144" t="str">
        <f>'Required Info to Submit'!G31</f>
        <v/>
      </c>
      <c r="AC55" s="1144" t="str">
        <f>'Required Info to Submit'!H31</f>
        <v/>
      </c>
      <c r="AD55" s="1144" t="str">
        <f>'Required Info to Submit'!I31</f>
        <v/>
      </c>
      <c r="AE55" s="1144" t="str">
        <f>'Required Info to Submit'!J31</f>
        <v/>
      </c>
      <c r="AF55" s="1107"/>
      <c r="AG55" s="1107"/>
      <c r="AH55" s="1107"/>
      <c r="AI55" s="1108"/>
      <c r="AJ55" s="1107"/>
      <c r="AK55" s="1107"/>
      <c r="AL55" s="1107"/>
      <c r="AM55" s="1107"/>
      <c r="AN55" s="1107"/>
      <c r="AO55" s="1107"/>
      <c r="AP55" s="1107"/>
      <c r="AQ55" s="1107"/>
      <c r="AR55" s="1107"/>
      <c r="AS55" s="1107"/>
      <c r="AT55" s="1107"/>
      <c r="AU55" s="1107"/>
      <c r="AV55" s="1107"/>
      <c r="AW55" s="1107"/>
      <c r="AX55" s="1107"/>
      <c r="AY55" s="1107"/>
      <c r="AZ55" s="1107"/>
      <c r="BA55" s="1107"/>
      <c r="BB55" s="1107"/>
      <c r="BC55" s="1107"/>
      <c r="BD55" s="1107"/>
      <c r="BE55" s="1107"/>
      <c r="BF55" s="1107"/>
      <c r="BG55" s="1107"/>
      <c r="BH55" s="1107"/>
      <c r="BI55" s="1107"/>
      <c r="BJ55" s="1107"/>
      <c r="BK55" s="1107"/>
      <c r="BL55" s="1107"/>
      <c r="BM55" s="1107"/>
      <c r="BN55" s="1107"/>
      <c r="BO55" s="1107"/>
      <c r="BP55" s="1107"/>
      <c r="BQ55" s="1107"/>
      <c r="BR55" s="1107"/>
      <c r="BS55" s="1107"/>
      <c r="BT55" s="1107"/>
      <c r="BU55" s="1107"/>
      <c r="BV55" s="1107"/>
      <c r="BW55" s="1107"/>
      <c r="BX55" s="1107"/>
      <c r="BY55" s="1107"/>
      <c r="BZ55" s="1107"/>
      <c r="CA55" s="1107"/>
      <c r="CB55" s="1107"/>
      <c r="CC55" s="1107"/>
      <c r="CD55" s="1107"/>
      <c r="CE55" s="1107"/>
      <c r="CF55" s="1107"/>
      <c r="CG55" s="1107"/>
      <c r="CH55" s="1107"/>
      <c r="CI55" s="1107"/>
      <c r="CJ55" s="1107"/>
      <c r="CK55" s="1107"/>
    </row>
    <row r="56" spans="1:89" ht="15.75" thickBot="1" x14ac:dyDescent="0.3">
      <c r="A56" s="1107"/>
      <c r="B56" s="2009"/>
      <c r="C56" s="1156">
        <v>10</v>
      </c>
      <c r="D56" s="1146" t="s">
        <v>1872</v>
      </c>
      <c r="E56" s="1146" t="s">
        <v>1426</v>
      </c>
      <c r="F56" s="1194" t="str">
        <f>'Required Info to Submit'!E32</f>
        <v/>
      </c>
      <c r="G56" s="1422" t="str">
        <f>IF(F56="","",'Required Info to Submit'!K32)</f>
        <v/>
      </c>
      <c r="H56" s="1422" t="str">
        <f>IF(F56="","",'Required Info to Submit'!L32)</f>
        <v/>
      </c>
      <c r="I56" s="1194" t="str">
        <f>'Required Info to Submit'!F32</f>
        <v/>
      </c>
      <c r="J56" s="1194" t="str">
        <f>'Required Info to Submit'!G32</f>
        <v/>
      </c>
      <c r="K56" s="1194" t="str">
        <f>'Required Info to Submit'!H32</f>
        <v/>
      </c>
      <c r="L56" s="1194" t="str">
        <f>'Required Info to Submit'!I32</f>
        <v/>
      </c>
      <c r="M56" s="1194" t="str">
        <f>'Required Info to Submit'!J32</f>
        <v/>
      </c>
      <c r="N56" s="1157"/>
      <c r="O56" s="1157"/>
      <c r="P56" s="1157"/>
      <c r="Q56" s="1110"/>
      <c r="R56" s="1107"/>
      <c r="S56" s="1107"/>
      <c r="T56" s="2009"/>
      <c r="U56" s="1156">
        <v>10</v>
      </c>
      <c r="V56" s="1146" t="s">
        <v>1872</v>
      </c>
      <c r="W56" s="1146" t="s">
        <v>1426</v>
      </c>
      <c r="X56" s="1146" t="str">
        <f>'Required Info to Submit'!E32</f>
        <v/>
      </c>
      <c r="Y56" s="1416" t="str">
        <f>IF(X56="","",'Required Info to Submit'!K32)</f>
        <v/>
      </c>
      <c r="Z56" s="1416" t="str">
        <f>IF(X56="","",'Required Info to Submit'!L32)</f>
        <v/>
      </c>
      <c r="AA56" s="1146" t="str">
        <f>'Required Info to Submit'!F32</f>
        <v/>
      </c>
      <c r="AB56" s="1146" t="str">
        <f>'Required Info to Submit'!G32</f>
        <v/>
      </c>
      <c r="AC56" s="1146" t="str">
        <f>'Required Info to Submit'!H32</f>
        <v/>
      </c>
      <c r="AD56" s="1146" t="str">
        <f>'Required Info to Submit'!I32</f>
        <v/>
      </c>
      <c r="AE56" s="1146" t="str">
        <f>'Required Info to Submit'!J32</f>
        <v/>
      </c>
      <c r="AF56" s="1157"/>
      <c r="AG56" s="1157"/>
      <c r="AH56" s="1157"/>
      <c r="AI56" s="1110"/>
      <c r="AJ56" s="1107"/>
      <c r="AK56" s="1107"/>
      <c r="AL56" s="1107"/>
      <c r="AM56" s="1107"/>
      <c r="AN56" s="1107"/>
      <c r="AO56" s="1107"/>
      <c r="AP56" s="1107"/>
      <c r="AQ56" s="1107"/>
      <c r="AR56" s="1107"/>
      <c r="AS56" s="1107"/>
      <c r="AT56" s="1107"/>
      <c r="AU56" s="1107"/>
      <c r="AV56" s="1107"/>
      <c r="AW56" s="1107"/>
      <c r="AX56" s="1107"/>
      <c r="AY56" s="1107"/>
      <c r="AZ56" s="1107"/>
      <c r="BA56" s="1107"/>
      <c r="BB56" s="1107"/>
      <c r="BC56" s="1107"/>
      <c r="BD56" s="1107"/>
      <c r="BE56" s="1107"/>
      <c r="BF56" s="1107"/>
      <c r="BG56" s="1107"/>
      <c r="BH56" s="1107"/>
      <c r="BI56" s="1107"/>
      <c r="BJ56" s="1107"/>
      <c r="BK56" s="1107"/>
      <c r="BL56" s="1107"/>
      <c r="BM56" s="1107"/>
      <c r="BN56" s="1107"/>
      <c r="BO56" s="1107"/>
      <c r="BP56" s="1107"/>
      <c r="BQ56" s="1107"/>
      <c r="BR56" s="1107"/>
      <c r="BS56" s="1107"/>
      <c r="BT56" s="1107"/>
      <c r="BU56" s="1107"/>
      <c r="BV56" s="1107"/>
      <c r="BW56" s="1107"/>
      <c r="BX56" s="1107"/>
      <c r="BY56" s="1107"/>
      <c r="BZ56" s="1107"/>
      <c r="CA56" s="1107"/>
      <c r="CB56" s="1107"/>
      <c r="CC56" s="1107"/>
      <c r="CD56" s="1107"/>
      <c r="CE56" s="1107"/>
      <c r="CF56" s="1107"/>
      <c r="CG56" s="1107"/>
      <c r="CH56" s="1107"/>
      <c r="CI56" s="1107"/>
      <c r="CJ56" s="1107"/>
      <c r="CK56" s="1107"/>
    </row>
    <row r="57" spans="1:89" x14ac:dyDescent="0.25">
      <c r="A57" s="1107"/>
      <c r="B57" s="1107"/>
      <c r="C57" s="1107"/>
      <c r="D57" s="1107"/>
      <c r="E57" s="1107"/>
      <c r="F57" s="1107"/>
      <c r="G57" s="1107"/>
      <c r="H57" s="1107"/>
      <c r="I57" s="1107"/>
      <c r="J57" s="1107"/>
      <c r="K57" s="1107"/>
      <c r="L57" s="1107"/>
      <c r="M57" s="1107"/>
      <c r="N57" s="1107"/>
      <c r="O57" s="1107"/>
      <c r="P57" s="1107"/>
      <c r="Q57" s="1107"/>
      <c r="R57" s="1107"/>
      <c r="S57" s="1107"/>
      <c r="T57" s="1107"/>
      <c r="U57" s="1107"/>
      <c r="V57" s="1107"/>
      <c r="W57" s="1107"/>
      <c r="X57" s="1107"/>
      <c r="Y57" s="1107"/>
      <c r="Z57" s="1107"/>
      <c r="AA57" s="1107"/>
      <c r="AB57" s="1107"/>
      <c r="AC57" s="1107"/>
      <c r="AD57" s="1107"/>
      <c r="AE57" s="1107"/>
      <c r="AF57" s="1107"/>
      <c r="AG57" s="1107"/>
      <c r="AH57" s="1107"/>
      <c r="AI57" s="1107"/>
      <c r="AJ57" s="1107"/>
      <c r="AK57" s="1107"/>
      <c r="AL57" s="1107"/>
      <c r="AM57" s="1107"/>
      <c r="AN57" s="1107"/>
      <c r="AO57" s="1107"/>
      <c r="AP57" s="1107"/>
      <c r="AQ57" s="1107"/>
      <c r="AR57" s="1107"/>
      <c r="AS57" s="1107"/>
      <c r="AT57" s="1107"/>
      <c r="AU57" s="1107"/>
      <c r="AV57" s="1107"/>
      <c r="AW57" s="1107"/>
      <c r="AX57" s="1107"/>
      <c r="AY57" s="1107"/>
      <c r="AZ57" s="1107"/>
      <c r="BA57" s="1107"/>
      <c r="BB57" s="1107"/>
      <c r="BC57" s="1107"/>
      <c r="BD57" s="1107"/>
      <c r="BE57" s="1107"/>
      <c r="BF57" s="1107"/>
      <c r="BG57" s="1107"/>
      <c r="BH57" s="1107"/>
      <c r="BI57" s="1107"/>
      <c r="BJ57" s="1107"/>
      <c r="BK57" s="1107"/>
      <c r="BL57" s="1107"/>
      <c r="BM57" s="1107"/>
      <c r="BN57" s="1107"/>
      <c r="BO57" s="1107"/>
      <c r="BP57" s="1107"/>
      <c r="BQ57" s="1107"/>
      <c r="BR57" s="1107"/>
      <c r="BS57" s="1107"/>
      <c r="BT57" s="1107"/>
      <c r="BU57" s="1107"/>
      <c r="BV57" s="1107"/>
      <c r="BW57" s="1107"/>
      <c r="BX57" s="1107"/>
      <c r="BY57" s="1107"/>
      <c r="BZ57" s="1107"/>
      <c r="CA57" s="1107"/>
      <c r="CB57" s="1107"/>
      <c r="CC57" s="1107"/>
      <c r="CD57" s="1107"/>
      <c r="CE57" s="1107"/>
      <c r="CF57" s="1107"/>
      <c r="CG57" s="1107"/>
      <c r="CH57" s="1107"/>
      <c r="CI57" s="1107"/>
      <c r="CJ57" s="1107"/>
      <c r="CK57" s="1107"/>
    </row>
    <row r="58" spans="1:89" ht="34.5" customHeight="1" thickBot="1" x14ac:dyDescent="0.3">
      <c r="A58" s="1107"/>
      <c r="B58" s="1107"/>
      <c r="C58" s="1107"/>
      <c r="D58" s="1107"/>
      <c r="E58" s="1107"/>
      <c r="F58" s="1107"/>
      <c r="G58" s="1107"/>
      <c r="H58" s="1107"/>
      <c r="I58" s="1107"/>
      <c r="J58" s="1107"/>
      <c r="K58" s="1107"/>
      <c r="L58" s="1107"/>
      <c r="M58" s="1107"/>
      <c r="N58" s="1107"/>
      <c r="O58" s="1107"/>
      <c r="P58" s="1107"/>
      <c r="Q58" s="1107"/>
      <c r="R58" s="1107"/>
      <c r="S58" s="1107"/>
      <c r="T58" s="1107"/>
      <c r="U58" s="1107"/>
      <c r="V58" s="1107"/>
      <c r="W58" s="1107"/>
      <c r="X58" s="1107"/>
      <c r="Y58" s="1107"/>
      <c r="Z58" s="1107"/>
      <c r="AA58" s="1107"/>
      <c r="AB58" s="1107"/>
      <c r="AC58" s="1107"/>
      <c r="AD58" s="1107"/>
      <c r="AE58" s="1107"/>
      <c r="AF58" s="1107"/>
      <c r="AG58" s="1107"/>
      <c r="AH58" s="1107"/>
      <c r="AI58" s="1107"/>
      <c r="AJ58" s="1107"/>
      <c r="AK58" s="1107"/>
      <c r="AL58" s="1107"/>
      <c r="AM58" s="1107"/>
      <c r="AN58" s="1107"/>
      <c r="AO58" s="1107"/>
      <c r="AP58" s="1107"/>
      <c r="AQ58" s="1107"/>
      <c r="AR58" s="1107"/>
      <c r="AS58" s="1107"/>
      <c r="AT58" s="1107"/>
      <c r="AU58" s="1107"/>
      <c r="AV58" s="1107"/>
      <c r="AW58" s="1107"/>
      <c r="AX58" s="1107"/>
      <c r="AY58" s="1107"/>
      <c r="AZ58" s="1107"/>
      <c r="BA58" s="1107"/>
      <c r="BB58" s="1107"/>
      <c r="BC58" s="1107"/>
      <c r="BD58" s="1107"/>
      <c r="BE58" s="1107"/>
      <c r="BF58" s="1107"/>
      <c r="BG58" s="1107"/>
      <c r="BH58" s="1107"/>
      <c r="BI58" s="1107"/>
      <c r="BJ58" s="1107"/>
      <c r="BK58" s="1107"/>
      <c r="BL58" s="1107"/>
      <c r="BM58" s="1107"/>
      <c r="BN58" s="1107"/>
      <c r="BO58" s="1107"/>
      <c r="BP58" s="1107"/>
      <c r="BQ58" s="1107"/>
      <c r="BR58" s="1107"/>
      <c r="BS58" s="1107"/>
      <c r="BT58" s="1107"/>
      <c r="BU58" s="1107"/>
      <c r="BV58" s="1107"/>
      <c r="BW58" s="1107"/>
      <c r="BX58" s="1107"/>
      <c r="BY58" s="1107"/>
      <c r="BZ58" s="1107"/>
      <c r="CA58" s="1107"/>
      <c r="CB58" s="1107"/>
      <c r="CC58" s="1107"/>
      <c r="CD58" s="1107"/>
      <c r="CE58" s="1107"/>
      <c r="CF58" s="1107"/>
      <c r="CG58" s="1107"/>
      <c r="CH58" s="1107"/>
      <c r="CI58" s="1107"/>
      <c r="CJ58" s="1107"/>
      <c r="CK58" s="1107"/>
    </row>
    <row r="59" spans="1:89" ht="63.75" customHeight="1" thickBot="1" x14ac:dyDescent="0.3">
      <c r="A59" s="1107"/>
      <c r="B59" s="1130"/>
      <c r="C59" s="1100" t="s">
        <v>1383</v>
      </c>
      <c r="D59" s="1100" t="s">
        <v>1491</v>
      </c>
      <c r="E59" s="1100" t="s">
        <v>766</v>
      </c>
      <c r="F59" s="1100" t="s">
        <v>1496</v>
      </c>
      <c r="G59" s="1100" t="s">
        <v>1849</v>
      </c>
      <c r="H59" s="1101" t="s">
        <v>1850</v>
      </c>
      <c r="I59" s="1101" t="s">
        <v>1851</v>
      </c>
      <c r="J59" s="1100" t="s">
        <v>1873</v>
      </c>
      <c r="K59" s="1100" t="s">
        <v>1852</v>
      </c>
      <c r="L59" s="1101" t="s">
        <v>1397</v>
      </c>
      <c r="M59" s="1101" t="s">
        <v>1381</v>
      </c>
      <c r="N59" s="1100" t="s">
        <v>1382</v>
      </c>
      <c r="O59" s="1100" t="s">
        <v>721</v>
      </c>
      <c r="P59" s="1100" t="s">
        <v>722</v>
      </c>
      <c r="Q59" s="1101" t="s">
        <v>1495</v>
      </c>
      <c r="R59" s="1107"/>
      <c r="S59" s="1107"/>
      <c r="T59" s="1130"/>
      <c r="U59" s="1100" t="s">
        <v>1383</v>
      </c>
      <c r="V59" s="1100" t="s">
        <v>1491</v>
      </c>
      <c r="W59" s="1100" t="s">
        <v>766</v>
      </c>
      <c r="X59" s="1100" t="s">
        <v>1496</v>
      </c>
      <c r="Y59" s="1100" t="s">
        <v>1849</v>
      </c>
      <c r="Z59" s="1101" t="s">
        <v>1850</v>
      </c>
      <c r="AA59" s="1101" t="s">
        <v>1851</v>
      </c>
      <c r="AB59" s="1100" t="s">
        <v>1873</v>
      </c>
      <c r="AC59" s="1100" t="s">
        <v>1852</v>
      </c>
      <c r="AD59" s="1101" t="s">
        <v>1397</v>
      </c>
      <c r="AE59" s="1101" t="s">
        <v>1381</v>
      </c>
      <c r="AF59" s="1100" t="s">
        <v>1382</v>
      </c>
      <c r="AG59" s="1100" t="s">
        <v>721</v>
      </c>
      <c r="AH59" s="1100" t="s">
        <v>722</v>
      </c>
      <c r="AI59" s="1101" t="s">
        <v>1495</v>
      </c>
      <c r="AJ59" s="1107"/>
      <c r="AK59" s="1107"/>
      <c r="AL59" s="1107"/>
      <c r="AM59" s="1107"/>
      <c r="AN59" s="1107"/>
      <c r="AO59" s="1107"/>
      <c r="AP59" s="1107"/>
      <c r="AQ59" s="1107"/>
      <c r="AR59" s="1107"/>
      <c r="AS59" s="1107"/>
      <c r="AT59" s="1107"/>
      <c r="AU59" s="1107"/>
      <c r="AV59" s="1107"/>
      <c r="AW59" s="1107"/>
      <c r="AX59" s="1107"/>
      <c r="AY59" s="1107"/>
      <c r="AZ59" s="1107"/>
      <c r="BA59" s="1107"/>
      <c r="BB59" s="1107"/>
      <c r="BC59" s="1107"/>
      <c r="BD59" s="1107"/>
      <c r="BE59" s="1107"/>
      <c r="BF59" s="1107"/>
      <c r="BG59" s="1107"/>
      <c r="BH59" s="1107"/>
      <c r="BI59" s="1107"/>
      <c r="BJ59" s="1107"/>
      <c r="BK59" s="1107"/>
      <c r="BL59" s="1107"/>
      <c r="BM59" s="1107"/>
      <c r="BN59" s="1107"/>
      <c r="BO59" s="1107"/>
      <c r="BP59" s="1107"/>
      <c r="BQ59" s="1107"/>
      <c r="BR59" s="1107"/>
      <c r="BS59" s="1107"/>
      <c r="BT59" s="1107"/>
      <c r="BU59" s="1107"/>
      <c r="BV59" s="1107"/>
      <c r="BW59" s="1107"/>
      <c r="BX59" s="1107"/>
      <c r="BY59" s="1107"/>
      <c r="BZ59" s="1107"/>
      <c r="CA59" s="1107"/>
      <c r="CB59" s="1107"/>
      <c r="CC59" s="1107"/>
      <c r="CD59" s="1107"/>
      <c r="CE59" s="1107"/>
      <c r="CF59" s="1107"/>
      <c r="CG59" s="1107"/>
      <c r="CH59" s="1107"/>
      <c r="CI59" s="1107"/>
      <c r="CJ59" s="1107"/>
      <c r="CK59" s="1107"/>
    </row>
    <row r="60" spans="1:89" ht="62.25" customHeight="1" thickBot="1" x14ac:dyDescent="0.3">
      <c r="A60" s="1107"/>
      <c r="B60" s="1132" t="s">
        <v>1853</v>
      </c>
      <c r="C60" s="1133" t="s">
        <v>1513</v>
      </c>
      <c r="D60" s="1134">
        <v>1501</v>
      </c>
      <c r="E60" s="1104" t="s">
        <v>2063</v>
      </c>
      <c r="F60" s="1104" t="s">
        <v>1497</v>
      </c>
      <c r="G60" s="1102" t="str" cm="1">
        <f t="array" aca="1" ref="G60" ca="1">INDIRECT("'Incentives Worksheet'!P"&amp;'Configurable Tab'!H7+3)</f>
        <v>Same as Payout Cycle</v>
      </c>
      <c r="H60" s="1102" t="str" cm="1">
        <f t="array" aca="1" ref="H60" ca="1">IF(ISBLANK(INDIRECT("'Incentives Worksheet'!H"&amp;'Configurable Tab'!H7+3)),"",INDIRECT("'Incentives Worksheet'!H"&amp;'Configurable Tab'!H7+3))</f>
        <v/>
      </c>
      <c r="I60" s="1102" t="str" cm="1">
        <f t="array" aca="1" ref="I60" ca="1">IF(INDIRECT("'Incentives Worksheet'!R"&amp;'Configurable Tab'!H7+3)="USF Calendar","Fiscal",INDIRECT("'Incentives Worksheet'!R"&amp;'Configurable Tab'!H7+3))</f>
        <v>Fiscal</v>
      </c>
      <c r="J60" s="1102" t="str" cm="1">
        <f t="array" aca="1" ref="J60" ca="1">IF(INDIRECT("'Incentives Worksheet'!L"&amp;'Configurable Tab'!H7+13)="All"," Select All Products","Unselect All Products")</f>
        <v xml:space="preserve"> Select All Products</v>
      </c>
      <c r="K60" s="1102" t="str" cm="1">
        <f t="array" aca="1" ref="K60" ca="1">IF(INDIRECT("'Incentives Worksheet'!T"&amp;'Configurable Tab'!H7+3)="Yes","Post to GL","")</f>
        <v/>
      </c>
      <c r="L60" s="1102" t="str" cm="1">
        <f t="array" aca="1" ref="L60" ca="1">IF(ISBLANK(INDIRECT("'Incentives Worksheet'!L"&amp;'Configurable Tab'!H7+3)),"",INDIRECT("'Incentives Worksheet'!L"&amp;'Configurable Tab'!H7+3))</f>
        <v/>
      </c>
      <c r="M60" s="1102" t="str" cm="1">
        <f t="array" aca="1" ref="M60" ca="1">IF(ISBLANK(INDIRECT("'Incentives Worksheet'!J"&amp;'Configurable Tab'!H7+3)),"",INDIRECT("'Incentives Worksheet'!J"&amp;'Configurable Tab'!H7+3))</f>
        <v/>
      </c>
      <c r="N60" s="1102" t="str" cm="1">
        <f t="array" aca="1" ref="N60" ca="1">IF(ISBLANK(INDIRECT("'Incentives Worksheet'!N"&amp;'Configurable Tab'!H7+3)),"",INDIRECT("'Incentives Worksheet'!N"&amp;'Configurable Tab'!H7+3))</f>
        <v/>
      </c>
      <c r="O60" s="1103" t="str" cm="1">
        <f t="array" aca="1" ref="O60" ca="1">INDIRECT("'Incentives Worksheet'!D"&amp;'Configurable Tab'!H7+6)</f>
        <v/>
      </c>
      <c r="P60" s="1103" t="str" cm="1">
        <f t="array" aca="1" ref="P60" ca="1">INDIRECT("'Incentives Worksheet'!D"&amp;'Configurable Tab'!H7+8)</f>
        <v/>
      </c>
      <c r="Q60" s="1102" t="str" cm="1">
        <f t="array" aca="1" ref="Q60" ca="1">IF(INDIRECT("'Incentives Worksheet'!D"&amp;'Configurable Tab'!H7+12)="No","Update tracking dates",INDIRECT("'Incentives Worksheet'!D"&amp;'Configurable Tab'!H7+12))</f>
        <v>Yes</v>
      </c>
      <c r="R60" s="1107"/>
      <c r="S60" s="1107"/>
      <c r="T60" s="1132" t="s">
        <v>1853</v>
      </c>
      <c r="U60" s="1133" t="s">
        <v>1513</v>
      </c>
      <c r="V60" s="1134">
        <v>1502</v>
      </c>
      <c r="W60" s="1104" t="s">
        <v>2063</v>
      </c>
      <c r="X60" s="1104" t="s">
        <v>1497</v>
      </c>
      <c r="Y60" s="1102" t="str" cm="1">
        <f t="array" aca="1" ref="Y60" ca="1">INDIRECT("'Incentives Worksheet'!P"&amp;'Configurable Tab'!H8+3)</f>
        <v>Same as Payout Cycle</v>
      </c>
      <c r="Z60" s="1102" t="str" cm="1">
        <f t="array" aca="1" ref="Z60" ca="1">IF(ISBLANK(INDIRECT("'Incentives Worksheet'!H"&amp;'Configurable Tab'!H8+3)),"",INDIRECT("'Incentives Worksheet'!H"&amp;'Configurable Tab'!H8+3))</f>
        <v/>
      </c>
      <c r="AA60" s="1102" t="str" cm="1">
        <f t="array" aca="1" ref="AA60" ca="1">IF(INDIRECT("'Incentives Worksheet'!R"&amp;'Configurable Tab'!H8+3)="USF Calendar","Fiscal",INDIRECT("'Incentives Worksheet'!R"&amp;'Configurable Tab'!H8+3))</f>
        <v>Fiscal</v>
      </c>
      <c r="AB60" s="1102" t="str" cm="1">
        <f t="array" aca="1" ref="AB60" ca="1">IF(INDIRECT("'Incentives Worksheet'!L"&amp;'Configurable Tab'!H8+13)="All"," Select All Products","Unselect All Products")</f>
        <v xml:space="preserve"> Select All Products</v>
      </c>
      <c r="AC60" s="1102" t="str" cm="1">
        <f t="array" aca="1" ref="AC60" ca="1">IF(INDIRECT("'Incentives Worksheet'!T"&amp;'Configurable Tab'!H8+3)="Yes","Post to GL","")</f>
        <v/>
      </c>
      <c r="AD60" s="1102" t="str" cm="1">
        <f t="array" aca="1" ref="AD60" ca="1">IF(ISBLANK(INDIRECT("'Incentives Worksheet'!L"&amp;'Configurable Tab'!H8+3)),"",INDIRECT("'Incentives Worksheet'!L"&amp;'Configurable Tab'!H8+3))</f>
        <v/>
      </c>
      <c r="AE60" s="1102" t="str" cm="1">
        <f t="array" aca="1" ref="AE60" ca="1">IF(ISBLANK(INDIRECT("'Incentives Worksheet'!J"&amp;'Configurable Tab'!H8+3)),"",INDIRECT("'Incentives Worksheet'!J"&amp;'Configurable Tab'!H8+3))</f>
        <v/>
      </c>
      <c r="AF60" s="1102" t="str" cm="1">
        <f t="array" aca="1" ref="AF60" ca="1">IF(ISBLANK(INDIRECT("'Incentives Worksheet'!N"&amp;'Configurable Tab'!H8+3)),"",INDIRECT("'Incentives Worksheet'!N"&amp;'Configurable Tab'!H8+3))</f>
        <v/>
      </c>
      <c r="AG60" s="1103" t="str" cm="1">
        <f t="array" aca="1" ref="AG60" ca="1">INDIRECT("'Incentives Worksheet'!D"&amp;'Configurable Tab'!H8+6)</f>
        <v/>
      </c>
      <c r="AH60" s="1103" t="str" cm="1">
        <f t="array" aca="1" ref="AH60" ca="1">INDIRECT("'Incentives Worksheet'!D"&amp;'Configurable Tab'!H8+8)</f>
        <v/>
      </c>
      <c r="AI60" s="1102" t="str" cm="1">
        <f t="array" aca="1" ref="AI60" ca="1">IF(INDIRECT("'Incentives Worksheet'!D"&amp;'Configurable Tab'!H8+12)="No","Update tracking dates",INDIRECT("'Incentives Worksheet'!D"&amp;'Configurable Tab'!H8+12))</f>
        <v>Yes</v>
      </c>
      <c r="AJ60" s="1107"/>
      <c r="AK60" s="1107"/>
      <c r="AL60" s="1107"/>
      <c r="AM60" s="1107"/>
      <c r="AN60" s="1107"/>
      <c r="AO60" s="1107"/>
      <c r="AP60" s="1107"/>
      <c r="AQ60" s="1107"/>
      <c r="AR60" s="1107"/>
      <c r="AS60" s="1107"/>
      <c r="AT60" s="1107"/>
      <c r="AU60" s="1107"/>
      <c r="AV60" s="1107"/>
      <c r="AW60" s="1107"/>
      <c r="AX60" s="1107"/>
      <c r="AY60" s="1107"/>
      <c r="AZ60" s="1107"/>
      <c r="BA60" s="1107"/>
      <c r="BB60" s="1107"/>
      <c r="BC60" s="1107"/>
      <c r="BD60" s="1107"/>
      <c r="BE60" s="1107"/>
      <c r="BF60" s="1107"/>
      <c r="BG60" s="1107"/>
      <c r="BH60" s="1107"/>
      <c r="BI60" s="1107"/>
      <c r="BJ60" s="1107"/>
      <c r="BK60" s="1107"/>
      <c r="BL60" s="1107"/>
      <c r="BM60" s="1107"/>
      <c r="BN60" s="1107"/>
      <c r="BO60" s="1107"/>
      <c r="BP60" s="1107"/>
      <c r="BQ60" s="1107"/>
      <c r="BR60" s="1107"/>
      <c r="BS60" s="1107"/>
      <c r="BT60" s="1107"/>
      <c r="BU60" s="1107"/>
      <c r="BV60" s="1107"/>
      <c r="BW60" s="1107"/>
      <c r="BX60" s="1107"/>
      <c r="BY60" s="1107"/>
      <c r="BZ60" s="1107"/>
      <c r="CA60" s="1107"/>
      <c r="CB60" s="1107"/>
      <c r="CC60" s="1107"/>
      <c r="CD60" s="1107"/>
      <c r="CE60" s="1107"/>
      <c r="CF60" s="1107"/>
      <c r="CG60" s="1107"/>
      <c r="CH60" s="1107"/>
      <c r="CI60" s="1107"/>
      <c r="CJ60" s="1107"/>
      <c r="CK60" s="1107"/>
    </row>
    <row r="61" spans="1:89" ht="30.75" customHeight="1" thickBot="1" x14ac:dyDescent="0.3">
      <c r="A61" s="1107"/>
      <c r="B61" s="2006" t="s">
        <v>1854</v>
      </c>
      <c r="C61" s="1160" t="s">
        <v>1874</v>
      </c>
      <c r="D61" s="1100" t="s">
        <v>1875</v>
      </c>
      <c r="E61" s="1101" t="s">
        <v>1359</v>
      </c>
      <c r="F61" s="1101" t="s">
        <v>1876</v>
      </c>
      <c r="G61" s="1100" t="s">
        <v>1877</v>
      </c>
      <c r="H61" s="1161" t="s">
        <v>1878</v>
      </c>
      <c r="I61" s="1161" t="s">
        <v>1879</v>
      </c>
      <c r="J61" s="1161" t="s">
        <v>1880</v>
      </c>
      <c r="K61" s="1162"/>
      <c r="L61" s="1162"/>
      <c r="M61" s="1162"/>
      <c r="N61" s="1162"/>
      <c r="O61" s="1162"/>
      <c r="P61" s="1162"/>
      <c r="Q61" s="1163"/>
      <c r="R61" s="1107"/>
      <c r="S61" s="1107"/>
      <c r="T61" s="2006" t="s">
        <v>1854</v>
      </c>
      <c r="U61" s="1164" t="s">
        <v>1874</v>
      </c>
      <c r="V61" s="1100" t="s">
        <v>1875</v>
      </c>
      <c r="W61" s="1101" t="s">
        <v>1359</v>
      </c>
      <c r="X61" s="1100" t="s">
        <v>1876</v>
      </c>
      <c r="Y61" s="1100" t="s">
        <v>1877</v>
      </c>
      <c r="Z61" s="1161" t="s">
        <v>1878</v>
      </c>
      <c r="AA61" s="1161" t="s">
        <v>1879</v>
      </c>
      <c r="AB61" s="1165" t="s">
        <v>1880</v>
      </c>
      <c r="AC61" s="1162"/>
      <c r="AD61" s="1162"/>
      <c r="AE61" s="1162"/>
      <c r="AF61" s="1162"/>
      <c r="AG61" s="1162"/>
      <c r="AH61" s="1162"/>
      <c r="AI61" s="1163"/>
      <c r="AJ61" s="1107"/>
      <c r="AK61" s="1107"/>
      <c r="AL61" s="1107"/>
      <c r="AM61" s="1107"/>
      <c r="AN61" s="1107"/>
      <c r="AO61" s="1107"/>
      <c r="AP61" s="1107"/>
      <c r="AQ61" s="1107"/>
      <c r="AR61" s="1107"/>
      <c r="AS61" s="1107"/>
      <c r="AT61" s="1107"/>
      <c r="AU61" s="1107"/>
      <c r="AV61" s="1107"/>
      <c r="AW61" s="1107"/>
      <c r="AX61" s="1107"/>
      <c r="AY61" s="1107"/>
      <c r="AZ61" s="1107"/>
      <c r="BA61" s="1107"/>
      <c r="BB61" s="1107"/>
      <c r="BC61" s="1107"/>
      <c r="BD61" s="1107"/>
      <c r="BE61" s="1107"/>
      <c r="BF61" s="1107"/>
      <c r="BG61" s="1107"/>
      <c r="BH61" s="1107"/>
      <c r="BI61" s="1107"/>
      <c r="BJ61" s="1107"/>
      <c r="BK61" s="1107"/>
      <c r="BL61" s="1107"/>
      <c r="BM61" s="1107"/>
      <c r="BN61" s="1107"/>
      <c r="BO61" s="1107"/>
      <c r="BP61" s="1107"/>
      <c r="BQ61" s="1107"/>
      <c r="BR61" s="1107"/>
      <c r="BS61" s="1107"/>
      <c r="BT61" s="1107"/>
      <c r="BU61" s="1107"/>
      <c r="BV61" s="1107"/>
      <c r="BW61" s="1107"/>
      <c r="BX61" s="1107"/>
      <c r="BY61" s="1107"/>
      <c r="BZ61" s="1107"/>
      <c r="CA61" s="1107"/>
      <c r="CB61" s="1107"/>
      <c r="CC61" s="1107"/>
      <c r="CD61" s="1107"/>
      <c r="CE61" s="1107"/>
      <c r="CF61" s="1107"/>
      <c r="CG61" s="1107"/>
      <c r="CH61" s="1107"/>
      <c r="CI61" s="1107"/>
      <c r="CJ61" s="1107"/>
      <c r="CK61" s="1107"/>
    </row>
    <row r="62" spans="1:89" ht="15.75" thickBot="1" x14ac:dyDescent="0.3">
      <c r="A62" s="1107"/>
      <c r="B62" s="2011"/>
      <c r="C62" s="1195" t="s">
        <v>1881</v>
      </c>
      <c r="D62" s="1195" t="str" cm="1">
        <f t="array" aca="1" ref="D62" ca="1">IF(INDIRECT("'Incentives Worksheet'!L"&amp;'Configurable Tab'!H7+13)="All"," All Products","Included Products")</f>
        <v xml:space="preserve"> All Products</v>
      </c>
      <c r="E62" s="1195" t="str" cm="1">
        <f t="array" aca="1" ref="E62" ca="1">IF(INDIRECT("'Incentives Worksheet'!J"&amp;'Configurable Tab'!H7+13)="All","All Customers","Individual")</f>
        <v>All Customers</v>
      </c>
      <c r="F62" s="1195" t="str" cm="1">
        <f t="array" aca="1" ref="F62" ca="1">INDIRECT("'Incentives Worksheet'!P"&amp;'Configurable Tab'!H7+13)</f>
        <v>Yes</v>
      </c>
      <c r="G62" s="1196" t="str">
        <f ca="1">IFERROR(IF(SMALL(INDIRECT("'Incentives Worksheet'!L"&amp;'Configurable Tab'!H7+6):INDIRECT("'Incentives Worksheet'!L"&amp;'Configurable Tab'!H7+10),COUNTIF(INDIRECT("'Incentives Worksheet'!L"&amp;'Configurable Tab'!H7+6):INDIRECT("'Incentives Worksheet'!L"&amp;'Configurable Tab'!H7+10),0)+1)&lt;&gt;0,SMALL(INDIRECT("'Incentives Worksheet'!L"&amp;'Configurable Tab'!H7+6):INDIRECT("'Incentives Worksheet'!L"&amp;'Configurable Tab'!H7+10),COUNTIF(INDIRECT("'Incentives Worksheet'!L"&amp;'Configurable Tab'!H7+6):INDIRECT("'Incentives Worksheet'!L"&amp;'Configurable Tab'!H7+10),0)+1),""),"")</f>
        <v/>
      </c>
      <c r="H62" s="1197" t="s">
        <v>1857</v>
      </c>
      <c r="I62" s="1197" t="s">
        <v>1857</v>
      </c>
      <c r="J62" s="1197" t="str" cm="1">
        <f t="array" aca="1" ref="J62" ca="1">INDIRECT("'Incentives Worksheet'!N"&amp;'Configurable Tab'!H7+6)</f>
        <v>%</v>
      </c>
      <c r="K62" s="1136"/>
      <c r="L62" s="1136"/>
      <c r="M62" s="1136"/>
      <c r="N62" s="1136"/>
      <c r="O62" s="1136"/>
      <c r="P62" s="1136"/>
      <c r="Q62" s="1108"/>
      <c r="R62" s="1107"/>
      <c r="S62" s="1107"/>
      <c r="T62" s="2011"/>
      <c r="U62" s="1195" t="s">
        <v>1881</v>
      </c>
      <c r="V62" s="1196" t="str" cm="1">
        <f t="array" aca="1" ref="V62" ca="1">IF(INDIRECT("'Incentives Worksheet'!L"&amp;'Configurable Tab'!H8+13)="All"," All Products","Included Products")</f>
        <v xml:space="preserve"> All Products</v>
      </c>
      <c r="W62" s="1196" t="str" cm="1">
        <f t="array" aca="1" ref="W62" ca="1">IF(INDIRECT("'Incentives Worksheet'!J"&amp;'Configurable Tab'!H8+13)="All","All Customers","Individual")</f>
        <v>All Customers</v>
      </c>
      <c r="X62" s="1196" t="str" cm="1">
        <f t="array" aca="1" ref="X62" ca="1">INDIRECT("'Incentives Worksheet'!P"&amp;'Configurable Tab'!H8+13)</f>
        <v>Yes</v>
      </c>
      <c r="Y62" s="1196" t="str">
        <f ca="1">IFERROR(IF(SMALL(INDIRECT("'Incentives Worksheet'!L"&amp;'Configurable Tab'!H8+6):INDIRECT("'Incentives Worksheet'!L"&amp;'Configurable Tab'!H8+10),COUNTIF(INDIRECT("'Incentives Worksheet'!L"&amp;'Configurable Tab'!H8+6):INDIRECT("'Incentives Worksheet'!L"&amp;'Configurable Tab'!H8+10),0)+1)&lt;&gt;0,SMALL(INDIRECT("'Incentives Worksheet'!L"&amp;'Configurable Tab'!H8+6):INDIRECT("'Incentives Worksheet'!L"&amp;'Configurable Tab'!H8+10),COUNTIF(INDIRECT("'Incentives Worksheet'!L"&amp;'Configurable Tab'!H8+6):INDIRECT("'Incentives Worksheet'!L"&amp;'Configurable Tab'!H8+10),0)+1),""),"")</f>
        <v/>
      </c>
      <c r="Z62" s="1197" t="s">
        <v>1857</v>
      </c>
      <c r="AA62" s="1197" t="s">
        <v>1857</v>
      </c>
      <c r="AB62" s="1197" t="str" cm="1">
        <f t="array" aca="1" ref="AB62" ca="1">INDIRECT("'Incentives Worksheet'!N"&amp;'Configurable Tab'!H8+6)</f>
        <v>%</v>
      </c>
      <c r="AC62" s="1136"/>
      <c r="AD62" s="1136"/>
      <c r="AE62" s="1136"/>
      <c r="AF62" s="1136"/>
      <c r="AG62" s="1136"/>
      <c r="AH62" s="1136"/>
      <c r="AI62" s="1108"/>
      <c r="AJ62" s="1107"/>
      <c r="AK62" s="1107"/>
      <c r="AL62" s="1107"/>
      <c r="AM62" s="1107"/>
      <c r="AN62" s="1107"/>
      <c r="AO62" s="1107"/>
      <c r="AP62" s="1107"/>
      <c r="AQ62" s="1107"/>
      <c r="AR62" s="1107"/>
      <c r="AS62" s="1107"/>
      <c r="AT62" s="1107"/>
      <c r="AU62" s="1107"/>
      <c r="AV62" s="1107"/>
      <c r="AW62" s="1107"/>
      <c r="AX62" s="1107"/>
      <c r="AY62" s="1107"/>
      <c r="AZ62" s="1107"/>
      <c r="BA62" s="1107"/>
      <c r="BB62" s="1107"/>
      <c r="BC62" s="1107"/>
      <c r="BD62" s="1107"/>
      <c r="BE62" s="1107"/>
      <c r="BF62" s="1107"/>
      <c r="BG62" s="1107"/>
      <c r="BH62" s="1107"/>
      <c r="BI62" s="1107"/>
      <c r="BJ62" s="1107"/>
      <c r="BK62" s="1107"/>
      <c r="BL62" s="1107"/>
      <c r="BM62" s="1107"/>
      <c r="BN62" s="1107"/>
      <c r="BO62" s="1107"/>
      <c r="BP62" s="1107"/>
      <c r="BQ62" s="1107"/>
      <c r="BR62" s="1107"/>
      <c r="BS62" s="1107"/>
      <c r="BT62" s="1107"/>
      <c r="BU62" s="1107"/>
      <c r="BV62" s="1107"/>
      <c r="BW62" s="1107"/>
      <c r="BX62" s="1107"/>
      <c r="BY62" s="1107"/>
      <c r="BZ62" s="1107"/>
      <c r="CA62" s="1107"/>
      <c r="CB62" s="1107"/>
      <c r="CC62" s="1107"/>
      <c r="CD62" s="1107"/>
      <c r="CE62" s="1107"/>
      <c r="CF62" s="1107"/>
      <c r="CG62" s="1107"/>
      <c r="CH62" s="1107"/>
      <c r="CI62" s="1107"/>
      <c r="CJ62" s="1107"/>
      <c r="CK62" s="1107"/>
    </row>
    <row r="63" spans="1:89" x14ac:dyDescent="0.25">
      <c r="A63" s="1107"/>
      <c r="B63" s="2008"/>
      <c r="C63" s="1170" t="s">
        <v>1884</v>
      </c>
      <c r="D63" s="1171" t="s">
        <v>126</v>
      </c>
      <c r="E63" s="1172" t="s">
        <v>128</v>
      </c>
      <c r="F63" s="1173" t="s">
        <v>1104</v>
      </c>
      <c r="G63" s="1136"/>
      <c r="H63" s="1136"/>
      <c r="I63" s="1136"/>
      <c r="J63" s="1136"/>
      <c r="K63" s="1136"/>
      <c r="L63" s="1136"/>
      <c r="M63" s="1136"/>
      <c r="N63" s="1136"/>
      <c r="O63" s="1136"/>
      <c r="P63" s="1136"/>
      <c r="Q63" s="1137"/>
      <c r="R63" s="1107"/>
      <c r="S63" s="1107"/>
      <c r="T63" s="2011"/>
      <c r="U63" s="1198" t="s">
        <v>1884</v>
      </c>
      <c r="V63" s="1199" t="s">
        <v>126</v>
      </c>
      <c r="W63" s="1177" t="s">
        <v>128</v>
      </c>
      <c r="X63" s="1177" t="s">
        <v>1104</v>
      </c>
      <c r="Y63" s="1136"/>
      <c r="Z63" s="1136"/>
      <c r="AA63" s="1136"/>
      <c r="AB63" s="1136"/>
      <c r="AC63" s="1136"/>
      <c r="AD63" s="1136"/>
      <c r="AE63" s="1136"/>
      <c r="AF63" s="1136"/>
      <c r="AG63" s="1136"/>
      <c r="AH63" s="1136"/>
      <c r="AI63" s="1137"/>
      <c r="AJ63" s="1107"/>
      <c r="AK63" s="1107"/>
      <c r="AL63" s="1107"/>
      <c r="AM63" s="1107"/>
      <c r="AN63" s="1107"/>
      <c r="AO63" s="1107"/>
      <c r="AP63" s="1107"/>
      <c r="AQ63" s="1107"/>
      <c r="AR63" s="1107"/>
      <c r="AS63" s="1107"/>
      <c r="AT63" s="1107"/>
      <c r="AU63" s="1107"/>
      <c r="AV63" s="1107"/>
      <c r="AW63" s="1107"/>
      <c r="AX63" s="1107"/>
      <c r="AY63" s="1107"/>
      <c r="AZ63" s="1107"/>
      <c r="BA63" s="1107"/>
      <c r="BB63" s="1107"/>
      <c r="BC63" s="1107"/>
      <c r="BD63" s="1107"/>
      <c r="BE63" s="1107"/>
      <c r="BF63" s="1107"/>
      <c r="BG63" s="1107"/>
      <c r="BH63" s="1107"/>
      <c r="BI63" s="1107"/>
      <c r="BJ63" s="1107"/>
      <c r="BK63" s="1107"/>
      <c r="BL63" s="1107"/>
      <c r="BM63" s="1107"/>
      <c r="BN63" s="1107"/>
      <c r="BO63" s="1107"/>
      <c r="BP63" s="1107"/>
      <c r="BQ63" s="1107"/>
      <c r="BR63" s="1107"/>
      <c r="BS63" s="1107"/>
      <c r="BT63" s="1107"/>
      <c r="BU63" s="1107"/>
      <c r="BV63" s="1107"/>
      <c r="BW63" s="1107"/>
      <c r="BX63" s="1107"/>
      <c r="BY63" s="1107"/>
      <c r="BZ63" s="1107"/>
      <c r="CA63" s="1107"/>
      <c r="CB63" s="1107"/>
      <c r="CC63" s="1107"/>
      <c r="CD63" s="1107"/>
      <c r="CE63" s="1107"/>
      <c r="CF63" s="1107"/>
      <c r="CG63" s="1107"/>
      <c r="CH63" s="1107"/>
      <c r="CI63" s="1107"/>
      <c r="CJ63" s="1107"/>
      <c r="CK63" s="1107"/>
    </row>
    <row r="64" spans="1:89" x14ac:dyDescent="0.25">
      <c r="A64" s="1107"/>
      <c r="B64" s="2008"/>
      <c r="C64" s="1178">
        <v>0</v>
      </c>
      <c r="D64" s="1217" t="str">
        <f ca="1">IF(AND(COUNTIF(INDIRECT("'Incentives Worksheet'!H"&amp;'Configurable Tab'!H7+6):INDIRECT("'Incentives Worksheet'!H"&amp;'Configurable Tab'!H7+10),0)=0,'Incentives Worksheet'!$Z$7&lt;&gt;""),0,"")</f>
        <v/>
      </c>
      <c r="E64" s="1180" t="str">
        <f ca="1">IFERROR(IF(COUNTIF(INDIRECT("'Incentives Worksheet'!H"&amp;'Configurable Tab'!H7+6):INDIRECT("'Incentives Worksheet'!H"&amp;'Configurable Tab'!H7+10),0)=0,SMALL(INDIRECT("'Incentives Worksheet'!H"&amp;'Configurable Tab'!H7+6):INDIRECT("'Incentives Worksheet'!H"&amp;'Configurable Tab'!H7+10),1)-0.01,""),"")</f>
        <v/>
      </c>
      <c r="F64" s="1450" t="str">
        <f ca="1">IF(AND(COUNTIF(INDIRECT("'Incentives Worksheet'!H"&amp;'Configurable Tab'!H7+6):INDIRECT("'Incentives Worksheet'!H"&amp;'Configurable Tab'!H7+10),0)=0,'Incentives Worksheet'!$Z$7&lt;&gt;""),0,"")</f>
        <v/>
      </c>
      <c r="G64" s="1136"/>
      <c r="H64" s="1136"/>
      <c r="I64" s="1136"/>
      <c r="J64" s="1136"/>
      <c r="K64" s="1136"/>
      <c r="L64" s="1136"/>
      <c r="M64" s="1136"/>
      <c r="N64" s="1136"/>
      <c r="O64" s="1136"/>
      <c r="P64" s="1136"/>
      <c r="Q64" s="1137"/>
      <c r="R64" s="1107"/>
      <c r="S64" s="1107"/>
      <c r="T64" s="2008"/>
      <c r="U64" s="1182">
        <v>0</v>
      </c>
      <c r="V64" s="1219" t="str">
        <f ca="1">IF(AND(COUNTIF(INDIRECT("'Incentives Worksheet'!H"&amp;'Configurable Tab'!H8+6):INDIRECT("'Incentives Worksheet'!H"&amp;'Configurable Tab'!H8+10),0)=0,'Incentives Worksheet'!$Z$8&lt;&gt;""),0,"")</f>
        <v/>
      </c>
      <c r="W64" s="1211" t="str">
        <f ca="1">IFERROR(IF(COUNTIF(INDIRECT("'Incentives Worksheet'!H"&amp;'Configurable Tab'!H8+6):INDIRECT("'Incentives Worksheet'!H"&amp;'Configurable Tab'!H8+10),0)=0,SMALL(INDIRECT("'Incentives Worksheet'!H"&amp;'Configurable Tab'!H8+6):INDIRECT("'Incentives Worksheet'!H"&amp;'Configurable Tab'!H8+10),1)-0.01,""),"")</f>
        <v/>
      </c>
      <c r="X64" s="1211" t="str">
        <f ca="1">IF(AND(COUNTIF(INDIRECT("'Incentives Worksheet'!H"&amp;'Configurable Tab'!H8+6):INDIRECT("'Incentives Worksheet'!H"&amp;'Configurable Tab'!H8+10),0)=0,'Incentives Worksheet'!$Z$8&lt;&gt;""),0,"")</f>
        <v/>
      </c>
      <c r="Y64" s="1136"/>
      <c r="Z64" s="1136"/>
      <c r="AA64" s="1136"/>
      <c r="AB64" s="1136"/>
      <c r="AC64" s="1136"/>
      <c r="AD64" s="1136"/>
      <c r="AE64" s="1136"/>
      <c r="AF64" s="1136"/>
      <c r="AG64" s="1136"/>
      <c r="AH64" s="1136"/>
      <c r="AI64" s="1137"/>
      <c r="AJ64" s="1107"/>
      <c r="AK64" s="1107"/>
      <c r="AL64" s="1107"/>
      <c r="AM64" s="1107"/>
      <c r="AN64" s="1107"/>
      <c r="AO64" s="1107"/>
      <c r="AP64" s="1107"/>
      <c r="AQ64" s="1107"/>
      <c r="AR64" s="1107"/>
      <c r="AS64" s="1107"/>
      <c r="AT64" s="1107"/>
      <c r="AU64" s="1107"/>
      <c r="AV64" s="1107"/>
      <c r="AW64" s="1107"/>
      <c r="AX64" s="1107"/>
      <c r="AY64" s="1107"/>
      <c r="AZ64" s="1107"/>
      <c r="BA64" s="1107"/>
      <c r="BB64" s="1107"/>
      <c r="BC64" s="1107"/>
      <c r="BD64" s="1107"/>
      <c r="BE64" s="1107"/>
      <c r="BF64" s="1107"/>
      <c r="BG64" s="1107"/>
      <c r="BH64" s="1107"/>
      <c r="BI64" s="1107"/>
      <c r="BJ64" s="1107"/>
      <c r="BK64" s="1107"/>
      <c r="BL64" s="1107"/>
      <c r="BM64" s="1107"/>
      <c r="BN64" s="1107"/>
      <c r="BO64" s="1107"/>
      <c r="BP64" s="1107"/>
      <c r="BQ64" s="1107"/>
      <c r="BR64" s="1107"/>
      <c r="BS64" s="1107"/>
      <c r="BT64" s="1107"/>
      <c r="BU64" s="1107"/>
      <c r="BV64" s="1107"/>
      <c r="BW64" s="1107"/>
      <c r="BX64" s="1107"/>
      <c r="BY64" s="1107"/>
      <c r="BZ64" s="1107"/>
      <c r="CA64" s="1107"/>
      <c r="CB64" s="1107"/>
      <c r="CC64" s="1107"/>
      <c r="CD64" s="1107"/>
      <c r="CE64" s="1107"/>
      <c r="CF64" s="1107"/>
      <c r="CG64" s="1107"/>
      <c r="CH64" s="1107"/>
      <c r="CI64" s="1107"/>
      <c r="CJ64" s="1107"/>
      <c r="CK64" s="1107"/>
    </row>
    <row r="65" spans="1:89" x14ac:dyDescent="0.25">
      <c r="A65" s="1107"/>
      <c r="B65" s="2008"/>
      <c r="C65" s="1200">
        <v>1</v>
      </c>
      <c r="D65" s="1457" t="str" cm="1">
        <f t="array" aca="1" ref="D65" ca="1">IF(INDIRECT("'Incentives Worksheet'!H"&amp;'Configurable Tab'!H7+6)="","",INDIRECT("'Incentives Worksheet'!H"&amp;'Configurable Tab'!H7+6))</f>
        <v/>
      </c>
      <c r="E65" s="1201" t="str" cm="1">
        <f t="array" aca="1" ref="E65" ca="1">IF(INDIRECT("'Incentives Worksheet'!J"&amp;'Configurable Tab'!H7+6)="","",INDIRECT("'Incentives Worksheet'!J"&amp;'Configurable Tab'!H7+6))</f>
        <v/>
      </c>
      <c r="F65" s="1458" t="str" cm="1">
        <f t="array" aca="1" ref="F65" ca="1">IF(INDIRECT("'Incentives Worksheet'!L"&amp;'Configurable Tab'!H7+6)="","",INDIRECT("'Incentives Worksheet'!L"&amp;'Configurable Tab'!H7+6))</f>
        <v/>
      </c>
      <c r="G65" s="1136"/>
      <c r="H65" s="1136"/>
      <c r="I65" s="1136"/>
      <c r="J65" s="1136"/>
      <c r="K65" s="1136"/>
      <c r="L65" s="1136"/>
      <c r="M65" s="1136"/>
      <c r="N65" s="1136"/>
      <c r="O65" s="1136"/>
      <c r="P65" s="1136"/>
      <c r="Q65" s="1137"/>
      <c r="R65" s="1107"/>
      <c r="S65" s="1107"/>
      <c r="T65" s="2008"/>
      <c r="U65" s="1200">
        <v>1</v>
      </c>
      <c r="V65" s="1459" t="str" cm="1">
        <f t="array" aca="1" ref="V65" ca="1">IF(INDIRECT("'Incentives Worksheet'!H"&amp;'Configurable Tab'!H8+6)="","",INDIRECT("'Incentives Worksheet'!H"&amp;'Configurable Tab'!H8+6))</f>
        <v/>
      </c>
      <c r="W65" s="1202" t="str" cm="1">
        <f t="array" aca="1" ref="W65" ca="1">IF(INDIRECT("'Incentives Worksheet'!J"&amp;'Configurable Tab'!H8+6)="","",INDIRECT("'Incentives Worksheet'!J"&amp;'Configurable Tab'!H8+6))</f>
        <v/>
      </c>
      <c r="X65" s="1460" t="str" cm="1">
        <f t="array" aca="1" ref="X65" ca="1">IF(INDIRECT("'Incentives Worksheet'!L"&amp;'Configurable Tab'!H8+6)="","",INDIRECT("'Incentives Worksheet'!L"&amp;'Configurable Tab'!H8+6))</f>
        <v/>
      </c>
      <c r="Y65" s="1136"/>
      <c r="Z65" s="1136"/>
      <c r="AA65" s="1136"/>
      <c r="AB65" s="1136"/>
      <c r="AC65" s="1136"/>
      <c r="AD65" s="1136"/>
      <c r="AE65" s="1136"/>
      <c r="AF65" s="1136"/>
      <c r="AG65" s="1136"/>
      <c r="AH65" s="1136"/>
      <c r="AI65" s="1137"/>
      <c r="AJ65" s="1107"/>
      <c r="AK65" s="1107"/>
      <c r="AL65" s="1107"/>
      <c r="AM65" s="1107"/>
      <c r="AN65" s="1107"/>
      <c r="AO65" s="1107"/>
      <c r="AP65" s="1107"/>
      <c r="AQ65" s="1107"/>
      <c r="AR65" s="1107"/>
      <c r="AS65" s="1107"/>
      <c r="AT65" s="1107"/>
      <c r="AU65" s="1107"/>
      <c r="AV65" s="1107"/>
      <c r="AW65" s="1107"/>
      <c r="AX65" s="1107"/>
      <c r="AY65" s="1107"/>
      <c r="AZ65" s="1107"/>
      <c r="BA65" s="1107"/>
      <c r="BB65" s="1107"/>
      <c r="BC65" s="1107"/>
      <c r="BD65" s="1107"/>
      <c r="BE65" s="1107"/>
      <c r="BF65" s="1107"/>
      <c r="BG65" s="1107"/>
      <c r="BH65" s="1107"/>
      <c r="BI65" s="1107"/>
      <c r="BJ65" s="1107"/>
      <c r="BK65" s="1107"/>
      <c r="BL65" s="1107"/>
      <c r="BM65" s="1107"/>
      <c r="BN65" s="1107"/>
      <c r="BO65" s="1107"/>
      <c r="BP65" s="1107"/>
      <c r="BQ65" s="1107"/>
      <c r="BR65" s="1107"/>
      <c r="BS65" s="1107"/>
      <c r="BT65" s="1107"/>
      <c r="BU65" s="1107"/>
      <c r="BV65" s="1107"/>
      <c r="BW65" s="1107"/>
      <c r="BX65" s="1107"/>
      <c r="BY65" s="1107"/>
      <c r="BZ65" s="1107"/>
      <c r="CA65" s="1107"/>
      <c r="CB65" s="1107"/>
      <c r="CC65" s="1107"/>
      <c r="CD65" s="1107"/>
      <c r="CE65" s="1107"/>
      <c r="CF65" s="1107"/>
      <c r="CG65" s="1107"/>
      <c r="CH65" s="1107"/>
      <c r="CI65" s="1107"/>
      <c r="CJ65" s="1107"/>
      <c r="CK65" s="1107"/>
    </row>
    <row r="66" spans="1:89" x14ac:dyDescent="0.25">
      <c r="A66" s="1107"/>
      <c r="B66" s="2008"/>
      <c r="C66" s="1200">
        <v>2</v>
      </c>
      <c r="D66" s="1457" t="str" cm="1">
        <f t="array" aca="1" ref="D66" ca="1">IF(INDIRECT("'Incentives Worksheet'!H"&amp;'Configurable Tab'!H7+7)="","",INDIRECT("'Incentives Worksheet'!H"&amp;'Configurable Tab'!H7+7))</f>
        <v/>
      </c>
      <c r="E66" s="1201" t="str" cm="1">
        <f t="array" aca="1" ref="E66" ca="1">IF(INDIRECT("'Incentives Worksheet'!J"&amp;'Configurable Tab'!H7+7)="","",INDIRECT("'Incentives Worksheet'!J"&amp;'Configurable Tab'!H7+7))</f>
        <v/>
      </c>
      <c r="F66" s="1458" t="str" cm="1">
        <f t="array" aca="1" ref="F66" ca="1">IF(INDIRECT("'Incentives Worksheet'!L"&amp;'Configurable Tab'!H7+7)="","",INDIRECT("'Incentives Worksheet'!L"&amp;'Configurable Tab'!H7+7))</f>
        <v/>
      </c>
      <c r="G66" s="1136"/>
      <c r="H66" s="1136"/>
      <c r="I66" s="1136"/>
      <c r="J66" s="1136"/>
      <c r="K66" s="1136"/>
      <c r="L66" s="1136"/>
      <c r="M66" s="1136"/>
      <c r="N66" s="1136"/>
      <c r="O66" s="1136"/>
      <c r="P66" s="1136"/>
      <c r="Q66" s="1137"/>
      <c r="R66" s="1107"/>
      <c r="S66" s="1107"/>
      <c r="T66" s="2008"/>
      <c r="U66" s="1200">
        <v>2</v>
      </c>
      <c r="V66" s="1459" t="str" cm="1">
        <f t="array" aca="1" ref="V66" ca="1">IF(INDIRECT("'Incentives Worksheet'!H"&amp;'Configurable Tab'!H8+7)="","",INDIRECT("'Incentives Worksheet'!H"&amp;'Configurable Tab'!H8+7))</f>
        <v/>
      </c>
      <c r="W66" s="1202" t="str" cm="1">
        <f t="array" aca="1" ref="W66" ca="1">IF(INDIRECT("'Incentives Worksheet'!J"&amp;'Configurable Tab'!H8+7)="","",INDIRECT("'Incentives Worksheet'!J"&amp;'Configurable Tab'!H8+7))</f>
        <v/>
      </c>
      <c r="X66" s="1460" t="str" cm="1">
        <f t="array" aca="1" ref="X66" ca="1">IF(INDIRECT("'Incentives Worksheet'!L"&amp;'Configurable Tab'!H8+7)="","",INDIRECT("'Incentives Worksheet'!L"&amp;'Configurable Tab'!H8+7))</f>
        <v/>
      </c>
      <c r="Y66" s="1136"/>
      <c r="Z66" s="1136"/>
      <c r="AA66" s="1136"/>
      <c r="AB66" s="1136"/>
      <c r="AC66" s="1136"/>
      <c r="AD66" s="1136"/>
      <c r="AE66" s="1136"/>
      <c r="AF66" s="1136"/>
      <c r="AG66" s="1136"/>
      <c r="AH66" s="1136"/>
      <c r="AI66" s="1137"/>
      <c r="AJ66" s="1107"/>
      <c r="AK66" s="1107"/>
      <c r="AL66" s="1107"/>
      <c r="AM66" s="1107"/>
      <c r="AN66" s="1107"/>
      <c r="AO66" s="1107"/>
      <c r="AP66" s="1107"/>
      <c r="AQ66" s="1107"/>
      <c r="AR66" s="1107"/>
      <c r="AS66" s="1107"/>
      <c r="AT66" s="1107"/>
      <c r="AU66" s="1107"/>
      <c r="AV66" s="1107"/>
      <c r="AW66" s="1107"/>
      <c r="AX66" s="1107"/>
      <c r="AY66" s="1107"/>
      <c r="AZ66" s="1107"/>
      <c r="BA66" s="1107"/>
      <c r="BB66" s="1107"/>
      <c r="BC66" s="1107"/>
      <c r="BD66" s="1107"/>
      <c r="BE66" s="1107"/>
      <c r="BF66" s="1107"/>
      <c r="BG66" s="1107"/>
      <c r="BH66" s="1107"/>
      <c r="BI66" s="1107"/>
      <c r="BJ66" s="1107"/>
      <c r="BK66" s="1107"/>
      <c r="BL66" s="1107"/>
      <c r="BM66" s="1107"/>
      <c r="BN66" s="1107"/>
      <c r="BO66" s="1107"/>
      <c r="BP66" s="1107"/>
      <c r="BQ66" s="1107"/>
      <c r="BR66" s="1107"/>
      <c r="BS66" s="1107"/>
      <c r="BT66" s="1107"/>
      <c r="BU66" s="1107"/>
      <c r="BV66" s="1107"/>
      <c r="BW66" s="1107"/>
      <c r="BX66" s="1107"/>
      <c r="BY66" s="1107"/>
      <c r="BZ66" s="1107"/>
      <c r="CA66" s="1107"/>
      <c r="CB66" s="1107"/>
      <c r="CC66" s="1107"/>
      <c r="CD66" s="1107"/>
      <c r="CE66" s="1107"/>
      <c r="CF66" s="1107"/>
      <c r="CG66" s="1107"/>
      <c r="CH66" s="1107"/>
      <c r="CI66" s="1107"/>
      <c r="CJ66" s="1107"/>
      <c r="CK66" s="1107"/>
    </row>
    <row r="67" spans="1:89" x14ac:dyDescent="0.25">
      <c r="A67" s="1107"/>
      <c r="B67" s="2008"/>
      <c r="C67" s="1200">
        <v>3</v>
      </c>
      <c r="D67" s="1457" t="str" cm="1">
        <f t="array" aca="1" ref="D67" ca="1">IF(INDIRECT("'Incentives Worksheet'!H"&amp;'Configurable Tab'!H7+8)="","",INDIRECT("'Incentives Worksheet'!H"&amp;'Configurable Tab'!H7+8))</f>
        <v/>
      </c>
      <c r="E67" s="1201" t="str" cm="1">
        <f t="array" aca="1" ref="E67" ca="1">IF(INDIRECT("'Incentives Worksheet'!J"&amp;'Configurable Tab'!H7+8)="","",INDIRECT("'Incentives Worksheet'!J"&amp;'Configurable Tab'!H7+8))</f>
        <v/>
      </c>
      <c r="F67" s="1458" t="str" cm="1">
        <f t="array" aca="1" ref="F67" ca="1">IF(INDIRECT("'Incentives Worksheet'!L"&amp;'Configurable Tab'!H7+8)="","",INDIRECT("'Incentives Worksheet'!L"&amp;'Configurable Tab'!H7+8))</f>
        <v/>
      </c>
      <c r="G67" s="1136"/>
      <c r="H67" s="1136"/>
      <c r="I67" s="1136"/>
      <c r="J67" s="1136"/>
      <c r="K67" s="1136"/>
      <c r="L67" s="1136"/>
      <c r="M67" s="1136"/>
      <c r="N67" s="1136"/>
      <c r="O67" s="1136"/>
      <c r="P67" s="1136"/>
      <c r="Q67" s="1137"/>
      <c r="R67" s="1107"/>
      <c r="S67" s="1107"/>
      <c r="T67" s="2008"/>
      <c r="U67" s="1200">
        <v>3</v>
      </c>
      <c r="V67" s="1459" t="str" cm="1">
        <f t="array" aca="1" ref="V67" ca="1">IF(INDIRECT("'Incentives Worksheet'!H"&amp;'Configurable Tab'!H8+8)="","",INDIRECT("'Incentives Worksheet'!H"&amp;'Configurable Tab'!H8+8))</f>
        <v/>
      </c>
      <c r="W67" s="1202" t="str" cm="1">
        <f t="array" aca="1" ref="W67" ca="1">IF(INDIRECT("'Incentives Worksheet'!J"&amp;'Configurable Tab'!H8+8)="","",INDIRECT("'Incentives Worksheet'!J"&amp;'Configurable Tab'!H8+8))</f>
        <v/>
      </c>
      <c r="X67" s="1460" t="str" cm="1">
        <f t="array" aca="1" ref="X67" ca="1">IF(INDIRECT("'Incentives Worksheet'!L"&amp;'Configurable Tab'!H8+8)="","",INDIRECT("'Incentives Worksheet'!L"&amp;'Configurable Tab'!H8+8))</f>
        <v/>
      </c>
      <c r="Y67" s="1136"/>
      <c r="Z67" s="1136"/>
      <c r="AA67" s="1136"/>
      <c r="AB67" s="1136"/>
      <c r="AC67" s="1136"/>
      <c r="AD67" s="1136"/>
      <c r="AE67" s="1136"/>
      <c r="AF67" s="1136"/>
      <c r="AG67" s="1136"/>
      <c r="AH67" s="1136"/>
      <c r="AI67" s="1137"/>
      <c r="AJ67" s="1107"/>
      <c r="AK67" s="1107"/>
      <c r="AL67" s="1107"/>
      <c r="AM67" s="1107"/>
      <c r="AN67" s="1107"/>
      <c r="AO67" s="1107"/>
      <c r="AP67" s="1107"/>
      <c r="AQ67" s="1107"/>
      <c r="AR67" s="1107"/>
      <c r="AS67" s="1107"/>
      <c r="AT67" s="1107"/>
      <c r="AU67" s="1107"/>
      <c r="AV67" s="1107"/>
      <c r="AW67" s="1107"/>
      <c r="AX67" s="1107"/>
      <c r="AY67" s="1107"/>
      <c r="AZ67" s="1107"/>
      <c r="BA67" s="1107"/>
      <c r="BB67" s="1107"/>
      <c r="BC67" s="1107"/>
      <c r="BD67" s="1107"/>
      <c r="BE67" s="1107"/>
      <c r="BF67" s="1107"/>
      <c r="BG67" s="1107"/>
      <c r="BH67" s="1107"/>
      <c r="BI67" s="1107"/>
      <c r="BJ67" s="1107"/>
      <c r="BK67" s="1107"/>
      <c r="BL67" s="1107"/>
      <c r="BM67" s="1107"/>
      <c r="BN67" s="1107"/>
      <c r="BO67" s="1107"/>
      <c r="BP67" s="1107"/>
      <c r="BQ67" s="1107"/>
      <c r="BR67" s="1107"/>
      <c r="BS67" s="1107"/>
      <c r="BT67" s="1107"/>
      <c r="BU67" s="1107"/>
      <c r="BV67" s="1107"/>
      <c r="BW67" s="1107"/>
      <c r="BX67" s="1107"/>
      <c r="BY67" s="1107"/>
      <c r="BZ67" s="1107"/>
      <c r="CA67" s="1107"/>
      <c r="CB67" s="1107"/>
      <c r="CC67" s="1107"/>
      <c r="CD67" s="1107"/>
      <c r="CE67" s="1107"/>
      <c r="CF67" s="1107"/>
      <c r="CG67" s="1107"/>
      <c r="CH67" s="1107"/>
      <c r="CI67" s="1107"/>
      <c r="CJ67" s="1107"/>
      <c r="CK67" s="1107"/>
    </row>
    <row r="68" spans="1:89" x14ac:dyDescent="0.25">
      <c r="A68" s="1107"/>
      <c r="B68" s="2008"/>
      <c r="C68" s="1200">
        <v>4</v>
      </c>
      <c r="D68" s="1457" t="str" cm="1">
        <f t="array" aca="1" ref="D68" ca="1">IF(INDIRECT("'Incentives Worksheet'!H"&amp;'Configurable Tab'!H7+9)="","",INDIRECT("'Incentives Worksheet'!H"&amp;'Configurable Tab'!H7+9))</f>
        <v/>
      </c>
      <c r="E68" s="1201" t="str" cm="1">
        <f t="array" aca="1" ref="E68" ca="1">IF(INDIRECT("'Incentives Worksheet'!J"&amp;'Configurable Tab'!H7+9)="","",INDIRECT("'Incentives Worksheet'!J"&amp;'Configurable Tab'!H7+9))</f>
        <v/>
      </c>
      <c r="F68" s="1458" t="str" cm="1">
        <f t="array" aca="1" ref="F68" ca="1">IF(INDIRECT("'Incentives Worksheet'!L"&amp;'Configurable Tab'!H7+9)="","",INDIRECT("'Incentives Worksheet'!L"&amp;'Configurable Tab'!H7+9))</f>
        <v/>
      </c>
      <c r="G68" s="1136"/>
      <c r="H68" s="1136"/>
      <c r="I68" s="1136"/>
      <c r="J68" s="1136"/>
      <c r="K68" s="1136"/>
      <c r="L68" s="1136"/>
      <c r="M68" s="1136"/>
      <c r="N68" s="1136"/>
      <c r="O68" s="1136"/>
      <c r="P68" s="1136"/>
      <c r="Q68" s="1137"/>
      <c r="R68" s="1107"/>
      <c r="S68" s="1107"/>
      <c r="T68" s="2008"/>
      <c r="U68" s="1200">
        <v>4</v>
      </c>
      <c r="V68" s="1459" t="str" cm="1">
        <f t="array" aca="1" ref="V68" ca="1">IF(INDIRECT("'Incentives Worksheet'!H"&amp;'Configurable Tab'!H8+9)="","",INDIRECT("'Incentives Worksheet'!H"&amp;'Configurable Tab'!H8+9))</f>
        <v/>
      </c>
      <c r="W68" s="1202" t="str" cm="1">
        <f t="array" aca="1" ref="W68" ca="1">IF(INDIRECT("'Incentives Worksheet'!J"&amp;'Configurable Tab'!H8+9)="","",INDIRECT("'Incentives Worksheet'!J"&amp;'Configurable Tab'!H8+9))</f>
        <v/>
      </c>
      <c r="X68" s="1460" t="str" cm="1">
        <f t="array" aca="1" ref="X68" ca="1">IF(INDIRECT("'Incentives Worksheet'!L"&amp;'Configurable Tab'!H8+9)="","",INDIRECT("'Incentives Worksheet'!L"&amp;'Configurable Tab'!H8+9))</f>
        <v/>
      </c>
      <c r="Y68" s="1136"/>
      <c r="Z68" s="1136"/>
      <c r="AA68" s="1136"/>
      <c r="AB68" s="1136"/>
      <c r="AC68" s="1136"/>
      <c r="AD68" s="1136"/>
      <c r="AE68" s="1136"/>
      <c r="AF68" s="1136"/>
      <c r="AG68" s="1136"/>
      <c r="AH68" s="1136"/>
      <c r="AI68" s="1137"/>
      <c r="AJ68" s="1107"/>
      <c r="AK68" s="1107"/>
      <c r="AL68" s="1107"/>
      <c r="AM68" s="1107"/>
      <c r="AN68" s="1107"/>
      <c r="AO68" s="1107"/>
      <c r="AP68" s="1107"/>
      <c r="AQ68" s="1107"/>
      <c r="AR68" s="1107"/>
      <c r="AS68" s="1107"/>
      <c r="AT68" s="1107"/>
      <c r="AU68" s="1107"/>
      <c r="AV68" s="1107"/>
      <c r="AW68" s="1107"/>
      <c r="AX68" s="1107"/>
      <c r="AY68" s="1107"/>
      <c r="AZ68" s="1107"/>
      <c r="BA68" s="1107"/>
      <c r="BB68" s="1107"/>
      <c r="BC68" s="1107"/>
      <c r="BD68" s="1107"/>
      <c r="BE68" s="1107"/>
      <c r="BF68" s="1107"/>
      <c r="BG68" s="1107"/>
      <c r="BH68" s="1107"/>
      <c r="BI68" s="1107"/>
      <c r="BJ68" s="1107"/>
      <c r="BK68" s="1107"/>
      <c r="BL68" s="1107"/>
      <c r="BM68" s="1107"/>
      <c r="BN68" s="1107"/>
      <c r="BO68" s="1107"/>
      <c r="BP68" s="1107"/>
      <c r="BQ68" s="1107"/>
      <c r="BR68" s="1107"/>
      <c r="BS68" s="1107"/>
      <c r="BT68" s="1107"/>
      <c r="BU68" s="1107"/>
      <c r="BV68" s="1107"/>
      <c r="BW68" s="1107"/>
      <c r="BX68" s="1107"/>
      <c r="BY68" s="1107"/>
      <c r="BZ68" s="1107"/>
      <c r="CA68" s="1107"/>
      <c r="CB68" s="1107"/>
      <c r="CC68" s="1107"/>
      <c r="CD68" s="1107"/>
      <c r="CE68" s="1107"/>
      <c r="CF68" s="1107"/>
      <c r="CG68" s="1107"/>
      <c r="CH68" s="1107"/>
      <c r="CI68" s="1107"/>
      <c r="CJ68" s="1107"/>
      <c r="CK68" s="1107"/>
    </row>
    <row r="69" spans="1:89" ht="15.75" customHeight="1" thickBot="1" x14ac:dyDescent="0.3">
      <c r="A69" s="1107"/>
      <c r="B69" s="2009"/>
      <c r="C69" s="1184">
        <v>5</v>
      </c>
      <c r="D69" s="1185" t="str" cm="1">
        <f t="array" aca="1" ref="D69" ca="1">IF(INDIRECT("'Incentives Worksheet'!H"&amp;'Configurable Tab'!H7+10)="","",INDIRECT("'Incentives Worksheet'!H"&amp;'Configurable Tab'!H7+10))</f>
        <v/>
      </c>
      <c r="E69" s="1186" t="str" cm="1">
        <f t="array" aca="1" ref="E69" ca="1">IF(INDIRECT("'Incentives Worksheet'!J"&amp;'Configurable Tab'!H7+10)="","",INDIRECT("'Incentives Worksheet'!J"&amp;'Configurable Tab'!H7+10))</f>
        <v/>
      </c>
      <c r="F69" s="1187" t="str" cm="1">
        <f t="array" aca="1" ref="F69" ca="1">IF(INDIRECT("'Incentives Worksheet'!L"&amp;'Configurable Tab'!H7+10)="","",INDIRECT("'Incentives Worksheet'!L"&amp;'Configurable Tab'!H7+10))</f>
        <v/>
      </c>
      <c r="G69" s="1136"/>
      <c r="H69" s="1136"/>
      <c r="I69" s="1136"/>
      <c r="J69" s="1136"/>
      <c r="K69" s="1136"/>
      <c r="L69" s="1136"/>
      <c r="M69" s="1136"/>
      <c r="N69" s="1136"/>
      <c r="O69" s="1136"/>
      <c r="P69" s="1136"/>
      <c r="Q69" s="1137"/>
      <c r="R69" s="1107"/>
      <c r="S69" s="1107"/>
      <c r="T69" s="2009"/>
      <c r="U69" s="1184">
        <v>5</v>
      </c>
      <c r="V69" s="1461" t="str" cm="1">
        <f t="array" aca="1" ref="V69" ca="1">IF(INDIRECT("'Incentives Worksheet'!H"&amp;'Configurable Tab'!H8+10)="","",INDIRECT("'Incentives Worksheet'!H"&amp;'Configurable Tab'!H8+10))</f>
        <v/>
      </c>
      <c r="W69" s="1206" t="str" cm="1">
        <f t="array" aca="1" ref="W69" ca="1">IF(INDIRECT("'Incentives Worksheet'!J"&amp;'Configurable Tab'!H8+10)="","",INDIRECT("'Incentives Worksheet'!J"&amp;'Configurable Tab'!H8+10))</f>
        <v/>
      </c>
      <c r="X69" s="1462" t="str" cm="1">
        <f t="array" aca="1" ref="X69" ca="1">IF(INDIRECT("'Incentives Worksheet'!L"&amp;'Configurable Tab'!H8+10)="","",INDIRECT("'Incentives Worksheet'!L"&amp;'Configurable Tab'!H8+10))</f>
        <v/>
      </c>
      <c r="Y69" s="1136"/>
      <c r="Z69" s="1136"/>
      <c r="AA69" s="1136"/>
      <c r="AB69" s="1136"/>
      <c r="AC69" s="1136"/>
      <c r="AD69" s="1136"/>
      <c r="AE69" s="1136"/>
      <c r="AF69" s="1136"/>
      <c r="AG69" s="1136"/>
      <c r="AH69" s="1136"/>
      <c r="AI69" s="1137"/>
      <c r="AJ69" s="1107"/>
      <c r="AK69" s="1107"/>
      <c r="AL69" s="1107"/>
      <c r="AM69" s="1107"/>
      <c r="AN69" s="1107"/>
      <c r="AO69" s="1107"/>
      <c r="AP69" s="1107"/>
      <c r="AQ69" s="1107"/>
      <c r="AR69" s="1107"/>
      <c r="AS69" s="1107"/>
      <c r="AT69" s="1107"/>
      <c r="AU69" s="1107"/>
      <c r="AV69" s="1107"/>
      <c r="AW69" s="1107"/>
      <c r="AX69" s="1107"/>
      <c r="AY69" s="1107"/>
      <c r="AZ69" s="1107"/>
      <c r="BA69" s="1107"/>
      <c r="BB69" s="1107"/>
      <c r="BC69" s="1107"/>
      <c r="BD69" s="1107"/>
      <c r="BE69" s="1107"/>
      <c r="BF69" s="1107"/>
      <c r="BG69" s="1107"/>
      <c r="BH69" s="1107"/>
      <c r="BI69" s="1107"/>
      <c r="BJ69" s="1107"/>
      <c r="BK69" s="1107"/>
      <c r="BL69" s="1107"/>
      <c r="BM69" s="1107"/>
      <c r="BN69" s="1107"/>
      <c r="BO69" s="1107"/>
      <c r="BP69" s="1107"/>
      <c r="BQ69" s="1107"/>
      <c r="BR69" s="1107"/>
      <c r="BS69" s="1107"/>
      <c r="BT69" s="1107"/>
      <c r="BU69" s="1107"/>
      <c r="BV69" s="1107"/>
      <c r="BW69" s="1107"/>
      <c r="BX69" s="1107"/>
      <c r="BY69" s="1107"/>
      <c r="BZ69" s="1107"/>
      <c r="CA69" s="1107"/>
      <c r="CB69" s="1107"/>
      <c r="CC69" s="1107"/>
      <c r="CD69" s="1107"/>
      <c r="CE69" s="1107"/>
      <c r="CF69" s="1107"/>
      <c r="CG69" s="1107"/>
      <c r="CH69" s="1107"/>
      <c r="CI69" s="1107"/>
      <c r="CJ69" s="1107"/>
      <c r="CK69" s="1107"/>
    </row>
    <row r="70" spans="1:89" ht="15.75" customHeight="1" thickBot="1" x14ac:dyDescent="0.3">
      <c r="A70" s="1107"/>
      <c r="B70" s="2006" t="s">
        <v>1858</v>
      </c>
      <c r="C70" s="1191" t="s">
        <v>1859</v>
      </c>
      <c r="D70" s="1192" t="s">
        <v>131</v>
      </c>
      <c r="E70" s="1192" t="s">
        <v>1860</v>
      </c>
      <c r="F70" s="1107"/>
      <c r="G70" s="1107"/>
      <c r="H70" s="1107"/>
      <c r="I70" s="1107"/>
      <c r="J70" s="1107"/>
      <c r="K70" s="1107"/>
      <c r="L70" s="1107"/>
      <c r="M70" s="1107"/>
      <c r="N70" s="1107"/>
      <c r="O70" s="1107"/>
      <c r="P70" s="1107"/>
      <c r="Q70" s="1108"/>
      <c r="R70" s="1107"/>
      <c r="S70" s="1107"/>
      <c r="T70" s="2006" t="s">
        <v>1858</v>
      </c>
      <c r="U70" s="1191" t="s">
        <v>1859</v>
      </c>
      <c r="V70" s="1192" t="s">
        <v>131</v>
      </c>
      <c r="W70" s="1192" t="s">
        <v>1860</v>
      </c>
      <c r="X70" s="1107"/>
      <c r="Y70" s="1107"/>
      <c r="Z70" s="1107"/>
      <c r="AA70" s="1107"/>
      <c r="AB70" s="1107"/>
      <c r="AC70" s="1107"/>
      <c r="AD70" s="1107"/>
      <c r="AE70" s="1107"/>
      <c r="AF70" s="1107"/>
      <c r="AG70" s="1107"/>
      <c r="AH70" s="1107"/>
      <c r="AI70" s="1108"/>
      <c r="AJ70" s="1107"/>
      <c r="AK70" s="1107"/>
      <c r="AL70" s="1107"/>
      <c r="AM70" s="1107"/>
      <c r="AN70" s="1107"/>
      <c r="AO70" s="1107"/>
      <c r="AP70" s="1107"/>
      <c r="AQ70" s="1107"/>
      <c r="AR70" s="1107"/>
      <c r="AS70" s="1107"/>
      <c r="AT70" s="1107"/>
      <c r="AU70" s="1107"/>
      <c r="AV70" s="1107"/>
      <c r="AW70" s="1107"/>
      <c r="AX70" s="1107"/>
      <c r="AY70" s="1107"/>
      <c r="AZ70" s="1107"/>
      <c r="BA70" s="1107"/>
      <c r="BB70" s="1107"/>
      <c r="BC70" s="1107"/>
      <c r="BD70" s="1107"/>
      <c r="BE70" s="1107"/>
      <c r="BF70" s="1107"/>
      <c r="BG70" s="1107"/>
      <c r="BH70" s="1107"/>
      <c r="BI70" s="1107"/>
      <c r="BJ70" s="1107"/>
      <c r="BK70" s="1107"/>
      <c r="BL70" s="1107"/>
      <c r="BM70" s="1107"/>
      <c r="BN70" s="1107"/>
      <c r="BO70" s="1107"/>
      <c r="BP70" s="1107"/>
      <c r="BQ70" s="1107"/>
      <c r="BR70" s="1107"/>
      <c r="BS70" s="1107"/>
      <c r="BT70" s="1107"/>
      <c r="BU70" s="1107"/>
      <c r="BV70" s="1107"/>
      <c r="BW70" s="1107"/>
      <c r="BX70" s="1107"/>
      <c r="BY70" s="1107"/>
      <c r="BZ70" s="1107"/>
      <c r="CA70" s="1107"/>
      <c r="CB70" s="1107"/>
      <c r="CC70" s="1107"/>
      <c r="CD70" s="1107"/>
      <c r="CE70" s="1107"/>
      <c r="CF70" s="1107"/>
      <c r="CG70" s="1107"/>
      <c r="CH70" s="1107"/>
      <c r="CI70" s="1107"/>
      <c r="CJ70" s="1107"/>
      <c r="CK70" s="1107"/>
    </row>
    <row r="71" spans="1:89" x14ac:dyDescent="0.25">
      <c r="A71" s="1107"/>
      <c r="B71" s="2011"/>
      <c r="C71" s="1141" t="s">
        <v>1861</v>
      </c>
      <c r="D71" s="1141" t="s">
        <v>1862</v>
      </c>
      <c r="E71" s="1142"/>
      <c r="F71" s="1107"/>
      <c r="G71" s="1107"/>
      <c r="H71" s="1107"/>
      <c r="I71" s="1107"/>
      <c r="J71" s="1107"/>
      <c r="K71" s="1107"/>
      <c r="L71" s="1107"/>
      <c r="M71" s="1107"/>
      <c r="N71" s="1107"/>
      <c r="O71" s="1107"/>
      <c r="P71" s="1107"/>
      <c r="Q71" s="1108"/>
      <c r="R71" s="1107"/>
      <c r="S71" s="1107"/>
      <c r="T71" s="2011"/>
      <c r="U71" s="1141" t="s">
        <v>1861</v>
      </c>
      <c r="V71" s="1141" t="s">
        <v>1862</v>
      </c>
      <c r="W71" s="1142"/>
      <c r="X71" s="1107"/>
      <c r="Y71" s="1107"/>
      <c r="Z71" s="1107"/>
      <c r="AA71" s="1107"/>
      <c r="AB71" s="1107"/>
      <c r="AC71" s="1107"/>
      <c r="AD71" s="1107"/>
      <c r="AE71" s="1107"/>
      <c r="AF71" s="1107"/>
      <c r="AG71" s="1107"/>
      <c r="AH71" s="1107"/>
      <c r="AI71" s="1108"/>
      <c r="AJ71" s="1107"/>
      <c r="AK71" s="1107"/>
      <c r="AL71" s="1107"/>
      <c r="AM71" s="1107"/>
      <c r="AN71" s="1107"/>
      <c r="AO71" s="1107"/>
      <c r="AP71" s="1107"/>
      <c r="AQ71" s="1107"/>
      <c r="AR71" s="1107"/>
      <c r="AS71" s="1107"/>
      <c r="AT71" s="1107"/>
      <c r="AU71" s="1107"/>
      <c r="AV71" s="1107"/>
      <c r="AW71" s="1107"/>
      <c r="AX71" s="1107"/>
      <c r="AY71" s="1107"/>
      <c r="AZ71" s="1107"/>
      <c r="BA71" s="1107"/>
      <c r="BB71" s="1107"/>
      <c r="BC71" s="1107"/>
      <c r="BD71" s="1107"/>
      <c r="BE71" s="1107"/>
      <c r="BF71" s="1107"/>
      <c r="BG71" s="1107"/>
      <c r="BH71" s="1107"/>
      <c r="BI71" s="1107"/>
      <c r="BJ71" s="1107"/>
      <c r="BK71" s="1107"/>
      <c r="BL71" s="1107"/>
      <c r="BM71" s="1107"/>
      <c r="BN71" s="1107"/>
      <c r="BO71" s="1107"/>
      <c r="BP71" s="1107"/>
      <c r="BQ71" s="1107"/>
      <c r="BR71" s="1107"/>
      <c r="BS71" s="1107"/>
      <c r="BT71" s="1107"/>
      <c r="BU71" s="1107"/>
      <c r="BV71" s="1107"/>
      <c r="BW71" s="1107"/>
      <c r="BX71" s="1107"/>
      <c r="BY71" s="1107"/>
      <c r="BZ71" s="1107"/>
      <c r="CA71" s="1107"/>
      <c r="CB71" s="1107"/>
      <c r="CC71" s="1107"/>
      <c r="CD71" s="1107"/>
      <c r="CE71" s="1107"/>
      <c r="CF71" s="1107"/>
      <c r="CG71" s="1107"/>
      <c r="CH71" s="1107"/>
      <c r="CI71" s="1107"/>
      <c r="CJ71" s="1107"/>
      <c r="CK71" s="1107"/>
    </row>
    <row r="72" spans="1:89" x14ac:dyDescent="0.25">
      <c r="A72" s="1107"/>
      <c r="B72" s="2011"/>
      <c r="C72" s="1143" t="s">
        <v>1861</v>
      </c>
      <c r="D72" s="1143" t="s">
        <v>1863</v>
      </c>
      <c r="E72" s="1144" t="s">
        <v>1864</v>
      </c>
      <c r="F72" s="1107"/>
      <c r="G72" s="1107"/>
      <c r="H72" s="1107"/>
      <c r="I72" s="1107"/>
      <c r="J72" s="1107"/>
      <c r="K72" s="1107"/>
      <c r="L72" s="1107"/>
      <c r="M72" s="1107"/>
      <c r="N72" s="1107"/>
      <c r="O72" s="1107"/>
      <c r="P72" s="1107"/>
      <c r="Q72" s="1108"/>
      <c r="R72" s="1107"/>
      <c r="S72" s="1107"/>
      <c r="T72" s="2011"/>
      <c r="U72" s="1143" t="s">
        <v>1861</v>
      </c>
      <c r="V72" s="1143" t="s">
        <v>1863</v>
      </c>
      <c r="W72" s="1144" t="s">
        <v>1864</v>
      </c>
      <c r="X72" s="1107"/>
      <c r="Y72" s="1107"/>
      <c r="Z72" s="1107"/>
      <c r="AA72" s="1107"/>
      <c r="AB72" s="1107"/>
      <c r="AC72" s="1107"/>
      <c r="AD72" s="1107"/>
      <c r="AE72" s="1107"/>
      <c r="AF72" s="1107"/>
      <c r="AG72" s="1107"/>
      <c r="AH72" s="1107"/>
      <c r="AI72" s="1108"/>
      <c r="AJ72" s="1107"/>
      <c r="AK72" s="1107"/>
      <c r="AL72" s="1107"/>
      <c r="AM72" s="1107"/>
      <c r="AN72" s="1107"/>
      <c r="AO72" s="1107"/>
      <c r="AP72" s="1107"/>
      <c r="AQ72" s="1107"/>
      <c r="AR72" s="1107"/>
      <c r="AS72" s="1107"/>
      <c r="AT72" s="1107"/>
      <c r="AU72" s="1107"/>
      <c r="AV72" s="1107"/>
      <c r="AW72" s="1107"/>
      <c r="AX72" s="1107"/>
      <c r="AY72" s="1107"/>
      <c r="AZ72" s="1107"/>
      <c r="BA72" s="1107"/>
      <c r="BB72" s="1107"/>
      <c r="BC72" s="1107"/>
      <c r="BD72" s="1107"/>
      <c r="BE72" s="1107"/>
      <c r="BF72" s="1107"/>
      <c r="BG72" s="1107"/>
      <c r="BH72" s="1107"/>
      <c r="BI72" s="1107"/>
      <c r="BJ72" s="1107"/>
      <c r="BK72" s="1107"/>
      <c r="BL72" s="1107"/>
      <c r="BM72" s="1107"/>
      <c r="BN72" s="1107"/>
      <c r="BO72" s="1107"/>
      <c r="BP72" s="1107"/>
      <c r="BQ72" s="1107"/>
      <c r="BR72" s="1107"/>
      <c r="BS72" s="1107"/>
      <c r="BT72" s="1107"/>
      <c r="BU72" s="1107"/>
      <c r="BV72" s="1107"/>
      <c r="BW72" s="1107"/>
      <c r="BX72" s="1107"/>
      <c r="BY72" s="1107"/>
      <c r="BZ72" s="1107"/>
      <c r="CA72" s="1107"/>
      <c r="CB72" s="1107"/>
      <c r="CC72" s="1107"/>
      <c r="CD72" s="1107"/>
      <c r="CE72" s="1107"/>
      <c r="CF72" s="1107"/>
      <c r="CG72" s="1107"/>
      <c r="CH72" s="1107"/>
      <c r="CI72" s="1107"/>
      <c r="CJ72" s="1107"/>
      <c r="CK72" s="1107"/>
    </row>
    <row r="73" spans="1:89" x14ac:dyDescent="0.25">
      <c r="A73" s="1107"/>
      <c r="B73" s="2011"/>
      <c r="C73" s="1143" t="s">
        <v>1861</v>
      </c>
      <c r="D73" s="1143" t="s">
        <v>1865</v>
      </c>
      <c r="E73" s="1144" t="s">
        <v>1699</v>
      </c>
      <c r="F73" s="1107"/>
      <c r="G73" s="1107"/>
      <c r="H73" s="1107"/>
      <c r="I73" s="1107"/>
      <c r="J73" s="1107"/>
      <c r="K73" s="1107"/>
      <c r="L73" s="1107"/>
      <c r="M73" s="1107"/>
      <c r="N73" s="1107"/>
      <c r="O73" s="1107"/>
      <c r="P73" s="1107"/>
      <c r="Q73" s="1108"/>
      <c r="R73" s="1107"/>
      <c r="S73" s="1107"/>
      <c r="T73" s="2011"/>
      <c r="U73" s="1143" t="s">
        <v>1861</v>
      </c>
      <c r="V73" s="1143" t="s">
        <v>1865</v>
      </c>
      <c r="W73" s="1144" t="s">
        <v>1699</v>
      </c>
      <c r="X73" s="1107"/>
      <c r="Y73" s="1107"/>
      <c r="Z73" s="1107"/>
      <c r="AA73" s="1107"/>
      <c r="AB73" s="1107"/>
      <c r="AC73" s="1107"/>
      <c r="AD73" s="1107"/>
      <c r="AE73" s="1107"/>
      <c r="AF73" s="1107"/>
      <c r="AG73" s="1107"/>
      <c r="AH73" s="1107"/>
      <c r="AI73" s="1108"/>
      <c r="AJ73" s="1107"/>
      <c r="AK73" s="1107"/>
      <c r="AL73" s="1107"/>
      <c r="AM73" s="1107"/>
      <c r="AN73" s="1107"/>
      <c r="AO73" s="1107"/>
      <c r="AP73" s="1107"/>
      <c r="AQ73" s="1107"/>
      <c r="AR73" s="1107"/>
      <c r="AS73" s="1107"/>
      <c r="AT73" s="1107"/>
      <c r="AU73" s="1107"/>
      <c r="AV73" s="1107"/>
      <c r="AW73" s="1107"/>
      <c r="AX73" s="1107"/>
      <c r="AY73" s="1107"/>
      <c r="AZ73" s="1107"/>
      <c r="BA73" s="1107"/>
      <c r="BB73" s="1107"/>
      <c r="BC73" s="1107"/>
      <c r="BD73" s="1107"/>
      <c r="BE73" s="1107"/>
      <c r="BF73" s="1107"/>
      <c r="BG73" s="1107"/>
      <c r="BH73" s="1107"/>
      <c r="BI73" s="1107"/>
      <c r="BJ73" s="1107"/>
      <c r="BK73" s="1107"/>
      <c r="BL73" s="1107"/>
      <c r="BM73" s="1107"/>
      <c r="BN73" s="1107"/>
      <c r="BO73" s="1107"/>
      <c r="BP73" s="1107"/>
      <c r="BQ73" s="1107"/>
      <c r="BR73" s="1107"/>
      <c r="BS73" s="1107"/>
      <c r="BT73" s="1107"/>
      <c r="BU73" s="1107"/>
      <c r="BV73" s="1107"/>
      <c r="BW73" s="1107"/>
      <c r="BX73" s="1107"/>
      <c r="BY73" s="1107"/>
      <c r="BZ73" s="1107"/>
      <c r="CA73" s="1107"/>
      <c r="CB73" s="1107"/>
      <c r="CC73" s="1107"/>
      <c r="CD73" s="1107"/>
      <c r="CE73" s="1107"/>
      <c r="CF73" s="1107"/>
      <c r="CG73" s="1107"/>
      <c r="CH73" s="1107"/>
      <c r="CI73" s="1107"/>
      <c r="CJ73" s="1107"/>
      <c r="CK73" s="1107"/>
    </row>
    <row r="74" spans="1:89" ht="15.75" customHeight="1" thickBot="1" x14ac:dyDescent="0.3">
      <c r="A74" s="1107"/>
      <c r="B74" s="2010"/>
      <c r="C74" s="1145" t="s">
        <v>1861</v>
      </c>
      <c r="D74" s="1145" t="s">
        <v>1866</v>
      </c>
      <c r="E74" s="1146" t="s">
        <v>1867</v>
      </c>
      <c r="F74" s="1107"/>
      <c r="G74" s="1107"/>
      <c r="H74" s="1107"/>
      <c r="I74" s="1107"/>
      <c r="J74" s="1107"/>
      <c r="K74" s="1107"/>
      <c r="L74" s="1107"/>
      <c r="M74" s="1107"/>
      <c r="N74" s="1107"/>
      <c r="O74" s="1107"/>
      <c r="P74" s="1107"/>
      <c r="Q74" s="1108"/>
      <c r="R74" s="1107"/>
      <c r="S74" s="1107"/>
      <c r="T74" s="2010"/>
      <c r="U74" s="1145" t="s">
        <v>1861</v>
      </c>
      <c r="V74" s="1145" t="s">
        <v>1866</v>
      </c>
      <c r="W74" s="1146" t="s">
        <v>1867</v>
      </c>
      <c r="X74" s="1107"/>
      <c r="Y74" s="1107"/>
      <c r="Z74" s="1107"/>
      <c r="AA74" s="1107"/>
      <c r="AB74" s="1107"/>
      <c r="AC74" s="1107"/>
      <c r="AD74" s="1107"/>
      <c r="AE74" s="1107"/>
      <c r="AF74" s="1107"/>
      <c r="AG74" s="1107"/>
      <c r="AH74" s="1107"/>
      <c r="AI74" s="1108"/>
      <c r="AJ74" s="1107"/>
      <c r="AK74" s="1107"/>
      <c r="AL74" s="1107"/>
      <c r="AM74" s="1107"/>
      <c r="AN74" s="1107"/>
      <c r="AO74" s="1107"/>
      <c r="AP74" s="1107"/>
      <c r="AQ74" s="1107"/>
      <c r="AR74" s="1107"/>
      <c r="AS74" s="1107"/>
      <c r="AT74" s="1107"/>
      <c r="AU74" s="1107"/>
      <c r="AV74" s="1107"/>
      <c r="AW74" s="1107"/>
      <c r="AX74" s="1107"/>
      <c r="AY74" s="1107"/>
      <c r="AZ74" s="1107"/>
      <c r="BA74" s="1107"/>
      <c r="BB74" s="1107"/>
      <c r="BC74" s="1107"/>
      <c r="BD74" s="1107"/>
      <c r="BE74" s="1107"/>
      <c r="BF74" s="1107"/>
      <c r="BG74" s="1107"/>
      <c r="BH74" s="1107"/>
      <c r="BI74" s="1107"/>
      <c r="BJ74" s="1107"/>
      <c r="BK74" s="1107"/>
      <c r="BL74" s="1107"/>
      <c r="BM74" s="1107"/>
      <c r="BN74" s="1107"/>
      <c r="BO74" s="1107"/>
      <c r="BP74" s="1107"/>
      <c r="BQ74" s="1107"/>
      <c r="BR74" s="1107"/>
      <c r="BS74" s="1107"/>
      <c r="BT74" s="1107"/>
      <c r="BU74" s="1107"/>
      <c r="BV74" s="1107"/>
      <c r="BW74" s="1107"/>
      <c r="BX74" s="1107"/>
      <c r="BY74" s="1107"/>
      <c r="BZ74" s="1107"/>
      <c r="CA74" s="1107"/>
      <c r="CB74" s="1107"/>
      <c r="CC74" s="1107"/>
      <c r="CD74" s="1107"/>
      <c r="CE74" s="1107"/>
      <c r="CF74" s="1107"/>
      <c r="CG74" s="1107"/>
      <c r="CH74" s="1107"/>
      <c r="CI74" s="1107"/>
      <c r="CJ74" s="1107"/>
      <c r="CK74" s="1107"/>
    </row>
    <row r="75" spans="1:89" ht="15.75" customHeight="1" thickBot="1" x14ac:dyDescent="0.3">
      <c r="A75" s="1107"/>
      <c r="B75" s="2006" t="s">
        <v>1868</v>
      </c>
      <c r="C75" s="1147" t="s">
        <v>1869</v>
      </c>
      <c r="D75" s="1148" t="s">
        <v>1859</v>
      </c>
      <c r="E75" s="1148" t="s">
        <v>131</v>
      </c>
      <c r="F75" s="1148" t="s">
        <v>1860</v>
      </c>
      <c r="G75" s="1148" t="s">
        <v>1870</v>
      </c>
      <c r="H75" s="1149" t="s">
        <v>1871</v>
      </c>
      <c r="I75" s="1150" t="s">
        <v>766</v>
      </c>
      <c r="J75" s="1150" t="s">
        <v>767</v>
      </c>
      <c r="K75" s="1150" t="s">
        <v>768</v>
      </c>
      <c r="L75" s="1150" t="s">
        <v>769</v>
      </c>
      <c r="M75" s="1150" t="s">
        <v>204</v>
      </c>
      <c r="N75" s="1107"/>
      <c r="O75" s="1107"/>
      <c r="P75" s="1107"/>
      <c r="Q75" s="1108"/>
      <c r="R75" s="1107"/>
      <c r="S75" s="1107"/>
      <c r="T75" s="2006" t="s">
        <v>1868</v>
      </c>
      <c r="U75" s="1147" t="s">
        <v>1869</v>
      </c>
      <c r="V75" s="1148" t="s">
        <v>1859</v>
      </c>
      <c r="W75" s="1148" t="s">
        <v>131</v>
      </c>
      <c r="X75" s="1148" t="s">
        <v>1860</v>
      </c>
      <c r="Y75" s="1148" t="s">
        <v>1870</v>
      </c>
      <c r="Z75" s="1149" t="s">
        <v>1871</v>
      </c>
      <c r="AA75" s="1150" t="s">
        <v>766</v>
      </c>
      <c r="AB75" s="1150" t="s">
        <v>767</v>
      </c>
      <c r="AC75" s="1150" t="s">
        <v>768</v>
      </c>
      <c r="AD75" s="1150" t="s">
        <v>769</v>
      </c>
      <c r="AE75" s="1150" t="s">
        <v>204</v>
      </c>
      <c r="AF75" s="1107"/>
      <c r="AG75" s="1107"/>
      <c r="AH75" s="1107"/>
      <c r="AI75" s="1108"/>
      <c r="AJ75" s="1107"/>
      <c r="AK75" s="1107"/>
      <c r="AL75" s="1107"/>
      <c r="AM75" s="1107"/>
      <c r="AN75" s="1107"/>
      <c r="AO75" s="1107"/>
      <c r="AP75" s="1107"/>
      <c r="AQ75" s="1107"/>
      <c r="AR75" s="1107"/>
      <c r="AS75" s="1107"/>
      <c r="AT75" s="1107"/>
      <c r="AU75" s="1107"/>
      <c r="AV75" s="1107"/>
      <c r="AW75" s="1107"/>
      <c r="AX75" s="1107"/>
      <c r="AY75" s="1107"/>
      <c r="AZ75" s="1107"/>
      <c r="BA75" s="1107"/>
      <c r="BB75" s="1107"/>
      <c r="BC75" s="1107"/>
      <c r="BD75" s="1107"/>
      <c r="BE75" s="1107"/>
      <c r="BF75" s="1107"/>
      <c r="BG75" s="1107"/>
      <c r="BH75" s="1107"/>
      <c r="BI75" s="1107"/>
      <c r="BJ75" s="1107"/>
      <c r="BK75" s="1107"/>
      <c r="BL75" s="1107"/>
      <c r="BM75" s="1107"/>
      <c r="BN75" s="1107"/>
      <c r="BO75" s="1107"/>
      <c r="BP75" s="1107"/>
      <c r="BQ75" s="1107"/>
      <c r="BR75" s="1107"/>
      <c r="BS75" s="1107"/>
      <c r="BT75" s="1107"/>
      <c r="BU75" s="1107"/>
      <c r="BV75" s="1107"/>
      <c r="BW75" s="1107"/>
      <c r="BX75" s="1107"/>
      <c r="BY75" s="1107"/>
      <c r="BZ75" s="1107"/>
      <c r="CA75" s="1107"/>
      <c r="CB75" s="1107"/>
      <c r="CC75" s="1107"/>
      <c r="CD75" s="1107"/>
      <c r="CE75" s="1107"/>
      <c r="CF75" s="1107"/>
      <c r="CG75" s="1107"/>
      <c r="CH75" s="1107"/>
      <c r="CI75" s="1107"/>
      <c r="CJ75" s="1107"/>
      <c r="CK75" s="1107"/>
    </row>
    <row r="76" spans="1:89" x14ac:dyDescent="0.25">
      <c r="A76" s="1107"/>
      <c r="B76" s="2008"/>
      <c r="C76" s="1151">
        <v>1</v>
      </c>
      <c r="D76" s="1144" t="s">
        <v>1872</v>
      </c>
      <c r="E76" s="1144" t="s">
        <v>1426</v>
      </c>
      <c r="F76" s="1144" t="str">
        <f>'Required Info to Submit'!E23</f>
        <v/>
      </c>
      <c r="G76" s="1414" t="str">
        <f>IF(F76="","",'Required Info to Submit'!K23)</f>
        <v/>
      </c>
      <c r="H76" s="1415" t="str">
        <f>IF(F76="","",'Required Info to Submit'!L23)</f>
        <v/>
      </c>
      <c r="I76" s="1144" t="str">
        <f>'Required Info to Submit'!F23</f>
        <v/>
      </c>
      <c r="J76" s="1144" t="str">
        <f>'Required Info to Submit'!G23</f>
        <v/>
      </c>
      <c r="K76" s="1144" t="str">
        <f>'Required Info to Submit'!H23</f>
        <v/>
      </c>
      <c r="L76" s="1144" t="str">
        <f>'Required Info to Submit'!I23</f>
        <v/>
      </c>
      <c r="M76" s="1144" t="str">
        <f>'Required Info to Submit'!J23</f>
        <v/>
      </c>
      <c r="N76" s="1107"/>
      <c r="O76" s="1107"/>
      <c r="P76" s="1107"/>
      <c r="Q76" s="1108"/>
      <c r="R76" s="1107"/>
      <c r="S76" s="1107"/>
      <c r="T76" s="2008"/>
      <c r="U76" s="1151">
        <v>1</v>
      </c>
      <c r="V76" s="1144" t="s">
        <v>1872</v>
      </c>
      <c r="W76" s="1144" t="s">
        <v>1426</v>
      </c>
      <c r="X76" s="1144" t="str">
        <f>'Required Info to Submit'!E23</f>
        <v/>
      </c>
      <c r="Y76" s="1414" t="str">
        <f>IF(X76="","",'Required Info to Submit'!K23)</f>
        <v/>
      </c>
      <c r="Z76" s="1415" t="str">
        <f>IF(X76="","",'Required Info to Submit'!L23)</f>
        <v/>
      </c>
      <c r="AA76" s="1144" t="str">
        <f>'Required Info to Submit'!F23</f>
        <v/>
      </c>
      <c r="AB76" s="1144" t="str">
        <f>'Required Info to Submit'!G23</f>
        <v/>
      </c>
      <c r="AC76" s="1144" t="str">
        <f>'Required Info to Submit'!H23</f>
        <v/>
      </c>
      <c r="AD76" s="1144" t="str">
        <f>'Required Info to Submit'!I23</f>
        <v/>
      </c>
      <c r="AE76" s="1144" t="str">
        <f>'Required Info to Submit'!J23</f>
        <v/>
      </c>
      <c r="AF76" s="1107"/>
      <c r="AG76" s="1107"/>
      <c r="AH76" s="1107"/>
      <c r="AI76" s="1108"/>
      <c r="AJ76" s="1107"/>
      <c r="AK76" s="1107"/>
      <c r="AL76" s="1107"/>
      <c r="AM76" s="1107"/>
      <c r="AN76" s="1107"/>
      <c r="AO76" s="1107"/>
      <c r="AP76" s="1107"/>
      <c r="AQ76" s="1107"/>
      <c r="AR76" s="1107"/>
      <c r="AS76" s="1107"/>
      <c r="AT76" s="1107"/>
      <c r="AU76" s="1107"/>
      <c r="AV76" s="1107"/>
      <c r="AW76" s="1107"/>
      <c r="AX76" s="1107"/>
      <c r="AY76" s="1107"/>
      <c r="AZ76" s="1107"/>
      <c r="BA76" s="1107"/>
      <c r="BB76" s="1107"/>
      <c r="BC76" s="1107"/>
      <c r="BD76" s="1107"/>
      <c r="BE76" s="1107"/>
      <c r="BF76" s="1107"/>
      <c r="BG76" s="1107"/>
      <c r="BH76" s="1107"/>
      <c r="BI76" s="1107"/>
      <c r="BJ76" s="1107"/>
      <c r="BK76" s="1107"/>
      <c r="BL76" s="1107"/>
      <c r="BM76" s="1107"/>
      <c r="BN76" s="1107"/>
      <c r="BO76" s="1107"/>
      <c r="BP76" s="1107"/>
      <c r="BQ76" s="1107"/>
      <c r="BR76" s="1107"/>
      <c r="BS76" s="1107"/>
      <c r="BT76" s="1107"/>
      <c r="BU76" s="1107"/>
      <c r="BV76" s="1107"/>
      <c r="BW76" s="1107"/>
      <c r="BX76" s="1107"/>
      <c r="BY76" s="1107"/>
      <c r="BZ76" s="1107"/>
      <c r="CA76" s="1107"/>
      <c r="CB76" s="1107"/>
      <c r="CC76" s="1107"/>
      <c r="CD76" s="1107"/>
      <c r="CE76" s="1107"/>
      <c r="CF76" s="1107"/>
      <c r="CG76" s="1107"/>
      <c r="CH76" s="1107"/>
      <c r="CI76" s="1107"/>
      <c r="CJ76" s="1107"/>
      <c r="CK76" s="1107"/>
    </row>
    <row r="77" spans="1:89" x14ac:dyDescent="0.25">
      <c r="A77" s="1107"/>
      <c r="B77" s="2008"/>
      <c r="C77" s="1154">
        <v>2</v>
      </c>
      <c r="D77" s="1144" t="s">
        <v>1872</v>
      </c>
      <c r="E77" s="1144" t="s">
        <v>1426</v>
      </c>
      <c r="F77" s="1144" t="str">
        <f>'Required Info to Submit'!E24</f>
        <v/>
      </c>
      <c r="G77" s="1414" t="str">
        <f>IF(F77="","",'Required Info to Submit'!K24)</f>
        <v/>
      </c>
      <c r="H77" s="1415" t="str">
        <f>IF(F77="","",'Required Info to Submit'!L24)</f>
        <v/>
      </c>
      <c r="I77" s="1144" t="str">
        <f>'Required Info to Submit'!F24</f>
        <v/>
      </c>
      <c r="J77" s="1144" t="str">
        <f>'Required Info to Submit'!G24</f>
        <v/>
      </c>
      <c r="K77" s="1144" t="str">
        <f>'Required Info to Submit'!H24</f>
        <v/>
      </c>
      <c r="L77" s="1144" t="str">
        <f>'Required Info to Submit'!I24</f>
        <v/>
      </c>
      <c r="M77" s="1144" t="str">
        <f>'Required Info to Submit'!J24</f>
        <v/>
      </c>
      <c r="N77" s="1107"/>
      <c r="O77" s="1107"/>
      <c r="P77" s="1107"/>
      <c r="Q77" s="1108"/>
      <c r="R77" s="1107"/>
      <c r="S77" s="1107"/>
      <c r="T77" s="2008"/>
      <c r="U77" s="1154">
        <v>2</v>
      </c>
      <c r="V77" s="1144" t="s">
        <v>1872</v>
      </c>
      <c r="W77" s="1144" t="s">
        <v>1426</v>
      </c>
      <c r="X77" s="1144" t="str">
        <f>'Required Info to Submit'!E24</f>
        <v/>
      </c>
      <c r="Y77" s="1414" t="str">
        <f>IF(X77="","",'Required Info to Submit'!K24)</f>
        <v/>
      </c>
      <c r="Z77" s="1415" t="str">
        <f>IF(X77="","",'Required Info to Submit'!L24)</f>
        <v/>
      </c>
      <c r="AA77" s="1144" t="str">
        <f>'Required Info to Submit'!F24</f>
        <v/>
      </c>
      <c r="AB77" s="1144" t="str">
        <f>'Required Info to Submit'!G24</f>
        <v/>
      </c>
      <c r="AC77" s="1144" t="str">
        <f>'Required Info to Submit'!H24</f>
        <v/>
      </c>
      <c r="AD77" s="1144" t="str">
        <f>'Required Info to Submit'!I24</f>
        <v/>
      </c>
      <c r="AE77" s="1144" t="str">
        <f>'Required Info to Submit'!J24</f>
        <v/>
      </c>
      <c r="AF77" s="1107"/>
      <c r="AG77" s="1107"/>
      <c r="AH77" s="1107"/>
      <c r="AI77" s="1108"/>
      <c r="AJ77" s="1107"/>
      <c r="AK77" s="1107"/>
      <c r="AL77" s="1107"/>
      <c r="AM77" s="1107"/>
      <c r="AN77" s="1107"/>
      <c r="AO77" s="1107"/>
      <c r="AP77" s="1107"/>
      <c r="AQ77" s="1107"/>
      <c r="AR77" s="1107"/>
      <c r="AS77" s="1107"/>
      <c r="AT77" s="1107"/>
      <c r="AU77" s="1107"/>
      <c r="AV77" s="1107"/>
      <c r="AW77" s="1107"/>
      <c r="AX77" s="1107"/>
      <c r="AY77" s="1107"/>
      <c r="AZ77" s="1107"/>
      <c r="BA77" s="1107"/>
      <c r="BB77" s="1107"/>
      <c r="BC77" s="1107"/>
      <c r="BD77" s="1107"/>
      <c r="BE77" s="1107"/>
      <c r="BF77" s="1107"/>
      <c r="BG77" s="1107"/>
      <c r="BH77" s="1107"/>
      <c r="BI77" s="1107"/>
      <c r="BJ77" s="1107"/>
      <c r="BK77" s="1107"/>
      <c r="BL77" s="1107"/>
      <c r="BM77" s="1107"/>
      <c r="BN77" s="1107"/>
      <c r="BO77" s="1107"/>
      <c r="BP77" s="1107"/>
      <c r="BQ77" s="1107"/>
      <c r="BR77" s="1107"/>
      <c r="BS77" s="1107"/>
      <c r="BT77" s="1107"/>
      <c r="BU77" s="1107"/>
      <c r="BV77" s="1107"/>
      <c r="BW77" s="1107"/>
      <c r="BX77" s="1107"/>
      <c r="BY77" s="1107"/>
      <c r="BZ77" s="1107"/>
      <c r="CA77" s="1107"/>
      <c r="CB77" s="1107"/>
      <c r="CC77" s="1107"/>
      <c r="CD77" s="1107"/>
      <c r="CE77" s="1107"/>
      <c r="CF77" s="1107"/>
      <c r="CG77" s="1107"/>
      <c r="CH77" s="1107"/>
      <c r="CI77" s="1107"/>
      <c r="CJ77" s="1107"/>
      <c r="CK77" s="1107"/>
    </row>
    <row r="78" spans="1:89" x14ac:dyDescent="0.25">
      <c r="A78" s="1107"/>
      <c r="B78" s="2008"/>
      <c r="C78" s="1154">
        <v>3</v>
      </c>
      <c r="D78" s="1144" t="s">
        <v>1872</v>
      </c>
      <c r="E78" s="1144" t="s">
        <v>1426</v>
      </c>
      <c r="F78" s="1144" t="str">
        <f>'Required Info to Submit'!E25</f>
        <v/>
      </c>
      <c r="G78" s="1414" t="str">
        <f>IF(F78="","",'Required Info to Submit'!K25)</f>
        <v/>
      </c>
      <c r="H78" s="1415" t="str">
        <f>IF(F78="","",'Required Info to Submit'!L25)</f>
        <v/>
      </c>
      <c r="I78" s="1144" t="str">
        <f>'Required Info to Submit'!F25</f>
        <v/>
      </c>
      <c r="J78" s="1144" t="str">
        <f>'Required Info to Submit'!G25</f>
        <v/>
      </c>
      <c r="K78" s="1144" t="str">
        <f>'Required Info to Submit'!H25</f>
        <v/>
      </c>
      <c r="L78" s="1144" t="str">
        <f>'Required Info to Submit'!I25</f>
        <v/>
      </c>
      <c r="M78" s="1144" t="str">
        <f>'Required Info to Submit'!J25</f>
        <v/>
      </c>
      <c r="N78" s="1107"/>
      <c r="O78" s="1107"/>
      <c r="P78" s="1107"/>
      <c r="Q78" s="1108"/>
      <c r="R78" s="1107"/>
      <c r="S78" s="1107"/>
      <c r="T78" s="2008"/>
      <c r="U78" s="1154">
        <v>3</v>
      </c>
      <c r="V78" s="1144" t="s">
        <v>1872</v>
      </c>
      <c r="W78" s="1144" t="s">
        <v>1426</v>
      </c>
      <c r="X78" s="1144" t="str">
        <f>'Required Info to Submit'!E25</f>
        <v/>
      </c>
      <c r="Y78" s="1414" t="str">
        <f>IF(X78="","",'Required Info to Submit'!K25)</f>
        <v/>
      </c>
      <c r="Z78" s="1415" t="str">
        <f>IF(X78="","",'Required Info to Submit'!L25)</f>
        <v/>
      </c>
      <c r="AA78" s="1144" t="str">
        <f>'Required Info to Submit'!F25</f>
        <v/>
      </c>
      <c r="AB78" s="1144" t="str">
        <f>'Required Info to Submit'!G25</f>
        <v/>
      </c>
      <c r="AC78" s="1144" t="str">
        <f>'Required Info to Submit'!H25</f>
        <v/>
      </c>
      <c r="AD78" s="1144" t="str">
        <f>'Required Info to Submit'!I25</f>
        <v/>
      </c>
      <c r="AE78" s="1144" t="str">
        <f>'Required Info to Submit'!J25</f>
        <v/>
      </c>
      <c r="AF78" s="1107"/>
      <c r="AG78" s="1107"/>
      <c r="AH78" s="1107"/>
      <c r="AI78" s="1108"/>
      <c r="AJ78" s="1107"/>
      <c r="AK78" s="1107"/>
      <c r="AL78" s="1107"/>
      <c r="AM78" s="1107"/>
      <c r="AN78" s="1107"/>
      <c r="AO78" s="1107"/>
      <c r="AP78" s="1107"/>
      <c r="AQ78" s="1107"/>
      <c r="AR78" s="1107"/>
      <c r="AS78" s="1107"/>
      <c r="AT78" s="1107"/>
      <c r="AU78" s="1107"/>
      <c r="AV78" s="1107"/>
      <c r="AW78" s="1107"/>
      <c r="AX78" s="1107"/>
      <c r="AY78" s="1107"/>
      <c r="AZ78" s="1107"/>
      <c r="BA78" s="1107"/>
      <c r="BB78" s="1107"/>
      <c r="BC78" s="1107"/>
      <c r="BD78" s="1107"/>
      <c r="BE78" s="1107"/>
      <c r="BF78" s="1107"/>
      <c r="BG78" s="1107"/>
      <c r="BH78" s="1107"/>
      <c r="BI78" s="1107"/>
      <c r="BJ78" s="1107"/>
      <c r="BK78" s="1107"/>
      <c r="BL78" s="1107"/>
      <c r="BM78" s="1107"/>
      <c r="BN78" s="1107"/>
      <c r="BO78" s="1107"/>
      <c r="BP78" s="1107"/>
      <c r="BQ78" s="1107"/>
      <c r="BR78" s="1107"/>
      <c r="BS78" s="1107"/>
      <c r="BT78" s="1107"/>
      <c r="BU78" s="1107"/>
      <c r="BV78" s="1107"/>
      <c r="BW78" s="1107"/>
      <c r="BX78" s="1107"/>
      <c r="BY78" s="1107"/>
      <c r="BZ78" s="1107"/>
      <c r="CA78" s="1107"/>
      <c r="CB78" s="1107"/>
      <c r="CC78" s="1107"/>
      <c r="CD78" s="1107"/>
      <c r="CE78" s="1107"/>
      <c r="CF78" s="1107"/>
      <c r="CG78" s="1107"/>
      <c r="CH78" s="1107"/>
      <c r="CI78" s="1107"/>
      <c r="CJ78" s="1107"/>
      <c r="CK78" s="1107"/>
    </row>
    <row r="79" spans="1:89" x14ac:dyDescent="0.25">
      <c r="A79" s="1107"/>
      <c r="B79" s="2008"/>
      <c r="C79" s="1154">
        <v>4</v>
      </c>
      <c r="D79" s="1144" t="s">
        <v>1872</v>
      </c>
      <c r="E79" s="1144" t="s">
        <v>1426</v>
      </c>
      <c r="F79" s="1144" t="str">
        <f>'Required Info to Submit'!E26</f>
        <v/>
      </c>
      <c r="G79" s="1414" t="str">
        <f>IF(F79="","",'Required Info to Submit'!K26)</f>
        <v/>
      </c>
      <c r="H79" s="1415" t="str">
        <f>IF(F79="","",'Required Info to Submit'!L26)</f>
        <v/>
      </c>
      <c r="I79" s="1144" t="str">
        <f>'Required Info to Submit'!F26</f>
        <v/>
      </c>
      <c r="J79" s="1144" t="str">
        <f>'Required Info to Submit'!G26</f>
        <v/>
      </c>
      <c r="K79" s="1144" t="str">
        <f>'Required Info to Submit'!H26</f>
        <v/>
      </c>
      <c r="L79" s="1144" t="str">
        <f>'Required Info to Submit'!I26</f>
        <v/>
      </c>
      <c r="M79" s="1144" t="str">
        <f>'Required Info to Submit'!J26</f>
        <v/>
      </c>
      <c r="N79" s="1107"/>
      <c r="O79" s="1107"/>
      <c r="P79" s="1107"/>
      <c r="Q79" s="1108"/>
      <c r="R79" s="1107"/>
      <c r="S79" s="1107"/>
      <c r="T79" s="2008"/>
      <c r="U79" s="1154">
        <v>4</v>
      </c>
      <c r="V79" s="1144" t="s">
        <v>1872</v>
      </c>
      <c r="W79" s="1144" t="s">
        <v>1426</v>
      </c>
      <c r="X79" s="1144" t="str">
        <f>'Required Info to Submit'!E26</f>
        <v/>
      </c>
      <c r="Y79" s="1414" t="str">
        <f>IF(X79="","",'Required Info to Submit'!K26)</f>
        <v/>
      </c>
      <c r="Z79" s="1415" t="str">
        <f>IF(X79="","",'Required Info to Submit'!L26)</f>
        <v/>
      </c>
      <c r="AA79" s="1144" t="str">
        <f>'Required Info to Submit'!F26</f>
        <v/>
      </c>
      <c r="AB79" s="1144" t="str">
        <f>'Required Info to Submit'!G26</f>
        <v/>
      </c>
      <c r="AC79" s="1144" t="str">
        <f>'Required Info to Submit'!H26</f>
        <v/>
      </c>
      <c r="AD79" s="1144" t="str">
        <f>'Required Info to Submit'!I26</f>
        <v/>
      </c>
      <c r="AE79" s="1144" t="str">
        <f>'Required Info to Submit'!J26</f>
        <v/>
      </c>
      <c r="AF79" s="1107"/>
      <c r="AG79" s="1107"/>
      <c r="AH79" s="1107"/>
      <c r="AI79" s="1108"/>
      <c r="AJ79" s="1107"/>
      <c r="AK79" s="1107"/>
      <c r="AL79" s="1107"/>
      <c r="AM79" s="1107"/>
      <c r="AN79" s="1107"/>
      <c r="AO79" s="1107"/>
      <c r="AP79" s="1107"/>
      <c r="AQ79" s="1107"/>
      <c r="AR79" s="1107"/>
      <c r="AS79" s="1107"/>
      <c r="AT79" s="1107"/>
      <c r="AU79" s="1107"/>
      <c r="AV79" s="1107"/>
      <c r="AW79" s="1107"/>
      <c r="AX79" s="1107"/>
      <c r="AY79" s="1107"/>
      <c r="AZ79" s="1107"/>
      <c r="BA79" s="1107"/>
      <c r="BB79" s="1107"/>
      <c r="BC79" s="1107"/>
      <c r="BD79" s="1107"/>
      <c r="BE79" s="1107"/>
      <c r="BF79" s="1107"/>
      <c r="BG79" s="1107"/>
      <c r="BH79" s="1107"/>
      <c r="BI79" s="1107"/>
      <c r="BJ79" s="1107"/>
      <c r="BK79" s="1107"/>
      <c r="BL79" s="1107"/>
      <c r="BM79" s="1107"/>
      <c r="BN79" s="1107"/>
      <c r="BO79" s="1107"/>
      <c r="BP79" s="1107"/>
      <c r="BQ79" s="1107"/>
      <c r="BR79" s="1107"/>
      <c r="BS79" s="1107"/>
      <c r="BT79" s="1107"/>
      <c r="BU79" s="1107"/>
      <c r="BV79" s="1107"/>
      <c r="BW79" s="1107"/>
      <c r="BX79" s="1107"/>
      <c r="BY79" s="1107"/>
      <c r="BZ79" s="1107"/>
      <c r="CA79" s="1107"/>
      <c r="CB79" s="1107"/>
      <c r="CC79" s="1107"/>
      <c r="CD79" s="1107"/>
      <c r="CE79" s="1107"/>
      <c r="CF79" s="1107"/>
      <c r="CG79" s="1107"/>
      <c r="CH79" s="1107"/>
      <c r="CI79" s="1107"/>
      <c r="CJ79" s="1107"/>
      <c r="CK79" s="1107"/>
    </row>
    <row r="80" spans="1:89" x14ac:dyDescent="0.25">
      <c r="A80" s="1107"/>
      <c r="B80" s="2008"/>
      <c r="C80" s="1154">
        <v>5</v>
      </c>
      <c r="D80" s="1144" t="s">
        <v>1872</v>
      </c>
      <c r="E80" s="1144" t="s">
        <v>1426</v>
      </c>
      <c r="F80" s="1144" t="str">
        <f>'Required Info to Submit'!E27</f>
        <v/>
      </c>
      <c r="G80" s="1414" t="str">
        <f>IF(F80="","",'Required Info to Submit'!K27)</f>
        <v/>
      </c>
      <c r="H80" s="1415" t="str">
        <f>IF(F80="","",'Required Info to Submit'!L27)</f>
        <v/>
      </c>
      <c r="I80" s="1144" t="str">
        <f>'Required Info to Submit'!F27</f>
        <v/>
      </c>
      <c r="J80" s="1144" t="str">
        <f>'Required Info to Submit'!G27</f>
        <v/>
      </c>
      <c r="K80" s="1144" t="str">
        <f>'Required Info to Submit'!H27</f>
        <v/>
      </c>
      <c r="L80" s="1144" t="str">
        <f>'Required Info to Submit'!I27</f>
        <v/>
      </c>
      <c r="M80" s="1144" t="str">
        <f>'Required Info to Submit'!J27</f>
        <v/>
      </c>
      <c r="N80" s="1107"/>
      <c r="O80" s="1107"/>
      <c r="P80" s="1107"/>
      <c r="Q80" s="1108"/>
      <c r="R80" s="1107"/>
      <c r="S80" s="1107"/>
      <c r="T80" s="2008"/>
      <c r="U80" s="1154">
        <v>5</v>
      </c>
      <c r="V80" s="1144" t="s">
        <v>1872</v>
      </c>
      <c r="W80" s="1144" t="s">
        <v>1426</v>
      </c>
      <c r="X80" s="1144" t="str">
        <f>'Required Info to Submit'!E27</f>
        <v/>
      </c>
      <c r="Y80" s="1414" t="str">
        <f>IF(X80="","",'Required Info to Submit'!K27)</f>
        <v/>
      </c>
      <c r="Z80" s="1415" t="str">
        <f>IF(X80="","",'Required Info to Submit'!L27)</f>
        <v/>
      </c>
      <c r="AA80" s="1144" t="str">
        <f>'Required Info to Submit'!F27</f>
        <v/>
      </c>
      <c r="AB80" s="1144" t="str">
        <f>'Required Info to Submit'!G27</f>
        <v/>
      </c>
      <c r="AC80" s="1144" t="str">
        <f>'Required Info to Submit'!H27</f>
        <v/>
      </c>
      <c r="AD80" s="1144" t="str">
        <f>'Required Info to Submit'!I27</f>
        <v/>
      </c>
      <c r="AE80" s="1144" t="str">
        <f>'Required Info to Submit'!J27</f>
        <v/>
      </c>
      <c r="AF80" s="1107"/>
      <c r="AG80" s="1107"/>
      <c r="AH80" s="1107"/>
      <c r="AI80" s="1108"/>
      <c r="AJ80" s="1107"/>
      <c r="AK80" s="1107"/>
      <c r="AL80" s="1107"/>
      <c r="AM80" s="1107"/>
      <c r="AN80" s="1107"/>
      <c r="AO80" s="1107"/>
      <c r="AP80" s="1107"/>
      <c r="AQ80" s="1107"/>
      <c r="AR80" s="1107"/>
      <c r="AS80" s="1107"/>
      <c r="AT80" s="1107"/>
      <c r="AU80" s="1107"/>
      <c r="AV80" s="1107"/>
      <c r="AW80" s="1107"/>
      <c r="AX80" s="1107"/>
      <c r="AY80" s="1107"/>
      <c r="AZ80" s="1107"/>
      <c r="BA80" s="1107"/>
      <c r="BB80" s="1107"/>
      <c r="BC80" s="1107"/>
      <c r="BD80" s="1107"/>
      <c r="BE80" s="1107"/>
      <c r="BF80" s="1107"/>
      <c r="BG80" s="1107"/>
      <c r="BH80" s="1107"/>
      <c r="BI80" s="1107"/>
      <c r="BJ80" s="1107"/>
      <c r="BK80" s="1107"/>
      <c r="BL80" s="1107"/>
      <c r="BM80" s="1107"/>
      <c r="BN80" s="1107"/>
      <c r="BO80" s="1107"/>
      <c r="BP80" s="1107"/>
      <c r="BQ80" s="1107"/>
      <c r="BR80" s="1107"/>
      <c r="BS80" s="1107"/>
      <c r="BT80" s="1107"/>
      <c r="BU80" s="1107"/>
      <c r="BV80" s="1107"/>
      <c r="BW80" s="1107"/>
      <c r="BX80" s="1107"/>
      <c r="BY80" s="1107"/>
      <c r="BZ80" s="1107"/>
      <c r="CA80" s="1107"/>
      <c r="CB80" s="1107"/>
      <c r="CC80" s="1107"/>
      <c r="CD80" s="1107"/>
      <c r="CE80" s="1107"/>
      <c r="CF80" s="1107"/>
      <c r="CG80" s="1107"/>
      <c r="CH80" s="1107"/>
      <c r="CI80" s="1107"/>
      <c r="CJ80" s="1107"/>
      <c r="CK80" s="1107"/>
    </row>
    <row r="81" spans="1:89" x14ac:dyDescent="0.25">
      <c r="A81" s="1107"/>
      <c r="B81" s="2008"/>
      <c r="C81" s="1154">
        <v>6</v>
      </c>
      <c r="D81" s="1144" t="s">
        <v>1872</v>
      </c>
      <c r="E81" s="1144" t="s">
        <v>1426</v>
      </c>
      <c r="F81" s="1144" t="str">
        <f>'Required Info to Submit'!E28</f>
        <v/>
      </c>
      <c r="G81" s="1414" t="str">
        <f>IF(F81="","",'Required Info to Submit'!K28)</f>
        <v/>
      </c>
      <c r="H81" s="1415" t="str">
        <f>IF(F81="","",'Required Info to Submit'!L28)</f>
        <v/>
      </c>
      <c r="I81" s="1144" t="str">
        <f>'Required Info to Submit'!F28</f>
        <v/>
      </c>
      <c r="J81" s="1144" t="str">
        <f>'Required Info to Submit'!G28</f>
        <v/>
      </c>
      <c r="K81" s="1144" t="str">
        <f>'Required Info to Submit'!H28</f>
        <v/>
      </c>
      <c r="L81" s="1144" t="str">
        <f>'Required Info to Submit'!I28</f>
        <v/>
      </c>
      <c r="M81" s="1144" t="str">
        <f>'Required Info to Submit'!J28</f>
        <v/>
      </c>
      <c r="N81" s="1107"/>
      <c r="O81" s="1107"/>
      <c r="P81" s="1107"/>
      <c r="Q81" s="1108"/>
      <c r="R81" s="1107"/>
      <c r="S81" s="1107"/>
      <c r="T81" s="2008"/>
      <c r="U81" s="1154">
        <v>6</v>
      </c>
      <c r="V81" s="1144" t="s">
        <v>1872</v>
      </c>
      <c r="W81" s="1144" t="s">
        <v>1426</v>
      </c>
      <c r="X81" s="1144" t="str">
        <f>'Required Info to Submit'!E28</f>
        <v/>
      </c>
      <c r="Y81" s="1414" t="str">
        <f>IF(X81="","",'Required Info to Submit'!K28)</f>
        <v/>
      </c>
      <c r="Z81" s="1415" t="str">
        <f>IF(X81="","",'Required Info to Submit'!L28)</f>
        <v/>
      </c>
      <c r="AA81" s="1144" t="str">
        <f>'Required Info to Submit'!F28</f>
        <v/>
      </c>
      <c r="AB81" s="1144" t="str">
        <f>'Required Info to Submit'!G28</f>
        <v/>
      </c>
      <c r="AC81" s="1144" t="str">
        <f>'Required Info to Submit'!H28</f>
        <v/>
      </c>
      <c r="AD81" s="1144" t="str">
        <f>'Required Info to Submit'!I28</f>
        <v/>
      </c>
      <c r="AE81" s="1144" t="str">
        <f>'Required Info to Submit'!J28</f>
        <v/>
      </c>
      <c r="AF81" s="1107"/>
      <c r="AG81" s="1107"/>
      <c r="AH81" s="1107"/>
      <c r="AI81" s="1108"/>
      <c r="AJ81" s="1107"/>
      <c r="AK81" s="1107"/>
      <c r="AL81" s="1107"/>
      <c r="AM81" s="1107"/>
      <c r="AN81" s="1107"/>
      <c r="AO81" s="1107"/>
      <c r="AP81" s="1107"/>
      <c r="AQ81" s="1107"/>
      <c r="AR81" s="1107"/>
      <c r="AS81" s="1107"/>
      <c r="AT81" s="1107"/>
      <c r="AU81" s="1107"/>
      <c r="AV81" s="1107"/>
      <c r="AW81" s="1107"/>
      <c r="AX81" s="1107"/>
      <c r="AY81" s="1107"/>
      <c r="AZ81" s="1107"/>
      <c r="BA81" s="1107"/>
      <c r="BB81" s="1107"/>
      <c r="BC81" s="1107"/>
      <c r="BD81" s="1107"/>
      <c r="BE81" s="1107"/>
      <c r="BF81" s="1107"/>
      <c r="BG81" s="1107"/>
      <c r="BH81" s="1107"/>
      <c r="BI81" s="1107"/>
      <c r="BJ81" s="1107"/>
      <c r="BK81" s="1107"/>
      <c r="BL81" s="1107"/>
      <c r="BM81" s="1107"/>
      <c r="BN81" s="1107"/>
      <c r="BO81" s="1107"/>
      <c r="BP81" s="1107"/>
      <c r="BQ81" s="1107"/>
      <c r="BR81" s="1107"/>
      <c r="BS81" s="1107"/>
      <c r="BT81" s="1107"/>
      <c r="BU81" s="1107"/>
      <c r="BV81" s="1107"/>
      <c r="BW81" s="1107"/>
      <c r="BX81" s="1107"/>
      <c r="BY81" s="1107"/>
      <c r="BZ81" s="1107"/>
      <c r="CA81" s="1107"/>
      <c r="CB81" s="1107"/>
      <c r="CC81" s="1107"/>
      <c r="CD81" s="1107"/>
      <c r="CE81" s="1107"/>
      <c r="CF81" s="1107"/>
      <c r="CG81" s="1107"/>
      <c r="CH81" s="1107"/>
      <c r="CI81" s="1107"/>
      <c r="CJ81" s="1107"/>
      <c r="CK81" s="1107"/>
    </row>
    <row r="82" spans="1:89" x14ac:dyDescent="0.25">
      <c r="A82" s="1107"/>
      <c r="B82" s="2008"/>
      <c r="C82" s="1154">
        <v>7</v>
      </c>
      <c r="D82" s="1144" t="s">
        <v>1872</v>
      </c>
      <c r="E82" s="1144" t="s">
        <v>1426</v>
      </c>
      <c r="F82" s="1144" t="str">
        <f>'Required Info to Submit'!E29</f>
        <v/>
      </c>
      <c r="G82" s="1414" t="str">
        <f>IF(F82="","",'Required Info to Submit'!K29)</f>
        <v/>
      </c>
      <c r="H82" s="1415" t="str">
        <f>IF(F82="","",'Required Info to Submit'!L29)</f>
        <v/>
      </c>
      <c r="I82" s="1144" t="str">
        <f>'Required Info to Submit'!F29</f>
        <v/>
      </c>
      <c r="J82" s="1144" t="str">
        <f>'Required Info to Submit'!G29</f>
        <v/>
      </c>
      <c r="K82" s="1144" t="str">
        <f>'Required Info to Submit'!H29</f>
        <v/>
      </c>
      <c r="L82" s="1144" t="str">
        <f>'Required Info to Submit'!I29</f>
        <v/>
      </c>
      <c r="M82" s="1144" t="str">
        <f>'Required Info to Submit'!J29</f>
        <v/>
      </c>
      <c r="N82" s="1107"/>
      <c r="O82" s="1107"/>
      <c r="P82" s="1107"/>
      <c r="Q82" s="1108"/>
      <c r="R82" s="1107"/>
      <c r="S82" s="1107"/>
      <c r="T82" s="2008"/>
      <c r="U82" s="1154">
        <v>7</v>
      </c>
      <c r="V82" s="1144" t="s">
        <v>1872</v>
      </c>
      <c r="W82" s="1144" t="s">
        <v>1426</v>
      </c>
      <c r="X82" s="1144" t="str">
        <f>'Required Info to Submit'!E29</f>
        <v/>
      </c>
      <c r="Y82" s="1414" t="str">
        <f>IF(X82="","",'Required Info to Submit'!K29)</f>
        <v/>
      </c>
      <c r="Z82" s="1415" t="str">
        <f>IF(X82="","",'Required Info to Submit'!L29)</f>
        <v/>
      </c>
      <c r="AA82" s="1144" t="str">
        <f>'Required Info to Submit'!F29</f>
        <v/>
      </c>
      <c r="AB82" s="1144" t="str">
        <f>'Required Info to Submit'!G29</f>
        <v/>
      </c>
      <c r="AC82" s="1144" t="str">
        <f>'Required Info to Submit'!H29</f>
        <v/>
      </c>
      <c r="AD82" s="1144" t="str">
        <f>'Required Info to Submit'!I29</f>
        <v/>
      </c>
      <c r="AE82" s="1144" t="str">
        <f>'Required Info to Submit'!J29</f>
        <v/>
      </c>
      <c r="AF82" s="1107"/>
      <c r="AG82" s="1107"/>
      <c r="AH82" s="1107"/>
      <c r="AI82" s="1108"/>
      <c r="AJ82" s="1107"/>
      <c r="AK82" s="1107"/>
      <c r="AL82" s="1107"/>
      <c r="AM82" s="1107"/>
      <c r="AN82" s="1107"/>
      <c r="AO82" s="1107"/>
      <c r="AP82" s="1107"/>
      <c r="AQ82" s="1107"/>
      <c r="AR82" s="1107"/>
      <c r="AS82" s="1107"/>
      <c r="AT82" s="1107"/>
      <c r="AU82" s="1107"/>
      <c r="AV82" s="1107"/>
      <c r="AW82" s="1107"/>
      <c r="AX82" s="1107"/>
      <c r="AY82" s="1107"/>
      <c r="AZ82" s="1107"/>
      <c r="BA82" s="1107"/>
      <c r="BB82" s="1107"/>
      <c r="BC82" s="1107"/>
      <c r="BD82" s="1107"/>
      <c r="BE82" s="1107"/>
      <c r="BF82" s="1107"/>
      <c r="BG82" s="1107"/>
      <c r="BH82" s="1107"/>
      <c r="BI82" s="1107"/>
      <c r="BJ82" s="1107"/>
      <c r="BK82" s="1107"/>
      <c r="BL82" s="1107"/>
      <c r="BM82" s="1107"/>
      <c r="BN82" s="1107"/>
      <c r="BO82" s="1107"/>
      <c r="BP82" s="1107"/>
      <c r="BQ82" s="1107"/>
      <c r="BR82" s="1107"/>
      <c r="BS82" s="1107"/>
      <c r="BT82" s="1107"/>
      <c r="BU82" s="1107"/>
      <c r="BV82" s="1107"/>
      <c r="BW82" s="1107"/>
      <c r="BX82" s="1107"/>
      <c r="BY82" s="1107"/>
      <c r="BZ82" s="1107"/>
      <c r="CA82" s="1107"/>
      <c r="CB82" s="1107"/>
      <c r="CC82" s="1107"/>
      <c r="CD82" s="1107"/>
      <c r="CE82" s="1107"/>
      <c r="CF82" s="1107"/>
      <c r="CG82" s="1107"/>
      <c r="CH82" s="1107"/>
      <c r="CI82" s="1107"/>
      <c r="CJ82" s="1107"/>
      <c r="CK82" s="1107"/>
    </row>
    <row r="83" spans="1:89" x14ac:dyDescent="0.25">
      <c r="A83" s="1107"/>
      <c r="B83" s="2008"/>
      <c r="C83" s="1154">
        <v>8</v>
      </c>
      <c r="D83" s="1144" t="s">
        <v>1872</v>
      </c>
      <c r="E83" s="1144" t="s">
        <v>1426</v>
      </c>
      <c r="F83" s="1144" t="str">
        <f>'Required Info to Submit'!E30</f>
        <v/>
      </c>
      <c r="G83" s="1414" t="str">
        <f>IF(F83="","",'Required Info to Submit'!K30)</f>
        <v/>
      </c>
      <c r="H83" s="1415" t="str">
        <f>IF(F83="","",'Required Info to Submit'!L30)</f>
        <v/>
      </c>
      <c r="I83" s="1144" t="str">
        <f>'Required Info to Submit'!F30</f>
        <v/>
      </c>
      <c r="J83" s="1144" t="str">
        <f>'Required Info to Submit'!G30</f>
        <v/>
      </c>
      <c r="K83" s="1144" t="str">
        <f>'Required Info to Submit'!H30</f>
        <v/>
      </c>
      <c r="L83" s="1144" t="str">
        <f>'Required Info to Submit'!I30</f>
        <v/>
      </c>
      <c r="M83" s="1144" t="str">
        <f>'Required Info to Submit'!J30</f>
        <v/>
      </c>
      <c r="N83" s="1107"/>
      <c r="O83" s="1107"/>
      <c r="P83" s="1107"/>
      <c r="Q83" s="1108"/>
      <c r="R83" s="1107"/>
      <c r="S83" s="1107"/>
      <c r="T83" s="2008"/>
      <c r="U83" s="1154">
        <v>8</v>
      </c>
      <c r="V83" s="1144" t="s">
        <v>1872</v>
      </c>
      <c r="W83" s="1144" t="s">
        <v>1426</v>
      </c>
      <c r="X83" s="1144" t="str">
        <f>'Required Info to Submit'!E30</f>
        <v/>
      </c>
      <c r="Y83" s="1414" t="str">
        <f>IF(X83="","",'Required Info to Submit'!K30)</f>
        <v/>
      </c>
      <c r="Z83" s="1415" t="str">
        <f>IF(X83="","",'Required Info to Submit'!L30)</f>
        <v/>
      </c>
      <c r="AA83" s="1144" t="str">
        <f>'Required Info to Submit'!F30</f>
        <v/>
      </c>
      <c r="AB83" s="1144" t="str">
        <f>'Required Info to Submit'!G30</f>
        <v/>
      </c>
      <c r="AC83" s="1144" t="str">
        <f>'Required Info to Submit'!H30</f>
        <v/>
      </c>
      <c r="AD83" s="1144" t="str">
        <f>'Required Info to Submit'!I30</f>
        <v/>
      </c>
      <c r="AE83" s="1144" t="str">
        <f>'Required Info to Submit'!J30</f>
        <v/>
      </c>
      <c r="AF83" s="1107"/>
      <c r="AG83" s="1107"/>
      <c r="AH83" s="1107"/>
      <c r="AI83" s="1108"/>
      <c r="AJ83" s="1107"/>
      <c r="AK83" s="1107"/>
      <c r="AL83" s="1107"/>
      <c r="AM83" s="1107"/>
      <c r="AN83" s="1107"/>
      <c r="AO83" s="1107"/>
      <c r="AP83" s="1107"/>
      <c r="AQ83" s="1107"/>
      <c r="AR83" s="1107"/>
      <c r="AS83" s="1107"/>
      <c r="AT83" s="1107"/>
      <c r="AU83" s="1107"/>
      <c r="AV83" s="1107"/>
      <c r="AW83" s="1107"/>
      <c r="AX83" s="1107"/>
      <c r="AY83" s="1107"/>
      <c r="AZ83" s="1107"/>
      <c r="BA83" s="1107"/>
      <c r="BB83" s="1107"/>
      <c r="BC83" s="1107"/>
      <c r="BD83" s="1107"/>
      <c r="BE83" s="1107"/>
      <c r="BF83" s="1107"/>
      <c r="BG83" s="1107"/>
      <c r="BH83" s="1107"/>
      <c r="BI83" s="1107"/>
      <c r="BJ83" s="1107"/>
      <c r="BK83" s="1107"/>
      <c r="BL83" s="1107"/>
      <c r="BM83" s="1107"/>
      <c r="BN83" s="1107"/>
      <c r="BO83" s="1107"/>
      <c r="BP83" s="1107"/>
      <c r="BQ83" s="1107"/>
      <c r="BR83" s="1107"/>
      <c r="BS83" s="1107"/>
      <c r="BT83" s="1107"/>
      <c r="BU83" s="1107"/>
      <c r="BV83" s="1107"/>
      <c r="BW83" s="1107"/>
      <c r="BX83" s="1107"/>
      <c r="BY83" s="1107"/>
      <c r="BZ83" s="1107"/>
      <c r="CA83" s="1107"/>
      <c r="CB83" s="1107"/>
      <c r="CC83" s="1107"/>
      <c r="CD83" s="1107"/>
      <c r="CE83" s="1107"/>
      <c r="CF83" s="1107"/>
      <c r="CG83" s="1107"/>
      <c r="CH83" s="1107"/>
      <c r="CI83" s="1107"/>
      <c r="CJ83" s="1107"/>
      <c r="CK83" s="1107"/>
    </row>
    <row r="84" spans="1:89" x14ac:dyDescent="0.25">
      <c r="A84" s="1107"/>
      <c r="B84" s="2008"/>
      <c r="C84" s="1154">
        <v>9</v>
      </c>
      <c r="D84" s="1144" t="s">
        <v>1872</v>
      </c>
      <c r="E84" s="1144" t="s">
        <v>1426</v>
      </c>
      <c r="F84" s="1144" t="str">
        <f>'Required Info to Submit'!E31</f>
        <v/>
      </c>
      <c r="G84" s="1414" t="str">
        <f>IF(F84="","",'Required Info to Submit'!K31)</f>
        <v/>
      </c>
      <c r="H84" s="1415" t="str">
        <f>IF(F84="","",'Required Info to Submit'!L31)</f>
        <v/>
      </c>
      <c r="I84" s="1144" t="str">
        <f>'Required Info to Submit'!F31</f>
        <v/>
      </c>
      <c r="J84" s="1144" t="str">
        <f>'Required Info to Submit'!G31</f>
        <v/>
      </c>
      <c r="K84" s="1144" t="str">
        <f>'Required Info to Submit'!H31</f>
        <v/>
      </c>
      <c r="L84" s="1144" t="str">
        <f>'Required Info to Submit'!I31</f>
        <v/>
      </c>
      <c r="M84" s="1144" t="str">
        <f>'Required Info to Submit'!J31</f>
        <v/>
      </c>
      <c r="N84" s="1107"/>
      <c r="O84" s="1107"/>
      <c r="P84" s="1107"/>
      <c r="Q84" s="1108"/>
      <c r="R84" s="1107"/>
      <c r="S84" s="1107"/>
      <c r="T84" s="2008"/>
      <c r="U84" s="1154">
        <v>9</v>
      </c>
      <c r="V84" s="1144" t="s">
        <v>1872</v>
      </c>
      <c r="W84" s="1144" t="s">
        <v>1426</v>
      </c>
      <c r="X84" s="1144" t="str">
        <f>'Required Info to Submit'!E31</f>
        <v/>
      </c>
      <c r="Y84" s="1414" t="str">
        <f>IF(X84="","",'Required Info to Submit'!K31)</f>
        <v/>
      </c>
      <c r="Z84" s="1415" t="str">
        <f>IF(X84="","",'Required Info to Submit'!L31)</f>
        <v/>
      </c>
      <c r="AA84" s="1144" t="str">
        <f>'Required Info to Submit'!F31</f>
        <v/>
      </c>
      <c r="AB84" s="1144" t="str">
        <f>'Required Info to Submit'!G31</f>
        <v/>
      </c>
      <c r="AC84" s="1144" t="str">
        <f>'Required Info to Submit'!H31</f>
        <v/>
      </c>
      <c r="AD84" s="1144" t="str">
        <f>'Required Info to Submit'!I31</f>
        <v/>
      </c>
      <c r="AE84" s="1144" t="str">
        <f>'Required Info to Submit'!J31</f>
        <v/>
      </c>
      <c r="AF84" s="1107"/>
      <c r="AG84" s="1107"/>
      <c r="AH84" s="1107"/>
      <c r="AI84" s="1108"/>
      <c r="AJ84" s="1107"/>
      <c r="AK84" s="1107"/>
      <c r="AL84" s="1107"/>
      <c r="AM84" s="1107"/>
      <c r="AN84" s="1107"/>
      <c r="AO84" s="1107"/>
      <c r="AP84" s="1107"/>
      <c r="AQ84" s="1107"/>
      <c r="AR84" s="1107"/>
      <c r="AS84" s="1107"/>
      <c r="AT84" s="1107"/>
      <c r="AU84" s="1107"/>
      <c r="AV84" s="1107"/>
      <c r="AW84" s="1107"/>
      <c r="AX84" s="1107"/>
      <c r="AY84" s="1107"/>
      <c r="AZ84" s="1107"/>
      <c r="BA84" s="1107"/>
      <c r="BB84" s="1107"/>
      <c r="BC84" s="1107"/>
      <c r="BD84" s="1107"/>
      <c r="BE84" s="1107"/>
      <c r="BF84" s="1107"/>
      <c r="BG84" s="1107"/>
      <c r="BH84" s="1107"/>
      <c r="BI84" s="1107"/>
      <c r="BJ84" s="1107"/>
      <c r="BK84" s="1107"/>
      <c r="BL84" s="1107"/>
      <c r="BM84" s="1107"/>
      <c r="BN84" s="1107"/>
      <c r="BO84" s="1107"/>
      <c r="BP84" s="1107"/>
      <c r="BQ84" s="1107"/>
      <c r="BR84" s="1107"/>
      <c r="BS84" s="1107"/>
      <c r="BT84" s="1107"/>
      <c r="BU84" s="1107"/>
      <c r="BV84" s="1107"/>
      <c r="BW84" s="1107"/>
      <c r="BX84" s="1107"/>
      <c r="BY84" s="1107"/>
      <c r="BZ84" s="1107"/>
      <c r="CA84" s="1107"/>
      <c r="CB84" s="1107"/>
      <c r="CC84" s="1107"/>
      <c r="CD84" s="1107"/>
      <c r="CE84" s="1107"/>
      <c r="CF84" s="1107"/>
      <c r="CG84" s="1107"/>
      <c r="CH84" s="1107"/>
      <c r="CI84" s="1107"/>
      <c r="CJ84" s="1107"/>
      <c r="CK84" s="1107"/>
    </row>
    <row r="85" spans="1:89" ht="15.75" thickBot="1" x14ac:dyDescent="0.3">
      <c r="A85" s="1107"/>
      <c r="B85" s="2009"/>
      <c r="C85" s="1156">
        <v>10</v>
      </c>
      <c r="D85" s="1146" t="s">
        <v>1872</v>
      </c>
      <c r="E85" s="1146" t="s">
        <v>1426</v>
      </c>
      <c r="F85" s="1146" t="str">
        <f>'Required Info to Submit'!E32</f>
        <v/>
      </c>
      <c r="G85" s="1416" t="str">
        <f>IF(F85="","",'Required Info to Submit'!K32)</f>
        <v/>
      </c>
      <c r="H85" s="1416" t="str">
        <f>IF(F85="","",'Required Info to Submit'!L32)</f>
        <v/>
      </c>
      <c r="I85" s="1146" t="str">
        <f>'Required Info to Submit'!F32</f>
        <v/>
      </c>
      <c r="J85" s="1146" t="str">
        <f>'Required Info to Submit'!G32</f>
        <v/>
      </c>
      <c r="K85" s="1146" t="str">
        <f>'Required Info to Submit'!H32</f>
        <v/>
      </c>
      <c r="L85" s="1146" t="str">
        <f>'Required Info to Submit'!I32</f>
        <v/>
      </c>
      <c r="M85" s="1146" t="str">
        <f>'Required Info to Submit'!J32</f>
        <v/>
      </c>
      <c r="N85" s="1157"/>
      <c r="O85" s="1157"/>
      <c r="P85" s="1157"/>
      <c r="Q85" s="1110"/>
      <c r="R85" s="1107"/>
      <c r="S85" s="1107"/>
      <c r="T85" s="2009"/>
      <c r="U85" s="1156">
        <v>10</v>
      </c>
      <c r="V85" s="1146" t="s">
        <v>1872</v>
      </c>
      <c r="W85" s="1146" t="s">
        <v>1426</v>
      </c>
      <c r="X85" s="1146" t="str">
        <f>'Required Info to Submit'!E32</f>
        <v/>
      </c>
      <c r="Y85" s="1416" t="str">
        <f>IF(X85="","",'Required Info to Submit'!K32)</f>
        <v/>
      </c>
      <c r="Z85" s="1416" t="str">
        <f>IF(X85="","",'Required Info to Submit'!L32)</f>
        <v/>
      </c>
      <c r="AA85" s="1146" t="str">
        <f>'Required Info to Submit'!F32</f>
        <v/>
      </c>
      <c r="AB85" s="1146" t="str">
        <f>'Required Info to Submit'!G32</f>
        <v/>
      </c>
      <c r="AC85" s="1146" t="str">
        <f>'Required Info to Submit'!H32</f>
        <v/>
      </c>
      <c r="AD85" s="1146" t="str">
        <f>'Required Info to Submit'!I32</f>
        <v/>
      </c>
      <c r="AE85" s="1146" t="str">
        <f>'Required Info to Submit'!J32</f>
        <v/>
      </c>
      <c r="AF85" s="1157"/>
      <c r="AG85" s="1157"/>
      <c r="AH85" s="1157"/>
      <c r="AI85" s="1110"/>
      <c r="AJ85" s="1107"/>
      <c r="AK85" s="1107"/>
      <c r="AL85" s="1107"/>
      <c r="AM85" s="1107"/>
      <c r="AN85" s="1107"/>
      <c r="AO85" s="1107"/>
      <c r="AP85" s="1107"/>
      <c r="AQ85" s="1107"/>
      <c r="AR85" s="1107"/>
      <c r="AS85" s="1107"/>
      <c r="AT85" s="1107"/>
      <c r="AU85" s="1107"/>
      <c r="AV85" s="1107"/>
      <c r="AW85" s="1107"/>
      <c r="AX85" s="1107"/>
      <c r="AY85" s="1107"/>
      <c r="AZ85" s="1107"/>
      <c r="BA85" s="1107"/>
      <c r="BB85" s="1107"/>
      <c r="BC85" s="1107"/>
      <c r="BD85" s="1107"/>
      <c r="BE85" s="1107"/>
      <c r="BF85" s="1107"/>
      <c r="BG85" s="1107"/>
      <c r="BH85" s="1107"/>
      <c r="BI85" s="1107"/>
      <c r="BJ85" s="1107"/>
      <c r="BK85" s="1107"/>
      <c r="BL85" s="1107"/>
      <c r="BM85" s="1107"/>
      <c r="BN85" s="1107"/>
      <c r="BO85" s="1107"/>
      <c r="BP85" s="1107"/>
      <c r="BQ85" s="1107"/>
      <c r="BR85" s="1107"/>
      <c r="BS85" s="1107"/>
      <c r="BT85" s="1107"/>
      <c r="BU85" s="1107"/>
      <c r="BV85" s="1107"/>
      <c r="BW85" s="1107"/>
      <c r="BX85" s="1107"/>
      <c r="BY85" s="1107"/>
      <c r="BZ85" s="1107"/>
      <c r="CA85" s="1107"/>
      <c r="CB85" s="1107"/>
      <c r="CC85" s="1107"/>
      <c r="CD85" s="1107"/>
      <c r="CE85" s="1107"/>
      <c r="CF85" s="1107"/>
      <c r="CG85" s="1107"/>
      <c r="CH85" s="1107"/>
      <c r="CI85" s="1107"/>
      <c r="CJ85" s="1107"/>
      <c r="CK85" s="1107"/>
    </row>
    <row r="86" spans="1:89" x14ac:dyDescent="0.25">
      <c r="A86" s="1107"/>
      <c r="B86" s="1107"/>
      <c r="C86" s="1107"/>
      <c r="D86" s="1107"/>
      <c r="E86" s="1107"/>
      <c r="F86" s="1107"/>
      <c r="G86" s="1107"/>
      <c r="H86" s="1107"/>
      <c r="I86" s="1107"/>
      <c r="J86" s="1107"/>
      <c r="K86" s="1107"/>
      <c r="L86" s="1107"/>
      <c r="M86" s="1107"/>
      <c r="N86" s="1107"/>
      <c r="O86" s="1107"/>
      <c r="P86" s="1107"/>
      <c r="Q86" s="1107"/>
      <c r="R86" s="1107"/>
      <c r="S86" s="1107"/>
      <c r="T86" s="1208"/>
      <c r="U86" s="1107"/>
      <c r="V86" s="1107"/>
      <c r="W86" s="1107"/>
      <c r="X86" s="1107"/>
      <c r="Y86" s="1107"/>
      <c r="Z86" s="1107"/>
      <c r="AA86" s="1107"/>
      <c r="AB86" s="1107"/>
      <c r="AC86" s="1107"/>
      <c r="AD86" s="1107"/>
      <c r="AE86" s="1107"/>
      <c r="AF86" s="1107"/>
      <c r="AG86" s="1107"/>
      <c r="AH86" s="1107"/>
      <c r="AI86" s="1107"/>
      <c r="AJ86" s="1107"/>
      <c r="AK86" s="1107"/>
      <c r="AL86" s="1107"/>
      <c r="AM86" s="1107"/>
      <c r="AN86" s="1107"/>
      <c r="AO86" s="1107"/>
      <c r="AP86" s="1107"/>
      <c r="AQ86" s="1107"/>
      <c r="AR86" s="1107"/>
      <c r="AS86" s="1107"/>
      <c r="AT86" s="1107"/>
      <c r="AU86" s="1107"/>
      <c r="AV86" s="1107"/>
      <c r="AW86" s="1107"/>
      <c r="AX86" s="1107"/>
      <c r="AY86" s="1107"/>
      <c r="AZ86" s="1107"/>
      <c r="BA86" s="1107"/>
      <c r="BB86" s="1107"/>
      <c r="BC86" s="1107"/>
      <c r="BD86" s="1107"/>
      <c r="BE86" s="1107"/>
      <c r="BF86" s="1107"/>
      <c r="BG86" s="1107"/>
      <c r="BH86" s="1107"/>
      <c r="BI86" s="1107"/>
      <c r="BJ86" s="1107"/>
      <c r="BK86" s="1107"/>
      <c r="BL86" s="1107"/>
      <c r="BM86" s="1107"/>
      <c r="BN86" s="1107"/>
      <c r="BO86" s="1107"/>
      <c r="BP86" s="1107"/>
      <c r="BQ86" s="1107"/>
      <c r="BR86" s="1107"/>
      <c r="BS86" s="1107"/>
      <c r="BT86" s="1107"/>
      <c r="BU86" s="1107"/>
      <c r="BV86" s="1107"/>
      <c r="BW86" s="1107"/>
      <c r="BX86" s="1107"/>
      <c r="BY86" s="1107"/>
      <c r="BZ86" s="1107"/>
      <c r="CA86" s="1107"/>
      <c r="CB86" s="1107"/>
      <c r="CC86" s="1107"/>
      <c r="CD86" s="1107"/>
      <c r="CE86" s="1107"/>
      <c r="CF86" s="1107"/>
      <c r="CG86" s="1107"/>
      <c r="CH86" s="1107"/>
      <c r="CI86" s="1107"/>
      <c r="CJ86" s="1107"/>
      <c r="CK86" s="1107"/>
    </row>
    <row r="87" spans="1:89" ht="31.5" customHeight="1" thickBot="1" x14ac:dyDescent="0.3">
      <c r="A87" s="1107"/>
      <c r="B87" s="1107"/>
      <c r="C87" s="1107"/>
      <c r="D87" s="1107"/>
      <c r="E87" s="1107"/>
      <c r="F87" s="1107"/>
      <c r="G87" s="1107"/>
      <c r="H87" s="1107"/>
      <c r="I87" s="1107"/>
      <c r="J87" s="1107"/>
      <c r="K87" s="1107"/>
      <c r="L87" s="1107"/>
      <c r="M87" s="1107"/>
      <c r="N87" s="1107"/>
      <c r="O87" s="1107"/>
      <c r="P87" s="1107"/>
      <c r="Q87" s="1107"/>
      <c r="R87" s="1107"/>
      <c r="S87" s="1107"/>
      <c r="T87" s="1107"/>
      <c r="U87" s="1107"/>
      <c r="V87" s="1107"/>
      <c r="W87" s="1107"/>
      <c r="X87" s="1107"/>
      <c r="Y87" s="1107"/>
      <c r="Z87" s="1107"/>
      <c r="AA87" s="1107"/>
      <c r="AB87" s="1107"/>
      <c r="AC87" s="1107"/>
      <c r="AD87" s="1107"/>
      <c r="AE87" s="1107"/>
      <c r="AF87" s="1107"/>
      <c r="AG87" s="1107"/>
      <c r="AH87" s="1107"/>
      <c r="AI87" s="1107"/>
      <c r="AJ87" s="1107"/>
      <c r="AK87" s="1107"/>
      <c r="AL87" s="1107"/>
      <c r="AM87" s="1107"/>
      <c r="AN87" s="1107"/>
      <c r="AO87" s="1107"/>
      <c r="AP87" s="1107"/>
      <c r="AQ87" s="1107"/>
      <c r="AR87" s="1107"/>
      <c r="AS87" s="1107"/>
      <c r="AT87" s="1107"/>
      <c r="AU87" s="1107"/>
      <c r="AV87" s="1107"/>
      <c r="AW87" s="1107"/>
      <c r="AX87" s="1107"/>
      <c r="AY87" s="1107"/>
      <c r="AZ87" s="1107"/>
      <c r="BA87" s="1107"/>
      <c r="BB87" s="1107"/>
      <c r="BC87" s="1107"/>
      <c r="BD87" s="1107"/>
      <c r="BE87" s="1107"/>
      <c r="BF87" s="1107"/>
      <c r="BG87" s="1107"/>
      <c r="BH87" s="1107"/>
      <c r="BI87" s="1107"/>
      <c r="BJ87" s="1107"/>
      <c r="BK87" s="1107"/>
      <c r="BL87" s="1107"/>
      <c r="BM87" s="1107"/>
      <c r="BN87" s="1107"/>
      <c r="BO87" s="1107"/>
      <c r="BP87" s="1107"/>
      <c r="BQ87" s="1107"/>
      <c r="BR87" s="1107"/>
      <c r="BS87" s="1107"/>
      <c r="BT87" s="1107"/>
      <c r="BU87" s="1107"/>
      <c r="BV87" s="1107"/>
      <c r="BW87" s="1107"/>
      <c r="BX87" s="1107"/>
      <c r="BY87" s="1107"/>
      <c r="BZ87" s="1107"/>
      <c r="CA87" s="1107"/>
      <c r="CB87" s="1107"/>
      <c r="CC87" s="1107"/>
      <c r="CD87" s="1107"/>
      <c r="CE87" s="1107"/>
      <c r="CF87" s="1107"/>
      <c r="CG87" s="1107"/>
      <c r="CH87" s="1107"/>
      <c r="CI87" s="1107"/>
      <c r="CJ87" s="1107"/>
      <c r="CK87" s="1107"/>
    </row>
    <row r="88" spans="1:89" ht="71.25" customHeight="1" thickBot="1" x14ac:dyDescent="0.3">
      <c r="A88" s="1107"/>
      <c r="B88" s="1130"/>
      <c r="C88" s="1100" t="s">
        <v>1383</v>
      </c>
      <c r="D88" s="1100" t="s">
        <v>1491</v>
      </c>
      <c r="E88" s="1100" t="s">
        <v>766</v>
      </c>
      <c r="F88" s="1100" t="s">
        <v>1496</v>
      </c>
      <c r="G88" s="1100" t="s">
        <v>1849</v>
      </c>
      <c r="H88" s="1101" t="s">
        <v>1850</v>
      </c>
      <c r="I88" s="1101" t="s">
        <v>1851</v>
      </c>
      <c r="J88" s="1100" t="s">
        <v>1873</v>
      </c>
      <c r="K88" s="1100" t="s">
        <v>1852</v>
      </c>
      <c r="L88" s="1101" t="s">
        <v>1397</v>
      </c>
      <c r="M88" s="1101" t="s">
        <v>1381</v>
      </c>
      <c r="N88" s="1100" t="s">
        <v>1382</v>
      </c>
      <c r="O88" s="1100" t="s">
        <v>721</v>
      </c>
      <c r="P88" s="1100" t="s">
        <v>722</v>
      </c>
      <c r="Q88" s="1101" t="s">
        <v>1495</v>
      </c>
      <c r="R88" s="1107"/>
      <c r="S88" s="1107"/>
      <c r="T88" s="1130"/>
      <c r="U88" s="1100" t="s">
        <v>1383</v>
      </c>
      <c r="V88" s="1100" t="s">
        <v>1491</v>
      </c>
      <c r="W88" s="1100" t="s">
        <v>766</v>
      </c>
      <c r="X88" s="1100" t="s">
        <v>1496</v>
      </c>
      <c r="Y88" s="1100" t="s">
        <v>1849</v>
      </c>
      <c r="Z88" s="1101" t="s">
        <v>1850</v>
      </c>
      <c r="AA88" s="1101" t="s">
        <v>1851</v>
      </c>
      <c r="AB88" s="1100" t="s">
        <v>1873</v>
      </c>
      <c r="AC88" s="1100" t="s">
        <v>1852</v>
      </c>
      <c r="AD88" s="1101" t="s">
        <v>1397</v>
      </c>
      <c r="AE88" s="1101" t="s">
        <v>1381</v>
      </c>
      <c r="AF88" s="1100" t="s">
        <v>1382</v>
      </c>
      <c r="AG88" s="1100" t="s">
        <v>721</v>
      </c>
      <c r="AH88" s="1100" t="s">
        <v>722</v>
      </c>
      <c r="AI88" s="1101" t="s">
        <v>1495</v>
      </c>
      <c r="AJ88" s="1107"/>
      <c r="AK88" s="1107"/>
      <c r="AL88" s="1107"/>
      <c r="AM88" s="1107"/>
      <c r="AN88" s="1107"/>
      <c r="AO88" s="1107"/>
      <c r="AP88" s="1107"/>
      <c r="AQ88" s="1107"/>
      <c r="AR88" s="1107"/>
      <c r="AS88" s="1107"/>
      <c r="AT88" s="1107"/>
      <c r="AU88" s="1107"/>
      <c r="AV88" s="1107"/>
      <c r="AW88" s="1107"/>
      <c r="AX88" s="1107"/>
      <c r="AY88" s="1107"/>
      <c r="AZ88" s="1107"/>
      <c r="BA88" s="1107"/>
      <c r="BB88" s="1107"/>
      <c r="BC88" s="1107"/>
      <c r="BD88" s="1107"/>
      <c r="BE88" s="1107"/>
      <c r="BF88" s="1107"/>
      <c r="BG88" s="1107"/>
      <c r="BH88" s="1107"/>
      <c r="BI88" s="1107"/>
      <c r="BJ88" s="1107"/>
      <c r="BK88" s="1107"/>
      <c r="BL88" s="1107"/>
      <c r="BM88" s="1107"/>
      <c r="BN88" s="1107"/>
      <c r="BO88" s="1107"/>
      <c r="BP88" s="1107"/>
      <c r="BQ88" s="1107"/>
      <c r="BR88" s="1107"/>
      <c r="BS88" s="1107"/>
      <c r="BT88" s="1107"/>
      <c r="BU88" s="1107"/>
      <c r="BV88" s="1107"/>
      <c r="BW88" s="1107"/>
      <c r="BX88" s="1107"/>
      <c r="BY88" s="1107"/>
      <c r="BZ88" s="1107"/>
      <c r="CA88" s="1107"/>
      <c r="CB88" s="1107"/>
      <c r="CC88" s="1107"/>
      <c r="CD88" s="1107"/>
      <c r="CE88" s="1107"/>
      <c r="CF88" s="1107"/>
      <c r="CG88" s="1107"/>
      <c r="CH88" s="1107"/>
      <c r="CI88" s="1107"/>
      <c r="CJ88" s="1107"/>
      <c r="CK88" s="1107"/>
    </row>
    <row r="89" spans="1:89" ht="90.75" customHeight="1" thickBot="1" x14ac:dyDescent="0.3">
      <c r="A89" s="1107"/>
      <c r="B89" s="1132" t="s">
        <v>1853</v>
      </c>
      <c r="C89" s="1133" t="s">
        <v>1522</v>
      </c>
      <c r="D89" s="1134">
        <v>5501</v>
      </c>
      <c r="E89" s="1104" t="s">
        <v>2064</v>
      </c>
      <c r="F89" s="1104" t="s">
        <v>1525</v>
      </c>
      <c r="G89" s="1102" t="str" cm="1">
        <f t="array" aca="1" ref="G89" ca="1">INDIRECT("'Incentives Worksheet'!P"&amp;'Configurable Tab'!H9+3)</f>
        <v>Same as Payout Cycle</v>
      </c>
      <c r="H89" s="1102" t="str" cm="1">
        <f t="array" aca="1" ref="H89" ca="1">IF(ISBLANK(INDIRECT("'Incentives Worksheet'!H"&amp;'Configurable Tab'!H9+3)),"",INDIRECT("'Incentives Worksheet'!H"&amp;'Configurable Tab'!H9+3))</f>
        <v/>
      </c>
      <c r="I89" s="1102" t="str" cm="1">
        <f t="array" aca="1" ref="I89" ca="1">IF(INDIRECT("'Incentives Worksheet'!R"&amp;'Configurable Tab'!H9+3)="USF Calendar","Fiscal",INDIRECT("'Incentives Worksheet'!R"&amp;'Configurable Tab'!H9+3))</f>
        <v>Fiscal</v>
      </c>
      <c r="J89" s="1102" t="str" cm="1">
        <f t="array" aca="1" ref="J89" ca="1">IF(INDIRECT("'Incentives Worksheet'!L"&amp;'Configurable Tab'!H9+9)="All"," Select All Products","Unselect All Products")</f>
        <v xml:space="preserve"> Select All Products</v>
      </c>
      <c r="K89" s="1102" t="str" cm="1">
        <f t="array" aca="1" ref="K89" ca="1">IF(INDIRECT("'Incentives Worksheet'!T"&amp;'Configurable Tab'!H9+3)="Yes","Post to GL","")</f>
        <v/>
      </c>
      <c r="L89" s="1102" t="str" cm="1">
        <f t="array" aca="1" ref="L89" ca="1">IF(ISBLANK(INDIRECT("'Incentives Worksheet'!L"&amp;'Configurable Tab'!H9+3)),"",INDIRECT("'Incentives Worksheet'!L"&amp;'Configurable Tab'!H9+3))</f>
        <v/>
      </c>
      <c r="M89" s="1102" t="str" cm="1">
        <f t="array" aca="1" ref="M89" ca="1">IF(ISBLANK(INDIRECT("'Incentives Worksheet'!J"&amp;'Configurable Tab'!H9+3)),"",INDIRECT("'Incentives Worksheet'!J"&amp;'Configurable Tab'!H9+3))</f>
        <v/>
      </c>
      <c r="N89" s="1102" t="str" cm="1">
        <f t="array" aca="1" ref="N89" ca="1">IF(ISBLANK(INDIRECT("'Incentives Worksheet'!N"&amp;'Configurable Tab'!H9+3)),"",INDIRECT("'Incentives Worksheet'!N"&amp;'Configurable Tab'!H9+3))</f>
        <v/>
      </c>
      <c r="O89" s="1103" t="str" cm="1">
        <f t="array" aca="1" ref="O89" ca="1">INDIRECT("'Incentives Worksheet'!D"&amp;'Configurable Tab'!H9+6)</f>
        <v/>
      </c>
      <c r="P89" s="1103" t="str" cm="1">
        <f t="array" aca="1" ref="P89" ca="1">INDIRECT("'Incentives Worksheet'!D"&amp;'Configurable Tab'!H9+8)</f>
        <v/>
      </c>
      <c r="Q89" s="1102" t="str" cm="1">
        <f t="array" aca="1" ref="Q89" ca="1">IF(INDIRECT("'Incentives Worksheet'!D"&amp;'Configurable Tab'!H9+10)="No","Update tracking dates",INDIRECT("'Incentives Worksheet'!D"&amp;'Configurable Tab'!H9+10))</f>
        <v>Yes</v>
      </c>
      <c r="R89" s="1107"/>
      <c r="S89" s="1107"/>
      <c r="T89" s="1132" t="s">
        <v>1853</v>
      </c>
      <c r="U89" s="1133" t="s">
        <v>1522</v>
      </c>
      <c r="V89" s="1134">
        <v>5502</v>
      </c>
      <c r="W89" s="1104" t="s">
        <v>2064</v>
      </c>
      <c r="X89" s="1104" t="s">
        <v>1525</v>
      </c>
      <c r="Y89" s="1102" t="str" cm="1">
        <f t="array" aca="1" ref="Y89" ca="1">INDIRECT("'Incentives Worksheet'!P"&amp;'Configurable Tab'!H10+3)</f>
        <v>Same as Payout Cycle</v>
      </c>
      <c r="Z89" s="1102" t="str" cm="1">
        <f t="array" aca="1" ref="Z89" ca="1">IF(ISBLANK(INDIRECT("'Incentives Worksheet'!H"&amp;'Configurable Tab'!H10+3)),"",INDIRECT("'Incentives Worksheet'!H"&amp;'Configurable Tab'!H10+3))</f>
        <v/>
      </c>
      <c r="AA89" s="1102" t="str" cm="1">
        <f t="array" aca="1" ref="AA89" ca="1">IF(INDIRECT("'Incentives Worksheet'!R"&amp;'Configurable Tab'!H10+3)="USF Calendar","Fiscal",INDIRECT("'Incentives Worksheet'!R"&amp;'Configurable Tab'!H10+3))</f>
        <v>Fiscal</v>
      </c>
      <c r="AB89" s="1102" t="str" cm="1">
        <f t="array" aca="1" ref="AB89" ca="1">IF(INDIRECT("'Incentives Worksheet'!L"&amp;'Configurable Tab'!H10+9)="All"," Select All Products","Unselect All Products")</f>
        <v xml:space="preserve"> Select All Products</v>
      </c>
      <c r="AC89" s="1102" t="str" cm="1">
        <f t="array" aca="1" ref="AC89" ca="1">IF(INDIRECT("'Incentives Worksheet'!T"&amp;'Configurable Tab'!H10+3)="Yes","Post to GL","")</f>
        <v/>
      </c>
      <c r="AD89" s="1102" t="str" cm="1">
        <f t="array" aca="1" ref="AD89" ca="1">IF(ISBLANK(INDIRECT("'Incentives Worksheet'!L"&amp;'Configurable Tab'!H10+3)),"",INDIRECT("'Incentives Worksheet'!L"&amp;'Configurable Tab'!H10+3))</f>
        <v/>
      </c>
      <c r="AE89" s="1102" t="str" cm="1">
        <f t="array" aca="1" ref="AE89" ca="1">IF(ISBLANK(INDIRECT("'Incentives Worksheet'!J"&amp;'Configurable Tab'!H10+3)),"",INDIRECT("'Incentives Worksheet'!J"&amp;'Configurable Tab'!H10+3))</f>
        <v/>
      </c>
      <c r="AF89" s="1102" t="str" cm="1">
        <f t="array" aca="1" ref="AF89" ca="1">IF(ISBLANK(INDIRECT("'Incentives Worksheet'!N"&amp;'Configurable Tab'!H10+3)),"",INDIRECT("'Incentives Worksheet'!N"&amp;'Configurable Tab'!H10+3))</f>
        <v/>
      </c>
      <c r="AG89" s="1103" t="str" cm="1">
        <f t="array" aca="1" ref="AG89" ca="1">INDIRECT("'Incentives Worksheet'!D"&amp;'Configurable Tab'!H10+6)</f>
        <v/>
      </c>
      <c r="AH89" s="1103" t="str" cm="1">
        <f t="array" aca="1" ref="AH89" ca="1">INDIRECT("'Incentives Worksheet'!D"&amp;'Configurable Tab'!H10+8)</f>
        <v/>
      </c>
      <c r="AI89" s="1102" t="str" cm="1">
        <f t="array" aca="1" ref="AI89" ca="1">IF(INDIRECT("'Incentives Worksheet'!D"&amp;'Configurable Tab'!H10+10)="No","Update tracking dates",INDIRECT("'Incentives Worksheet'!D"&amp;'Configurable Tab'!H10+10))</f>
        <v>Yes</v>
      </c>
      <c r="AJ89" s="1107"/>
      <c r="AK89" s="1107"/>
      <c r="AL89" s="1107"/>
      <c r="AM89" s="1107"/>
      <c r="AN89" s="1107"/>
      <c r="AO89" s="1107"/>
      <c r="AP89" s="1107"/>
      <c r="AQ89" s="1107"/>
      <c r="AR89" s="1107"/>
      <c r="AS89" s="1107"/>
      <c r="AT89" s="1107"/>
      <c r="AU89" s="1107"/>
      <c r="AV89" s="1107"/>
      <c r="AW89" s="1107"/>
      <c r="AX89" s="1107"/>
      <c r="AY89" s="1107"/>
      <c r="AZ89" s="1107"/>
      <c r="BA89" s="1107"/>
      <c r="BB89" s="1107"/>
      <c r="BC89" s="1107"/>
      <c r="BD89" s="1107"/>
      <c r="BE89" s="1107"/>
      <c r="BF89" s="1107"/>
      <c r="BG89" s="1107"/>
      <c r="BH89" s="1107"/>
      <c r="BI89" s="1107"/>
      <c r="BJ89" s="1107"/>
      <c r="BK89" s="1107"/>
      <c r="BL89" s="1107"/>
      <c r="BM89" s="1107"/>
      <c r="BN89" s="1107"/>
      <c r="BO89" s="1107"/>
      <c r="BP89" s="1107"/>
      <c r="BQ89" s="1107"/>
      <c r="BR89" s="1107"/>
      <c r="BS89" s="1107"/>
      <c r="BT89" s="1107"/>
      <c r="BU89" s="1107"/>
      <c r="BV89" s="1107"/>
      <c r="BW89" s="1107"/>
      <c r="BX89" s="1107"/>
      <c r="BY89" s="1107"/>
      <c r="BZ89" s="1107"/>
      <c r="CA89" s="1107"/>
      <c r="CB89" s="1107"/>
      <c r="CC89" s="1107"/>
      <c r="CD89" s="1107"/>
      <c r="CE89" s="1107"/>
      <c r="CF89" s="1107"/>
      <c r="CG89" s="1107"/>
      <c r="CH89" s="1107"/>
      <c r="CI89" s="1107"/>
      <c r="CJ89" s="1107"/>
      <c r="CK89" s="1107"/>
    </row>
    <row r="90" spans="1:89" ht="30.75" thickBot="1" x14ac:dyDescent="0.3">
      <c r="A90" s="1107"/>
      <c r="B90" s="2006" t="s">
        <v>1885</v>
      </c>
      <c r="C90" s="1160" t="s">
        <v>1886</v>
      </c>
      <c r="D90" s="1101" t="s">
        <v>1359</v>
      </c>
      <c r="E90" s="1100" t="s">
        <v>1877</v>
      </c>
      <c r="F90" s="1100" t="s">
        <v>1887</v>
      </c>
      <c r="G90" s="1161" t="s">
        <v>1880</v>
      </c>
      <c r="H90" s="1209" t="s">
        <v>1880</v>
      </c>
      <c r="I90" s="1162"/>
      <c r="J90" s="1162"/>
      <c r="K90" s="1162"/>
      <c r="L90" s="1162"/>
      <c r="M90" s="1162"/>
      <c r="N90" s="1162"/>
      <c r="O90" s="1162"/>
      <c r="P90" s="1162"/>
      <c r="Q90" s="1163"/>
      <c r="R90" s="1107"/>
      <c r="S90" s="1107"/>
      <c r="T90" s="2006" t="s">
        <v>1885</v>
      </c>
      <c r="U90" s="1160" t="s">
        <v>1886</v>
      </c>
      <c r="V90" s="1101" t="s">
        <v>1359</v>
      </c>
      <c r="W90" s="1100" t="s">
        <v>1877</v>
      </c>
      <c r="X90" s="1100" t="s">
        <v>1887</v>
      </c>
      <c r="Y90" s="1165" t="s">
        <v>1880</v>
      </c>
      <c r="Z90" s="1209" t="s">
        <v>1880</v>
      </c>
      <c r="AA90" s="1162"/>
      <c r="AB90" s="1162"/>
      <c r="AC90" s="1162"/>
      <c r="AD90" s="1162"/>
      <c r="AE90" s="1162"/>
      <c r="AF90" s="1162"/>
      <c r="AG90" s="1162"/>
      <c r="AH90" s="1162"/>
      <c r="AI90" s="1163"/>
      <c r="AJ90" s="1107"/>
      <c r="AK90" s="1107"/>
      <c r="AL90" s="1107"/>
      <c r="AM90" s="1107"/>
      <c r="AN90" s="1107"/>
      <c r="AO90" s="1107"/>
      <c r="AP90" s="1107"/>
      <c r="AQ90" s="1107"/>
      <c r="AR90" s="1107"/>
      <c r="AS90" s="1107"/>
      <c r="AT90" s="1107"/>
      <c r="AU90" s="1107"/>
      <c r="AV90" s="1107"/>
      <c r="AW90" s="1107"/>
      <c r="AX90" s="1107"/>
      <c r="AY90" s="1107"/>
      <c r="AZ90" s="1107"/>
      <c r="BA90" s="1107"/>
      <c r="BB90" s="1107"/>
      <c r="BC90" s="1107"/>
      <c r="BD90" s="1107"/>
      <c r="BE90" s="1107"/>
      <c r="BF90" s="1107"/>
      <c r="BG90" s="1107"/>
      <c r="BH90" s="1107"/>
      <c r="BI90" s="1107"/>
      <c r="BJ90" s="1107"/>
      <c r="BK90" s="1107"/>
      <c r="BL90" s="1107"/>
      <c r="BM90" s="1107"/>
      <c r="BN90" s="1107"/>
      <c r="BO90" s="1107"/>
      <c r="BP90" s="1107"/>
      <c r="BQ90" s="1107"/>
      <c r="BR90" s="1107"/>
      <c r="BS90" s="1107"/>
      <c r="BT90" s="1107"/>
      <c r="BU90" s="1107"/>
      <c r="BV90" s="1107"/>
      <c r="BW90" s="1107"/>
      <c r="BX90" s="1107"/>
      <c r="BY90" s="1107"/>
      <c r="BZ90" s="1107"/>
      <c r="CA90" s="1107"/>
      <c r="CB90" s="1107"/>
      <c r="CC90" s="1107"/>
      <c r="CD90" s="1107"/>
      <c r="CE90" s="1107"/>
      <c r="CF90" s="1107"/>
      <c r="CG90" s="1107"/>
      <c r="CH90" s="1107"/>
      <c r="CI90" s="1107"/>
      <c r="CJ90" s="1107"/>
      <c r="CK90" s="1107"/>
    </row>
    <row r="91" spans="1:89" ht="15.75" thickBot="1" x14ac:dyDescent="0.3">
      <c r="A91" s="1107"/>
      <c r="B91" s="2011"/>
      <c r="C91" s="1210" t="str" cm="1">
        <f t="array" aca="1" ref="C91" ca="1">INDIRECT("'Incentives Worksheet'!T"&amp;'Configurable Tab'!H9+6)</f>
        <v>Average</v>
      </c>
      <c r="D91" s="1195" t="str" cm="1">
        <f t="array" aca="1" ref="D91" ca="1">IF(INDIRECT("'Incentives Worksheet'!J"&amp;'Configurable Tab'!H9+9)="All","All Customers","Individual")</f>
        <v>All Customers</v>
      </c>
      <c r="E91" s="1195" t="str" cm="1">
        <f t="array" aca="1" ref="E91" ca="1">IF(INDIRECT("'Incentives Worksheet'!L"&amp;'Configurable Tab'!H9+6)&lt;&gt;0,INDIRECT("'Incentives Worksheet'!L"&amp;'Configurable Tab'!H9+6),"")</f>
        <v/>
      </c>
      <c r="F91" s="1195" t="s">
        <v>2000</v>
      </c>
      <c r="G91" s="1197" t="str" cm="1">
        <f t="array" aca="1" ref="G91" ca="1">INDIRECT("'Incentives Worksheet'!N"&amp;'Configurable Tab'!H9+6)</f>
        <v>%</v>
      </c>
      <c r="H91" s="1136"/>
      <c r="I91" s="1136"/>
      <c r="J91" s="1136"/>
      <c r="K91" s="1136"/>
      <c r="L91" s="1136"/>
      <c r="M91" s="1136"/>
      <c r="N91" s="1136"/>
      <c r="O91" s="1136"/>
      <c r="P91" s="1136"/>
      <c r="Q91" s="1108"/>
      <c r="R91" s="1107"/>
      <c r="S91" s="1107"/>
      <c r="T91" s="2011"/>
      <c r="U91" s="1195" t="str" cm="1">
        <f t="array" aca="1" ref="U91" ca="1">INDIRECT("'Incentives Worksheet'!T"&amp;'Configurable Tab'!H10+6)</f>
        <v>Average</v>
      </c>
      <c r="V91" s="1196" t="str" cm="1">
        <f t="array" aca="1" ref="V91" ca="1">IF(INDIRECT("'Incentives Worksheet'!J"&amp;'Configurable Tab'!H10+9)="All","All Customers","Individual")</f>
        <v>All Customers</v>
      </c>
      <c r="W91" s="1196" t="str" cm="1">
        <f t="array" aca="1" ref="W91" ca="1">IF(INDIRECT("'Incentives Worksheet'!L"&amp;'Configurable Tab'!H10+6)&lt;&gt;0,INDIRECT("'Incentives Worksheet'!L"&amp;'Configurable Tab'!H10+6),"")</f>
        <v/>
      </c>
      <c r="X91" s="1196" t="s">
        <v>2000</v>
      </c>
      <c r="Y91" s="1197" t="str" cm="1">
        <f t="array" aca="1" ref="Y91" ca="1">INDIRECT("'Incentives Worksheet'!N"&amp;'Configurable Tab'!H10+6)</f>
        <v>%</v>
      </c>
      <c r="Z91" s="1136"/>
      <c r="AA91" s="1136"/>
      <c r="AB91" s="1136"/>
      <c r="AC91" s="1136"/>
      <c r="AD91" s="1136"/>
      <c r="AE91" s="1136"/>
      <c r="AF91" s="1136"/>
      <c r="AG91" s="1136"/>
      <c r="AH91" s="1136"/>
      <c r="AI91" s="1108"/>
      <c r="AJ91" s="1107"/>
      <c r="AK91" s="1107"/>
      <c r="AL91" s="1107"/>
      <c r="AM91" s="1107"/>
      <c r="AN91" s="1107"/>
      <c r="AO91" s="1107"/>
      <c r="AP91" s="1107"/>
      <c r="AQ91" s="1107"/>
      <c r="AR91" s="1107"/>
      <c r="AS91" s="1107"/>
      <c r="AT91" s="1107"/>
      <c r="AU91" s="1107"/>
      <c r="AV91" s="1107"/>
      <c r="AW91" s="1107"/>
      <c r="AX91" s="1107"/>
      <c r="AY91" s="1107"/>
      <c r="AZ91" s="1107"/>
      <c r="BA91" s="1107"/>
      <c r="BB91" s="1107"/>
      <c r="BC91" s="1107"/>
      <c r="BD91" s="1107"/>
      <c r="BE91" s="1107"/>
      <c r="BF91" s="1107"/>
      <c r="BG91" s="1107"/>
      <c r="BH91" s="1107"/>
      <c r="BI91" s="1107"/>
      <c r="BJ91" s="1107"/>
      <c r="BK91" s="1107"/>
      <c r="BL91" s="1107"/>
      <c r="BM91" s="1107"/>
      <c r="BN91" s="1107"/>
      <c r="BO91" s="1107"/>
      <c r="BP91" s="1107"/>
      <c r="BQ91" s="1107"/>
      <c r="BR91" s="1107"/>
      <c r="BS91" s="1107"/>
      <c r="BT91" s="1107"/>
      <c r="BU91" s="1107"/>
      <c r="BV91" s="1107"/>
      <c r="BW91" s="1107"/>
      <c r="BX91" s="1107"/>
      <c r="BY91" s="1107"/>
      <c r="BZ91" s="1107"/>
      <c r="CA91" s="1107"/>
      <c r="CB91" s="1107"/>
      <c r="CC91" s="1107"/>
      <c r="CD91" s="1107"/>
      <c r="CE91" s="1107"/>
      <c r="CF91" s="1107"/>
      <c r="CG91" s="1107"/>
      <c r="CH91" s="1107"/>
      <c r="CI91" s="1107"/>
      <c r="CJ91" s="1107"/>
      <c r="CK91" s="1107"/>
    </row>
    <row r="92" spans="1:89" x14ac:dyDescent="0.25">
      <c r="A92" s="1107"/>
      <c r="B92" s="2008"/>
      <c r="C92" s="1170" t="s">
        <v>1884</v>
      </c>
      <c r="D92" s="1171" t="s">
        <v>126</v>
      </c>
      <c r="E92" s="1172" t="s">
        <v>128</v>
      </c>
      <c r="F92" s="1173" t="s">
        <v>1104</v>
      </c>
      <c r="G92" s="1136"/>
      <c r="H92" s="1136"/>
      <c r="I92" s="1136"/>
      <c r="J92" s="1136"/>
      <c r="K92" s="1136"/>
      <c r="L92" s="1136"/>
      <c r="M92" s="1136"/>
      <c r="N92" s="1136"/>
      <c r="O92" s="1136"/>
      <c r="P92" s="1136"/>
      <c r="Q92" s="1137"/>
      <c r="R92" s="1107"/>
      <c r="S92" s="1107"/>
      <c r="T92" s="2011"/>
      <c r="U92" s="1198" t="s">
        <v>1884</v>
      </c>
      <c r="V92" s="1199" t="s">
        <v>126</v>
      </c>
      <c r="W92" s="1177" t="s">
        <v>128</v>
      </c>
      <c r="X92" s="1177" t="s">
        <v>1104</v>
      </c>
      <c r="Y92" s="1136"/>
      <c r="Z92" s="1136"/>
      <c r="AA92" s="1136"/>
      <c r="AB92" s="1136"/>
      <c r="AC92" s="1136"/>
      <c r="AD92" s="1136"/>
      <c r="AE92" s="1136"/>
      <c r="AF92" s="1136"/>
      <c r="AG92" s="1136"/>
      <c r="AH92" s="1136"/>
      <c r="AI92" s="1137"/>
      <c r="AJ92" s="1107"/>
      <c r="AK92" s="1107"/>
      <c r="AL92" s="1107"/>
      <c r="AM92" s="1107"/>
      <c r="AN92" s="1107"/>
      <c r="AO92" s="1107"/>
      <c r="AP92" s="1107"/>
      <c r="AQ92" s="1107"/>
      <c r="AR92" s="1107"/>
      <c r="AS92" s="1107"/>
      <c r="AT92" s="1107"/>
      <c r="AU92" s="1107"/>
      <c r="AV92" s="1107"/>
      <c r="AW92" s="1107"/>
      <c r="AX92" s="1107"/>
      <c r="AY92" s="1107"/>
      <c r="AZ92" s="1107"/>
      <c r="BA92" s="1107"/>
      <c r="BB92" s="1107"/>
      <c r="BC92" s="1107"/>
      <c r="BD92" s="1107"/>
      <c r="BE92" s="1107"/>
      <c r="BF92" s="1107"/>
      <c r="BG92" s="1107"/>
      <c r="BH92" s="1107"/>
      <c r="BI92" s="1107"/>
      <c r="BJ92" s="1107"/>
      <c r="BK92" s="1107"/>
      <c r="BL92" s="1107"/>
      <c r="BM92" s="1107"/>
      <c r="BN92" s="1107"/>
      <c r="BO92" s="1107"/>
      <c r="BP92" s="1107"/>
      <c r="BQ92" s="1107"/>
      <c r="BR92" s="1107"/>
      <c r="BS92" s="1107"/>
      <c r="BT92" s="1107"/>
      <c r="BU92" s="1107"/>
      <c r="BV92" s="1107"/>
      <c r="BW92" s="1107"/>
      <c r="BX92" s="1107"/>
      <c r="BY92" s="1107"/>
      <c r="BZ92" s="1107"/>
      <c r="CA92" s="1107"/>
      <c r="CB92" s="1107"/>
      <c r="CC92" s="1107"/>
      <c r="CD92" s="1107"/>
      <c r="CE92" s="1107"/>
      <c r="CF92" s="1107"/>
      <c r="CG92" s="1107"/>
      <c r="CH92" s="1107"/>
      <c r="CI92" s="1107"/>
      <c r="CJ92" s="1107"/>
      <c r="CK92" s="1107"/>
    </row>
    <row r="93" spans="1:89" x14ac:dyDescent="0.25">
      <c r="A93" s="1107"/>
      <c r="B93" s="2008"/>
      <c r="C93" s="1178">
        <v>0</v>
      </c>
      <c r="D93" s="1179" t="str" cm="1">
        <f t="array" aca="1" ref="D93" ca="1">IF(INDIRECT("'Incentives Worksheet'!H"&amp;'Configurable Tab'!H9+6)&lt;&gt;0,0,"")</f>
        <v/>
      </c>
      <c r="E93" s="1180" t="str" cm="1">
        <f t="array" aca="1" ref="E93" ca="1">IF(INDIRECT("'Incentives Worksheet'!H"&amp;'Configurable Tab'!H9+6)&lt;&gt;0,INDIRECT("'Incentives Worksheet'!H"&amp;'Configurable Tab'!H9+6)-0.01,"")</f>
        <v/>
      </c>
      <c r="F93" s="1181" t="str" cm="1">
        <f t="array" aca="1" ref="F93" ca="1">IF(INDIRECT("'Incentives Worksheet'!H"&amp;'Configurable Tab'!H9+6)&lt;&gt;0,0,"")</f>
        <v/>
      </c>
      <c r="G93" s="1136"/>
      <c r="H93" s="1136"/>
      <c r="I93" s="1136"/>
      <c r="J93" s="1136"/>
      <c r="K93" s="1136"/>
      <c r="L93" s="1136"/>
      <c r="M93" s="1136"/>
      <c r="N93" s="1136"/>
      <c r="O93" s="1136"/>
      <c r="P93" s="1136"/>
      <c r="Q93" s="1137"/>
      <c r="R93" s="1107"/>
      <c r="S93" s="1107"/>
      <c r="T93" s="2008"/>
      <c r="U93" s="1182">
        <v>0</v>
      </c>
      <c r="V93" s="1153" t="str" cm="1">
        <f t="array" aca="1" ref="V93" ca="1">IF(INDIRECT("'Incentives Worksheet'!H"&amp;'Configurable Tab'!H10+6)&lt;&gt;0,0,"")</f>
        <v/>
      </c>
      <c r="W93" s="1211" t="str" cm="1">
        <f t="array" aca="1" ref="W93" ca="1">IF(INDIRECT("'Incentives Worksheet'!H"&amp;'Configurable Tab'!H10+6)&lt;&gt;0,INDIRECT("'Incentives Worksheet'!H"&amp;'Configurable Tab'!H10+6)-0.01,"")</f>
        <v/>
      </c>
      <c r="X93" s="1183" t="str" cm="1">
        <f t="array" aca="1" ref="X93" ca="1">IF(INDIRECT("'Incentives Worksheet'!H"&amp;'Configurable Tab'!H10+6)&lt;&gt;0,0,"")</f>
        <v/>
      </c>
      <c r="Y93" s="1136"/>
      <c r="Z93" s="1136"/>
      <c r="AA93" s="1136"/>
      <c r="AB93" s="1136"/>
      <c r="AC93" s="1136"/>
      <c r="AD93" s="1136"/>
      <c r="AE93" s="1136"/>
      <c r="AF93" s="1136"/>
      <c r="AG93" s="1136"/>
      <c r="AH93" s="1136"/>
      <c r="AI93" s="1137"/>
      <c r="AJ93" s="1107"/>
      <c r="AK93" s="1107"/>
      <c r="AL93" s="1107"/>
      <c r="AM93" s="1107"/>
      <c r="AN93" s="1107"/>
      <c r="AO93" s="1107"/>
      <c r="AP93" s="1107"/>
      <c r="AQ93" s="1107"/>
      <c r="AR93" s="1107"/>
      <c r="AS93" s="1107"/>
      <c r="AT93" s="1107"/>
      <c r="AU93" s="1107"/>
      <c r="AV93" s="1107"/>
      <c r="AW93" s="1107"/>
      <c r="AX93" s="1107"/>
      <c r="AY93" s="1107"/>
      <c r="AZ93" s="1107"/>
      <c r="BA93" s="1107"/>
      <c r="BB93" s="1107"/>
      <c r="BC93" s="1107"/>
      <c r="BD93" s="1107"/>
      <c r="BE93" s="1107"/>
      <c r="BF93" s="1107"/>
      <c r="BG93" s="1107"/>
      <c r="BH93" s="1107"/>
      <c r="BI93" s="1107"/>
      <c r="BJ93" s="1107"/>
      <c r="BK93" s="1107"/>
      <c r="BL93" s="1107"/>
      <c r="BM93" s="1107"/>
      <c r="BN93" s="1107"/>
      <c r="BO93" s="1107"/>
      <c r="BP93" s="1107"/>
      <c r="BQ93" s="1107"/>
      <c r="BR93" s="1107"/>
      <c r="BS93" s="1107"/>
      <c r="BT93" s="1107"/>
      <c r="BU93" s="1107"/>
      <c r="BV93" s="1107"/>
      <c r="BW93" s="1107"/>
      <c r="BX93" s="1107"/>
      <c r="BY93" s="1107"/>
      <c r="BZ93" s="1107"/>
      <c r="CA93" s="1107"/>
      <c r="CB93" s="1107"/>
      <c r="CC93" s="1107"/>
      <c r="CD93" s="1107"/>
      <c r="CE93" s="1107"/>
      <c r="CF93" s="1107"/>
      <c r="CG93" s="1107"/>
      <c r="CH93" s="1107"/>
      <c r="CI93" s="1107"/>
      <c r="CJ93" s="1107"/>
      <c r="CK93" s="1107"/>
    </row>
    <row r="94" spans="1:89" ht="15.75" customHeight="1" thickBot="1" x14ac:dyDescent="0.3">
      <c r="A94" s="1107"/>
      <c r="B94" s="2008"/>
      <c r="C94" s="1184">
        <v>1</v>
      </c>
      <c r="D94" s="1203" t="str" cm="1">
        <f t="array" aca="1" ref="D94" ca="1">IF(INDIRECT("'Incentives Worksheet'!H"&amp;'Configurable Tab'!H9+6)="","",INDIRECT("'Incentives Worksheet'!H"&amp;'Configurable Tab'!H9+6))</f>
        <v/>
      </c>
      <c r="E94" s="1186" t="str" cm="1">
        <f t="array" aca="1" ref="E94" ca="1">IF(INDIRECT("'Incentives Worksheet'!J"&amp;'Configurable Tab'!H9+6)="","",INDIRECT("'Incentives Worksheet'!J"&amp;'Configurable Tab'!H9+6))</f>
        <v/>
      </c>
      <c r="F94" s="1204" t="str" cm="1">
        <f t="array" aca="1" ref="F94" ca="1">IF(INDIRECT("'Incentives Worksheet'!L"&amp;'Configurable Tab'!H9+6)="","",INDIRECT("'Incentives Worksheet'!L"&amp;'Configurable Tab'!H9+6))</f>
        <v/>
      </c>
      <c r="G94" s="1136"/>
      <c r="H94" s="1136"/>
      <c r="I94" s="1136"/>
      <c r="J94" s="1136"/>
      <c r="K94" s="1136"/>
      <c r="L94" s="1136"/>
      <c r="M94" s="1136"/>
      <c r="N94" s="1136"/>
      <c r="O94" s="1136"/>
      <c r="P94" s="1136"/>
      <c r="Q94" s="1137"/>
      <c r="R94" s="1107"/>
      <c r="S94" s="1107"/>
      <c r="T94" s="2008"/>
      <c r="U94" s="1184">
        <v>1</v>
      </c>
      <c r="V94" s="1203" t="str" cm="1">
        <f t="array" aca="1" ref="V94" ca="1">IF(INDIRECT("'Incentives Worksheet'!H"&amp;'Configurable Tab'!H10+6)="","",INDIRECT("'Incentives Worksheet'!H"&amp;'Configurable Tab'!H10+6))</f>
        <v/>
      </c>
      <c r="W94" s="1186" t="str" cm="1">
        <f t="array" aca="1" ref="W94" ca="1">IF(INDIRECT("'Incentives Worksheet'!J"&amp;'Configurable Tab'!H10+6)="","",INDIRECT("'Incentives Worksheet'!J"&amp;'Configurable Tab'!H10+6))</f>
        <v/>
      </c>
      <c r="X94" s="1204" t="str" cm="1">
        <f t="array" aca="1" ref="X94" ca="1">IF(INDIRECT("'Incentives Worksheet'!L"&amp;'Configurable Tab'!H10+6)="","",INDIRECT("'Incentives Worksheet'!L"&amp;'Configurable Tab'!H10+6))</f>
        <v/>
      </c>
      <c r="Y94" s="1136"/>
      <c r="Z94" s="1136"/>
      <c r="AA94" s="1136"/>
      <c r="AB94" s="1136"/>
      <c r="AC94" s="1136"/>
      <c r="AD94" s="1136"/>
      <c r="AE94" s="1136"/>
      <c r="AF94" s="1136"/>
      <c r="AG94" s="1136"/>
      <c r="AH94" s="1136"/>
      <c r="AI94" s="1137"/>
      <c r="AJ94" s="1107"/>
      <c r="AK94" s="1107"/>
      <c r="AL94" s="1107"/>
      <c r="AM94" s="1107"/>
      <c r="AN94" s="1107"/>
      <c r="AO94" s="1107"/>
      <c r="AP94" s="1107"/>
      <c r="AQ94" s="1107"/>
      <c r="AR94" s="1107"/>
      <c r="AS94" s="1107"/>
      <c r="AT94" s="1107"/>
      <c r="AU94" s="1107"/>
      <c r="AV94" s="1107"/>
      <c r="AW94" s="1107"/>
      <c r="AX94" s="1107"/>
      <c r="AY94" s="1107"/>
      <c r="AZ94" s="1107"/>
      <c r="BA94" s="1107"/>
      <c r="BB94" s="1107"/>
      <c r="BC94" s="1107"/>
      <c r="BD94" s="1107"/>
      <c r="BE94" s="1107"/>
      <c r="BF94" s="1107"/>
      <c r="BG94" s="1107"/>
      <c r="BH94" s="1107"/>
      <c r="BI94" s="1107"/>
      <c r="BJ94" s="1107"/>
      <c r="BK94" s="1107"/>
      <c r="BL94" s="1107"/>
      <c r="BM94" s="1107"/>
      <c r="BN94" s="1107"/>
      <c r="BO94" s="1107"/>
      <c r="BP94" s="1107"/>
      <c r="BQ94" s="1107"/>
      <c r="BR94" s="1107"/>
      <c r="BS94" s="1107"/>
      <c r="BT94" s="1107"/>
      <c r="BU94" s="1107"/>
      <c r="BV94" s="1107"/>
      <c r="BW94" s="1107"/>
      <c r="BX94" s="1107"/>
      <c r="BY94" s="1107"/>
      <c r="BZ94" s="1107"/>
      <c r="CA94" s="1107"/>
      <c r="CB94" s="1107"/>
      <c r="CC94" s="1107"/>
      <c r="CD94" s="1107"/>
      <c r="CE94" s="1107"/>
      <c r="CF94" s="1107"/>
      <c r="CG94" s="1107"/>
      <c r="CH94" s="1107"/>
      <c r="CI94" s="1107"/>
      <c r="CJ94" s="1107"/>
      <c r="CK94" s="1107"/>
    </row>
    <row r="95" spans="1:89" ht="15.75" customHeight="1" thickBot="1" x14ac:dyDescent="0.3">
      <c r="A95" s="1107"/>
      <c r="B95" s="2006" t="s">
        <v>1858</v>
      </c>
      <c r="C95" s="1191" t="s">
        <v>1859</v>
      </c>
      <c r="D95" s="1192" t="s">
        <v>131</v>
      </c>
      <c r="E95" s="1192" t="s">
        <v>1860</v>
      </c>
      <c r="F95" s="1107"/>
      <c r="G95" s="1107"/>
      <c r="H95" s="1107"/>
      <c r="I95" s="1107"/>
      <c r="J95" s="1107"/>
      <c r="K95" s="1107"/>
      <c r="L95" s="1107"/>
      <c r="M95" s="1107"/>
      <c r="N95" s="1107"/>
      <c r="O95" s="1107"/>
      <c r="P95" s="1107"/>
      <c r="Q95" s="1108"/>
      <c r="R95" s="1107"/>
      <c r="S95" s="1107"/>
      <c r="T95" s="2006" t="s">
        <v>1858</v>
      </c>
      <c r="U95" s="1191" t="s">
        <v>1859</v>
      </c>
      <c r="V95" s="1192" t="s">
        <v>131</v>
      </c>
      <c r="W95" s="1192" t="s">
        <v>1860</v>
      </c>
      <c r="X95" s="1107"/>
      <c r="Y95" s="1107"/>
      <c r="Z95" s="1107"/>
      <c r="AA95" s="1107"/>
      <c r="AB95" s="1107"/>
      <c r="AC95" s="1107"/>
      <c r="AD95" s="1107"/>
      <c r="AE95" s="1107"/>
      <c r="AF95" s="1107"/>
      <c r="AG95" s="1107"/>
      <c r="AH95" s="1107"/>
      <c r="AI95" s="1108"/>
      <c r="AJ95" s="1107"/>
      <c r="AK95" s="1107"/>
      <c r="AL95" s="1107"/>
      <c r="AM95" s="1107"/>
      <c r="AN95" s="1107"/>
      <c r="AO95" s="1107"/>
      <c r="AP95" s="1107"/>
      <c r="AQ95" s="1107"/>
      <c r="AR95" s="1107"/>
      <c r="AS95" s="1107"/>
      <c r="AT95" s="1107"/>
      <c r="AU95" s="1107"/>
      <c r="AV95" s="1107"/>
      <c r="AW95" s="1107"/>
      <c r="AX95" s="1107"/>
      <c r="AY95" s="1107"/>
      <c r="AZ95" s="1107"/>
      <c r="BA95" s="1107"/>
      <c r="BB95" s="1107"/>
      <c r="BC95" s="1107"/>
      <c r="BD95" s="1107"/>
      <c r="BE95" s="1107"/>
      <c r="BF95" s="1107"/>
      <c r="BG95" s="1107"/>
      <c r="BH95" s="1107"/>
      <c r="BI95" s="1107"/>
      <c r="BJ95" s="1107"/>
      <c r="BK95" s="1107"/>
      <c r="BL95" s="1107"/>
      <c r="BM95" s="1107"/>
      <c r="BN95" s="1107"/>
      <c r="BO95" s="1107"/>
      <c r="BP95" s="1107"/>
      <c r="BQ95" s="1107"/>
      <c r="BR95" s="1107"/>
      <c r="BS95" s="1107"/>
      <c r="BT95" s="1107"/>
      <c r="BU95" s="1107"/>
      <c r="BV95" s="1107"/>
      <c r="BW95" s="1107"/>
      <c r="BX95" s="1107"/>
      <c r="BY95" s="1107"/>
      <c r="BZ95" s="1107"/>
      <c r="CA95" s="1107"/>
      <c r="CB95" s="1107"/>
      <c r="CC95" s="1107"/>
      <c r="CD95" s="1107"/>
      <c r="CE95" s="1107"/>
      <c r="CF95" s="1107"/>
      <c r="CG95" s="1107"/>
      <c r="CH95" s="1107"/>
      <c r="CI95" s="1107"/>
      <c r="CJ95" s="1107"/>
      <c r="CK95" s="1107"/>
    </row>
    <row r="96" spans="1:89" x14ac:dyDescent="0.25">
      <c r="A96" s="1107"/>
      <c r="B96" s="2011"/>
      <c r="C96" s="1141" t="s">
        <v>1861</v>
      </c>
      <c r="D96" s="1141" t="s">
        <v>1862</v>
      </c>
      <c r="E96" s="1142"/>
      <c r="F96" s="1107"/>
      <c r="G96" s="1107"/>
      <c r="H96" s="1107"/>
      <c r="I96" s="1107"/>
      <c r="J96" s="1107"/>
      <c r="K96" s="1107"/>
      <c r="L96" s="1107"/>
      <c r="M96" s="1107"/>
      <c r="N96" s="1107"/>
      <c r="O96" s="1107"/>
      <c r="P96" s="1107"/>
      <c r="Q96" s="1108"/>
      <c r="R96" s="1107"/>
      <c r="S96" s="1107"/>
      <c r="T96" s="2011"/>
      <c r="U96" s="1141" t="s">
        <v>1861</v>
      </c>
      <c r="V96" s="1141" t="s">
        <v>1862</v>
      </c>
      <c r="W96" s="1142"/>
      <c r="X96" s="1107"/>
      <c r="Y96" s="1107"/>
      <c r="Z96" s="1107"/>
      <c r="AA96" s="1107"/>
      <c r="AB96" s="1107"/>
      <c r="AC96" s="1107"/>
      <c r="AD96" s="1107"/>
      <c r="AE96" s="1107"/>
      <c r="AF96" s="1107"/>
      <c r="AG96" s="1107"/>
      <c r="AH96" s="1107"/>
      <c r="AI96" s="1108"/>
      <c r="AJ96" s="1107"/>
      <c r="AK96" s="1107"/>
      <c r="AL96" s="1107"/>
      <c r="AM96" s="1107"/>
      <c r="AN96" s="1107"/>
      <c r="AO96" s="1107"/>
      <c r="AP96" s="1107"/>
      <c r="AQ96" s="1107"/>
      <c r="AR96" s="1107"/>
      <c r="AS96" s="1107"/>
      <c r="AT96" s="1107"/>
      <c r="AU96" s="1107"/>
      <c r="AV96" s="1107"/>
      <c r="AW96" s="1107"/>
      <c r="AX96" s="1107"/>
      <c r="AY96" s="1107"/>
      <c r="AZ96" s="1107"/>
      <c r="BA96" s="1107"/>
      <c r="BB96" s="1107"/>
      <c r="BC96" s="1107"/>
      <c r="BD96" s="1107"/>
      <c r="BE96" s="1107"/>
      <c r="BF96" s="1107"/>
      <c r="BG96" s="1107"/>
      <c r="BH96" s="1107"/>
      <c r="BI96" s="1107"/>
      <c r="BJ96" s="1107"/>
      <c r="BK96" s="1107"/>
      <c r="BL96" s="1107"/>
      <c r="BM96" s="1107"/>
      <c r="BN96" s="1107"/>
      <c r="BO96" s="1107"/>
      <c r="BP96" s="1107"/>
      <c r="BQ96" s="1107"/>
      <c r="BR96" s="1107"/>
      <c r="BS96" s="1107"/>
      <c r="BT96" s="1107"/>
      <c r="BU96" s="1107"/>
      <c r="BV96" s="1107"/>
      <c r="BW96" s="1107"/>
      <c r="BX96" s="1107"/>
      <c r="BY96" s="1107"/>
      <c r="BZ96" s="1107"/>
      <c r="CA96" s="1107"/>
      <c r="CB96" s="1107"/>
      <c r="CC96" s="1107"/>
      <c r="CD96" s="1107"/>
      <c r="CE96" s="1107"/>
      <c r="CF96" s="1107"/>
      <c r="CG96" s="1107"/>
      <c r="CH96" s="1107"/>
      <c r="CI96" s="1107"/>
      <c r="CJ96" s="1107"/>
      <c r="CK96" s="1107"/>
    </row>
    <row r="97" spans="1:89" x14ac:dyDescent="0.25">
      <c r="A97" s="1107"/>
      <c r="B97" s="2011"/>
      <c r="C97" s="1143" t="s">
        <v>1861</v>
      </c>
      <c r="D97" s="1143" t="s">
        <v>1863</v>
      </c>
      <c r="E97" s="1144" t="s">
        <v>1864</v>
      </c>
      <c r="F97" s="1107"/>
      <c r="G97" s="1107"/>
      <c r="H97" s="1107"/>
      <c r="I97" s="1107"/>
      <c r="J97" s="1107"/>
      <c r="K97" s="1107"/>
      <c r="L97" s="1107"/>
      <c r="M97" s="1107"/>
      <c r="N97" s="1107"/>
      <c r="O97" s="1107"/>
      <c r="P97" s="1107"/>
      <c r="Q97" s="1108"/>
      <c r="R97" s="1107"/>
      <c r="S97" s="1107"/>
      <c r="T97" s="2011"/>
      <c r="U97" s="1143" t="s">
        <v>1861</v>
      </c>
      <c r="V97" s="1143" t="s">
        <v>1863</v>
      </c>
      <c r="W97" s="1144" t="s">
        <v>1864</v>
      </c>
      <c r="X97" s="1107"/>
      <c r="Y97" s="1107"/>
      <c r="Z97" s="1107"/>
      <c r="AA97" s="1107"/>
      <c r="AB97" s="1107"/>
      <c r="AC97" s="1107"/>
      <c r="AD97" s="1107"/>
      <c r="AE97" s="1107"/>
      <c r="AF97" s="1107"/>
      <c r="AG97" s="1107"/>
      <c r="AH97" s="1107"/>
      <c r="AI97" s="1108"/>
      <c r="AJ97" s="1107"/>
      <c r="AK97" s="1107"/>
      <c r="AL97" s="1107"/>
      <c r="AM97" s="1107"/>
      <c r="AN97" s="1107"/>
      <c r="AO97" s="1107"/>
      <c r="AP97" s="1107"/>
      <c r="AQ97" s="1107"/>
      <c r="AR97" s="1107"/>
      <c r="AS97" s="1107"/>
      <c r="AT97" s="1107"/>
      <c r="AU97" s="1107"/>
      <c r="AV97" s="1107"/>
      <c r="AW97" s="1107"/>
      <c r="AX97" s="1107"/>
      <c r="AY97" s="1107"/>
      <c r="AZ97" s="1107"/>
      <c r="BA97" s="1107"/>
      <c r="BB97" s="1107"/>
      <c r="BC97" s="1107"/>
      <c r="BD97" s="1107"/>
      <c r="BE97" s="1107"/>
      <c r="BF97" s="1107"/>
      <c r="BG97" s="1107"/>
      <c r="BH97" s="1107"/>
      <c r="BI97" s="1107"/>
      <c r="BJ97" s="1107"/>
      <c r="BK97" s="1107"/>
      <c r="BL97" s="1107"/>
      <c r="BM97" s="1107"/>
      <c r="BN97" s="1107"/>
      <c r="BO97" s="1107"/>
      <c r="BP97" s="1107"/>
      <c r="BQ97" s="1107"/>
      <c r="BR97" s="1107"/>
      <c r="BS97" s="1107"/>
      <c r="BT97" s="1107"/>
      <c r="BU97" s="1107"/>
      <c r="BV97" s="1107"/>
      <c r="BW97" s="1107"/>
      <c r="BX97" s="1107"/>
      <c r="BY97" s="1107"/>
      <c r="BZ97" s="1107"/>
      <c r="CA97" s="1107"/>
      <c r="CB97" s="1107"/>
      <c r="CC97" s="1107"/>
      <c r="CD97" s="1107"/>
      <c r="CE97" s="1107"/>
      <c r="CF97" s="1107"/>
      <c r="CG97" s="1107"/>
      <c r="CH97" s="1107"/>
      <c r="CI97" s="1107"/>
      <c r="CJ97" s="1107"/>
      <c r="CK97" s="1107"/>
    </row>
    <row r="98" spans="1:89" x14ac:dyDescent="0.25">
      <c r="A98" s="1107"/>
      <c r="B98" s="2011"/>
      <c r="C98" s="1143" t="s">
        <v>1861</v>
      </c>
      <c r="D98" s="1143" t="s">
        <v>1865</v>
      </c>
      <c r="E98" s="1144" t="s">
        <v>1699</v>
      </c>
      <c r="F98" s="1107"/>
      <c r="G98" s="1107"/>
      <c r="H98" s="1107"/>
      <c r="I98" s="1107"/>
      <c r="J98" s="1107"/>
      <c r="K98" s="1107"/>
      <c r="L98" s="1107"/>
      <c r="M98" s="1107"/>
      <c r="N98" s="1107"/>
      <c r="O98" s="1107"/>
      <c r="P98" s="1107"/>
      <c r="Q98" s="1108"/>
      <c r="R98" s="1107"/>
      <c r="S98" s="1107"/>
      <c r="T98" s="2011"/>
      <c r="U98" s="1143" t="s">
        <v>1861</v>
      </c>
      <c r="V98" s="1143" t="s">
        <v>1865</v>
      </c>
      <c r="W98" s="1144" t="s">
        <v>1699</v>
      </c>
      <c r="X98" s="1107"/>
      <c r="Y98" s="1107"/>
      <c r="Z98" s="1107"/>
      <c r="AA98" s="1107"/>
      <c r="AB98" s="1107"/>
      <c r="AC98" s="1107"/>
      <c r="AD98" s="1107"/>
      <c r="AE98" s="1107"/>
      <c r="AF98" s="1107"/>
      <c r="AG98" s="1107"/>
      <c r="AH98" s="1107"/>
      <c r="AI98" s="1108"/>
      <c r="AJ98" s="1107"/>
      <c r="AK98" s="1107"/>
      <c r="AL98" s="1107"/>
      <c r="AM98" s="1107"/>
      <c r="AN98" s="1107"/>
      <c r="AO98" s="1107"/>
      <c r="AP98" s="1107"/>
      <c r="AQ98" s="1107"/>
      <c r="AR98" s="1107"/>
      <c r="AS98" s="1107"/>
      <c r="AT98" s="1107"/>
      <c r="AU98" s="1107"/>
      <c r="AV98" s="1107"/>
      <c r="AW98" s="1107"/>
      <c r="AX98" s="1107"/>
      <c r="AY98" s="1107"/>
      <c r="AZ98" s="1107"/>
      <c r="BA98" s="1107"/>
      <c r="BB98" s="1107"/>
      <c r="BC98" s="1107"/>
      <c r="BD98" s="1107"/>
      <c r="BE98" s="1107"/>
      <c r="BF98" s="1107"/>
      <c r="BG98" s="1107"/>
      <c r="BH98" s="1107"/>
      <c r="BI98" s="1107"/>
      <c r="BJ98" s="1107"/>
      <c r="BK98" s="1107"/>
      <c r="BL98" s="1107"/>
      <c r="BM98" s="1107"/>
      <c r="BN98" s="1107"/>
      <c r="BO98" s="1107"/>
      <c r="BP98" s="1107"/>
      <c r="BQ98" s="1107"/>
      <c r="BR98" s="1107"/>
      <c r="BS98" s="1107"/>
      <c r="BT98" s="1107"/>
      <c r="BU98" s="1107"/>
      <c r="BV98" s="1107"/>
      <c r="BW98" s="1107"/>
      <c r="BX98" s="1107"/>
      <c r="BY98" s="1107"/>
      <c r="BZ98" s="1107"/>
      <c r="CA98" s="1107"/>
      <c r="CB98" s="1107"/>
      <c r="CC98" s="1107"/>
      <c r="CD98" s="1107"/>
      <c r="CE98" s="1107"/>
      <c r="CF98" s="1107"/>
      <c r="CG98" s="1107"/>
      <c r="CH98" s="1107"/>
      <c r="CI98" s="1107"/>
      <c r="CJ98" s="1107"/>
      <c r="CK98" s="1107"/>
    </row>
    <row r="99" spans="1:89" ht="15.75" customHeight="1" thickBot="1" x14ac:dyDescent="0.3">
      <c r="A99" s="1107"/>
      <c r="B99" s="2010"/>
      <c r="C99" s="1145" t="s">
        <v>1861</v>
      </c>
      <c r="D99" s="1145" t="s">
        <v>1866</v>
      </c>
      <c r="E99" s="1146" t="s">
        <v>1867</v>
      </c>
      <c r="F99" s="1107"/>
      <c r="G99" s="1107"/>
      <c r="H99" s="1107"/>
      <c r="I99" s="1107"/>
      <c r="J99" s="1107"/>
      <c r="K99" s="1107"/>
      <c r="L99" s="1107"/>
      <c r="M99" s="1107"/>
      <c r="N99" s="1107"/>
      <c r="O99" s="1107"/>
      <c r="P99" s="1107"/>
      <c r="Q99" s="1108"/>
      <c r="R99" s="1107"/>
      <c r="S99" s="1107"/>
      <c r="T99" s="2010"/>
      <c r="U99" s="1145" t="s">
        <v>1861</v>
      </c>
      <c r="V99" s="1145" t="s">
        <v>1866</v>
      </c>
      <c r="W99" s="1146" t="s">
        <v>1867</v>
      </c>
      <c r="X99" s="1107"/>
      <c r="Y99" s="1107"/>
      <c r="Z99" s="1107"/>
      <c r="AA99" s="1107"/>
      <c r="AB99" s="1107"/>
      <c r="AC99" s="1107"/>
      <c r="AD99" s="1107"/>
      <c r="AE99" s="1107"/>
      <c r="AF99" s="1107"/>
      <c r="AG99" s="1107"/>
      <c r="AH99" s="1107"/>
      <c r="AI99" s="1108"/>
      <c r="AJ99" s="1107"/>
      <c r="AK99" s="1107"/>
      <c r="AL99" s="1107"/>
      <c r="AM99" s="1107"/>
      <c r="AN99" s="1107"/>
      <c r="AO99" s="1107"/>
      <c r="AP99" s="1107"/>
      <c r="AQ99" s="1107"/>
      <c r="AR99" s="1107"/>
      <c r="AS99" s="1107"/>
      <c r="AT99" s="1107"/>
      <c r="AU99" s="1107"/>
      <c r="AV99" s="1107"/>
      <c r="AW99" s="1107"/>
      <c r="AX99" s="1107"/>
      <c r="AY99" s="1107"/>
      <c r="AZ99" s="1107"/>
      <c r="BA99" s="1107"/>
      <c r="BB99" s="1107"/>
      <c r="BC99" s="1107"/>
      <c r="BD99" s="1107"/>
      <c r="BE99" s="1107"/>
      <c r="BF99" s="1107"/>
      <c r="BG99" s="1107"/>
      <c r="BH99" s="1107"/>
      <c r="BI99" s="1107"/>
      <c r="BJ99" s="1107"/>
      <c r="BK99" s="1107"/>
      <c r="BL99" s="1107"/>
      <c r="BM99" s="1107"/>
      <c r="BN99" s="1107"/>
      <c r="BO99" s="1107"/>
      <c r="BP99" s="1107"/>
      <c r="BQ99" s="1107"/>
      <c r="BR99" s="1107"/>
      <c r="BS99" s="1107"/>
      <c r="BT99" s="1107"/>
      <c r="BU99" s="1107"/>
      <c r="BV99" s="1107"/>
      <c r="BW99" s="1107"/>
      <c r="BX99" s="1107"/>
      <c r="BY99" s="1107"/>
      <c r="BZ99" s="1107"/>
      <c r="CA99" s="1107"/>
      <c r="CB99" s="1107"/>
      <c r="CC99" s="1107"/>
      <c r="CD99" s="1107"/>
      <c r="CE99" s="1107"/>
      <c r="CF99" s="1107"/>
      <c r="CG99" s="1107"/>
      <c r="CH99" s="1107"/>
      <c r="CI99" s="1107"/>
      <c r="CJ99" s="1107"/>
      <c r="CK99" s="1107"/>
    </row>
    <row r="100" spans="1:89" ht="15.75" customHeight="1" thickBot="1" x14ac:dyDescent="0.3">
      <c r="A100" s="1107"/>
      <c r="B100" s="2006" t="s">
        <v>1868</v>
      </c>
      <c r="C100" s="1147" t="s">
        <v>1869</v>
      </c>
      <c r="D100" s="1148" t="s">
        <v>1859</v>
      </c>
      <c r="E100" s="1148" t="s">
        <v>131</v>
      </c>
      <c r="F100" s="1148" t="s">
        <v>1860</v>
      </c>
      <c r="G100" s="1148" t="s">
        <v>1870</v>
      </c>
      <c r="H100" s="1149" t="s">
        <v>1871</v>
      </c>
      <c r="I100" s="1150" t="s">
        <v>766</v>
      </c>
      <c r="J100" s="1150" t="s">
        <v>767</v>
      </c>
      <c r="K100" s="1150" t="s">
        <v>768</v>
      </c>
      <c r="L100" s="1150" t="s">
        <v>769</v>
      </c>
      <c r="M100" s="1150" t="s">
        <v>204</v>
      </c>
      <c r="N100" s="1107"/>
      <c r="O100" s="1107"/>
      <c r="P100" s="1107"/>
      <c r="Q100" s="1108"/>
      <c r="R100" s="1107"/>
      <c r="S100" s="1107"/>
      <c r="T100" s="2006" t="s">
        <v>1868</v>
      </c>
      <c r="U100" s="1147" t="s">
        <v>1869</v>
      </c>
      <c r="V100" s="1148" t="s">
        <v>1859</v>
      </c>
      <c r="W100" s="1148" t="s">
        <v>131</v>
      </c>
      <c r="X100" s="1148" t="s">
        <v>1860</v>
      </c>
      <c r="Y100" s="1148" t="s">
        <v>1870</v>
      </c>
      <c r="Z100" s="1149" t="s">
        <v>1871</v>
      </c>
      <c r="AA100" s="1150" t="s">
        <v>766</v>
      </c>
      <c r="AB100" s="1150" t="s">
        <v>767</v>
      </c>
      <c r="AC100" s="1150" t="s">
        <v>768</v>
      </c>
      <c r="AD100" s="1150" t="s">
        <v>769</v>
      </c>
      <c r="AE100" s="1150" t="s">
        <v>204</v>
      </c>
      <c r="AF100" s="1107"/>
      <c r="AG100" s="1107"/>
      <c r="AH100" s="1107"/>
      <c r="AI100" s="1108"/>
      <c r="AJ100" s="1107"/>
      <c r="AK100" s="1107"/>
      <c r="AL100" s="1107"/>
      <c r="AM100" s="1107"/>
      <c r="AN100" s="1107"/>
      <c r="AO100" s="1107"/>
      <c r="AP100" s="1107"/>
      <c r="AQ100" s="1107"/>
      <c r="AR100" s="1107"/>
      <c r="AS100" s="1107"/>
      <c r="AT100" s="1107"/>
      <c r="AU100" s="1107"/>
      <c r="AV100" s="1107"/>
      <c r="AW100" s="1107"/>
      <c r="AX100" s="1107"/>
      <c r="AY100" s="1107"/>
      <c r="AZ100" s="1107"/>
      <c r="BA100" s="1107"/>
      <c r="BB100" s="1107"/>
      <c r="BC100" s="1107"/>
      <c r="BD100" s="1107"/>
      <c r="BE100" s="1107"/>
      <c r="BF100" s="1107"/>
      <c r="BG100" s="1107"/>
      <c r="BH100" s="1107"/>
      <c r="BI100" s="1107"/>
      <c r="BJ100" s="1107"/>
      <c r="BK100" s="1107"/>
      <c r="BL100" s="1107"/>
      <c r="BM100" s="1107"/>
      <c r="BN100" s="1107"/>
      <c r="BO100" s="1107"/>
      <c r="BP100" s="1107"/>
      <c r="BQ100" s="1107"/>
      <c r="BR100" s="1107"/>
      <c r="BS100" s="1107"/>
      <c r="BT100" s="1107"/>
      <c r="BU100" s="1107"/>
      <c r="BV100" s="1107"/>
      <c r="BW100" s="1107"/>
      <c r="BX100" s="1107"/>
      <c r="BY100" s="1107"/>
      <c r="BZ100" s="1107"/>
      <c r="CA100" s="1107"/>
      <c r="CB100" s="1107"/>
      <c r="CC100" s="1107"/>
      <c r="CD100" s="1107"/>
      <c r="CE100" s="1107"/>
      <c r="CF100" s="1107"/>
      <c r="CG100" s="1107"/>
      <c r="CH100" s="1107"/>
      <c r="CI100" s="1107"/>
      <c r="CJ100" s="1107"/>
      <c r="CK100" s="1107"/>
    </row>
    <row r="101" spans="1:89" x14ac:dyDescent="0.25">
      <c r="A101" s="1107"/>
      <c r="B101" s="2008"/>
      <c r="C101" s="1151">
        <v>1</v>
      </c>
      <c r="D101" s="1144" t="s">
        <v>1872</v>
      </c>
      <c r="E101" s="1144" t="s">
        <v>1426</v>
      </c>
      <c r="F101" s="1144" t="str">
        <f>'Required Info to Submit'!E23</f>
        <v/>
      </c>
      <c r="G101" s="1414" t="str">
        <f>IF(F101="","",'Required Info to Submit'!K23)</f>
        <v/>
      </c>
      <c r="H101" s="1415" t="str">
        <f>IF(F101="","",'Required Info to Submit'!L23)</f>
        <v/>
      </c>
      <c r="I101" s="1144" t="str">
        <f>'Required Info to Submit'!F23</f>
        <v/>
      </c>
      <c r="J101" s="1144" t="str">
        <f>'Required Info to Submit'!G23</f>
        <v/>
      </c>
      <c r="K101" s="1144" t="str">
        <f>'Required Info to Submit'!H23</f>
        <v/>
      </c>
      <c r="L101" s="1144" t="str">
        <f>'Required Info to Submit'!I23</f>
        <v/>
      </c>
      <c r="M101" s="1144" t="str">
        <f>'Required Info to Submit'!J23</f>
        <v/>
      </c>
      <c r="N101" s="1107"/>
      <c r="O101" s="1107"/>
      <c r="P101" s="1107"/>
      <c r="Q101" s="1108"/>
      <c r="R101" s="1107"/>
      <c r="S101" s="1107"/>
      <c r="T101" s="2008"/>
      <c r="U101" s="1151">
        <v>1</v>
      </c>
      <c r="V101" s="1144" t="s">
        <v>1872</v>
      </c>
      <c r="W101" s="1144" t="s">
        <v>1426</v>
      </c>
      <c r="X101" s="1144" t="str">
        <f>'Required Info to Submit'!E23</f>
        <v/>
      </c>
      <c r="Y101" s="1414" t="str">
        <f>IF(X101="","",'Required Info to Submit'!K23)</f>
        <v/>
      </c>
      <c r="Z101" s="1415" t="str">
        <f>IF(X101="","",'Required Info to Submit'!L23)</f>
        <v/>
      </c>
      <c r="AA101" s="1144" t="str">
        <f>'Required Info to Submit'!F23</f>
        <v/>
      </c>
      <c r="AB101" s="1144" t="str">
        <f>'Required Info to Submit'!G23</f>
        <v/>
      </c>
      <c r="AC101" s="1144" t="str">
        <f>'Required Info to Submit'!H23</f>
        <v/>
      </c>
      <c r="AD101" s="1144" t="str">
        <f>'Required Info to Submit'!I23</f>
        <v/>
      </c>
      <c r="AE101" s="1144" t="str">
        <f>'Required Info to Submit'!J23</f>
        <v/>
      </c>
      <c r="AF101" s="1107"/>
      <c r="AG101" s="1107"/>
      <c r="AH101" s="1107"/>
      <c r="AI101" s="1108"/>
      <c r="AJ101" s="1107"/>
      <c r="AK101" s="1107"/>
      <c r="AL101" s="1107"/>
      <c r="AM101" s="1107"/>
      <c r="AN101" s="1107"/>
      <c r="AO101" s="1107"/>
      <c r="AP101" s="1107"/>
      <c r="AQ101" s="1107"/>
      <c r="AR101" s="1107"/>
      <c r="AS101" s="1107"/>
      <c r="AT101" s="1107"/>
      <c r="AU101" s="1107"/>
      <c r="AV101" s="1107"/>
      <c r="AW101" s="1107"/>
      <c r="AX101" s="1107"/>
      <c r="AY101" s="1107"/>
      <c r="AZ101" s="1107"/>
      <c r="BA101" s="1107"/>
      <c r="BB101" s="1107"/>
      <c r="BC101" s="1107"/>
      <c r="BD101" s="1107"/>
      <c r="BE101" s="1107"/>
      <c r="BF101" s="1107"/>
      <c r="BG101" s="1107"/>
      <c r="BH101" s="1107"/>
      <c r="BI101" s="1107"/>
      <c r="BJ101" s="1107"/>
      <c r="BK101" s="1107"/>
      <c r="BL101" s="1107"/>
      <c r="BM101" s="1107"/>
      <c r="BN101" s="1107"/>
      <c r="BO101" s="1107"/>
      <c r="BP101" s="1107"/>
      <c r="BQ101" s="1107"/>
      <c r="BR101" s="1107"/>
      <c r="BS101" s="1107"/>
      <c r="BT101" s="1107"/>
      <c r="BU101" s="1107"/>
      <c r="BV101" s="1107"/>
      <c r="BW101" s="1107"/>
      <c r="BX101" s="1107"/>
      <c r="BY101" s="1107"/>
      <c r="BZ101" s="1107"/>
      <c r="CA101" s="1107"/>
      <c r="CB101" s="1107"/>
      <c r="CC101" s="1107"/>
      <c r="CD101" s="1107"/>
      <c r="CE101" s="1107"/>
      <c r="CF101" s="1107"/>
      <c r="CG101" s="1107"/>
      <c r="CH101" s="1107"/>
      <c r="CI101" s="1107"/>
      <c r="CJ101" s="1107"/>
      <c r="CK101" s="1107"/>
    </row>
    <row r="102" spans="1:89" x14ac:dyDescent="0.25">
      <c r="A102" s="1107"/>
      <c r="B102" s="2008"/>
      <c r="C102" s="1154">
        <v>2</v>
      </c>
      <c r="D102" s="1144" t="s">
        <v>1872</v>
      </c>
      <c r="E102" s="1144" t="s">
        <v>1426</v>
      </c>
      <c r="F102" s="1144" t="str">
        <f>'Required Info to Submit'!E24</f>
        <v/>
      </c>
      <c r="G102" s="1414" t="str">
        <f>IF(F102="","",'Required Info to Submit'!K24)</f>
        <v/>
      </c>
      <c r="H102" s="1415" t="str">
        <f>IF(F102="","",'Required Info to Submit'!L24)</f>
        <v/>
      </c>
      <c r="I102" s="1144" t="str">
        <f>'Required Info to Submit'!F24</f>
        <v/>
      </c>
      <c r="J102" s="1144" t="str">
        <f>'Required Info to Submit'!G24</f>
        <v/>
      </c>
      <c r="K102" s="1144" t="str">
        <f>'Required Info to Submit'!H24</f>
        <v/>
      </c>
      <c r="L102" s="1144" t="str">
        <f>'Required Info to Submit'!I24</f>
        <v/>
      </c>
      <c r="M102" s="1144" t="str">
        <f>'Required Info to Submit'!J24</f>
        <v/>
      </c>
      <c r="N102" s="1107"/>
      <c r="O102" s="1107"/>
      <c r="P102" s="1107"/>
      <c r="Q102" s="1108"/>
      <c r="R102" s="1107"/>
      <c r="S102" s="1107"/>
      <c r="T102" s="2008"/>
      <c r="U102" s="1154">
        <v>2</v>
      </c>
      <c r="V102" s="1144" t="s">
        <v>1872</v>
      </c>
      <c r="W102" s="1144" t="s">
        <v>1426</v>
      </c>
      <c r="X102" s="1144" t="str">
        <f>'Required Info to Submit'!E24</f>
        <v/>
      </c>
      <c r="Y102" s="1414" t="str">
        <f>IF(X102="","",'Required Info to Submit'!K24)</f>
        <v/>
      </c>
      <c r="Z102" s="1415" t="str">
        <f>IF(X102="","",'Required Info to Submit'!L24)</f>
        <v/>
      </c>
      <c r="AA102" s="1144" t="str">
        <f>'Required Info to Submit'!F24</f>
        <v/>
      </c>
      <c r="AB102" s="1144" t="str">
        <f>'Required Info to Submit'!G24</f>
        <v/>
      </c>
      <c r="AC102" s="1144" t="str">
        <f>'Required Info to Submit'!H24</f>
        <v/>
      </c>
      <c r="AD102" s="1144" t="str">
        <f>'Required Info to Submit'!I24</f>
        <v/>
      </c>
      <c r="AE102" s="1144" t="str">
        <f>'Required Info to Submit'!J24</f>
        <v/>
      </c>
      <c r="AF102" s="1107"/>
      <c r="AG102" s="1107"/>
      <c r="AH102" s="1107"/>
      <c r="AI102" s="1108"/>
      <c r="AJ102" s="1107"/>
      <c r="AK102" s="1107"/>
      <c r="AL102" s="1107"/>
      <c r="AM102" s="1107"/>
      <c r="AN102" s="1107"/>
      <c r="AO102" s="1107"/>
      <c r="AP102" s="1107"/>
      <c r="AQ102" s="1107"/>
      <c r="AR102" s="1107"/>
      <c r="AS102" s="1107"/>
      <c r="AT102" s="1107"/>
      <c r="AU102" s="1107"/>
      <c r="AV102" s="1107"/>
      <c r="AW102" s="1107"/>
      <c r="AX102" s="1107"/>
      <c r="AY102" s="1107"/>
      <c r="AZ102" s="1107"/>
      <c r="BA102" s="1107"/>
      <c r="BB102" s="1107"/>
      <c r="BC102" s="1107"/>
      <c r="BD102" s="1107"/>
      <c r="BE102" s="1107"/>
      <c r="BF102" s="1107"/>
      <c r="BG102" s="1107"/>
      <c r="BH102" s="1107"/>
      <c r="BI102" s="1107"/>
      <c r="BJ102" s="1107"/>
      <c r="BK102" s="1107"/>
      <c r="BL102" s="1107"/>
      <c r="BM102" s="1107"/>
      <c r="BN102" s="1107"/>
      <c r="BO102" s="1107"/>
      <c r="BP102" s="1107"/>
      <c r="BQ102" s="1107"/>
      <c r="BR102" s="1107"/>
      <c r="BS102" s="1107"/>
      <c r="BT102" s="1107"/>
      <c r="BU102" s="1107"/>
      <c r="BV102" s="1107"/>
      <c r="BW102" s="1107"/>
      <c r="BX102" s="1107"/>
      <c r="BY102" s="1107"/>
      <c r="BZ102" s="1107"/>
      <c r="CA102" s="1107"/>
      <c r="CB102" s="1107"/>
      <c r="CC102" s="1107"/>
      <c r="CD102" s="1107"/>
      <c r="CE102" s="1107"/>
      <c r="CF102" s="1107"/>
      <c r="CG102" s="1107"/>
      <c r="CH102" s="1107"/>
      <c r="CI102" s="1107"/>
      <c r="CJ102" s="1107"/>
      <c r="CK102" s="1107"/>
    </row>
    <row r="103" spans="1:89" x14ac:dyDescent="0.25">
      <c r="A103" s="1107"/>
      <c r="B103" s="2008"/>
      <c r="C103" s="1154">
        <v>3</v>
      </c>
      <c r="D103" s="1144" t="s">
        <v>1872</v>
      </c>
      <c r="E103" s="1144" t="s">
        <v>1426</v>
      </c>
      <c r="F103" s="1144" t="str">
        <f>'Required Info to Submit'!E25</f>
        <v/>
      </c>
      <c r="G103" s="1414" t="str">
        <f>IF(F103="","",'Required Info to Submit'!K25)</f>
        <v/>
      </c>
      <c r="H103" s="1415" t="str">
        <f>IF(F103="","",'Required Info to Submit'!L25)</f>
        <v/>
      </c>
      <c r="I103" s="1144" t="str">
        <f>'Required Info to Submit'!F25</f>
        <v/>
      </c>
      <c r="J103" s="1144" t="str">
        <f>'Required Info to Submit'!G25</f>
        <v/>
      </c>
      <c r="K103" s="1144" t="str">
        <f>'Required Info to Submit'!H25</f>
        <v/>
      </c>
      <c r="L103" s="1144" t="str">
        <f>'Required Info to Submit'!I25</f>
        <v/>
      </c>
      <c r="M103" s="1144" t="str">
        <f>'Required Info to Submit'!J25</f>
        <v/>
      </c>
      <c r="N103" s="1107"/>
      <c r="O103" s="1107"/>
      <c r="P103" s="1107"/>
      <c r="Q103" s="1108"/>
      <c r="R103" s="1107"/>
      <c r="S103" s="1107"/>
      <c r="T103" s="2008"/>
      <c r="U103" s="1154">
        <v>3</v>
      </c>
      <c r="V103" s="1144" t="s">
        <v>1872</v>
      </c>
      <c r="W103" s="1144" t="s">
        <v>1426</v>
      </c>
      <c r="X103" s="1144" t="str">
        <f>'Required Info to Submit'!E25</f>
        <v/>
      </c>
      <c r="Y103" s="1414" t="str">
        <f>IF(X103="","",'Required Info to Submit'!K25)</f>
        <v/>
      </c>
      <c r="Z103" s="1415" t="str">
        <f>IF(X103="","",'Required Info to Submit'!L25)</f>
        <v/>
      </c>
      <c r="AA103" s="1144" t="str">
        <f>'Required Info to Submit'!F25</f>
        <v/>
      </c>
      <c r="AB103" s="1144" t="str">
        <f>'Required Info to Submit'!G25</f>
        <v/>
      </c>
      <c r="AC103" s="1144" t="str">
        <f>'Required Info to Submit'!H25</f>
        <v/>
      </c>
      <c r="AD103" s="1144" t="str">
        <f>'Required Info to Submit'!I25</f>
        <v/>
      </c>
      <c r="AE103" s="1144" t="str">
        <f>'Required Info to Submit'!J25</f>
        <v/>
      </c>
      <c r="AF103" s="1107"/>
      <c r="AG103" s="1107"/>
      <c r="AH103" s="1107"/>
      <c r="AI103" s="1108"/>
      <c r="AJ103" s="1107"/>
      <c r="AK103" s="1107"/>
      <c r="AL103" s="1107"/>
      <c r="AM103" s="1107"/>
      <c r="AN103" s="1107"/>
      <c r="AO103" s="1107"/>
      <c r="AP103" s="1107"/>
      <c r="AQ103" s="1107"/>
      <c r="AR103" s="1107"/>
      <c r="AS103" s="1107"/>
      <c r="AT103" s="1107"/>
      <c r="AU103" s="1107"/>
      <c r="AV103" s="1107"/>
      <c r="AW103" s="1107"/>
      <c r="AX103" s="1107"/>
      <c r="AY103" s="1107"/>
      <c r="AZ103" s="1107"/>
      <c r="BA103" s="1107"/>
      <c r="BB103" s="1107"/>
      <c r="BC103" s="1107"/>
      <c r="BD103" s="1107"/>
      <c r="BE103" s="1107"/>
      <c r="BF103" s="1107"/>
      <c r="BG103" s="1107"/>
      <c r="BH103" s="1107"/>
      <c r="BI103" s="1107"/>
      <c r="BJ103" s="1107"/>
      <c r="BK103" s="1107"/>
      <c r="BL103" s="1107"/>
      <c r="BM103" s="1107"/>
      <c r="BN103" s="1107"/>
      <c r="BO103" s="1107"/>
      <c r="BP103" s="1107"/>
      <c r="BQ103" s="1107"/>
      <c r="BR103" s="1107"/>
      <c r="BS103" s="1107"/>
      <c r="BT103" s="1107"/>
      <c r="BU103" s="1107"/>
      <c r="BV103" s="1107"/>
      <c r="BW103" s="1107"/>
      <c r="BX103" s="1107"/>
      <c r="BY103" s="1107"/>
      <c r="BZ103" s="1107"/>
      <c r="CA103" s="1107"/>
      <c r="CB103" s="1107"/>
      <c r="CC103" s="1107"/>
      <c r="CD103" s="1107"/>
      <c r="CE103" s="1107"/>
      <c r="CF103" s="1107"/>
      <c r="CG103" s="1107"/>
      <c r="CH103" s="1107"/>
      <c r="CI103" s="1107"/>
      <c r="CJ103" s="1107"/>
      <c r="CK103" s="1107"/>
    </row>
    <row r="104" spans="1:89" x14ac:dyDescent="0.25">
      <c r="A104" s="1107"/>
      <c r="B104" s="2008"/>
      <c r="C104" s="1154">
        <v>4</v>
      </c>
      <c r="D104" s="1144" t="s">
        <v>1872</v>
      </c>
      <c r="E104" s="1144" t="s">
        <v>1426</v>
      </c>
      <c r="F104" s="1144" t="str">
        <f>'Required Info to Submit'!E26</f>
        <v/>
      </c>
      <c r="G104" s="1414" t="str">
        <f>IF(F104="","",'Required Info to Submit'!K26)</f>
        <v/>
      </c>
      <c r="H104" s="1415" t="str">
        <f>IF(F104="","",'Required Info to Submit'!L26)</f>
        <v/>
      </c>
      <c r="I104" s="1144" t="str">
        <f>'Required Info to Submit'!F26</f>
        <v/>
      </c>
      <c r="J104" s="1144" t="str">
        <f>'Required Info to Submit'!G26</f>
        <v/>
      </c>
      <c r="K104" s="1144" t="str">
        <f>'Required Info to Submit'!H26</f>
        <v/>
      </c>
      <c r="L104" s="1144" t="str">
        <f>'Required Info to Submit'!I26</f>
        <v/>
      </c>
      <c r="M104" s="1144" t="str">
        <f>'Required Info to Submit'!J26</f>
        <v/>
      </c>
      <c r="N104" s="1107"/>
      <c r="O104" s="1107"/>
      <c r="P104" s="1107"/>
      <c r="Q104" s="1108"/>
      <c r="R104" s="1107"/>
      <c r="S104" s="1107"/>
      <c r="T104" s="2008"/>
      <c r="U104" s="1154">
        <v>4</v>
      </c>
      <c r="V104" s="1144" t="s">
        <v>1872</v>
      </c>
      <c r="W104" s="1144" t="s">
        <v>1426</v>
      </c>
      <c r="X104" s="1144" t="str">
        <f>'Required Info to Submit'!E26</f>
        <v/>
      </c>
      <c r="Y104" s="1414" t="str">
        <f>IF(X104="","",'Required Info to Submit'!K26)</f>
        <v/>
      </c>
      <c r="Z104" s="1415" t="str">
        <f>IF(X104="","",'Required Info to Submit'!L26)</f>
        <v/>
      </c>
      <c r="AA104" s="1144" t="str">
        <f>'Required Info to Submit'!F26</f>
        <v/>
      </c>
      <c r="AB104" s="1144" t="str">
        <f>'Required Info to Submit'!G26</f>
        <v/>
      </c>
      <c r="AC104" s="1144" t="str">
        <f>'Required Info to Submit'!H26</f>
        <v/>
      </c>
      <c r="AD104" s="1144" t="str">
        <f>'Required Info to Submit'!I26</f>
        <v/>
      </c>
      <c r="AE104" s="1144" t="str">
        <f>'Required Info to Submit'!J26</f>
        <v/>
      </c>
      <c r="AF104" s="1107"/>
      <c r="AG104" s="1107"/>
      <c r="AH104" s="1107"/>
      <c r="AI104" s="1108"/>
      <c r="AJ104" s="1107"/>
      <c r="AK104" s="1107"/>
      <c r="AL104" s="1107"/>
      <c r="AM104" s="1107"/>
      <c r="AN104" s="1107"/>
      <c r="AO104" s="1107"/>
      <c r="AP104" s="1107"/>
      <c r="AQ104" s="1107"/>
      <c r="AR104" s="1107"/>
      <c r="AS104" s="1107"/>
      <c r="AT104" s="1107"/>
      <c r="AU104" s="1107"/>
      <c r="AV104" s="1107"/>
      <c r="AW104" s="1107"/>
      <c r="AX104" s="1107"/>
      <c r="AY104" s="1107"/>
      <c r="AZ104" s="1107"/>
      <c r="BA104" s="1107"/>
      <c r="BB104" s="1107"/>
      <c r="BC104" s="1107"/>
      <c r="BD104" s="1107"/>
      <c r="BE104" s="1107"/>
      <c r="BF104" s="1107"/>
      <c r="BG104" s="1107"/>
      <c r="BH104" s="1107"/>
      <c r="BI104" s="1107"/>
      <c r="BJ104" s="1107"/>
      <c r="BK104" s="1107"/>
      <c r="BL104" s="1107"/>
      <c r="BM104" s="1107"/>
      <c r="BN104" s="1107"/>
      <c r="BO104" s="1107"/>
      <c r="BP104" s="1107"/>
      <c r="BQ104" s="1107"/>
      <c r="BR104" s="1107"/>
      <c r="BS104" s="1107"/>
      <c r="BT104" s="1107"/>
      <c r="BU104" s="1107"/>
      <c r="BV104" s="1107"/>
      <c r="BW104" s="1107"/>
      <c r="BX104" s="1107"/>
      <c r="BY104" s="1107"/>
      <c r="BZ104" s="1107"/>
      <c r="CA104" s="1107"/>
      <c r="CB104" s="1107"/>
      <c r="CC104" s="1107"/>
      <c r="CD104" s="1107"/>
      <c r="CE104" s="1107"/>
      <c r="CF104" s="1107"/>
      <c r="CG104" s="1107"/>
      <c r="CH104" s="1107"/>
      <c r="CI104" s="1107"/>
      <c r="CJ104" s="1107"/>
      <c r="CK104" s="1107"/>
    </row>
    <row r="105" spans="1:89" x14ac:dyDescent="0.25">
      <c r="A105" s="1107"/>
      <c r="B105" s="2008"/>
      <c r="C105" s="1154">
        <v>5</v>
      </c>
      <c r="D105" s="1144" t="s">
        <v>1872</v>
      </c>
      <c r="E105" s="1144" t="s">
        <v>1426</v>
      </c>
      <c r="F105" s="1144" t="str">
        <f>'Required Info to Submit'!E27</f>
        <v/>
      </c>
      <c r="G105" s="1414" t="str">
        <f>IF(F105="","",'Required Info to Submit'!K27)</f>
        <v/>
      </c>
      <c r="H105" s="1415" t="str">
        <f>IF(F105="","",'Required Info to Submit'!L27)</f>
        <v/>
      </c>
      <c r="I105" s="1144" t="str">
        <f>'Required Info to Submit'!F27</f>
        <v/>
      </c>
      <c r="J105" s="1144" t="str">
        <f>'Required Info to Submit'!G27</f>
        <v/>
      </c>
      <c r="K105" s="1144" t="str">
        <f>'Required Info to Submit'!H27</f>
        <v/>
      </c>
      <c r="L105" s="1144" t="str">
        <f>'Required Info to Submit'!I27</f>
        <v/>
      </c>
      <c r="M105" s="1144" t="str">
        <f>'Required Info to Submit'!J27</f>
        <v/>
      </c>
      <c r="N105" s="1107"/>
      <c r="O105" s="1107"/>
      <c r="P105" s="1107"/>
      <c r="Q105" s="1108"/>
      <c r="R105" s="1107"/>
      <c r="S105" s="1107"/>
      <c r="T105" s="2008"/>
      <c r="U105" s="1154">
        <v>5</v>
      </c>
      <c r="V105" s="1144" t="s">
        <v>1872</v>
      </c>
      <c r="W105" s="1144" t="s">
        <v>1426</v>
      </c>
      <c r="X105" s="1144" t="str">
        <f>'Required Info to Submit'!E27</f>
        <v/>
      </c>
      <c r="Y105" s="1414" t="str">
        <f>IF(X105="","",'Required Info to Submit'!K27)</f>
        <v/>
      </c>
      <c r="Z105" s="1415" t="str">
        <f>IF(X105="","",'Required Info to Submit'!L27)</f>
        <v/>
      </c>
      <c r="AA105" s="1144" t="str">
        <f>'Required Info to Submit'!F27</f>
        <v/>
      </c>
      <c r="AB105" s="1144" t="str">
        <f>'Required Info to Submit'!G27</f>
        <v/>
      </c>
      <c r="AC105" s="1144" t="str">
        <f>'Required Info to Submit'!H27</f>
        <v/>
      </c>
      <c r="AD105" s="1144" t="str">
        <f>'Required Info to Submit'!I27</f>
        <v/>
      </c>
      <c r="AE105" s="1144" t="str">
        <f>'Required Info to Submit'!J27</f>
        <v/>
      </c>
      <c r="AF105" s="1107"/>
      <c r="AG105" s="1107"/>
      <c r="AH105" s="1107"/>
      <c r="AI105" s="1108"/>
      <c r="AJ105" s="1107"/>
      <c r="AK105" s="1107"/>
      <c r="AL105" s="1107"/>
      <c r="AM105" s="1107"/>
      <c r="AN105" s="1107"/>
      <c r="AO105" s="1107"/>
      <c r="AP105" s="1107"/>
      <c r="AQ105" s="1107"/>
      <c r="AR105" s="1107"/>
      <c r="AS105" s="1107"/>
      <c r="AT105" s="1107"/>
      <c r="AU105" s="1107"/>
      <c r="AV105" s="1107"/>
      <c r="AW105" s="1107"/>
      <c r="AX105" s="1107"/>
      <c r="AY105" s="1107"/>
      <c r="AZ105" s="1107"/>
      <c r="BA105" s="1107"/>
      <c r="BB105" s="1107"/>
      <c r="BC105" s="1107"/>
      <c r="BD105" s="1107"/>
      <c r="BE105" s="1107"/>
      <c r="BF105" s="1107"/>
      <c r="BG105" s="1107"/>
      <c r="BH105" s="1107"/>
      <c r="BI105" s="1107"/>
      <c r="BJ105" s="1107"/>
      <c r="BK105" s="1107"/>
      <c r="BL105" s="1107"/>
      <c r="BM105" s="1107"/>
      <c r="BN105" s="1107"/>
      <c r="BO105" s="1107"/>
      <c r="BP105" s="1107"/>
      <c r="BQ105" s="1107"/>
      <c r="BR105" s="1107"/>
      <c r="BS105" s="1107"/>
      <c r="BT105" s="1107"/>
      <c r="BU105" s="1107"/>
      <c r="BV105" s="1107"/>
      <c r="BW105" s="1107"/>
      <c r="BX105" s="1107"/>
      <c r="BY105" s="1107"/>
      <c r="BZ105" s="1107"/>
      <c r="CA105" s="1107"/>
      <c r="CB105" s="1107"/>
      <c r="CC105" s="1107"/>
      <c r="CD105" s="1107"/>
      <c r="CE105" s="1107"/>
      <c r="CF105" s="1107"/>
      <c r="CG105" s="1107"/>
      <c r="CH105" s="1107"/>
      <c r="CI105" s="1107"/>
      <c r="CJ105" s="1107"/>
      <c r="CK105" s="1107"/>
    </row>
    <row r="106" spans="1:89" x14ac:dyDescent="0.25">
      <c r="A106" s="1107"/>
      <c r="B106" s="2008"/>
      <c r="C106" s="1154">
        <v>6</v>
      </c>
      <c r="D106" s="1144" t="s">
        <v>1872</v>
      </c>
      <c r="E106" s="1144" t="s">
        <v>1426</v>
      </c>
      <c r="F106" s="1144" t="str">
        <f>'Required Info to Submit'!E28</f>
        <v/>
      </c>
      <c r="G106" s="1414" t="str">
        <f>IF(F106="","",'Required Info to Submit'!K28)</f>
        <v/>
      </c>
      <c r="H106" s="1415" t="str">
        <f>IF(F106="","",'Required Info to Submit'!L28)</f>
        <v/>
      </c>
      <c r="I106" s="1144" t="str">
        <f>'Required Info to Submit'!F28</f>
        <v/>
      </c>
      <c r="J106" s="1144" t="str">
        <f>'Required Info to Submit'!G28</f>
        <v/>
      </c>
      <c r="K106" s="1144" t="str">
        <f>'Required Info to Submit'!H28</f>
        <v/>
      </c>
      <c r="L106" s="1144" t="str">
        <f>'Required Info to Submit'!I28</f>
        <v/>
      </c>
      <c r="M106" s="1144" t="str">
        <f>'Required Info to Submit'!J28</f>
        <v/>
      </c>
      <c r="N106" s="1107"/>
      <c r="O106" s="1107"/>
      <c r="P106" s="1107"/>
      <c r="Q106" s="1108"/>
      <c r="R106" s="1107"/>
      <c r="S106" s="1107"/>
      <c r="T106" s="2008"/>
      <c r="U106" s="1154">
        <v>6</v>
      </c>
      <c r="V106" s="1144" t="s">
        <v>1872</v>
      </c>
      <c r="W106" s="1144" t="s">
        <v>1426</v>
      </c>
      <c r="X106" s="1144" t="str">
        <f>'Required Info to Submit'!E28</f>
        <v/>
      </c>
      <c r="Y106" s="1414" t="str">
        <f>IF(X106="","",'Required Info to Submit'!K28)</f>
        <v/>
      </c>
      <c r="Z106" s="1415" t="str">
        <f>IF(X106="","",'Required Info to Submit'!L28)</f>
        <v/>
      </c>
      <c r="AA106" s="1144" t="str">
        <f>'Required Info to Submit'!F28</f>
        <v/>
      </c>
      <c r="AB106" s="1144" t="str">
        <f>'Required Info to Submit'!G28</f>
        <v/>
      </c>
      <c r="AC106" s="1144" t="str">
        <f>'Required Info to Submit'!H28</f>
        <v/>
      </c>
      <c r="AD106" s="1144" t="str">
        <f>'Required Info to Submit'!I28</f>
        <v/>
      </c>
      <c r="AE106" s="1144" t="str">
        <f>'Required Info to Submit'!J28</f>
        <v/>
      </c>
      <c r="AF106" s="1107"/>
      <c r="AG106" s="1107"/>
      <c r="AH106" s="1107"/>
      <c r="AI106" s="1108"/>
      <c r="AJ106" s="1107"/>
      <c r="AK106" s="1107"/>
      <c r="AL106" s="1107"/>
      <c r="AM106" s="1107"/>
      <c r="AN106" s="1107"/>
      <c r="AO106" s="1107"/>
      <c r="AP106" s="1107"/>
      <c r="AQ106" s="1107"/>
      <c r="AR106" s="1107"/>
      <c r="AS106" s="1107"/>
      <c r="AT106" s="1107"/>
      <c r="AU106" s="1107"/>
      <c r="AV106" s="1107"/>
      <c r="AW106" s="1107"/>
      <c r="AX106" s="1107"/>
      <c r="AY106" s="1107"/>
      <c r="AZ106" s="1107"/>
      <c r="BA106" s="1107"/>
      <c r="BB106" s="1107"/>
      <c r="BC106" s="1107"/>
      <c r="BD106" s="1107"/>
      <c r="BE106" s="1107"/>
      <c r="BF106" s="1107"/>
      <c r="BG106" s="1107"/>
      <c r="BH106" s="1107"/>
      <c r="BI106" s="1107"/>
      <c r="BJ106" s="1107"/>
      <c r="BK106" s="1107"/>
      <c r="BL106" s="1107"/>
      <c r="BM106" s="1107"/>
      <c r="BN106" s="1107"/>
      <c r="BO106" s="1107"/>
      <c r="BP106" s="1107"/>
      <c r="BQ106" s="1107"/>
      <c r="BR106" s="1107"/>
      <c r="BS106" s="1107"/>
      <c r="BT106" s="1107"/>
      <c r="BU106" s="1107"/>
      <c r="BV106" s="1107"/>
      <c r="BW106" s="1107"/>
      <c r="BX106" s="1107"/>
      <c r="BY106" s="1107"/>
      <c r="BZ106" s="1107"/>
      <c r="CA106" s="1107"/>
      <c r="CB106" s="1107"/>
      <c r="CC106" s="1107"/>
      <c r="CD106" s="1107"/>
      <c r="CE106" s="1107"/>
      <c r="CF106" s="1107"/>
      <c r="CG106" s="1107"/>
      <c r="CH106" s="1107"/>
      <c r="CI106" s="1107"/>
      <c r="CJ106" s="1107"/>
      <c r="CK106" s="1107"/>
    </row>
    <row r="107" spans="1:89" x14ac:dyDescent="0.25">
      <c r="A107" s="1107"/>
      <c r="B107" s="2008"/>
      <c r="C107" s="1154">
        <v>7</v>
      </c>
      <c r="D107" s="1144" t="s">
        <v>1872</v>
      </c>
      <c r="E107" s="1144" t="s">
        <v>1426</v>
      </c>
      <c r="F107" s="1144" t="str">
        <f>'Required Info to Submit'!E29</f>
        <v/>
      </c>
      <c r="G107" s="1414" t="str">
        <f>IF(F107="","",'Required Info to Submit'!K29)</f>
        <v/>
      </c>
      <c r="H107" s="1415" t="str">
        <f>IF(F107="","",'Required Info to Submit'!L29)</f>
        <v/>
      </c>
      <c r="I107" s="1144" t="str">
        <f>'Required Info to Submit'!F29</f>
        <v/>
      </c>
      <c r="J107" s="1144" t="str">
        <f>'Required Info to Submit'!G29</f>
        <v/>
      </c>
      <c r="K107" s="1144" t="str">
        <f>'Required Info to Submit'!H29</f>
        <v/>
      </c>
      <c r="L107" s="1144" t="str">
        <f>'Required Info to Submit'!I29</f>
        <v/>
      </c>
      <c r="M107" s="1144" t="str">
        <f>'Required Info to Submit'!J29</f>
        <v/>
      </c>
      <c r="N107" s="1107"/>
      <c r="O107" s="1107"/>
      <c r="P107" s="1107"/>
      <c r="Q107" s="1108"/>
      <c r="R107" s="1107"/>
      <c r="S107" s="1107"/>
      <c r="T107" s="2008"/>
      <c r="U107" s="1154">
        <v>7</v>
      </c>
      <c r="V107" s="1144" t="s">
        <v>1872</v>
      </c>
      <c r="W107" s="1144" t="s">
        <v>1426</v>
      </c>
      <c r="X107" s="1144" t="str">
        <f>'Required Info to Submit'!E29</f>
        <v/>
      </c>
      <c r="Y107" s="1414" t="str">
        <f>IF(X107="","",'Required Info to Submit'!K29)</f>
        <v/>
      </c>
      <c r="Z107" s="1415" t="str">
        <f>IF(X107="","",'Required Info to Submit'!L29)</f>
        <v/>
      </c>
      <c r="AA107" s="1144" t="str">
        <f>'Required Info to Submit'!F29</f>
        <v/>
      </c>
      <c r="AB107" s="1144" t="str">
        <f>'Required Info to Submit'!G29</f>
        <v/>
      </c>
      <c r="AC107" s="1144" t="str">
        <f>'Required Info to Submit'!H29</f>
        <v/>
      </c>
      <c r="AD107" s="1144" t="str">
        <f>'Required Info to Submit'!I29</f>
        <v/>
      </c>
      <c r="AE107" s="1144" t="str">
        <f>'Required Info to Submit'!J29</f>
        <v/>
      </c>
      <c r="AF107" s="1107"/>
      <c r="AG107" s="1107"/>
      <c r="AH107" s="1107"/>
      <c r="AI107" s="1108"/>
      <c r="AJ107" s="1107"/>
      <c r="AK107" s="1107"/>
      <c r="AL107" s="1107"/>
      <c r="AM107" s="1107"/>
      <c r="AN107" s="1107"/>
      <c r="AO107" s="1107"/>
      <c r="AP107" s="1107"/>
      <c r="AQ107" s="1107"/>
      <c r="AR107" s="1107"/>
      <c r="AS107" s="1107"/>
      <c r="AT107" s="1107"/>
      <c r="AU107" s="1107"/>
      <c r="AV107" s="1107"/>
      <c r="AW107" s="1107"/>
      <c r="AX107" s="1107"/>
      <c r="AY107" s="1107"/>
      <c r="AZ107" s="1107"/>
      <c r="BA107" s="1107"/>
      <c r="BB107" s="1107"/>
      <c r="BC107" s="1107"/>
      <c r="BD107" s="1107"/>
      <c r="BE107" s="1107"/>
      <c r="BF107" s="1107"/>
      <c r="BG107" s="1107"/>
      <c r="BH107" s="1107"/>
      <c r="BI107" s="1107"/>
      <c r="BJ107" s="1107"/>
      <c r="BK107" s="1107"/>
      <c r="BL107" s="1107"/>
      <c r="BM107" s="1107"/>
      <c r="BN107" s="1107"/>
      <c r="BO107" s="1107"/>
      <c r="BP107" s="1107"/>
      <c r="BQ107" s="1107"/>
      <c r="BR107" s="1107"/>
      <c r="BS107" s="1107"/>
      <c r="BT107" s="1107"/>
      <c r="BU107" s="1107"/>
      <c r="BV107" s="1107"/>
      <c r="BW107" s="1107"/>
      <c r="BX107" s="1107"/>
      <c r="BY107" s="1107"/>
      <c r="BZ107" s="1107"/>
      <c r="CA107" s="1107"/>
      <c r="CB107" s="1107"/>
      <c r="CC107" s="1107"/>
      <c r="CD107" s="1107"/>
      <c r="CE107" s="1107"/>
      <c r="CF107" s="1107"/>
      <c r="CG107" s="1107"/>
      <c r="CH107" s="1107"/>
      <c r="CI107" s="1107"/>
      <c r="CJ107" s="1107"/>
      <c r="CK107" s="1107"/>
    </row>
    <row r="108" spans="1:89" x14ac:dyDescent="0.25">
      <c r="A108" s="1107"/>
      <c r="B108" s="2008"/>
      <c r="C108" s="1154">
        <v>8</v>
      </c>
      <c r="D108" s="1144" t="s">
        <v>1872</v>
      </c>
      <c r="E108" s="1144" t="s">
        <v>1426</v>
      </c>
      <c r="F108" s="1144" t="str">
        <f>'Required Info to Submit'!E30</f>
        <v/>
      </c>
      <c r="G108" s="1414" t="str">
        <f>IF(F108="","",'Required Info to Submit'!K30)</f>
        <v/>
      </c>
      <c r="H108" s="1415" t="str">
        <f>IF(F108="","",'Required Info to Submit'!L30)</f>
        <v/>
      </c>
      <c r="I108" s="1144" t="str">
        <f>'Required Info to Submit'!F30</f>
        <v/>
      </c>
      <c r="J108" s="1144" t="str">
        <f>'Required Info to Submit'!G30</f>
        <v/>
      </c>
      <c r="K108" s="1144" t="str">
        <f>'Required Info to Submit'!H30</f>
        <v/>
      </c>
      <c r="L108" s="1144" t="str">
        <f>'Required Info to Submit'!I30</f>
        <v/>
      </c>
      <c r="M108" s="1144" t="str">
        <f>'Required Info to Submit'!J30</f>
        <v/>
      </c>
      <c r="N108" s="1107"/>
      <c r="O108" s="1107"/>
      <c r="P108" s="1107"/>
      <c r="Q108" s="1108"/>
      <c r="R108" s="1107"/>
      <c r="S108" s="1107"/>
      <c r="T108" s="2008"/>
      <c r="U108" s="1154">
        <v>8</v>
      </c>
      <c r="V108" s="1144" t="s">
        <v>1872</v>
      </c>
      <c r="W108" s="1144" t="s">
        <v>1426</v>
      </c>
      <c r="X108" s="1144" t="str">
        <f>'Required Info to Submit'!E30</f>
        <v/>
      </c>
      <c r="Y108" s="1414" t="str">
        <f>IF(X108="","",'Required Info to Submit'!K30)</f>
        <v/>
      </c>
      <c r="Z108" s="1415" t="str">
        <f>IF(X108="","",'Required Info to Submit'!L30)</f>
        <v/>
      </c>
      <c r="AA108" s="1144" t="str">
        <f>'Required Info to Submit'!F30</f>
        <v/>
      </c>
      <c r="AB108" s="1144" t="str">
        <f>'Required Info to Submit'!G30</f>
        <v/>
      </c>
      <c r="AC108" s="1144" t="str">
        <f>'Required Info to Submit'!H30</f>
        <v/>
      </c>
      <c r="AD108" s="1144" t="str">
        <f>'Required Info to Submit'!I30</f>
        <v/>
      </c>
      <c r="AE108" s="1144" t="str">
        <f>'Required Info to Submit'!J30</f>
        <v/>
      </c>
      <c r="AF108" s="1107"/>
      <c r="AG108" s="1107"/>
      <c r="AH108" s="1107"/>
      <c r="AI108" s="1108"/>
      <c r="AJ108" s="1107"/>
      <c r="AK108" s="1107"/>
      <c r="AL108" s="1107"/>
      <c r="AM108" s="1107"/>
      <c r="AN108" s="1107"/>
      <c r="AO108" s="1107"/>
      <c r="AP108" s="1107"/>
      <c r="AQ108" s="1107"/>
      <c r="AR108" s="1107"/>
      <c r="AS108" s="1107"/>
      <c r="AT108" s="1107"/>
      <c r="AU108" s="1107"/>
      <c r="AV108" s="1107"/>
      <c r="AW108" s="1107"/>
      <c r="AX108" s="1107"/>
      <c r="AY108" s="1107"/>
      <c r="AZ108" s="1107"/>
      <c r="BA108" s="1107"/>
      <c r="BB108" s="1107"/>
      <c r="BC108" s="1107"/>
      <c r="BD108" s="1107"/>
      <c r="BE108" s="1107"/>
      <c r="BF108" s="1107"/>
      <c r="BG108" s="1107"/>
      <c r="BH108" s="1107"/>
      <c r="BI108" s="1107"/>
      <c r="BJ108" s="1107"/>
      <c r="BK108" s="1107"/>
      <c r="BL108" s="1107"/>
      <c r="BM108" s="1107"/>
      <c r="BN108" s="1107"/>
      <c r="BO108" s="1107"/>
      <c r="BP108" s="1107"/>
      <c r="BQ108" s="1107"/>
      <c r="BR108" s="1107"/>
      <c r="BS108" s="1107"/>
      <c r="BT108" s="1107"/>
      <c r="BU108" s="1107"/>
      <c r="BV108" s="1107"/>
      <c r="BW108" s="1107"/>
      <c r="BX108" s="1107"/>
      <c r="BY108" s="1107"/>
      <c r="BZ108" s="1107"/>
      <c r="CA108" s="1107"/>
      <c r="CB108" s="1107"/>
      <c r="CC108" s="1107"/>
      <c r="CD108" s="1107"/>
      <c r="CE108" s="1107"/>
      <c r="CF108" s="1107"/>
      <c r="CG108" s="1107"/>
      <c r="CH108" s="1107"/>
      <c r="CI108" s="1107"/>
      <c r="CJ108" s="1107"/>
      <c r="CK108" s="1107"/>
    </row>
    <row r="109" spans="1:89" x14ac:dyDescent="0.25">
      <c r="A109" s="1107"/>
      <c r="B109" s="2008"/>
      <c r="C109" s="1154">
        <v>9</v>
      </c>
      <c r="D109" s="1144" t="s">
        <v>1872</v>
      </c>
      <c r="E109" s="1144" t="s">
        <v>1426</v>
      </c>
      <c r="F109" s="1144" t="str">
        <f>'Required Info to Submit'!E31</f>
        <v/>
      </c>
      <c r="G109" s="1414" t="str">
        <f>IF(F109="","",'Required Info to Submit'!K31)</f>
        <v/>
      </c>
      <c r="H109" s="1415" t="str">
        <f>IF(F109="","",'Required Info to Submit'!L31)</f>
        <v/>
      </c>
      <c r="I109" s="1144" t="str">
        <f>'Required Info to Submit'!F31</f>
        <v/>
      </c>
      <c r="J109" s="1144" t="str">
        <f>'Required Info to Submit'!G31</f>
        <v/>
      </c>
      <c r="K109" s="1144" t="str">
        <f>'Required Info to Submit'!H31</f>
        <v/>
      </c>
      <c r="L109" s="1144" t="str">
        <f>'Required Info to Submit'!I31</f>
        <v/>
      </c>
      <c r="M109" s="1144" t="str">
        <f>'Required Info to Submit'!J31</f>
        <v/>
      </c>
      <c r="N109" s="1107"/>
      <c r="O109" s="1107"/>
      <c r="P109" s="1107"/>
      <c r="Q109" s="1108"/>
      <c r="R109" s="1107"/>
      <c r="S109" s="1107"/>
      <c r="T109" s="2008"/>
      <c r="U109" s="1154">
        <v>9</v>
      </c>
      <c r="V109" s="1144" t="s">
        <v>1872</v>
      </c>
      <c r="W109" s="1144" t="s">
        <v>1426</v>
      </c>
      <c r="X109" s="1144" t="str">
        <f>'Required Info to Submit'!E31</f>
        <v/>
      </c>
      <c r="Y109" s="1414" t="str">
        <f>IF(X109="","",'Required Info to Submit'!K31)</f>
        <v/>
      </c>
      <c r="Z109" s="1415" t="str">
        <f>IF(X109="","",'Required Info to Submit'!L31)</f>
        <v/>
      </c>
      <c r="AA109" s="1144" t="str">
        <f>'Required Info to Submit'!F31</f>
        <v/>
      </c>
      <c r="AB109" s="1144" t="str">
        <f>'Required Info to Submit'!G31</f>
        <v/>
      </c>
      <c r="AC109" s="1144" t="str">
        <f>'Required Info to Submit'!H31</f>
        <v/>
      </c>
      <c r="AD109" s="1144" t="str">
        <f>'Required Info to Submit'!I31</f>
        <v/>
      </c>
      <c r="AE109" s="1144" t="str">
        <f>'Required Info to Submit'!J31</f>
        <v/>
      </c>
      <c r="AF109" s="1107"/>
      <c r="AG109" s="1107"/>
      <c r="AH109" s="1107"/>
      <c r="AI109" s="1108"/>
      <c r="AJ109" s="1107"/>
      <c r="AK109" s="1107"/>
      <c r="AL109" s="1107"/>
      <c r="AM109" s="1107"/>
      <c r="AN109" s="1107"/>
      <c r="AO109" s="1107"/>
      <c r="AP109" s="1107"/>
      <c r="AQ109" s="1107"/>
      <c r="AR109" s="1107"/>
      <c r="AS109" s="1107"/>
      <c r="AT109" s="1107"/>
      <c r="AU109" s="1107"/>
      <c r="AV109" s="1107"/>
      <c r="AW109" s="1107"/>
      <c r="AX109" s="1107"/>
      <c r="AY109" s="1107"/>
      <c r="AZ109" s="1107"/>
      <c r="BA109" s="1107"/>
      <c r="BB109" s="1107"/>
      <c r="BC109" s="1107"/>
      <c r="BD109" s="1107"/>
      <c r="BE109" s="1107"/>
      <c r="BF109" s="1107"/>
      <c r="BG109" s="1107"/>
      <c r="BH109" s="1107"/>
      <c r="BI109" s="1107"/>
      <c r="BJ109" s="1107"/>
      <c r="BK109" s="1107"/>
      <c r="BL109" s="1107"/>
      <c r="BM109" s="1107"/>
      <c r="BN109" s="1107"/>
      <c r="BO109" s="1107"/>
      <c r="BP109" s="1107"/>
      <c r="BQ109" s="1107"/>
      <c r="BR109" s="1107"/>
      <c r="BS109" s="1107"/>
      <c r="BT109" s="1107"/>
      <c r="BU109" s="1107"/>
      <c r="BV109" s="1107"/>
      <c r="BW109" s="1107"/>
      <c r="BX109" s="1107"/>
      <c r="BY109" s="1107"/>
      <c r="BZ109" s="1107"/>
      <c r="CA109" s="1107"/>
      <c r="CB109" s="1107"/>
      <c r="CC109" s="1107"/>
      <c r="CD109" s="1107"/>
      <c r="CE109" s="1107"/>
      <c r="CF109" s="1107"/>
      <c r="CG109" s="1107"/>
      <c r="CH109" s="1107"/>
      <c r="CI109" s="1107"/>
      <c r="CJ109" s="1107"/>
      <c r="CK109" s="1107"/>
    </row>
    <row r="110" spans="1:89" ht="15.75" thickBot="1" x14ac:dyDescent="0.3">
      <c r="A110" s="1107"/>
      <c r="B110" s="2009"/>
      <c r="C110" s="1156">
        <v>10</v>
      </c>
      <c r="D110" s="1146" t="s">
        <v>1872</v>
      </c>
      <c r="E110" s="1146" t="s">
        <v>1426</v>
      </c>
      <c r="F110" s="1146" t="str">
        <f>'Required Info to Submit'!E32</f>
        <v/>
      </c>
      <c r="G110" s="1416" t="str">
        <f>IF(F110="","",'Required Info to Submit'!K32)</f>
        <v/>
      </c>
      <c r="H110" s="1416" t="str">
        <f>IF(F110="","",'Required Info to Submit'!L32)</f>
        <v/>
      </c>
      <c r="I110" s="1146" t="str">
        <f>'Required Info to Submit'!F32</f>
        <v/>
      </c>
      <c r="J110" s="1146" t="str">
        <f>'Required Info to Submit'!G32</f>
        <v/>
      </c>
      <c r="K110" s="1146" t="str">
        <f>'Required Info to Submit'!H32</f>
        <v/>
      </c>
      <c r="L110" s="1146" t="str">
        <f>'Required Info to Submit'!I32</f>
        <v/>
      </c>
      <c r="M110" s="1146" t="str">
        <f>'Required Info to Submit'!J32</f>
        <v/>
      </c>
      <c r="N110" s="1157"/>
      <c r="O110" s="1157"/>
      <c r="P110" s="1157"/>
      <c r="Q110" s="1110"/>
      <c r="R110" s="1107"/>
      <c r="S110" s="1107"/>
      <c r="T110" s="2009"/>
      <c r="U110" s="1156">
        <v>10</v>
      </c>
      <c r="V110" s="1146" t="s">
        <v>1872</v>
      </c>
      <c r="W110" s="1146" t="s">
        <v>1426</v>
      </c>
      <c r="X110" s="1146" t="str">
        <f>'Required Info to Submit'!E32</f>
        <v/>
      </c>
      <c r="Y110" s="1416" t="str">
        <f>IF(X110="","",'Required Info to Submit'!K32)</f>
        <v/>
      </c>
      <c r="Z110" s="1416" t="str">
        <f>IF(X110="","",'Required Info to Submit'!L32)</f>
        <v/>
      </c>
      <c r="AA110" s="1146" t="str">
        <f>'Required Info to Submit'!F32</f>
        <v/>
      </c>
      <c r="AB110" s="1146" t="str">
        <f>'Required Info to Submit'!G32</f>
        <v/>
      </c>
      <c r="AC110" s="1146" t="str">
        <f>'Required Info to Submit'!H32</f>
        <v/>
      </c>
      <c r="AD110" s="1146" t="str">
        <f>'Required Info to Submit'!I32</f>
        <v/>
      </c>
      <c r="AE110" s="1146" t="str">
        <f>'Required Info to Submit'!J32</f>
        <v/>
      </c>
      <c r="AF110" s="1157"/>
      <c r="AG110" s="1157"/>
      <c r="AH110" s="1157"/>
      <c r="AI110" s="1110"/>
      <c r="AJ110" s="1107"/>
      <c r="AK110" s="1107"/>
      <c r="AL110" s="1107"/>
      <c r="AM110" s="1107"/>
      <c r="AN110" s="1107"/>
      <c r="AO110" s="1107"/>
      <c r="AP110" s="1107"/>
      <c r="AQ110" s="1107"/>
      <c r="AR110" s="1107"/>
      <c r="AS110" s="1107"/>
      <c r="AT110" s="1107"/>
      <c r="AU110" s="1107"/>
      <c r="AV110" s="1107"/>
      <c r="AW110" s="1107"/>
      <c r="AX110" s="1107"/>
      <c r="AY110" s="1107"/>
      <c r="AZ110" s="1107"/>
      <c r="BA110" s="1107"/>
      <c r="BB110" s="1107"/>
      <c r="BC110" s="1107"/>
      <c r="BD110" s="1107"/>
      <c r="BE110" s="1107"/>
      <c r="BF110" s="1107"/>
      <c r="BG110" s="1107"/>
      <c r="BH110" s="1107"/>
      <c r="BI110" s="1107"/>
      <c r="BJ110" s="1107"/>
      <c r="BK110" s="1107"/>
      <c r="BL110" s="1107"/>
      <c r="BM110" s="1107"/>
      <c r="BN110" s="1107"/>
      <c r="BO110" s="1107"/>
      <c r="BP110" s="1107"/>
      <c r="BQ110" s="1107"/>
      <c r="BR110" s="1107"/>
      <c r="BS110" s="1107"/>
      <c r="BT110" s="1107"/>
      <c r="BU110" s="1107"/>
      <c r="BV110" s="1107"/>
      <c r="BW110" s="1107"/>
      <c r="BX110" s="1107"/>
      <c r="BY110" s="1107"/>
      <c r="BZ110" s="1107"/>
      <c r="CA110" s="1107"/>
      <c r="CB110" s="1107"/>
      <c r="CC110" s="1107"/>
      <c r="CD110" s="1107"/>
      <c r="CE110" s="1107"/>
      <c r="CF110" s="1107"/>
      <c r="CG110" s="1107"/>
      <c r="CH110" s="1107"/>
      <c r="CI110" s="1107"/>
      <c r="CJ110" s="1107"/>
      <c r="CK110" s="1107"/>
    </row>
    <row r="111" spans="1:89" x14ac:dyDescent="0.25">
      <c r="A111" s="1107"/>
      <c r="B111" s="1107"/>
      <c r="C111" s="1107"/>
      <c r="D111" s="1107"/>
      <c r="E111" s="1107"/>
      <c r="F111" s="1107"/>
      <c r="G111" s="1107"/>
      <c r="H111" s="1107"/>
      <c r="I111" s="1107"/>
      <c r="J111" s="1107"/>
      <c r="K111" s="1107"/>
      <c r="L111" s="1107"/>
      <c r="M111" s="1107"/>
      <c r="N111" s="1107"/>
      <c r="O111" s="1107"/>
      <c r="P111" s="1107"/>
      <c r="Q111" s="1107"/>
      <c r="R111" s="1107"/>
      <c r="S111" s="1107"/>
      <c r="T111" s="1107"/>
      <c r="U111" s="1107"/>
      <c r="V111" s="1107"/>
      <c r="W111" s="1107"/>
      <c r="X111" s="1107"/>
      <c r="Y111" s="1107"/>
      <c r="Z111" s="1107"/>
      <c r="AA111" s="1107"/>
      <c r="AB111" s="1107"/>
      <c r="AC111" s="1107"/>
      <c r="AD111" s="1107"/>
      <c r="AE111" s="1107"/>
      <c r="AF111" s="1107"/>
      <c r="AG111" s="1107"/>
      <c r="AH111" s="1107"/>
      <c r="AI111" s="1107"/>
      <c r="AJ111" s="1107"/>
      <c r="AK111" s="1107"/>
      <c r="AL111" s="1107"/>
      <c r="AM111" s="1107"/>
      <c r="AN111" s="1107"/>
      <c r="AO111" s="1107"/>
      <c r="AP111" s="1107"/>
      <c r="AQ111" s="1107"/>
      <c r="AR111" s="1107"/>
      <c r="AS111" s="1107"/>
      <c r="AT111" s="1107"/>
      <c r="AU111" s="1107"/>
      <c r="AV111" s="1107"/>
      <c r="AW111" s="1107"/>
      <c r="AX111" s="1107"/>
      <c r="AY111" s="1107"/>
      <c r="AZ111" s="1107"/>
      <c r="BA111" s="1107"/>
      <c r="BB111" s="1107"/>
      <c r="BC111" s="1107"/>
      <c r="BD111" s="1107"/>
      <c r="BE111" s="1107"/>
      <c r="BF111" s="1107"/>
      <c r="BG111" s="1107"/>
      <c r="BH111" s="1107"/>
      <c r="BI111" s="1107"/>
      <c r="BJ111" s="1107"/>
      <c r="BK111" s="1107"/>
      <c r="BL111" s="1107"/>
      <c r="BM111" s="1107"/>
      <c r="BN111" s="1107"/>
      <c r="BO111" s="1107"/>
      <c r="BP111" s="1107"/>
      <c r="BQ111" s="1107"/>
      <c r="BR111" s="1107"/>
      <c r="BS111" s="1107"/>
      <c r="BT111" s="1107"/>
      <c r="BU111" s="1107"/>
      <c r="BV111" s="1107"/>
      <c r="BW111" s="1107"/>
      <c r="BX111" s="1107"/>
      <c r="BY111" s="1107"/>
      <c r="BZ111" s="1107"/>
      <c r="CA111" s="1107"/>
      <c r="CB111" s="1107"/>
      <c r="CC111" s="1107"/>
      <c r="CD111" s="1107"/>
      <c r="CE111" s="1107"/>
      <c r="CF111" s="1107"/>
      <c r="CG111" s="1107"/>
      <c r="CH111" s="1107"/>
      <c r="CI111" s="1107"/>
      <c r="CJ111" s="1107"/>
      <c r="CK111" s="1107"/>
    </row>
    <row r="112" spans="1:89" ht="35.25" customHeight="1" thickBot="1" x14ac:dyDescent="0.3">
      <c r="A112" s="1107"/>
      <c r="B112" s="1107"/>
      <c r="C112" s="1107"/>
      <c r="D112" s="1107"/>
      <c r="E112" s="1107"/>
      <c r="F112" s="1107"/>
      <c r="G112" s="1107"/>
      <c r="H112" s="1107"/>
      <c r="I112" s="1107"/>
      <c r="J112" s="1107"/>
      <c r="K112" s="1107"/>
      <c r="L112" s="1107"/>
      <c r="M112" s="1107"/>
      <c r="N112" s="1107"/>
      <c r="O112" s="1107"/>
      <c r="P112" s="1107"/>
      <c r="Q112" s="1107"/>
      <c r="R112" s="1107"/>
      <c r="S112" s="1107"/>
      <c r="T112" s="1107"/>
      <c r="U112" s="1107"/>
      <c r="V112" s="1107"/>
      <c r="W112" s="1107"/>
      <c r="X112" s="1107"/>
      <c r="Y112" s="1107"/>
      <c r="Z112" s="1107"/>
      <c r="AA112" s="1107"/>
      <c r="AB112" s="1107"/>
      <c r="AC112" s="1107"/>
      <c r="AD112" s="1107"/>
      <c r="AE112" s="1107"/>
      <c r="AF112" s="1107"/>
      <c r="AG112" s="1107"/>
      <c r="AH112" s="1107"/>
      <c r="AI112" s="1107"/>
      <c r="AJ112" s="1107"/>
      <c r="AK112" s="1107"/>
      <c r="AL112" s="1107"/>
      <c r="AM112" s="1107"/>
      <c r="AN112" s="1107"/>
      <c r="AO112" s="1107"/>
      <c r="AP112" s="1107"/>
      <c r="AQ112" s="1107"/>
      <c r="AR112" s="1107"/>
      <c r="AS112" s="1107"/>
      <c r="AT112" s="1107"/>
      <c r="AU112" s="1107"/>
      <c r="AV112" s="1107"/>
      <c r="AW112" s="1107"/>
      <c r="AX112" s="1107"/>
      <c r="AY112" s="1107"/>
      <c r="AZ112" s="1107"/>
      <c r="BA112" s="1107"/>
      <c r="BB112" s="1107"/>
      <c r="BC112" s="1107"/>
      <c r="BD112" s="1107"/>
      <c r="BE112" s="1107"/>
      <c r="BF112" s="1107"/>
      <c r="BG112" s="1107"/>
      <c r="BH112" s="1107"/>
      <c r="BI112" s="1107"/>
      <c r="BJ112" s="1107"/>
      <c r="BK112" s="1107"/>
      <c r="BL112" s="1107"/>
      <c r="BM112" s="1107"/>
      <c r="BN112" s="1107"/>
      <c r="BO112" s="1107"/>
      <c r="BP112" s="1107"/>
      <c r="BQ112" s="1107"/>
      <c r="BR112" s="1107"/>
      <c r="BS112" s="1107"/>
      <c r="BT112" s="1107"/>
      <c r="BU112" s="1107"/>
      <c r="BV112" s="1107"/>
      <c r="BW112" s="1107"/>
      <c r="BX112" s="1107"/>
      <c r="BY112" s="1107"/>
      <c r="BZ112" s="1107"/>
      <c r="CA112" s="1107"/>
      <c r="CB112" s="1107"/>
      <c r="CC112" s="1107"/>
      <c r="CD112" s="1107"/>
      <c r="CE112" s="1107"/>
      <c r="CF112" s="1107"/>
      <c r="CG112" s="1107"/>
      <c r="CH112" s="1107"/>
      <c r="CI112" s="1107"/>
      <c r="CJ112" s="1107"/>
      <c r="CK112" s="1107"/>
    </row>
    <row r="113" spans="1:89" ht="71.25" customHeight="1" thickBot="1" x14ac:dyDescent="0.3">
      <c r="A113" s="1107"/>
      <c r="B113" s="1303"/>
      <c r="C113" s="1100" t="s">
        <v>1383</v>
      </c>
      <c r="D113" s="1100" t="s">
        <v>1491</v>
      </c>
      <c r="E113" s="1100" t="s">
        <v>766</v>
      </c>
      <c r="F113" s="1100" t="s">
        <v>1496</v>
      </c>
      <c r="G113" s="1100" t="s">
        <v>1849</v>
      </c>
      <c r="H113" s="1101" t="s">
        <v>1850</v>
      </c>
      <c r="I113" s="1101" t="s">
        <v>1851</v>
      </c>
      <c r="J113" s="1100" t="s">
        <v>1873</v>
      </c>
      <c r="K113" s="1100" t="s">
        <v>1852</v>
      </c>
      <c r="L113" s="1101" t="s">
        <v>1397</v>
      </c>
      <c r="M113" s="1101" t="s">
        <v>1381</v>
      </c>
      <c r="N113" s="1100" t="s">
        <v>1382</v>
      </c>
      <c r="O113" s="1100" t="s">
        <v>721</v>
      </c>
      <c r="P113" s="1100" t="s">
        <v>722</v>
      </c>
      <c r="Q113" s="1101" t="s">
        <v>1495</v>
      </c>
      <c r="R113" s="1107"/>
      <c r="S113" s="1107"/>
      <c r="T113" s="1303"/>
      <c r="U113" s="1100" t="s">
        <v>1383</v>
      </c>
      <c r="V113" s="1100" t="s">
        <v>1491</v>
      </c>
      <c r="W113" s="1100" t="s">
        <v>766</v>
      </c>
      <c r="X113" s="1100" t="s">
        <v>1496</v>
      </c>
      <c r="Y113" s="1100" t="s">
        <v>1849</v>
      </c>
      <c r="Z113" s="1101" t="s">
        <v>1850</v>
      </c>
      <c r="AA113" s="1101" t="s">
        <v>1851</v>
      </c>
      <c r="AB113" s="1100" t="s">
        <v>1873</v>
      </c>
      <c r="AC113" s="1100" t="s">
        <v>1852</v>
      </c>
      <c r="AD113" s="1101" t="s">
        <v>1397</v>
      </c>
      <c r="AE113" s="1101" t="s">
        <v>1381</v>
      </c>
      <c r="AF113" s="1100" t="s">
        <v>1382</v>
      </c>
      <c r="AG113" s="1100" t="s">
        <v>721</v>
      </c>
      <c r="AH113" s="1100" t="s">
        <v>722</v>
      </c>
      <c r="AI113" s="1101" t="s">
        <v>1495</v>
      </c>
      <c r="AJ113" s="1107"/>
      <c r="AK113" s="1107"/>
      <c r="AL113" s="1107"/>
      <c r="AM113" s="1107"/>
      <c r="AN113" s="1107"/>
      <c r="AO113" s="1107"/>
      <c r="AP113" s="1107"/>
      <c r="AQ113" s="1107"/>
      <c r="AR113" s="1107"/>
      <c r="AS113" s="1107"/>
      <c r="AT113" s="1107"/>
      <c r="AU113" s="1107"/>
      <c r="AV113" s="1107"/>
      <c r="AW113" s="1107"/>
      <c r="AX113" s="1107"/>
      <c r="AY113" s="1107"/>
      <c r="AZ113" s="1107"/>
      <c r="BA113" s="1107"/>
      <c r="BB113" s="1107"/>
      <c r="BC113" s="1107"/>
      <c r="BD113" s="1107"/>
      <c r="BE113" s="1107"/>
      <c r="BF113" s="1107"/>
      <c r="BG113" s="1107"/>
      <c r="BH113" s="1107"/>
      <c r="BI113" s="1107"/>
      <c r="BJ113" s="1107"/>
      <c r="BK113" s="1107"/>
      <c r="BL113" s="1107"/>
      <c r="BM113" s="1107"/>
      <c r="BN113" s="1107"/>
      <c r="BO113" s="1107"/>
      <c r="BP113" s="1107"/>
      <c r="BQ113" s="1107"/>
      <c r="BR113" s="1107"/>
      <c r="BS113" s="1107"/>
      <c r="BT113" s="1107"/>
      <c r="BU113" s="1107"/>
      <c r="BV113" s="1107"/>
      <c r="BW113" s="1107"/>
      <c r="BX113" s="1107"/>
      <c r="BY113" s="1107"/>
      <c r="BZ113" s="1107"/>
      <c r="CA113" s="1107"/>
      <c r="CB113" s="1107"/>
      <c r="CC113" s="1107"/>
      <c r="CD113" s="1107"/>
      <c r="CE113" s="1107"/>
      <c r="CF113" s="1107"/>
      <c r="CG113" s="1107"/>
      <c r="CH113" s="1107"/>
      <c r="CI113" s="1107"/>
      <c r="CJ113" s="1107"/>
      <c r="CK113" s="1107"/>
    </row>
    <row r="114" spans="1:89" ht="90.75" customHeight="1" thickBot="1" x14ac:dyDescent="0.3">
      <c r="A114" s="1107"/>
      <c r="B114" s="1132" t="s">
        <v>1853</v>
      </c>
      <c r="C114" s="1133" t="s">
        <v>1523</v>
      </c>
      <c r="D114" s="1134">
        <v>2801</v>
      </c>
      <c r="E114" s="1104" t="s">
        <v>2065</v>
      </c>
      <c r="F114" s="1104" t="s">
        <v>1525</v>
      </c>
      <c r="G114" s="1102" t="str" cm="1">
        <f t="array" aca="1" ref="G114" ca="1">INDIRECT("'Incentives Worksheet'!P"&amp;'Configurable Tab'!H11+3)</f>
        <v>Same as Payout Cycle</v>
      </c>
      <c r="H114" s="1102" t="str" cm="1">
        <f t="array" aca="1" ref="H114" ca="1">IF(ISBLANK(INDIRECT("'Incentives Worksheet'!H"&amp;'Configurable Tab'!H11+3)),"",INDIRECT("'Incentives Worksheet'!H"&amp;'Configurable Tab'!H11+3))</f>
        <v/>
      </c>
      <c r="I114" s="1102" t="str" cm="1">
        <f t="array" aca="1" ref="I114" ca="1">IF(INDIRECT("'Incentives Worksheet'!R"&amp;'Configurable Tab'!H11+3)="USF Calendar","Fiscal",INDIRECT("'Incentives Worksheet'!R"&amp;'Configurable Tab'!H11+3))</f>
        <v>Fiscal</v>
      </c>
      <c r="J114" s="1102" t="str" cm="1">
        <f t="array" aca="1" ref="J114" ca="1">IF(INDIRECT("'Incentives Worksheet'!L"&amp;'Configurable Tab'!H11+13)="All"," Select All Products","Unselect All Products")</f>
        <v xml:space="preserve"> Select All Products</v>
      </c>
      <c r="K114" s="1102" t="str" cm="1">
        <f t="array" aca="1" ref="K114" ca="1">IF(INDIRECT("'Incentives Worksheet'!T"&amp;'Configurable Tab'!H11+3)="Yes","Post to GL","")</f>
        <v/>
      </c>
      <c r="L114" s="1102" t="str" cm="1">
        <f t="array" aca="1" ref="L114" ca="1">IF(ISBLANK(INDIRECT("'Incentives Worksheet'!L"&amp;'Configurable Tab'!H11+3)),"",INDIRECT("'Incentives Worksheet'!L"&amp;'Configurable Tab'!H11+3))</f>
        <v/>
      </c>
      <c r="M114" s="1102" t="str" cm="1">
        <f t="array" aca="1" ref="M114" ca="1">IF(ISBLANK(INDIRECT("'Incentives Worksheet'!J"&amp;'Configurable Tab'!H11+3)),"",INDIRECT("'Incentives Worksheet'!J"&amp;'Configurable Tab'!H11+3))</f>
        <v/>
      </c>
      <c r="N114" s="1102" t="str" cm="1">
        <f t="array" aca="1" ref="N114" ca="1">IF(ISBLANK(INDIRECT("'Incentives Worksheet'!N"&amp;'Configurable Tab'!H11+3)),"",INDIRECT("'Incentives Worksheet'!N"&amp;'Configurable Tab'!H11+3))</f>
        <v/>
      </c>
      <c r="O114" s="1103" t="str" cm="1">
        <f t="array" aca="1" ref="O114" ca="1">INDIRECT("'Incentives Worksheet'!D"&amp;'Configurable Tab'!H11+6)</f>
        <v/>
      </c>
      <c r="P114" s="1103" t="str" cm="1">
        <f t="array" aca="1" ref="P114" ca="1">INDIRECT("'Incentives Worksheet'!D"&amp;'Configurable Tab'!H11+8)</f>
        <v/>
      </c>
      <c r="Q114" s="1102" t="str" cm="1">
        <f t="array" aca="1" ref="Q114" ca="1">IF(INDIRECT("'Incentives Worksheet'!D"&amp;'Configurable Tab'!H11+12)="No","Update tracking dates",INDIRECT("'Incentives Worksheet'!D"&amp;'Configurable Tab'!H11+12))</f>
        <v>Yes</v>
      </c>
      <c r="R114" s="1107"/>
      <c r="S114" s="1107"/>
      <c r="T114" s="1132" t="s">
        <v>1853</v>
      </c>
      <c r="U114" s="1133" t="s">
        <v>1523</v>
      </c>
      <c r="V114" s="1134">
        <v>2802</v>
      </c>
      <c r="W114" s="1104" t="s">
        <v>2065</v>
      </c>
      <c r="X114" s="1104" t="s">
        <v>1525</v>
      </c>
      <c r="Y114" s="1102" t="str" cm="1">
        <f t="array" aca="1" ref="Y114" ca="1">INDIRECT("'Incentives Worksheet'!P"&amp;'Configurable Tab'!H12+3)</f>
        <v>Same as Payout Cycle</v>
      </c>
      <c r="Z114" s="1102" t="str" cm="1">
        <f t="array" aca="1" ref="Z114" ca="1">IF(ISBLANK(INDIRECT("'Incentives Worksheet'!H"&amp;'Configurable Tab'!H12+3)),"",INDIRECT("'Incentives Worksheet'!H"&amp;'Configurable Tab'!H12+3))</f>
        <v/>
      </c>
      <c r="AA114" s="1102" t="str" cm="1">
        <f t="array" aca="1" ref="AA114" ca="1">IF(INDIRECT("'Incentives Worksheet'!R"&amp;'Configurable Tab'!H12+3)="USF Calendar","Fiscal",INDIRECT("'Incentives Worksheet'!R"&amp;'Configurable Tab'!H12+3))</f>
        <v>Fiscal</v>
      </c>
      <c r="AB114" s="1102" t="str" cm="1">
        <f t="array" aca="1" ref="AB114" ca="1">IF(INDIRECT("'Incentives Worksheet'!L"&amp;'Configurable Tab'!H12+13)="All"," Select All Products","Unselect All Products")</f>
        <v xml:space="preserve"> Select All Products</v>
      </c>
      <c r="AC114" s="1102" t="str" cm="1">
        <f t="array" aca="1" ref="AC114" ca="1">IF(INDIRECT("'Incentives Worksheet'!T"&amp;'Configurable Tab'!H12+3)="Yes","Post to GL","")</f>
        <v/>
      </c>
      <c r="AD114" s="1102" t="str" cm="1">
        <f t="array" aca="1" ref="AD114" ca="1">IF(ISBLANK(INDIRECT("'Incentives Worksheet'!L"&amp;'Configurable Tab'!H12+3)),"",INDIRECT("'Incentives Worksheet'!L"&amp;'Configurable Tab'!H12+3))</f>
        <v/>
      </c>
      <c r="AE114" s="1102" t="str" cm="1">
        <f t="array" aca="1" ref="AE114" ca="1">IF(ISBLANK(INDIRECT("'Incentives Worksheet'!J"&amp;'Configurable Tab'!H12+3)),"",INDIRECT("'Incentives Worksheet'!J"&amp;'Configurable Tab'!H12+3))</f>
        <v/>
      </c>
      <c r="AF114" s="1102" t="str" cm="1">
        <f t="array" aca="1" ref="AF114" ca="1">IF(ISBLANK(INDIRECT("'Incentives Worksheet'!N"&amp;'Configurable Tab'!H12+3)),"",INDIRECT("'Incentives Worksheet'!N"&amp;'Configurable Tab'!H12+3))</f>
        <v/>
      </c>
      <c r="AG114" s="1103" t="str" cm="1">
        <f t="array" aca="1" ref="AG114" ca="1">INDIRECT("'Incentives Worksheet'!D"&amp;'Configurable Tab'!H12+6)</f>
        <v/>
      </c>
      <c r="AH114" s="1103" t="str" cm="1">
        <f t="array" aca="1" ref="AH114" ca="1">INDIRECT("'Incentives Worksheet'!D"&amp;'Configurable Tab'!H12+8)</f>
        <v/>
      </c>
      <c r="AI114" s="1102" t="str" cm="1">
        <f t="array" aca="1" ref="AI114" ca="1">IF(INDIRECT("'Incentives Worksheet'!D"&amp;'Configurable Tab'!H12+12)="No","Update tracking dates",INDIRECT("'Incentives Worksheet'!D"&amp;'Configurable Tab'!H12+12))</f>
        <v>Yes</v>
      </c>
      <c r="AJ114" s="1107"/>
      <c r="AK114" s="1107"/>
      <c r="AL114" s="1107"/>
      <c r="AM114" s="1107"/>
      <c r="AN114" s="1107"/>
      <c r="AO114" s="1107"/>
      <c r="AP114" s="1107"/>
      <c r="AQ114" s="1107"/>
      <c r="AR114" s="1107"/>
      <c r="AS114" s="1107"/>
      <c r="AT114" s="1107"/>
      <c r="AU114" s="1107"/>
      <c r="AV114" s="1107"/>
      <c r="AW114" s="1107"/>
      <c r="AX114" s="1107"/>
      <c r="AY114" s="1107"/>
      <c r="AZ114" s="1107"/>
      <c r="BA114" s="1107"/>
      <c r="BB114" s="1107"/>
      <c r="BC114" s="1107"/>
      <c r="BD114" s="1107"/>
      <c r="BE114" s="1107"/>
      <c r="BF114" s="1107"/>
      <c r="BG114" s="1107"/>
      <c r="BH114" s="1107"/>
      <c r="BI114" s="1107"/>
      <c r="BJ114" s="1107"/>
      <c r="BK114" s="1107"/>
      <c r="BL114" s="1107"/>
      <c r="BM114" s="1107"/>
      <c r="BN114" s="1107"/>
      <c r="BO114" s="1107"/>
      <c r="BP114" s="1107"/>
      <c r="BQ114" s="1107"/>
      <c r="BR114" s="1107"/>
      <c r="BS114" s="1107"/>
      <c r="BT114" s="1107"/>
      <c r="BU114" s="1107"/>
      <c r="BV114" s="1107"/>
      <c r="BW114" s="1107"/>
      <c r="BX114" s="1107"/>
      <c r="BY114" s="1107"/>
      <c r="BZ114" s="1107"/>
      <c r="CA114" s="1107"/>
      <c r="CB114" s="1107"/>
      <c r="CC114" s="1107"/>
      <c r="CD114" s="1107"/>
      <c r="CE114" s="1107"/>
      <c r="CF114" s="1107"/>
      <c r="CG114" s="1107"/>
      <c r="CH114" s="1107"/>
      <c r="CI114" s="1107"/>
      <c r="CJ114" s="1107"/>
      <c r="CK114" s="1107"/>
    </row>
    <row r="115" spans="1:89" ht="30.75" thickBot="1" x14ac:dyDescent="0.3">
      <c r="A115" s="1107"/>
      <c r="B115" s="2006" t="s">
        <v>1885</v>
      </c>
      <c r="C115" s="1160" t="s">
        <v>1886</v>
      </c>
      <c r="D115" s="1101" t="s">
        <v>1359</v>
      </c>
      <c r="E115" s="1100" t="s">
        <v>1877</v>
      </c>
      <c r="F115" s="1100" t="s">
        <v>1887</v>
      </c>
      <c r="G115" s="1161" t="s">
        <v>1880</v>
      </c>
      <c r="H115" s="1209" t="s">
        <v>1880</v>
      </c>
      <c r="I115" s="1162"/>
      <c r="J115" s="1162"/>
      <c r="K115" s="1162"/>
      <c r="L115" s="1162"/>
      <c r="M115" s="1162"/>
      <c r="N115" s="1162"/>
      <c r="O115" s="1162"/>
      <c r="P115" s="1162"/>
      <c r="Q115" s="1163"/>
      <c r="R115" s="1107"/>
      <c r="S115" s="1107"/>
      <c r="T115" s="2006" t="s">
        <v>1885</v>
      </c>
      <c r="U115" s="1160" t="s">
        <v>1886</v>
      </c>
      <c r="V115" s="1101" t="s">
        <v>1359</v>
      </c>
      <c r="W115" s="1100" t="s">
        <v>1877</v>
      </c>
      <c r="X115" s="1100" t="s">
        <v>1887</v>
      </c>
      <c r="Y115" s="1165" t="s">
        <v>1880</v>
      </c>
      <c r="Z115" s="1209" t="s">
        <v>1880</v>
      </c>
      <c r="AA115" s="1162"/>
      <c r="AB115" s="1162"/>
      <c r="AC115" s="1162"/>
      <c r="AD115" s="1162"/>
      <c r="AE115" s="1162"/>
      <c r="AF115" s="1162"/>
      <c r="AG115" s="1162"/>
      <c r="AH115" s="1162"/>
      <c r="AI115" s="1163"/>
      <c r="AJ115" s="1107"/>
      <c r="AK115" s="1107"/>
      <c r="AL115" s="1107"/>
      <c r="AM115" s="1107"/>
      <c r="AN115" s="1107"/>
      <c r="AO115" s="1107"/>
      <c r="AP115" s="1107"/>
      <c r="AQ115" s="1107"/>
      <c r="AR115" s="1107"/>
      <c r="AS115" s="1107"/>
      <c r="AT115" s="1107"/>
      <c r="AU115" s="1107"/>
      <c r="AV115" s="1107"/>
      <c r="AW115" s="1107"/>
      <c r="AX115" s="1107"/>
      <c r="AY115" s="1107"/>
      <c r="AZ115" s="1107"/>
      <c r="BA115" s="1107"/>
      <c r="BB115" s="1107"/>
      <c r="BC115" s="1107"/>
      <c r="BD115" s="1107"/>
      <c r="BE115" s="1107"/>
      <c r="BF115" s="1107"/>
      <c r="BG115" s="1107"/>
      <c r="BH115" s="1107"/>
      <c r="BI115" s="1107"/>
      <c r="BJ115" s="1107"/>
      <c r="BK115" s="1107"/>
      <c r="BL115" s="1107"/>
      <c r="BM115" s="1107"/>
      <c r="BN115" s="1107"/>
      <c r="BO115" s="1107"/>
      <c r="BP115" s="1107"/>
      <c r="BQ115" s="1107"/>
      <c r="BR115" s="1107"/>
      <c r="BS115" s="1107"/>
      <c r="BT115" s="1107"/>
      <c r="BU115" s="1107"/>
      <c r="BV115" s="1107"/>
      <c r="BW115" s="1107"/>
      <c r="BX115" s="1107"/>
      <c r="BY115" s="1107"/>
      <c r="BZ115" s="1107"/>
      <c r="CA115" s="1107"/>
      <c r="CB115" s="1107"/>
      <c r="CC115" s="1107"/>
      <c r="CD115" s="1107"/>
      <c r="CE115" s="1107"/>
      <c r="CF115" s="1107"/>
      <c r="CG115" s="1107"/>
      <c r="CH115" s="1107"/>
      <c r="CI115" s="1107"/>
      <c r="CJ115" s="1107"/>
      <c r="CK115" s="1107"/>
    </row>
    <row r="116" spans="1:89" ht="15.75" thickBot="1" x14ac:dyDescent="0.3">
      <c r="A116" s="1107"/>
      <c r="B116" s="2011"/>
      <c r="C116" s="1195" t="s">
        <v>459</v>
      </c>
      <c r="D116" s="1195" t="str" cm="1">
        <f t="array" aca="1" ref="D116" ca="1">IF(INDIRECT("'Incentives Worksheet'!J"&amp;'Configurable Tab'!H11+13)="All","All Customers","Individual")</f>
        <v>All Customers</v>
      </c>
      <c r="E116" s="1195" t="str">
        <f ca="1">IFERROR(IF(SMALL(INDIRECT("'Incentives Worksheet'!L"&amp;'Configurable Tab'!H11+6):INDIRECT("'Incentives Worksheet'!L"&amp;'Configurable Tab'!H11+10),COUNTIF(INDIRECT("'Incentives Worksheet'!L"&amp;'Configurable Tab'!H11+6):INDIRECT("'Incentives Worksheet'!L"&amp;'Configurable Tab'!H11+10),0)+1)&lt;&gt;0,SMALL(INDIRECT("'Incentives Worksheet'!L"&amp;'Configurable Tab'!H11+6):INDIRECT("'Incentives Worksheet'!L"&amp;'Configurable Tab'!H11+10),COUNTIF(INDIRECT("'Incentives Worksheet'!L"&amp;'Configurable Tab'!H11+6):INDIRECT("'Incentives Worksheet'!L"&amp;'Configurable Tab'!H11+10),0)+1),""),"")</f>
        <v/>
      </c>
      <c r="F116" s="1195" t="s">
        <v>2000</v>
      </c>
      <c r="G116" s="1197" t="str" cm="1">
        <f t="array" aca="1" ref="G116" ca="1">INDIRECT("'Incentives Worksheet'!N"&amp;'Configurable Tab'!H11+6)</f>
        <v>%</v>
      </c>
      <c r="H116" s="1136"/>
      <c r="I116" s="1136"/>
      <c r="J116" s="1136"/>
      <c r="K116" s="1136"/>
      <c r="L116" s="1136"/>
      <c r="M116" s="1136"/>
      <c r="N116" s="1136"/>
      <c r="O116" s="1136"/>
      <c r="P116" s="1136"/>
      <c r="Q116" s="1108"/>
      <c r="R116" s="1107"/>
      <c r="S116" s="1107"/>
      <c r="T116" s="2011"/>
      <c r="U116" s="1195" t="s">
        <v>459</v>
      </c>
      <c r="V116" s="1196" t="str" cm="1">
        <f t="array" aca="1" ref="V116" ca="1">IF(INDIRECT("'Incentives Worksheet'!J"&amp;'Configurable Tab'!H12+13)="All","All Customers","Individual")</f>
        <v>All Customers</v>
      </c>
      <c r="W116" s="1196" t="str">
        <f ca="1">IFERROR(IF(SMALL(INDIRECT("'Incentives Worksheet'!L"&amp;'Configurable Tab'!H12+6):INDIRECT("'Incentives Worksheet'!L"&amp;'Configurable Tab'!H12+10),COUNTIF(INDIRECT("'Incentives Worksheet'!L"&amp;'Configurable Tab'!H12+6):INDIRECT("'Incentives Worksheet'!L"&amp;'Configurable Tab'!H12+10),0)+1)&lt;&gt;0,SMALL(INDIRECT("'Incentives Worksheet'!L"&amp;'Configurable Tab'!H12+6):INDIRECT("'Incentives Worksheet'!L"&amp;'Configurable Tab'!H12+10),COUNTIF(INDIRECT("'Incentives Worksheet'!L"&amp;'Configurable Tab'!H12+6):INDIRECT("'Incentives Worksheet'!L"&amp;'Configurable Tab'!H12+10),0)+1),""),"")</f>
        <v/>
      </c>
      <c r="X116" s="1196" t="s">
        <v>2000</v>
      </c>
      <c r="Y116" s="1197" t="str" cm="1">
        <f t="array" aca="1" ref="Y116" ca="1">INDIRECT("'Incentives Worksheet'!N"&amp;'Configurable Tab'!H12+6)</f>
        <v>%</v>
      </c>
      <c r="Z116" s="1136"/>
      <c r="AA116" s="1136"/>
      <c r="AB116" s="1136"/>
      <c r="AC116" s="1136"/>
      <c r="AD116" s="1136"/>
      <c r="AE116" s="1136"/>
      <c r="AF116" s="1136"/>
      <c r="AG116" s="1136"/>
      <c r="AH116" s="1136"/>
      <c r="AI116" s="1108"/>
      <c r="AJ116" s="1107"/>
      <c r="AK116" s="1107"/>
      <c r="AL116" s="1107"/>
      <c r="AM116" s="1107"/>
      <c r="AN116" s="1107"/>
      <c r="AO116" s="1107"/>
      <c r="AP116" s="1107"/>
      <c r="AQ116" s="1107"/>
      <c r="AR116" s="1107"/>
      <c r="AS116" s="1107"/>
      <c r="AT116" s="1107"/>
      <c r="AU116" s="1107"/>
      <c r="AV116" s="1107"/>
      <c r="AW116" s="1107"/>
      <c r="AX116" s="1107"/>
      <c r="AY116" s="1107"/>
      <c r="AZ116" s="1107"/>
      <c r="BA116" s="1107"/>
      <c r="BB116" s="1107"/>
      <c r="BC116" s="1107"/>
      <c r="BD116" s="1107"/>
      <c r="BE116" s="1107"/>
      <c r="BF116" s="1107"/>
      <c r="BG116" s="1107"/>
      <c r="BH116" s="1107"/>
      <c r="BI116" s="1107"/>
      <c r="BJ116" s="1107"/>
      <c r="BK116" s="1107"/>
      <c r="BL116" s="1107"/>
      <c r="BM116" s="1107"/>
      <c r="BN116" s="1107"/>
      <c r="BO116" s="1107"/>
      <c r="BP116" s="1107"/>
      <c r="BQ116" s="1107"/>
      <c r="BR116" s="1107"/>
      <c r="BS116" s="1107"/>
      <c r="BT116" s="1107"/>
      <c r="BU116" s="1107"/>
      <c r="BV116" s="1107"/>
      <c r="BW116" s="1107"/>
      <c r="BX116" s="1107"/>
      <c r="BY116" s="1107"/>
      <c r="BZ116" s="1107"/>
      <c r="CA116" s="1107"/>
      <c r="CB116" s="1107"/>
      <c r="CC116" s="1107"/>
      <c r="CD116" s="1107"/>
      <c r="CE116" s="1107"/>
      <c r="CF116" s="1107"/>
      <c r="CG116" s="1107"/>
      <c r="CH116" s="1107"/>
      <c r="CI116" s="1107"/>
      <c r="CJ116" s="1107"/>
      <c r="CK116" s="1107"/>
    </row>
    <row r="117" spans="1:89" x14ac:dyDescent="0.25">
      <c r="A117" s="1107"/>
      <c r="B117" s="2008"/>
      <c r="C117" s="1170" t="s">
        <v>1884</v>
      </c>
      <c r="D117" s="1171" t="s">
        <v>126</v>
      </c>
      <c r="E117" s="1172" t="s">
        <v>128</v>
      </c>
      <c r="F117" s="1173" t="s">
        <v>1104</v>
      </c>
      <c r="G117" s="1136"/>
      <c r="H117" s="1136"/>
      <c r="I117" s="1136"/>
      <c r="J117" s="1136"/>
      <c r="K117" s="1136"/>
      <c r="L117" s="1136"/>
      <c r="M117" s="1136"/>
      <c r="N117" s="1136"/>
      <c r="O117" s="1136"/>
      <c r="P117" s="1136"/>
      <c r="Q117" s="1137"/>
      <c r="R117" s="1107"/>
      <c r="S117" s="1107"/>
      <c r="T117" s="2011"/>
      <c r="U117" s="1198" t="s">
        <v>1884</v>
      </c>
      <c r="V117" s="1199" t="s">
        <v>126</v>
      </c>
      <c r="W117" s="1177" t="s">
        <v>128</v>
      </c>
      <c r="X117" s="1177" t="s">
        <v>1104</v>
      </c>
      <c r="Y117" s="1136"/>
      <c r="Z117" s="1136"/>
      <c r="AA117" s="1136"/>
      <c r="AB117" s="1136"/>
      <c r="AC117" s="1136"/>
      <c r="AD117" s="1136"/>
      <c r="AE117" s="1136"/>
      <c r="AF117" s="1136"/>
      <c r="AG117" s="1136"/>
      <c r="AH117" s="1136"/>
      <c r="AI117" s="1137"/>
      <c r="AJ117" s="1107"/>
      <c r="AK117" s="1107"/>
      <c r="AL117" s="1107"/>
      <c r="AM117" s="1107"/>
      <c r="AN117" s="1107"/>
      <c r="AO117" s="1107"/>
      <c r="AP117" s="1107"/>
      <c r="AQ117" s="1107"/>
      <c r="AR117" s="1107"/>
      <c r="AS117" s="1107"/>
      <c r="AT117" s="1107"/>
      <c r="AU117" s="1107"/>
      <c r="AV117" s="1107"/>
      <c r="AW117" s="1107"/>
      <c r="AX117" s="1107"/>
      <c r="AY117" s="1107"/>
      <c r="AZ117" s="1107"/>
      <c r="BA117" s="1107"/>
      <c r="BB117" s="1107"/>
      <c r="BC117" s="1107"/>
      <c r="BD117" s="1107"/>
      <c r="BE117" s="1107"/>
      <c r="BF117" s="1107"/>
      <c r="BG117" s="1107"/>
      <c r="BH117" s="1107"/>
      <c r="BI117" s="1107"/>
      <c r="BJ117" s="1107"/>
      <c r="BK117" s="1107"/>
      <c r="BL117" s="1107"/>
      <c r="BM117" s="1107"/>
      <c r="BN117" s="1107"/>
      <c r="BO117" s="1107"/>
      <c r="BP117" s="1107"/>
      <c r="BQ117" s="1107"/>
      <c r="BR117" s="1107"/>
      <c r="BS117" s="1107"/>
      <c r="BT117" s="1107"/>
      <c r="BU117" s="1107"/>
      <c r="BV117" s="1107"/>
      <c r="BW117" s="1107"/>
      <c r="BX117" s="1107"/>
      <c r="BY117" s="1107"/>
      <c r="BZ117" s="1107"/>
      <c r="CA117" s="1107"/>
      <c r="CB117" s="1107"/>
      <c r="CC117" s="1107"/>
      <c r="CD117" s="1107"/>
      <c r="CE117" s="1107"/>
      <c r="CF117" s="1107"/>
      <c r="CG117" s="1107"/>
      <c r="CH117" s="1107"/>
      <c r="CI117" s="1107"/>
      <c r="CJ117" s="1107"/>
      <c r="CK117" s="1107"/>
    </row>
    <row r="118" spans="1:89" x14ac:dyDescent="0.25">
      <c r="A118" s="1107"/>
      <c r="B118" s="2008"/>
      <c r="C118" s="1178">
        <v>0</v>
      </c>
      <c r="D118" s="1217" t="str">
        <f ca="1">IF(AND(COUNTIF(INDIRECT("'Incentives Worksheet'!H"&amp;'Configurable Tab'!H11+6):INDIRECT("'Incentives Worksheet'!H"&amp;'Configurable Tab'!H11+10),0)=0,'Incentives Worksheet'!$Z$11&lt;&gt;""),0,"")</f>
        <v/>
      </c>
      <c r="E118" s="1180" t="str">
        <f ca="1">IFERROR(IF(COUNTIF(INDIRECT("'Incentives Worksheet'!H"&amp;'Configurable Tab'!H11+6):INDIRECT("'Incentives Worksheet'!H"&amp;'Configurable Tab'!H11+10),0)=0,SMALL(INDIRECT("'Incentives Worksheet'!H"&amp;'Configurable Tab'!H11+6):INDIRECT("'Incentives Worksheet'!H"&amp;'Configurable Tab'!H11+10),1)-0.01,""),"")</f>
        <v/>
      </c>
      <c r="F118" s="1450" t="str">
        <f ca="1">IF(AND(COUNTIF(INDIRECT("'Incentives Worksheet'!H"&amp;'Configurable Tab'!H11+6):INDIRECT("'Incentives Worksheet'!H"&amp;'Configurable Tab'!H11+10),0)=0,'Incentives Worksheet'!$Z$11&lt;&gt;""),0,"")</f>
        <v/>
      </c>
      <c r="G118" s="1136"/>
      <c r="H118" s="1136"/>
      <c r="I118" s="1136"/>
      <c r="J118" s="1136"/>
      <c r="K118" s="1136"/>
      <c r="L118" s="1136"/>
      <c r="M118" s="1136"/>
      <c r="N118" s="1136"/>
      <c r="O118" s="1136"/>
      <c r="P118" s="1136"/>
      <c r="Q118" s="1137"/>
      <c r="R118" s="1107"/>
      <c r="S118" s="1107"/>
      <c r="T118" s="2008"/>
      <c r="U118" s="1182">
        <v>0</v>
      </c>
      <c r="V118" s="1219" t="str">
        <f ca="1">IF(AND(COUNTIF(INDIRECT("'Incentives Worksheet'!H"&amp;'Configurable Tab'!H12+6):INDIRECT("'Incentives Worksheet'!H"&amp;'Configurable Tab'!H12+10),0)=0,'Incentives Worksheet'!$Z$12&lt;&gt;""),0,"")</f>
        <v/>
      </c>
      <c r="W118" s="1211" t="str">
        <f ca="1">IFERROR(IF(COUNTIF(INDIRECT("'Incentives Worksheet'!H"&amp;'Configurable Tab'!H12+6):INDIRECT("'Incentives Worksheet'!H"&amp;'Configurable Tab'!H12+10),0)=0,SMALL(INDIRECT("'Incentives Worksheet'!H"&amp;'Configurable Tab'!H12+6):INDIRECT("'Incentives Worksheet'!H"&amp;'Configurable Tab'!H12+10),1)-0.01,""),"")</f>
        <v/>
      </c>
      <c r="X118" s="1211" t="str">
        <f ca="1">IF(AND(COUNTIF(INDIRECT("'Incentives Worksheet'!H"&amp;'Configurable Tab'!H12+6):INDIRECT("'Incentives Worksheet'!H"&amp;'Configurable Tab'!H12+10),0)=0,'Incentives Worksheet'!$Z$12&lt;&gt;""),0,"")</f>
        <v/>
      </c>
      <c r="Y118" s="1136"/>
      <c r="Z118" s="1136"/>
      <c r="AA118" s="1136"/>
      <c r="AB118" s="1136"/>
      <c r="AC118" s="1136"/>
      <c r="AD118" s="1136"/>
      <c r="AE118" s="1136"/>
      <c r="AF118" s="1136"/>
      <c r="AG118" s="1136"/>
      <c r="AH118" s="1136"/>
      <c r="AI118" s="1137"/>
      <c r="AJ118" s="1107"/>
      <c r="AK118" s="1107"/>
      <c r="AL118" s="1107"/>
      <c r="AM118" s="1107"/>
      <c r="AN118" s="1107"/>
      <c r="AO118" s="1107"/>
      <c r="AP118" s="1107"/>
      <c r="AQ118" s="1107"/>
      <c r="AR118" s="1107"/>
      <c r="AS118" s="1107"/>
      <c r="AT118" s="1107"/>
      <c r="AU118" s="1107"/>
      <c r="AV118" s="1107"/>
      <c r="AW118" s="1107"/>
      <c r="AX118" s="1107"/>
      <c r="AY118" s="1107"/>
      <c r="AZ118" s="1107"/>
      <c r="BA118" s="1107"/>
      <c r="BB118" s="1107"/>
      <c r="BC118" s="1107"/>
      <c r="BD118" s="1107"/>
      <c r="BE118" s="1107"/>
      <c r="BF118" s="1107"/>
      <c r="BG118" s="1107"/>
      <c r="BH118" s="1107"/>
      <c r="BI118" s="1107"/>
      <c r="BJ118" s="1107"/>
      <c r="BK118" s="1107"/>
      <c r="BL118" s="1107"/>
      <c r="BM118" s="1107"/>
      <c r="BN118" s="1107"/>
      <c r="BO118" s="1107"/>
      <c r="BP118" s="1107"/>
      <c r="BQ118" s="1107"/>
      <c r="BR118" s="1107"/>
      <c r="BS118" s="1107"/>
      <c r="BT118" s="1107"/>
      <c r="BU118" s="1107"/>
      <c r="BV118" s="1107"/>
      <c r="BW118" s="1107"/>
      <c r="BX118" s="1107"/>
      <c r="BY118" s="1107"/>
      <c r="BZ118" s="1107"/>
      <c r="CA118" s="1107"/>
      <c r="CB118" s="1107"/>
      <c r="CC118" s="1107"/>
      <c r="CD118" s="1107"/>
      <c r="CE118" s="1107"/>
      <c r="CF118" s="1107"/>
      <c r="CG118" s="1107"/>
      <c r="CH118" s="1107"/>
      <c r="CI118" s="1107"/>
      <c r="CJ118" s="1107"/>
      <c r="CK118" s="1107"/>
    </row>
    <row r="119" spans="1:89" x14ac:dyDescent="0.25">
      <c r="A119" s="1107"/>
      <c r="B119" s="2008"/>
      <c r="C119" s="1200">
        <v>1</v>
      </c>
      <c r="D119" s="1217" t="str" cm="1">
        <f t="array" aca="1" ref="D119" ca="1">IF(INDIRECT("'Incentives Worksheet'!H"&amp;'Configurable Tab'!H11+6)="","",INDIRECT("'Incentives Worksheet'!H"&amp;'Configurable Tab'!H11+6))</f>
        <v/>
      </c>
      <c r="E119" s="1180" t="str" cm="1">
        <f t="array" aca="1" ref="E119" ca="1">IF(INDIRECT("'Incentives Worksheet'!J"&amp;'Configurable Tab'!H11+6)="","",INDIRECT("'Incentives Worksheet'!J"&amp;'Configurable Tab'!H11+6))</f>
        <v/>
      </c>
      <c r="F119" s="1450" t="str" cm="1">
        <f t="array" aca="1" ref="F119" ca="1">IF(INDIRECT("'Incentives Worksheet'!L"&amp;'Configurable Tab'!H11+6)="","",INDIRECT("'Incentives Worksheet'!L"&amp;'Configurable Tab'!H11+6))</f>
        <v/>
      </c>
      <c r="G119" s="1136"/>
      <c r="H119" s="1136"/>
      <c r="I119" s="1136"/>
      <c r="J119" s="1136"/>
      <c r="K119" s="1136"/>
      <c r="L119" s="1136"/>
      <c r="M119" s="1136"/>
      <c r="N119" s="1136"/>
      <c r="O119" s="1136"/>
      <c r="P119" s="1136"/>
      <c r="Q119" s="1137"/>
      <c r="R119" s="1107"/>
      <c r="S119" s="1107"/>
      <c r="T119" s="2008"/>
      <c r="U119" s="1200">
        <v>1</v>
      </c>
      <c r="V119" s="1457" t="str" cm="1">
        <f t="array" aca="1" ref="V119" ca="1">IF(INDIRECT("'Incentives Worksheet'!H"&amp;'Configurable Tab'!H12+6)="","",INDIRECT("'Incentives Worksheet'!H"&amp;'Configurable Tab'!H12+6))</f>
        <v/>
      </c>
      <c r="W119" s="1201" t="str" cm="1">
        <f t="array" aca="1" ref="W119" ca="1">IF(INDIRECT("'Incentives Worksheet'!J"&amp;'Configurable Tab'!H12+6)="","",INDIRECT("'Incentives Worksheet'!J"&amp;'Configurable Tab'!H12+6))</f>
        <v/>
      </c>
      <c r="X119" s="1458" t="str" cm="1">
        <f t="array" aca="1" ref="X119" ca="1">IF(INDIRECT("'Incentives Worksheet'!L"&amp;'Configurable Tab'!H12+6)="","",INDIRECT("'Incentives Worksheet'!L"&amp;'Configurable Tab'!H12+6))</f>
        <v/>
      </c>
      <c r="Y119" s="1136"/>
      <c r="Z119" s="1136"/>
      <c r="AA119" s="1136"/>
      <c r="AB119" s="1136"/>
      <c r="AC119" s="1136"/>
      <c r="AD119" s="1136"/>
      <c r="AE119" s="1136"/>
      <c r="AF119" s="1136"/>
      <c r="AG119" s="1136"/>
      <c r="AH119" s="1136"/>
      <c r="AI119" s="1137"/>
      <c r="AJ119" s="1107"/>
      <c r="AK119" s="1107"/>
      <c r="AL119" s="1107"/>
      <c r="AM119" s="1107"/>
      <c r="AN119" s="1107"/>
      <c r="AO119" s="1107"/>
      <c r="AP119" s="1107"/>
      <c r="AQ119" s="1107"/>
      <c r="AR119" s="1107"/>
      <c r="AS119" s="1107"/>
      <c r="AT119" s="1107"/>
      <c r="AU119" s="1107"/>
      <c r="AV119" s="1107"/>
      <c r="AW119" s="1107"/>
      <c r="AX119" s="1107"/>
      <c r="AY119" s="1107"/>
      <c r="AZ119" s="1107"/>
      <c r="BA119" s="1107"/>
      <c r="BB119" s="1107"/>
      <c r="BC119" s="1107"/>
      <c r="BD119" s="1107"/>
      <c r="BE119" s="1107"/>
      <c r="BF119" s="1107"/>
      <c r="BG119" s="1107"/>
      <c r="BH119" s="1107"/>
      <c r="BI119" s="1107"/>
      <c r="BJ119" s="1107"/>
      <c r="BK119" s="1107"/>
      <c r="BL119" s="1107"/>
      <c r="BM119" s="1107"/>
      <c r="BN119" s="1107"/>
      <c r="BO119" s="1107"/>
      <c r="BP119" s="1107"/>
      <c r="BQ119" s="1107"/>
      <c r="BR119" s="1107"/>
      <c r="BS119" s="1107"/>
      <c r="BT119" s="1107"/>
      <c r="BU119" s="1107"/>
      <c r="BV119" s="1107"/>
      <c r="BW119" s="1107"/>
      <c r="BX119" s="1107"/>
      <c r="BY119" s="1107"/>
      <c r="BZ119" s="1107"/>
      <c r="CA119" s="1107"/>
      <c r="CB119" s="1107"/>
      <c r="CC119" s="1107"/>
      <c r="CD119" s="1107"/>
      <c r="CE119" s="1107"/>
      <c r="CF119" s="1107"/>
      <c r="CG119" s="1107"/>
      <c r="CH119" s="1107"/>
      <c r="CI119" s="1107"/>
      <c r="CJ119" s="1107"/>
      <c r="CK119" s="1107"/>
    </row>
    <row r="120" spans="1:89" x14ac:dyDescent="0.25">
      <c r="A120" s="1107"/>
      <c r="B120" s="2008"/>
      <c r="C120" s="1200">
        <v>2</v>
      </c>
      <c r="D120" s="1217" t="str" cm="1">
        <f t="array" aca="1" ref="D120" ca="1">IF(INDIRECT("'Incentives Worksheet'!H"&amp;'Configurable Tab'!H11+7)="","",INDIRECT("'Incentives Worksheet'!H"&amp;'Configurable Tab'!H11+7))</f>
        <v/>
      </c>
      <c r="E120" s="1180" t="str" cm="1">
        <f t="array" aca="1" ref="E120" ca="1">IF(INDIRECT("'Incentives Worksheet'!J"&amp;'Configurable Tab'!H11+7)="","",INDIRECT("'Incentives Worksheet'!J"&amp;'Configurable Tab'!H11+7))</f>
        <v/>
      </c>
      <c r="F120" s="1450" t="str" cm="1">
        <f t="array" aca="1" ref="F120" ca="1">IF(INDIRECT("'Incentives Worksheet'!L"&amp;'Configurable Tab'!H11+7)="","",INDIRECT("'Incentives Worksheet'!L"&amp;'Configurable Tab'!H11+7))</f>
        <v/>
      </c>
      <c r="G120" s="1136"/>
      <c r="H120" s="1136"/>
      <c r="I120" s="1136"/>
      <c r="J120" s="1136"/>
      <c r="K120" s="1136"/>
      <c r="L120" s="1136"/>
      <c r="M120" s="1136"/>
      <c r="N120" s="1136"/>
      <c r="O120" s="1136"/>
      <c r="P120" s="1136"/>
      <c r="Q120" s="1137"/>
      <c r="R120" s="1107"/>
      <c r="S120" s="1107"/>
      <c r="T120" s="2008"/>
      <c r="U120" s="1200">
        <v>2</v>
      </c>
      <c r="V120" s="1457" t="str" cm="1">
        <f t="array" aca="1" ref="V120" ca="1">IF(INDIRECT("'Incentives Worksheet'!H"&amp;'Configurable Tab'!H12+7)="","",INDIRECT("'Incentives Worksheet'!H"&amp;'Configurable Tab'!H12+7))</f>
        <v/>
      </c>
      <c r="W120" s="1201" t="str" cm="1">
        <f t="array" aca="1" ref="W120" ca="1">IF(INDIRECT("'Incentives Worksheet'!J"&amp;'Configurable Tab'!H12+7)="","",INDIRECT("'Incentives Worksheet'!J"&amp;'Configurable Tab'!H12+7))</f>
        <v/>
      </c>
      <c r="X120" s="1458" t="str" cm="1">
        <f t="array" aca="1" ref="X120" ca="1">IF(INDIRECT("'Incentives Worksheet'!L"&amp;'Configurable Tab'!H12+7)="","",INDIRECT("'Incentives Worksheet'!L"&amp;'Configurable Tab'!H12+7))</f>
        <v/>
      </c>
      <c r="Y120" s="1136"/>
      <c r="Z120" s="1136"/>
      <c r="AA120" s="1136"/>
      <c r="AB120" s="1136"/>
      <c r="AC120" s="1136"/>
      <c r="AD120" s="1136"/>
      <c r="AE120" s="1136"/>
      <c r="AF120" s="1136"/>
      <c r="AG120" s="1136"/>
      <c r="AH120" s="1136"/>
      <c r="AI120" s="1137"/>
      <c r="AJ120" s="1107"/>
      <c r="AK120" s="1107"/>
      <c r="AL120" s="1107"/>
      <c r="AM120" s="1107"/>
      <c r="AN120" s="1107"/>
      <c r="AO120" s="1107"/>
      <c r="AP120" s="1107"/>
      <c r="AQ120" s="1107"/>
      <c r="AR120" s="1107"/>
      <c r="AS120" s="1107"/>
      <c r="AT120" s="1107"/>
      <c r="AU120" s="1107"/>
      <c r="AV120" s="1107"/>
      <c r="AW120" s="1107"/>
      <c r="AX120" s="1107"/>
      <c r="AY120" s="1107"/>
      <c r="AZ120" s="1107"/>
      <c r="BA120" s="1107"/>
      <c r="BB120" s="1107"/>
      <c r="BC120" s="1107"/>
      <c r="BD120" s="1107"/>
      <c r="BE120" s="1107"/>
      <c r="BF120" s="1107"/>
      <c r="BG120" s="1107"/>
      <c r="BH120" s="1107"/>
      <c r="BI120" s="1107"/>
      <c r="BJ120" s="1107"/>
      <c r="BK120" s="1107"/>
      <c r="BL120" s="1107"/>
      <c r="BM120" s="1107"/>
      <c r="BN120" s="1107"/>
      <c r="BO120" s="1107"/>
      <c r="BP120" s="1107"/>
      <c r="BQ120" s="1107"/>
      <c r="BR120" s="1107"/>
      <c r="BS120" s="1107"/>
      <c r="BT120" s="1107"/>
      <c r="BU120" s="1107"/>
      <c r="BV120" s="1107"/>
      <c r="BW120" s="1107"/>
      <c r="BX120" s="1107"/>
      <c r="BY120" s="1107"/>
      <c r="BZ120" s="1107"/>
      <c r="CA120" s="1107"/>
      <c r="CB120" s="1107"/>
      <c r="CC120" s="1107"/>
      <c r="CD120" s="1107"/>
      <c r="CE120" s="1107"/>
      <c r="CF120" s="1107"/>
      <c r="CG120" s="1107"/>
      <c r="CH120" s="1107"/>
      <c r="CI120" s="1107"/>
      <c r="CJ120" s="1107"/>
      <c r="CK120" s="1107"/>
    </row>
    <row r="121" spans="1:89" x14ac:dyDescent="0.25">
      <c r="A121" s="1107"/>
      <c r="B121" s="2008"/>
      <c r="C121" s="1200">
        <v>3</v>
      </c>
      <c r="D121" s="1217" t="str" cm="1">
        <f t="array" aca="1" ref="D121" ca="1">IF(INDIRECT("'Incentives Worksheet'!H"&amp;'Configurable Tab'!H11+8)="","",INDIRECT("'Incentives Worksheet'!H"&amp;'Configurable Tab'!H11+8))</f>
        <v/>
      </c>
      <c r="E121" s="1180" t="str" cm="1">
        <f t="array" aca="1" ref="E121" ca="1">IF(INDIRECT("'Incentives Worksheet'!J"&amp;'Configurable Tab'!H11+8)="","",INDIRECT("'Incentives Worksheet'!J"&amp;'Configurable Tab'!H11+8))</f>
        <v/>
      </c>
      <c r="F121" s="1450" t="str" cm="1">
        <f t="array" aca="1" ref="F121" ca="1">IF(INDIRECT("'Incentives Worksheet'!L"&amp;'Configurable Tab'!H11+8)="","",INDIRECT("'Incentives Worksheet'!L"&amp;'Configurable Tab'!H11+8))</f>
        <v/>
      </c>
      <c r="G121" s="1136"/>
      <c r="H121" s="1136"/>
      <c r="I121" s="1136"/>
      <c r="J121" s="1136"/>
      <c r="K121" s="1136"/>
      <c r="L121" s="1136"/>
      <c r="M121" s="1136"/>
      <c r="N121" s="1136"/>
      <c r="O121" s="1136"/>
      <c r="P121" s="1136"/>
      <c r="Q121" s="1137"/>
      <c r="R121" s="1107"/>
      <c r="S121" s="1107"/>
      <c r="T121" s="2008"/>
      <c r="U121" s="1200">
        <v>3</v>
      </c>
      <c r="V121" s="1457" t="str" cm="1">
        <f t="array" aca="1" ref="V121" ca="1">IF(INDIRECT("'Incentives Worksheet'!H"&amp;'Configurable Tab'!H12+8)="","",INDIRECT("'Incentives Worksheet'!H"&amp;'Configurable Tab'!H12+8))</f>
        <v/>
      </c>
      <c r="W121" s="1201" t="str" cm="1">
        <f t="array" aca="1" ref="W121" ca="1">IF(INDIRECT("'Incentives Worksheet'!J"&amp;'Configurable Tab'!H12+8)="","",INDIRECT("'Incentives Worksheet'!J"&amp;'Configurable Tab'!H12+8))</f>
        <v/>
      </c>
      <c r="X121" s="1458" t="str" cm="1">
        <f t="array" aca="1" ref="X121" ca="1">IF(INDIRECT("'Incentives Worksheet'!L"&amp;'Configurable Tab'!H12+8)="","",INDIRECT("'Incentives Worksheet'!L"&amp;'Configurable Tab'!H12+8))</f>
        <v/>
      </c>
      <c r="Y121" s="1136"/>
      <c r="Z121" s="1136"/>
      <c r="AA121" s="1136"/>
      <c r="AB121" s="1136"/>
      <c r="AC121" s="1136"/>
      <c r="AD121" s="1136"/>
      <c r="AE121" s="1136"/>
      <c r="AF121" s="1136"/>
      <c r="AG121" s="1136"/>
      <c r="AH121" s="1136"/>
      <c r="AI121" s="1137"/>
      <c r="AJ121" s="1107"/>
      <c r="AK121" s="1107"/>
      <c r="AL121" s="1107"/>
      <c r="AM121" s="1107"/>
      <c r="AN121" s="1107"/>
      <c r="AO121" s="1107"/>
      <c r="AP121" s="1107"/>
      <c r="AQ121" s="1107"/>
      <c r="AR121" s="1107"/>
      <c r="AS121" s="1107"/>
      <c r="AT121" s="1107"/>
      <c r="AU121" s="1107"/>
      <c r="AV121" s="1107"/>
      <c r="AW121" s="1107"/>
      <c r="AX121" s="1107"/>
      <c r="AY121" s="1107"/>
      <c r="AZ121" s="1107"/>
      <c r="BA121" s="1107"/>
      <c r="BB121" s="1107"/>
      <c r="BC121" s="1107"/>
      <c r="BD121" s="1107"/>
      <c r="BE121" s="1107"/>
      <c r="BF121" s="1107"/>
      <c r="BG121" s="1107"/>
      <c r="BH121" s="1107"/>
      <c r="BI121" s="1107"/>
      <c r="BJ121" s="1107"/>
      <c r="BK121" s="1107"/>
      <c r="BL121" s="1107"/>
      <c r="BM121" s="1107"/>
      <c r="BN121" s="1107"/>
      <c r="BO121" s="1107"/>
      <c r="BP121" s="1107"/>
      <c r="BQ121" s="1107"/>
      <c r="BR121" s="1107"/>
      <c r="BS121" s="1107"/>
      <c r="BT121" s="1107"/>
      <c r="BU121" s="1107"/>
      <c r="BV121" s="1107"/>
      <c r="BW121" s="1107"/>
      <c r="BX121" s="1107"/>
      <c r="BY121" s="1107"/>
      <c r="BZ121" s="1107"/>
      <c r="CA121" s="1107"/>
      <c r="CB121" s="1107"/>
      <c r="CC121" s="1107"/>
      <c r="CD121" s="1107"/>
      <c r="CE121" s="1107"/>
      <c r="CF121" s="1107"/>
      <c r="CG121" s="1107"/>
      <c r="CH121" s="1107"/>
      <c r="CI121" s="1107"/>
      <c r="CJ121" s="1107"/>
      <c r="CK121" s="1107"/>
    </row>
    <row r="122" spans="1:89" x14ac:dyDescent="0.25">
      <c r="A122" s="1107"/>
      <c r="B122" s="2008"/>
      <c r="C122" s="1200">
        <v>4</v>
      </c>
      <c r="D122" s="1217" t="str" cm="1">
        <f t="array" aca="1" ref="D122" ca="1">IF(INDIRECT("'Incentives Worksheet'!H"&amp;'Configurable Tab'!H11+9)="","",INDIRECT("'Incentives Worksheet'!H"&amp;'Configurable Tab'!H11+9))</f>
        <v/>
      </c>
      <c r="E122" s="1180" t="str" cm="1">
        <f t="array" aca="1" ref="E122" ca="1">IF(INDIRECT("'Incentives Worksheet'!J"&amp;'Configurable Tab'!H11+9)="","",INDIRECT("'Incentives Worksheet'!J"&amp;'Configurable Tab'!H11+9))</f>
        <v/>
      </c>
      <c r="F122" s="1450" t="str" cm="1">
        <f t="array" aca="1" ref="F122" ca="1">IF(INDIRECT("'Incentives Worksheet'!L"&amp;'Configurable Tab'!H11+9)="","",INDIRECT("'Incentives Worksheet'!L"&amp;'Configurable Tab'!H11+9))</f>
        <v/>
      </c>
      <c r="G122" s="1136"/>
      <c r="H122" s="1136"/>
      <c r="I122" s="1136"/>
      <c r="J122" s="1136"/>
      <c r="K122" s="1136"/>
      <c r="L122" s="1136"/>
      <c r="M122" s="1136"/>
      <c r="N122" s="1136"/>
      <c r="O122" s="1136"/>
      <c r="P122" s="1136"/>
      <c r="Q122" s="1137"/>
      <c r="R122" s="1107"/>
      <c r="S122" s="1107"/>
      <c r="T122" s="2008"/>
      <c r="U122" s="1200">
        <v>4</v>
      </c>
      <c r="V122" s="1457" t="str" cm="1">
        <f t="array" aca="1" ref="V122" ca="1">IF(INDIRECT("'Incentives Worksheet'!H"&amp;'Configurable Tab'!H12+9)="","",INDIRECT("'Incentives Worksheet'!H"&amp;'Configurable Tab'!H12+9))</f>
        <v/>
      </c>
      <c r="W122" s="1201" t="str" cm="1">
        <f t="array" aca="1" ref="W122" ca="1">IF(INDIRECT("'Incentives Worksheet'!J"&amp;'Configurable Tab'!H12+9)="","",INDIRECT("'Incentives Worksheet'!J"&amp;'Configurable Tab'!H12+9))</f>
        <v/>
      </c>
      <c r="X122" s="1458" t="str" cm="1">
        <f t="array" aca="1" ref="X122" ca="1">IF(INDIRECT("'Incentives Worksheet'!L"&amp;'Configurable Tab'!H12+9)="","",INDIRECT("'Incentives Worksheet'!L"&amp;'Configurable Tab'!H12+9))</f>
        <v/>
      </c>
      <c r="Y122" s="1136"/>
      <c r="Z122" s="1136"/>
      <c r="AA122" s="1136"/>
      <c r="AB122" s="1136"/>
      <c r="AC122" s="1136"/>
      <c r="AD122" s="1136"/>
      <c r="AE122" s="1136"/>
      <c r="AF122" s="1136"/>
      <c r="AG122" s="1136"/>
      <c r="AH122" s="1136"/>
      <c r="AI122" s="1137"/>
      <c r="AJ122" s="1107"/>
      <c r="AK122" s="1107"/>
      <c r="AL122" s="1107"/>
      <c r="AM122" s="1107"/>
      <c r="AN122" s="1107"/>
      <c r="AO122" s="1107"/>
      <c r="AP122" s="1107"/>
      <c r="AQ122" s="1107"/>
      <c r="AR122" s="1107"/>
      <c r="AS122" s="1107"/>
      <c r="AT122" s="1107"/>
      <c r="AU122" s="1107"/>
      <c r="AV122" s="1107"/>
      <c r="AW122" s="1107"/>
      <c r="AX122" s="1107"/>
      <c r="AY122" s="1107"/>
      <c r="AZ122" s="1107"/>
      <c r="BA122" s="1107"/>
      <c r="BB122" s="1107"/>
      <c r="BC122" s="1107"/>
      <c r="BD122" s="1107"/>
      <c r="BE122" s="1107"/>
      <c r="BF122" s="1107"/>
      <c r="BG122" s="1107"/>
      <c r="BH122" s="1107"/>
      <c r="BI122" s="1107"/>
      <c r="BJ122" s="1107"/>
      <c r="BK122" s="1107"/>
      <c r="BL122" s="1107"/>
      <c r="BM122" s="1107"/>
      <c r="BN122" s="1107"/>
      <c r="BO122" s="1107"/>
      <c r="BP122" s="1107"/>
      <c r="BQ122" s="1107"/>
      <c r="BR122" s="1107"/>
      <c r="BS122" s="1107"/>
      <c r="BT122" s="1107"/>
      <c r="BU122" s="1107"/>
      <c r="BV122" s="1107"/>
      <c r="BW122" s="1107"/>
      <c r="BX122" s="1107"/>
      <c r="BY122" s="1107"/>
      <c r="BZ122" s="1107"/>
      <c r="CA122" s="1107"/>
      <c r="CB122" s="1107"/>
      <c r="CC122" s="1107"/>
      <c r="CD122" s="1107"/>
      <c r="CE122" s="1107"/>
      <c r="CF122" s="1107"/>
      <c r="CG122" s="1107"/>
      <c r="CH122" s="1107"/>
      <c r="CI122" s="1107"/>
      <c r="CJ122" s="1107"/>
      <c r="CK122" s="1107"/>
    </row>
    <row r="123" spans="1:89" ht="15.75" customHeight="1" thickBot="1" x14ac:dyDescent="0.3">
      <c r="A123" s="1107"/>
      <c r="B123" s="2009"/>
      <c r="C123" s="1184">
        <v>5</v>
      </c>
      <c r="D123" s="1451" t="str" cm="1">
        <f t="array" aca="1" ref="D123" ca="1">IF(INDIRECT("'Incentives Worksheet'!H"&amp;'Configurable Tab'!H11+10)="","",INDIRECT("'Incentives Worksheet'!H"&amp;'Configurable Tab'!H11+10))</f>
        <v/>
      </c>
      <c r="E123" s="1452" t="str" cm="1">
        <f t="array" aca="1" ref="E123" ca="1">IF(INDIRECT("'Incentives Worksheet'!J"&amp;'Configurable Tab'!H11+10)="","",INDIRECT("'Incentives Worksheet'!J"&amp;'Configurable Tab'!H11+10))</f>
        <v/>
      </c>
      <c r="F123" s="1453" t="str" cm="1">
        <f t="array" aca="1" ref="F123" ca="1">IF(INDIRECT("'Incentives Worksheet'!L"&amp;'Configurable Tab'!H11+10)="","",INDIRECT("'Incentives Worksheet'!L"&amp;'Configurable Tab'!H11+10))</f>
        <v/>
      </c>
      <c r="G123" s="1136"/>
      <c r="H123" s="1136"/>
      <c r="I123" s="1136"/>
      <c r="J123" s="1136"/>
      <c r="K123" s="1136"/>
      <c r="L123" s="1136"/>
      <c r="M123" s="1136"/>
      <c r="N123" s="1136"/>
      <c r="O123" s="1136"/>
      <c r="P123" s="1136"/>
      <c r="Q123" s="1137"/>
      <c r="R123" s="1107"/>
      <c r="S123" s="1107"/>
      <c r="T123" s="2009"/>
      <c r="U123" s="1184">
        <v>5</v>
      </c>
      <c r="V123" s="1185" t="str" cm="1">
        <f t="array" aca="1" ref="V123" ca="1">IF(INDIRECT("'Incentives Worksheet'!H"&amp;'Configurable Tab'!H12+10)="","",INDIRECT("'Incentives Worksheet'!H"&amp;'Configurable Tab'!H12+10))</f>
        <v/>
      </c>
      <c r="W123" s="1186" t="str" cm="1">
        <f t="array" aca="1" ref="W123" ca="1">IF(INDIRECT("'Incentives Worksheet'!J"&amp;'Configurable Tab'!H12+10)="","",INDIRECT("'Incentives Worksheet'!J"&amp;'Configurable Tab'!H12+10))</f>
        <v/>
      </c>
      <c r="X123" s="1187" t="str" cm="1">
        <f t="array" aca="1" ref="X123" ca="1">IF(INDIRECT("'Incentives Worksheet'!L"&amp;'Configurable Tab'!H12+10)="","",INDIRECT("'Incentives Worksheet'!L"&amp;'Configurable Tab'!H12+10))</f>
        <v/>
      </c>
      <c r="Y123" s="1136"/>
      <c r="Z123" s="1136"/>
      <c r="AA123" s="1136"/>
      <c r="AB123" s="1136"/>
      <c r="AC123" s="1136"/>
      <c r="AD123" s="1136"/>
      <c r="AE123" s="1136"/>
      <c r="AF123" s="1136"/>
      <c r="AG123" s="1136"/>
      <c r="AH123" s="1136"/>
      <c r="AI123" s="1137"/>
      <c r="AJ123" s="1107"/>
      <c r="AK123" s="1107"/>
      <c r="AL123" s="1107"/>
      <c r="AM123" s="1107"/>
      <c r="AN123" s="1107"/>
      <c r="AO123" s="1107"/>
      <c r="AP123" s="1107"/>
      <c r="AQ123" s="1107"/>
      <c r="AR123" s="1107"/>
      <c r="AS123" s="1107"/>
      <c r="AT123" s="1107"/>
      <c r="AU123" s="1107"/>
      <c r="AV123" s="1107"/>
      <c r="AW123" s="1107"/>
      <c r="AX123" s="1107"/>
      <c r="AY123" s="1107"/>
      <c r="AZ123" s="1107"/>
      <c r="BA123" s="1107"/>
      <c r="BB123" s="1107"/>
      <c r="BC123" s="1107"/>
      <c r="BD123" s="1107"/>
      <c r="BE123" s="1107"/>
      <c r="BF123" s="1107"/>
      <c r="BG123" s="1107"/>
      <c r="BH123" s="1107"/>
      <c r="BI123" s="1107"/>
      <c r="BJ123" s="1107"/>
      <c r="BK123" s="1107"/>
      <c r="BL123" s="1107"/>
      <c r="BM123" s="1107"/>
      <c r="BN123" s="1107"/>
      <c r="BO123" s="1107"/>
      <c r="BP123" s="1107"/>
      <c r="BQ123" s="1107"/>
      <c r="BR123" s="1107"/>
      <c r="BS123" s="1107"/>
      <c r="BT123" s="1107"/>
      <c r="BU123" s="1107"/>
      <c r="BV123" s="1107"/>
      <c r="BW123" s="1107"/>
      <c r="BX123" s="1107"/>
      <c r="BY123" s="1107"/>
      <c r="BZ123" s="1107"/>
      <c r="CA123" s="1107"/>
      <c r="CB123" s="1107"/>
      <c r="CC123" s="1107"/>
      <c r="CD123" s="1107"/>
      <c r="CE123" s="1107"/>
      <c r="CF123" s="1107"/>
      <c r="CG123" s="1107"/>
      <c r="CH123" s="1107"/>
      <c r="CI123" s="1107"/>
      <c r="CJ123" s="1107"/>
      <c r="CK123" s="1107"/>
    </row>
    <row r="124" spans="1:89" ht="15.75" customHeight="1" thickBot="1" x14ac:dyDescent="0.3">
      <c r="A124" s="1107"/>
      <c r="B124" s="2006" t="s">
        <v>1858</v>
      </c>
      <c r="C124" s="1191" t="s">
        <v>1859</v>
      </c>
      <c r="D124" s="1192" t="s">
        <v>131</v>
      </c>
      <c r="E124" s="1192" t="s">
        <v>1860</v>
      </c>
      <c r="F124" s="1107"/>
      <c r="G124" s="1107"/>
      <c r="H124" s="1107"/>
      <c r="I124" s="1107"/>
      <c r="J124" s="1107"/>
      <c r="K124" s="1107"/>
      <c r="L124" s="1107"/>
      <c r="M124" s="1107"/>
      <c r="N124" s="1107"/>
      <c r="O124" s="1107"/>
      <c r="P124" s="1107"/>
      <c r="Q124" s="1108"/>
      <c r="R124" s="1107"/>
      <c r="S124" s="1107"/>
      <c r="T124" s="2006" t="s">
        <v>1858</v>
      </c>
      <c r="U124" s="1191" t="s">
        <v>1859</v>
      </c>
      <c r="V124" s="1192" t="s">
        <v>131</v>
      </c>
      <c r="W124" s="1192" t="s">
        <v>1860</v>
      </c>
      <c r="X124" s="1107"/>
      <c r="Y124" s="1107"/>
      <c r="Z124" s="1107"/>
      <c r="AA124" s="1107"/>
      <c r="AB124" s="1107"/>
      <c r="AC124" s="1107"/>
      <c r="AD124" s="1107"/>
      <c r="AE124" s="1107"/>
      <c r="AF124" s="1107"/>
      <c r="AG124" s="1107"/>
      <c r="AH124" s="1107"/>
      <c r="AI124" s="1108"/>
      <c r="AJ124" s="1107"/>
      <c r="AK124" s="1107"/>
      <c r="AL124" s="1107"/>
      <c r="AM124" s="1107"/>
      <c r="AN124" s="1107"/>
      <c r="AO124" s="1107"/>
      <c r="AP124" s="1107"/>
      <c r="AQ124" s="1107"/>
      <c r="AR124" s="1107"/>
      <c r="AS124" s="1107"/>
      <c r="AT124" s="1107"/>
      <c r="AU124" s="1107"/>
      <c r="AV124" s="1107"/>
      <c r="AW124" s="1107"/>
      <c r="AX124" s="1107"/>
      <c r="AY124" s="1107"/>
      <c r="AZ124" s="1107"/>
      <c r="BA124" s="1107"/>
      <c r="BB124" s="1107"/>
      <c r="BC124" s="1107"/>
      <c r="BD124" s="1107"/>
      <c r="BE124" s="1107"/>
      <c r="BF124" s="1107"/>
      <c r="BG124" s="1107"/>
      <c r="BH124" s="1107"/>
      <c r="BI124" s="1107"/>
      <c r="BJ124" s="1107"/>
      <c r="BK124" s="1107"/>
      <c r="BL124" s="1107"/>
      <c r="BM124" s="1107"/>
      <c r="BN124" s="1107"/>
      <c r="BO124" s="1107"/>
      <c r="BP124" s="1107"/>
      <c r="BQ124" s="1107"/>
      <c r="BR124" s="1107"/>
      <c r="BS124" s="1107"/>
      <c r="BT124" s="1107"/>
      <c r="BU124" s="1107"/>
      <c r="BV124" s="1107"/>
      <c r="BW124" s="1107"/>
      <c r="BX124" s="1107"/>
      <c r="BY124" s="1107"/>
      <c r="BZ124" s="1107"/>
      <c r="CA124" s="1107"/>
      <c r="CB124" s="1107"/>
      <c r="CC124" s="1107"/>
      <c r="CD124" s="1107"/>
      <c r="CE124" s="1107"/>
      <c r="CF124" s="1107"/>
      <c r="CG124" s="1107"/>
      <c r="CH124" s="1107"/>
      <c r="CI124" s="1107"/>
      <c r="CJ124" s="1107"/>
      <c r="CK124" s="1107"/>
    </row>
    <row r="125" spans="1:89" x14ac:dyDescent="0.25">
      <c r="A125" s="1107"/>
      <c r="B125" s="2011"/>
      <c r="C125" s="1141" t="s">
        <v>1861</v>
      </c>
      <c r="D125" s="1141" t="s">
        <v>1862</v>
      </c>
      <c r="E125" s="1142"/>
      <c r="F125" s="1107"/>
      <c r="G125" s="1107"/>
      <c r="H125" s="1107"/>
      <c r="I125" s="1107"/>
      <c r="J125" s="1107"/>
      <c r="K125" s="1107"/>
      <c r="L125" s="1107"/>
      <c r="M125" s="1107"/>
      <c r="N125" s="1107"/>
      <c r="O125" s="1107"/>
      <c r="P125" s="1107"/>
      <c r="Q125" s="1108"/>
      <c r="R125" s="1107"/>
      <c r="S125" s="1107"/>
      <c r="T125" s="2011"/>
      <c r="U125" s="1141" t="s">
        <v>1861</v>
      </c>
      <c r="V125" s="1141" t="s">
        <v>1862</v>
      </c>
      <c r="W125" s="1142"/>
      <c r="X125" s="1107"/>
      <c r="Y125" s="1107"/>
      <c r="Z125" s="1107"/>
      <c r="AA125" s="1107"/>
      <c r="AB125" s="1107"/>
      <c r="AC125" s="1107"/>
      <c r="AD125" s="1107"/>
      <c r="AE125" s="1107"/>
      <c r="AF125" s="1107"/>
      <c r="AG125" s="1107"/>
      <c r="AH125" s="1107"/>
      <c r="AI125" s="1108"/>
      <c r="AJ125" s="1107"/>
      <c r="AK125" s="1107"/>
      <c r="AL125" s="1107"/>
      <c r="AM125" s="1107"/>
      <c r="AN125" s="1107"/>
      <c r="AO125" s="1107"/>
      <c r="AP125" s="1107"/>
      <c r="AQ125" s="1107"/>
      <c r="AR125" s="1107"/>
      <c r="AS125" s="1107"/>
      <c r="AT125" s="1107"/>
      <c r="AU125" s="1107"/>
      <c r="AV125" s="1107"/>
      <c r="AW125" s="1107"/>
      <c r="AX125" s="1107"/>
      <c r="AY125" s="1107"/>
      <c r="AZ125" s="1107"/>
      <c r="BA125" s="1107"/>
      <c r="BB125" s="1107"/>
      <c r="BC125" s="1107"/>
      <c r="BD125" s="1107"/>
      <c r="BE125" s="1107"/>
      <c r="BF125" s="1107"/>
      <c r="BG125" s="1107"/>
      <c r="BH125" s="1107"/>
      <c r="BI125" s="1107"/>
      <c r="BJ125" s="1107"/>
      <c r="BK125" s="1107"/>
      <c r="BL125" s="1107"/>
      <c r="BM125" s="1107"/>
      <c r="BN125" s="1107"/>
      <c r="BO125" s="1107"/>
      <c r="BP125" s="1107"/>
      <c r="BQ125" s="1107"/>
      <c r="BR125" s="1107"/>
      <c r="BS125" s="1107"/>
      <c r="BT125" s="1107"/>
      <c r="BU125" s="1107"/>
      <c r="BV125" s="1107"/>
      <c r="BW125" s="1107"/>
      <c r="BX125" s="1107"/>
      <c r="BY125" s="1107"/>
      <c r="BZ125" s="1107"/>
      <c r="CA125" s="1107"/>
      <c r="CB125" s="1107"/>
      <c r="CC125" s="1107"/>
      <c r="CD125" s="1107"/>
      <c r="CE125" s="1107"/>
      <c r="CF125" s="1107"/>
      <c r="CG125" s="1107"/>
      <c r="CH125" s="1107"/>
      <c r="CI125" s="1107"/>
      <c r="CJ125" s="1107"/>
      <c r="CK125" s="1107"/>
    </row>
    <row r="126" spans="1:89" x14ac:dyDescent="0.25">
      <c r="A126" s="1107"/>
      <c r="B126" s="2011"/>
      <c r="C126" s="1143" t="s">
        <v>1861</v>
      </c>
      <c r="D126" s="1143" t="s">
        <v>1863</v>
      </c>
      <c r="E126" s="1144" t="s">
        <v>1864</v>
      </c>
      <c r="F126" s="1107"/>
      <c r="G126" s="1107"/>
      <c r="H126" s="1107"/>
      <c r="I126" s="1107"/>
      <c r="J126" s="1107"/>
      <c r="K126" s="1107"/>
      <c r="L126" s="1107"/>
      <c r="M126" s="1107"/>
      <c r="N126" s="1107"/>
      <c r="O126" s="1107"/>
      <c r="P126" s="1107"/>
      <c r="Q126" s="1108"/>
      <c r="R126" s="1107"/>
      <c r="S126" s="1107"/>
      <c r="T126" s="2011"/>
      <c r="U126" s="1143" t="s">
        <v>1861</v>
      </c>
      <c r="V126" s="1143" t="s">
        <v>1863</v>
      </c>
      <c r="W126" s="1144" t="s">
        <v>1864</v>
      </c>
      <c r="X126" s="1107"/>
      <c r="Y126" s="1107"/>
      <c r="Z126" s="1107"/>
      <c r="AA126" s="1107"/>
      <c r="AB126" s="1107"/>
      <c r="AC126" s="1107"/>
      <c r="AD126" s="1107"/>
      <c r="AE126" s="1107"/>
      <c r="AF126" s="1107"/>
      <c r="AG126" s="1107"/>
      <c r="AH126" s="1107"/>
      <c r="AI126" s="1108"/>
      <c r="AJ126" s="1107"/>
      <c r="AK126" s="1107"/>
      <c r="AL126" s="1107"/>
      <c r="AM126" s="1107"/>
      <c r="AN126" s="1107"/>
      <c r="AO126" s="1107"/>
      <c r="AP126" s="1107"/>
      <c r="AQ126" s="1107"/>
      <c r="AR126" s="1107"/>
      <c r="AS126" s="1107"/>
      <c r="AT126" s="1107"/>
      <c r="AU126" s="1107"/>
      <c r="AV126" s="1107"/>
      <c r="AW126" s="1107"/>
      <c r="AX126" s="1107"/>
      <c r="AY126" s="1107"/>
      <c r="AZ126" s="1107"/>
      <c r="BA126" s="1107"/>
      <c r="BB126" s="1107"/>
      <c r="BC126" s="1107"/>
      <c r="BD126" s="1107"/>
      <c r="BE126" s="1107"/>
      <c r="BF126" s="1107"/>
      <c r="BG126" s="1107"/>
      <c r="BH126" s="1107"/>
      <c r="BI126" s="1107"/>
      <c r="BJ126" s="1107"/>
      <c r="BK126" s="1107"/>
      <c r="BL126" s="1107"/>
      <c r="BM126" s="1107"/>
      <c r="BN126" s="1107"/>
      <c r="BO126" s="1107"/>
      <c r="BP126" s="1107"/>
      <c r="BQ126" s="1107"/>
      <c r="BR126" s="1107"/>
      <c r="BS126" s="1107"/>
      <c r="BT126" s="1107"/>
      <c r="BU126" s="1107"/>
      <c r="BV126" s="1107"/>
      <c r="BW126" s="1107"/>
      <c r="BX126" s="1107"/>
      <c r="BY126" s="1107"/>
      <c r="BZ126" s="1107"/>
      <c r="CA126" s="1107"/>
      <c r="CB126" s="1107"/>
      <c r="CC126" s="1107"/>
      <c r="CD126" s="1107"/>
      <c r="CE126" s="1107"/>
      <c r="CF126" s="1107"/>
      <c r="CG126" s="1107"/>
      <c r="CH126" s="1107"/>
      <c r="CI126" s="1107"/>
      <c r="CJ126" s="1107"/>
      <c r="CK126" s="1107"/>
    </row>
    <row r="127" spans="1:89" x14ac:dyDescent="0.25">
      <c r="A127" s="1107"/>
      <c r="B127" s="2011"/>
      <c r="C127" s="1143" t="s">
        <v>1861</v>
      </c>
      <c r="D127" s="1143" t="s">
        <v>1865</v>
      </c>
      <c r="E127" s="1144" t="s">
        <v>1699</v>
      </c>
      <c r="F127" s="1107"/>
      <c r="G127" s="1107"/>
      <c r="H127" s="1107"/>
      <c r="I127" s="1107"/>
      <c r="J127" s="1107"/>
      <c r="K127" s="1107"/>
      <c r="L127" s="1107"/>
      <c r="M127" s="1107"/>
      <c r="N127" s="1107"/>
      <c r="O127" s="1107"/>
      <c r="P127" s="1107"/>
      <c r="Q127" s="1108"/>
      <c r="R127" s="1107"/>
      <c r="S127" s="1107"/>
      <c r="T127" s="2011"/>
      <c r="U127" s="1143" t="s">
        <v>1861</v>
      </c>
      <c r="V127" s="1143" t="s">
        <v>1865</v>
      </c>
      <c r="W127" s="1144" t="s">
        <v>1699</v>
      </c>
      <c r="X127" s="1107"/>
      <c r="Y127" s="1107"/>
      <c r="Z127" s="1107"/>
      <c r="AA127" s="1107"/>
      <c r="AB127" s="1107"/>
      <c r="AC127" s="1107"/>
      <c r="AD127" s="1107"/>
      <c r="AE127" s="1107"/>
      <c r="AF127" s="1107"/>
      <c r="AG127" s="1107"/>
      <c r="AH127" s="1107"/>
      <c r="AI127" s="1108"/>
      <c r="AJ127" s="1107"/>
      <c r="AK127" s="1107"/>
      <c r="AL127" s="1107"/>
      <c r="AM127" s="1107"/>
      <c r="AN127" s="1107"/>
      <c r="AO127" s="1107"/>
      <c r="AP127" s="1107"/>
      <c r="AQ127" s="1107"/>
      <c r="AR127" s="1107"/>
      <c r="AS127" s="1107"/>
      <c r="AT127" s="1107"/>
      <c r="AU127" s="1107"/>
      <c r="AV127" s="1107"/>
      <c r="AW127" s="1107"/>
      <c r="AX127" s="1107"/>
      <c r="AY127" s="1107"/>
      <c r="AZ127" s="1107"/>
      <c r="BA127" s="1107"/>
      <c r="BB127" s="1107"/>
      <c r="BC127" s="1107"/>
      <c r="BD127" s="1107"/>
      <c r="BE127" s="1107"/>
      <c r="BF127" s="1107"/>
      <c r="BG127" s="1107"/>
      <c r="BH127" s="1107"/>
      <c r="BI127" s="1107"/>
      <c r="BJ127" s="1107"/>
      <c r="BK127" s="1107"/>
      <c r="BL127" s="1107"/>
      <c r="BM127" s="1107"/>
      <c r="BN127" s="1107"/>
      <c r="BO127" s="1107"/>
      <c r="BP127" s="1107"/>
      <c r="BQ127" s="1107"/>
      <c r="BR127" s="1107"/>
      <c r="BS127" s="1107"/>
      <c r="BT127" s="1107"/>
      <c r="BU127" s="1107"/>
      <c r="BV127" s="1107"/>
      <c r="BW127" s="1107"/>
      <c r="BX127" s="1107"/>
      <c r="BY127" s="1107"/>
      <c r="BZ127" s="1107"/>
      <c r="CA127" s="1107"/>
      <c r="CB127" s="1107"/>
      <c r="CC127" s="1107"/>
      <c r="CD127" s="1107"/>
      <c r="CE127" s="1107"/>
      <c r="CF127" s="1107"/>
      <c r="CG127" s="1107"/>
      <c r="CH127" s="1107"/>
      <c r="CI127" s="1107"/>
      <c r="CJ127" s="1107"/>
      <c r="CK127" s="1107"/>
    </row>
    <row r="128" spans="1:89" ht="15.75" customHeight="1" thickBot="1" x14ac:dyDescent="0.3">
      <c r="A128" s="1107"/>
      <c r="B128" s="2010"/>
      <c r="C128" s="1145" t="s">
        <v>1861</v>
      </c>
      <c r="D128" s="1145" t="s">
        <v>1866</v>
      </c>
      <c r="E128" s="1146" t="s">
        <v>1867</v>
      </c>
      <c r="F128" s="1107"/>
      <c r="G128" s="1107"/>
      <c r="H128" s="1107"/>
      <c r="I128" s="1107"/>
      <c r="J128" s="1107"/>
      <c r="K128" s="1107"/>
      <c r="L128" s="1107"/>
      <c r="M128" s="1107"/>
      <c r="N128" s="1107"/>
      <c r="O128" s="1107"/>
      <c r="P128" s="1107"/>
      <c r="Q128" s="1108"/>
      <c r="R128" s="1107"/>
      <c r="S128" s="1107"/>
      <c r="T128" s="2010"/>
      <c r="U128" s="1145" t="s">
        <v>1861</v>
      </c>
      <c r="V128" s="1145" t="s">
        <v>1866</v>
      </c>
      <c r="W128" s="1146" t="s">
        <v>1867</v>
      </c>
      <c r="X128" s="1107"/>
      <c r="Y128" s="1107"/>
      <c r="Z128" s="1107"/>
      <c r="AA128" s="1107"/>
      <c r="AB128" s="1107"/>
      <c r="AC128" s="1107"/>
      <c r="AD128" s="1107"/>
      <c r="AE128" s="1107"/>
      <c r="AF128" s="1107"/>
      <c r="AG128" s="1107"/>
      <c r="AH128" s="1107"/>
      <c r="AI128" s="1108"/>
      <c r="AJ128" s="1107"/>
      <c r="AK128" s="1107"/>
      <c r="AL128" s="1107"/>
      <c r="AM128" s="1107"/>
      <c r="AN128" s="1107"/>
      <c r="AO128" s="1107"/>
      <c r="AP128" s="1107"/>
      <c r="AQ128" s="1107"/>
      <c r="AR128" s="1107"/>
      <c r="AS128" s="1107"/>
      <c r="AT128" s="1107"/>
      <c r="AU128" s="1107"/>
      <c r="AV128" s="1107"/>
      <c r="AW128" s="1107"/>
      <c r="AX128" s="1107"/>
      <c r="AY128" s="1107"/>
      <c r="AZ128" s="1107"/>
      <c r="BA128" s="1107"/>
      <c r="BB128" s="1107"/>
      <c r="BC128" s="1107"/>
      <c r="BD128" s="1107"/>
      <c r="BE128" s="1107"/>
      <c r="BF128" s="1107"/>
      <c r="BG128" s="1107"/>
      <c r="BH128" s="1107"/>
      <c r="BI128" s="1107"/>
      <c r="BJ128" s="1107"/>
      <c r="BK128" s="1107"/>
      <c r="BL128" s="1107"/>
      <c r="BM128" s="1107"/>
      <c r="BN128" s="1107"/>
      <c r="BO128" s="1107"/>
      <c r="BP128" s="1107"/>
      <c r="BQ128" s="1107"/>
      <c r="BR128" s="1107"/>
      <c r="BS128" s="1107"/>
      <c r="BT128" s="1107"/>
      <c r="BU128" s="1107"/>
      <c r="BV128" s="1107"/>
      <c r="BW128" s="1107"/>
      <c r="BX128" s="1107"/>
      <c r="BY128" s="1107"/>
      <c r="BZ128" s="1107"/>
      <c r="CA128" s="1107"/>
      <c r="CB128" s="1107"/>
      <c r="CC128" s="1107"/>
      <c r="CD128" s="1107"/>
      <c r="CE128" s="1107"/>
      <c r="CF128" s="1107"/>
      <c r="CG128" s="1107"/>
      <c r="CH128" s="1107"/>
      <c r="CI128" s="1107"/>
      <c r="CJ128" s="1107"/>
      <c r="CK128" s="1107"/>
    </row>
    <row r="129" spans="1:89" ht="15.75" customHeight="1" thickBot="1" x14ac:dyDescent="0.3">
      <c r="A129" s="1107"/>
      <c r="B129" s="2006" t="s">
        <v>1868</v>
      </c>
      <c r="C129" s="1147" t="s">
        <v>1869</v>
      </c>
      <c r="D129" s="1148" t="s">
        <v>1859</v>
      </c>
      <c r="E129" s="1148" t="s">
        <v>131</v>
      </c>
      <c r="F129" s="1148" t="s">
        <v>1860</v>
      </c>
      <c r="G129" s="1148" t="s">
        <v>1870</v>
      </c>
      <c r="H129" s="1149" t="s">
        <v>1871</v>
      </c>
      <c r="I129" s="1150" t="s">
        <v>766</v>
      </c>
      <c r="J129" s="1150" t="s">
        <v>767</v>
      </c>
      <c r="K129" s="1150" t="s">
        <v>768</v>
      </c>
      <c r="L129" s="1150" t="s">
        <v>769</v>
      </c>
      <c r="M129" s="1150" t="s">
        <v>204</v>
      </c>
      <c r="N129" s="1107"/>
      <c r="O129" s="1107"/>
      <c r="P129" s="1107"/>
      <c r="Q129" s="1108"/>
      <c r="R129" s="1107"/>
      <c r="S129" s="1107"/>
      <c r="T129" s="2006" t="s">
        <v>1868</v>
      </c>
      <c r="U129" s="1147" t="s">
        <v>1869</v>
      </c>
      <c r="V129" s="1148" t="s">
        <v>1859</v>
      </c>
      <c r="W129" s="1148" t="s">
        <v>131</v>
      </c>
      <c r="X129" s="1148" t="s">
        <v>1860</v>
      </c>
      <c r="Y129" s="1148" t="s">
        <v>1870</v>
      </c>
      <c r="Z129" s="1149" t="s">
        <v>1871</v>
      </c>
      <c r="AA129" s="1150" t="s">
        <v>766</v>
      </c>
      <c r="AB129" s="1150" t="s">
        <v>767</v>
      </c>
      <c r="AC129" s="1150" t="s">
        <v>768</v>
      </c>
      <c r="AD129" s="1150" t="s">
        <v>769</v>
      </c>
      <c r="AE129" s="1150" t="s">
        <v>204</v>
      </c>
      <c r="AF129" s="1107"/>
      <c r="AG129" s="1107"/>
      <c r="AH129" s="1107"/>
      <c r="AI129" s="1108"/>
      <c r="AJ129" s="1107"/>
      <c r="AK129" s="1107"/>
      <c r="AL129" s="1107"/>
      <c r="AM129" s="1107"/>
      <c r="AN129" s="1107"/>
      <c r="AO129" s="1107"/>
      <c r="AP129" s="1107"/>
      <c r="AQ129" s="1107"/>
      <c r="AR129" s="1107"/>
      <c r="AS129" s="1107"/>
      <c r="AT129" s="1107"/>
      <c r="AU129" s="1107"/>
      <c r="AV129" s="1107"/>
      <c r="AW129" s="1107"/>
      <c r="AX129" s="1107"/>
      <c r="AY129" s="1107"/>
      <c r="AZ129" s="1107"/>
      <c r="BA129" s="1107"/>
      <c r="BB129" s="1107"/>
      <c r="BC129" s="1107"/>
      <c r="BD129" s="1107"/>
      <c r="BE129" s="1107"/>
      <c r="BF129" s="1107"/>
      <c r="BG129" s="1107"/>
      <c r="BH129" s="1107"/>
      <c r="BI129" s="1107"/>
      <c r="BJ129" s="1107"/>
      <c r="BK129" s="1107"/>
      <c r="BL129" s="1107"/>
      <c r="BM129" s="1107"/>
      <c r="BN129" s="1107"/>
      <c r="BO129" s="1107"/>
      <c r="BP129" s="1107"/>
      <c r="BQ129" s="1107"/>
      <c r="BR129" s="1107"/>
      <c r="BS129" s="1107"/>
      <c r="BT129" s="1107"/>
      <c r="BU129" s="1107"/>
      <c r="BV129" s="1107"/>
      <c r="BW129" s="1107"/>
      <c r="BX129" s="1107"/>
      <c r="BY129" s="1107"/>
      <c r="BZ129" s="1107"/>
      <c r="CA129" s="1107"/>
      <c r="CB129" s="1107"/>
      <c r="CC129" s="1107"/>
      <c r="CD129" s="1107"/>
      <c r="CE129" s="1107"/>
      <c r="CF129" s="1107"/>
      <c r="CG129" s="1107"/>
      <c r="CH129" s="1107"/>
      <c r="CI129" s="1107"/>
      <c r="CJ129" s="1107"/>
      <c r="CK129" s="1107"/>
    </row>
    <row r="130" spans="1:89" x14ac:dyDescent="0.25">
      <c r="A130" s="1107"/>
      <c r="B130" s="2008"/>
      <c r="C130" s="1151">
        <v>1</v>
      </c>
      <c r="D130" s="1144" t="s">
        <v>1872</v>
      </c>
      <c r="E130" s="1144" t="s">
        <v>1426</v>
      </c>
      <c r="F130" s="1144" t="str">
        <f>'Required Info to Submit'!E23</f>
        <v/>
      </c>
      <c r="G130" s="1414" t="str">
        <f>IF(F130="","",'Required Info to Submit'!K23)</f>
        <v/>
      </c>
      <c r="H130" s="1415" t="str">
        <f>IF(F130="","",'Required Info to Submit'!L23)</f>
        <v/>
      </c>
      <c r="I130" s="1144" t="str">
        <f>'Required Info to Submit'!F23</f>
        <v/>
      </c>
      <c r="J130" s="1144" t="str">
        <f>'Required Info to Submit'!G23</f>
        <v/>
      </c>
      <c r="K130" s="1144" t="str">
        <f>'Required Info to Submit'!H23</f>
        <v/>
      </c>
      <c r="L130" s="1144" t="str">
        <f>'Required Info to Submit'!I23</f>
        <v/>
      </c>
      <c r="M130" s="1144" t="str">
        <f>'Required Info to Submit'!J23</f>
        <v/>
      </c>
      <c r="N130" s="1107"/>
      <c r="O130" s="1107"/>
      <c r="P130" s="1107"/>
      <c r="Q130" s="1108"/>
      <c r="R130" s="1107"/>
      <c r="S130" s="1107"/>
      <c r="T130" s="2008"/>
      <c r="U130" s="1151">
        <v>1</v>
      </c>
      <c r="V130" s="1144" t="s">
        <v>1872</v>
      </c>
      <c r="W130" s="1144" t="s">
        <v>1426</v>
      </c>
      <c r="X130" s="1153" t="str">
        <f>'Required Info to Submit'!E23</f>
        <v/>
      </c>
      <c r="Y130" s="1417" t="str">
        <f>IF(X130="","",'Required Info to Submit'!K23)</f>
        <v/>
      </c>
      <c r="Z130" s="1418" t="str">
        <f>IF(X130="","",'Required Info to Submit'!L23)</f>
        <v/>
      </c>
      <c r="AA130" s="1153" t="str">
        <f>'Required Info to Submit'!F23</f>
        <v/>
      </c>
      <c r="AB130" s="1153" t="str">
        <f>'Required Info to Submit'!G23</f>
        <v/>
      </c>
      <c r="AC130" s="1153" t="str">
        <f>'Required Info to Submit'!H23</f>
        <v/>
      </c>
      <c r="AD130" s="1153" t="str">
        <f>'Required Info to Submit'!I23</f>
        <v/>
      </c>
      <c r="AE130" s="1153" t="str">
        <f>'Required Info to Submit'!J23</f>
        <v/>
      </c>
      <c r="AF130" s="1107"/>
      <c r="AG130" s="1107"/>
      <c r="AH130" s="1107"/>
      <c r="AI130" s="1108"/>
      <c r="AJ130" s="1107"/>
      <c r="AK130" s="1107"/>
      <c r="AL130" s="1107"/>
      <c r="AM130" s="1107"/>
      <c r="AN130" s="1107"/>
      <c r="AO130" s="1107"/>
      <c r="AP130" s="1107"/>
      <c r="AQ130" s="1107"/>
      <c r="AR130" s="1107"/>
      <c r="AS130" s="1107"/>
      <c r="AT130" s="1107"/>
      <c r="AU130" s="1107"/>
      <c r="AV130" s="1107"/>
      <c r="AW130" s="1107"/>
      <c r="AX130" s="1107"/>
      <c r="AY130" s="1107"/>
      <c r="AZ130" s="1107"/>
      <c r="BA130" s="1107"/>
      <c r="BB130" s="1107"/>
      <c r="BC130" s="1107"/>
      <c r="BD130" s="1107"/>
      <c r="BE130" s="1107"/>
      <c r="BF130" s="1107"/>
      <c r="BG130" s="1107"/>
      <c r="BH130" s="1107"/>
      <c r="BI130" s="1107"/>
      <c r="BJ130" s="1107"/>
      <c r="BK130" s="1107"/>
      <c r="BL130" s="1107"/>
      <c r="BM130" s="1107"/>
      <c r="BN130" s="1107"/>
      <c r="BO130" s="1107"/>
      <c r="BP130" s="1107"/>
      <c r="BQ130" s="1107"/>
      <c r="BR130" s="1107"/>
      <c r="BS130" s="1107"/>
      <c r="BT130" s="1107"/>
      <c r="BU130" s="1107"/>
      <c r="BV130" s="1107"/>
      <c r="BW130" s="1107"/>
      <c r="BX130" s="1107"/>
      <c r="BY130" s="1107"/>
      <c r="BZ130" s="1107"/>
      <c r="CA130" s="1107"/>
      <c r="CB130" s="1107"/>
      <c r="CC130" s="1107"/>
      <c r="CD130" s="1107"/>
      <c r="CE130" s="1107"/>
      <c r="CF130" s="1107"/>
      <c r="CG130" s="1107"/>
      <c r="CH130" s="1107"/>
      <c r="CI130" s="1107"/>
      <c r="CJ130" s="1107"/>
      <c r="CK130" s="1107"/>
    </row>
    <row r="131" spans="1:89" x14ac:dyDescent="0.25">
      <c r="A131" s="1107"/>
      <c r="B131" s="2008"/>
      <c r="C131" s="1154">
        <v>2</v>
      </c>
      <c r="D131" s="1144" t="s">
        <v>1872</v>
      </c>
      <c r="E131" s="1144" t="s">
        <v>1426</v>
      </c>
      <c r="F131" s="1144" t="str">
        <f>'Required Info to Submit'!E24</f>
        <v/>
      </c>
      <c r="G131" s="1414" t="str">
        <f>IF(F131="","",'Required Info to Submit'!K24)</f>
        <v/>
      </c>
      <c r="H131" s="1415" t="str">
        <f>IF(F131="","",'Required Info to Submit'!L24)</f>
        <v/>
      </c>
      <c r="I131" s="1144" t="str">
        <f>'Required Info to Submit'!F24</f>
        <v/>
      </c>
      <c r="J131" s="1144" t="str">
        <f>'Required Info to Submit'!G24</f>
        <v/>
      </c>
      <c r="K131" s="1144" t="str">
        <f>'Required Info to Submit'!H24</f>
        <v/>
      </c>
      <c r="L131" s="1144" t="str">
        <f>'Required Info to Submit'!I24</f>
        <v/>
      </c>
      <c r="M131" s="1144" t="str">
        <f>'Required Info to Submit'!J24</f>
        <v/>
      </c>
      <c r="N131" s="1107"/>
      <c r="O131" s="1107"/>
      <c r="P131" s="1107"/>
      <c r="Q131" s="1108"/>
      <c r="R131" s="1107"/>
      <c r="S131" s="1107"/>
      <c r="T131" s="2008"/>
      <c r="U131" s="1154">
        <v>2</v>
      </c>
      <c r="V131" s="1144" t="s">
        <v>1872</v>
      </c>
      <c r="W131" s="1144" t="s">
        <v>1426</v>
      </c>
      <c r="X131" s="1153" t="str">
        <f>'Required Info to Submit'!E24</f>
        <v/>
      </c>
      <c r="Y131" s="1417" t="str">
        <f>IF(X131="","",'Required Info to Submit'!K24)</f>
        <v/>
      </c>
      <c r="Z131" s="1418" t="str">
        <f>IF(X131="","",'Required Info to Submit'!L24)</f>
        <v/>
      </c>
      <c r="AA131" s="1153" t="str">
        <f>'Required Info to Submit'!F24</f>
        <v/>
      </c>
      <c r="AB131" s="1153" t="str">
        <f>'Required Info to Submit'!G24</f>
        <v/>
      </c>
      <c r="AC131" s="1153" t="str">
        <f>'Required Info to Submit'!H24</f>
        <v/>
      </c>
      <c r="AD131" s="1153" t="str">
        <f>'Required Info to Submit'!I24</f>
        <v/>
      </c>
      <c r="AE131" s="1153" t="str">
        <f>'Required Info to Submit'!J24</f>
        <v/>
      </c>
      <c r="AF131" s="1107"/>
      <c r="AG131" s="1107"/>
      <c r="AH131" s="1107"/>
      <c r="AI131" s="1108"/>
      <c r="AJ131" s="1107"/>
      <c r="AK131" s="1107"/>
      <c r="AL131" s="1107"/>
      <c r="AM131" s="1107"/>
      <c r="AN131" s="1107"/>
      <c r="AO131" s="1107"/>
      <c r="AP131" s="1107"/>
      <c r="AQ131" s="1107"/>
      <c r="AR131" s="1107"/>
      <c r="AS131" s="1107"/>
      <c r="AT131" s="1107"/>
      <c r="AU131" s="1107"/>
      <c r="AV131" s="1107"/>
      <c r="AW131" s="1107"/>
      <c r="AX131" s="1107"/>
      <c r="AY131" s="1107"/>
      <c r="AZ131" s="1107"/>
      <c r="BA131" s="1107"/>
      <c r="BB131" s="1107"/>
      <c r="BC131" s="1107"/>
      <c r="BD131" s="1107"/>
      <c r="BE131" s="1107"/>
      <c r="BF131" s="1107"/>
      <c r="BG131" s="1107"/>
      <c r="BH131" s="1107"/>
      <c r="BI131" s="1107"/>
      <c r="BJ131" s="1107"/>
      <c r="BK131" s="1107"/>
      <c r="BL131" s="1107"/>
      <c r="BM131" s="1107"/>
      <c r="BN131" s="1107"/>
      <c r="BO131" s="1107"/>
      <c r="BP131" s="1107"/>
      <c r="BQ131" s="1107"/>
      <c r="BR131" s="1107"/>
      <c r="BS131" s="1107"/>
      <c r="BT131" s="1107"/>
      <c r="BU131" s="1107"/>
      <c r="BV131" s="1107"/>
      <c r="BW131" s="1107"/>
      <c r="BX131" s="1107"/>
      <c r="BY131" s="1107"/>
      <c r="BZ131" s="1107"/>
      <c r="CA131" s="1107"/>
      <c r="CB131" s="1107"/>
      <c r="CC131" s="1107"/>
      <c r="CD131" s="1107"/>
      <c r="CE131" s="1107"/>
      <c r="CF131" s="1107"/>
      <c r="CG131" s="1107"/>
      <c r="CH131" s="1107"/>
      <c r="CI131" s="1107"/>
      <c r="CJ131" s="1107"/>
      <c r="CK131" s="1107"/>
    </row>
    <row r="132" spans="1:89" x14ac:dyDescent="0.25">
      <c r="A132" s="1107"/>
      <c r="B132" s="2008"/>
      <c r="C132" s="1154">
        <v>3</v>
      </c>
      <c r="D132" s="1144" t="s">
        <v>1872</v>
      </c>
      <c r="E132" s="1144" t="s">
        <v>1426</v>
      </c>
      <c r="F132" s="1144" t="str">
        <f>'Required Info to Submit'!E25</f>
        <v/>
      </c>
      <c r="G132" s="1414" t="str">
        <f>IF(F132="","",'Required Info to Submit'!K25)</f>
        <v/>
      </c>
      <c r="H132" s="1415" t="str">
        <f>IF(F132="","",'Required Info to Submit'!L25)</f>
        <v/>
      </c>
      <c r="I132" s="1144" t="str">
        <f>'Required Info to Submit'!F25</f>
        <v/>
      </c>
      <c r="J132" s="1144" t="str">
        <f>'Required Info to Submit'!G25</f>
        <v/>
      </c>
      <c r="K132" s="1144" t="str">
        <f>'Required Info to Submit'!H25</f>
        <v/>
      </c>
      <c r="L132" s="1144" t="str">
        <f>'Required Info to Submit'!I25</f>
        <v/>
      </c>
      <c r="M132" s="1144" t="str">
        <f>'Required Info to Submit'!J25</f>
        <v/>
      </c>
      <c r="N132" s="1107"/>
      <c r="O132" s="1107"/>
      <c r="P132" s="1107"/>
      <c r="Q132" s="1108"/>
      <c r="R132" s="1107"/>
      <c r="S132" s="1107"/>
      <c r="T132" s="2008"/>
      <c r="U132" s="1154">
        <v>3</v>
      </c>
      <c r="V132" s="1144" t="s">
        <v>1872</v>
      </c>
      <c r="W132" s="1144" t="s">
        <v>1426</v>
      </c>
      <c r="X132" s="1153" t="str">
        <f>'Required Info to Submit'!E25</f>
        <v/>
      </c>
      <c r="Y132" s="1417" t="str">
        <f>IF(X132="","",'Required Info to Submit'!K25)</f>
        <v/>
      </c>
      <c r="Z132" s="1418" t="str">
        <f>IF(X132="","",'Required Info to Submit'!L25)</f>
        <v/>
      </c>
      <c r="AA132" s="1153" t="str">
        <f>'Required Info to Submit'!F25</f>
        <v/>
      </c>
      <c r="AB132" s="1153" t="str">
        <f>'Required Info to Submit'!G25</f>
        <v/>
      </c>
      <c r="AC132" s="1153" t="str">
        <f>'Required Info to Submit'!H25</f>
        <v/>
      </c>
      <c r="AD132" s="1153" t="str">
        <f>'Required Info to Submit'!I25</f>
        <v/>
      </c>
      <c r="AE132" s="1153" t="str">
        <f>'Required Info to Submit'!J25</f>
        <v/>
      </c>
      <c r="AF132" s="1107"/>
      <c r="AG132" s="1107"/>
      <c r="AH132" s="1107"/>
      <c r="AI132" s="1108"/>
      <c r="AJ132" s="1107"/>
      <c r="AK132" s="1107"/>
      <c r="AL132" s="1107"/>
      <c r="AM132" s="1107"/>
      <c r="AN132" s="1107"/>
      <c r="AO132" s="1107"/>
      <c r="AP132" s="1107"/>
      <c r="AQ132" s="1107"/>
      <c r="AR132" s="1107"/>
      <c r="AS132" s="1107"/>
      <c r="AT132" s="1107"/>
      <c r="AU132" s="1107"/>
      <c r="AV132" s="1107"/>
      <c r="AW132" s="1107"/>
      <c r="AX132" s="1107"/>
      <c r="AY132" s="1107"/>
      <c r="AZ132" s="1107"/>
      <c r="BA132" s="1107"/>
      <c r="BB132" s="1107"/>
      <c r="BC132" s="1107"/>
      <c r="BD132" s="1107"/>
      <c r="BE132" s="1107"/>
      <c r="BF132" s="1107"/>
      <c r="BG132" s="1107"/>
      <c r="BH132" s="1107"/>
      <c r="BI132" s="1107"/>
      <c r="BJ132" s="1107"/>
      <c r="BK132" s="1107"/>
      <c r="BL132" s="1107"/>
      <c r="BM132" s="1107"/>
      <c r="BN132" s="1107"/>
      <c r="BO132" s="1107"/>
      <c r="BP132" s="1107"/>
      <c r="BQ132" s="1107"/>
      <c r="BR132" s="1107"/>
      <c r="BS132" s="1107"/>
      <c r="BT132" s="1107"/>
      <c r="BU132" s="1107"/>
      <c r="BV132" s="1107"/>
      <c r="BW132" s="1107"/>
      <c r="BX132" s="1107"/>
      <c r="BY132" s="1107"/>
      <c r="BZ132" s="1107"/>
      <c r="CA132" s="1107"/>
      <c r="CB132" s="1107"/>
      <c r="CC132" s="1107"/>
      <c r="CD132" s="1107"/>
      <c r="CE132" s="1107"/>
      <c r="CF132" s="1107"/>
      <c r="CG132" s="1107"/>
      <c r="CH132" s="1107"/>
      <c r="CI132" s="1107"/>
      <c r="CJ132" s="1107"/>
      <c r="CK132" s="1107"/>
    </row>
    <row r="133" spans="1:89" x14ac:dyDescent="0.25">
      <c r="A133" s="1107"/>
      <c r="B133" s="2008"/>
      <c r="C133" s="1154">
        <v>4</v>
      </c>
      <c r="D133" s="1144" t="s">
        <v>1872</v>
      </c>
      <c r="E133" s="1144" t="s">
        <v>1426</v>
      </c>
      <c r="F133" s="1144" t="str">
        <f>'Required Info to Submit'!E26</f>
        <v/>
      </c>
      <c r="G133" s="1414" t="str">
        <f>IF(F133="","",'Required Info to Submit'!K26)</f>
        <v/>
      </c>
      <c r="H133" s="1415" t="str">
        <f>IF(F133="","",'Required Info to Submit'!L26)</f>
        <v/>
      </c>
      <c r="I133" s="1144" t="str">
        <f>'Required Info to Submit'!F26</f>
        <v/>
      </c>
      <c r="J133" s="1144" t="str">
        <f>'Required Info to Submit'!G26</f>
        <v/>
      </c>
      <c r="K133" s="1144" t="str">
        <f>'Required Info to Submit'!H26</f>
        <v/>
      </c>
      <c r="L133" s="1144" t="str">
        <f>'Required Info to Submit'!I26</f>
        <v/>
      </c>
      <c r="M133" s="1144" t="str">
        <f>'Required Info to Submit'!J26</f>
        <v/>
      </c>
      <c r="N133" s="1107"/>
      <c r="O133" s="1107"/>
      <c r="P133" s="1107"/>
      <c r="Q133" s="1108"/>
      <c r="R133" s="1107"/>
      <c r="S133" s="1107"/>
      <c r="T133" s="2008"/>
      <c r="U133" s="1154">
        <v>4</v>
      </c>
      <c r="V133" s="1144" t="s">
        <v>1872</v>
      </c>
      <c r="W133" s="1144" t="s">
        <v>1426</v>
      </c>
      <c r="X133" s="1153" t="str">
        <f>'Required Info to Submit'!E26</f>
        <v/>
      </c>
      <c r="Y133" s="1417" t="str">
        <f>IF(X133="","",'Required Info to Submit'!K26)</f>
        <v/>
      </c>
      <c r="Z133" s="1418" t="str">
        <f>IF(X133="","",'Required Info to Submit'!L26)</f>
        <v/>
      </c>
      <c r="AA133" s="1153" t="str">
        <f>'Required Info to Submit'!F26</f>
        <v/>
      </c>
      <c r="AB133" s="1153" t="str">
        <f>'Required Info to Submit'!G26</f>
        <v/>
      </c>
      <c r="AC133" s="1153" t="str">
        <f>'Required Info to Submit'!H26</f>
        <v/>
      </c>
      <c r="AD133" s="1153" t="str">
        <f>'Required Info to Submit'!I26</f>
        <v/>
      </c>
      <c r="AE133" s="1153" t="str">
        <f>'Required Info to Submit'!J26</f>
        <v/>
      </c>
      <c r="AF133" s="1107"/>
      <c r="AG133" s="1107"/>
      <c r="AH133" s="1107"/>
      <c r="AI133" s="1108"/>
      <c r="AJ133" s="1107"/>
      <c r="AK133" s="1107"/>
      <c r="AL133" s="1107"/>
      <c r="AM133" s="1107"/>
      <c r="AN133" s="1107"/>
      <c r="AO133" s="1107"/>
      <c r="AP133" s="1107"/>
      <c r="AQ133" s="1107"/>
      <c r="AR133" s="1107"/>
      <c r="AS133" s="1107"/>
      <c r="AT133" s="1107"/>
      <c r="AU133" s="1107"/>
      <c r="AV133" s="1107"/>
      <c r="AW133" s="1107"/>
      <c r="AX133" s="1107"/>
      <c r="AY133" s="1107"/>
      <c r="AZ133" s="1107"/>
      <c r="BA133" s="1107"/>
      <c r="BB133" s="1107"/>
      <c r="BC133" s="1107"/>
      <c r="BD133" s="1107"/>
      <c r="BE133" s="1107"/>
      <c r="BF133" s="1107"/>
      <c r="BG133" s="1107"/>
      <c r="BH133" s="1107"/>
      <c r="BI133" s="1107"/>
      <c r="BJ133" s="1107"/>
      <c r="BK133" s="1107"/>
      <c r="BL133" s="1107"/>
      <c r="BM133" s="1107"/>
      <c r="BN133" s="1107"/>
      <c r="BO133" s="1107"/>
      <c r="BP133" s="1107"/>
      <c r="BQ133" s="1107"/>
      <c r="BR133" s="1107"/>
      <c r="BS133" s="1107"/>
      <c r="BT133" s="1107"/>
      <c r="BU133" s="1107"/>
      <c r="BV133" s="1107"/>
      <c r="BW133" s="1107"/>
      <c r="BX133" s="1107"/>
      <c r="BY133" s="1107"/>
      <c r="BZ133" s="1107"/>
      <c r="CA133" s="1107"/>
      <c r="CB133" s="1107"/>
      <c r="CC133" s="1107"/>
      <c r="CD133" s="1107"/>
      <c r="CE133" s="1107"/>
      <c r="CF133" s="1107"/>
      <c r="CG133" s="1107"/>
      <c r="CH133" s="1107"/>
      <c r="CI133" s="1107"/>
      <c r="CJ133" s="1107"/>
      <c r="CK133" s="1107"/>
    </row>
    <row r="134" spans="1:89" x14ac:dyDescent="0.25">
      <c r="A134" s="1107"/>
      <c r="B134" s="2008"/>
      <c r="C134" s="1154">
        <v>5</v>
      </c>
      <c r="D134" s="1144" t="s">
        <v>1872</v>
      </c>
      <c r="E134" s="1144" t="s">
        <v>1426</v>
      </c>
      <c r="F134" s="1144" t="str">
        <f>'Required Info to Submit'!E27</f>
        <v/>
      </c>
      <c r="G134" s="1414" t="str">
        <f>IF(F134="","",'Required Info to Submit'!K27)</f>
        <v/>
      </c>
      <c r="H134" s="1415" t="str">
        <f>IF(F134="","",'Required Info to Submit'!L27)</f>
        <v/>
      </c>
      <c r="I134" s="1144" t="str">
        <f>'Required Info to Submit'!F27</f>
        <v/>
      </c>
      <c r="J134" s="1144" t="str">
        <f>'Required Info to Submit'!G27</f>
        <v/>
      </c>
      <c r="K134" s="1144" t="str">
        <f>'Required Info to Submit'!H27</f>
        <v/>
      </c>
      <c r="L134" s="1144" t="str">
        <f>'Required Info to Submit'!I27</f>
        <v/>
      </c>
      <c r="M134" s="1144" t="str">
        <f>'Required Info to Submit'!J27</f>
        <v/>
      </c>
      <c r="N134" s="1107"/>
      <c r="O134" s="1107"/>
      <c r="P134" s="1107"/>
      <c r="Q134" s="1108"/>
      <c r="R134" s="1107"/>
      <c r="S134" s="1107"/>
      <c r="T134" s="2008"/>
      <c r="U134" s="1154">
        <v>5</v>
      </c>
      <c r="V134" s="1144" t="s">
        <v>1872</v>
      </c>
      <c r="W134" s="1144" t="s">
        <v>1426</v>
      </c>
      <c r="X134" s="1153" t="str">
        <f>'Required Info to Submit'!E27</f>
        <v/>
      </c>
      <c r="Y134" s="1417" t="str">
        <f>IF(X134="","",'Required Info to Submit'!K27)</f>
        <v/>
      </c>
      <c r="Z134" s="1418" t="str">
        <f>IF(X134="","",'Required Info to Submit'!L27)</f>
        <v/>
      </c>
      <c r="AA134" s="1153" t="str">
        <f>'Required Info to Submit'!F27</f>
        <v/>
      </c>
      <c r="AB134" s="1153" t="str">
        <f>'Required Info to Submit'!G27</f>
        <v/>
      </c>
      <c r="AC134" s="1153" t="str">
        <f>'Required Info to Submit'!H27</f>
        <v/>
      </c>
      <c r="AD134" s="1153" t="str">
        <f>'Required Info to Submit'!I27</f>
        <v/>
      </c>
      <c r="AE134" s="1153" t="str">
        <f>'Required Info to Submit'!J27</f>
        <v/>
      </c>
      <c r="AF134" s="1107"/>
      <c r="AG134" s="1107"/>
      <c r="AH134" s="1107"/>
      <c r="AI134" s="1108"/>
      <c r="AJ134" s="1107"/>
      <c r="AK134" s="1107"/>
      <c r="AL134" s="1107"/>
      <c r="AM134" s="1107"/>
      <c r="AN134" s="1107"/>
      <c r="AO134" s="1107"/>
      <c r="AP134" s="1107"/>
      <c r="AQ134" s="1107"/>
      <c r="AR134" s="1107"/>
      <c r="AS134" s="1107"/>
      <c r="AT134" s="1107"/>
      <c r="AU134" s="1107"/>
      <c r="AV134" s="1107"/>
      <c r="AW134" s="1107"/>
      <c r="AX134" s="1107"/>
      <c r="AY134" s="1107"/>
      <c r="AZ134" s="1107"/>
      <c r="BA134" s="1107"/>
      <c r="BB134" s="1107"/>
      <c r="BC134" s="1107"/>
      <c r="BD134" s="1107"/>
      <c r="BE134" s="1107"/>
      <c r="BF134" s="1107"/>
      <c r="BG134" s="1107"/>
      <c r="BH134" s="1107"/>
      <c r="BI134" s="1107"/>
      <c r="BJ134" s="1107"/>
      <c r="BK134" s="1107"/>
      <c r="BL134" s="1107"/>
      <c r="BM134" s="1107"/>
      <c r="BN134" s="1107"/>
      <c r="BO134" s="1107"/>
      <c r="BP134" s="1107"/>
      <c r="BQ134" s="1107"/>
      <c r="BR134" s="1107"/>
      <c r="BS134" s="1107"/>
      <c r="BT134" s="1107"/>
      <c r="BU134" s="1107"/>
      <c r="BV134" s="1107"/>
      <c r="BW134" s="1107"/>
      <c r="BX134" s="1107"/>
      <c r="BY134" s="1107"/>
      <c r="BZ134" s="1107"/>
      <c r="CA134" s="1107"/>
      <c r="CB134" s="1107"/>
      <c r="CC134" s="1107"/>
      <c r="CD134" s="1107"/>
      <c r="CE134" s="1107"/>
      <c r="CF134" s="1107"/>
      <c r="CG134" s="1107"/>
      <c r="CH134" s="1107"/>
      <c r="CI134" s="1107"/>
      <c r="CJ134" s="1107"/>
      <c r="CK134" s="1107"/>
    </row>
    <row r="135" spans="1:89" x14ac:dyDescent="0.25">
      <c r="A135" s="1107"/>
      <c r="B135" s="2008"/>
      <c r="C135" s="1154">
        <v>6</v>
      </c>
      <c r="D135" s="1144" t="s">
        <v>1872</v>
      </c>
      <c r="E135" s="1144" t="s">
        <v>1426</v>
      </c>
      <c r="F135" s="1144" t="str">
        <f>'Required Info to Submit'!E28</f>
        <v/>
      </c>
      <c r="G135" s="1414" t="str">
        <f>IF(F135="","",'Required Info to Submit'!K28)</f>
        <v/>
      </c>
      <c r="H135" s="1415" t="str">
        <f>IF(F135="","",'Required Info to Submit'!L28)</f>
        <v/>
      </c>
      <c r="I135" s="1144" t="str">
        <f>'Required Info to Submit'!F28</f>
        <v/>
      </c>
      <c r="J135" s="1144" t="str">
        <f>'Required Info to Submit'!G28</f>
        <v/>
      </c>
      <c r="K135" s="1144" t="str">
        <f>'Required Info to Submit'!H28</f>
        <v/>
      </c>
      <c r="L135" s="1144" t="str">
        <f>'Required Info to Submit'!I28</f>
        <v/>
      </c>
      <c r="M135" s="1144" t="str">
        <f>'Required Info to Submit'!J28</f>
        <v/>
      </c>
      <c r="N135" s="1107"/>
      <c r="O135" s="1107"/>
      <c r="P135" s="1107"/>
      <c r="Q135" s="1108"/>
      <c r="R135" s="1107"/>
      <c r="S135" s="1107"/>
      <c r="T135" s="2008"/>
      <c r="U135" s="1154">
        <v>6</v>
      </c>
      <c r="V135" s="1144" t="s">
        <v>1872</v>
      </c>
      <c r="W135" s="1144" t="s">
        <v>1426</v>
      </c>
      <c r="X135" s="1153" t="str">
        <f>'Required Info to Submit'!E28</f>
        <v/>
      </c>
      <c r="Y135" s="1417" t="str">
        <f>IF(X135="","",'Required Info to Submit'!K28)</f>
        <v/>
      </c>
      <c r="Z135" s="1418" t="str">
        <f>IF(X135="","",'Required Info to Submit'!L28)</f>
        <v/>
      </c>
      <c r="AA135" s="1153" t="str">
        <f>'Required Info to Submit'!F28</f>
        <v/>
      </c>
      <c r="AB135" s="1153" t="str">
        <f>'Required Info to Submit'!G28</f>
        <v/>
      </c>
      <c r="AC135" s="1153" t="str">
        <f>'Required Info to Submit'!H28</f>
        <v/>
      </c>
      <c r="AD135" s="1153" t="str">
        <f>'Required Info to Submit'!I28</f>
        <v/>
      </c>
      <c r="AE135" s="1153" t="str">
        <f>'Required Info to Submit'!J28</f>
        <v/>
      </c>
      <c r="AF135" s="1107"/>
      <c r="AG135" s="1107"/>
      <c r="AH135" s="1107"/>
      <c r="AI135" s="1108"/>
      <c r="AJ135" s="1107"/>
      <c r="AK135" s="1107"/>
      <c r="AL135" s="1107"/>
      <c r="AM135" s="1107"/>
      <c r="AN135" s="1107"/>
      <c r="AO135" s="1107"/>
      <c r="AP135" s="1107"/>
      <c r="AQ135" s="1107"/>
      <c r="AR135" s="1107"/>
      <c r="AS135" s="1107"/>
      <c r="AT135" s="1107"/>
      <c r="AU135" s="1107"/>
      <c r="AV135" s="1107"/>
      <c r="AW135" s="1107"/>
      <c r="AX135" s="1107"/>
      <c r="AY135" s="1107"/>
      <c r="AZ135" s="1107"/>
      <c r="BA135" s="1107"/>
      <c r="BB135" s="1107"/>
      <c r="BC135" s="1107"/>
      <c r="BD135" s="1107"/>
      <c r="BE135" s="1107"/>
      <c r="BF135" s="1107"/>
      <c r="BG135" s="1107"/>
      <c r="BH135" s="1107"/>
      <c r="BI135" s="1107"/>
      <c r="BJ135" s="1107"/>
      <c r="BK135" s="1107"/>
      <c r="BL135" s="1107"/>
      <c r="BM135" s="1107"/>
      <c r="BN135" s="1107"/>
      <c r="BO135" s="1107"/>
      <c r="BP135" s="1107"/>
      <c r="BQ135" s="1107"/>
      <c r="BR135" s="1107"/>
      <c r="BS135" s="1107"/>
      <c r="BT135" s="1107"/>
      <c r="BU135" s="1107"/>
      <c r="BV135" s="1107"/>
      <c r="BW135" s="1107"/>
      <c r="BX135" s="1107"/>
      <c r="BY135" s="1107"/>
      <c r="BZ135" s="1107"/>
      <c r="CA135" s="1107"/>
      <c r="CB135" s="1107"/>
      <c r="CC135" s="1107"/>
      <c r="CD135" s="1107"/>
      <c r="CE135" s="1107"/>
      <c r="CF135" s="1107"/>
      <c r="CG135" s="1107"/>
      <c r="CH135" s="1107"/>
      <c r="CI135" s="1107"/>
      <c r="CJ135" s="1107"/>
      <c r="CK135" s="1107"/>
    </row>
    <row r="136" spans="1:89" x14ac:dyDescent="0.25">
      <c r="A136" s="1107"/>
      <c r="B136" s="2008"/>
      <c r="C136" s="1154">
        <v>7</v>
      </c>
      <c r="D136" s="1144" t="s">
        <v>1872</v>
      </c>
      <c r="E136" s="1144" t="s">
        <v>1426</v>
      </c>
      <c r="F136" s="1144" t="str">
        <f>'Required Info to Submit'!E29</f>
        <v/>
      </c>
      <c r="G136" s="1414" t="str">
        <f>IF(F136="","",'Required Info to Submit'!K29)</f>
        <v/>
      </c>
      <c r="H136" s="1415" t="str">
        <f>IF(F136="","",'Required Info to Submit'!L29)</f>
        <v/>
      </c>
      <c r="I136" s="1144" t="str">
        <f>'Required Info to Submit'!F29</f>
        <v/>
      </c>
      <c r="J136" s="1144" t="str">
        <f>'Required Info to Submit'!G29</f>
        <v/>
      </c>
      <c r="K136" s="1144" t="str">
        <f>'Required Info to Submit'!H29</f>
        <v/>
      </c>
      <c r="L136" s="1144" t="str">
        <f>'Required Info to Submit'!I29</f>
        <v/>
      </c>
      <c r="M136" s="1144" t="str">
        <f>'Required Info to Submit'!J29</f>
        <v/>
      </c>
      <c r="N136" s="1107"/>
      <c r="O136" s="1107"/>
      <c r="P136" s="1107"/>
      <c r="Q136" s="1108"/>
      <c r="R136" s="1107"/>
      <c r="S136" s="1107"/>
      <c r="T136" s="2008"/>
      <c r="U136" s="1154">
        <v>7</v>
      </c>
      <c r="V136" s="1144" t="s">
        <v>1872</v>
      </c>
      <c r="W136" s="1144" t="s">
        <v>1426</v>
      </c>
      <c r="X136" s="1153" t="str">
        <f>'Required Info to Submit'!E29</f>
        <v/>
      </c>
      <c r="Y136" s="1417" t="str">
        <f>IF(X136="","",'Required Info to Submit'!K29)</f>
        <v/>
      </c>
      <c r="Z136" s="1418" t="str">
        <f>IF(X136="","",'Required Info to Submit'!L29)</f>
        <v/>
      </c>
      <c r="AA136" s="1153" t="str">
        <f>'Required Info to Submit'!F29</f>
        <v/>
      </c>
      <c r="AB136" s="1153" t="str">
        <f>'Required Info to Submit'!G29</f>
        <v/>
      </c>
      <c r="AC136" s="1153" t="str">
        <f>'Required Info to Submit'!H29</f>
        <v/>
      </c>
      <c r="AD136" s="1153" t="str">
        <f>'Required Info to Submit'!I29</f>
        <v/>
      </c>
      <c r="AE136" s="1153" t="str">
        <f>'Required Info to Submit'!J29</f>
        <v/>
      </c>
      <c r="AF136" s="1107"/>
      <c r="AG136" s="1107"/>
      <c r="AH136" s="1107"/>
      <c r="AI136" s="1108"/>
      <c r="AJ136" s="1107"/>
      <c r="AK136" s="1107"/>
      <c r="AL136" s="1107"/>
      <c r="AM136" s="1107"/>
      <c r="AN136" s="1107"/>
      <c r="AO136" s="1107"/>
      <c r="AP136" s="1107"/>
      <c r="AQ136" s="1107"/>
      <c r="AR136" s="1107"/>
      <c r="AS136" s="1107"/>
      <c r="AT136" s="1107"/>
      <c r="AU136" s="1107"/>
      <c r="AV136" s="1107"/>
      <c r="AW136" s="1107"/>
      <c r="AX136" s="1107"/>
      <c r="AY136" s="1107"/>
      <c r="AZ136" s="1107"/>
      <c r="BA136" s="1107"/>
      <c r="BB136" s="1107"/>
      <c r="BC136" s="1107"/>
      <c r="BD136" s="1107"/>
      <c r="BE136" s="1107"/>
      <c r="BF136" s="1107"/>
      <c r="BG136" s="1107"/>
      <c r="BH136" s="1107"/>
      <c r="BI136" s="1107"/>
      <c r="BJ136" s="1107"/>
      <c r="BK136" s="1107"/>
      <c r="BL136" s="1107"/>
      <c r="BM136" s="1107"/>
      <c r="BN136" s="1107"/>
      <c r="BO136" s="1107"/>
      <c r="BP136" s="1107"/>
      <c r="BQ136" s="1107"/>
      <c r="BR136" s="1107"/>
      <c r="BS136" s="1107"/>
      <c r="BT136" s="1107"/>
      <c r="BU136" s="1107"/>
      <c r="BV136" s="1107"/>
      <c r="BW136" s="1107"/>
      <c r="BX136" s="1107"/>
      <c r="BY136" s="1107"/>
      <c r="BZ136" s="1107"/>
      <c r="CA136" s="1107"/>
      <c r="CB136" s="1107"/>
      <c r="CC136" s="1107"/>
      <c r="CD136" s="1107"/>
      <c r="CE136" s="1107"/>
      <c r="CF136" s="1107"/>
      <c r="CG136" s="1107"/>
      <c r="CH136" s="1107"/>
      <c r="CI136" s="1107"/>
      <c r="CJ136" s="1107"/>
      <c r="CK136" s="1107"/>
    </row>
    <row r="137" spans="1:89" x14ac:dyDescent="0.25">
      <c r="A137" s="1107"/>
      <c r="B137" s="2008"/>
      <c r="C137" s="1154">
        <v>8</v>
      </c>
      <c r="D137" s="1144" t="s">
        <v>1872</v>
      </c>
      <c r="E137" s="1144" t="s">
        <v>1426</v>
      </c>
      <c r="F137" s="1144" t="str">
        <f>'Required Info to Submit'!E30</f>
        <v/>
      </c>
      <c r="G137" s="1414" t="str">
        <f>IF(F137="","",'Required Info to Submit'!K30)</f>
        <v/>
      </c>
      <c r="H137" s="1415" t="str">
        <f>IF(F137="","",'Required Info to Submit'!L30)</f>
        <v/>
      </c>
      <c r="I137" s="1144" t="str">
        <f>'Required Info to Submit'!F30</f>
        <v/>
      </c>
      <c r="J137" s="1144" t="str">
        <f>'Required Info to Submit'!G30</f>
        <v/>
      </c>
      <c r="K137" s="1144" t="str">
        <f>'Required Info to Submit'!H30</f>
        <v/>
      </c>
      <c r="L137" s="1144" t="str">
        <f>'Required Info to Submit'!I30</f>
        <v/>
      </c>
      <c r="M137" s="1144" t="str">
        <f>'Required Info to Submit'!J30</f>
        <v/>
      </c>
      <c r="N137" s="1107"/>
      <c r="O137" s="1107"/>
      <c r="P137" s="1107"/>
      <c r="Q137" s="1108"/>
      <c r="R137" s="1107"/>
      <c r="S137" s="1107"/>
      <c r="T137" s="2008"/>
      <c r="U137" s="1154">
        <v>8</v>
      </c>
      <c r="V137" s="1144" t="s">
        <v>1872</v>
      </c>
      <c r="W137" s="1144" t="s">
        <v>1426</v>
      </c>
      <c r="X137" s="1153" t="str">
        <f>'Required Info to Submit'!E30</f>
        <v/>
      </c>
      <c r="Y137" s="1417" t="str">
        <f>IF(X137="","",'Required Info to Submit'!K30)</f>
        <v/>
      </c>
      <c r="Z137" s="1418" t="str">
        <f>IF(X137="","",'Required Info to Submit'!L30)</f>
        <v/>
      </c>
      <c r="AA137" s="1153" t="str">
        <f>'Required Info to Submit'!F30</f>
        <v/>
      </c>
      <c r="AB137" s="1153" t="str">
        <f>'Required Info to Submit'!G30</f>
        <v/>
      </c>
      <c r="AC137" s="1153" t="str">
        <f>'Required Info to Submit'!H30</f>
        <v/>
      </c>
      <c r="AD137" s="1153" t="str">
        <f>'Required Info to Submit'!I30</f>
        <v/>
      </c>
      <c r="AE137" s="1153" t="str">
        <f>'Required Info to Submit'!J30</f>
        <v/>
      </c>
      <c r="AF137" s="1107"/>
      <c r="AG137" s="1107"/>
      <c r="AH137" s="1107"/>
      <c r="AI137" s="1108"/>
      <c r="AJ137" s="1107"/>
      <c r="AK137" s="1107"/>
      <c r="AL137" s="1107"/>
      <c r="AM137" s="1107"/>
      <c r="AN137" s="1107"/>
      <c r="AO137" s="1107"/>
      <c r="AP137" s="1107"/>
      <c r="AQ137" s="1107"/>
      <c r="AR137" s="1107"/>
      <c r="AS137" s="1107"/>
      <c r="AT137" s="1107"/>
      <c r="AU137" s="1107"/>
      <c r="AV137" s="1107"/>
      <c r="AW137" s="1107"/>
      <c r="AX137" s="1107"/>
      <c r="AY137" s="1107"/>
      <c r="AZ137" s="1107"/>
      <c r="BA137" s="1107"/>
      <c r="BB137" s="1107"/>
      <c r="BC137" s="1107"/>
      <c r="BD137" s="1107"/>
      <c r="BE137" s="1107"/>
      <c r="BF137" s="1107"/>
      <c r="BG137" s="1107"/>
      <c r="BH137" s="1107"/>
      <c r="BI137" s="1107"/>
      <c r="BJ137" s="1107"/>
      <c r="BK137" s="1107"/>
      <c r="BL137" s="1107"/>
      <c r="BM137" s="1107"/>
      <c r="BN137" s="1107"/>
      <c r="BO137" s="1107"/>
      <c r="BP137" s="1107"/>
      <c r="BQ137" s="1107"/>
      <c r="BR137" s="1107"/>
      <c r="BS137" s="1107"/>
      <c r="BT137" s="1107"/>
      <c r="BU137" s="1107"/>
      <c r="BV137" s="1107"/>
      <c r="BW137" s="1107"/>
      <c r="BX137" s="1107"/>
      <c r="BY137" s="1107"/>
      <c r="BZ137" s="1107"/>
      <c r="CA137" s="1107"/>
      <c r="CB137" s="1107"/>
      <c r="CC137" s="1107"/>
      <c r="CD137" s="1107"/>
      <c r="CE137" s="1107"/>
      <c r="CF137" s="1107"/>
      <c r="CG137" s="1107"/>
      <c r="CH137" s="1107"/>
      <c r="CI137" s="1107"/>
      <c r="CJ137" s="1107"/>
      <c r="CK137" s="1107"/>
    </row>
    <row r="138" spans="1:89" x14ac:dyDescent="0.25">
      <c r="A138" s="1107"/>
      <c r="B138" s="2008"/>
      <c r="C138" s="1154">
        <v>9</v>
      </c>
      <c r="D138" s="1144" t="s">
        <v>1872</v>
      </c>
      <c r="E138" s="1144" t="s">
        <v>1426</v>
      </c>
      <c r="F138" s="1144" t="str">
        <f>'Required Info to Submit'!E31</f>
        <v/>
      </c>
      <c r="G138" s="1414" t="str">
        <f>IF(F138="","",'Required Info to Submit'!K31)</f>
        <v/>
      </c>
      <c r="H138" s="1415" t="str">
        <f>IF(F138="","",'Required Info to Submit'!L31)</f>
        <v/>
      </c>
      <c r="I138" s="1144" t="str">
        <f>'Required Info to Submit'!F31</f>
        <v/>
      </c>
      <c r="J138" s="1144" t="str">
        <f>'Required Info to Submit'!G31</f>
        <v/>
      </c>
      <c r="K138" s="1144" t="str">
        <f>'Required Info to Submit'!H31</f>
        <v/>
      </c>
      <c r="L138" s="1144" t="str">
        <f>'Required Info to Submit'!I31</f>
        <v/>
      </c>
      <c r="M138" s="1144" t="str">
        <f>'Required Info to Submit'!J31</f>
        <v/>
      </c>
      <c r="N138" s="1107"/>
      <c r="O138" s="1107"/>
      <c r="P138" s="1107"/>
      <c r="Q138" s="1108"/>
      <c r="R138" s="1107"/>
      <c r="S138" s="1107"/>
      <c r="T138" s="2008"/>
      <c r="U138" s="1154">
        <v>9</v>
      </c>
      <c r="V138" s="1144" t="s">
        <v>1872</v>
      </c>
      <c r="W138" s="1144" t="s">
        <v>1426</v>
      </c>
      <c r="X138" s="1153" t="str">
        <f>'Required Info to Submit'!E31</f>
        <v/>
      </c>
      <c r="Y138" s="1417" t="str">
        <f>IF(X138="","",'Required Info to Submit'!K31)</f>
        <v/>
      </c>
      <c r="Z138" s="1418" t="str">
        <f>IF(X138="","",'Required Info to Submit'!L31)</f>
        <v/>
      </c>
      <c r="AA138" s="1153" t="str">
        <f>'Required Info to Submit'!F31</f>
        <v/>
      </c>
      <c r="AB138" s="1153" t="str">
        <f>'Required Info to Submit'!G31</f>
        <v/>
      </c>
      <c r="AC138" s="1153" t="str">
        <f>'Required Info to Submit'!H31</f>
        <v/>
      </c>
      <c r="AD138" s="1153" t="str">
        <f>'Required Info to Submit'!I31</f>
        <v/>
      </c>
      <c r="AE138" s="1153" t="str">
        <f>'Required Info to Submit'!J31</f>
        <v/>
      </c>
      <c r="AF138" s="1107"/>
      <c r="AG138" s="1107"/>
      <c r="AH138" s="1107"/>
      <c r="AI138" s="1108"/>
      <c r="AJ138" s="1107"/>
      <c r="AK138" s="1107"/>
      <c r="AL138" s="1107"/>
      <c r="AM138" s="1107"/>
      <c r="AN138" s="1107"/>
      <c r="AO138" s="1107"/>
      <c r="AP138" s="1107"/>
      <c r="AQ138" s="1107"/>
      <c r="AR138" s="1107"/>
      <c r="AS138" s="1107"/>
      <c r="AT138" s="1107"/>
      <c r="AU138" s="1107"/>
      <c r="AV138" s="1107"/>
      <c r="AW138" s="1107"/>
      <c r="AX138" s="1107"/>
      <c r="AY138" s="1107"/>
      <c r="AZ138" s="1107"/>
      <c r="BA138" s="1107"/>
      <c r="BB138" s="1107"/>
      <c r="BC138" s="1107"/>
      <c r="BD138" s="1107"/>
      <c r="BE138" s="1107"/>
      <c r="BF138" s="1107"/>
      <c r="BG138" s="1107"/>
      <c r="BH138" s="1107"/>
      <c r="BI138" s="1107"/>
      <c r="BJ138" s="1107"/>
      <c r="BK138" s="1107"/>
      <c r="BL138" s="1107"/>
      <c r="BM138" s="1107"/>
      <c r="BN138" s="1107"/>
      <c r="BO138" s="1107"/>
      <c r="BP138" s="1107"/>
      <c r="BQ138" s="1107"/>
      <c r="BR138" s="1107"/>
      <c r="BS138" s="1107"/>
      <c r="BT138" s="1107"/>
      <c r="BU138" s="1107"/>
      <c r="BV138" s="1107"/>
      <c r="BW138" s="1107"/>
      <c r="BX138" s="1107"/>
      <c r="BY138" s="1107"/>
      <c r="BZ138" s="1107"/>
      <c r="CA138" s="1107"/>
      <c r="CB138" s="1107"/>
      <c r="CC138" s="1107"/>
      <c r="CD138" s="1107"/>
      <c r="CE138" s="1107"/>
      <c r="CF138" s="1107"/>
      <c r="CG138" s="1107"/>
      <c r="CH138" s="1107"/>
      <c r="CI138" s="1107"/>
      <c r="CJ138" s="1107"/>
      <c r="CK138" s="1107"/>
    </row>
    <row r="139" spans="1:89" ht="15.75" thickBot="1" x14ac:dyDescent="0.3">
      <c r="A139" s="1107"/>
      <c r="B139" s="2009"/>
      <c r="C139" s="1156">
        <v>10</v>
      </c>
      <c r="D139" s="1146" t="s">
        <v>1872</v>
      </c>
      <c r="E139" s="1146" t="s">
        <v>1426</v>
      </c>
      <c r="F139" s="1146" t="str">
        <f>'Required Info to Submit'!E32</f>
        <v/>
      </c>
      <c r="G139" s="1416" t="str">
        <f>IF(F139="","",'Required Info to Submit'!K32)</f>
        <v/>
      </c>
      <c r="H139" s="1416" t="str">
        <f>IF(F139="","",'Required Info to Submit'!L32)</f>
        <v/>
      </c>
      <c r="I139" s="1146" t="str">
        <f>'Required Info to Submit'!F32</f>
        <v/>
      </c>
      <c r="J139" s="1146" t="str">
        <f>'Required Info to Submit'!G32</f>
        <v/>
      </c>
      <c r="K139" s="1146" t="str">
        <f>'Required Info to Submit'!H32</f>
        <v/>
      </c>
      <c r="L139" s="1146" t="str">
        <f>'Required Info to Submit'!I32</f>
        <v/>
      </c>
      <c r="M139" s="1146" t="str">
        <f>'Required Info to Submit'!J32</f>
        <v/>
      </c>
      <c r="N139" s="1157"/>
      <c r="O139" s="1157"/>
      <c r="P139" s="1157"/>
      <c r="Q139" s="1110"/>
      <c r="R139" s="1107"/>
      <c r="S139" s="1107"/>
      <c r="T139" s="2009"/>
      <c r="U139" s="1156">
        <v>10</v>
      </c>
      <c r="V139" s="1146" t="s">
        <v>1872</v>
      </c>
      <c r="W139" s="1146" t="s">
        <v>1426</v>
      </c>
      <c r="X139" s="1159" t="str">
        <f>'Required Info to Submit'!E32</f>
        <v/>
      </c>
      <c r="Y139" s="1419" t="str">
        <f>IF(X139="","",'Required Info to Submit'!K32)</f>
        <v/>
      </c>
      <c r="Z139" s="1423" t="str">
        <f>IF(X139="","",'Required Info to Submit'!L32)</f>
        <v/>
      </c>
      <c r="AA139" s="1159" t="str">
        <f>'Required Info to Submit'!F32</f>
        <v/>
      </c>
      <c r="AB139" s="1159" t="str">
        <f>'Required Info to Submit'!G32</f>
        <v/>
      </c>
      <c r="AC139" s="1159" t="str">
        <f>'Required Info to Submit'!H32</f>
        <v/>
      </c>
      <c r="AD139" s="1159" t="str">
        <f>'Required Info to Submit'!I32</f>
        <v/>
      </c>
      <c r="AE139" s="1159" t="str">
        <f>'Required Info to Submit'!J32</f>
        <v/>
      </c>
      <c r="AF139" s="1157"/>
      <c r="AG139" s="1157"/>
      <c r="AH139" s="1157"/>
      <c r="AI139" s="1110"/>
      <c r="AJ139" s="1107"/>
      <c r="AK139" s="1107"/>
      <c r="AL139" s="1107"/>
      <c r="AM139" s="1107"/>
      <c r="AN139" s="1107"/>
      <c r="AO139" s="1107"/>
      <c r="AP139" s="1107"/>
      <c r="AQ139" s="1107"/>
      <c r="AR139" s="1107"/>
      <c r="AS139" s="1107"/>
      <c r="AT139" s="1107"/>
      <c r="AU139" s="1107"/>
      <c r="AV139" s="1107"/>
      <c r="AW139" s="1107"/>
      <c r="AX139" s="1107"/>
      <c r="AY139" s="1107"/>
      <c r="AZ139" s="1107"/>
      <c r="BA139" s="1107"/>
      <c r="BB139" s="1107"/>
      <c r="BC139" s="1107"/>
      <c r="BD139" s="1107"/>
      <c r="BE139" s="1107"/>
      <c r="BF139" s="1107"/>
      <c r="BG139" s="1107"/>
      <c r="BH139" s="1107"/>
      <c r="BI139" s="1107"/>
      <c r="BJ139" s="1107"/>
      <c r="BK139" s="1107"/>
      <c r="BL139" s="1107"/>
      <c r="BM139" s="1107"/>
      <c r="BN139" s="1107"/>
      <c r="BO139" s="1107"/>
      <c r="BP139" s="1107"/>
      <c r="BQ139" s="1107"/>
      <c r="BR139" s="1107"/>
      <c r="BS139" s="1107"/>
      <c r="BT139" s="1107"/>
      <c r="BU139" s="1107"/>
      <c r="BV139" s="1107"/>
      <c r="BW139" s="1107"/>
      <c r="BX139" s="1107"/>
      <c r="BY139" s="1107"/>
      <c r="BZ139" s="1107"/>
      <c r="CA139" s="1107"/>
      <c r="CB139" s="1107"/>
      <c r="CC139" s="1107"/>
      <c r="CD139" s="1107"/>
      <c r="CE139" s="1107"/>
      <c r="CF139" s="1107"/>
      <c r="CG139" s="1107"/>
      <c r="CH139" s="1107"/>
      <c r="CI139" s="1107"/>
      <c r="CJ139" s="1107"/>
      <c r="CK139" s="1107"/>
    </row>
    <row r="140" spans="1:89" x14ac:dyDescent="0.25">
      <c r="A140" s="1107"/>
      <c r="B140" s="1107"/>
      <c r="C140" s="1107"/>
      <c r="D140" s="1107"/>
      <c r="E140" s="1107"/>
      <c r="F140" s="1107"/>
      <c r="G140" s="1107"/>
      <c r="H140" s="1107"/>
      <c r="I140" s="1107"/>
      <c r="J140" s="1107"/>
      <c r="K140" s="1107"/>
      <c r="L140" s="1107"/>
      <c r="M140" s="1107"/>
      <c r="N140" s="1107"/>
      <c r="O140" s="1107"/>
      <c r="P140" s="1107"/>
      <c r="Q140" s="1107"/>
      <c r="R140" s="1107"/>
      <c r="S140" s="1107"/>
      <c r="T140" s="1107"/>
      <c r="U140" s="1107"/>
      <c r="V140" s="1107"/>
      <c r="W140" s="1107"/>
      <c r="X140" s="1107"/>
      <c r="Y140" s="1107"/>
      <c r="Z140" s="1107"/>
      <c r="AA140" s="1107"/>
      <c r="AB140" s="1107"/>
      <c r="AC140" s="1107"/>
      <c r="AD140" s="1107"/>
      <c r="AE140" s="1107"/>
      <c r="AF140" s="1107"/>
      <c r="AG140" s="1107"/>
      <c r="AH140" s="1107"/>
      <c r="AI140" s="1107"/>
      <c r="AJ140" s="1107"/>
      <c r="AK140" s="1107"/>
      <c r="AL140" s="1107"/>
      <c r="AM140" s="1107"/>
      <c r="AN140" s="1107"/>
      <c r="AO140" s="1107"/>
      <c r="AP140" s="1107"/>
      <c r="AQ140" s="1107"/>
      <c r="AR140" s="1107"/>
      <c r="AS140" s="1107"/>
      <c r="AT140" s="1107"/>
      <c r="AU140" s="1107"/>
      <c r="AV140" s="1107"/>
      <c r="AW140" s="1107"/>
      <c r="AX140" s="1107"/>
      <c r="AY140" s="1107"/>
      <c r="AZ140" s="1107"/>
      <c r="BA140" s="1107"/>
      <c r="BB140" s="1107"/>
      <c r="BC140" s="1107"/>
      <c r="BD140" s="1107"/>
      <c r="BE140" s="1107"/>
      <c r="BF140" s="1107"/>
      <c r="BG140" s="1107"/>
      <c r="BH140" s="1107"/>
      <c r="BI140" s="1107"/>
      <c r="BJ140" s="1107"/>
      <c r="BK140" s="1107"/>
      <c r="BL140" s="1107"/>
      <c r="BM140" s="1107"/>
      <c r="BN140" s="1107"/>
      <c r="BO140" s="1107"/>
      <c r="BP140" s="1107"/>
      <c r="BQ140" s="1107"/>
      <c r="BR140" s="1107"/>
      <c r="BS140" s="1107"/>
      <c r="BT140" s="1107"/>
      <c r="BU140" s="1107"/>
      <c r="BV140" s="1107"/>
      <c r="BW140" s="1107"/>
      <c r="BX140" s="1107"/>
      <c r="BY140" s="1107"/>
      <c r="BZ140" s="1107"/>
      <c r="CA140" s="1107"/>
      <c r="CB140" s="1107"/>
      <c r="CC140" s="1107"/>
      <c r="CD140" s="1107"/>
      <c r="CE140" s="1107"/>
      <c r="CF140" s="1107"/>
      <c r="CG140" s="1107"/>
      <c r="CH140" s="1107"/>
      <c r="CI140" s="1107"/>
      <c r="CJ140" s="1107"/>
      <c r="CK140" s="1107"/>
    </row>
    <row r="141" spans="1:89" ht="54.75" customHeight="1" thickBot="1" x14ac:dyDescent="0.3">
      <c r="A141" s="1107"/>
      <c r="B141" s="1107"/>
      <c r="C141" s="1107"/>
      <c r="D141" s="1107"/>
      <c r="E141" s="1107"/>
      <c r="F141" s="1107"/>
      <c r="G141" s="1107"/>
      <c r="H141" s="1107"/>
      <c r="I141" s="1107"/>
      <c r="J141" s="1107"/>
      <c r="K141" s="1107"/>
      <c r="L141" s="1107"/>
      <c r="M141" s="1107"/>
      <c r="N141" s="1107"/>
      <c r="O141" s="1107"/>
      <c r="P141" s="1107"/>
      <c r="Q141" s="1107"/>
      <c r="R141" s="1107"/>
      <c r="S141" s="1107"/>
      <c r="T141" s="1107"/>
      <c r="U141" s="1107"/>
      <c r="V141" s="1107"/>
      <c r="W141" s="1107"/>
      <c r="X141" s="1107"/>
      <c r="Y141" s="1107"/>
      <c r="Z141" s="1107"/>
      <c r="AA141" s="1107"/>
      <c r="AB141" s="1107"/>
      <c r="AC141" s="1107"/>
      <c r="AD141" s="1107"/>
      <c r="AE141" s="1107"/>
      <c r="AF141" s="1107"/>
      <c r="AG141" s="1107"/>
      <c r="AH141" s="1107"/>
      <c r="AI141" s="1107"/>
      <c r="AJ141" s="1107"/>
      <c r="AK141" s="1107"/>
      <c r="AL141" s="1107"/>
      <c r="AM141" s="1107"/>
      <c r="AN141" s="1107"/>
      <c r="AO141" s="1107"/>
      <c r="AP141" s="1107"/>
      <c r="AQ141" s="1107"/>
      <c r="AR141" s="1107"/>
      <c r="AS141" s="1107"/>
      <c r="AT141" s="1107"/>
      <c r="AU141" s="1107"/>
      <c r="AV141" s="1107"/>
      <c r="AW141" s="1107"/>
      <c r="AX141" s="1107"/>
      <c r="AY141" s="1107"/>
      <c r="AZ141" s="1107"/>
      <c r="BA141" s="1107"/>
      <c r="BB141" s="1107"/>
      <c r="BC141" s="1107"/>
      <c r="BD141" s="1107"/>
      <c r="BE141" s="1107"/>
      <c r="BF141" s="1107"/>
      <c r="BG141" s="1107"/>
      <c r="BH141" s="1107"/>
      <c r="BI141" s="1107"/>
      <c r="BJ141" s="1107"/>
      <c r="BK141" s="1107"/>
      <c r="BL141" s="1107"/>
      <c r="BM141" s="1107"/>
      <c r="BN141" s="1107"/>
      <c r="BO141" s="1107"/>
      <c r="BP141" s="1107"/>
      <c r="BQ141" s="1107"/>
      <c r="BR141" s="1107"/>
      <c r="BS141" s="1107"/>
      <c r="BT141" s="1107"/>
      <c r="BU141" s="1107"/>
      <c r="BV141" s="1107"/>
      <c r="BW141" s="1107"/>
      <c r="BX141" s="1107"/>
      <c r="BY141" s="1107"/>
      <c r="BZ141" s="1107"/>
      <c r="CA141" s="1107"/>
      <c r="CB141" s="1107"/>
      <c r="CC141" s="1107"/>
      <c r="CD141" s="1107"/>
      <c r="CE141" s="1107"/>
      <c r="CF141" s="1107"/>
      <c r="CG141" s="1107"/>
      <c r="CH141" s="1107"/>
      <c r="CI141" s="1107"/>
      <c r="CJ141" s="1107"/>
      <c r="CK141" s="1107"/>
    </row>
    <row r="142" spans="1:89" ht="80.25" customHeight="1" thickBot="1" x14ac:dyDescent="0.3">
      <c r="A142" s="1107"/>
      <c r="B142" s="1303"/>
      <c r="C142" s="1100" t="s">
        <v>1383</v>
      </c>
      <c r="D142" s="1100" t="s">
        <v>1491</v>
      </c>
      <c r="E142" s="1100" t="s">
        <v>766</v>
      </c>
      <c r="F142" s="1100" t="s">
        <v>1496</v>
      </c>
      <c r="G142" s="1100" t="s">
        <v>1849</v>
      </c>
      <c r="H142" s="1101" t="s">
        <v>1850</v>
      </c>
      <c r="I142" s="1101" t="s">
        <v>1851</v>
      </c>
      <c r="J142" s="1100" t="s">
        <v>1852</v>
      </c>
      <c r="K142" s="1101" t="s">
        <v>1397</v>
      </c>
      <c r="L142" s="1101" t="s">
        <v>1381</v>
      </c>
      <c r="M142" s="1100" t="s">
        <v>1382</v>
      </c>
      <c r="N142" s="1100" t="s">
        <v>721</v>
      </c>
      <c r="O142" s="1100" t="s">
        <v>722</v>
      </c>
      <c r="P142" s="1101" t="s">
        <v>1495</v>
      </c>
      <c r="Q142" s="1107"/>
      <c r="R142" s="1107"/>
      <c r="S142" s="1107"/>
      <c r="T142" s="1303"/>
      <c r="U142" s="1100" t="s">
        <v>1383</v>
      </c>
      <c r="V142" s="1100" t="s">
        <v>1491</v>
      </c>
      <c r="W142" s="1100" t="s">
        <v>766</v>
      </c>
      <c r="X142" s="1100" t="s">
        <v>1496</v>
      </c>
      <c r="Y142" s="1100" t="s">
        <v>1849</v>
      </c>
      <c r="Z142" s="1101" t="s">
        <v>1850</v>
      </c>
      <c r="AA142" s="1101" t="s">
        <v>1851</v>
      </c>
      <c r="AB142" s="1100" t="s">
        <v>1852</v>
      </c>
      <c r="AC142" s="1101" t="s">
        <v>1397</v>
      </c>
      <c r="AD142" s="1101" t="s">
        <v>1381</v>
      </c>
      <c r="AE142" s="1100" t="s">
        <v>1382</v>
      </c>
      <c r="AF142" s="1100" t="s">
        <v>721</v>
      </c>
      <c r="AG142" s="1100" t="s">
        <v>722</v>
      </c>
      <c r="AH142" s="1101" t="s">
        <v>1495</v>
      </c>
      <c r="AI142" s="1107"/>
      <c r="AJ142" s="1107"/>
      <c r="AK142" s="1107"/>
      <c r="AL142" s="1107"/>
      <c r="AM142" s="1107"/>
      <c r="AN142" s="1107"/>
      <c r="AO142" s="1107"/>
      <c r="AP142" s="1107"/>
      <c r="AQ142" s="1107"/>
      <c r="AR142" s="1107"/>
      <c r="AS142" s="1107"/>
      <c r="AT142" s="1107"/>
      <c r="AU142" s="1107"/>
      <c r="AV142" s="1107"/>
      <c r="AW142" s="1107"/>
      <c r="AX142" s="1107"/>
      <c r="AY142" s="1107"/>
      <c r="AZ142" s="1107"/>
      <c r="BA142" s="1107"/>
      <c r="BB142" s="1107"/>
      <c r="BC142" s="1107"/>
      <c r="BD142" s="1107"/>
      <c r="BE142" s="1107"/>
      <c r="BF142" s="1107"/>
      <c r="BG142" s="1107"/>
      <c r="BH142" s="1107"/>
      <c r="BI142" s="1107"/>
      <c r="BJ142" s="1107"/>
      <c r="BK142" s="1107"/>
      <c r="BL142" s="1107"/>
      <c r="BM142" s="1107"/>
      <c r="BN142" s="1107"/>
      <c r="BO142" s="1107"/>
      <c r="BP142" s="1107"/>
      <c r="BQ142" s="1107"/>
      <c r="BR142" s="1107"/>
      <c r="BS142" s="1107"/>
      <c r="BT142" s="1107"/>
      <c r="BU142" s="1107"/>
      <c r="BV142" s="1107"/>
      <c r="BW142" s="1107"/>
      <c r="BX142" s="1107"/>
      <c r="BY142" s="1107"/>
      <c r="BZ142" s="1107"/>
      <c r="CA142" s="1107"/>
      <c r="CB142" s="1107"/>
      <c r="CC142" s="1107"/>
      <c r="CD142" s="1107"/>
      <c r="CE142" s="1107"/>
      <c r="CF142" s="1107"/>
      <c r="CG142" s="1107"/>
      <c r="CH142" s="1107"/>
      <c r="CI142" s="1107"/>
      <c r="CJ142" s="1107"/>
      <c r="CK142" s="1107"/>
    </row>
    <row r="143" spans="1:89" ht="64.5" customHeight="1" thickBot="1" x14ac:dyDescent="0.3">
      <c r="A143" s="1107"/>
      <c r="B143" s="1132" t="s">
        <v>1853</v>
      </c>
      <c r="C143" s="1133" t="s">
        <v>1530</v>
      </c>
      <c r="D143" s="1134">
        <v>3401</v>
      </c>
      <c r="E143" s="1104" t="s">
        <v>1530</v>
      </c>
      <c r="F143" s="1104" t="s">
        <v>1531</v>
      </c>
      <c r="G143" s="1102" t="str" cm="1">
        <f t="array" aca="1" ref="G143" ca="1">INDIRECT("'Incentives Worksheet'!P"&amp;'Configurable Tab'!H13+3)</f>
        <v>Same as Payout Cycle</v>
      </c>
      <c r="H143" s="1102" t="str" cm="1">
        <f t="array" aca="1" ref="H143" ca="1">IF(ISBLANK(INDIRECT("'Incentives Worksheet'!H"&amp;'Configurable Tab'!H13+3)),"",INDIRECT("'Incentives Worksheet'!H"&amp;'Configurable Tab'!H13+3))</f>
        <v/>
      </c>
      <c r="I143" s="1102" t="str" cm="1">
        <f t="array" aca="1" ref="I143" ca="1">IF(INDIRECT("'Incentives Worksheet'!R"&amp;'Configurable Tab'!H13+3)="USF Calendar","Fiscal",INDIRECT("'Incentives Worksheet'!R"&amp;'Configurable Tab'!H13+3))</f>
        <v>Fiscal</v>
      </c>
      <c r="J143" s="1102" t="str" cm="1">
        <f t="array" aca="1" ref="J143" ca="1">IF(INDIRECT("'Incentives Worksheet'!T"&amp;'Configurable Tab'!H13+3)="Yes","Post to GL","")</f>
        <v/>
      </c>
      <c r="K143" s="1102" t="str" cm="1">
        <f t="array" aca="1" ref="K143" ca="1">IF(ISBLANK(INDIRECT("'Incentives Worksheet'!L"&amp;'Configurable Tab'!H13+3)),"",INDIRECT("'Incentives Worksheet'!L"&amp;'Configurable Tab'!H13+3))</f>
        <v/>
      </c>
      <c r="L143" s="1102" t="str" cm="1">
        <f t="array" aca="1" ref="L143" ca="1">IF(ISBLANK(INDIRECT("'Incentives Worksheet'!J"&amp;'Configurable Tab'!H13+3)),"",INDIRECT("'Incentives Worksheet'!J"&amp;'Configurable Tab'!H13+3))</f>
        <v/>
      </c>
      <c r="M143" s="1102" t="str" cm="1">
        <f t="array" aca="1" ref="M143" ca="1">IF(ISBLANK(INDIRECT("'Incentives Worksheet'!N"&amp;'Configurable Tab'!H13+3)),"",INDIRECT("'Incentives Worksheet'!N"&amp;'Configurable Tab'!H13+3))</f>
        <v/>
      </c>
      <c r="N143" s="1103" t="str" cm="1">
        <f t="array" aca="1" ref="N143" ca="1">INDIRECT("'Incentives Worksheet'!D"&amp;'Configurable Tab'!H13+6)</f>
        <v/>
      </c>
      <c r="O143" s="1103" t="str" cm="1">
        <f t="array" aca="1" ref="O143" ca="1">INDIRECT("'Incentives Worksheet'!D"&amp;'Configurable Tab'!H13+8)</f>
        <v/>
      </c>
      <c r="P143" s="1102" t="str" cm="1">
        <f t="array" aca="1" ref="P143" ca="1">IF(INDIRECT("'Incentives Worksheet'!D"&amp;'Configurable Tab'!H13+10)="No","Update tracking dates",INDIRECT("'Incentives Worksheet'!D"&amp;'Configurable Tab'!H13+10))</f>
        <v>Yes</v>
      </c>
      <c r="Q143" s="1107"/>
      <c r="R143" s="1107"/>
      <c r="S143" s="1107"/>
      <c r="T143" s="1132" t="s">
        <v>1853</v>
      </c>
      <c r="U143" s="1133" t="s">
        <v>1530</v>
      </c>
      <c r="V143" s="1134">
        <v>3402</v>
      </c>
      <c r="W143" s="1104" t="s">
        <v>1530</v>
      </c>
      <c r="X143" s="1104" t="s">
        <v>1531</v>
      </c>
      <c r="Y143" s="1102" t="str" cm="1">
        <f t="array" aca="1" ref="Y143" ca="1">INDIRECT("'Incentives Worksheet'!P"&amp;'Configurable Tab'!H14+3)</f>
        <v>Same as Payout Cycle</v>
      </c>
      <c r="Z143" s="1102" t="str" cm="1">
        <f t="array" aca="1" ref="Z143" ca="1">IF(ISBLANK(INDIRECT("'Incentives Worksheet'!H"&amp;'Configurable Tab'!H14+3)),"",INDIRECT("'Incentives Worksheet'!H"&amp;'Configurable Tab'!H14+3))</f>
        <v/>
      </c>
      <c r="AA143" s="1102" t="str" cm="1">
        <f t="array" aca="1" ref="AA143" ca="1">IF(INDIRECT("'Incentives Worksheet'!R"&amp;'Configurable Tab'!H14+3)="USF Calendar","Fiscal",INDIRECT("'Incentives Worksheet'!R"&amp;'Configurable Tab'!H14+3))</f>
        <v>Fiscal</v>
      </c>
      <c r="AB143" s="1102" t="str" cm="1">
        <f t="array" aca="1" ref="AB143" ca="1">IF(INDIRECT("'Incentives Worksheet'!T"&amp;'Configurable Tab'!H14+3)="Yes","Post to GL","")</f>
        <v/>
      </c>
      <c r="AC143" s="1102" t="str" cm="1">
        <f t="array" aca="1" ref="AC143" ca="1">IF(ISBLANK(INDIRECT("'Incentives Worksheet'!L"&amp;'Configurable Tab'!H14+3)),"",INDIRECT("'Incentives Worksheet'!L"&amp;'Configurable Tab'!H14+3))</f>
        <v/>
      </c>
      <c r="AD143" s="1102" t="str" cm="1">
        <f t="array" aca="1" ref="AD143" ca="1">IF(ISBLANK(INDIRECT("'Incentives Worksheet'!J"&amp;'Configurable Tab'!H14+3)),"",INDIRECT("'Incentives Worksheet'!J"&amp;'Configurable Tab'!H14+3))</f>
        <v/>
      </c>
      <c r="AE143" s="1102" t="str" cm="1">
        <f t="array" aca="1" ref="AE143" ca="1">IF(ISBLANK(INDIRECT("'Incentives Worksheet'!N"&amp;'Configurable Tab'!H14+3)),"",INDIRECT("'Incentives Worksheet'!N"&amp;'Configurable Tab'!H14+3))</f>
        <v/>
      </c>
      <c r="AF143" s="1103" t="str" cm="1">
        <f t="array" aca="1" ref="AF143" ca="1">INDIRECT("'Incentives Worksheet'!D"&amp;'Configurable Tab'!H14+6)</f>
        <v/>
      </c>
      <c r="AG143" s="1103" t="str" cm="1">
        <f t="array" aca="1" ref="AG143" ca="1">INDIRECT("'Incentives Worksheet'!D"&amp;'Configurable Tab'!H14+8)</f>
        <v/>
      </c>
      <c r="AH143" s="1102" t="str" cm="1">
        <f t="array" aca="1" ref="AH143" ca="1">IF(INDIRECT("'Incentives Worksheet'!D"&amp;'Configurable Tab'!H14+10)="No","Update tracking dates",INDIRECT("'Incentives Worksheet'!D"&amp;'Configurable Tab'!H14+10))</f>
        <v>Yes</v>
      </c>
      <c r="AI143" s="1107"/>
      <c r="AJ143" s="1107"/>
      <c r="AK143" s="1107"/>
      <c r="AL143" s="1107"/>
      <c r="AM143" s="1107"/>
      <c r="AN143" s="1107"/>
      <c r="AO143" s="1107"/>
      <c r="AP143" s="1107"/>
      <c r="AQ143" s="1107"/>
      <c r="AR143" s="1107"/>
      <c r="AS143" s="1107"/>
      <c r="AT143" s="1107"/>
      <c r="AU143" s="1107"/>
      <c r="AV143" s="1107"/>
      <c r="AW143" s="1107"/>
      <c r="AX143" s="1107"/>
      <c r="AY143" s="1107"/>
      <c r="AZ143" s="1107"/>
      <c r="BA143" s="1107"/>
      <c r="BB143" s="1107"/>
      <c r="BC143" s="1107"/>
      <c r="BD143" s="1107"/>
      <c r="BE143" s="1107"/>
      <c r="BF143" s="1107"/>
      <c r="BG143" s="1107"/>
      <c r="BH143" s="1107"/>
      <c r="BI143" s="1107"/>
      <c r="BJ143" s="1107"/>
      <c r="BK143" s="1107"/>
      <c r="BL143" s="1107"/>
      <c r="BM143" s="1107"/>
      <c r="BN143" s="1107"/>
      <c r="BO143" s="1107"/>
      <c r="BP143" s="1107"/>
      <c r="BQ143" s="1107"/>
      <c r="BR143" s="1107"/>
      <c r="BS143" s="1107"/>
      <c r="BT143" s="1107"/>
      <c r="BU143" s="1107"/>
      <c r="BV143" s="1107"/>
      <c r="BW143" s="1107"/>
      <c r="BX143" s="1107"/>
      <c r="BY143" s="1107"/>
      <c r="BZ143" s="1107"/>
      <c r="CA143" s="1107"/>
      <c r="CB143" s="1107"/>
      <c r="CC143" s="1107"/>
      <c r="CD143" s="1107"/>
      <c r="CE143" s="1107"/>
      <c r="CF143" s="1107"/>
      <c r="CG143" s="1107"/>
      <c r="CH143" s="1107"/>
      <c r="CI143" s="1107"/>
      <c r="CJ143" s="1107"/>
      <c r="CK143" s="1107"/>
    </row>
    <row r="144" spans="1:89" ht="15.75" customHeight="1" thickBot="1" x14ac:dyDescent="0.3">
      <c r="A144" s="1107"/>
      <c r="B144" s="2012" t="s">
        <v>1888</v>
      </c>
      <c r="C144" s="1100" t="s">
        <v>1855</v>
      </c>
      <c r="D144" s="1101" t="s">
        <v>1856</v>
      </c>
      <c r="E144" s="1136"/>
      <c r="F144" s="1136"/>
      <c r="G144" s="1136"/>
      <c r="H144" s="1136"/>
      <c r="I144" s="1136"/>
      <c r="J144" s="1136"/>
      <c r="K144" s="1136"/>
      <c r="L144" s="1136"/>
      <c r="M144" s="1136"/>
      <c r="N144" s="1136"/>
      <c r="O144" s="1136"/>
      <c r="P144" s="1137"/>
      <c r="Q144" s="1107"/>
      <c r="R144" s="1107"/>
      <c r="S144" s="1107"/>
      <c r="T144" s="2012" t="s">
        <v>1888</v>
      </c>
      <c r="U144" s="1100" t="s">
        <v>1855</v>
      </c>
      <c r="V144" s="1101" t="s">
        <v>1856</v>
      </c>
      <c r="W144" s="1136"/>
      <c r="X144" s="1136"/>
      <c r="Y144" s="1136"/>
      <c r="Z144" s="1136"/>
      <c r="AA144" s="1136"/>
      <c r="AB144" s="1136"/>
      <c r="AC144" s="1136"/>
      <c r="AD144" s="1136"/>
      <c r="AE144" s="1136"/>
      <c r="AF144" s="1136"/>
      <c r="AG144" s="1136"/>
      <c r="AH144" s="1137"/>
      <c r="AI144" s="1107"/>
      <c r="AJ144" s="1107"/>
      <c r="AK144" s="1107"/>
      <c r="AL144" s="1107"/>
      <c r="AM144" s="1107"/>
      <c r="AN144" s="1107"/>
      <c r="AO144" s="1107"/>
      <c r="AP144" s="1107"/>
      <c r="AQ144" s="1107"/>
      <c r="AR144" s="1107"/>
      <c r="AS144" s="1107"/>
      <c r="AT144" s="1107"/>
      <c r="AU144" s="1107"/>
      <c r="AV144" s="1107"/>
      <c r="AW144" s="1107"/>
      <c r="AX144" s="1107"/>
      <c r="AY144" s="1107"/>
      <c r="AZ144" s="1107"/>
      <c r="BA144" s="1107"/>
      <c r="BB144" s="1107"/>
      <c r="BC144" s="1107"/>
      <c r="BD144" s="1107"/>
      <c r="BE144" s="1107"/>
      <c r="BF144" s="1107"/>
      <c r="BG144" s="1107"/>
      <c r="BH144" s="1107"/>
      <c r="BI144" s="1107"/>
      <c r="BJ144" s="1107"/>
      <c r="BK144" s="1107"/>
      <c r="BL144" s="1107"/>
      <c r="BM144" s="1107"/>
      <c r="BN144" s="1107"/>
      <c r="BO144" s="1107"/>
      <c r="BP144" s="1107"/>
      <c r="BQ144" s="1107"/>
      <c r="BR144" s="1107"/>
      <c r="BS144" s="1107"/>
      <c r="BT144" s="1107"/>
      <c r="BU144" s="1107"/>
      <c r="BV144" s="1107"/>
      <c r="BW144" s="1107"/>
      <c r="BX144" s="1107"/>
      <c r="BY144" s="1107"/>
      <c r="BZ144" s="1107"/>
      <c r="CA144" s="1107"/>
      <c r="CB144" s="1107"/>
      <c r="CC144" s="1107"/>
      <c r="CD144" s="1107"/>
      <c r="CE144" s="1107"/>
      <c r="CF144" s="1107"/>
      <c r="CG144" s="1107"/>
      <c r="CH144" s="1107"/>
      <c r="CI144" s="1107"/>
      <c r="CJ144" s="1107"/>
      <c r="CK144" s="1107"/>
    </row>
    <row r="145" spans="1:89" ht="15.75" customHeight="1" thickBot="1" x14ac:dyDescent="0.3">
      <c r="A145" s="1107"/>
      <c r="B145" s="2013"/>
      <c r="C145" s="1138" t="s">
        <v>1857</v>
      </c>
      <c r="D145" s="1213" t="str" cm="1">
        <f t="array" aca="1" ref="D145" ca="1">IF(ISBLANK(INDIRECT("'Incentives Worksheet'!L"&amp;'Configurable Tab'!H13+6)),"",INDIRECT("'Incentives Worksheet'!L"&amp;'Configurable Tab'!H13+6))</f>
        <v/>
      </c>
      <c r="E145" s="1136"/>
      <c r="F145" s="1136"/>
      <c r="G145" s="1136"/>
      <c r="H145" s="1136"/>
      <c r="I145" s="1136"/>
      <c r="J145" s="1136"/>
      <c r="K145" s="1136"/>
      <c r="L145" s="1136"/>
      <c r="M145" s="1136"/>
      <c r="N145" s="1136"/>
      <c r="O145" s="1136"/>
      <c r="P145" s="1137"/>
      <c r="Q145" s="1107"/>
      <c r="R145" s="1107"/>
      <c r="S145" s="1107"/>
      <c r="T145" s="2013"/>
      <c r="U145" s="1138" t="s">
        <v>1857</v>
      </c>
      <c r="V145" s="1213" t="str" cm="1">
        <f t="array" aca="1" ref="V145" ca="1">IF(ISBLANK(INDIRECT("'Incentives Worksheet'!L"&amp;'Configurable Tab'!H14+6)),"",INDIRECT("'Incentives Worksheet'!L"&amp;'Configurable Tab'!H14+6))</f>
        <v/>
      </c>
      <c r="W145" s="1136"/>
      <c r="X145" s="1136"/>
      <c r="Y145" s="1136"/>
      <c r="Z145" s="1136"/>
      <c r="AA145" s="1136"/>
      <c r="AB145" s="1136"/>
      <c r="AC145" s="1136"/>
      <c r="AD145" s="1136"/>
      <c r="AE145" s="1136"/>
      <c r="AF145" s="1136"/>
      <c r="AG145" s="1136"/>
      <c r="AH145" s="1137"/>
      <c r="AI145" s="1107"/>
      <c r="AJ145" s="1107"/>
      <c r="AK145" s="1107"/>
      <c r="AL145" s="1107"/>
      <c r="AM145" s="1107"/>
      <c r="AN145" s="1107"/>
      <c r="AO145" s="1107"/>
      <c r="AP145" s="1107"/>
      <c r="AQ145" s="1107"/>
      <c r="AR145" s="1107"/>
      <c r="AS145" s="1107"/>
      <c r="AT145" s="1107"/>
      <c r="AU145" s="1107"/>
      <c r="AV145" s="1107"/>
      <c r="AW145" s="1107"/>
      <c r="AX145" s="1107"/>
      <c r="AY145" s="1107"/>
      <c r="AZ145" s="1107"/>
      <c r="BA145" s="1107"/>
      <c r="BB145" s="1107"/>
      <c r="BC145" s="1107"/>
      <c r="BD145" s="1107"/>
      <c r="BE145" s="1107"/>
      <c r="BF145" s="1107"/>
      <c r="BG145" s="1107"/>
      <c r="BH145" s="1107"/>
      <c r="BI145" s="1107"/>
      <c r="BJ145" s="1107"/>
      <c r="BK145" s="1107"/>
      <c r="BL145" s="1107"/>
      <c r="BM145" s="1107"/>
      <c r="BN145" s="1107"/>
      <c r="BO145" s="1107"/>
      <c r="BP145" s="1107"/>
      <c r="BQ145" s="1107"/>
      <c r="BR145" s="1107"/>
      <c r="BS145" s="1107"/>
      <c r="BT145" s="1107"/>
      <c r="BU145" s="1107"/>
      <c r="BV145" s="1107"/>
      <c r="BW145" s="1107"/>
      <c r="BX145" s="1107"/>
      <c r="BY145" s="1107"/>
      <c r="BZ145" s="1107"/>
      <c r="CA145" s="1107"/>
      <c r="CB145" s="1107"/>
      <c r="CC145" s="1107"/>
      <c r="CD145" s="1107"/>
      <c r="CE145" s="1107"/>
      <c r="CF145" s="1107"/>
      <c r="CG145" s="1107"/>
      <c r="CH145" s="1107"/>
      <c r="CI145" s="1107"/>
      <c r="CJ145" s="1107"/>
      <c r="CK145" s="1107"/>
    </row>
    <row r="146" spans="1:89" ht="15.75" customHeight="1" thickBot="1" x14ac:dyDescent="0.3">
      <c r="A146" s="1107"/>
      <c r="B146" s="2026" t="s">
        <v>1858</v>
      </c>
      <c r="C146" s="1139" t="s">
        <v>1859</v>
      </c>
      <c r="D146" s="1140" t="s">
        <v>131</v>
      </c>
      <c r="E146" s="1140" t="s">
        <v>1860</v>
      </c>
      <c r="F146" s="1107"/>
      <c r="G146" s="1107"/>
      <c r="H146" s="1107"/>
      <c r="I146" s="1107"/>
      <c r="J146" s="1107"/>
      <c r="K146" s="1107"/>
      <c r="L146" s="1107"/>
      <c r="M146" s="1107"/>
      <c r="N146" s="1107"/>
      <c r="O146" s="1107"/>
      <c r="P146" s="1108"/>
      <c r="Q146" s="1107"/>
      <c r="R146" s="1107"/>
      <c r="S146" s="1107"/>
      <c r="T146" s="2026" t="s">
        <v>1858</v>
      </c>
      <c r="U146" s="1139" t="s">
        <v>1859</v>
      </c>
      <c r="V146" s="1140" t="s">
        <v>131</v>
      </c>
      <c r="W146" s="1140" t="s">
        <v>1860</v>
      </c>
      <c r="X146" s="1107"/>
      <c r="Y146" s="1107"/>
      <c r="Z146" s="1107"/>
      <c r="AA146" s="1107"/>
      <c r="AB146" s="1107"/>
      <c r="AC146" s="1107"/>
      <c r="AD146" s="1107"/>
      <c r="AE146" s="1107"/>
      <c r="AF146" s="1107"/>
      <c r="AG146" s="1107"/>
      <c r="AH146" s="1108"/>
      <c r="AI146" s="1107"/>
      <c r="AJ146" s="1107"/>
      <c r="AK146" s="1107"/>
      <c r="AL146" s="1107"/>
      <c r="AM146" s="1107"/>
      <c r="AN146" s="1107"/>
      <c r="AO146" s="1107"/>
      <c r="AP146" s="1107"/>
      <c r="AQ146" s="1107"/>
      <c r="AR146" s="1107"/>
      <c r="AS146" s="1107"/>
      <c r="AT146" s="1107"/>
      <c r="AU146" s="1107"/>
      <c r="AV146" s="1107"/>
      <c r="AW146" s="1107"/>
      <c r="AX146" s="1107"/>
      <c r="AY146" s="1107"/>
      <c r="AZ146" s="1107"/>
      <c r="BA146" s="1107"/>
      <c r="BB146" s="1107"/>
      <c r="BC146" s="1107"/>
      <c r="BD146" s="1107"/>
      <c r="BE146" s="1107"/>
      <c r="BF146" s="1107"/>
      <c r="BG146" s="1107"/>
      <c r="BH146" s="1107"/>
      <c r="BI146" s="1107"/>
      <c r="BJ146" s="1107"/>
      <c r="BK146" s="1107"/>
      <c r="BL146" s="1107"/>
      <c r="BM146" s="1107"/>
      <c r="BN146" s="1107"/>
      <c r="BO146" s="1107"/>
      <c r="BP146" s="1107"/>
      <c r="BQ146" s="1107"/>
      <c r="BR146" s="1107"/>
      <c r="BS146" s="1107"/>
      <c r="BT146" s="1107"/>
      <c r="BU146" s="1107"/>
      <c r="BV146" s="1107"/>
      <c r="BW146" s="1107"/>
      <c r="BX146" s="1107"/>
      <c r="BY146" s="1107"/>
      <c r="BZ146" s="1107"/>
      <c r="CA146" s="1107"/>
      <c r="CB146" s="1107"/>
      <c r="CC146" s="1107"/>
      <c r="CD146" s="1107"/>
      <c r="CE146" s="1107"/>
      <c r="CF146" s="1107"/>
      <c r="CG146" s="1107"/>
      <c r="CH146" s="1107"/>
      <c r="CI146" s="1107"/>
      <c r="CJ146" s="1107"/>
      <c r="CK146" s="1107"/>
    </row>
    <row r="147" spans="1:89" x14ac:dyDescent="0.25">
      <c r="A147" s="1107"/>
      <c r="B147" s="2008"/>
      <c r="C147" s="1141" t="s">
        <v>1861</v>
      </c>
      <c r="D147" s="1141" t="s">
        <v>1862</v>
      </c>
      <c r="E147" s="1142"/>
      <c r="F147" s="1107"/>
      <c r="G147" s="1107"/>
      <c r="H147" s="1107"/>
      <c r="I147" s="1107"/>
      <c r="J147" s="1107"/>
      <c r="K147" s="1107"/>
      <c r="L147" s="1107"/>
      <c r="M147" s="1107"/>
      <c r="N147" s="1107"/>
      <c r="O147" s="1107"/>
      <c r="P147" s="1108"/>
      <c r="Q147" s="1107"/>
      <c r="R147" s="1107"/>
      <c r="S147" s="1107"/>
      <c r="T147" s="2008"/>
      <c r="U147" s="1141" t="s">
        <v>1861</v>
      </c>
      <c r="V147" s="1141" t="s">
        <v>1862</v>
      </c>
      <c r="W147" s="1142"/>
      <c r="X147" s="1107"/>
      <c r="Y147" s="1107"/>
      <c r="Z147" s="1107"/>
      <c r="AA147" s="1107"/>
      <c r="AB147" s="1107"/>
      <c r="AC147" s="1107"/>
      <c r="AD147" s="1107"/>
      <c r="AE147" s="1107"/>
      <c r="AF147" s="1107"/>
      <c r="AG147" s="1107"/>
      <c r="AH147" s="1108"/>
      <c r="AI147" s="1107"/>
      <c r="AJ147" s="1107"/>
      <c r="AK147" s="1107"/>
      <c r="AL147" s="1107"/>
      <c r="AM147" s="1107"/>
      <c r="AN147" s="1107"/>
      <c r="AO147" s="1107"/>
      <c r="AP147" s="1107"/>
      <c r="AQ147" s="1107"/>
      <c r="AR147" s="1107"/>
      <c r="AS147" s="1107"/>
      <c r="AT147" s="1107"/>
      <c r="AU147" s="1107"/>
      <c r="AV147" s="1107"/>
      <c r="AW147" s="1107"/>
      <c r="AX147" s="1107"/>
      <c r="AY147" s="1107"/>
      <c r="AZ147" s="1107"/>
      <c r="BA147" s="1107"/>
      <c r="BB147" s="1107"/>
      <c r="BC147" s="1107"/>
      <c r="BD147" s="1107"/>
      <c r="BE147" s="1107"/>
      <c r="BF147" s="1107"/>
      <c r="BG147" s="1107"/>
      <c r="BH147" s="1107"/>
      <c r="BI147" s="1107"/>
      <c r="BJ147" s="1107"/>
      <c r="BK147" s="1107"/>
      <c r="BL147" s="1107"/>
      <c r="BM147" s="1107"/>
      <c r="BN147" s="1107"/>
      <c r="BO147" s="1107"/>
      <c r="BP147" s="1107"/>
      <c r="BQ147" s="1107"/>
      <c r="BR147" s="1107"/>
      <c r="BS147" s="1107"/>
      <c r="BT147" s="1107"/>
      <c r="BU147" s="1107"/>
      <c r="BV147" s="1107"/>
      <c r="BW147" s="1107"/>
      <c r="BX147" s="1107"/>
      <c r="BY147" s="1107"/>
      <c r="BZ147" s="1107"/>
      <c r="CA147" s="1107"/>
      <c r="CB147" s="1107"/>
      <c r="CC147" s="1107"/>
      <c r="CD147" s="1107"/>
      <c r="CE147" s="1107"/>
      <c r="CF147" s="1107"/>
      <c r="CG147" s="1107"/>
      <c r="CH147" s="1107"/>
      <c r="CI147" s="1107"/>
      <c r="CJ147" s="1107"/>
      <c r="CK147" s="1107"/>
    </row>
    <row r="148" spans="1:89" x14ac:dyDescent="0.25">
      <c r="A148" s="1107"/>
      <c r="B148" s="2008"/>
      <c r="C148" s="1143" t="s">
        <v>1861</v>
      </c>
      <c r="D148" s="1143" t="s">
        <v>1863</v>
      </c>
      <c r="E148" s="1144" t="s">
        <v>1864</v>
      </c>
      <c r="F148" s="1107"/>
      <c r="G148" s="1107"/>
      <c r="H148" s="1107"/>
      <c r="I148" s="1107"/>
      <c r="J148" s="1107"/>
      <c r="K148" s="1107"/>
      <c r="L148" s="1107"/>
      <c r="M148" s="1107"/>
      <c r="N148" s="1107"/>
      <c r="O148" s="1107"/>
      <c r="P148" s="1108"/>
      <c r="Q148" s="1107"/>
      <c r="R148" s="1107"/>
      <c r="S148" s="1107"/>
      <c r="T148" s="2008"/>
      <c r="U148" s="1143" t="s">
        <v>1861</v>
      </c>
      <c r="V148" s="1143" t="s">
        <v>1863</v>
      </c>
      <c r="W148" s="1144" t="s">
        <v>1864</v>
      </c>
      <c r="X148" s="1107"/>
      <c r="Y148" s="1107"/>
      <c r="Z148" s="1107"/>
      <c r="AA148" s="1107"/>
      <c r="AB148" s="1107"/>
      <c r="AC148" s="1107"/>
      <c r="AD148" s="1107"/>
      <c r="AE148" s="1107"/>
      <c r="AF148" s="1107"/>
      <c r="AG148" s="1107"/>
      <c r="AH148" s="1108"/>
      <c r="AI148" s="1107"/>
      <c r="AJ148" s="1107"/>
      <c r="AK148" s="1107"/>
      <c r="AL148" s="1107"/>
      <c r="AM148" s="1107"/>
      <c r="AN148" s="1107"/>
      <c r="AO148" s="1107"/>
      <c r="AP148" s="1107"/>
      <c r="AQ148" s="1107"/>
      <c r="AR148" s="1107"/>
      <c r="AS148" s="1107"/>
      <c r="AT148" s="1107"/>
      <c r="AU148" s="1107"/>
      <c r="AV148" s="1107"/>
      <c r="AW148" s="1107"/>
      <c r="AX148" s="1107"/>
      <c r="AY148" s="1107"/>
      <c r="AZ148" s="1107"/>
      <c r="BA148" s="1107"/>
      <c r="BB148" s="1107"/>
      <c r="BC148" s="1107"/>
      <c r="BD148" s="1107"/>
      <c r="BE148" s="1107"/>
      <c r="BF148" s="1107"/>
      <c r="BG148" s="1107"/>
      <c r="BH148" s="1107"/>
      <c r="BI148" s="1107"/>
      <c r="BJ148" s="1107"/>
      <c r="BK148" s="1107"/>
      <c r="BL148" s="1107"/>
      <c r="BM148" s="1107"/>
      <c r="BN148" s="1107"/>
      <c r="BO148" s="1107"/>
      <c r="BP148" s="1107"/>
      <c r="BQ148" s="1107"/>
      <c r="BR148" s="1107"/>
      <c r="BS148" s="1107"/>
      <c r="BT148" s="1107"/>
      <c r="BU148" s="1107"/>
      <c r="BV148" s="1107"/>
      <c r="BW148" s="1107"/>
      <c r="BX148" s="1107"/>
      <c r="BY148" s="1107"/>
      <c r="BZ148" s="1107"/>
      <c r="CA148" s="1107"/>
      <c r="CB148" s="1107"/>
      <c r="CC148" s="1107"/>
      <c r="CD148" s="1107"/>
      <c r="CE148" s="1107"/>
      <c r="CF148" s="1107"/>
      <c r="CG148" s="1107"/>
      <c r="CH148" s="1107"/>
      <c r="CI148" s="1107"/>
      <c r="CJ148" s="1107"/>
      <c r="CK148" s="1107"/>
    </row>
    <row r="149" spans="1:89" x14ac:dyDescent="0.25">
      <c r="A149" s="1107"/>
      <c r="B149" s="2008"/>
      <c r="C149" s="1143" t="s">
        <v>1861</v>
      </c>
      <c r="D149" s="1143" t="s">
        <v>1865</v>
      </c>
      <c r="E149" s="1144" t="s">
        <v>1699</v>
      </c>
      <c r="F149" s="1107"/>
      <c r="G149" s="1107"/>
      <c r="H149" s="1107"/>
      <c r="I149" s="1107"/>
      <c r="J149" s="1107"/>
      <c r="K149" s="1107"/>
      <c r="L149" s="1107"/>
      <c r="M149" s="1107"/>
      <c r="N149" s="1107"/>
      <c r="O149" s="1107"/>
      <c r="P149" s="1108"/>
      <c r="Q149" s="1107"/>
      <c r="R149" s="1107"/>
      <c r="S149" s="1107"/>
      <c r="T149" s="2008"/>
      <c r="U149" s="1143" t="s">
        <v>1861</v>
      </c>
      <c r="V149" s="1143" t="s">
        <v>1865</v>
      </c>
      <c r="W149" s="1144" t="s">
        <v>1699</v>
      </c>
      <c r="X149" s="1107"/>
      <c r="Y149" s="1107"/>
      <c r="Z149" s="1107"/>
      <c r="AA149" s="1107"/>
      <c r="AB149" s="1107"/>
      <c r="AC149" s="1107"/>
      <c r="AD149" s="1107"/>
      <c r="AE149" s="1107"/>
      <c r="AF149" s="1107"/>
      <c r="AG149" s="1107"/>
      <c r="AH149" s="1108"/>
      <c r="AI149" s="1107"/>
      <c r="AJ149" s="1107"/>
      <c r="AK149" s="1107"/>
      <c r="AL149" s="1107"/>
      <c r="AM149" s="1107"/>
      <c r="AN149" s="1107"/>
      <c r="AO149" s="1107"/>
      <c r="AP149" s="1107"/>
      <c r="AQ149" s="1107"/>
      <c r="AR149" s="1107"/>
      <c r="AS149" s="1107"/>
      <c r="AT149" s="1107"/>
      <c r="AU149" s="1107"/>
      <c r="AV149" s="1107"/>
      <c r="AW149" s="1107"/>
      <c r="AX149" s="1107"/>
      <c r="AY149" s="1107"/>
      <c r="AZ149" s="1107"/>
      <c r="BA149" s="1107"/>
      <c r="BB149" s="1107"/>
      <c r="BC149" s="1107"/>
      <c r="BD149" s="1107"/>
      <c r="BE149" s="1107"/>
      <c r="BF149" s="1107"/>
      <c r="BG149" s="1107"/>
      <c r="BH149" s="1107"/>
      <c r="BI149" s="1107"/>
      <c r="BJ149" s="1107"/>
      <c r="BK149" s="1107"/>
      <c r="BL149" s="1107"/>
      <c r="BM149" s="1107"/>
      <c r="BN149" s="1107"/>
      <c r="BO149" s="1107"/>
      <c r="BP149" s="1107"/>
      <c r="BQ149" s="1107"/>
      <c r="BR149" s="1107"/>
      <c r="BS149" s="1107"/>
      <c r="BT149" s="1107"/>
      <c r="BU149" s="1107"/>
      <c r="BV149" s="1107"/>
      <c r="BW149" s="1107"/>
      <c r="BX149" s="1107"/>
      <c r="BY149" s="1107"/>
      <c r="BZ149" s="1107"/>
      <c r="CA149" s="1107"/>
      <c r="CB149" s="1107"/>
      <c r="CC149" s="1107"/>
      <c r="CD149" s="1107"/>
      <c r="CE149" s="1107"/>
      <c r="CF149" s="1107"/>
      <c r="CG149" s="1107"/>
      <c r="CH149" s="1107"/>
      <c r="CI149" s="1107"/>
      <c r="CJ149" s="1107"/>
      <c r="CK149" s="1107"/>
    </row>
    <row r="150" spans="1:89" ht="15.75" customHeight="1" thickBot="1" x14ac:dyDescent="0.3">
      <c r="A150" s="1107"/>
      <c r="B150" s="2009"/>
      <c r="C150" s="1145" t="s">
        <v>1861</v>
      </c>
      <c r="D150" s="1145" t="s">
        <v>1866</v>
      </c>
      <c r="E150" s="1146" t="s">
        <v>1867</v>
      </c>
      <c r="F150" s="1107"/>
      <c r="G150" s="1107"/>
      <c r="H150" s="1107"/>
      <c r="I150" s="1107"/>
      <c r="J150" s="1107"/>
      <c r="K150" s="1107"/>
      <c r="L150" s="1107"/>
      <c r="M150" s="1107"/>
      <c r="N150" s="1107"/>
      <c r="O150" s="1107"/>
      <c r="P150" s="1108"/>
      <c r="Q150" s="1107"/>
      <c r="R150" s="1107"/>
      <c r="S150" s="1107"/>
      <c r="T150" s="2009"/>
      <c r="U150" s="1145" t="s">
        <v>1861</v>
      </c>
      <c r="V150" s="1145" t="s">
        <v>1866</v>
      </c>
      <c r="W150" s="1146" t="s">
        <v>1867</v>
      </c>
      <c r="X150" s="1107"/>
      <c r="Y150" s="1107"/>
      <c r="Z150" s="1107"/>
      <c r="AA150" s="1107"/>
      <c r="AB150" s="1107"/>
      <c r="AC150" s="1107"/>
      <c r="AD150" s="1107"/>
      <c r="AE150" s="1107"/>
      <c r="AF150" s="1107"/>
      <c r="AG150" s="1107"/>
      <c r="AH150" s="1108"/>
      <c r="AI150" s="1107"/>
      <c r="AJ150" s="1107"/>
      <c r="AK150" s="1107"/>
      <c r="AL150" s="1107"/>
      <c r="AM150" s="1107"/>
      <c r="AN150" s="1107"/>
      <c r="AO150" s="1107"/>
      <c r="AP150" s="1107"/>
      <c r="AQ150" s="1107"/>
      <c r="AR150" s="1107"/>
      <c r="AS150" s="1107"/>
      <c r="AT150" s="1107"/>
      <c r="AU150" s="1107"/>
      <c r="AV150" s="1107"/>
      <c r="AW150" s="1107"/>
      <c r="AX150" s="1107"/>
      <c r="AY150" s="1107"/>
      <c r="AZ150" s="1107"/>
      <c r="BA150" s="1107"/>
      <c r="BB150" s="1107"/>
      <c r="BC150" s="1107"/>
      <c r="BD150" s="1107"/>
      <c r="BE150" s="1107"/>
      <c r="BF150" s="1107"/>
      <c r="BG150" s="1107"/>
      <c r="BH150" s="1107"/>
      <c r="BI150" s="1107"/>
      <c r="BJ150" s="1107"/>
      <c r="BK150" s="1107"/>
      <c r="BL150" s="1107"/>
      <c r="BM150" s="1107"/>
      <c r="BN150" s="1107"/>
      <c r="BO150" s="1107"/>
      <c r="BP150" s="1107"/>
      <c r="BQ150" s="1107"/>
      <c r="BR150" s="1107"/>
      <c r="BS150" s="1107"/>
      <c r="BT150" s="1107"/>
      <c r="BU150" s="1107"/>
      <c r="BV150" s="1107"/>
      <c r="BW150" s="1107"/>
      <c r="BX150" s="1107"/>
      <c r="BY150" s="1107"/>
      <c r="BZ150" s="1107"/>
      <c r="CA150" s="1107"/>
      <c r="CB150" s="1107"/>
      <c r="CC150" s="1107"/>
      <c r="CD150" s="1107"/>
      <c r="CE150" s="1107"/>
      <c r="CF150" s="1107"/>
      <c r="CG150" s="1107"/>
      <c r="CH150" s="1107"/>
      <c r="CI150" s="1107"/>
      <c r="CJ150" s="1107"/>
      <c r="CK150" s="1107"/>
    </row>
    <row r="151" spans="1:89" ht="15.75" customHeight="1" thickBot="1" x14ac:dyDescent="0.3">
      <c r="A151" s="1107"/>
      <c r="B151" s="2006" t="s">
        <v>1868</v>
      </c>
      <c r="C151" s="1147" t="s">
        <v>1869</v>
      </c>
      <c r="D151" s="1148" t="s">
        <v>1859</v>
      </c>
      <c r="E151" s="1148" t="s">
        <v>131</v>
      </c>
      <c r="F151" s="1148" t="s">
        <v>1860</v>
      </c>
      <c r="G151" s="1148" t="s">
        <v>1870</v>
      </c>
      <c r="H151" s="1149" t="s">
        <v>1871</v>
      </c>
      <c r="I151" s="1150" t="s">
        <v>766</v>
      </c>
      <c r="J151" s="1150" t="s">
        <v>767</v>
      </c>
      <c r="K151" s="1150" t="s">
        <v>768</v>
      </c>
      <c r="L151" s="1150" t="s">
        <v>769</v>
      </c>
      <c r="M151" s="1150" t="s">
        <v>204</v>
      </c>
      <c r="N151" s="1107"/>
      <c r="O151" s="1107"/>
      <c r="P151" s="1108"/>
      <c r="Q151" s="1107"/>
      <c r="R151" s="1107"/>
      <c r="S151" s="1107"/>
      <c r="T151" s="2006" t="s">
        <v>1868</v>
      </c>
      <c r="U151" s="1147" t="s">
        <v>1869</v>
      </c>
      <c r="V151" s="1148" t="s">
        <v>1859</v>
      </c>
      <c r="W151" s="1148" t="s">
        <v>131</v>
      </c>
      <c r="X151" s="1148" t="s">
        <v>1860</v>
      </c>
      <c r="Y151" s="1148" t="s">
        <v>1870</v>
      </c>
      <c r="Z151" s="1149" t="s">
        <v>1871</v>
      </c>
      <c r="AA151" s="1150" t="s">
        <v>766</v>
      </c>
      <c r="AB151" s="1150" t="s">
        <v>767</v>
      </c>
      <c r="AC151" s="1150" t="s">
        <v>768</v>
      </c>
      <c r="AD151" s="1150" t="s">
        <v>769</v>
      </c>
      <c r="AE151" s="1150" t="s">
        <v>204</v>
      </c>
      <c r="AF151" s="1107"/>
      <c r="AG151" s="1107"/>
      <c r="AH151" s="1108"/>
      <c r="AI151" s="1107"/>
      <c r="AJ151" s="1107"/>
      <c r="AK151" s="1107"/>
      <c r="AL151" s="1107"/>
      <c r="AM151" s="1107"/>
      <c r="AN151" s="1107"/>
      <c r="AO151" s="1107"/>
      <c r="AP151" s="1107"/>
      <c r="AQ151" s="1107"/>
      <c r="AR151" s="1107"/>
      <c r="AS151" s="1107"/>
      <c r="AT151" s="1107"/>
      <c r="AU151" s="1107"/>
      <c r="AV151" s="1107"/>
      <c r="AW151" s="1107"/>
      <c r="AX151" s="1107"/>
      <c r="AY151" s="1107"/>
      <c r="AZ151" s="1107"/>
      <c r="BA151" s="1107"/>
      <c r="BB151" s="1107"/>
      <c r="BC151" s="1107"/>
      <c r="BD151" s="1107"/>
      <c r="BE151" s="1107"/>
      <c r="BF151" s="1107"/>
      <c r="BG151" s="1107"/>
      <c r="BH151" s="1107"/>
      <c r="BI151" s="1107"/>
      <c r="BJ151" s="1107"/>
      <c r="BK151" s="1107"/>
      <c r="BL151" s="1107"/>
      <c r="BM151" s="1107"/>
      <c r="BN151" s="1107"/>
      <c r="BO151" s="1107"/>
      <c r="BP151" s="1107"/>
      <c r="BQ151" s="1107"/>
      <c r="BR151" s="1107"/>
      <c r="BS151" s="1107"/>
      <c r="BT151" s="1107"/>
      <c r="BU151" s="1107"/>
      <c r="BV151" s="1107"/>
      <c r="BW151" s="1107"/>
      <c r="BX151" s="1107"/>
      <c r="BY151" s="1107"/>
      <c r="BZ151" s="1107"/>
      <c r="CA151" s="1107"/>
      <c r="CB151" s="1107"/>
      <c r="CC151" s="1107"/>
      <c r="CD151" s="1107"/>
      <c r="CE151" s="1107"/>
      <c r="CF151" s="1107"/>
      <c r="CG151" s="1107"/>
      <c r="CH151" s="1107"/>
      <c r="CI151" s="1107"/>
      <c r="CJ151" s="1107"/>
      <c r="CK151" s="1107"/>
    </row>
    <row r="152" spans="1:89" x14ac:dyDescent="0.25">
      <c r="A152" s="1107"/>
      <c r="B152" s="2008"/>
      <c r="C152" s="1151">
        <v>1</v>
      </c>
      <c r="D152" s="1144" t="s">
        <v>1872</v>
      </c>
      <c r="E152" s="1144" t="s">
        <v>1426</v>
      </c>
      <c r="F152" s="1144" t="str">
        <f>'Required Info to Submit'!E23</f>
        <v/>
      </c>
      <c r="G152" s="1414" t="str">
        <f>IF(F152="","",'Required Info to Submit'!K23)</f>
        <v/>
      </c>
      <c r="H152" s="1415" t="str">
        <f>IF(F152="","",'Required Info to Submit'!L23)</f>
        <v/>
      </c>
      <c r="I152" s="1144" t="str">
        <f>'Required Info to Submit'!F23</f>
        <v/>
      </c>
      <c r="J152" s="1144" t="str">
        <f>'Required Info to Submit'!G23</f>
        <v/>
      </c>
      <c r="K152" s="1144" t="str">
        <f>'Required Info to Submit'!H23</f>
        <v/>
      </c>
      <c r="L152" s="1144" t="str">
        <f>'Required Info to Submit'!I23</f>
        <v/>
      </c>
      <c r="M152" s="1144" t="str">
        <f>'Required Info to Submit'!J23</f>
        <v/>
      </c>
      <c r="N152" s="1107"/>
      <c r="O152" s="1107"/>
      <c r="P152" s="1108"/>
      <c r="Q152" s="1107"/>
      <c r="R152" s="1107"/>
      <c r="S152" s="1107"/>
      <c r="T152" s="2008"/>
      <c r="U152" s="1151">
        <v>1</v>
      </c>
      <c r="V152" s="1144" t="s">
        <v>1872</v>
      </c>
      <c r="W152" s="1144" t="s">
        <v>1426</v>
      </c>
      <c r="X152" s="1153" t="str">
        <f>'Required Info to Submit'!E23</f>
        <v/>
      </c>
      <c r="Y152" s="1417" t="str">
        <f>IF(X152="","",'Required Info to Submit'!K23)</f>
        <v/>
      </c>
      <c r="Z152" s="1418" t="str">
        <f>IF(X152="","",'Required Info to Submit'!L23)</f>
        <v/>
      </c>
      <c r="AA152" s="1153" t="str">
        <f>'Required Info to Submit'!F23</f>
        <v/>
      </c>
      <c r="AB152" s="1153" t="str">
        <f>'Required Info to Submit'!G23</f>
        <v/>
      </c>
      <c r="AC152" s="1153" t="str">
        <f>'Required Info to Submit'!H23</f>
        <v/>
      </c>
      <c r="AD152" s="1153" t="str">
        <f>'Required Info to Submit'!I23</f>
        <v/>
      </c>
      <c r="AE152" s="1153" t="str">
        <f>'Required Info to Submit'!J23</f>
        <v/>
      </c>
      <c r="AF152" s="1107"/>
      <c r="AG152" s="1107"/>
      <c r="AH152" s="1108"/>
      <c r="AI152" s="1107"/>
      <c r="AJ152" s="1107"/>
      <c r="AK152" s="1107"/>
      <c r="AL152" s="1107"/>
      <c r="AM152" s="1107"/>
      <c r="AN152" s="1107"/>
      <c r="AO152" s="1107"/>
      <c r="AP152" s="1107"/>
      <c r="AQ152" s="1107"/>
      <c r="AR152" s="1107"/>
      <c r="AS152" s="1107"/>
      <c r="AT152" s="1107"/>
      <c r="AU152" s="1107"/>
      <c r="AV152" s="1107"/>
      <c r="AW152" s="1107"/>
      <c r="AX152" s="1107"/>
      <c r="AY152" s="1107"/>
      <c r="AZ152" s="1107"/>
      <c r="BA152" s="1107"/>
      <c r="BB152" s="1107"/>
      <c r="BC152" s="1107"/>
      <c r="BD152" s="1107"/>
      <c r="BE152" s="1107"/>
      <c r="BF152" s="1107"/>
      <c r="BG152" s="1107"/>
      <c r="BH152" s="1107"/>
      <c r="BI152" s="1107"/>
      <c r="BJ152" s="1107"/>
      <c r="BK152" s="1107"/>
      <c r="BL152" s="1107"/>
      <c r="BM152" s="1107"/>
      <c r="BN152" s="1107"/>
      <c r="BO152" s="1107"/>
      <c r="BP152" s="1107"/>
      <c r="BQ152" s="1107"/>
      <c r="BR152" s="1107"/>
      <c r="BS152" s="1107"/>
      <c r="BT152" s="1107"/>
      <c r="BU152" s="1107"/>
      <c r="BV152" s="1107"/>
      <c r="BW152" s="1107"/>
      <c r="BX152" s="1107"/>
      <c r="BY152" s="1107"/>
      <c r="BZ152" s="1107"/>
      <c r="CA152" s="1107"/>
      <c r="CB152" s="1107"/>
      <c r="CC152" s="1107"/>
      <c r="CD152" s="1107"/>
      <c r="CE152" s="1107"/>
      <c r="CF152" s="1107"/>
      <c r="CG152" s="1107"/>
      <c r="CH152" s="1107"/>
      <c r="CI152" s="1107"/>
      <c r="CJ152" s="1107"/>
      <c r="CK152" s="1107"/>
    </row>
    <row r="153" spans="1:89" x14ac:dyDescent="0.25">
      <c r="A153" s="1107"/>
      <c r="B153" s="2008"/>
      <c r="C153" s="1154">
        <v>2</v>
      </c>
      <c r="D153" s="1144" t="s">
        <v>1872</v>
      </c>
      <c r="E153" s="1144" t="s">
        <v>1426</v>
      </c>
      <c r="F153" s="1144" t="str">
        <f>'Required Info to Submit'!E24</f>
        <v/>
      </c>
      <c r="G153" s="1414" t="str">
        <f>IF(F153="","",'Required Info to Submit'!K24)</f>
        <v/>
      </c>
      <c r="H153" s="1415" t="str">
        <f>IF(F153="","",'Required Info to Submit'!L24)</f>
        <v/>
      </c>
      <c r="I153" s="1144" t="str">
        <f>'Required Info to Submit'!F24</f>
        <v/>
      </c>
      <c r="J153" s="1144" t="str">
        <f>'Required Info to Submit'!G24</f>
        <v/>
      </c>
      <c r="K153" s="1144" t="str">
        <f>'Required Info to Submit'!H24</f>
        <v/>
      </c>
      <c r="L153" s="1144" t="str">
        <f>'Required Info to Submit'!I24</f>
        <v/>
      </c>
      <c r="M153" s="1144" t="str">
        <f>'Required Info to Submit'!J24</f>
        <v/>
      </c>
      <c r="N153" s="1107"/>
      <c r="O153" s="1107"/>
      <c r="P153" s="1108"/>
      <c r="Q153" s="1107"/>
      <c r="R153" s="1107"/>
      <c r="S153" s="1107"/>
      <c r="T153" s="2008"/>
      <c r="U153" s="1154">
        <v>2</v>
      </c>
      <c r="V153" s="1144" t="s">
        <v>1872</v>
      </c>
      <c r="W153" s="1144" t="s">
        <v>1426</v>
      </c>
      <c r="X153" s="1153" t="str">
        <f>'Required Info to Submit'!E24</f>
        <v/>
      </c>
      <c r="Y153" s="1417" t="str">
        <f>IF(X153="","",'Required Info to Submit'!K24)</f>
        <v/>
      </c>
      <c r="Z153" s="1418" t="str">
        <f>IF(X153="","",'Required Info to Submit'!L24)</f>
        <v/>
      </c>
      <c r="AA153" s="1153" t="str">
        <f>'Required Info to Submit'!F24</f>
        <v/>
      </c>
      <c r="AB153" s="1153" t="str">
        <f>'Required Info to Submit'!G24</f>
        <v/>
      </c>
      <c r="AC153" s="1153" t="str">
        <f>'Required Info to Submit'!H24</f>
        <v/>
      </c>
      <c r="AD153" s="1153" t="str">
        <f>'Required Info to Submit'!I24</f>
        <v/>
      </c>
      <c r="AE153" s="1153" t="str">
        <f>'Required Info to Submit'!J24</f>
        <v/>
      </c>
      <c r="AF153" s="1107"/>
      <c r="AG153" s="1107"/>
      <c r="AH153" s="1108"/>
      <c r="AI153" s="1107"/>
      <c r="AJ153" s="1107"/>
      <c r="AK153" s="1107"/>
      <c r="AL153" s="1107"/>
      <c r="AM153" s="1107"/>
      <c r="AN153" s="1107"/>
      <c r="AO153" s="1107"/>
      <c r="AP153" s="1107"/>
      <c r="AQ153" s="1107"/>
      <c r="AR153" s="1107"/>
      <c r="AS153" s="1107"/>
      <c r="AT153" s="1107"/>
      <c r="AU153" s="1107"/>
      <c r="AV153" s="1107"/>
      <c r="AW153" s="1107"/>
      <c r="AX153" s="1107"/>
      <c r="AY153" s="1107"/>
      <c r="AZ153" s="1107"/>
      <c r="BA153" s="1107"/>
      <c r="BB153" s="1107"/>
      <c r="BC153" s="1107"/>
      <c r="BD153" s="1107"/>
      <c r="BE153" s="1107"/>
      <c r="BF153" s="1107"/>
      <c r="BG153" s="1107"/>
      <c r="BH153" s="1107"/>
      <c r="BI153" s="1107"/>
      <c r="BJ153" s="1107"/>
      <c r="BK153" s="1107"/>
      <c r="BL153" s="1107"/>
      <c r="BM153" s="1107"/>
      <c r="BN153" s="1107"/>
      <c r="BO153" s="1107"/>
      <c r="BP153" s="1107"/>
      <c r="BQ153" s="1107"/>
      <c r="BR153" s="1107"/>
      <c r="BS153" s="1107"/>
      <c r="BT153" s="1107"/>
      <c r="BU153" s="1107"/>
      <c r="BV153" s="1107"/>
      <c r="BW153" s="1107"/>
      <c r="BX153" s="1107"/>
      <c r="BY153" s="1107"/>
      <c r="BZ153" s="1107"/>
      <c r="CA153" s="1107"/>
      <c r="CB153" s="1107"/>
      <c r="CC153" s="1107"/>
      <c r="CD153" s="1107"/>
      <c r="CE153" s="1107"/>
      <c r="CF153" s="1107"/>
      <c r="CG153" s="1107"/>
      <c r="CH153" s="1107"/>
      <c r="CI153" s="1107"/>
      <c r="CJ153" s="1107"/>
      <c r="CK153" s="1107"/>
    </row>
    <row r="154" spans="1:89" x14ac:dyDescent="0.25">
      <c r="A154" s="1107"/>
      <c r="B154" s="2008"/>
      <c r="C154" s="1154">
        <v>3</v>
      </c>
      <c r="D154" s="1144" t="s">
        <v>1872</v>
      </c>
      <c r="E154" s="1144" t="s">
        <v>1426</v>
      </c>
      <c r="F154" s="1144" t="str">
        <f>'Required Info to Submit'!E25</f>
        <v/>
      </c>
      <c r="G154" s="1414" t="str">
        <f>IF(F154="","",'Required Info to Submit'!K25)</f>
        <v/>
      </c>
      <c r="H154" s="1415" t="str">
        <f>IF(F154="","",'Required Info to Submit'!L25)</f>
        <v/>
      </c>
      <c r="I154" s="1144" t="str">
        <f>'Required Info to Submit'!F25</f>
        <v/>
      </c>
      <c r="J154" s="1144" t="str">
        <f>'Required Info to Submit'!G25</f>
        <v/>
      </c>
      <c r="K154" s="1144" t="str">
        <f>'Required Info to Submit'!H25</f>
        <v/>
      </c>
      <c r="L154" s="1144" t="str">
        <f>'Required Info to Submit'!I25</f>
        <v/>
      </c>
      <c r="M154" s="1144" t="str">
        <f>'Required Info to Submit'!J25</f>
        <v/>
      </c>
      <c r="N154" s="1107"/>
      <c r="O154" s="1107"/>
      <c r="P154" s="1108"/>
      <c r="Q154" s="1107"/>
      <c r="R154" s="1107"/>
      <c r="S154" s="1107"/>
      <c r="T154" s="2008"/>
      <c r="U154" s="1154">
        <v>3</v>
      </c>
      <c r="V154" s="1144" t="s">
        <v>1872</v>
      </c>
      <c r="W154" s="1144" t="s">
        <v>1426</v>
      </c>
      <c r="X154" s="1153" t="str">
        <f>'Required Info to Submit'!E25</f>
        <v/>
      </c>
      <c r="Y154" s="1417" t="str">
        <f>IF(X154="","",'Required Info to Submit'!K25)</f>
        <v/>
      </c>
      <c r="Z154" s="1418" t="str">
        <f>IF(X154="","",'Required Info to Submit'!L25)</f>
        <v/>
      </c>
      <c r="AA154" s="1153" t="str">
        <f>'Required Info to Submit'!F25</f>
        <v/>
      </c>
      <c r="AB154" s="1153" t="str">
        <f>'Required Info to Submit'!G25</f>
        <v/>
      </c>
      <c r="AC154" s="1153" t="str">
        <f>'Required Info to Submit'!H25</f>
        <v/>
      </c>
      <c r="AD154" s="1153" t="str">
        <f>'Required Info to Submit'!I25</f>
        <v/>
      </c>
      <c r="AE154" s="1153" t="str">
        <f>'Required Info to Submit'!J25</f>
        <v/>
      </c>
      <c r="AF154" s="1107"/>
      <c r="AG154" s="1107"/>
      <c r="AH154" s="1108"/>
      <c r="AI154" s="1107"/>
      <c r="AJ154" s="1107"/>
      <c r="AK154" s="1107"/>
      <c r="AL154" s="1107"/>
      <c r="AM154" s="1107"/>
      <c r="AN154" s="1107"/>
      <c r="AO154" s="1107"/>
      <c r="AP154" s="1107"/>
      <c r="AQ154" s="1107"/>
      <c r="AR154" s="1107"/>
      <c r="AS154" s="1107"/>
      <c r="AT154" s="1107"/>
      <c r="AU154" s="1107"/>
      <c r="AV154" s="1107"/>
      <c r="AW154" s="1107"/>
      <c r="AX154" s="1107"/>
      <c r="AY154" s="1107"/>
      <c r="AZ154" s="1107"/>
      <c r="BA154" s="1107"/>
      <c r="BB154" s="1107"/>
      <c r="BC154" s="1107"/>
      <c r="BD154" s="1107"/>
      <c r="BE154" s="1107"/>
      <c r="BF154" s="1107"/>
      <c r="BG154" s="1107"/>
      <c r="BH154" s="1107"/>
      <c r="BI154" s="1107"/>
      <c r="BJ154" s="1107"/>
      <c r="BK154" s="1107"/>
      <c r="BL154" s="1107"/>
      <c r="BM154" s="1107"/>
      <c r="BN154" s="1107"/>
      <c r="BO154" s="1107"/>
      <c r="BP154" s="1107"/>
      <c r="BQ154" s="1107"/>
      <c r="BR154" s="1107"/>
      <c r="BS154" s="1107"/>
      <c r="BT154" s="1107"/>
      <c r="BU154" s="1107"/>
      <c r="BV154" s="1107"/>
      <c r="BW154" s="1107"/>
      <c r="BX154" s="1107"/>
      <c r="BY154" s="1107"/>
      <c r="BZ154" s="1107"/>
      <c r="CA154" s="1107"/>
      <c r="CB154" s="1107"/>
      <c r="CC154" s="1107"/>
      <c r="CD154" s="1107"/>
      <c r="CE154" s="1107"/>
      <c r="CF154" s="1107"/>
      <c r="CG154" s="1107"/>
      <c r="CH154" s="1107"/>
      <c r="CI154" s="1107"/>
      <c r="CJ154" s="1107"/>
      <c r="CK154" s="1107"/>
    </row>
    <row r="155" spans="1:89" x14ac:dyDescent="0.25">
      <c r="A155" s="1107"/>
      <c r="B155" s="2008"/>
      <c r="C155" s="1154">
        <v>4</v>
      </c>
      <c r="D155" s="1144" t="s">
        <v>1872</v>
      </c>
      <c r="E155" s="1144" t="s">
        <v>1426</v>
      </c>
      <c r="F155" s="1144" t="str">
        <f>'Required Info to Submit'!E26</f>
        <v/>
      </c>
      <c r="G155" s="1414" t="str">
        <f>IF(F155="","",'Required Info to Submit'!K26)</f>
        <v/>
      </c>
      <c r="H155" s="1415" t="str">
        <f>IF(F155="","",'Required Info to Submit'!L26)</f>
        <v/>
      </c>
      <c r="I155" s="1144" t="str">
        <f>'Required Info to Submit'!F26</f>
        <v/>
      </c>
      <c r="J155" s="1144" t="str">
        <f>'Required Info to Submit'!G26</f>
        <v/>
      </c>
      <c r="K155" s="1144" t="str">
        <f>'Required Info to Submit'!H26</f>
        <v/>
      </c>
      <c r="L155" s="1144" t="str">
        <f>'Required Info to Submit'!I26</f>
        <v/>
      </c>
      <c r="M155" s="1144" t="str">
        <f>'Required Info to Submit'!J26</f>
        <v/>
      </c>
      <c r="N155" s="1107"/>
      <c r="O155" s="1107"/>
      <c r="P155" s="1108"/>
      <c r="Q155" s="1107"/>
      <c r="R155" s="1107"/>
      <c r="S155" s="1107"/>
      <c r="T155" s="2008"/>
      <c r="U155" s="1154">
        <v>4</v>
      </c>
      <c r="V155" s="1144" t="s">
        <v>1872</v>
      </c>
      <c r="W155" s="1144" t="s">
        <v>1426</v>
      </c>
      <c r="X155" s="1153" t="str">
        <f>'Required Info to Submit'!E26</f>
        <v/>
      </c>
      <c r="Y155" s="1417" t="str">
        <f>IF(X155="","",'Required Info to Submit'!K26)</f>
        <v/>
      </c>
      <c r="Z155" s="1418" t="str">
        <f>IF(X155="","",'Required Info to Submit'!L26)</f>
        <v/>
      </c>
      <c r="AA155" s="1153" t="str">
        <f>'Required Info to Submit'!F26</f>
        <v/>
      </c>
      <c r="AB155" s="1153" t="str">
        <f>'Required Info to Submit'!G26</f>
        <v/>
      </c>
      <c r="AC155" s="1153" t="str">
        <f>'Required Info to Submit'!H26</f>
        <v/>
      </c>
      <c r="AD155" s="1153" t="str">
        <f>'Required Info to Submit'!I26</f>
        <v/>
      </c>
      <c r="AE155" s="1153" t="str">
        <f>'Required Info to Submit'!J26</f>
        <v/>
      </c>
      <c r="AF155" s="1107"/>
      <c r="AG155" s="1107"/>
      <c r="AH155" s="1108"/>
      <c r="AI155" s="1107"/>
      <c r="AJ155" s="1107"/>
      <c r="AK155" s="1107"/>
      <c r="AL155" s="1107"/>
      <c r="AM155" s="1107"/>
      <c r="AN155" s="1107"/>
      <c r="AO155" s="1107"/>
      <c r="AP155" s="1107"/>
      <c r="AQ155" s="1107"/>
      <c r="AR155" s="1107"/>
      <c r="AS155" s="1107"/>
      <c r="AT155" s="1107"/>
      <c r="AU155" s="1107"/>
      <c r="AV155" s="1107"/>
      <c r="AW155" s="1107"/>
      <c r="AX155" s="1107"/>
      <c r="AY155" s="1107"/>
      <c r="AZ155" s="1107"/>
      <c r="BA155" s="1107"/>
      <c r="BB155" s="1107"/>
      <c r="BC155" s="1107"/>
      <c r="BD155" s="1107"/>
      <c r="BE155" s="1107"/>
      <c r="BF155" s="1107"/>
      <c r="BG155" s="1107"/>
      <c r="BH155" s="1107"/>
      <c r="BI155" s="1107"/>
      <c r="BJ155" s="1107"/>
      <c r="BK155" s="1107"/>
      <c r="BL155" s="1107"/>
      <c r="BM155" s="1107"/>
      <c r="BN155" s="1107"/>
      <c r="BO155" s="1107"/>
      <c r="BP155" s="1107"/>
      <c r="BQ155" s="1107"/>
      <c r="BR155" s="1107"/>
      <c r="BS155" s="1107"/>
      <c r="BT155" s="1107"/>
      <c r="BU155" s="1107"/>
      <c r="BV155" s="1107"/>
      <c r="BW155" s="1107"/>
      <c r="BX155" s="1107"/>
      <c r="BY155" s="1107"/>
      <c r="BZ155" s="1107"/>
      <c r="CA155" s="1107"/>
      <c r="CB155" s="1107"/>
      <c r="CC155" s="1107"/>
      <c r="CD155" s="1107"/>
      <c r="CE155" s="1107"/>
      <c r="CF155" s="1107"/>
      <c r="CG155" s="1107"/>
      <c r="CH155" s="1107"/>
      <c r="CI155" s="1107"/>
      <c r="CJ155" s="1107"/>
      <c r="CK155" s="1107"/>
    </row>
    <row r="156" spans="1:89" x14ac:dyDescent="0.25">
      <c r="A156" s="1107"/>
      <c r="B156" s="2008"/>
      <c r="C156" s="1154">
        <v>5</v>
      </c>
      <c r="D156" s="1144" t="s">
        <v>1872</v>
      </c>
      <c r="E156" s="1144" t="s">
        <v>1426</v>
      </c>
      <c r="F156" s="1144" t="str">
        <f>'Required Info to Submit'!E27</f>
        <v/>
      </c>
      <c r="G156" s="1414" t="str">
        <f>IF(F156="","",'Required Info to Submit'!K27)</f>
        <v/>
      </c>
      <c r="H156" s="1415" t="str">
        <f>IF(F156="","",'Required Info to Submit'!L27)</f>
        <v/>
      </c>
      <c r="I156" s="1144" t="str">
        <f>'Required Info to Submit'!F27</f>
        <v/>
      </c>
      <c r="J156" s="1144" t="str">
        <f>'Required Info to Submit'!G27</f>
        <v/>
      </c>
      <c r="K156" s="1144" t="str">
        <f>'Required Info to Submit'!H27</f>
        <v/>
      </c>
      <c r="L156" s="1144" t="str">
        <f>'Required Info to Submit'!I27</f>
        <v/>
      </c>
      <c r="M156" s="1144" t="str">
        <f>'Required Info to Submit'!J27</f>
        <v/>
      </c>
      <c r="N156" s="1107"/>
      <c r="O156" s="1107"/>
      <c r="P156" s="1108"/>
      <c r="Q156" s="1107"/>
      <c r="R156" s="1107"/>
      <c r="S156" s="1107"/>
      <c r="T156" s="2008"/>
      <c r="U156" s="1154">
        <v>5</v>
      </c>
      <c r="V156" s="1144" t="s">
        <v>1872</v>
      </c>
      <c r="W156" s="1144" t="s">
        <v>1426</v>
      </c>
      <c r="X156" s="1153" t="str">
        <f>'Required Info to Submit'!E27</f>
        <v/>
      </c>
      <c r="Y156" s="1417" t="str">
        <f>IF(X156="","",'Required Info to Submit'!K27)</f>
        <v/>
      </c>
      <c r="Z156" s="1418" t="str">
        <f>IF(X156="","",'Required Info to Submit'!L27)</f>
        <v/>
      </c>
      <c r="AA156" s="1153" t="str">
        <f>'Required Info to Submit'!F27</f>
        <v/>
      </c>
      <c r="AB156" s="1153" t="str">
        <f>'Required Info to Submit'!G27</f>
        <v/>
      </c>
      <c r="AC156" s="1153" t="str">
        <f>'Required Info to Submit'!H27</f>
        <v/>
      </c>
      <c r="AD156" s="1153" t="str">
        <f>'Required Info to Submit'!I27</f>
        <v/>
      </c>
      <c r="AE156" s="1153" t="str">
        <f>'Required Info to Submit'!J27</f>
        <v/>
      </c>
      <c r="AF156" s="1107"/>
      <c r="AG156" s="1107"/>
      <c r="AH156" s="1108"/>
      <c r="AI156" s="1107"/>
      <c r="AJ156" s="1107"/>
      <c r="AK156" s="1107"/>
      <c r="AL156" s="1107"/>
      <c r="AM156" s="1107"/>
      <c r="AN156" s="1107"/>
      <c r="AO156" s="1107"/>
      <c r="AP156" s="1107"/>
      <c r="AQ156" s="1107"/>
      <c r="AR156" s="1107"/>
      <c r="AS156" s="1107"/>
      <c r="AT156" s="1107"/>
      <c r="AU156" s="1107"/>
      <c r="AV156" s="1107"/>
      <c r="AW156" s="1107"/>
      <c r="AX156" s="1107"/>
      <c r="AY156" s="1107"/>
      <c r="AZ156" s="1107"/>
      <c r="BA156" s="1107"/>
      <c r="BB156" s="1107"/>
      <c r="BC156" s="1107"/>
      <c r="BD156" s="1107"/>
      <c r="BE156" s="1107"/>
      <c r="BF156" s="1107"/>
      <c r="BG156" s="1107"/>
      <c r="BH156" s="1107"/>
      <c r="BI156" s="1107"/>
      <c r="BJ156" s="1107"/>
      <c r="BK156" s="1107"/>
      <c r="BL156" s="1107"/>
      <c r="BM156" s="1107"/>
      <c r="BN156" s="1107"/>
      <c r="BO156" s="1107"/>
      <c r="BP156" s="1107"/>
      <c r="BQ156" s="1107"/>
      <c r="BR156" s="1107"/>
      <c r="BS156" s="1107"/>
      <c r="BT156" s="1107"/>
      <c r="BU156" s="1107"/>
      <c r="BV156" s="1107"/>
      <c r="BW156" s="1107"/>
      <c r="BX156" s="1107"/>
      <c r="BY156" s="1107"/>
      <c r="BZ156" s="1107"/>
      <c r="CA156" s="1107"/>
      <c r="CB156" s="1107"/>
      <c r="CC156" s="1107"/>
      <c r="CD156" s="1107"/>
      <c r="CE156" s="1107"/>
      <c r="CF156" s="1107"/>
      <c r="CG156" s="1107"/>
      <c r="CH156" s="1107"/>
      <c r="CI156" s="1107"/>
      <c r="CJ156" s="1107"/>
      <c r="CK156" s="1107"/>
    </row>
    <row r="157" spans="1:89" x14ac:dyDescent="0.25">
      <c r="A157" s="1107"/>
      <c r="B157" s="2008"/>
      <c r="C157" s="1154">
        <v>6</v>
      </c>
      <c r="D157" s="1144" t="s">
        <v>1872</v>
      </c>
      <c r="E157" s="1144" t="s">
        <v>1426</v>
      </c>
      <c r="F157" s="1144" t="str">
        <f>'Required Info to Submit'!E28</f>
        <v/>
      </c>
      <c r="G157" s="1414" t="str">
        <f>IF(F157="","",'Required Info to Submit'!K28)</f>
        <v/>
      </c>
      <c r="H157" s="1415" t="str">
        <f>IF(F157="","",'Required Info to Submit'!L28)</f>
        <v/>
      </c>
      <c r="I157" s="1144" t="str">
        <f>'Required Info to Submit'!F28</f>
        <v/>
      </c>
      <c r="J157" s="1144" t="str">
        <f>'Required Info to Submit'!G28</f>
        <v/>
      </c>
      <c r="K157" s="1144" t="str">
        <f>'Required Info to Submit'!H28</f>
        <v/>
      </c>
      <c r="L157" s="1144" t="str">
        <f>'Required Info to Submit'!I28</f>
        <v/>
      </c>
      <c r="M157" s="1144" t="str">
        <f>'Required Info to Submit'!J28</f>
        <v/>
      </c>
      <c r="N157" s="1107"/>
      <c r="O157" s="1107"/>
      <c r="P157" s="1108"/>
      <c r="Q157" s="1107"/>
      <c r="R157" s="1107"/>
      <c r="S157" s="1107"/>
      <c r="T157" s="2008"/>
      <c r="U157" s="1154">
        <v>6</v>
      </c>
      <c r="V157" s="1144" t="s">
        <v>1872</v>
      </c>
      <c r="W157" s="1144" t="s">
        <v>1426</v>
      </c>
      <c r="X157" s="1153" t="str">
        <f>'Required Info to Submit'!E28</f>
        <v/>
      </c>
      <c r="Y157" s="1417" t="str">
        <f>IF(X157="","",'Required Info to Submit'!K28)</f>
        <v/>
      </c>
      <c r="Z157" s="1418" t="str">
        <f>IF(X157="","",'Required Info to Submit'!L28)</f>
        <v/>
      </c>
      <c r="AA157" s="1153" t="str">
        <f>'Required Info to Submit'!F28</f>
        <v/>
      </c>
      <c r="AB157" s="1153" t="str">
        <f>'Required Info to Submit'!G28</f>
        <v/>
      </c>
      <c r="AC157" s="1153" t="str">
        <f>'Required Info to Submit'!H28</f>
        <v/>
      </c>
      <c r="AD157" s="1153" t="str">
        <f>'Required Info to Submit'!I28</f>
        <v/>
      </c>
      <c r="AE157" s="1153" t="str">
        <f>'Required Info to Submit'!J28</f>
        <v/>
      </c>
      <c r="AF157" s="1107"/>
      <c r="AG157" s="1107"/>
      <c r="AH157" s="1108"/>
      <c r="AI157" s="1107"/>
      <c r="AJ157" s="1107"/>
      <c r="AK157" s="1107"/>
      <c r="AL157" s="1107"/>
      <c r="AM157" s="1107"/>
      <c r="AN157" s="1107"/>
      <c r="AO157" s="1107"/>
      <c r="AP157" s="1107"/>
      <c r="AQ157" s="1107"/>
      <c r="AR157" s="1107"/>
      <c r="AS157" s="1107"/>
      <c r="AT157" s="1107"/>
      <c r="AU157" s="1107"/>
      <c r="AV157" s="1107"/>
      <c r="AW157" s="1107"/>
      <c r="AX157" s="1107"/>
      <c r="AY157" s="1107"/>
      <c r="AZ157" s="1107"/>
      <c r="BA157" s="1107"/>
      <c r="BB157" s="1107"/>
      <c r="BC157" s="1107"/>
      <c r="BD157" s="1107"/>
      <c r="BE157" s="1107"/>
      <c r="BF157" s="1107"/>
      <c r="BG157" s="1107"/>
      <c r="BH157" s="1107"/>
      <c r="BI157" s="1107"/>
      <c r="BJ157" s="1107"/>
      <c r="BK157" s="1107"/>
      <c r="BL157" s="1107"/>
      <c r="BM157" s="1107"/>
      <c r="BN157" s="1107"/>
      <c r="BO157" s="1107"/>
      <c r="BP157" s="1107"/>
      <c r="BQ157" s="1107"/>
      <c r="BR157" s="1107"/>
      <c r="BS157" s="1107"/>
      <c r="BT157" s="1107"/>
      <c r="BU157" s="1107"/>
      <c r="BV157" s="1107"/>
      <c r="BW157" s="1107"/>
      <c r="BX157" s="1107"/>
      <c r="BY157" s="1107"/>
      <c r="BZ157" s="1107"/>
      <c r="CA157" s="1107"/>
      <c r="CB157" s="1107"/>
      <c r="CC157" s="1107"/>
      <c r="CD157" s="1107"/>
      <c r="CE157" s="1107"/>
      <c r="CF157" s="1107"/>
      <c r="CG157" s="1107"/>
      <c r="CH157" s="1107"/>
      <c r="CI157" s="1107"/>
      <c r="CJ157" s="1107"/>
      <c r="CK157" s="1107"/>
    </row>
    <row r="158" spans="1:89" x14ac:dyDescent="0.25">
      <c r="A158" s="1107"/>
      <c r="B158" s="2008"/>
      <c r="C158" s="1154">
        <v>7</v>
      </c>
      <c r="D158" s="1144" t="s">
        <v>1872</v>
      </c>
      <c r="E158" s="1144" t="s">
        <v>1426</v>
      </c>
      <c r="F158" s="1144" t="str">
        <f>'Required Info to Submit'!E29</f>
        <v/>
      </c>
      <c r="G158" s="1414" t="str">
        <f>IF(F158="","",'Required Info to Submit'!K29)</f>
        <v/>
      </c>
      <c r="H158" s="1415" t="str">
        <f>IF(F158="","",'Required Info to Submit'!L29)</f>
        <v/>
      </c>
      <c r="I158" s="1144" t="str">
        <f>'Required Info to Submit'!F29</f>
        <v/>
      </c>
      <c r="J158" s="1144" t="str">
        <f>'Required Info to Submit'!G29</f>
        <v/>
      </c>
      <c r="K158" s="1144" t="str">
        <f>'Required Info to Submit'!H29</f>
        <v/>
      </c>
      <c r="L158" s="1144" t="str">
        <f>'Required Info to Submit'!I29</f>
        <v/>
      </c>
      <c r="M158" s="1144" t="str">
        <f>'Required Info to Submit'!J29</f>
        <v/>
      </c>
      <c r="N158" s="1107"/>
      <c r="O158" s="1107"/>
      <c r="P158" s="1108"/>
      <c r="Q158" s="1107"/>
      <c r="R158" s="1107"/>
      <c r="S158" s="1107"/>
      <c r="T158" s="2008"/>
      <c r="U158" s="1154">
        <v>7</v>
      </c>
      <c r="V158" s="1144" t="s">
        <v>1872</v>
      </c>
      <c r="W158" s="1144" t="s">
        <v>1426</v>
      </c>
      <c r="X158" s="1153" t="str">
        <f>'Required Info to Submit'!E29</f>
        <v/>
      </c>
      <c r="Y158" s="1417" t="str">
        <f>IF(X158="","",'Required Info to Submit'!K29)</f>
        <v/>
      </c>
      <c r="Z158" s="1418" t="str">
        <f>IF(X158="","",'Required Info to Submit'!L29)</f>
        <v/>
      </c>
      <c r="AA158" s="1153" t="str">
        <f>'Required Info to Submit'!F29</f>
        <v/>
      </c>
      <c r="AB158" s="1153" t="str">
        <f>'Required Info to Submit'!G29</f>
        <v/>
      </c>
      <c r="AC158" s="1153" t="str">
        <f>'Required Info to Submit'!H29</f>
        <v/>
      </c>
      <c r="AD158" s="1153" t="str">
        <f>'Required Info to Submit'!I29</f>
        <v/>
      </c>
      <c r="AE158" s="1153" t="str">
        <f>'Required Info to Submit'!J29</f>
        <v/>
      </c>
      <c r="AF158" s="1107"/>
      <c r="AG158" s="1107"/>
      <c r="AH158" s="1108"/>
      <c r="AI158" s="1107"/>
      <c r="AJ158" s="1107"/>
      <c r="AK158" s="1107"/>
      <c r="AL158" s="1107"/>
      <c r="AM158" s="1107"/>
      <c r="AN158" s="1107"/>
      <c r="AO158" s="1107"/>
      <c r="AP158" s="1107"/>
      <c r="AQ158" s="1107"/>
      <c r="AR158" s="1107"/>
      <c r="AS158" s="1107"/>
      <c r="AT158" s="1107"/>
      <c r="AU158" s="1107"/>
      <c r="AV158" s="1107"/>
      <c r="AW158" s="1107"/>
      <c r="AX158" s="1107"/>
      <c r="AY158" s="1107"/>
      <c r="AZ158" s="1107"/>
      <c r="BA158" s="1107"/>
      <c r="BB158" s="1107"/>
      <c r="BC158" s="1107"/>
      <c r="BD158" s="1107"/>
      <c r="BE158" s="1107"/>
      <c r="BF158" s="1107"/>
      <c r="BG158" s="1107"/>
      <c r="BH158" s="1107"/>
      <c r="BI158" s="1107"/>
      <c r="BJ158" s="1107"/>
      <c r="BK158" s="1107"/>
      <c r="BL158" s="1107"/>
      <c r="BM158" s="1107"/>
      <c r="BN158" s="1107"/>
      <c r="BO158" s="1107"/>
      <c r="BP158" s="1107"/>
      <c r="BQ158" s="1107"/>
      <c r="BR158" s="1107"/>
      <c r="BS158" s="1107"/>
      <c r="BT158" s="1107"/>
      <c r="BU158" s="1107"/>
      <c r="BV158" s="1107"/>
      <c r="BW158" s="1107"/>
      <c r="BX158" s="1107"/>
      <c r="BY158" s="1107"/>
      <c r="BZ158" s="1107"/>
      <c r="CA158" s="1107"/>
      <c r="CB158" s="1107"/>
      <c r="CC158" s="1107"/>
      <c r="CD158" s="1107"/>
      <c r="CE158" s="1107"/>
      <c r="CF158" s="1107"/>
      <c r="CG158" s="1107"/>
      <c r="CH158" s="1107"/>
      <c r="CI158" s="1107"/>
      <c r="CJ158" s="1107"/>
      <c r="CK158" s="1107"/>
    </row>
    <row r="159" spans="1:89" x14ac:dyDescent="0.25">
      <c r="A159" s="1107"/>
      <c r="B159" s="2008"/>
      <c r="C159" s="1154">
        <v>8</v>
      </c>
      <c r="D159" s="1144" t="s">
        <v>1872</v>
      </c>
      <c r="E159" s="1144" t="s">
        <v>1426</v>
      </c>
      <c r="F159" s="1144" t="str">
        <f>'Required Info to Submit'!E30</f>
        <v/>
      </c>
      <c r="G159" s="1414" t="str">
        <f>IF(F159="","",'Required Info to Submit'!K30)</f>
        <v/>
      </c>
      <c r="H159" s="1415" t="str">
        <f>IF(F159="","",'Required Info to Submit'!L30)</f>
        <v/>
      </c>
      <c r="I159" s="1144" t="str">
        <f>'Required Info to Submit'!F30</f>
        <v/>
      </c>
      <c r="J159" s="1144" t="str">
        <f>'Required Info to Submit'!G30</f>
        <v/>
      </c>
      <c r="K159" s="1144" t="str">
        <f>'Required Info to Submit'!H30</f>
        <v/>
      </c>
      <c r="L159" s="1144" t="str">
        <f>'Required Info to Submit'!I30</f>
        <v/>
      </c>
      <c r="M159" s="1144" t="str">
        <f>'Required Info to Submit'!J30</f>
        <v/>
      </c>
      <c r="N159" s="1107"/>
      <c r="O159" s="1107"/>
      <c r="P159" s="1108"/>
      <c r="Q159" s="1107"/>
      <c r="R159" s="1107"/>
      <c r="S159" s="1107"/>
      <c r="T159" s="2008"/>
      <c r="U159" s="1154">
        <v>8</v>
      </c>
      <c r="V159" s="1144" t="s">
        <v>1872</v>
      </c>
      <c r="W159" s="1144" t="s">
        <v>1426</v>
      </c>
      <c r="X159" s="1153" t="str">
        <f>'Required Info to Submit'!E30</f>
        <v/>
      </c>
      <c r="Y159" s="1417" t="str">
        <f>IF(X159="","",'Required Info to Submit'!K30)</f>
        <v/>
      </c>
      <c r="Z159" s="1418" t="str">
        <f>IF(X159="","",'Required Info to Submit'!L30)</f>
        <v/>
      </c>
      <c r="AA159" s="1153" t="str">
        <f>'Required Info to Submit'!F30</f>
        <v/>
      </c>
      <c r="AB159" s="1153" t="str">
        <f>'Required Info to Submit'!G30</f>
        <v/>
      </c>
      <c r="AC159" s="1153" t="str">
        <f>'Required Info to Submit'!H30</f>
        <v/>
      </c>
      <c r="AD159" s="1153" t="str">
        <f>'Required Info to Submit'!I30</f>
        <v/>
      </c>
      <c r="AE159" s="1153" t="str">
        <f>'Required Info to Submit'!J30</f>
        <v/>
      </c>
      <c r="AF159" s="1107"/>
      <c r="AG159" s="1107"/>
      <c r="AH159" s="1108"/>
      <c r="AI159" s="1107"/>
      <c r="AJ159" s="1107"/>
      <c r="AK159" s="1107"/>
      <c r="AL159" s="1107"/>
      <c r="AM159" s="1107"/>
      <c r="AN159" s="1107"/>
      <c r="AO159" s="1107"/>
      <c r="AP159" s="1107"/>
      <c r="AQ159" s="1107"/>
      <c r="AR159" s="1107"/>
      <c r="AS159" s="1107"/>
      <c r="AT159" s="1107"/>
      <c r="AU159" s="1107"/>
      <c r="AV159" s="1107"/>
      <c r="AW159" s="1107"/>
      <c r="AX159" s="1107"/>
      <c r="AY159" s="1107"/>
      <c r="AZ159" s="1107"/>
      <c r="BA159" s="1107"/>
      <c r="BB159" s="1107"/>
      <c r="BC159" s="1107"/>
      <c r="BD159" s="1107"/>
      <c r="BE159" s="1107"/>
      <c r="BF159" s="1107"/>
      <c r="BG159" s="1107"/>
      <c r="BH159" s="1107"/>
      <c r="BI159" s="1107"/>
      <c r="BJ159" s="1107"/>
      <c r="BK159" s="1107"/>
      <c r="BL159" s="1107"/>
      <c r="BM159" s="1107"/>
      <c r="BN159" s="1107"/>
      <c r="BO159" s="1107"/>
      <c r="BP159" s="1107"/>
      <c r="BQ159" s="1107"/>
      <c r="BR159" s="1107"/>
      <c r="BS159" s="1107"/>
      <c r="BT159" s="1107"/>
      <c r="BU159" s="1107"/>
      <c r="BV159" s="1107"/>
      <c r="BW159" s="1107"/>
      <c r="BX159" s="1107"/>
      <c r="BY159" s="1107"/>
      <c r="BZ159" s="1107"/>
      <c r="CA159" s="1107"/>
      <c r="CB159" s="1107"/>
      <c r="CC159" s="1107"/>
      <c r="CD159" s="1107"/>
      <c r="CE159" s="1107"/>
      <c r="CF159" s="1107"/>
      <c r="CG159" s="1107"/>
      <c r="CH159" s="1107"/>
      <c r="CI159" s="1107"/>
      <c r="CJ159" s="1107"/>
      <c r="CK159" s="1107"/>
    </row>
    <row r="160" spans="1:89" x14ac:dyDescent="0.25">
      <c r="A160" s="1107"/>
      <c r="B160" s="2008"/>
      <c r="C160" s="1154">
        <v>9</v>
      </c>
      <c r="D160" s="1144" t="s">
        <v>1872</v>
      </c>
      <c r="E160" s="1144" t="s">
        <v>1426</v>
      </c>
      <c r="F160" s="1144" t="str">
        <f>'Required Info to Submit'!E31</f>
        <v/>
      </c>
      <c r="G160" s="1414" t="str">
        <f>IF(F160="","",'Required Info to Submit'!K31)</f>
        <v/>
      </c>
      <c r="H160" s="1415" t="str">
        <f>IF(F160="","",'Required Info to Submit'!L31)</f>
        <v/>
      </c>
      <c r="I160" s="1144" t="str">
        <f>'Required Info to Submit'!F31</f>
        <v/>
      </c>
      <c r="J160" s="1144" t="str">
        <f>'Required Info to Submit'!G31</f>
        <v/>
      </c>
      <c r="K160" s="1144" t="str">
        <f>'Required Info to Submit'!H31</f>
        <v/>
      </c>
      <c r="L160" s="1144" t="str">
        <f>'Required Info to Submit'!I31</f>
        <v/>
      </c>
      <c r="M160" s="1144" t="str">
        <f>'Required Info to Submit'!J31</f>
        <v/>
      </c>
      <c r="N160" s="1107"/>
      <c r="O160" s="1107"/>
      <c r="P160" s="1108"/>
      <c r="Q160" s="1107"/>
      <c r="R160" s="1107"/>
      <c r="S160" s="1107"/>
      <c r="T160" s="2008"/>
      <c r="U160" s="1154">
        <v>9</v>
      </c>
      <c r="V160" s="1144" t="s">
        <v>1872</v>
      </c>
      <c r="W160" s="1144" t="s">
        <v>1426</v>
      </c>
      <c r="X160" s="1153" t="str">
        <f>'Required Info to Submit'!E31</f>
        <v/>
      </c>
      <c r="Y160" s="1417" t="str">
        <f>IF(X160="","",'Required Info to Submit'!K31)</f>
        <v/>
      </c>
      <c r="Z160" s="1418" t="str">
        <f>IF(X160="","",'Required Info to Submit'!L31)</f>
        <v/>
      </c>
      <c r="AA160" s="1153" t="str">
        <f>'Required Info to Submit'!F31</f>
        <v/>
      </c>
      <c r="AB160" s="1153" t="str">
        <f>'Required Info to Submit'!G31</f>
        <v/>
      </c>
      <c r="AC160" s="1153" t="str">
        <f>'Required Info to Submit'!H31</f>
        <v/>
      </c>
      <c r="AD160" s="1153" t="str">
        <f>'Required Info to Submit'!I31</f>
        <v/>
      </c>
      <c r="AE160" s="1153" t="str">
        <f>'Required Info to Submit'!J31</f>
        <v/>
      </c>
      <c r="AF160" s="1107"/>
      <c r="AG160" s="1107"/>
      <c r="AH160" s="1108"/>
      <c r="AI160" s="1107"/>
      <c r="AJ160" s="1107"/>
      <c r="AK160" s="1107"/>
      <c r="AL160" s="1107"/>
      <c r="AM160" s="1107"/>
      <c r="AN160" s="1107"/>
      <c r="AO160" s="1107"/>
      <c r="AP160" s="1107"/>
      <c r="AQ160" s="1107"/>
      <c r="AR160" s="1107"/>
      <c r="AS160" s="1107"/>
      <c r="AT160" s="1107"/>
      <c r="AU160" s="1107"/>
      <c r="AV160" s="1107"/>
      <c r="AW160" s="1107"/>
      <c r="AX160" s="1107"/>
      <c r="AY160" s="1107"/>
      <c r="AZ160" s="1107"/>
      <c r="BA160" s="1107"/>
      <c r="BB160" s="1107"/>
      <c r="BC160" s="1107"/>
      <c r="BD160" s="1107"/>
      <c r="BE160" s="1107"/>
      <c r="BF160" s="1107"/>
      <c r="BG160" s="1107"/>
      <c r="BH160" s="1107"/>
      <c r="BI160" s="1107"/>
      <c r="BJ160" s="1107"/>
      <c r="BK160" s="1107"/>
      <c r="BL160" s="1107"/>
      <c r="BM160" s="1107"/>
      <c r="BN160" s="1107"/>
      <c r="BO160" s="1107"/>
      <c r="BP160" s="1107"/>
      <c r="BQ160" s="1107"/>
      <c r="BR160" s="1107"/>
      <c r="BS160" s="1107"/>
      <c r="BT160" s="1107"/>
      <c r="BU160" s="1107"/>
      <c r="BV160" s="1107"/>
      <c r="BW160" s="1107"/>
      <c r="BX160" s="1107"/>
      <c r="BY160" s="1107"/>
      <c r="BZ160" s="1107"/>
      <c r="CA160" s="1107"/>
      <c r="CB160" s="1107"/>
      <c r="CC160" s="1107"/>
      <c r="CD160" s="1107"/>
      <c r="CE160" s="1107"/>
      <c r="CF160" s="1107"/>
      <c r="CG160" s="1107"/>
      <c r="CH160" s="1107"/>
      <c r="CI160" s="1107"/>
      <c r="CJ160" s="1107"/>
      <c r="CK160" s="1107"/>
    </row>
    <row r="161" spans="1:89" ht="15.75" thickBot="1" x14ac:dyDescent="0.3">
      <c r="A161" s="1107"/>
      <c r="B161" s="2009"/>
      <c r="C161" s="1156">
        <v>10</v>
      </c>
      <c r="D161" s="1146" t="s">
        <v>1872</v>
      </c>
      <c r="E161" s="1146" t="s">
        <v>1426</v>
      </c>
      <c r="F161" s="1146" t="str">
        <f>'Required Info to Submit'!E32</f>
        <v/>
      </c>
      <c r="G161" s="1416" t="str">
        <f>IF(F161="","",'Required Info to Submit'!K32)</f>
        <v/>
      </c>
      <c r="H161" s="1424" t="str">
        <f>IF(F161="","",'Required Info to Submit'!L32)</f>
        <v/>
      </c>
      <c r="I161" s="1146" t="str">
        <f>'Required Info to Submit'!F32</f>
        <v/>
      </c>
      <c r="J161" s="1146" t="str">
        <f>'Required Info to Submit'!G32</f>
        <v/>
      </c>
      <c r="K161" s="1146" t="str">
        <f>'Required Info to Submit'!H32</f>
        <v/>
      </c>
      <c r="L161" s="1146" t="str">
        <f>'Required Info to Submit'!I32</f>
        <v/>
      </c>
      <c r="M161" s="1146" t="str">
        <f>'Required Info to Submit'!J32</f>
        <v/>
      </c>
      <c r="N161" s="1157"/>
      <c r="O161" s="1157"/>
      <c r="P161" s="1110"/>
      <c r="Q161" s="1107"/>
      <c r="R161" s="1107"/>
      <c r="S161" s="1107"/>
      <c r="T161" s="2009"/>
      <c r="U161" s="1156">
        <v>10</v>
      </c>
      <c r="V161" s="1146" t="s">
        <v>1872</v>
      </c>
      <c r="W161" s="1146" t="s">
        <v>1426</v>
      </c>
      <c r="X161" s="1159" t="str">
        <f>'Required Info to Submit'!E32</f>
        <v/>
      </c>
      <c r="Y161" s="1419" t="str">
        <f>IF(X161="","",'Required Info to Submit'!K32)</f>
        <v/>
      </c>
      <c r="Z161" s="1423" t="str">
        <f>IF(X161="","",'Required Info to Submit'!L32)</f>
        <v/>
      </c>
      <c r="AA161" s="1159" t="str">
        <f>'Required Info to Submit'!F32</f>
        <v/>
      </c>
      <c r="AB161" s="1159" t="str">
        <f>'Required Info to Submit'!G32</f>
        <v/>
      </c>
      <c r="AC161" s="1159" t="str">
        <f>'Required Info to Submit'!H32</f>
        <v/>
      </c>
      <c r="AD161" s="1159" t="str">
        <f>'Required Info to Submit'!I32</f>
        <v/>
      </c>
      <c r="AE161" s="1159" t="str">
        <f>'Required Info to Submit'!J32</f>
        <v/>
      </c>
      <c r="AF161" s="1157"/>
      <c r="AG161" s="1157"/>
      <c r="AH161" s="1110"/>
      <c r="AI161" s="1107"/>
      <c r="AJ161" s="1107"/>
      <c r="AK161" s="1107"/>
      <c r="AL161" s="1107"/>
      <c r="AM161" s="1107"/>
      <c r="AN161" s="1107"/>
      <c r="AO161" s="1107"/>
      <c r="AP161" s="1107"/>
      <c r="AQ161" s="1107"/>
      <c r="AR161" s="1107"/>
      <c r="AS161" s="1107"/>
      <c r="AT161" s="1107"/>
      <c r="AU161" s="1107"/>
      <c r="AV161" s="1107"/>
      <c r="AW161" s="1107"/>
      <c r="AX161" s="1107"/>
      <c r="AY161" s="1107"/>
      <c r="AZ161" s="1107"/>
      <c r="BA161" s="1107"/>
      <c r="BB161" s="1107"/>
      <c r="BC161" s="1107"/>
      <c r="BD161" s="1107"/>
      <c r="BE161" s="1107"/>
      <c r="BF161" s="1107"/>
      <c r="BG161" s="1107"/>
      <c r="BH161" s="1107"/>
      <c r="BI161" s="1107"/>
      <c r="BJ161" s="1107"/>
      <c r="BK161" s="1107"/>
      <c r="BL161" s="1107"/>
      <c r="BM161" s="1107"/>
      <c r="BN161" s="1107"/>
      <c r="BO161" s="1107"/>
      <c r="BP161" s="1107"/>
      <c r="BQ161" s="1107"/>
      <c r="BR161" s="1107"/>
      <c r="BS161" s="1107"/>
      <c r="BT161" s="1107"/>
      <c r="BU161" s="1107"/>
      <c r="BV161" s="1107"/>
      <c r="BW161" s="1107"/>
      <c r="BX161" s="1107"/>
      <c r="BY161" s="1107"/>
      <c r="BZ161" s="1107"/>
      <c r="CA161" s="1107"/>
      <c r="CB161" s="1107"/>
      <c r="CC161" s="1107"/>
      <c r="CD161" s="1107"/>
      <c r="CE161" s="1107"/>
      <c r="CF161" s="1107"/>
      <c r="CG161" s="1107"/>
      <c r="CH161" s="1107"/>
      <c r="CI161" s="1107"/>
      <c r="CJ161" s="1107"/>
      <c r="CK161" s="1107"/>
    </row>
    <row r="162" spans="1:89" x14ac:dyDescent="0.25">
      <c r="A162" s="1107"/>
      <c r="B162" s="1107"/>
      <c r="C162" s="1107"/>
      <c r="D162" s="1107"/>
      <c r="E162" s="1107"/>
      <c r="F162" s="1107"/>
      <c r="G162" s="1107"/>
      <c r="H162" s="1107"/>
      <c r="I162" s="1107"/>
      <c r="J162" s="1107"/>
      <c r="K162" s="1107"/>
      <c r="L162" s="1107"/>
      <c r="M162" s="1107"/>
      <c r="N162" s="1107"/>
      <c r="O162" s="1107"/>
      <c r="P162" s="1107"/>
      <c r="Q162" s="1107"/>
      <c r="R162" s="1107"/>
      <c r="S162" s="1107"/>
      <c r="T162" s="1107"/>
      <c r="U162" s="1107"/>
      <c r="V162" s="1107"/>
      <c r="W162" s="1107"/>
      <c r="X162" s="1107"/>
      <c r="Y162" s="1107"/>
      <c r="Z162" s="1107"/>
      <c r="AA162" s="1107"/>
      <c r="AB162" s="1107"/>
      <c r="AC162" s="1107"/>
      <c r="AD162" s="1107"/>
      <c r="AE162" s="1107"/>
      <c r="AF162" s="1107"/>
      <c r="AG162" s="1107"/>
      <c r="AH162" s="1107"/>
      <c r="AI162" s="1107"/>
      <c r="AJ162" s="1107"/>
      <c r="AK162" s="1107"/>
      <c r="AL162" s="1107"/>
      <c r="AM162" s="1107"/>
      <c r="AN162" s="1107"/>
      <c r="AO162" s="1107"/>
      <c r="AP162" s="1107"/>
      <c r="AQ162" s="1107"/>
      <c r="AR162" s="1107"/>
      <c r="AS162" s="1107"/>
      <c r="AT162" s="1107"/>
      <c r="AU162" s="1107"/>
      <c r="AV162" s="1107"/>
      <c r="AW162" s="1107"/>
      <c r="AX162" s="1107"/>
      <c r="AY162" s="1107"/>
      <c r="AZ162" s="1107"/>
      <c r="BA162" s="1107"/>
      <c r="BB162" s="1107"/>
      <c r="BC162" s="1107"/>
      <c r="BD162" s="1107"/>
      <c r="BE162" s="1107"/>
      <c r="BF162" s="1107"/>
      <c r="BG162" s="1107"/>
      <c r="BH162" s="1107"/>
      <c r="BI162" s="1107"/>
      <c r="BJ162" s="1107"/>
      <c r="BK162" s="1107"/>
      <c r="BL162" s="1107"/>
      <c r="BM162" s="1107"/>
      <c r="BN162" s="1107"/>
      <c r="BO162" s="1107"/>
      <c r="BP162" s="1107"/>
      <c r="BQ162" s="1107"/>
      <c r="BR162" s="1107"/>
      <c r="BS162" s="1107"/>
      <c r="BT162" s="1107"/>
      <c r="BU162" s="1107"/>
      <c r="BV162" s="1107"/>
      <c r="BW162" s="1107"/>
      <c r="BX162" s="1107"/>
      <c r="BY162" s="1107"/>
      <c r="BZ162" s="1107"/>
      <c r="CA162" s="1107"/>
      <c r="CB162" s="1107"/>
      <c r="CC162" s="1107"/>
      <c r="CD162" s="1107"/>
      <c r="CE162" s="1107"/>
      <c r="CF162" s="1107"/>
      <c r="CG162" s="1107"/>
      <c r="CH162" s="1107"/>
      <c r="CI162" s="1107"/>
      <c r="CJ162" s="1107"/>
      <c r="CK162" s="1107"/>
    </row>
    <row r="163" spans="1:89" ht="39.75" customHeight="1" thickBot="1" x14ac:dyDescent="0.3">
      <c r="A163" s="1107"/>
      <c r="B163" s="1107"/>
      <c r="C163" s="1107"/>
      <c r="D163" s="1107"/>
      <c r="E163" s="1107"/>
      <c r="F163" s="1107"/>
      <c r="G163" s="1107"/>
      <c r="H163" s="1107"/>
      <c r="I163" s="1107"/>
      <c r="J163" s="1107"/>
      <c r="K163" s="1107"/>
      <c r="L163" s="1107"/>
      <c r="M163" s="1107"/>
      <c r="N163" s="1107"/>
      <c r="O163" s="1107"/>
      <c r="P163" s="1107"/>
      <c r="Q163" s="1107"/>
      <c r="R163" s="1107"/>
      <c r="S163" s="1107"/>
      <c r="T163" s="1107"/>
      <c r="U163" s="1107"/>
      <c r="V163" s="1107"/>
      <c r="W163" s="1107"/>
      <c r="X163" s="1107"/>
      <c r="Y163" s="1107"/>
      <c r="Z163" s="1107"/>
      <c r="AA163" s="1107"/>
      <c r="AB163" s="1107"/>
      <c r="AC163" s="1107"/>
      <c r="AD163" s="1107"/>
      <c r="AE163" s="1107"/>
      <c r="AF163" s="1107"/>
      <c r="AG163" s="1107"/>
      <c r="AH163" s="1107"/>
      <c r="AI163" s="1107"/>
      <c r="AJ163" s="1107"/>
      <c r="AK163" s="1107"/>
      <c r="AL163" s="1107"/>
      <c r="AM163" s="1107"/>
      <c r="AN163" s="1107"/>
      <c r="AO163" s="1107"/>
      <c r="AP163" s="1107"/>
      <c r="AQ163" s="1107"/>
      <c r="AR163" s="1107"/>
      <c r="AS163" s="1107"/>
      <c r="AT163" s="1107"/>
      <c r="AU163" s="1107"/>
      <c r="AV163" s="1107"/>
      <c r="AW163" s="1107"/>
      <c r="AX163" s="1107"/>
      <c r="AY163" s="1107"/>
      <c r="AZ163" s="1107"/>
      <c r="BA163" s="1107"/>
      <c r="BB163" s="1107"/>
      <c r="BC163" s="1107"/>
      <c r="BD163" s="1107"/>
      <c r="BE163" s="1107"/>
      <c r="BF163" s="1107"/>
      <c r="BG163" s="1107"/>
      <c r="BH163" s="1107"/>
      <c r="BI163" s="1107"/>
      <c r="BJ163" s="1107"/>
      <c r="BK163" s="1107"/>
      <c r="BL163" s="1107"/>
      <c r="BM163" s="1107"/>
      <c r="BN163" s="1107"/>
      <c r="BO163" s="1107"/>
      <c r="BP163" s="1107"/>
      <c r="BQ163" s="1107"/>
      <c r="BR163" s="1107"/>
      <c r="BS163" s="1107"/>
      <c r="BT163" s="1107"/>
      <c r="BU163" s="1107"/>
      <c r="BV163" s="1107"/>
      <c r="BW163" s="1107"/>
      <c r="BX163" s="1107"/>
      <c r="BY163" s="1107"/>
      <c r="BZ163" s="1107"/>
      <c r="CA163" s="1107"/>
      <c r="CB163" s="1107"/>
      <c r="CC163" s="1107"/>
      <c r="CD163" s="1107"/>
      <c r="CE163" s="1107"/>
      <c r="CF163" s="1107"/>
      <c r="CG163" s="1107"/>
      <c r="CH163" s="1107"/>
      <c r="CI163" s="1107"/>
      <c r="CJ163" s="1107"/>
      <c r="CK163" s="1107"/>
    </row>
    <row r="164" spans="1:89" ht="75" customHeight="1" thickBot="1" x14ac:dyDescent="0.3">
      <c r="A164" s="1107"/>
      <c r="B164" s="1303"/>
      <c r="C164" s="1100" t="s">
        <v>1383</v>
      </c>
      <c r="D164" s="1100" t="s">
        <v>1491</v>
      </c>
      <c r="E164" s="1100" t="s">
        <v>766</v>
      </c>
      <c r="F164" s="1100" t="s">
        <v>1496</v>
      </c>
      <c r="G164" s="1100" t="s">
        <v>1849</v>
      </c>
      <c r="H164" s="1101" t="s">
        <v>1850</v>
      </c>
      <c r="I164" s="1101" t="s">
        <v>1851</v>
      </c>
      <c r="J164" s="1100" t="s">
        <v>1873</v>
      </c>
      <c r="K164" s="1100" t="s">
        <v>1852</v>
      </c>
      <c r="L164" s="1101" t="s">
        <v>1397</v>
      </c>
      <c r="M164" s="1101" t="s">
        <v>1381</v>
      </c>
      <c r="N164" s="1100" t="s">
        <v>1382</v>
      </c>
      <c r="O164" s="1100" t="s">
        <v>721</v>
      </c>
      <c r="P164" s="1100" t="s">
        <v>722</v>
      </c>
      <c r="Q164" s="1101" t="s">
        <v>1495</v>
      </c>
      <c r="R164" s="1107"/>
      <c r="S164" s="1107"/>
      <c r="T164" s="1303"/>
      <c r="U164" s="1100" t="s">
        <v>1383</v>
      </c>
      <c r="V164" s="1100" t="s">
        <v>1491</v>
      </c>
      <c r="W164" s="1100" t="s">
        <v>766</v>
      </c>
      <c r="X164" s="1100" t="s">
        <v>1496</v>
      </c>
      <c r="Y164" s="1100" t="s">
        <v>1849</v>
      </c>
      <c r="Z164" s="1101" t="s">
        <v>1850</v>
      </c>
      <c r="AA164" s="1101" t="s">
        <v>1851</v>
      </c>
      <c r="AB164" s="1100" t="s">
        <v>1873</v>
      </c>
      <c r="AC164" s="1100" t="s">
        <v>1852</v>
      </c>
      <c r="AD164" s="1101" t="s">
        <v>1397</v>
      </c>
      <c r="AE164" s="1101" t="s">
        <v>1381</v>
      </c>
      <c r="AF164" s="1100" t="s">
        <v>1382</v>
      </c>
      <c r="AG164" s="1100" t="s">
        <v>721</v>
      </c>
      <c r="AH164" s="1100" t="s">
        <v>722</v>
      </c>
      <c r="AI164" s="1101" t="s">
        <v>1495</v>
      </c>
      <c r="AJ164" s="1107"/>
      <c r="AK164" s="1107"/>
      <c r="AL164" s="1107"/>
      <c r="AM164" s="1107"/>
      <c r="AN164" s="1107"/>
      <c r="AO164" s="1107"/>
      <c r="AP164" s="1107"/>
      <c r="AQ164" s="1107"/>
      <c r="AR164" s="1107"/>
      <c r="AS164" s="1107"/>
      <c r="AT164" s="1107"/>
      <c r="AU164" s="1107"/>
      <c r="AV164" s="1107"/>
      <c r="AW164" s="1107"/>
      <c r="AX164" s="1107"/>
      <c r="AY164" s="1107"/>
      <c r="AZ164" s="1107"/>
      <c r="BA164" s="1107"/>
      <c r="BB164" s="1107"/>
      <c r="BC164" s="1107"/>
      <c r="BD164" s="1107"/>
      <c r="BE164" s="1107"/>
      <c r="BF164" s="1107"/>
      <c r="BG164" s="1107"/>
      <c r="BH164" s="1107"/>
      <c r="BI164" s="1107"/>
      <c r="BJ164" s="1107"/>
      <c r="BK164" s="1107"/>
      <c r="BL164" s="1107"/>
      <c r="BM164" s="1107"/>
      <c r="BN164" s="1107"/>
      <c r="BO164" s="1107"/>
      <c r="BP164" s="1107"/>
      <c r="BQ164" s="1107"/>
      <c r="BR164" s="1107"/>
      <c r="BS164" s="1107"/>
      <c r="BT164" s="1107"/>
      <c r="BU164" s="1107"/>
      <c r="BV164" s="1107"/>
      <c r="BW164" s="1107"/>
      <c r="BX164" s="1107"/>
      <c r="BY164" s="1107"/>
      <c r="BZ164" s="1107"/>
      <c r="CA164" s="1107"/>
      <c r="CB164" s="1107"/>
      <c r="CC164" s="1107"/>
      <c r="CD164" s="1107"/>
      <c r="CE164" s="1107"/>
      <c r="CF164" s="1107"/>
      <c r="CG164" s="1107"/>
      <c r="CH164" s="1107"/>
      <c r="CI164" s="1107"/>
      <c r="CJ164" s="1107"/>
      <c r="CK164" s="1107"/>
    </row>
    <row r="165" spans="1:89" ht="64.5" customHeight="1" thickBot="1" x14ac:dyDescent="0.3">
      <c r="A165" s="1107"/>
      <c r="B165" s="1132" t="s">
        <v>1853</v>
      </c>
      <c r="C165" s="1133" t="s">
        <v>1534</v>
      </c>
      <c r="D165" s="1134">
        <v>3501</v>
      </c>
      <c r="E165" s="1104" t="s">
        <v>1889</v>
      </c>
      <c r="F165" s="1104" t="s">
        <v>1531</v>
      </c>
      <c r="G165" s="1102" t="str" cm="1">
        <f t="array" aca="1" ref="G165" ca="1">INDIRECT("'Incentives Worksheet'!P"&amp;'Configurable Tab'!H15+3)</f>
        <v>Same as Payout Cycle</v>
      </c>
      <c r="H165" s="1102" t="str" cm="1">
        <f t="array" aca="1" ref="H165" ca="1">IF(ISBLANK(INDIRECT("'Incentives Worksheet'!H"&amp;'Configurable Tab'!H15+3)),"",INDIRECT("'Incentives Worksheet'!H"&amp;'Configurable Tab'!H15+3))</f>
        <v/>
      </c>
      <c r="I165" s="1102" t="str" cm="1">
        <f t="array" aca="1" ref="I165" ca="1">IF(INDIRECT("'Incentives Worksheet'!R"&amp;'Configurable Tab'!H15+3)="USF Calendar","Fiscal",INDIRECT("'Incentives Worksheet'!R"&amp;'Configurable Tab'!H15+3))</f>
        <v>Fiscal</v>
      </c>
      <c r="J165" s="1102" t="str" cm="1">
        <f t="array" aca="1" ref="J165" ca="1">IF(INDIRECT("'Incentives Worksheet'!L"&amp;'Configurable Tab'!H15+9)="All"," Select All Products","Unselect All Products")</f>
        <v>Unselect All Products</v>
      </c>
      <c r="K165" s="1102" t="str" cm="1">
        <f t="array" aca="1" ref="K165" ca="1">IF(INDIRECT("'Incentives Worksheet'!T"&amp;'Configurable Tab'!H15+3)="Yes","Post to GL","")</f>
        <v/>
      </c>
      <c r="L165" s="1102" t="str" cm="1">
        <f t="array" aca="1" ref="L165" ca="1">IF(ISBLANK(INDIRECT("'Incentives Worksheet'!L"&amp;'Configurable Tab'!H15+3)),"",INDIRECT("'Incentives Worksheet'!L"&amp;'Configurable Tab'!H15+3))</f>
        <v/>
      </c>
      <c r="M165" s="1102" t="str" cm="1">
        <f t="array" aca="1" ref="M165" ca="1">IF(ISBLANK(INDIRECT("'Incentives Worksheet'!J"&amp;'Configurable Tab'!H15+3)),"",INDIRECT("'Incentives Worksheet'!J"&amp;'Configurable Tab'!H15+3))</f>
        <v/>
      </c>
      <c r="N165" s="1102" t="str" cm="1">
        <f t="array" aca="1" ref="N165" ca="1">IF(ISBLANK(INDIRECT("'Incentives Worksheet'!N"&amp;'Configurable Tab'!H15+3)),"",INDIRECT("'Incentives Worksheet'!N"&amp;'Configurable Tab'!H15+3))</f>
        <v/>
      </c>
      <c r="O165" s="1103" t="str" cm="1">
        <f t="array" aca="1" ref="O165" ca="1">INDIRECT("'Incentives Worksheet'!D"&amp;'Configurable Tab'!H15+6)</f>
        <v/>
      </c>
      <c r="P165" s="1103" t="str" cm="1">
        <f t="array" aca="1" ref="P165" ca="1">INDIRECT("'Incentives Worksheet'!D"&amp;'Configurable Tab'!H15+8)</f>
        <v/>
      </c>
      <c r="Q165" s="1102" t="str" cm="1">
        <f t="array" aca="1" ref="Q165" ca="1">IF(INDIRECT("'Incentives Worksheet'!D"&amp;'Configurable Tab'!H15+10)="No","Update tracking dates",INDIRECT("'Incentives Worksheet'!D"&amp;'Configurable Tab'!H15+10))</f>
        <v>Yes</v>
      </c>
      <c r="R165" s="1107"/>
      <c r="S165" s="1107"/>
      <c r="T165" s="1132" t="s">
        <v>1853</v>
      </c>
      <c r="U165" s="1133" t="s">
        <v>1534</v>
      </c>
      <c r="V165" s="1134">
        <v>3502</v>
      </c>
      <c r="W165" s="1104" t="s">
        <v>1889</v>
      </c>
      <c r="X165" s="1104" t="s">
        <v>1531</v>
      </c>
      <c r="Y165" s="1102" t="str" cm="1">
        <f t="array" aca="1" ref="Y165" ca="1">INDIRECT("'Incentives Worksheet'!P"&amp;'Configurable Tab'!H16+3)</f>
        <v>Same as Payout Cycle</v>
      </c>
      <c r="Z165" s="1102" t="str" cm="1">
        <f t="array" aca="1" ref="Z165" ca="1">IF(ISBLANK(INDIRECT("'Incentives Worksheet'!H"&amp;'Configurable Tab'!H16+3)),"",INDIRECT("'Incentives Worksheet'!H"&amp;'Configurable Tab'!H16+3))</f>
        <v/>
      </c>
      <c r="AA165" s="1102" t="str" cm="1">
        <f t="array" aca="1" ref="AA165" ca="1">IF(INDIRECT("'Incentives Worksheet'!R"&amp;'Configurable Tab'!H16+3)="USF Calendar","Fiscal",INDIRECT("'Incentives Worksheet'!R"&amp;'Configurable Tab'!H16+3))</f>
        <v>Fiscal</v>
      </c>
      <c r="AB165" s="1102" t="str" cm="1">
        <f t="array" aca="1" ref="AB165" ca="1">IF(INDIRECT("'Incentives Worksheet'!L"&amp;'Configurable Tab'!H16+9)="All"," Select All Products","Unselect All Products")</f>
        <v>Unselect All Products</v>
      </c>
      <c r="AC165" s="1102" t="str" cm="1">
        <f t="array" aca="1" ref="AC165" ca="1">IF(INDIRECT("'Incentives Worksheet'!T"&amp;'Configurable Tab'!H16+3)="Yes","Post to GL","")</f>
        <v/>
      </c>
      <c r="AD165" s="1102" t="str" cm="1">
        <f t="array" aca="1" ref="AD165" ca="1">IF(ISBLANK(INDIRECT("'Incentives Worksheet'!L"&amp;'Configurable Tab'!H16+3)),"",INDIRECT("'Incentives Worksheet'!L"&amp;'Configurable Tab'!H16+3))</f>
        <v/>
      </c>
      <c r="AE165" s="1102" t="str" cm="1">
        <f t="array" aca="1" ref="AE165" ca="1">IF(ISBLANK(INDIRECT("'Incentives Worksheet'!J"&amp;'Configurable Tab'!H16+3)),"",INDIRECT("'Incentives Worksheet'!J"&amp;'Configurable Tab'!H16+3))</f>
        <v/>
      </c>
      <c r="AF165" s="1102" t="str" cm="1">
        <f t="array" aca="1" ref="AF165" ca="1">IF(ISBLANK(INDIRECT("'Incentives Worksheet'!N"&amp;'Configurable Tab'!H16+3)),"",INDIRECT("'Incentives Worksheet'!N"&amp;'Configurable Tab'!H16+3))</f>
        <v/>
      </c>
      <c r="AG165" s="1103" t="str" cm="1">
        <f t="array" aca="1" ref="AG165" ca="1">INDIRECT("'Incentives Worksheet'!D"&amp;'Configurable Tab'!H16+6)</f>
        <v/>
      </c>
      <c r="AH165" s="1103" t="str" cm="1">
        <f t="array" aca="1" ref="AH165" ca="1">INDIRECT("'Incentives Worksheet'!D"&amp;'Configurable Tab'!H16+8)</f>
        <v/>
      </c>
      <c r="AI165" s="1102" t="str" cm="1">
        <f t="array" aca="1" ref="AI165" ca="1">IF(INDIRECT("'Incentives Worksheet'!D"&amp;'Configurable Tab'!H16+10)="No","Update tracking dates",INDIRECT("'Incentives Worksheet'!D"&amp;'Configurable Tab'!H16+10))</f>
        <v>Yes</v>
      </c>
      <c r="AJ165" s="1107"/>
      <c r="AK165" s="1107"/>
      <c r="AL165" s="1107"/>
      <c r="AM165" s="1107"/>
      <c r="AN165" s="1107"/>
      <c r="AO165" s="1107"/>
      <c r="AP165" s="1107"/>
      <c r="AQ165" s="1107"/>
      <c r="AR165" s="1107"/>
      <c r="AS165" s="1107"/>
      <c r="AT165" s="1107"/>
      <c r="AU165" s="1107"/>
      <c r="AV165" s="1107"/>
      <c r="AW165" s="1107"/>
      <c r="AX165" s="1107"/>
      <c r="AY165" s="1107"/>
      <c r="AZ165" s="1107"/>
      <c r="BA165" s="1107"/>
      <c r="BB165" s="1107"/>
      <c r="BC165" s="1107"/>
      <c r="BD165" s="1107"/>
      <c r="BE165" s="1107"/>
      <c r="BF165" s="1107"/>
      <c r="BG165" s="1107"/>
      <c r="BH165" s="1107"/>
      <c r="BI165" s="1107"/>
      <c r="BJ165" s="1107"/>
      <c r="BK165" s="1107"/>
      <c r="BL165" s="1107"/>
      <c r="BM165" s="1107"/>
      <c r="BN165" s="1107"/>
      <c r="BO165" s="1107"/>
      <c r="BP165" s="1107"/>
      <c r="BQ165" s="1107"/>
      <c r="BR165" s="1107"/>
      <c r="BS165" s="1107"/>
      <c r="BT165" s="1107"/>
      <c r="BU165" s="1107"/>
      <c r="BV165" s="1107"/>
      <c r="BW165" s="1107"/>
      <c r="BX165" s="1107"/>
      <c r="BY165" s="1107"/>
      <c r="BZ165" s="1107"/>
      <c r="CA165" s="1107"/>
      <c r="CB165" s="1107"/>
      <c r="CC165" s="1107"/>
      <c r="CD165" s="1107"/>
      <c r="CE165" s="1107"/>
      <c r="CF165" s="1107"/>
      <c r="CG165" s="1107"/>
      <c r="CH165" s="1107"/>
      <c r="CI165" s="1107"/>
      <c r="CJ165" s="1107"/>
      <c r="CK165" s="1107"/>
    </row>
    <row r="166" spans="1:89" ht="30.75" customHeight="1" thickBot="1" x14ac:dyDescent="0.3">
      <c r="A166" s="1107"/>
      <c r="B166" s="2006" t="s">
        <v>1888</v>
      </c>
      <c r="C166" s="1160" t="s">
        <v>1874</v>
      </c>
      <c r="D166" s="1100" t="s">
        <v>1875</v>
      </c>
      <c r="E166" s="1101" t="s">
        <v>1359</v>
      </c>
      <c r="F166" s="1100" t="s">
        <v>1877</v>
      </c>
      <c r="G166" s="1161" t="s">
        <v>1880</v>
      </c>
      <c r="H166" s="1162"/>
      <c r="I166" s="1162"/>
      <c r="J166" s="1107"/>
      <c r="K166" s="1162"/>
      <c r="L166" s="1162"/>
      <c r="M166" s="1162"/>
      <c r="N166" s="1162"/>
      <c r="O166" s="1162"/>
      <c r="P166" s="1107"/>
      <c r="Q166" s="1163"/>
      <c r="R166" s="1107"/>
      <c r="S166" s="1107"/>
      <c r="T166" s="2006" t="s">
        <v>1888</v>
      </c>
      <c r="U166" s="1164" t="s">
        <v>1874</v>
      </c>
      <c r="V166" s="1100" t="s">
        <v>1875</v>
      </c>
      <c r="W166" s="1101" t="s">
        <v>1359</v>
      </c>
      <c r="X166" s="1100" t="s">
        <v>1877</v>
      </c>
      <c r="Y166" s="1165" t="s">
        <v>1880</v>
      </c>
      <c r="Z166" s="1107"/>
      <c r="AA166" s="1162"/>
      <c r="AB166" s="1107"/>
      <c r="AC166" s="1162"/>
      <c r="AD166" s="1162"/>
      <c r="AE166" s="1162"/>
      <c r="AF166" s="1162"/>
      <c r="AG166" s="1162"/>
      <c r="AH166" s="1162"/>
      <c r="AI166" s="1163"/>
      <c r="AJ166" s="1107"/>
      <c r="AK166" s="1107"/>
      <c r="AL166" s="1107"/>
      <c r="AM166" s="1107"/>
      <c r="AN166" s="1107"/>
      <c r="AO166" s="1107"/>
      <c r="AP166" s="1107"/>
      <c r="AQ166" s="1107"/>
      <c r="AR166" s="1107"/>
      <c r="AS166" s="1107"/>
      <c r="AT166" s="1107"/>
      <c r="AU166" s="1107"/>
      <c r="AV166" s="1107"/>
      <c r="AW166" s="1107"/>
      <c r="AX166" s="1107"/>
      <c r="AY166" s="1107"/>
      <c r="AZ166" s="1107"/>
      <c r="BA166" s="1107"/>
      <c r="BB166" s="1107"/>
      <c r="BC166" s="1107"/>
      <c r="BD166" s="1107"/>
      <c r="BE166" s="1107"/>
      <c r="BF166" s="1107"/>
      <c r="BG166" s="1107"/>
      <c r="BH166" s="1107"/>
      <c r="BI166" s="1107"/>
      <c r="BJ166" s="1107"/>
      <c r="BK166" s="1107"/>
      <c r="BL166" s="1107"/>
      <c r="BM166" s="1107"/>
      <c r="BN166" s="1107"/>
      <c r="BO166" s="1107"/>
      <c r="BP166" s="1107"/>
      <c r="BQ166" s="1107"/>
      <c r="BR166" s="1107"/>
      <c r="BS166" s="1107"/>
      <c r="BT166" s="1107"/>
      <c r="BU166" s="1107"/>
      <c r="BV166" s="1107"/>
      <c r="BW166" s="1107"/>
      <c r="BX166" s="1107"/>
      <c r="BY166" s="1107"/>
      <c r="BZ166" s="1107"/>
      <c r="CA166" s="1107"/>
      <c r="CB166" s="1107"/>
      <c r="CC166" s="1107"/>
      <c r="CD166" s="1107"/>
      <c r="CE166" s="1107"/>
      <c r="CF166" s="1107"/>
      <c r="CG166" s="1107"/>
      <c r="CH166" s="1107"/>
      <c r="CI166" s="1107"/>
      <c r="CJ166" s="1107"/>
      <c r="CK166" s="1107"/>
    </row>
    <row r="167" spans="1:89" ht="15.75" thickBot="1" x14ac:dyDescent="0.3">
      <c r="A167" s="1107"/>
      <c r="B167" s="2011"/>
      <c r="C167" s="1195" t="s">
        <v>1890</v>
      </c>
      <c r="D167" s="1195" t="str" cm="1">
        <f t="array" aca="1" ref="D167" ca="1">IF(INDIRECT("'Incentives Worksheet'!L"&amp;'Configurable Tab'!H15+9)="All"," All Products","Included Products")</f>
        <v>Included Products</v>
      </c>
      <c r="E167" s="1195" t="str" cm="1">
        <f t="array" aca="1" ref="E167" ca="1">IF(INDIRECT("'Incentives Worksheet'!J"&amp;'Configurable Tab'!H15+9)="All","All Customers","Individual")</f>
        <v>All Customers</v>
      </c>
      <c r="F167" s="1195" t="str" cm="1">
        <f t="array" aca="1" ref="F167" ca="1">IF(INDIRECT("'Incentives Worksheet'!L"&amp;'Configurable Tab'!H15+6)&lt;&gt;0,INDIRECT("'Incentives Worksheet'!L"&amp;'Configurable Tab'!H15+6),"")</f>
        <v/>
      </c>
      <c r="G167" s="1197" t="str" cm="1">
        <f t="array" aca="1" ref="G167" ca="1">INDIRECT("'Incentives Worksheet'!N"&amp;'Configurable Tab'!H15+6)</f>
        <v>%</v>
      </c>
      <c r="H167" s="1136"/>
      <c r="I167" s="1136"/>
      <c r="J167" s="1107"/>
      <c r="K167" s="1136"/>
      <c r="L167" s="1136"/>
      <c r="M167" s="1136"/>
      <c r="N167" s="1136"/>
      <c r="O167" s="1136"/>
      <c r="P167" s="1107"/>
      <c r="Q167" s="1108"/>
      <c r="R167" s="1107"/>
      <c r="S167" s="1107"/>
      <c r="T167" s="2011"/>
      <c r="U167" s="1195" t="s">
        <v>1881</v>
      </c>
      <c r="V167" s="1196" t="str" cm="1">
        <f t="array" aca="1" ref="V167" ca="1">IF(INDIRECT("'Incentives Worksheet'!L"&amp;'Configurable Tab'!H16+9)="All"," All Products","Included Products")</f>
        <v>Included Products</v>
      </c>
      <c r="W167" s="1196" t="str" cm="1">
        <f t="array" aca="1" ref="W167" ca="1">IF(INDIRECT("'Incentives Worksheet'!J"&amp;'Configurable Tab'!H16+9)="All","All Customers","Individual")</f>
        <v>All Customers</v>
      </c>
      <c r="X167" s="1196" t="str" cm="1">
        <f t="array" aca="1" ref="X167" ca="1">IF(INDIRECT("'Incentives Worksheet'!L"&amp;'Configurable Tab'!H16+6)&lt;&gt;0,INDIRECT("'Incentives Worksheet'!L"&amp;'Configurable Tab'!H16+6),"")</f>
        <v/>
      </c>
      <c r="Y167" s="1197" t="str" cm="1">
        <f t="array" aca="1" ref="Y167" ca="1">INDIRECT("'Incentives Worksheet'!N"&amp;'Configurable Tab'!H16+6)</f>
        <v>%</v>
      </c>
      <c r="Z167" s="1107"/>
      <c r="AA167" s="1136"/>
      <c r="AB167" s="1107"/>
      <c r="AC167" s="1136"/>
      <c r="AD167" s="1136"/>
      <c r="AE167" s="1136"/>
      <c r="AF167" s="1136"/>
      <c r="AG167" s="1136"/>
      <c r="AH167" s="1136"/>
      <c r="AI167" s="1108"/>
      <c r="AJ167" s="1107"/>
      <c r="AK167" s="1107"/>
      <c r="AL167" s="1107"/>
      <c r="AM167" s="1107"/>
      <c r="AN167" s="1107"/>
      <c r="AO167" s="1107"/>
      <c r="AP167" s="1107"/>
      <c r="AQ167" s="1107"/>
      <c r="AR167" s="1107"/>
      <c r="AS167" s="1107"/>
      <c r="AT167" s="1107"/>
      <c r="AU167" s="1107"/>
      <c r="AV167" s="1107"/>
      <c r="AW167" s="1107"/>
      <c r="AX167" s="1107"/>
      <c r="AY167" s="1107"/>
      <c r="AZ167" s="1107"/>
      <c r="BA167" s="1107"/>
      <c r="BB167" s="1107"/>
      <c r="BC167" s="1107"/>
      <c r="BD167" s="1107"/>
      <c r="BE167" s="1107"/>
      <c r="BF167" s="1107"/>
      <c r="BG167" s="1107"/>
      <c r="BH167" s="1107"/>
      <c r="BI167" s="1107"/>
      <c r="BJ167" s="1107"/>
      <c r="BK167" s="1107"/>
      <c r="BL167" s="1107"/>
      <c r="BM167" s="1107"/>
      <c r="BN167" s="1107"/>
      <c r="BO167" s="1107"/>
      <c r="BP167" s="1107"/>
      <c r="BQ167" s="1107"/>
      <c r="BR167" s="1107"/>
      <c r="BS167" s="1107"/>
      <c r="BT167" s="1107"/>
      <c r="BU167" s="1107"/>
      <c r="BV167" s="1107"/>
      <c r="BW167" s="1107"/>
      <c r="BX167" s="1107"/>
      <c r="BY167" s="1107"/>
      <c r="BZ167" s="1107"/>
      <c r="CA167" s="1107"/>
      <c r="CB167" s="1107"/>
      <c r="CC167" s="1107"/>
      <c r="CD167" s="1107"/>
      <c r="CE167" s="1107"/>
      <c r="CF167" s="1107"/>
      <c r="CG167" s="1107"/>
      <c r="CH167" s="1107"/>
      <c r="CI167" s="1107"/>
      <c r="CJ167" s="1107"/>
      <c r="CK167" s="1107"/>
    </row>
    <row r="168" spans="1:89" ht="15.75" thickBot="1" x14ac:dyDescent="0.3">
      <c r="A168" s="1107"/>
      <c r="B168" s="2008"/>
      <c r="C168" s="1170" t="s">
        <v>1884</v>
      </c>
      <c r="D168" s="1171" t="s">
        <v>126</v>
      </c>
      <c r="E168" s="1172" t="s">
        <v>128</v>
      </c>
      <c r="F168" s="1173" t="s">
        <v>1104</v>
      </c>
      <c r="G168" s="1136"/>
      <c r="H168" s="1136"/>
      <c r="I168" s="1214"/>
      <c r="J168" s="1136"/>
      <c r="K168" s="1136"/>
      <c r="L168" s="1136"/>
      <c r="M168" s="1136"/>
      <c r="N168" s="1136"/>
      <c r="O168" s="1136"/>
      <c r="P168" s="1107"/>
      <c r="Q168" s="1137"/>
      <c r="R168" s="1107"/>
      <c r="S168" s="1107"/>
      <c r="T168" s="2011"/>
      <c r="U168" s="1100" t="s">
        <v>1884</v>
      </c>
      <c r="V168" s="1215" t="s">
        <v>126</v>
      </c>
      <c r="W168" s="1216" t="s">
        <v>128</v>
      </c>
      <c r="X168" s="1216" t="s">
        <v>1104</v>
      </c>
      <c r="Y168" s="1136"/>
      <c r="Z168" s="1136"/>
      <c r="AA168" s="1136"/>
      <c r="AB168" s="1136"/>
      <c r="AC168" s="1136"/>
      <c r="AD168" s="1136"/>
      <c r="AE168" s="1136"/>
      <c r="AF168" s="1136"/>
      <c r="AG168" s="1136"/>
      <c r="AH168" s="1136"/>
      <c r="AI168" s="1137"/>
      <c r="AJ168" s="1107"/>
      <c r="AK168" s="1107"/>
      <c r="AL168" s="1107"/>
      <c r="AM168" s="1107"/>
      <c r="AN168" s="1107"/>
      <c r="AO168" s="1107"/>
      <c r="AP168" s="1107"/>
      <c r="AQ168" s="1107"/>
      <c r="AR168" s="1107"/>
      <c r="AS168" s="1107"/>
      <c r="AT168" s="1107"/>
      <c r="AU168" s="1107"/>
      <c r="AV168" s="1107"/>
      <c r="AW168" s="1107"/>
      <c r="AX168" s="1107"/>
      <c r="AY168" s="1107"/>
      <c r="AZ168" s="1107"/>
      <c r="BA168" s="1107"/>
      <c r="BB168" s="1107"/>
      <c r="BC168" s="1107"/>
      <c r="BD168" s="1107"/>
      <c r="BE168" s="1107"/>
      <c r="BF168" s="1107"/>
      <c r="BG168" s="1107"/>
      <c r="BH168" s="1107"/>
      <c r="BI168" s="1107"/>
      <c r="BJ168" s="1107"/>
      <c r="BK168" s="1107"/>
      <c r="BL168" s="1107"/>
      <c r="BM168" s="1107"/>
      <c r="BN168" s="1107"/>
      <c r="BO168" s="1107"/>
      <c r="BP168" s="1107"/>
      <c r="BQ168" s="1107"/>
      <c r="BR168" s="1107"/>
      <c r="BS168" s="1107"/>
      <c r="BT168" s="1107"/>
      <c r="BU168" s="1107"/>
      <c r="BV168" s="1107"/>
      <c r="BW168" s="1107"/>
      <c r="BX168" s="1107"/>
      <c r="BY168" s="1107"/>
      <c r="BZ168" s="1107"/>
      <c r="CA168" s="1107"/>
      <c r="CB168" s="1107"/>
      <c r="CC168" s="1107"/>
      <c r="CD168" s="1107"/>
      <c r="CE168" s="1107"/>
      <c r="CF168" s="1107"/>
      <c r="CG168" s="1107"/>
      <c r="CH168" s="1107"/>
      <c r="CI168" s="1107"/>
      <c r="CJ168" s="1107"/>
      <c r="CK168" s="1107"/>
    </row>
    <row r="169" spans="1:89" x14ac:dyDescent="0.25">
      <c r="A169" s="1107"/>
      <c r="B169" s="2008"/>
      <c r="C169" s="1178">
        <v>0</v>
      </c>
      <c r="D169" s="1179" t="str" cm="1">
        <f t="array" aca="1" ref="D169" ca="1">IF(INDIRECT("'Incentives Worksheet'!H"&amp;'Configurable Tab'!H15+6)&lt;&gt;0,0,"")</f>
        <v/>
      </c>
      <c r="E169" s="1217" t="str" cm="1">
        <f t="array" aca="1" ref="E169" ca="1">IF(INDIRECT("'Incentives Worksheet'!H"&amp;'Configurable Tab'!H15+6)&lt;&gt;0,INDIRECT("'Incentives Worksheet'!H"&amp;'Configurable Tab'!H15+6)-0.01,"")</f>
        <v/>
      </c>
      <c r="F169" s="1218" t="str" cm="1">
        <f t="array" aca="1" ref="F169" ca="1">IF(INDIRECT("'Incentives Worksheet'!H"&amp;'Configurable Tab'!H15+6)&lt;&gt;0,0,"")</f>
        <v/>
      </c>
      <c r="G169" s="1136"/>
      <c r="H169" s="1136"/>
      <c r="I169" s="1136"/>
      <c r="J169" s="1136"/>
      <c r="K169" s="1136"/>
      <c r="L169" s="1136"/>
      <c r="M169" s="1136"/>
      <c r="N169" s="1136"/>
      <c r="O169" s="1136"/>
      <c r="P169" s="1107"/>
      <c r="Q169" s="1137"/>
      <c r="R169" s="1107"/>
      <c r="S169" s="1107"/>
      <c r="T169" s="2011"/>
      <c r="U169" s="1182">
        <v>0</v>
      </c>
      <c r="V169" s="1153" t="str" cm="1">
        <f t="array" aca="1" ref="V169" ca="1">IF(INDIRECT("'Incentives Worksheet'!H"&amp;'Configurable Tab'!H16+6)&lt;&gt;0,0,"")</f>
        <v/>
      </c>
      <c r="W169" s="1219" t="str" cm="1">
        <f t="array" aca="1" ref="W169" ca="1">IF(INDIRECT("'Incentives Worksheet'!H"&amp;'Configurable Tab'!H16+6)&lt;&gt;0,INDIRECT("'Incentives Worksheet'!H"&amp;'Configurable Tab'!H16+6)-0.01,"")</f>
        <v/>
      </c>
      <c r="X169" s="1153" t="str" cm="1">
        <f t="array" aca="1" ref="X169" ca="1">IF(INDIRECT("'Incentives Worksheet'!H"&amp;'Configurable Tab'!H16+6)&lt;&gt;0,0,"")</f>
        <v/>
      </c>
      <c r="Y169" s="1136"/>
      <c r="Z169" s="1136"/>
      <c r="AA169" s="1136"/>
      <c r="AB169" s="1136"/>
      <c r="AC169" s="1136"/>
      <c r="AD169" s="1136"/>
      <c r="AE169" s="1136"/>
      <c r="AF169" s="1136"/>
      <c r="AG169" s="1136"/>
      <c r="AH169" s="1136"/>
      <c r="AI169" s="1137"/>
      <c r="AJ169" s="1107"/>
      <c r="AK169" s="1107"/>
      <c r="AL169" s="1107"/>
      <c r="AM169" s="1107"/>
      <c r="AN169" s="1107"/>
      <c r="AO169" s="1107"/>
      <c r="AP169" s="1107"/>
      <c r="AQ169" s="1107"/>
      <c r="AR169" s="1107"/>
      <c r="AS169" s="1107"/>
      <c r="AT169" s="1107"/>
      <c r="AU169" s="1107"/>
      <c r="AV169" s="1107"/>
      <c r="AW169" s="1107"/>
      <c r="AX169" s="1107"/>
      <c r="AY169" s="1107"/>
      <c r="AZ169" s="1107"/>
      <c r="BA169" s="1107"/>
      <c r="BB169" s="1107"/>
      <c r="BC169" s="1107"/>
      <c r="BD169" s="1107"/>
      <c r="BE169" s="1107"/>
      <c r="BF169" s="1107"/>
      <c r="BG169" s="1107"/>
      <c r="BH169" s="1107"/>
      <c r="BI169" s="1107"/>
      <c r="BJ169" s="1107"/>
      <c r="BK169" s="1107"/>
      <c r="BL169" s="1107"/>
      <c r="BM169" s="1107"/>
      <c r="BN169" s="1107"/>
      <c r="BO169" s="1107"/>
      <c r="BP169" s="1107"/>
      <c r="BQ169" s="1107"/>
      <c r="BR169" s="1107"/>
      <c r="BS169" s="1107"/>
      <c r="BT169" s="1107"/>
      <c r="BU169" s="1107"/>
      <c r="BV169" s="1107"/>
      <c r="BW169" s="1107"/>
      <c r="BX169" s="1107"/>
      <c r="BY169" s="1107"/>
      <c r="BZ169" s="1107"/>
      <c r="CA169" s="1107"/>
      <c r="CB169" s="1107"/>
      <c r="CC169" s="1107"/>
      <c r="CD169" s="1107"/>
      <c r="CE169" s="1107"/>
      <c r="CF169" s="1107"/>
      <c r="CG169" s="1107"/>
      <c r="CH169" s="1107"/>
      <c r="CI169" s="1107"/>
      <c r="CJ169" s="1107"/>
      <c r="CK169" s="1107"/>
    </row>
    <row r="170" spans="1:89" ht="15.75" customHeight="1" thickBot="1" x14ac:dyDescent="0.3">
      <c r="A170" s="1107"/>
      <c r="B170" s="2009"/>
      <c r="C170" s="1184">
        <v>1</v>
      </c>
      <c r="D170" s="1203" t="str" cm="1">
        <f t="array" aca="1" ref="D170" ca="1">IF(INDIRECT("'Incentives Worksheet'!H"&amp;'Configurable Tab'!H15+6)="","",INDIRECT("'Incentives Worksheet'!H"&amp;'Configurable Tab'!H15+6))</f>
        <v/>
      </c>
      <c r="E170" s="1185" t="str" cm="1">
        <f t="array" aca="1" ref="E170" ca="1">IF(INDIRECT("'Incentives Worksheet'!J"&amp;'Configurable Tab'!H15+6)="","",INDIRECT("'Incentives Worksheet'!J"&amp;'Configurable Tab'!H15+6))</f>
        <v/>
      </c>
      <c r="F170" s="1220" t="str" cm="1">
        <f t="array" aca="1" ref="F170" ca="1">IF(INDIRECT("'Incentives Worksheet'!L"&amp;'Configurable Tab'!H15+6)="","",INDIRECT("'Incentives Worksheet'!L"&amp;'Configurable Tab'!H15+6))</f>
        <v/>
      </c>
      <c r="G170" s="1136"/>
      <c r="H170" s="1136"/>
      <c r="I170" s="1136"/>
      <c r="J170" s="1136"/>
      <c r="K170" s="1136"/>
      <c r="L170" s="1136"/>
      <c r="M170" s="1136"/>
      <c r="N170" s="1136"/>
      <c r="O170" s="1136"/>
      <c r="P170" s="1107"/>
      <c r="Q170" s="1137"/>
      <c r="R170" s="1107"/>
      <c r="S170" s="1107"/>
      <c r="T170" s="2010"/>
      <c r="U170" s="1188">
        <v>1</v>
      </c>
      <c r="V170" s="1221" t="str" cm="1">
        <f t="array" aca="1" ref="V170" ca="1">IF(INDIRECT("'Incentives Worksheet'!H"&amp;'Configurable Tab'!H16+6)="","",INDIRECT("'Incentives Worksheet'!H"&amp;'Configurable Tab'!H16+6))</f>
        <v/>
      </c>
      <c r="W170" s="1222" t="str" cm="1">
        <f t="array" aca="1" ref="W170" ca="1">IF(INDIRECT("'Incentives Worksheet'!J"&amp;'Configurable Tab'!H16+6)="","",INDIRECT("'Incentives Worksheet'!J"&amp;'Configurable Tab'!H16+6))</f>
        <v/>
      </c>
      <c r="X170" s="1159" t="str" cm="1">
        <f t="array" aca="1" ref="X170" ca="1">IF(INDIRECT("'Incentives Worksheet'!L"&amp;'Configurable Tab'!H16+6)="","",INDIRECT("'Incentives Worksheet'!L"&amp;'Configurable Tab'!H16+6))</f>
        <v/>
      </c>
      <c r="Y170" s="1136"/>
      <c r="Z170" s="1136"/>
      <c r="AA170" s="1136"/>
      <c r="AB170" s="1136"/>
      <c r="AC170" s="1136"/>
      <c r="AD170" s="1136"/>
      <c r="AE170" s="1136"/>
      <c r="AF170" s="1136"/>
      <c r="AG170" s="1136"/>
      <c r="AH170" s="1136"/>
      <c r="AI170" s="1137"/>
      <c r="AJ170" s="1107"/>
      <c r="AK170" s="1107"/>
      <c r="AL170" s="1107"/>
      <c r="AM170" s="1107"/>
      <c r="AN170" s="1107"/>
      <c r="AO170" s="1107"/>
      <c r="AP170" s="1107"/>
      <c r="AQ170" s="1107"/>
      <c r="AR170" s="1107"/>
      <c r="AS170" s="1107"/>
      <c r="AT170" s="1107"/>
      <c r="AU170" s="1107"/>
      <c r="AV170" s="1107"/>
      <c r="AW170" s="1107"/>
      <c r="AX170" s="1107"/>
      <c r="AY170" s="1107"/>
      <c r="AZ170" s="1107"/>
      <c r="BA170" s="1107"/>
      <c r="BB170" s="1107"/>
      <c r="BC170" s="1107"/>
      <c r="BD170" s="1107"/>
      <c r="BE170" s="1107"/>
      <c r="BF170" s="1107"/>
      <c r="BG170" s="1107"/>
      <c r="BH170" s="1107"/>
      <c r="BI170" s="1107"/>
      <c r="BJ170" s="1107"/>
      <c r="BK170" s="1107"/>
      <c r="BL170" s="1107"/>
      <c r="BM170" s="1107"/>
      <c r="BN170" s="1107"/>
      <c r="BO170" s="1107"/>
      <c r="BP170" s="1107"/>
      <c r="BQ170" s="1107"/>
      <c r="BR170" s="1107"/>
      <c r="BS170" s="1107"/>
      <c r="BT170" s="1107"/>
      <c r="BU170" s="1107"/>
      <c r="BV170" s="1107"/>
      <c r="BW170" s="1107"/>
      <c r="BX170" s="1107"/>
      <c r="BY170" s="1107"/>
      <c r="BZ170" s="1107"/>
      <c r="CA170" s="1107"/>
      <c r="CB170" s="1107"/>
      <c r="CC170" s="1107"/>
      <c r="CD170" s="1107"/>
      <c r="CE170" s="1107"/>
      <c r="CF170" s="1107"/>
      <c r="CG170" s="1107"/>
      <c r="CH170" s="1107"/>
      <c r="CI170" s="1107"/>
      <c r="CJ170" s="1107"/>
      <c r="CK170" s="1107"/>
    </row>
    <row r="171" spans="1:89" ht="15.75" customHeight="1" thickBot="1" x14ac:dyDescent="0.3">
      <c r="A171" s="1107"/>
      <c r="B171" s="2006" t="s">
        <v>1858</v>
      </c>
      <c r="C171" s="1191" t="s">
        <v>1859</v>
      </c>
      <c r="D171" s="1192" t="s">
        <v>131</v>
      </c>
      <c r="E171" s="1192" t="s">
        <v>1860</v>
      </c>
      <c r="F171" s="1107"/>
      <c r="G171" s="1107"/>
      <c r="H171" s="1107"/>
      <c r="I171" s="1107"/>
      <c r="J171" s="1107"/>
      <c r="K171" s="1107"/>
      <c r="L171" s="1107"/>
      <c r="M171" s="1107"/>
      <c r="N171" s="1107"/>
      <c r="O171" s="1107"/>
      <c r="P171" s="1107"/>
      <c r="Q171" s="1108"/>
      <c r="R171" s="1107"/>
      <c r="S171" s="1107"/>
      <c r="T171" s="2006" t="s">
        <v>1858</v>
      </c>
      <c r="U171" s="1191" t="s">
        <v>1859</v>
      </c>
      <c r="V171" s="1140" t="s">
        <v>131</v>
      </c>
      <c r="W171" s="1140" t="s">
        <v>1860</v>
      </c>
      <c r="X171" s="1107"/>
      <c r="Y171" s="1107"/>
      <c r="Z171" s="1107"/>
      <c r="AA171" s="1107"/>
      <c r="AB171" s="1107"/>
      <c r="AC171" s="1107"/>
      <c r="AD171" s="1107"/>
      <c r="AE171" s="1107"/>
      <c r="AF171" s="1107"/>
      <c r="AG171" s="1107"/>
      <c r="AH171" s="1107"/>
      <c r="AI171" s="1108"/>
      <c r="AJ171" s="1107"/>
      <c r="AK171" s="1107"/>
      <c r="AL171" s="1107"/>
      <c r="AM171" s="1107"/>
      <c r="AN171" s="1107"/>
      <c r="AO171" s="1107"/>
      <c r="AP171" s="1107"/>
      <c r="AQ171" s="1107"/>
      <c r="AR171" s="1107"/>
      <c r="AS171" s="1107"/>
      <c r="AT171" s="1107"/>
      <c r="AU171" s="1107"/>
      <c r="AV171" s="1107"/>
      <c r="AW171" s="1107"/>
      <c r="AX171" s="1107"/>
      <c r="AY171" s="1107"/>
      <c r="AZ171" s="1107"/>
      <c r="BA171" s="1107"/>
      <c r="BB171" s="1107"/>
      <c r="BC171" s="1107"/>
      <c r="BD171" s="1107"/>
      <c r="BE171" s="1107"/>
      <c r="BF171" s="1107"/>
      <c r="BG171" s="1107"/>
      <c r="BH171" s="1107"/>
      <c r="BI171" s="1107"/>
      <c r="BJ171" s="1107"/>
      <c r="BK171" s="1107"/>
      <c r="BL171" s="1107"/>
      <c r="BM171" s="1107"/>
      <c r="BN171" s="1107"/>
      <c r="BO171" s="1107"/>
      <c r="BP171" s="1107"/>
      <c r="BQ171" s="1107"/>
      <c r="BR171" s="1107"/>
      <c r="BS171" s="1107"/>
      <c r="BT171" s="1107"/>
      <c r="BU171" s="1107"/>
      <c r="BV171" s="1107"/>
      <c r="BW171" s="1107"/>
      <c r="BX171" s="1107"/>
      <c r="BY171" s="1107"/>
      <c r="BZ171" s="1107"/>
      <c r="CA171" s="1107"/>
      <c r="CB171" s="1107"/>
      <c r="CC171" s="1107"/>
      <c r="CD171" s="1107"/>
      <c r="CE171" s="1107"/>
      <c r="CF171" s="1107"/>
      <c r="CG171" s="1107"/>
      <c r="CH171" s="1107"/>
      <c r="CI171" s="1107"/>
      <c r="CJ171" s="1107"/>
      <c r="CK171" s="1107"/>
    </row>
    <row r="172" spans="1:89" x14ac:dyDescent="0.25">
      <c r="A172" s="1107"/>
      <c r="B172" s="2011"/>
      <c r="C172" s="1141" t="s">
        <v>1861</v>
      </c>
      <c r="D172" s="1141" t="s">
        <v>1862</v>
      </c>
      <c r="E172" s="1142"/>
      <c r="F172" s="1107"/>
      <c r="G172" s="1107"/>
      <c r="H172" s="1107"/>
      <c r="I172" s="1107"/>
      <c r="J172" s="1107"/>
      <c r="K172" s="1107"/>
      <c r="L172" s="1107"/>
      <c r="M172" s="1107"/>
      <c r="N172" s="1107"/>
      <c r="O172" s="1107"/>
      <c r="P172" s="1107"/>
      <c r="Q172" s="1108"/>
      <c r="R172" s="1107"/>
      <c r="S172" s="1107"/>
      <c r="T172" s="2011"/>
      <c r="U172" s="1141" t="s">
        <v>1861</v>
      </c>
      <c r="V172" s="1141" t="s">
        <v>1862</v>
      </c>
      <c r="W172" s="1142"/>
      <c r="X172" s="1107"/>
      <c r="Y172" s="1107"/>
      <c r="Z172" s="1107"/>
      <c r="AA172" s="1107"/>
      <c r="AB172" s="1107"/>
      <c r="AC172" s="1107"/>
      <c r="AD172" s="1107"/>
      <c r="AE172" s="1107"/>
      <c r="AF172" s="1107"/>
      <c r="AG172" s="1107"/>
      <c r="AH172" s="1107"/>
      <c r="AI172" s="1108"/>
      <c r="AJ172" s="1107"/>
      <c r="AK172" s="1107"/>
      <c r="AL172" s="1107"/>
      <c r="AM172" s="1107"/>
      <c r="AN172" s="1107"/>
      <c r="AO172" s="1107"/>
      <c r="AP172" s="1107"/>
      <c r="AQ172" s="1107"/>
      <c r="AR172" s="1107"/>
      <c r="AS172" s="1107"/>
      <c r="AT172" s="1107"/>
      <c r="AU172" s="1107"/>
      <c r="AV172" s="1107"/>
      <c r="AW172" s="1107"/>
      <c r="AX172" s="1107"/>
      <c r="AY172" s="1107"/>
      <c r="AZ172" s="1107"/>
      <c r="BA172" s="1107"/>
      <c r="BB172" s="1107"/>
      <c r="BC172" s="1107"/>
      <c r="BD172" s="1107"/>
      <c r="BE172" s="1107"/>
      <c r="BF172" s="1107"/>
      <c r="BG172" s="1107"/>
      <c r="BH172" s="1107"/>
      <c r="BI172" s="1107"/>
      <c r="BJ172" s="1107"/>
      <c r="BK172" s="1107"/>
      <c r="BL172" s="1107"/>
      <c r="BM172" s="1107"/>
      <c r="BN172" s="1107"/>
      <c r="BO172" s="1107"/>
      <c r="BP172" s="1107"/>
      <c r="BQ172" s="1107"/>
      <c r="BR172" s="1107"/>
      <c r="BS172" s="1107"/>
      <c r="BT172" s="1107"/>
      <c r="BU172" s="1107"/>
      <c r="BV172" s="1107"/>
      <c r="BW172" s="1107"/>
      <c r="BX172" s="1107"/>
      <c r="BY172" s="1107"/>
      <c r="BZ172" s="1107"/>
      <c r="CA172" s="1107"/>
      <c r="CB172" s="1107"/>
      <c r="CC172" s="1107"/>
      <c r="CD172" s="1107"/>
      <c r="CE172" s="1107"/>
      <c r="CF172" s="1107"/>
      <c r="CG172" s="1107"/>
      <c r="CH172" s="1107"/>
      <c r="CI172" s="1107"/>
      <c r="CJ172" s="1107"/>
      <c r="CK172" s="1107"/>
    </row>
    <row r="173" spans="1:89" x14ac:dyDescent="0.25">
      <c r="A173" s="1107"/>
      <c r="B173" s="2011"/>
      <c r="C173" s="1143" t="s">
        <v>1861</v>
      </c>
      <c r="D173" s="1143" t="s">
        <v>1863</v>
      </c>
      <c r="E173" s="1144" t="s">
        <v>1864</v>
      </c>
      <c r="F173" s="1107"/>
      <c r="G173" s="1107"/>
      <c r="H173" s="1107"/>
      <c r="I173" s="1107"/>
      <c r="J173" s="1107"/>
      <c r="K173" s="1107"/>
      <c r="L173" s="1107"/>
      <c r="M173" s="1107"/>
      <c r="N173" s="1107"/>
      <c r="O173" s="1107"/>
      <c r="P173" s="1107"/>
      <c r="Q173" s="1108"/>
      <c r="R173" s="1107"/>
      <c r="S173" s="1107"/>
      <c r="T173" s="2011"/>
      <c r="U173" s="1143" t="s">
        <v>1861</v>
      </c>
      <c r="V173" s="1143" t="s">
        <v>1863</v>
      </c>
      <c r="W173" s="1144" t="s">
        <v>1864</v>
      </c>
      <c r="X173" s="1107"/>
      <c r="Y173" s="1107"/>
      <c r="Z173" s="1107"/>
      <c r="AA173" s="1107"/>
      <c r="AB173" s="1107"/>
      <c r="AC173" s="1107"/>
      <c r="AD173" s="1107"/>
      <c r="AE173" s="1107"/>
      <c r="AF173" s="1107"/>
      <c r="AG173" s="1107"/>
      <c r="AH173" s="1107"/>
      <c r="AI173" s="1108"/>
      <c r="AJ173" s="1107"/>
      <c r="AK173" s="1107"/>
      <c r="AL173" s="1107"/>
      <c r="AM173" s="1107"/>
      <c r="AN173" s="1107"/>
      <c r="AO173" s="1107"/>
      <c r="AP173" s="1107"/>
      <c r="AQ173" s="1107"/>
      <c r="AR173" s="1107"/>
      <c r="AS173" s="1107"/>
      <c r="AT173" s="1107"/>
      <c r="AU173" s="1107"/>
      <c r="AV173" s="1107"/>
      <c r="AW173" s="1107"/>
      <c r="AX173" s="1107"/>
      <c r="AY173" s="1107"/>
      <c r="AZ173" s="1107"/>
      <c r="BA173" s="1107"/>
      <c r="BB173" s="1107"/>
      <c r="BC173" s="1107"/>
      <c r="BD173" s="1107"/>
      <c r="BE173" s="1107"/>
      <c r="BF173" s="1107"/>
      <c r="BG173" s="1107"/>
      <c r="BH173" s="1107"/>
      <c r="BI173" s="1107"/>
      <c r="BJ173" s="1107"/>
      <c r="BK173" s="1107"/>
      <c r="BL173" s="1107"/>
      <c r="BM173" s="1107"/>
      <c r="BN173" s="1107"/>
      <c r="BO173" s="1107"/>
      <c r="BP173" s="1107"/>
      <c r="BQ173" s="1107"/>
      <c r="BR173" s="1107"/>
      <c r="BS173" s="1107"/>
      <c r="BT173" s="1107"/>
      <c r="BU173" s="1107"/>
      <c r="BV173" s="1107"/>
      <c r="BW173" s="1107"/>
      <c r="BX173" s="1107"/>
      <c r="BY173" s="1107"/>
      <c r="BZ173" s="1107"/>
      <c r="CA173" s="1107"/>
      <c r="CB173" s="1107"/>
      <c r="CC173" s="1107"/>
      <c r="CD173" s="1107"/>
      <c r="CE173" s="1107"/>
      <c r="CF173" s="1107"/>
      <c r="CG173" s="1107"/>
      <c r="CH173" s="1107"/>
      <c r="CI173" s="1107"/>
      <c r="CJ173" s="1107"/>
      <c r="CK173" s="1107"/>
    </row>
    <row r="174" spans="1:89" x14ac:dyDescent="0.25">
      <c r="A174" s="1107"/>
      <c r="B174" s="2011"/>
      <c r="C174" s="1143" t="s">
        <v>1861</v>
      </c>
      <c r="D174" s="1143" t="s">
        <v>1865</v>
      </c>
      <c r="E174" s="1144" t="s">
        <v>1699</v>
      </c>
      <c r="F174" s="1107"/>
      <c r="G174" s="1107"/>
      <c r="H174" s="1107"/>
      <c r="I174" s="1107"/>
      <c r="J174" s="1107"/>
      <c r="K174" s="1107"/>
      <c r="L174" s="1107"/>
      <c r="M174" s="1107"/>
      <c r="N174" s="1107"/>
      <c r="O174" s="1107"/>
      <c r="P174" s="1107"/>
      <c r="Q174" s="1108"/>
      <c r="R174" s="1107"/>
      <c r="S174" s="1107"/>
      <c r="T174" s="2011"/>
      <c r="U174" s="1143" t="s">
        <v>1861</v>
      </c>
      <c r="V174" s="1143" t="s">
        <v>1865</v>
      </c>
      <c r="W174" s="1144" t="s">
        <v>1699</v>
      </c>
      <c r="X174" s="1107"/>
      <c r="Y174" s="1107"/>
      <c r="Z174" s="1107"/>
      <c r="AA174" s="1107"/>
      <c r="AB174" s="1107"/>
      <c r="AC174" s="1107"/>
      <c r="AD174" s="1107"/>
      <c r="AE174" s="1107"/>
      <c r="AF174" s="1107"/>
      <c r="AG174" s="1107"/>
      <c r="AH174" s="1107"/>
      <c r="AI174" s="1108"/>
      <c r="AJ174" s="1107"/>
      <c r="AK174" s="1107"/>
      <c r="AL174" s="1107"/>
      <c r="AM174" s="1107"/>
      <c r="AN174" s="1107"/>
      <c r="AO174" s="1107"/>
      <c r="AP174" s="1107"/>
      <c r="AQ174" s="1107"/>
      <c r="AR174" s="1107"/>
      <c r="AS174" s="1107"/>
      <c r="AT174" s="1107"/>
      <c r="AU174" s="1107"/>
      <c r="AV174" s="1107"/>
      <c r="AW174" s="1107"/>
      <c r="AX174" s="1107"/>
      <c r="AY174" s="1107"/>
      <c r="AZ174" s="1107"/>
      <c r="BA174" s="1107"/>
      <c r="BB174" s="1107"/>
      <c r="BC174" s="1107"/>
      <c r="BD174" s="1107"/>
      <c r="BE174" s="1107"/>
      <c r="BF174" s="1107"/>
      <c r="BG174" s="1107"/>
      <c r="BH174" s="1107"/>
      <c r="BI174" s="1107"/>
      <c r="BJ174" s="1107"/>
      <c r="BK174" s="1107"/>
      <c r="BL174" s="1107"/>
      <c r="BM174" s="1107"/>
      <c r="BN174" s="1107"/>
      <c r="BO174" s="1107"/>
      <c r="BP174" s="1107"/>
      <c r="BQ174" s="1107"/>
      <c r="BR174" s="1107"/>
      <c r="BS174" s="1107"/>
      <c r="BT174" s="1107"/>
      <c r="BU174" s="1107"/>
      <c r="BV174" s="1107"/>
      <c r="BW174" s="1107"/>
      <c r="BX174" s="1107"/>
      <c r="BY174" s="1107"/>
      <c r="BZ174" s="1107"/>
      <c r="CA174" s="1107"/>
      <c r="CB174" s="1107"/>
      <c r="CC174" s="1107"/>
      <c r="CD174" s="1107"/>
      <c r="CE174" s="1107"/>
      <c r="CF174" s="1107"/>
      <c r="CG174" s="1107"/>
      <c r="CH174" s="1107"/>
      <c r="CI174" s="1107"/>
      <c r="CJ174" s="1107"/>
      <c r="CK174" s="1107"/>
    </row>
    <row r="175" spans="1:89" ht="15.75" customHeight="1" thickBot="1" x14ac:dyDescent="0.3">
      <c r="A175" s="1107"/>
      <c r="B175" s="2010"/>
      <c r="C175" s="1145" t="s">
        <v>1861</v>
      </c>
      <c r="D175" s="1145" t="s">
        <v>1866</v>
      </c>
      <c r="E175" s="1146" t="s">
        <v>1867</v>
      </c>
      <c r="F175" s="1107"/>
      <c r="G175" s="1107"/>
      <c r="H175" s="1107"/>
      <c r="I175" s="1107"/>
      <c r="J175" s="1107"/>
      <c r="K175" s="1107"/>
      <c r="L175" s="1107"/>
      <c r="M175" s="1107"/>
      <c r="N175" s="1107"/>
      <c r="O175" s="1107"/>
      <c r="P175" s="1107"/>
      <c r="Q175" s="1108"/>
      <c r="R175" s="1107"/>
      <c r="S175" s="1107"/>
      <c r="T175" s="2010"/>
      <c r="U175" s="1145" t="s">
        <v>1861</v>
      </c>
      <c r="V175" s="1145" t="s">
        <v>1866</v>
      </c>
      <c r="W175" s="1146" t="s">
        <v>1867</v>
      </c>
      <c r="X175" s="1107"/>
      <c r="Y175" s="1107"/>
      <c r="Z175" s="1107"/>
      <c r="AA175" s="1107"/>
      <c r="AB175" s="1107"/>
      <c r="AC175" s="1107"/>
      <c r="AD175" s="1107"/>
      <c r="AE175" s="1107"/>
      <c r="AF175" s="1107"/>
      <c r="AG175" s="1107"/>
      <c r="AH175" s="1107"/>
      <c r="AI175" s="1108"/>
      <c r="AJ175" s="1107"/>
      <c r="AK175" s="1107"/>
      <c r="AL175" s="1107"/>
      <c r="AM175" s="1107"/>
      <c r="AN175" s="1107"/>
      <c r="AO175" s="1107"/>
      <c r="AP175" s="1107"/>
      <c r="AQ175" s="1107"/>
      <c r="AR175" s="1107"/>
      <c r="AS175" s="1107"/>
      <c r="AT175" s="1107"/>
      <c r="AU175" s="1107"/>
      <c r="AV175" s="1107"/>
      <c r="AW175" s="1107"/>
      <c r="AX175" s="1107"/>
      <c r="AY175" s="1107"/>
      <c r="AZ175" s="1107"/>
      <c r="BA175" s="1107"/>
      <c r="BB175" s="1107"/>
      <c r="BC175" s="1107"/>
      <c r="BD175" s="1107"/>
      <c r="BE175" s="1107"/>
      <c r="BF175" s="1107"/>
      <c r="BG175" s="1107"/>
      <c r="BH175" s="1107"/>
      <c r="BI175" s="1107"/>
      <c r="BJ175" s="1107"/>
      <c r="BK175" s="1107"/>
      <c r="BL175" s="1107"/>
      <c r="BM175" s="1107"/>
      <c r="BN175" s="1107"/>
      <c r="BO175" s="1107"/>
      <c r="BP175" s="1107"/>
      <c r="BQ175" s="1107"/>
      <c r="BR175" s="1107"/>
      <c r="BS175" s="1107"/>
      <c r="BT175" s="1107"/>
      <c r="BU175" s="1107"/>
      <c r="BV175" s="1107"/>
      <c r="BW175" s="1107"/>
      <c r="BX175" s="1107"/>
      <c r="BY175" s="1107"/>
      <c r="BZ175" s="1107"/>
      <c r="CA175" s="1107"/>
      <c r="CB175" s="1107"/>
      <c r="CC175" s="1107"/>
      <c r="CD175" s="1107"/>
      <c r="CE175" s="1107"/>
      <c r="CF175" s="1107"/>
      <c r="CG175" s="1107"/>
      <c r="CH175" s="1107"/>
      <c r="CI175" s="1107"/>
      <c r="CJ175" s="1107"/>
      <c r="CK175" s="1107"/>
    </row>
    <row r="176" spans="1:89" ht="15.75" customHeight="1" thickBot="1" x14ac:dyDescent="0.3">
      <c r="A176" s="1107"/>
      <c r="B176" s="2006" t="s">
        <v>1868</v>
      </c>
      <c r="C176" s="1147" t="s">
        <v>1869</v>
      </c>
      <c r="D176" s="1148" t="s">
        <v>1859</v>
      </c>
      <c r="E176" s="1148" t="s">
        <v>131</v>
      </c>
      <c r="F176" s="1148" t="s">
        <v>1860</v>
      </c>
      <c r="G176" s="1148" t="s">
        <v>1870</v>
      </c>
      <c r="H176" s="1149" t="s">
        <v>1871</v>
      </c>
      <c r="I176" s="1150" t="s">
        <v>766</v>
      </c>
      <c r="J176" s="1150" t="s">
        <v>767</v>
      </c>
      <c r="K176" s="1150" t="s">
        <v>768</v>
      </c>
      <c r="L176" s="1150" t="s">
        <v>769</v>
      </c>
      <c r="M176" s="1150" t="s">
        <v>204</v>
      </c>
      <c r="N176" s="1107"/>
      <c r="O176" s="1107"/>
      <c r="P176" s="1107"/>
      <c r="Q176" s="1108"/>
      <c r="R176" s="1107"/>
      <c r="S176" s="1107"/>
      <c r="T176" s="2006" t="s">
        <v>1868</v>
      </c>
      <c r="U176" s="1147" t="s">
        <v>1869</v>
      </c>
      <c r="V176" s="1148" t="s">
        <v>1859</v>
      </c>
      <c r="W176" s="1148" t="s">
        <v>131</v>
      </c>
      <c r="X176" s="1148" t="s">
        <v>1860</v>
      </c>
      <c r="Y176" s="1148" t="s">
        <v>1870</v>
      </c>
      <c r="Z176" s="1149" t="s">
        <v>1871</v>
      </c>
      <c r="AA176" s="1150" t="s">
        <v>766</v>
      </c>
      <c r="AB176" s="1150" t="s">
        <v>767</v>
      </c>
      <c r="AC176" s="1150" t="s">
        <v>768</v>
      </c>
      <c r="AD176" s="1150" t="s">
        <v>769</v>
      </c>
      <c r="AE176" s="1150" t="s">
        <v>204</v>
      </c>
      <c r="AF176" s="1107"/>
      <c r="AG176" s="1107"/>
      <c r="AH176" s="1107"/>
      <c r="AI176" s="1108"/>
      <c r="AJ176" s="1107"/>
      <c r="AK176" s="1107"/>
      <c r="AL176" s="1107"/>
      <c r="AM176" s="1107"/>
      <c r="AN176" s="1107"/>
      <c r="AO176" s="1107"/>
      <c r="AP176" s="1107"/>
      <c r="AQ176" s="1107"/>
      <c r="AR176" s="1107"/>
      <c r="AS176" s="1107"/>
      <c r="AT176" s="1107"/>
      <c r="AU176" s="1107"/>
      <c r="AV176" s="1107"/>
      <c r="AW176" s="1107"/>
      <c r="AX176" s="1107"/>
      <c r="AY176" s="1107"/>
      <c r="AZ176" s="1107"/>
      <c r="BA176" s="1107"/>
      <c r="BB176" s="1107"/>
      <c r="BC176" s="1107"/>
      <c r="BD176" s="1107"/>
      <c r="BE176" s="1107"/>
      <c r="BF176" s="1107"/>
      <c r="BG176" s="1107"/>
      <c r="BH176" s="1107"/>
      <c r="BI176" s="1107"/>
      <c r="BJ176" s="1107"/>
      <c r="BK176" s="1107"/>
      <c r="BL176" s="1107"/>
      <c r="BM176" s="1107"/>
      <c r="BN176" s="1107"/>
      <c r="BO176" s="1107"/>
      <c r="BP176" s="1107"/>
      <c r="BQ176" s="1107"/>
      <c r="BR176" s="1107"/>
      <c r="BS176" s="1107"/>
      <c r="BT176" s="1107"/>
      <c r="BU176" s="1107"/>
      <c r="BV176" s="1107"/>
      <c r="BW176" s="1107"/>
      <c r="BX176" s="1107"/>
      <c r="BY176" s="1107"/>
      <c r="BZ176" s="1107"/>
      <c r="CA176" s="1107"/>
      <c r="CB176" s="1107"/>
      <c r="CC176" s="1107"/>
      <c r="CD176" s="1107"/>
      <c r="CE176" s="1107"/>
      <c r="CF176" s="1107"/>
      <c r="CG176" s="1107"/>
      <c r="CH176" s="1107"/>
      <c r="CI176" s="1107"/>
      <c r="CJ176" s="1107"/>
      <c r="CK176" s="1107"/>
    </row>
    <row r="177" spans="1:89" x14ac:dyDescent="0.25">
      <c r="A177" s="1107"/>
      <c r="B177" s="2008"/>
      <c r="C177" s="1151">
        <v>1</v>
      </c>
      <c r="D177" s="1144" t="s">
        <v>1872</v>
      </c>
      <c r="E177" s="1144" t="s">
        <v>1426</v>
      </c>
      <c r="F177" s="1153" t="str">
        <f>'Required Info to Submit'!E23</f>
        <v/>
      </c>
      <c r="G177" s="1417" t="str">
        <f>IF(F177="","",'Required Info to Submit'!K23)</f>
        <v/>
      </c>
      <c r="H177" s="1418" t="str">
        <f>IF(F177="","",'Required Info to Submit'!L23)</f>
        <v/>
      </c>
      <c r="I177" s="1153" t="str">
        <f>'Required Info to Submit'!F23</f>
        <v/>
      </c>
      <c r="J177" s="1153" t="str">
        <f>'Required Info to Submit'!G23</f>
        <v/>
      </c>
      <c r="K177" s="1153" t="str">
        <f>'Required Info to Submit'!H23</f>
        <v/>
      </c>
      <c r="L177" s="1153" t="str">
        <f>'Required Info to Submit'!I23</f>
        <v/>
      </c>
      <c r="M177" s="1153" t="str">
        <f>'Required Info to Submit'!J23</f>
        <v/>
      </c>
      <c r="N177" s="1107"/>
      <c r="O177" s="1107"/>
      <c r="P177" s="1107"/>
      <c r="Q177" s="1108"/>
      <c r="R177" s="1107"/>
      <c r="S177" s="1107"/>
      <c r="T177" s="2008"/>
      <c r="U177" s="1151">
        <v>1</v>
      </c>
      <c r="V177" s="1144" t="s">
        <v>1872</v>
      </c>
      <c r="W177" s="1144" t="s">
        <v>1426</v>
      </c>
      <c r="X177" s="1144" t="str">
        <f>'Required Info to Submit'!E23</f>
        <v/>
      </c>
      <c r="Y177" s="1414" t="str">
        <f>IF(X177="","",'Required Info to Submit'!K23)</f>
        <v/>
      </c>
      <c r="Z177" s="1415" t="str">
        <f>IF(X177="","",'Required Info to Submit'!L23)</f>
        <v/>
      </c>
      <c r="AA177" s="1144" t="str">
        <f>'Required Info to Submit'!F23</f>
        <v/>
      </c>
      <c r="AB177" s="1144" t="str">
        <f>'Required Info to Submit'!G23</f>
        <v/>
      </c>
      <c r="AC177" s="1144" t="str">
        <f>'Required Info to Submit'!H23</f>
        <v/>
      </c>
      <c r="AD177" s="1144" t="str">
        <f>'Required Info to Submit'!I23</f>
        <v/>
      </c>
      <c r="AE177" s="1144" t="str">
        <f>'Required Info to Submit'!J23</f>
        <v/>
      </c>
      <c r="AF177" s="1107"/>
      <c r="AG177" s="1107"/>
      <c r="AH177" s="1107"/>
      <c r="AI177" s="1108"/>
      <c r="AJ177" s="1107"/>
      <c r="AK177" s="1107"/>
      <c r="AL177" s="1107"/>
      <c r="AM177" s="1107"/>
      <c r="AN177" s="1107"/>
      <c r="AO177" s="1107"/>
      <c r="AP177" s="1107"/>
      <c r="AQ177" s="1107"/>
      <c r="AR177" s="1107"/>
      <c r="AS177" s="1107"/>
      <c r="AT177" s="1107"/>
      <c r="AU177" s="1107"/>
      <c r="AV177" s="1107"/>
      <c r="AW177" s="1107"/>
      <c r="AX177" s="1107"/>
      <c r="AY177" s="1107"/>
      <c r="AZ177" s="1107"/>
      <c r="BA177" s="1107"/>
      <c r="BB177" s="1107"/>
      <c r="BC177" s="1107"/>
      <c r="BD177" s="1107"/>
      <c r="BE177" s="1107"/>
      <c r="BF177" s="1107"/>
      <c r="BG177" s="1107"/>
      <c r="BH177" s="1107"/>
      <c r="BI177" s="1107"/>
      <c r="BJ177" s="1107"/>
      <c r="BK177" s="1107"/>
      <c r="BL177" s="1107"/>
      <c r="BM177" s="1107"/>
      <c r="BN177" s="1107"/>
      <c r="BO177" s="1107"/>
      <c r="BP177" s="1107"/>
      <c r="BQ177" s="1107"/>
      <c r="BR177" s="1107"/>
      <c r="BS177" s="1107"/>
      <c r="BT177" s="1107"/>
      <c r="BU177" s="1107"/>
      <c r="BV177" s="1107"/>
      <c r="BW177" s="1107"/>
      <c r="BX177" s="1107"/>
      <c r="BY177" s="1107"/>
      <c r="BZ177" s="1107"/>
      <c r="CA177" s="1107"/>
      <c r="CB177" s="1107"/>
      <c r="CC177" s="1107"/>
      <c r="CD177" s="1107"/>
      <c r="CE177" s="1107"/>
      <c r="CF177" s="1107"/>
      <c r="CG177" s="1107"/>
      <c r="CH177" s="1107"/>
      <c r="CI177" s="1107"/>
      <c r="CJ177" s="1107"/>
      <c r="CK177" s="1107"/>
    </row>
    <row r="178" spans="1:89" x14ac:dyDescent="0.25">
      <c r="A178" s="1107"/>
      <c r="B178" s="2008"/>
      <c r="C178" s="1154">
        <v>2</v>
      </c>
      <c r="D178" s="1144" t="s">
        <v>1872</v>
      </c>
      <c r="E178" s="1144" t="s">
        <v>1426</v>
      </c>
      <c r="F178" s="1153" t="str">
        <f>'Required Info to Submit'!E24</f>
        <v/>
      </c>
      <c r="G178" s="1417" t="str">
        <f>IF(F178="","",'Required Info to Submit'!K24)</f>
        <v/>
      </c>
      <c r="H178" s="1418" t="str">
        <f>IF(F178="","",'Required Info to Submit'!L24)</f>
        <v/>
      </c>
      <c r="I178" s="1153" t="str">
        <f>'Required Info to Submit'!F24</f>
        <v/>
      </c>
      <c r="J178" s="1153" t="str">
        <f>'Required Info to Submit'!G24</f>
        <v/>
      </c>
      <c r="K178" s="1153" t="str">
        <f>'Required Info to Submit'!H24</f>
        <v/>
      </c>
      <c r="L178" s="1153" t="str">
        <f>'Required Info to Submit'!I24</f>
        <v/>
      </c>
      <c r="M178" s="1153" t="str">
        <f>'Required Info to Submit'!J24</f>
        <v/>
      </c>
      <c r="N178" s="1107"/>
      <c r="O178" s="1107"/>
      <c r="P178" s="1107"/>
      <c r="Q178" s="1108"/>
      <c r="R178" s="1107"/>
      <c r="S178" s="1107"/>
      <c r="T178" s="2008"/>
      <c r="U178" s="1154">
        <v>2</v>
      </c>
      <c r="V178" s="1144" t="s">
        <v>1872</v>
      </c>
      <c r="W178" s="1144" t="s">
        <v>1426</v>
      </c>
      <c r="X178" s="1144" t="str">
        <f>'Required Info to Submit'!E24</f>
        <v/>
      </c>
      <c r="Y178" s="1414" t="str">
        <f>IF(X178="","",'Required Info to Submit'!K24)</f>
        <v/>
      </c>
      <c r="Z178" s="1415" t="str">
        <f>IF(X178="","",'Required Info to Submit'!L24)</f>
        <v/>
      </c>
      <c r="AA178" s="1144" t="str">
        <f>'Required Info to Submit'!F24</f>
        <v/>
      </c>
      <c r="AB178" s="1144" t="str">
        <f>'Required Info to Submit'!G24</f>
        <v/>
      </c>
      <c r="AC178" s="1144" t="str">
        <f>'Required Info to Submit'!H24</f>
        <v/>
      </c>
      <c r="AD178" s="1144" t="str">
        <f>'Required Info to Submit'!I24</f>
        <v/>
      </c>
      <c r="AE178" s="1144" t="str">
        <f>'Required Info to Submit'!J24</f>
        <v/>
      </c>
      <c r="AF178" s="1107"/>
      <c r="AG178" s="1107"/>
      <c r="AH178" s="1107"/>
      <c r="AI178" s="1108"/>
      <c r="AJ178" s="1107"/>
      <c r="AK178" s="1107"/>
      <c r="AL178" s="1107"/>
      <c r="AM178" s="1107"/>
      <c r="AN178" s="1107"/>
      <c r="AO178" s="1107"/>
      <c r="AP178" s="1107"/>
      <c r="AQ178" s="1107"/>
      <c r="AR178" s="1107"/>
      <c r="AS178" s="1107"/>
      <c r="AT178" s="1107"/>
      <c r="AU178" s="1107"/>
      <c r="AV178" s="1107"/>
      <c r="AW178" s="1107"/>
      <c r="AX178" s="1107"/>
      <c r="AY178" s="1107"/>
      <c r="AZ178" s="1107"/>
      <c r="BA178" s="1107"/>
      <c r="BB178" s="1107"/>
      <c r="BC178" s="1107"/>
      <c r="BD178" s="1107"/>
      <c r="BE178" s="1107"/>
      <c r="BF178" s="1107"/>
      <c r="BG178" s="1107"/>
      <c r="BH178" s="1107"/>
      <c r="BI178" s="1107"/>
      <c r="BJ178" s="1107"/>
      <c r="BK178" s="1107"/>
      <c r="BL178" s="1107"/>
      <c r="BM178" s="1107"/>
      <c r="BN178" s="1107"/>
      <c r="BO178" s="1107"/>
      <c r="BP178" s="1107"/>
      <c r="BQ178" s="1107"/>
      <c r="BR178" s="1107"/>
      <c r="BS178" s="1107"/>
      <c r="BT178" s="1107"/>
      <c r="BU178" s="1107"/>
      <c r="BV178" s="1107"/>
      <c r="BW178" s="1107"/>
      <c r="BX178" s="1107"/>
      <c r="BY178" s="1107"/>
      <c r="BZ178" s="1107"/>
      <c r="CA178" s="1107"/>
      <c r="CB178" s="1107"/>
      <c r="CC178" s="1107"/>
      <c r="CD178" s="1107"/>
      <c r="CE178" s="1107"/>
      <c r="CF178" s="1107"/>
      <c r="CG178" s="1107"/>
      <c r="CH178" s="1107"/>
      <c r="CI178" s="1107"/>
      <c r="CJ178" s="1107"/>
      <c r="CK178" s="1107"/>
    </row>
    <row r="179" spans="1:89" x14ac:dyDescent="0.25">
      <c r="A179" s="1107"/>
      <c r="B179" s="2008"/>
      <c r="C179" s="1154">
        <v>3</v>
      </c>
      <c r="D179" s="1144" t="s">
        <v>1872</v>
      </c>
      <c r="E179" s="1144" t="s">
        <v>1426</v>
      </c>
      <c r="F179" s="1153" t="str">
        <f>'Required Info to Submit'!E25</f>
        <v/>
      </c>
      <c r="G179" s="1417" t="str">
        <f>IF(F179="","",'Required Info to Submit'!K25)</f>
        <v/>
      </c>
      <c r="H179" s="1418" t="str">
        <f>IF(F179="","",'Required Info to Submit'!L25)</f>
        <v/>
      </c>
      <c r="I179" s="1153" t="str">
        <f>'Required Info to Submit'!F25</f>
        <v/>
      </c>
      <c r="J179" s="1153" t="str">
        <f>'Required Info to Submit'!G25</f>
        <v/>
      </c>
      <c r="K179" s="1153" t="str">
        <f>'Required Info to Submit'!H25</f>
        <v/>
      </c>
      <c r="L179" s="1153" t="str">
        <f>'Required Info to Submit'!I25</f>
        <v/>
      </c>
      <c r="M179" s="1153" t="str">
        <f>'Required Info to Submit'!J25</f>
        <v/>
      </c>
      <c r="N179" s="1107"/>
      <c r="O179" s="1107"/>
      <c r="P179" s="1107"/>
      <c r="Q179" s="1108"/>
      <c r="R179" s="1107"/>
      <c r="S179" s="1107"/>
      <c r="T179" s="2008"/>
      <c r="U179" s="1154">
        <v>3</v>
      </c>
      <c r="V179" s="1144" t="s">
        <v>1872</v>
      </c>
      <c r="W179" s="1144" t="s">
        <v>1426</v>
      </c>
      <c r="X179" s="1144" t="str">
        <f>'Required Info to Submit'!E25</f>
        <v/>
      </c>
      <c r="Y179" s="1414" t="str">
        <f>IF(X179="","",'Required Info to Submit'!K25)</f>
        <v/>
      </c>
      <c r="Z179" s="1415" t="str">
        <f>IF(X179="","",'Required Info to Submit'!L25)</f>
        <v/>
      </c>
      <c r="AA179" s="1144" t="str">
        <f>'Required Info to Submit'!F25</f>
        <v/>
      </c>
      <c r="AB179" s="1144" t="str">
        <f>'Required Info to Submit'!G25</f>
        <v/>
      </c>
      <c r="AC179" s="1144" t="str">
        <f>'Required Info to Submit'!H25</f>
        <v/>
      </c>
      <c r="AD179" s="1144" t="str">
        <f>'Required Info to Submit'!I25</f>
        <v/>
      </c>
      <c r="AE179" s="1144" t="str">
        <f>'Required Info to Submit'!J25</f>
        <v/>
      </c>
      <c r="AF179" s="1107"/>
      <c r="AG179" s="1107"/>
      <c r="AH179" s="1107"/>
      <c r="AI179" s="1108"/>
      <c r="AJ179" s="1107"/>
      <c r="AK179" s="1107"/>
      <c r="AL179" s="1107"/>
      <c r="AM179" s="1107"/>
      <c r="AN179" s="1107"/>
      <c r="AO179" s="1107"/>
      <c r="AP179" s="1107"/>
      <c r="AQ179" s="1107"/>
      <c r="AR179" s="1107"/>
      <c r="AS179" s="1107"/>
      <c r="AT179" s="1107"/>
      <c r="AU179" s="1107"/>
      <c r="AV179" s="1107"/>
      <c r="AW179" s="1107"/>
      <c r="AX179" s="1107"/>
      <c r="AY179" s="1107"/>
      <c r="AZ179" s="1107"/>
      <c r="BA179" s="1107"/>
      <c r="BB179" s="1107"/>
      <c r="BC179" s="1107"/>
      <c r="BD179" s="1107"/>
      <c r="BE179" s="1107"/>
      <c r="BF179" s="1107"/>
      <c r="BG179" s="1107"/>
      <c r="BH179" s="1107"/>
      <c r="BI179" s="1107"/>
      <c r="BJ179" s="1107"/>
      <c r="BK179" s="1107"/>
      <c r="BL179" s="1107"/>
      <c r="BM179" s="1107"/>
      <c r="BN179" s="1107"/>
      <c r="BO179" s="1107"/>
      <c r="BP179" s="1107"/>
      <c r="BQ179" s="1107"/>
      <c r="BR179" s="1107"/>
      <c r="BS179" s="1107"/>
      <c r="BT179" s="1107"/>
      <c r="BU179" s="1107"/>
      <c r="BV179" s="1107"/>
      <c r="BW179" s="1107"/>
      <c r="BX179" s="1107"/>
      <c r="BY179" s="1107"/>
      <c r="BZ179" s="1107"/>
      <c r="CA179" s="1107"/>
      <c r="CB179" s="1107"/>
      <c r="CC179" s="1107"/>
      <c r="CD179" s="1107"/>
      <c r="CE179" s="1107"/>
      <c r="CF179" s="1107"/>
      <c r="CG179" s="1107"/>
      <c r="CH179" s="1107"/>
      <c r="CI179" s="1107"/>
      <c r="CJ179" s="1107"/>
      <c r="CK179" s="1107"/>
    </row>
    <row r="180" spans="1:89" x14ac:dyDescent="0.25">
      <c r="A180" s="1107"/>
      <c r="B180" s="2008"/>
      <c r="C180" s="1154">
        <v>4</v>
      </c>
      <c r="D180" s="1144" t="s">
        <v>1872</v>
      </c>
      <c r="E180" s="1144" t="s">
        <v>1426</v>
      </c>
      <c r="F180" s="1153" t="str">
        <f>'Required Info to Submit'!E26</f>
        <v/>
      </c>
      <c r="G180" s="1417" t="str">
        <f>IF(F180="","",'Required Info to Submit'!K26)</f>
        <v/>
      </c>
      <c r="H180" s="1418" t="str">
        <f>IF(F180="","",'Required Info to Submit'!L26)</f>
        <v/>
      </c>
      <c r="I180" s="1153" t="str">
        <f>'Required Info to Submit'!F26</f>
        <v/>
      </c>
      <c r="J180" s="1153" t="str">
        <f>'Required Info to Submit'!G26</f>
        <v/>
      </c>
      <c r="K180" s="1153" t="str">
        <f>'Required Info to Submit'!H26</f>
        <v/>
      </c>
      <c r="L180" s="1153" t="str">
        <f>'Required Info to Submit'!I26</f>
        <v/>
      </c>
      <c r="M180" s="1153" t="str">
        <f>'Required Info to Submit'!J26</f>
        <v/>
      </c>
      <c r="N180" s="1107"/>
      <c r="O180" s="1107"/>
      <c r="P180" s="1107"/>
      <c r="Q180" s="1108"/>
      <c r="R180" s="1107"/>
      <c r="S180" s="1107"/>
      <c r="T180" s="2008"/>
      <c r="U180" s="1154">
        <v>4</v>
      </c>
      <c r="V180" s="1144" t="s">
        <v>1872</v>
      </c>
      <c r="W180" s="1144" t="s">
        <v>1426</v>
      </c>
      <c r="X180" s="1144" t="str">
        <f>'Required Info to Submit'!E26</f>
        <v/>
      </c>
      <c r="Y180" s="1414" t="str">
        <f>IF(X180="","",'Required Info to Submit'!K26)</f>
        <v/>
      </c>
      <c r="Z180" s="1415" t="str">
        <f>IF(X180="","",'Required Info to Submit'!L26)</f>
        <v/>
      </c>
      <c r="AA180" s="1144" t="str">
        <f>'Required Info to Submit'!F26</f>
        <v/>
      </c>
      <c r="AB180" s="1144" t="str">
        <f>'Required Info to Submit'!G26</f>
        <v/>
      </c>
      <c r="AC180" s="1144" t="str">
        <f>'Required Info to Submit'!H26</f>
        <v/>
      </c>
      <c r="AD180" s="1144" t="str">
        <f>'Required Info to Submit'!I26</f>
        <v/>
      </c>
      <c r="AE180" s="1144" t="str">
        <f>'Required Info to Submit'!J26</f>
        <v/>
      </c>
      <c r="AF180" s="1107"/>
      <c r="AG180" s="1107"/>
      <c r="AH180" s="1107"/>
      <c r="AI180" s="1108"/>
      <c r="AJ180" s="1107"/>
      <c r="AK180" s="1107"/>
      <c r="AL180" s="1107"/>
      <c r="AM180" s="1107"/>
      <c r="AN180" s="1107"/>
      <c r="AO180" s="1107"/>
      <c r="AP180" s="1107"/>
      <c r="AQ180" s="1107"/>
      <c r="AR180" s="1107"/>
      <c r="AS180" s="1107"/>
      <c r="AT180" s="1107"/>
      <c r="AU180" s="1107"/>
      <c r="AV180" s="1107"/>
      <c r="AW180" s="1107"/>
      <c r="AX180" s="1107"/>
      <c r="AY180" s="1107"/>
      <c r="AZ180" s="1107"/>
      <c r="BA180" s="1107"/>
      <c r="BB180" s="1107"/>
      <c r="BC180" s="1107"/>
      <c r="BD180" s="1107"/>
      <c r="BE180" s="1107"/>
      <c r="BF180" s="1107"/>
      <c r="BG180" s="1107"/>
      <c r="BH180" s="1107"/>
      <c r="BI180" s="1107"/>
      <c r="BJ180" s="1107"/>
      <c r="BK180" s="1107"/>
      <c r="BL180" s="1107"/>
      <c r="BM180" s="1107"/>
      <c r="BN180" s="1107"/>
      <c r="BO180" s="1107"/>
      <c r="BP180" s="1107"/>
      <c r="BQ180" s="1107"/>
      <c r="BR180" s="1107"/>
      <c r="BS180" s="1107"/>
      <c r="BT180" s="1107"/>
      <c r="BU180" s="1107"/>
      <c r="BV180" s="1107"/>
      <c r="BW180" s="1107"/>
      <c r="BX180" s="1107"/>
      <c r="BY180" s="1107"/>
      <c r="BZ180" s="1107"/>
      <c r="CA180" s="1107"/>
      <c r="CB180" s="1107"/>
      <c r="CC180" s="1107"/>
      <c r="CD180" s="1107"/>
      <c r="CE180" s="1107"/>
      <c r="CF180" s="1107"/>
      <c r="CG180" s="1107"/>
      <c r="CH180" s="1107"/>
      <c r="CI180" s="1107"/>
      <c r="CJ180" s="1107"/>
      <c r="CK180" s="1107"/>
    </row>
    <row r="181" spans="1:89" x14ac:dyDescent="0.25">
      <c r="A181" s="1107"/>
      <c r="B181" s="2008"/>
      <c r="C181" s="1154">
        <v>5</v>
      </c>
      <c r="D181" s="1144" t="s">
        <v>1872</v>
      </c>
      <c r="E181" s="1144" t="s">
        <v>1426</v>
      </c>
      <c r="F181" s="1153" t="str">
        <f>'Required Info to Submit'!E27</f>
        <v/>
      </c>
      <c r="G181" s="1417" t="str">
        <f>IF(F181="","",'Required Info to Submit'!K27)</f>
        <v/>
      </c>
      <c r="H181" s="1418" t="str">
        <f>IF(F181="","",'Required Info to Submit'!L27)</f>
        <v/>
      </c>
      <c r="I181" s="1153" t="str">
        <f>'Required Info to Submit'!F27</f>
        <v/>
      </c>
      <c r="J181" s="1153" t="str">
        <f>'Required Info to Submit'!G27</f>
        <v/>
      </c>
      <c r="K181" s="1153" t="str">
        <f>'Required Info to Submit'!H27</f>
        <v/>
      </c>
      <c r="L181" s="1153" t="str">
        <f>'Required Info to Submit'!I27</f>
        <v/>
      </c>
      <c r="M181" s="1153" t="str">
        <f>'Required Info to Submit'!J27</f>
        <v/>
      </c>
      <c r="N181" s="1107"/>
      <c r="O181" s="1107"/>
      <c r="P181" s="1107"/>
      <c r="Q181" s="1108"/>
      <c r="R181" s="1107"/>
      <c r="S181" s="1107"/>
      <c r="T181" s="2008"/>
      <c r="U181" s="1154">
        <v>5</v>
      </c>
      <c r="V181" s="1144" t="s">
        <v>1872</v>
      </c>
      <c r="W181" s="1144" t="s">
        <v>1426</v>
      </c>
      <c r="X181" s="1144" t="str">
        <f>'Required Info to Submit'!E27</f>
        <v/>
      </c>
      <c r="Y181" s="1414" t="str">
        <f>IF(X181="","",'Required Info to Submit'!K27)</f>
        <v/>
      </c>
      <c r="Z181" s="1415" t="str">
        <f>IF(X181="","",'Required Info to Submit'!L27)</f>
        <v/>
      </c>
      <c r="AA181" s="1144" t="str">
        <f>'Required Info to Submit'!F27</f>
        <v/>
      </c>
      <c r="AB181" s="1144" t="str">
        <f>'Required Info to Submit'!G27</f>
        <v/>
      </c>
      <c r="AC181" s="1144" t="str">
        <f>'Required Info to Submit'!H27</f>
        <v/>
      </c>
      <c r="AD181" s="1144" t="str">
        <f>'Required Info to Submit'!I27</f>
        <v/>
      </c>
      <c r="AE181" s="1144" t="str">
        <f>'Required Info to Submit'!J27</f>
        <v/>
      </c>
      <c r="AF181" s="1107"/>
      <c r="AG181" s="1107"/>
      <c r="AH181" s="1107"/>
      <c r="AI181" s="1108"/>
      <c r="AJ181" s="1107"/>
      <c r="AK181" s="1107"/>
      <c r="AL181" s="1107"/>
      <c r="AM181" s="1107"/>
      <c r="AN181" s="1107"/>
      <c r="AO181" s="1107"/>
      <c r="AP181" s="1107"/>
      <c r="AQ181" s="1107"/>
      <c r="AR181" s="1107"/>
      <c r="AS181" s="1107"/>
      <c r="AT181" s="1107"/>
      <c r="AU181" s="1107"/>
      <c r="AV181" s="1107"/>
      <c r="AW181" s="1107"/>
      <c r="AX181" s="1107"/>
      <c r="AY181" s="1107"/>
      <c r="AZ181" s="1107"/>
      <c r="BA181" s="1107"/>
      <c r="BB181" s="1107"/>
      <c r="BC181" s="1107"/>
      <c r="BD181" s="1107"/>
      <c r="BE181" s="1107"/>
      <c r="BF181" s="1107"/>
      <c r="BG181" s="1107"/>
      <c r="BH181" s="1107"/>
      <c r="BI181" s="1107"/>
      <c r="BJ181" s="1107"/>
      <c r="BK181" s="1107"/>
      <c r="BL181" s="1107"/>
      <c r="BM181" s="1107"/>
      <c r="BN181" s="1107"/>
      <c r="BO181" s="1107"/>
      <c r="BP181" s="1107"/>
      <c r="BQ181" s="1107"/>
      <c r="BR181" s="1107"/>
      <c r="BS181" s="1107"/>
      <c r="BT181" s="1107"/>
      <c r="BU181" s="1107"/>
      <c r="BV181" s="1107"/>
      <c r="BW181" s="1107"/>
      <c r="BX181" s="1107"/>
      <c r="BY181" s="1107"/>
      <c r="BZ181" s="1107"/>
      <c r="CA181" s="1107"/>
      <c r="CB181" s="1107"/>
      <c r="CC181" s="1107"/>
      <c r="CD181" s="1107"/>
      <c r="CE181" s="1107"/>
      <c r="CF181" s="1107"/>
      <c r="CG181" s="1107"/>
      <c r="CH181" s="1107"/>
      <c r="CI181" s="1107"/>
      <c r="CJ181" s="1107"/>
      <c r="CK181" s="1107"/>
    </row>
    <row r="182" spans="1:89" x14ac:dyDescent="0.25">
      <c r="A182" s="1107"/>
      <c r="B182" s="2008"/>
      <c r="C182" s="1154">
        <v>6</v>
      </c>
      <c r="D182" s="1144" t="s">
        <v>1872</v>
      </c>
      <c r="E182" s="1144" t="s">
        <v>1426</v>
      </c>
      <c r="F182" s="1153" t="str">
        <f>'Required Info to Submit'!E28</f>
        <v/>
      </c>
      <c r="G182" s="1417" t="str">
        <f>IF(F182="","",'Required Info to Submit'!K28)</f>
        <v/>
      </c>
      <c r="H182" s="1418" t="str">
        <f>IF(F182="","",'Required Info to Submit'!L28)</f>
        <v/>
      </c>
      <c r="I182" s="1153" t="str">
        <f>'Required Info to Submit'!F28</f>
        <v/>
      </c>
      <c r="J182" s="1153" t="str">
        <f>'Required Info to Submit'!G28</f>
        <v/>
      </c>
      <c r="K182" s="1153" t="str">
        <f>'Required Info to Submit'!H28</f>
        <v/>
      </c>
      <c r="L182" s="1153" t="str">
        <f>'Required Info to Submit'!I28</f>
        <v/>
      </c>
      <c r="M182" s="1153" t="str">
        <f>'Required Info to Submit'!J28</f>
        <v/>
      </c>
      <c r="N182" s="1107"/>
      <c r="O182" s="1107"/>
      <c r="P182" s="1107"/>
      <c r="Q182" s="1108"/>
      <c r="R182" s="1107"/>
      <c r="S182" s="1107"/>
      <c r="T182" s="2008"/>
      <c r="U182" s="1154">
        <v>6</v>
      </c>
      <c r="V182" s="1144" t="s">
        <v>1872</v>
      </c>
      <c r="W182" s="1144" t="s">
        <v>1426</v>
      </c>
      <c r="X182" s="1144" t="str">
        <f>'Required Info to Submit'!E28</f>
        <v/>
      </c>
      <c r="Y182" s="1414" t="str">
        <f>IF(X182="","",'Required Info to Submit'!K28)</f>
        <v/>
      </c>
      <c r="Z182" s="1415" t="str">
        <f>IF(X182="","",'Required Info to Submit'!L28)</f>
        <v/>
      </c>
      <c r="AA182" s="1144" t="str">
        <f>'Required Info to Submit'!F28</f>
        <v/>
      </c>
      <c r="AB182" s="1144" t="str">
        <f>'Required Info to Submit'!G28</f>
        <v/>
      </c>
      <c r="AC182" s="1144" t="str">
        <f>'Required Info to Submit'!H28</f>
        <v/>
      </c>
      <c r="AD182" s="1144" t="str">
        <f>'Required Info to Submit'!I28</f>
        <v/>
      </c>
      <c r="AE182" s="1144" t="str">
        <f>'Required Info to Submit'!J28</f>
        <v/>
      </c>
      <c r="AF182" s="1107"/>
      <c r="AG182" s="1107"/>
      <c r="AH182" s="1107"/>
      <c r="AI182" s="1108"/>
      <c r="AJ182" s="1107"/>
      <c r="AK182" s="1107"/>
      <c r="AL182" s="1107"/>
      <c r="AM182" s="1107"/>
      <c r="AN182" s="1107"/>
      <c r="AO182" s="1107"/>
      <c r="AP182" s="1107"/>
      <c r="AQ182" s="1107"/>
      <c r="AR182" s="1107"/>
      <c r="AS182" s="1107"/>
      <c r="AT182" s="1107"/>
      <c r="AU182" s="1107"/>
      <c r="AV182" s="1107"/>
      <c r="AW182" s="1107"/>
      <c r="AX182" s="1107"/>
      <c r="AY182" s="1107"/>
      <c r="AZ182" s="1107"/>
      <c r="BA182" s="1107"/>
      <c r="BB182" s="1107"/>
      <c r="BC182" s="1107"/>
      <c r="BD182" s="1107"/>
      <c r="BE182" s="1107"/>
      <c r="BF182" s="1107"/>
      <c r="BG182" s="1107"/>
      <c r="BH182" s="1107"/>
      <c r="BI182" s="1107"/>
      <c r="BJ182" s="1107"/>
      <c r="BK182" s="1107"/>
      <c r="BL182" s="1107"/>
      <c r="BM182" s="1107"/>
      <c r="BN182" s="1107"/>
      <c r="BO182" s="1107"/>
      <c r="BP182" s="1107"/>
      <c r="BQ182" s="1107"/>
      <c r="BR182" s="1107"/>
      <c r="BS182" s="1107"/>
      <c r="BT182" s="1107"/>
      <c r="BU182" s="1107"/>
      <c r="BV182" s="1107"/>
      <c r="BW182" s="1107"/>
      <c r="BX182" s="1107"/>
      <c r="BY182" s="1107"/>
      <c r="BZ182" s="1107"/>
      <c r="CA182" s="1107"/>
      <c r="CB182" s="1107"/>
      <c r="CC182" s="1107"/>
      <c r="CD182" s="1107"/>
      <c r="CE182" s="1107"/>
      <c r="CF182" s="1107"/>
      <c r="CG182" s="1107"/>
      <c r="CH182" s="1107"/>
      <c r="CI182" s="1107"/>
      <c r="CJ182" s="1107"/>
      <c r="CK182" s="1107"/>
    </row>
    <row r="183" spans="1:89" x14ac:dyDescent="0.25">
      <c r="A183" s="1107"/>
      <c r="B183" s="2008"/>
      <c r="C183" s="1154">
        <v>7</v>
      </c>
      <c r="D183" s="1144" t="s">
        <v>1872</v>
      </c>
      <c r="E183" s="1144" t="s">
        <v>1426</v>
      </c>
      <c r="F183" s="1153" t="str">
        <f>'Required Info to Submit'!E29</f>
        <v/>
      </c>
      <c r="G183" s="1417" t="str">
        <f>IF(F183="","",'Required Info to Submit'!K29)</f>
        <v/>
      </c>
      <c r="H183" s="1418" t="str">
        <f>IF(F183="","",'Required Info to Submit'!L29)</f>
        <v/>
      </c>
      <c r="I183" s="1153" t="str">
        <f>'Required Info to Submit'!F29</f>
        <v/>
      </c>
      <c r="J183" s="1153" t="str">
        <f>'Required Info to Submit'!G29</f>
        <v/>
      </c>
      <c r="K183" s="1153" t="str">
        <f>'Required Info to Submit'!H29</f>
        <v/>
      </c>
      <c r="L183" s="1153" t="str">
        <f>'Required Info to Submit'!I29</f>
        <v/>
      </c>
      <c r="M183" s="1153" t="str">
        <f>'Required Info to Submit'!J29</f>
        <v/>
      </c>
      <c r="N183" s="1107"/>
      <c r="O183" s="1107"/>
      <c r="P183" s="1107"/>
      <c r="Q183" s="1108"/>
      <c r="R183" s="1107"/>
      <c r="S183" s="1107"/>
      <c r="T183" s="2008"/>
      <c r="U183" s="1154">
        <v>7</v>
      </c>
      <c r="V183" s="1144" t="s">
        <v>1872</v>
      </c>
      <c r="W183" s="1144" t="s">
        <v>1426</v>
      </c>
      <c r="X183" s="1144" t="str">
        <f>'Required Info to Submit'!E29</f>
        <v/>
      </c>
      <c r="Y183" s="1414" t="str">
        <f>IF(X183="","",'Required Info to Submit'!K29)</f>
        <v/>
      </c>
      <c r="Z183" s="1415" t="str">
        <f>IF(X183="","",'Required Info to Submit'!L29)</f>
        <v/>
      </c>
      <c r="AA183" s="1144" t="str">
        <f>'Required Info to Submit'!F29</f>
        <v/>
      </c>
      <c r="AB183" s="1144" t="str">
        <f>'Required Info to Submit'!G29</f>
        <v/>
      </c>
      <c r="AC183" s="1144" t="str">
        <f>'Required Info to Submit'!H29</f>
        <v/>
      </c>
      <c r="AD183" s="1144" t="str">
        <f>'Required Info to Submit'!I29</f>
        <v/>
      </c>
      <c r="AE183" s="1144" t="str">
        <f>'Required Info to Submit'!J29</f>
        <v/>
      </c>
      <c r="AF183" s="1107"/>
      <c r="AG183" s="1107"/>
      <c r="AH183" s="1107"/>
      <c r="AI183" s="1108"/>
      <c r="AJ183" s="1107"/>
      <c r="AK183" s="1107"/>
      <c r="AL183" s="1107"/>
      <c r="AM183" s="1107"/>
      <c r="AN183" s="1107"/>
      <c r="AO183" s="1107"/>
      <c r="AP183" s="1107"/>
      <c r="AQ183" s="1107"/>
      <c r="AR183" s="1107"/>
      <c r="AS183" s="1107"/>
      <c r="AT183" s="1107"/>
      <c r="AU183" s="1107"/>
      <c r="AV183" s="1107"/>
      <c r="AW183" s="1107"/>
      <c r="AX183" s="1107"/>
      <c r="AY183" s="1107"/>
      <c r="AZ183" s="1107"/>
      <c r="BA183" s="1107"/>
      <c r="BB183" s="1107"/>
      <c r="BC183" s="1107"/>
      <c r="BD183" s="1107"/>
      <c r="BE183" s="1107"/>
      <c r="BF183" s="1107"/>
      <c r="BG183" s="1107"/>
      <c r="BH183" s="1107"/>
      <c r="BI183" s="1107"/>
      <c r="BJ183" s="1107"/>
      <c r="BK183" s="1107"/>
      <c r="BL183" s="1107"/>
      <c r="BM183" s="1107"/>
      <c r="BN183" s="1107"/>
      <c r="BO183" s="1107"/>
      <c r="BP183" s="1107"/>
      <c r="BQ183" s="1107"/>
      <c r="BR183" s="1107"/>
      <c r="BS183" s="1107"/>
      <c r="BT183" s="1107"/>
      <c r="BU183" s="1107"/>
      <c r="BV183" s="1107"/>
      <c r="BW183" s="1107"/>
      <c r="BX183" s="1107"/>
      <c r="BY183" s="1107"/>
      <c r="BZ183" s="1107"/>
      <c r="CA183" s="1107"/>
      <c r="CB183" s="1107"/>
      <c r="CC183" s="1107"/>
      <c r="CD183" s="1107"/>
      <c r="CE183" s="1107"/>
      <c r="CF183" s="1107"/>
      <c r="CG183" s="1107"/>
      <c r="CH183" s="1107"/>
      <c r="CI183" s="1107"/>
      <c r="CJ183" s="1107"/>
      <c r="CK183" s="1107"/>
    </row>
    <row r="184" spans="1:89" x14ac:dyDescent="0.25">
      <c r="A184" s="1107"/>
      <c r="B184" s="2008"/>
      <c r="C184" s="1154">
        <v>8</v>
      </c>
      <c r="D184" s="1144" t="s">
        <v>1872</v>
      </c>
      <c r="E184" s="1144" t="s">
        <v>1426</v>
      </c>
      <c r="F184" s="1153" t="str">
        <f>'Required Info to Submit'!E30</f>
        <v/>
      </c>
      <c r="G184" s="1417" t="str">
        <f>IF(F184="","",'Required Info to Submit'!K30)</f>
        <v/>
      </c>
      <c r="H184" s="1418" t="str">
        <f>IF(F184="","",'Required Info to Submit'!L30)</f>
        <v/>
      </c>
      <c r="I184" s="1153" t="str">
        <f>'Required Info to Submit'!F30</f>
        <v/>
      </c>
      <c r="J184" s="1153" t="str">
        <f>'Required Info to Submit'!G30</f>
        <v/>
      </c>
      <c r="K184" s="1153" t="str">
        <f>'Required Info to Submit'!H30</f>
        <v/>
      </c>
      <c r="L184" s="1153" t="str">
        <f>'Required Info to Submit'!I30</f>
        <v/>
      </c>
      <c r="M184" s="1153" t="str">
        <f>'Required Info to Submit'!J30</f>
        <v/>
      </c>
      <c r="N184" s="1107"/>
      <c r="O184" s="1107"/>
      <c r="P184" s="1107"/>
      <c r="Q184" s="1108"/>
      <c r="R184" s="1107"/>
      <c r="S184" s="1107"/>
      <c r="T184" s="2008"/>
      <c r="U184" s="1154">
        <v>8</v>
      </c>
      <c r="V184" s="1144" t="s">
        <v>1872</v>
      </c>
      <c r="W184" s="1144" t="s">
        <v>1426</v>
      </c>
      <c r="X184" s="1144" t="str">
        <f>'Required Info to Submit'!E30</f>
        <v/>
      </c>
      <c r="Y184" s="1414" t="str">
        <f>IF(X184="","",'Required Info to Submit'!K30)</f>
        <v/>
      </c>
      <c r="Z184" s="1415" t="str">
        <f>IF(X184="","",'Required Info to Submit'!L30)</f>
        <v/>
      </c>
      <c r="AA184" s="1144" t="str">
        <f>'Required Info to Submit'!F30</f>
        <v/>
      </c>
      <c r="AB184" s="1144" t="str">
        <f>'Required Info to Submit'!G30</f>
        <v/>
      </c>
      <c r="AC184" s="1144" t="str">
        <f>'Required Info to Submit'!H30</f>
        <v/>
      </c>
      <c r="AD184" s="1144" t="str">
        <f>'Required Info to Submit'!I30</f>
        <v/>
      </c>
      <c r="AE184" s="1144" t="str">
        <f>'Required Info to Submit'!J30</f>
        <v/>
      </c>
      <c r="AF184" s="1107"/>
      <c r="AG184" s="1107"/>
      <c r="AH184" s="1107"/>
      <c r="AI184" s="1108"/>
      <c r="AJ184" s="1107"/>
      <c r="AK184" s="1107"/>
      <c r="AL184" s="1107"/>
      <c r="AM184" s="1107"/>
      <c r="AN184" s="1107"/>
      <c r="AO184" s="1107"/>
      <c r="AP184" s="1107"/>
      <c r="AQ184" s="1107"/>
      <c r="AR184" s="1107"/>
      <c r="AS184" s="1107"/>
      <c r="AT184" s="1107"/>
      <c r="AU184" s="1107"/>
      <c r="AV184" s="1107"/>
      <c r="AW184" s="1107"/>
      <c r="AX184" s="1107"/>
      <c r="AY184" s="1107"/>
      <c r="AZ184" s="1107"/>
      <c r="BA184" s="1107"/>
      <c r="BB184" s="1107"/>
      <c r="BC184" s="1107"/>
      <c r="BD184" s="1107"/>
      <c r="BE184" s="1107"/>
      <c r="BF184" s="1107"/>
      <c r="BG184" s="1107"/>
      <c r="BH184" s="1107"/>
      <c r="BI184" s="1107"/>
      <c r="BJ184" s="1107"/>
      <c r="BK184" s="1107"/>
      <c r="BL184" s="1107"/>
      <c r="BM184" s="1107"/>
      <c r="BN184" s="1107"/>
      <c r="BO184" s="1107"/>
      <c r="BP184" s="1107"/>
      <c r="BQ184" s="1107"/>
      <c r="BR184" s="1107"/>
      <c r="BS184" s="1107"/>
      <c r="BT184" s="1107"/>
      <c r="BU184" s="1107"/>
      <c r="BV184" s="1107"/>
      <c r="BW184" s="1107"/>
      <c r="BX184" s="1107"/>
      <c r="BY184" s="1107"/>
      <c r="BZ184" s="1107"/>
      <c r="CA184" s="1107"/>
      <c r="CB184" s="1107"/>
      <c r="CC184" s="1107"/>
      <c r="CD184" s="1107"/>
      <c r="CE184" s="1107"/>
      <c r="CF184" s="1107"/>
      <c r="CG184" s="1107"/>
      <c r="CH184" s="1107"/>
      <c r="CI184" s="1107"/>
      <c r="CJ184" s="1107"/>
      <c r="CK184" s="1107"/>
    </row>
    <row r="185" spans="1:89" x14ac:dyDescent="0.25">
      <c r="A185" s="1107"/>
      <c r="B185" s="2008"/>
      <c r="C185" s="1154">
        <v>9</v>
      </c>
      <c r="D185" s="1144" t="s">
        <v>1872</v>
      </c>
      <c r="E185" s="1144" t="s">
        <v>1426</v>
      </c>
      <c r="F185" s="1153" t="str">
        <f>'Required Info to Submit'!E31</f>
        <v/>
      </c>
      <c r="G185" s="1417" t="str">
        <f>IF(F185="","",'Required Info to Submit'!K31)</f>
        <v/>
      </c>
      <c r="H185" s="1418" t="str">
        <f>IF(F185="","",'Required Info to Submit'!L31)</f>
        <v/>
      </c>
      <c r="I185" s="1153" t="str">
        <f>'Required Info to Submit'!F31</f>
        <v/>
      </c>
      <c r="J185" s="1153" t="str">
        <f>'Required Info to Submit'!G31</f>
        <v/>
      </c>
      <c r="K185" s="1153" t="str">
        <f>'Required Info to Submit'!H31</f>
        <v/>
      </c>
      <c r="L185" s="1153" t="str">
        <f>'Required Info to Submit'!I31</f>
        <v/>
      </c>
      <c r="M185" s="1153" t="str">
        <f>'Required Info to Submit'!J31</f>
        <v/>
      </c>
      <c r="N185" s="1107"/>
      <c r="O185" s="1107"/>
      <c r="P185" s="1107"/>
      <c r="Q185" s="1108"/>
      <c r="R185" s="1107"/>
      <c r="S185" s="1107"/>
      <c r="T185" s="2008"/>
      <c r="U185" s="1154">
        <v>9</v>
      </c>
      <c r="V185" s="1144" t="s">
        <v>1872</v>
      </c>
      <c r="W185" s="1144" t="s">
        <v>1426</v>
      </c>
      <c r="X185" s="1144" t="str">
        <f>'Required Info to Submit'!E31</f>
        <v/>
      </c>
      <c r="Y185" s="1414" t="str">
        <f>IF(X185="","",'Required Info to Submit'!K31)</f>
        <v/>
      </c>
      <c r="Z185" s="1415" t="str">
        <f>IF(X185="","",'Required Info to Submit'!L31)</f>
        <v/>
      </c>
      <c r="AA185" s="1144" t="str">
        <f>'Required Info to Submit'!F31</f>
        <v/>
      </c>
      <c r="AB185" s="1144" t="str">
        <f>'Required Info to Submit'!G31</f>
        <v/>
      </c>
      <c r="AC185" s="1144" t="str">
        <f>'Required Info to Submit'!H31</f>
        <v/>
      </c>
      <c r="AD185" s="1144" t="str">
        <f>'Required Info to Submit'!I31</f>
        <v/>
      </c>
      <c r="AE185" s="1144" t="str">
        <f>'Required Info to Submit'!J31</f>
        <v/>
      </c>
      <c r="AF185" s="1107"/>
      <c r="AG185" s="1107"/>
      <c r="AH185" s="1107"/>
      <c r="AI185" s="1108"/>
      <c r="AJ185" s="1107"/>
      <c r="AK185" s="1107"/>
      <c r="AL185" s="1107"/>
      <c r="AM185" s="1107"/>
      <c r="AN185" s="1107"/>
      <c r="AO185" s="1107"/>
      <c r="AP185" s="1107"/>
      <c r="AQ185" s="1107"/>
      <c r="AR185" s="1107"/>
      <c r="AS185" s="1107"/>
      <c r="AT185" s="1107"/>
      <c r="AU185" s="1107"/>
      <c r="AV185" s="1107"/>
      <c r="AW185" s="1107"/>
      <c r="AX185" s="1107"/>
      <c r="AY185" s="1107"/>
      <c r="AZ185" s="1107"/>
      <c r="BA185" s="1107"/>
      <c r="BB185" s="1107"/>
      <c r="BC185" s="1107"/>
      <c r="BD185" s="1107"/>
      <c r="BE185" s="1107"/>
      <c r="BF185" s="1107"/>
      <c r="BG185" s="1107"/>
      <c r="BH185" s="1107"/>
      <c r="BI185" s="1107"/>
      <c r="BJ185" s="1107"/>
      <c r="BK185" s="1107"/>
      <c r="BL185" s="1107"/>
      <c r="BM185" s="1107"/>
      <c r="BN185" s="1107"/>
      <c r="BO185" s="1107"/>
      <c r="BP185" s="1107"/>
      <c r="BQ185" s="1107"/>
      <c r="BR185" s="1107"/>
      <c r="BS185" s="1107"/>
      <c r="BT185" s="1107"/>
      <c r="BU185" s="1107"/>
      <c r="BV185" s="1107"/>
      <c r="BW185" s="1107"/>
      <c r="BX185" s="1107"/>
      <c r="BY185" s="1107"/>
      <c r="BZ185" s="1107"/>
      <c r="CA185" s="1107"/>
      <c r="CB185" s="1107"/>
      <c r="CC185" s="1107"/>
      <c r="CD185" s="1107"/>
      <c r="CE185" s="1107"/>
      <c r="CF185" s="1107"/>
      <c r="CG185" s="1107"/>
      <c r="CH185" s="1107"/>
      <c r="CI185" s="1107"/>
      <c r="CJ185" s="1107"/>
      <c r="CK185" s="1107"/>
    </row>
    <row r="186" spans="1:89" ht="15.75" thickBot="1" x14ac:dyDescent="0.3">
      <c r="A186" s="1107"/>
      <c r="B186" s="2009"/>
      <c r="C186" s="1156">
        <v>10</v>
      </c>
      <c r="D186" s="1146" t="s">
        <v>1872</v>
      </c>
      <c r="E186" s="1146" t="s">
        <v>1426</v>
      </c>
      <c r="F186" s="1159" t="str">
        <f>'Required Info to Submit'!E32</f>
        <v/>
      </c>
      <c r="G186" s="1419" t="str">
        <f>IF(F186="","",'Required Info to Submit'!K32)</f>
        <v/>
      </c>
      <c r="H186" s="1419" t="str">
        <f>IF(F186="","",'Required Info to Submit'!L32)</f>
        <v/>
      </c>
      <c r="I186" s="1159" t="str">
        <f>'Required Info to Submit'!F32</f>
        <v/>
      </c>
      <c r="J186" s="1159" t="str">
        <f>'Required Info to Submit'!G32</f>
        <v/>
      </c>
      <c r="K186" s="1159" t="str">
        <f>'Required Info to Submit'!H32</f>
        <v/>
      </c>
      <c r="L186" s="1159" t="str">
        <f>'Required Info to Submit'!I32</f>
        <v/>
      </c>
      <c r="M186" s="1159" t="str">
        <f>'Required Info to Submit'!J32</f>
        <v/>
      </c>
      <c r="N186" s="1157"/>
      <c r="O186" s="1157"/>
      <c r="P186" s="1157"/>
      <c r="Q186" s="1110"/>
      <c r="R186" s="1107"/>
      <c r="S186" s="1107"/>
      <c r="T186" s="2009"/>
      <c r="U186" s="1156">
        <v>10</v>
      </c>
      <c r="V186" s="1146" t="s">
        <v>1872</v>
      </c>
      <c r="W186" s="1146" t="s">
        <v>1426</v>
      </c>
      <c r="X186" s="1146" t="str">
        <f>'Required Info to Submit'!E32</f>
        <v/>
      </c>
      <c r="Y186" s="1416" t="str">
        <f>IF(X186="","",'Required Info to Submit'!K32)</f>
        <v/>
      </c>
      <c r="Z186" s="1424" t="str">
        <f>IF(X186="","",'Required Info to Submit'!L32)</f>
        <v/>
      </c>
      <c r="AA186" s="1146" t="str">
        <f>'Required Info to Submit'!F32</f>
        <v/>
      </c>
      <c r="AB186" s="1146" t="str">
        <f>'Required Info to Submit'!G32</f>
        <v/>
      </c>
      <c r="AC186" s="1146" t="str">
        <f>'Required Info to Submit'!H32</f>
        <v/>
      </c>
      <c r="AD186" s="1146" t="str">
        <f>'Required Info to Submit'!I32</f>
        <v/>
      </c>
      <c r="AE186" s="1146" t="str">
        <f>'Required Info to Submit'!J32</f>
        <v/>
      </c>
      <c r="AF186" s="1157"/>
      <c r="AG186" s="1157"/>
      <c r="AH186" s="1157"/>
      <c r="AI186" s="1110"/>
      <c r="AJ186" s="1107"/>
      <c r="AK186" s="1107"/>
      <c r="AL186" s="1107"/>
      <c r="AM186" s="1107"/>
      <c r="AN186" s="1107"/>
      <c r="AO186" s="1107"/>
      <c r="AP186" s="1107"/>
      <c r="AQ186" s="1107"/>
      <c r="AR186" s="1107"/>
      <c r="AS186" s="1107"/>
      <c r="AT186" s="1107"/>
      <c r="AU186" s="1107"/>
      <c r="AV186" s="1107"/>
      <c r="AW186" s="1107"/>
      <c r="AX186" s="1107"/>
      <c r="AY186" s="1107"/>
      <c r="AZ186" s="1107"/>
      <c r="BA186" s="1107"/>
      <c r="BB186" s="1107"/>
      <c r="BC186" s="1107"/>
      <c r="BD186" s="1107"/>
      <c r="BE186" s="1107"/>
      <c r="BF186" s="1107"/>
      <c r="BG186" s="1107"/>
      <c r="BH186" s="1107"/>
      <c r="BI186" s="1107"/>
      <c r="BJ186" s="1107"/>
      <c r="BK186" s="1107"/>
      <c r="BL186" s="1107"/>
      <c r="BM186" s="1107"/>
      <c r="BN186" s="1107"/>
      <c r="BO186" s="1107"/>
      <c r="BP186" s="1107"/>
      <c r="BQ186" s="1107"/>
      <c r="BR186" s="1107"/>
      <c r="BS186" s="1107"/>
      <c r="BT186" s="1107"/>
      <c r="BU186" s="1107"/>
      <c r="BV186" s="1107"/>
      <c r="BW186" s="1107"/>
      <c r="BX186" s="1107"/>
      <c r="BY186" s="1107"/>
      <c r="BZ186" s="1107"/>
      <c r="CA186" s="1107"/>
      <c r="CB186" s="1107"/>
      <c r="CC186" s="1107"/>
      <c r="CD186" s="1107"/>
      <c r="CE186" s="1107"/>
      <c r="CF186" s="1107"/>
      <c r="CG186" s="1107"/>
      <c r="CH186" s="1107"/>
      <c r="CI186" s="1107"/>
      <c r="CJ186" s="1107"/>
      <c r="CK186" s="1107"/>
    </row>
    <row r="187" spans="1:89" x14ac:dyDescent="0.25">
      <c r="A187" s="1107"/>
      <c r="B187" s="1223"/>
      <c r="C187" s="1107"/>
      <c r="D187" s="1107"/>
      <c r="E187" s="1107"/>
      <c r="F187" s="1107"/>
      <c r="G187" s="1107"/>
      <c r="H187" s="1107"/>
      <c r="I187" s="1107"/>
      <c r="J187" s="1107"/>
      <c r="K187" s="1107"/>
      <c r="L187" s="1107"/>
      <c r="M187" s="1107"/>
      <c r="N187" s="1107"/>
      <c r="O187" s="1107"/>
      <c r="P187" s="1107"/>
      <c r="Q187" s="1107"/>
      <c r="R187" s="1107"/>
      <c r="S187" s="1107"/>
      <c r="T187" s="1223"/>
      <c r="U187" s="1107"/>
      <c r="V187" s="1107"/>
      <c r="W187" s="1107"/>
      <c r="X187" s="1107"/>
      <c r="Y187" s="1107"/>
      <c r="Z187" s="1107"/>
      <c r="AA187" s="1107"/>
      <c r="AB187" s="1107"/>
      <c r="AC187" s="1107"/>
      <c r="AD187" s="1107"/>
      <c r="AE187" s="1107"/>
      <c r="AF187" s="1107"/>
      <c r="AG187" s="1107"/>
      <c r="AH187" s="1107"/>
      <c r="AI187" s="1107"/>
      <c r="AJ187" s="1107"/>
      <c r="AK187" s="1107"/>
      <c r="AL187" s="1107"/>
      <c r="AM187" s="1107"/>
      <c r="AN187" s="1107"/>
      <c r="AO187" s="1107"/>
      <c r="AP187" s="1107"/>
      <c r="AQ187" s="1107"/>
      <c r="AR187" s="1107"/>
      <c r="AS187" s="1107"/>
      <c r="AT187" s="1107"/>
      <c r="AU187" s="1107"/>
      <c r="AV187" s="1107"/>
      <c r="AW187" s="1107"/>
      <c r="AX187" s="1107"/>
      <c r="AY187" s="1107"/>
      <c r="AZ187" s="1107"/>
      <c r="BA187" s="1107"/>
      <c r="BB187" s="1107"/>
      <c r="BC187" s="1107"/>
      <c r="BD187" s="1107"/>
      <c r="BE187" s="1107"/>
      <c r="BF187" s="1107"/>
      <c r="BG187" s="1107"/>
      <c r="BH187" s="1107"/>
      <c r="BI187" s="1107"/>
      <c r="BJ187" s="1107"/>
      <c r="BK187" s="1107"/>
      <c r="BL187" s="1107"/>
      <c r="BM187" s="1107"/>
      <c r="BN187" s="1107"/>
      <c r="BO187" s="1107"/>
      <c r="BP187" s="1107"/>
      <c r="BQ187" s="1107"/>
      <c r="BR187" s="1107"/>
      <c r="BS187" s="1107"/>
      <c r="BT187" s="1107"/>
      <c r="BU187" s="1107"/>
      <c r="BV187" s="1107"/>
      <c r="BW187" s="1107"/>
      <c r="BX187" s="1107"/>
      <c r="BY187" s="1107"/>
      <c r="BZ187" s="1107"/>
      <c r="CA187" s="1107"/>
      <c r="CB187" s="1107"/>
      <c r="CC187" s="1107"/>
      <c r="CD187" s="1107"/>
      <c r="CE187" s="1107"/>
      <c r="CF187" s="1107"/>
      <c r="CG187" s="1107"/>
      <c r="CH187" s="1107"/>
      <c r="CI187" s="1107"/>
      <c r="CJ187" s="1107"/>
      <c r="CK187" s="1107"/>
    </row>
    <row r="188" spans="1:89" ht="48.75" customHeight="1" thickBot="1" x14ac:dyDescent="0.3">
      <c r="A188" s="1107"/>
      <c r="B188" s="1223"/>
      <c r="C188" s="1107"/>
      <c r="D188" s="1107"/>
      <c r="E188" s="1107"/>
      <c r="F188" s="1107"/>
      <c r="G188" s="1107"/>
      <c r="H188" s="1107"/>
      <c r="I188" s="1107"/>
      <c r="J188" s="1107"/>
      <c r="K188" s="1107"/>
      <c r="L188" s="1107"/>
      <c r="M188" s="1107"/>
      <c r="N188" s="1107"/>
      <c r="O188" s="1107"/>
      <c r="P188" s="1107"/>
      <c r="Q188" s="1107"/>
      <c r="R188" s="1107"/>
      <c r="S188" s="1107"/>
      <c r="T188" s="1223"/>
      <c r="U188" s="1107"/>
      <c r="V188" s="1107"/>
      <c r="W188" s="1107"/>
      <c r="X188" s="1107"/>
      <c r="Y188" s="1107"/>
      <c r="Z188" s="1107"/>
      <c r="AA188" s="1107"/>
      <c r="AB188" s="1107"/>
      <c r="AC188" s="1107"/>
      <c r="AD188" s="1107"/>
      <c r="AE188" s="1107"/>
      <c r="AF188" s="1107"/>
      <c r="AG188" s="1107"/>
      <c r="AH188" s="1107"/>
      <c r="AI188" s="1107"/>
      <c r="AJ188" s="1107"/>
      <c r="AK188" s="1107"/>
      <c r="AL188" s="1107"/>
      <c r="AM188" s="1107"/>
      <c r="AN188" s="1107"/>
      <c r="AO188" s="1107"/>
      <c r="AP188" s="1107"/>
      <c r="AQ188" s="1107"/>
      <c r="AR188" s="1107"/>
      <c r="AS188" s="1107"/>
      <c r="AT188" s="1107"/>
      <c r="AU188" s="1107"/>
      <c r="AV188" s="1107"/>
      <c r="AW188" s="1107"/>
      <c r="AX188" s="1107"/>
      <c r="AY188" s="1107"/>
      <c r="AZ188" s="1107"/>
      <c r="BA188" s="1107"/>
      <c r="BB188" s="1107"/>
      <c r="BC188" s="1107"/>
      <c r="BD188" s="1107"/>
      <c r="BE188" s="1107"/>
      <c r="BF188" s="1107"/>
      <c r="BG188" s="1107"/>
      <c r="BH188" s="1107"/>
      <c r="BI188" s="1107"/>
      <c r="BJ188" s="1107"/>
      <c r="BK188" s="1107"/>
      <c r="BL188" s="1107"/>
      <c r="BM188" s="1107"/>
      <c r="BN188" s="1107"/>
      <c r="BO188" s="1107"/>
      <c r="BP188" s="1107"/>
      <c r="BQ188" s="1107"/>
      <c r="BR188" s="1107"/>
      <c r="BS188" s="1107"/>
      <c r="BT188" s="1107"/>
      <c r="BU188" s="1107"/>
      <c r="BV188" s="1107"/>
      <c r="BW188" s="1107"/>
      <c r="BX188" s="1107"/>
      <c r="BY188" s="1107"/>
      <c r="BZ188" s="1107"/>
      <c r="CA188" s="1107"/>
      <c r="CB188" s="1107"/>
      <c r="CC188" s="1107"/>
      <c r="CD188" s="1107"/>
      <c r="CE188" s="1107"/>
      <c r="CF188" s="1107"/>
      <c r="CG188" s="1107"/>
      <c r="CH188" s="1107"/>
      <c r="CI188" s="1107"/>
      <c r="CJ188" s="1107"/>
      <c r="CK188" s="1107"/>
    </row>
    <row r="189" spans="1:89" ht="67.5" customHeight="1" thickBot="1" x14ac:dyDescent="0.3">
      <c r="A189" s="1107"/>
      <c r="B189" s="1303"/>
      <c r="C189" s="1100" t="s">
        <v>1383</v>
      </c>
      <c r="D189" s="1100" t="s">
        <v>1491</v>
      </c>
      <c r="E189" s="1100" t="s">
        <v>766</v>
      </c>
      <c r="F189" s="1100" t="s">
        <v>1496</v>
      </c>
      <c r="G189" s="1100" t="s">
        <v>1849</v>
      </c>
      <c r="H189" s="1101" t="s">
        <v>1850</v>
      </c>
      <c r="I189" s="1101" t="s">
        <v>1851</v>
      </c>
      <c r="J189" s="1100" t="s">
        <v>1873</v>
      </c>
      <c r="K189" s="1100" t="s">
        <v>1852</v>
      </c>
      <c r="L189" s="1101" t="s">
        <v>1397</v>
      </c>
      <c r="M189" s="1101" t="s">
        <v>1381</v>
      </c>
      <c r="N189" s="1100" t="s">
        <v>1382</v>
      </c>
      <c r="O189" s="1100" t="s">
        <v>721</v>
      </c>
      <c r="P189" s="1100" t="s">
        <v>722</v>
      </c>
      <c r="Q189" s="1101" t="s">
        <v>1495</v>
      </c>
      <c r="R189" s="1107"/>
      <c r="S189" s="1107"/>
      <c r="T189" s="1303"/>
      <c r="U189" s="1100" t="s">
        <v>1383</v>
      </c>
      <c r="V189" s="1100" t="s">
        <v>1491</v>
      </c>
      <c r="W189" s="1100" t="s">
        <v>766</v>
      </c>
      <c r="X189" s="1100" t="s">
        <v>1496</v>
      </c>
      <c r="Y189" s="1100" t="s">
        <v>1849</v>
      </c>
      <c r="Z189" s="1101" t="s">
        <v>1850</v>
      </c>
      <c r="AA189" s="1101" t="s">
        <v>1851</v>
      </c>
      <c r="AB189" s="1100" t="s">
        <v>1873</v>
      </c>
      <c r="AC189" s="1100" t="s">
        <v>1852</v>
      </c>
      <c r="AD189" s="1101" t="s">
        <v>1397</v>
      </c>
      <c r="AE189" s="1101" t="s">
        <v>1381</v>
      </c>
      <c r="AF189" s="1100" t="s">
        <v>1382</v>
      </c>
      <c r="AG189" s="1100" t="s">
        <v>721</v>
      </c>
      <c r="AH189" s="1100" t="s">
        <v>722</v>
      </c>
      <c r="AI189" s="1101" t="s">
        <v>1495</v>
      </c>
      <c r="AJ189" s="1107"/>
      <c r="AK189" s="1107"/>
      <c r="AL189" s="1107"/>
      <c r="AM189" s="1107"/>
      <c r="AN189" s="1107"/>
      <c r="AO189" s="1107"/>
      <c r="AP189" s="1107"/>
      <c r="AQ189" s="1107"/>
      <c r="AR189" s="1107"/>
      <c r="AS189" s="1107"/>
      <c r="AT189" s="1107"/>
      <c r="AU189" s="1107"/>
      <c r="AV189" s="1107"/>
      <c r="AW189" s="1107"/>
      <c r="AX189" s="1107"/>
      <c r="AY189" s="1107"/>
      <c r="AZ189" s="1107"/>
      <c r="BA189" s="1107"/>
      <c r="BB189" s="1107"/>
      <c r="BC189" s="1107"/>
      <c r="BD189" s="1107"/>
      <c r="BE189" s="1107"/>
      <c r="BF189" s="1107"/>
      <c r="BG189" s="1107"/>
      <c r="BH189" s="1107"/>
      <c r="BI189" s="1107"/>
      <c r="BJ189" s="1107"/>
      <c r="BK189" s="1107"/>
      <c r="BL189" s="1107"/>
      <c r="BM189" s="1107"/>
      <c r="BN189" s="1107"/>
      <c r="BO189" s="1107"/>
      <c r="BP189" s="1107"/>
      <c r="BQ189" s="1107"/>
      <c r="BR189" s="1107"/>
      <c r="BS189" s="1107"/>
      <c r="BT189" s="1107"/>
      <c r="BU189" s="1107"/>
      <c r="BV189" s="1107"/>
      <c r="BW189" s="1107"/>
      <c r="BX189" s="1107"/>
      <c r="BY189" s="1107"/>
      <c r="BZ189" s="1107"/>
      <c r="CA189" s="1107"/>
      <c r="CB189" s="1107"/>
      <c r="CC189" s="1107"/>
      <c r="CD189" s="1107"/>
      <c r="CE189" s="1107"/>
      <c r="CF189" s="1107"/>
      <c r="CG189" s="1107"/>
      <c r="CH189" s="1107"/>
      <c r="CI189" s="1107"/>
      <c r="CJ189" s="1107"/>
      <c r="CK189" s="1107"/>
    </row>
    <row r="190" spans="1:89" ht="70.5" customHeight="1" thickBot="1" x14ac:dyDescent="0.3">
      <c r="A190" s="1107"/>
      <c r="B190" s="1132" t="s">
        <v>1853</v>
      </c>
      <c r="C190" s="1133" t="s">
        <v>1537</v>
      </c>
      <c r="D190" s="1134">
        <v>3601</v>
      </c>
      <c r="E190" s="1104" t="s">
        <v>1891</v>
      </c>
      <c r="F190" s="1104" t="s">
        <v>1531</v>
      </c>
      <c r="G190" s="1102" t="str" cm="1">
        <f t="array" aca="1" ref="G190" ca="1">INDIRECT("'Incentives Worksheet'!P"&amp;'Configurable Tab'!H17+3)</f>
        <v>Same as Payout Cycle</v>
      </c>
      <c r="H190" s="1102" t="str" cm="1">
        <f t="array" aca="1" ref="H190" ca="1">IF(ISBLANK(INDIRECT("'Incentives Worksheet'!H"&amp;'Configurable Tab'!H17+3)),"",INDIRECT("'Incentives Worksheet'!H"&amp;'Configurable Tab'!H17+3))</f>
        <v/>
      </c>
      <c r="I190" s="1102" t="str" cm="1">
        <f t="array" aca="1" ref="I190" ca="1">IF(INDIRECT("'Incentives Worksheet'!R"&amp;'Configurable Tab'!H17+3)="USF Calendar","Fiscal",INDIRECT("'Incentives Worksheet'!R"&amp;'Configurable Tab'!H17+3))</f>
        <v>Fiscal</v>
      </c>
      <c r="J190" s="1102" t="str" cm="1">
        <f t="array" aca="1" ref="J190" ca="1">IF(INDIRECT("'Incentives Worksheet'!L"&amp;'Configurable Tab'!H17+13)="All"," Select All Products","Unselect All Products")</f>
        <v>Unselect All Products</v>
      </c>
      <c r="K190" s="1102" t="str" cm="1">
        <f t="array" aca="1" ref="K190" ca="1">IF(INDIRECT("'Incentives Worksheet'!T"&amp;'Configurable Tab'!H17+3)="Yes","Post to GL","")</f>
        <v/>
      </c>
      <c r="L190" s="1102" t="str" cm="1">
        <f t="array" aca="1" ref="L190" ca="1">IF(ISBLANK(INDIRECT("'Incentives Worksheet'!L"&amp;'Configurable Tab'!H17+3)),"",INDIRECT("'Incentives Worksheet'!L"&amp;'Configurable Tab'!H17+3))</f>
        <v/>
      </c>
      <c r="M190" s="1102" t="str" cm="1">
        <f t="array" aca="1" ref="M190" ca="1">IF(ISBLANK(INDIRECT("'Incentives Worksheet'!J"&amp;'Configurable Tab'!H17+3)),"",INDIRECT("'Incentives Worksheet'!J"&amp;'Configurable Tab'!H17+3))</f>
        <v/>
      </c>
      <c r="N190" s="1102" t="str" cm="1">
        <f t="array" aca="1" ref="N190" ca="1">IF(ISBLANK(INDIRECT("'Incentives Worksheet'!N"&amp;'Configurable Tab'!H17+3)),"",INDIRECT("'Incentives Worksheet'!N"&amp;'Configurable Tab'!H17+3))</f>
        <v/>
      </c>
      <c r="O190" s="1103" t="str" cm="1">
        <f t="array" aca="1" ref="O190" ca="1">INDIRECT("'Incentives Worksheet'!D"&amp;'Configurable Tab'!H17+6)</f>
        <v/>
      </c>
      <c r="P190" s="1103" t="str" cm="1">
        <f t="array" aca="1" ref="P190" ca="1">INDIRECT("'Incentives Worksheet'!D"&amp;'Configurable Tab'!H17+8)</f>
        <v/>
      </c>
      <c r="Q190" s="1102" t="str" cm="1">
        <f t="array" aca="1" ref="Q190" ca="1">IF(INDIRECT("'Incentives Worksheet'!D"&amp;'Configurable Tab'!H17+12)="No","Update tracking dates",INDIRECT("'Incentives Worksheet'!D"&amp;'Configurable Tab'!H17+12))</f>
        <v>Yes</v>
      </c>
      <c r="R190" s="1107"/>
      <c r="S190" s="1107"/>
      <c r="T190" s="1132" t="s">
        <v>1853</v>
      </c>
      <c r="U190" s="1133" t="s">
        <v>1537</v>
      </c>
      <c r="V190" s="1134">
        <v>3602</v>
      </c>
      <c r="W190" s="1104" t="s">
        <v>1891</v>
      </c>
      <c r="X190" s="1104" t="s">
        <v>1531</v>
      </c>
      <c r="Y190" s="1102" t="str" cm="1">
        <f t="array" aca="1" ref="Y190" ca="1">INDIRECT("'Incentives Worksheet'!P"&amp;'Configurable Tab'!H18+3)</f>
        <v>Same as Payout Cycle</v>
      </c>
      <c r="Z190" s="1102" t="str" cm="1">
        <f t="array" aca="1" ref="Z190" ca="1">IF(ISBLANK(INDIRECT("'Incentives Worksheet'!H"&amp;'Configurable Tab'!H18+3)),"",INDIRECT("'Incentives Worksheet'!H"&amp;'Configurable Tab'!H18+3))</f>
        <v/>
      </c>
      <c r="AA190" s="1102" t="str" cm="1">
        <f t="array" aca="1" ref="AA190" ca="1">IF(INDIRECT("'Incentives Worksheet'!R"&amp;'Configurable Tab'!H18+3)="USF Calendar","Fiscal",INDIRECT("'Incentives Worksheet'!R"&amp;'Configurable Tab'!H18+3))</f>
        <v>Fiscal</v>
      </c>
      <c r="AB190" s="1102" t="str" cm="1">
        <f t="array" aca="1" ref="AB190" ca="1">IF(INDIRECT("'Incentives Worksheet'!L"&amp;'Configurable Tab'!H18+13)="All"," Select All Products","Unselect All Products")</f>
        <v>Unselect All Products</v>
      </c>
      <c r="AC190" s="1102" t="str" cm="1">
        <f t="array" aca="1" ref="AC190" ca="1">IF(INDIRECT("'Incentives Worksheet'!T"&amp;'Configurable Tab'!H18+3)="Yes","Post to GL","")</f>
        <v/>
      </c>
      <c r="AD190" s="1102" t="str" cm="1">
        <f t="array" aca="1" ref="AD190" ca="1">IF(ISBLANK(INDIRECT("'Incentives Worksheet'!L"&amp;'Configurable Tab'!H18+3)),"",INDIRECT("'Incentives Worksheet'!L"&amp;'Configurable Tab'!H18+3))</f>
        <v/>
      </c>
      <c r="AE190" s="1102" t="str" cm="1">
        <f t="array" aca="1" ref="AE190" ca="1">IF(ISBLANK(INDIRECT("'Incentives Worksheet'!J"&amp;'Configurable Tab'!H18+3)),"",INDIRECT("'Incentives Worksheet'!J"&amp;'Configurable Tab'!H18+3))</f>
        <v/>
      </c>
      <c r="AF190" s="1102" t="str" cm="1">
        <f t="array" aca="1" ref="AF190" ca="1">IF(ISBLANK(INDIRECT("'Incentives Worksheet'!N"&amp;'Configurable Tab'!H18+3)),"",INDIRECT("'Incentives Worksheet'!N"&amp;'Configurable Tab'!H18+3))</f>
        <v/>
      </c>
      <c r="AG190" s="1103" t="str" cm="1">
        <f t="array" aca="1" ref="AG190" ca="1">INDIRECT("'Incentives Worksheet'!D"&amp;'Configurable Tab'!H18+6)</f>
        <v/>
      </c>
      <c r="AH190" s="1103" t="str" cm="1">
        <f t="array" aca="1" ref="AH190" ca="1">INDIRECT("'Incentives Worksheet'!D"&amp;'Configurable Tab'!H18+8)</f>
        <v/>
      </c>
      <c r="AI190" s="1102" t="str" cm="1">
        <f t="array" aca="1" ref="AI190" ca="1">IF(INDIRECT("'Incentives Worksheet'!D"&amp;'Configurable Tab'!H18+12)="No","Update tracking dates",INDIRECT("'Incentives Worksheet'!D"&amp;'Configurable Tab'!H18+12))</f>
        <v>Yes</v>
      </c>
      <c r="AJ190" s="1107"/>
      <c r="AK190" s="1107"/>
      <c r="AL190" s="1107"/>
      <c r="AM190" s="1107"/>
      <c r="AN190" s="1107"/>
      <c r="AO190" s="1107"/>
      <c r="AP190" s="1107"/>
      <c r="AQ190" s="1107"/>
      <c r="AR190" s="1107"/>
      <c r="AS190" s="1107"/>
      <c r="AT190" s="1107"/>
      <c r="AU190" s="1107"/>
      <c r="AV190" s="1107"/>
      <c r="AW190" s="1107"/>
      <c r="AX190" s="1107"/>
      <c r="AY190" s="1107"/>
      <c r="AZ190" s="1107"/>
      <c r="BA190" s="1107"/>
      <c r="BB190" s="1107"/>
      <c r="BC190" s="1107"/>
      <c r="BD190" s="1107"/>
      <c r="BE190" s="1107"/>
      <c r="BF190" s="1107"/>
      <c r="BG190" s="1107"/>
      <c r="BH190" s="1107"/>
      <c r="BI190" s="1107"/>
      <c r="BJ190" s="1107"/>
      <c r="BK190" s="1107"/>
      <c r="BL190" s="1107"/>
      <c r="BM190" s="1107"/>
      <c r="BN190" s="1107"/>
      <c r="BO190" s="1107"/>
      <c r="BP190" s="1107"/>
      <c r="BQ190" s="1107"/>
      <c r="BR190" s="1107"/>
      <c r="BS190" s="1107"/>
      <c r="BT190" s="1107"/>
      <c r="BU190" s="1107"/>
      <c r="BV190" s="1107"/>
      <c r="BW190" s="1107"/>
      <c r="BX190" s="1107"/>
      <c r="BY190" s="1107"/>
      <c r="BZ190" s="1107"/>
      <c r="CA190" s="1107"/>
      <c r="CB190" s="1107"/>
      <c r="CC190" s="1107"/>
      <c r="CD190" s="1107"/>
      <c r="CE190" s="1107"/>
      <c r="CF190" s="1107"/>
      <c r="CG190" s="1107"/>
      <c r="CH190" s="1107"/>
      <c r="CI190" s="1107"/>
      <c r="CJ190" s="1107"/>
      <c r="CK190" s="1107"/>
    </row>
    <row r="191" spans="1:89" ht="30.75" customHeight="1" thickBot="1" x14ac:dyDescent="0.3">
      <c r="A191" s="1107"/>
      <c r="B191" s="2006" t="s">
        <v>1888</v>
      </c>
      <c r="C191" s="1160" t="s">
        <v>1874</v>
      </c>
      <c r="D191" s="1100" t="s">
        <v>1875</v>
      </c>
      <c r="E191" s="1101" t="s">
        <v>1359</v>
      </c>
      <c r="F191" s="1100" t="s">
        <v>1877</v>
      </c>
      <c r="G191" s="1161" t="s">
        <v>1880</v>
      </c>
      <c r="H191" s="1107"/>
      <c r="I191" s="1107"/>
      <c r="J191" s="1107"/>
      <c r="K191" s="1162"/>
      <c r="L191" s="1162"/>
      <c r="M191" s="1162"/>
      <c r="N191" s="1162"/>
      <c r="O191" s="1162"/>
      <c r="P191" s="1162"/>
      <c r="Q191" s="1163"/>
      <c r="R191" s="1107"/>
      <c r="S191" s="1107"/>
      <c r="T191" s="2006" t="s">
        <v>1888</v>
      </c>
      <c r="U191" s="1160" t="s">
        <v>1874</v>
      </c>
      <c r="V191" s="1100" t="s">
        <v>1875</v>
      </c>
      <c r="W191" s="1101" t="s">
        <v>1359</v>
      </c>
      <c r="X191" s="1100" t="s">
        <v>1877</v>
      </c>
      <c r="Y191" s="1165" t="s">
        <v>1880</v>
      </c>
      <c r="Z191" s="1162"/>
      <c r="AA191" s="1162"/>
      <c r="AB191" s="1107"/>
      <c r="AC191" s="1162"/>
      <c r="AD191" s="1162"/>
      <c r="AE191" s="1162"/>
      <c r="AF191" s="1162"/>
      <c r="AG191" s="1162"/>
      <c r="AH191" s="1162"/>
      <c r="AI191" s="1163"/>
      <c r="AJ191" s="1107"/>
      <c r="AK191" s="1107"/>
      <c r="AL191" s="1107"/>
      <c r="AM191" s="1107"/>
      <c r="AN191" s="1107"/>
      <c r="AO191" s="1107"/>
      <c r="AP191" s="1107"/>
      <c r="AQ191" s="1107"/>
      <c r="AR191" s="1107"/>
      <c r="AS191" s="1107"/>
      <c r="AT191" s="1107"/>
      <c r="AU191" s="1107"/>
      <c r="AV191" s="1107"/>
      <c r="AW191" s="1107"/>
      <c r="AX191" s="1107"/>
      <c r="AY191" s="1107"/>
      <c r="AZ191" s="1107"/>
      <c r="BA191" s="1107"/>
      <c r="BB191" s="1107"/>
      <c r="BC191" s="1107"/>
      <c r="BD191" s="1107"/>
      <c r="BE191" s="1107"/>
      <c r="BF191" s="1107"/>
      <c r="BG191" s="1107"/>
      <c r="BH191" s="1107"/>
      <c r="BI191" s="1107"/>
      <c r="BJ191" s="1107"/>
      <c r="BK191" s="1107"/>
      <c r="BL191" s="1107"/>
      <c r="BM191" s="1107"/>
      <c r="BN191" s="1107"/>
      <c r="BO191" s="1107"/>
      <c r="BP191" s="1107"/>
      <c r="BQ191" s="1107"/>
      <c r="BR191" s="1107"/>
      <c r="BS191" s="1107"/>
      <c r="BT191" s="1107"/>
      <c r="BU191" s="1107"/>
      <c r="BV191" s="1107"/>
      <c r="BW191" s="1107"/>
      <c r="BX191" s="1107"/>
      <c r="BY191" s="1107"/>
      <c r="BZ191" s="1107"/>
      <c r="CA191" s="1107"/>
      <c r="CB191" s="1107"/>
      <c r="CC191" s="1107"/>
      <c r="CD191" s="1107"/>
      <c r="CE191" s="1107"/>
      <c r="CF191" s="1107"/>
      <c r="CG191" s="1107"/>
      <c r="CH191" s="1107"/>
      <c r="CI191" s="1107"/>
      <c r="CJ191" s="1107"/>
      <c r="CK191" s="1107"/>
    </row>
    <row r="192" spans="1:89" ht="15.75" thickBot="1" x14ac:dyDescent="0.3">
      <c r="A192" s="1107"/>
      <c r="B192" s="2011"/>
      <c r="C192" s="1195" t="s">
        <v>1890</v>
      </c>
      <c r="D192" s="1195" t="str" cm="1">
        <f t="array" aca="1" ref="D192" ca="1">IF(INDIRECT("'Incentives Worksheet'!L"&amp;'Configurable Tab'!H17+13)="All"," All Products","Included Products")</f>
        <v>Included Products</v>
      </c>
      <c r="E192" s="1195" t="str" cm="1">
        <f t="array" aca="1" ref="E192" ca="1">IF(INDIRECT("'Incentives Worksheet'!J"&amp;'Configurable Tab'!H17+13)="All","All Customers","Individual")</f>
        <v>All Customers</v>
      </c>
      <c r="F192" s="1195" t="str">
        <f ca="1">IFERROR(IF(SMALL(INDIRECT("'Incentives Worksheet'!L"&amp;'Configurable Tab'!H17+6):INDIRECT("'Incentives Worksheet'!L"&amp;'Configurable Tab'!H17+10),COUNTIF(INDIRECT("'Incentives Worksheet'!L"&amp;'Configurable Tab'!H17+6):INDIRECT("'Incentives Worksheet'!L"&amp;'Configurable Tab'!H17+10),0)+1)&lt;&gt;0,SMALL(INDIRECT("'Incentives Worksheet'!L"&amp;'Configurable Tab'!H17+6):INDIRECT("'Incentives Worksheet'!L"&amp;'Configurable Tab'!H17+10),COUNTIF(INDIRECT("'Incentives Worksheet'!L"&amp;'Configurable Tab'!H17+6):INDIRECT("'Incentives Worksheet'!L"&amp;'Configurable Tab'!H17+10),0)+1),""),"")</f>
        <v/>
      </c>
      <c r="G192" s="1197" t="str" cm="1">
        <f t="array" aca="1" ref="G192" ca="1">INDIRECT("'Incentives Worksheet'!N"&amp;'Configurable Tab'!H17+6)</f>
        <v>%</v>
      </c>
      <c r="H192" s="1107"/>
      <c r="I192" s="1107"/>
      <c r="J192" s="1107"/>
      <c r="K192" s="1136"/>
      <c r="L192" s="1136"/>
      <c r="M192" s="1136"/>
      <c r="N192" s="1136"/>
      <c r="O192" s="1136"/>
      <c r="P192" s="1136"/>
      <c r="Q192" s="1108"/>
      <c r="R192" s="1107"/>
      <c r="S192" s="1107"/>
      <c r="T192" s="2011"/>
      <c r="U192" s="1195" t="s">
        <v>1881</v>
      </c>
      <c r="V192" s="1196" t="str" cm="1">
        <f t="array" aca="1" ref="V192" ca="1">IF(INDIRECT("'Incentives Worksheet'!L"&amp;'Configurable Tab'!H18+13)="All"," All Products","Included Products")</f>
        <v>Included Products</v>
      </c>
      <c r="W192" s="1196" t="str" cm="1">
        <f t="array" aca="1" ref="W192" ca="1">IF(INDIRECT("'Incentives Worksheet'!J"&amp;'Configurable Tab'!H18+13)="All","All Customers","Individual")</f>
        <v>All Customers</v>
      </c>
      <c r="X192" s="1196" t="str">
        <f ca="1">IFERROR(IF(SMALL(INDIRECT("'Incentives Worksheet'!L"&amp;'Configurable Tab'!H18+6):INDIRECT("'Incentives Worksheet'!L"&amp;'Configurable Tab'!H18+10),COUNTIF(INDIRECT("'Incentives Worksheet'!L"&amp;'Configurable Tab'!H18+6):INDIRECT("'Incentives Worksheet'!L"&amp;'Configurable Tab'!H18+10),0)+1)&lt;&gt;0,SMALL(INDIRECT("'Incentives Worksheet'!L"&amp;'Configurable Tab'!H18+6):INDIRECT("'Incentives Worksheet'!L"&amp;'Configurable Tab'!H18+10),COUNTIF(INDIRECT("'Incentives Worksheet'!L"&amp;'Configurable Tab'!H18+6):INDIRECT("'Incentives Worksheet'!L"&amp;'Configurable Tab'!H18+10),0)+1),""),"")</f>
        <v/>
      </c>
      <c r="Y192" s="1197" t="str" cm="1">
        <f t="array" aca="1" ref="Y192" ca="1">INDIRECT("'Incentives Worksheet'!N"&amp;'Configurable Tab'!H18+6)</f>
        <v>%</v>
      </c>
      <c r="Z192" s="1136"/>
      <c r="AA192" s="1136"/>
      <c r="AB192" s="1107"/>
      <c r="AC192" s="1136"/>
      <c r="AD192" s="1136"/>
      <c r="AE192" s="1136"/>
      <c r="AF192" s="1136"/>
      <c r="AG192" s="1136"/>
      <c r="AH192" s="1136"/>
      <c r="AI192" s="1108"/>
      <c r="AJ192" s="1107"/>
      <c r="AK192" s="1107"/>
      <c r="AL192" s="1107"/>
      <c r="AM192" s="1107"/>
      <c r="AN192" s="1107"/>
      <c r="AO192" s="1107"/>
      <c r="AP192" s="1107"/>
      <c r="AQ192" s="1107"/>
      <c r="AR192" s="1107"/>
      <c r="AS192" s="1107"/>
      <c r="AT192" s="1107"/>
      <c r="AU192" s="1107"/>
      <c r="AV192" s="1107"/>
      <c r="AW192" s="1107"/>
      <c r="AX192" s="1107"/>
      <c r="AY192" s="1107"/>
      <c r="AZ192" s="1107"/>
      <c r="BA192" s="1107"/>
      <c r="BB192" s="1107"/>
      <c r="BC192" s="1107"/>
      <c r="BD192" s="1107"/>
      <c r="BE192" s="1107"/>
      <c r="BF192" s="1107"/>
      <c r="BG192" s="1107"/>
      <c r="BH192" s="1107"/>
      <c r="BI192" s="1107"/>
      <c r="BJ192" s="1107"/>
      <c r="BK192" s="1107"/>
      <c r="BL192" s="1107"/>
      <c r="BM192" s="1107"/>
      <c r="BN192" s="1107"/>
      <c r="BO192" s="1107"/>
      <c r="BP192" s="1107"/>
      <c r="BQ192" s="1107"/>
      <c r="BR192" s="1107"/>
      <c r="BS192" s="1107"/>
      <c r="BT192" s="1107"/>
      <c r="BU192" s="1107"/>
      <c r="BV192" s="1107"/>
      <c r="BW192" s="1107"/>
      <c r="BX192" s="1107"/>
      <c r="BY192" s="1107"/>
      <c r="BZ192" s="1107"/>
      <c r="CA192" s="1107"/>
      <c r="CB192" s="1107"/>
      <c r="CC192" s="1107"/>
      <c r="CD192" s="1107"/>
      <c r="CE192" s="1107"/>
      <c r="CF192" s="1107"/>
      <c r="CG192" s="1107"/>
      <c r="CH192" s="1107"/>
      <c r="CI192" s="1107"/>
      <c r="CJ192" s="1107"/>
      <c r="CK192" s="1107"/>
    </row>
    <row r="193" spans="1:89" x14ac:dyDescent="0.25">
      <c r="A193" s="1107"/>
      <c r="B193" s="2008"/>
      <c r="C193" s="1170" t="s">
        <v>1884</v>
      </c>
      <c r="D193" s="1171" t="s">
        <v>126</v>
      </c>
      <c r="E193" s="1172" t="s">
        <v>128</v>
      </c>
      <c r="F193" s="1173" t="s">
        <v>1104</v>
      </c>
      <c r="G193" s="1136"/>
      <c r="H193" s="1136"/>
      <c r="I193" s="1136"/>
      <c r="J193" s="1136"/>
      <c r="K193" s="1136"/>
      <c r="L193" s="1136"/>
      <c r="M193" s="1136"/>
      <c r="N193" s="1136"/>
      <c r="O193" s="1136"/>
      <c r="P193" s="1136"/>
      <c r="Q193" s="1137"/>
      <c r="R193" s="1107"/>
      <c r="S193" s="1107"/>
      <c r="T193" s="2011"/>
      <c r="U193" s="1198" t="s">
        <v>1884</v>
      </c>
      <c r="V193" s="1140" t="s">
        <v>126</v>
      </c>
      <c r="W193" s="1176" t="s">
        <v>128</v>
      </c>
      <c r="X193" s="1224" t="s">
        <v>1104</v>
      </c>
      <c r="Y193" s="1136"/>
      <c r="Z193" s="1136"/>
      <c r="AA193" s="1136"/>
      <c r="AB193" s="1136"/>
      <c r="AC193" s="1136"/>
      <c r="AD193" s="1136"/>
      <c r="AE193" s="1136"/>
      <c r="AF193" s="1136"/>
      <c r="AG193" s="1136"/>
      <c r="AH193" s="1136"/>
      <c r="AI193" s="1137"/>
      <c r="AJ193" s="1107"/>
      <c r="AK193" s="1107"/>
      <c r="AL193" s="1107"/>
      <c r="AM193" s="1107"/>
      <c r="AN193" s="1107"/>
      <c r="AO193" s="1107"/>
      <c r="AP193" s="1107"/>
      <c r="AQ193" s="1107"/>
      <c r="AR193" s="1107"/>
      <c r="AS193" s="1107"/>
      <c r="AT193" s="1107"/>
      <c r="AU193" s="1107"/>
      <c r="AV193" s="1107"/>
      <c r="AW193" s="1107"/>
      <c r="AX193" s="1107"/>
      <c r="AY193" s="1107"/>
      <c r="AZ193" s="1107"/>
      <c r="BA193" s="1107"/>
      <c r="BB193" s="1107"/>
      <c r="BC193" s="1107"/>
      <c r="BD193" s="1107"/>
      <c r="BE193" s="1107"/>
      <c r="BF193" s="1107"/>
      <c r="BG193" s="1107"/>
      <c r="BH193" s="1107"/>
      <c r="BI193" s="1107"/>
      <c r="BJ193" s="1107"/>
      <c r="BK193" s="1107"/>
      <c r="BL193" s="1107"/>
      <c r="BM193" s="1107"/>
      <c r="BN193" s="1107"/>
      <c r="BO193" s="1107"/>
      <c r="BP193" s="1107"/>
      <c r="BQ193" s="1107"/>
      <c r="BR193" s="1107"/>
      <c r="BS193" s="1107"/>
      <c r="BT193" s="1107"/>
      <c r="BU193" s="1107"/>
      <c r="BV193" s="1107"/>
      <c r="BW193" s="1107"/>
      <c r="BX193" s="1107"/>
      <c r="BY193" s="1107"/>
      <c r="BZ193" s="1107"/>
      <c r="CA193" s="1107"/>
      <c r="CB193" s="1107"/>
      <c r="CC193" s="1107"/>
      <c r="CD193" s="1107"/>
      <c r="CE193" s="1107"/>
      <c r="CF193" s="1107"/>
      <c r="CG193" s="1107"/>
      <c r="CH193" s="1107"/>
      <c r="CI193" s="1107"/>
      <c r="CJ193" s="1107"/>
      <c r="CK193" s="1107"/>
    </row>
    <row r="194" spans="1:89" x14ac:dyDescent="0.25">
      <c r="A194" s="1107"/>
      <c r="B194" s="2008"/>
      <c r="C194" s="1178">
        <v>0</v>
      </c>
      <c r="D194" s="1217" t="str">
        <f ca="1">IF(AND(COUNTIF(INDIRECT("'Incentives Worksheet'!H"&amp;'Configurable Tab'!H17+6):INDIRECT("'Incentives Worksheet'!H"&amp;'Configurable Tab'!H17+10),0)=0,'Incentives Worksheet'!$Z$17&lt;&gt;""),0,"")</f>
        <v/>
      </c>
      <c r="E194" s="1180" t="str">
        <f ca="1">IFERROR(IF(COUNTIF(INDIRECT("'Incentives Worksheet'!H"&amp;'Configurable Tab'!H17+6):INDIRECT("'Incentives Worksheet'!H"&amp;'Configurable Tab'!H17+10),0)=0,SMALL(INDIRECT("'Incentives Worksheet'!H"&amp;'Configurable Tab'!H17+6):INDIRECT("'Incentives Worksheet'!H"&amp;'Configurable Tab'!H17+10),1)-0.01,""),"")</f>
        <v/>
      </c>
      <c r="F194" s="1450" t="str">
        <f ca="1">IF(AND(COUNTIF(INDIRECT("'Incentives Worksheet'!H"&amp;'Configurable Tab'!H17+6):INDIRECT("'Incentives Worksheet'!H"&amp;'Configurable Tab'!H17+10),0)=0,'Incentives Worksheet'!$Z$17&lt;&gt;""),0,"")</f>
        <v/>
      </c>
      <c r="G194" s="1136"/>
      <c r="H194" s="1136"/>
      <c r="I194" s="1136"/>
      <c r="J194" s="1136"/>
      <c r="K194" s="1136"/>
      <c r="L194" s="1136"/>
      <c r="M194" s="1136"/>
      <c r="N194" s="1136"/>
      <c r="O194" s="1136"/>
      <c r="P194" s="1136"/>
      <c r="Q194" s="1137"/>
      <c r="R194" s="1107"/>
      <c r="S194" s="1107"/>
      <c r="T194" s="2008"/>
      <c r="U194" s="1182">
        <v>0</v>
      </c>
      <c r="V194" s="1219" t="str">
        <f ca="1">IF(AND(COUNTIF(INDIRECT("'Incentives Worksheet'!H"&amp;'Configurable Tab'!H18+6):INDIRECT("'Incentives Worksheet'!H"&amp;'Configurable Tab'!H18+10),0)=0,'Incentives Worksheet'!$Z$18&lt;&gt;""),0,"")</f>
        <v/>
      </c>
      <c r="W194" s="1211" t="str">
        <f ca="1">IFERROR(IF(COUNTIF(INDIRECT("'Incentives Worksheet'!H"&amp;'Configurable Tab'!H18+6):INDIRECT("'Incentives Worksheet'!H"&amp;'Configurable Tab'!H18+10),0)=0,SMALL(INDIRECT("'Incentives Worksheet'!H"&amp;'Configurable Tab'!H18+6):INDIRECT("'Incentives Worksheet'!H"&amp;'Configurable Tab'!H18+10),1)-0.01,""),"")</f>
        <v/>
      </c>
      <c r="X194" s="1211" t="str">
        <f ca="1">IF(AND(COUNTIF(INDIRECT("'Incentives Worksheet'!H"&amp;'Configurable Tab'!H18+6):INDIRECT("'Incentives Worksheet'!H"&amp;'Configurable Tab'!H18+10),0)=0,'Incentives Worksheet'!$Z$18&lt;&gt;""),0,"")</f>
        <v/>
      </c>
      <c r="Y194" s="1136"/>
      <c r="Z194" s="1136"/>
      <c r="AA194" s="1136"/>
      <c r="AB194" s="1136"/>
      <c r="AC194" s="1136"/>
      <c r="AD194" s="1136"/>
      <c r="AE194" s="1136"/>
      <c r="AF194" s="1136"/>
      <c r="AG194" s="1136"/>
      <c r="AH194" s="1136"/>
      <c r="AI194" s="1137"/>
      <c r="AJ194" s="1107"/>
      <c r="AK194" s="1107"/>
      <c r="AL194" s="1107"/>
      <c r="AM194" s="1107"/>
      <c r="AN194" s="1107"/>
      <c r="AO194" s="1107"/>
      <c r="AP194" s="1107"/>
      <c r="AQ194" s="1107"/>
      <c r="AR194" s="1107"/>
      <c r="AS194" s="1107"/>
      <c r="AT194" s="1107"/>
      <c r="AU194" s="1107"/>
      <c r="AV194" s="1107"/>
      <c r="AW194" s="1107"/>
      <c r="AX194" s="1107"/>
      <c r="AY194" s="1107"/>
      <c r="AZ194" s="1107"/>
      <c r="BA194" s="1107"/>
      <c r="BB194" s="1107"/>
      <c r="BC194" s="1107"/>
      <c r="BD194" s="1107"/>
      <c r="BE194" s="1107"/>
      <c r="BF194" s="1107"/>
      <c r="BG194" s="1107"/>
      <c r="BH194" s="1107"/>
      <c r="BI194" s="1107"/>
      <c r="BJ194" s="1107"/>
      <c r="BK194" s="1107"/>
      <c r="BL194" s="1107"/>
      <c r="BM194" s="1107"/>
      <c r="BN194" s="1107"/>
      <c r="BO194" s="1107"/>
      <c r="BP194" s="1107"/>
      <c r="BQ194" s="1107"/>
      <c r="BR194" s="1107"/>
      <c r="BS194" s="1107"/>
      <c r="BT194" s="1107"/>
      <c r="BU194" s="1107"/>
      <c r="BV194" s="1107"/>
      <c r="BW194" s="1107"/>
      <c r="BX194" s="1107"/>
      <c r="BY194" s="1107"/>
      <c r="BZ194" s="1107"/>
      <c r="CA194" s="1107"/>
      <c r="CB194" s="1107"/>
      <c r="CC194" s="1107"/>
      <c r="CD194" s="1107"/>
      <c r="CE194" s="1107"/>
      <c r="CF194" s="1107"/>
      <c r="CG194" s="1107"/>
      <c r="CH194" s="1107"/>
      <c r="CI194" s="1107"/>
      <c r="CJ194" s="1107"/>
      <c r="CK194" s="1107"/>
    </row>
    <row r="195" spans="1:89" x14ac:dyDescent="0.25">
      <c r="A195" s="1107"/>
      <c r="B195" s="2008"/>
      <c r="C195" s="1200">
        <v>1</v>
      </c>
      <c r="D195" s="1217" t="str" cm="1">
        <f t="array" aca="1" ref="D195" ca="1">IF(INDIRECT("'Incentives Worksheet'!H"&amp;'Configurable Tab'!H17+6)="","",INDIRECT("'Incentives Worksheet'!H"&amp;'Configurable Tab'!H17+6))</f>
        <v/>
      </c>
      <c r="E195" s="1180" t="str" cm="1">
        <f t="array" aca="1" ref="E195" ca="1">IF(INDIRECT("'Incentives Worksheet'!J"&amp;'Configurable Tab'!H17+6)="","",INDIRECT("'Incentives Worksheet'!J"&amp;'Configurable Tab'!H17+6))</f>
        <v/>
      </c>
      <c r="F195" s="1450" t="str" cm="1">
        <f t="array" aca="1" ref="F195" ca="1">IF(INDIRECT("'Incentives Worksheet'!L"&amp;'Configurable Tab'!H17+6)="","",INDIRECT("'Incentives Worksheet'!L"&amp;'Configurable Tab'!H17+6))</f>
        <v/>
      </c>
      <c r="G195" s="1136"/>
      <c r="H195" s="1136"/>
      <c r="I195" s="1136"/>
      <c r="J195" s="1136"/>
      <c r="K195" s="1136"/>
      <c r="L195" s="1136"/>
      <c r="M195" s="1136"/>
      <c r="N195" s="1136"/>
      <c r="O195" s="1136"/>
      <c r="P195" s="1136"/>
      <c r="Q195" s="1137"/>
      <c r="R195" s="1107"/>
      <c r="S195" s="1107"/>
      <c r="T195" s="2008"/>
      <c r="U195" s="1225">
        <v>1</v>
      </c>
      <c r="V195" s="1219" t="str" cm="1">
        <f t="array" aca="1" ref="V195" ca="1">IF(INDIRECT("'Incentives Worksheet'!H"&amp;'Configurable Tab'!H18+6)="","",INDIRECT("'Incentives Worksheet'!H"&amp;'Configurable Tab'!H18+6))</f>
        <v/>
      </c>
      <c r="W195" s="1211" t="str" cm="1">
        <f t="array" aca="1" ref="W195" ca="1">IF(INDIRECT("'Incentives Worksheet'!J"&amp;'Configurable Tab'!H18+6)="","",INDIRECT("'Incentives Worksheet'!J"&amp;'Configurable Tab'!H18+6))</f>
        <v/>
      </c>
      <c r="X195" s="1454" t="str" cm="1">
        <f t="array" aca="1" ref="X195" ca="1">IF(INDIRECT("'Incentives Worksheet'!L"&amp;'Configurable Tab'!H18+6)="","",INDIRECT("'Incentives Worksheet'!L"&amp;'Configurable Tab'!H18+6))</f>
        <v/>
      </c>
      <c r="Y195" s="1136"/>
      <c r="Z195" s="1136"/>
      <c r="AA195" s="1136"/>
      <c r="AB195" s="1136"/>
      <c r="AC195" s="1136"/>
      <c r="AD195" s="1136"/>
      <c r="AE195" s="1136"/>
      <c r="AF195" s="1136"/>
      <c r="AG195" s="1136"/>
      <c r="AH195" s="1136"/>
      <c r="AI195" s="1137"/>
      <c r="AJ195" s="1107"/>
      <c r="AK195" s="1107"/>
      <c r="AL195" s="1107"/>
      <c r="AM195" s="1107"/>
      <c r="AN195" s="1107"/>
      <c r="AO195" s="1107"/>
      <c r="AP195" s="1107"/>
      <c r="AQ195" s="1107"/>
      <c r="AR195" s="1107"/>
      <c r="AS195" s="1107"/>
      <c r="AT195" s="1107"/>
      <c r="AU195" s="1107"/>
      <c r="AV195" s="1107"/>
      <c r="AW195" s="1107"/>
      <c r="AX195" s="1107"/>
      <c r="AY195" s="1107"/>
      <c r="AZ195" s="1107"/>
      <c r="BA195" s="1107"/>
      <c r="BB195" s="1107"/>
      <c r="BC195" s="1107"/>
      <c r="BD195" s="1107"/>
      <c r="BE195" s="1107"/>
      <c r="BF195" s="1107"/>
      <c r="BG195" s="1107"/>
      <c r="BH195" s="1107"/>
      <c r="BI195" s="1107"/>
      <c r="BJ195" s="1107"/>
      <c r="BK195" s="1107"/>
      <c r="BL195" s="1107"/>
      <c r="BM195" s="1107"/>
      <c r="BN195" s="1107"/>
      <c r="BO195" s="1107"/>
      <c r="BP195" s="1107"/>
      <c r="BQ195" s="1107"/>
      <c r="BR195" s="1107"/>
      <c r="BS195" s="1107"/>
      <c r="BT195" s="1107"/>
      <c r="BU195" s="1107"/>
      <c r="BV195" s="1107"/>
      <c r="BW195" s="1107"/>
      <c r="BX195" s="1107"/>
      <c r="BY195" s="1107"/>
      <c r="BZ195" s="1107"/>
      <c r="CA195" s="1107"/>
      <c r="CB195" s="1107"/>
      <c r="CC195" s="1107"/>
      <c r="CD195" s="1107"/>
      <c r="CE195" s="1107"/>
      <c r="CF195" s="1107"/>
      <c r="CG195" s="1107"/>
      <c r="CH195" s="1107"/>
      <c r="CI195" s="1107"/>
      <c r="CJ195" s="1107"/>
      <c r="CK195" s="1107"/>
    </row>
    <row r="196" spans="1:89" x14ac:dyDescent="0.25">
      <c r="A196" s="1107"/>
      <c r="B196" s="2008"/>
      <c r="C196" s="1200">
        <v>2</v>
      </c>
      <c r="D196" s="1217" t="str" cm="1">
        <f t="array" aca="1" ref="D196" ca="1">IF(INDIRECT("'Incentives Worksheet'!H"&amp;'Configurable Tab'!H17+7)="","",INDIRECT("'Incentives Worksheet'!H"&amp;'Configurable Tab'!H17+7))</f>
        <v/>
      </c>
      <c r="E196" s="1180" t="str" cm="1">
        <f t="array" aca="1" ref="E196" ca="1">IF(INDIRECT("'Incentives Worksheet'!J"&amp;'Configurable Tab'!H17+7)="","",INDIRECT("'Incentives Worksheet'!J"&amp;'Configurable Tab'!H17+7))</f>
        <v/>
      </c>
      <c r="F196" s="1450" t="str" cm="1">
        <f t="array" aca="1" ref="F196" ca="1">IF(INDIRECT("'Incentives Worksheet'!L"&amp;'Configurable Tab'!H17+7)="","",INDIRECT("'Incentives Worksheet'!L"&amp;'Configurable Tab'!H17+7))</f>
        <v/>
      </c>
      <c r="G196" s="1136"/>
      <c r="H196" s="1136"/>
      <c r="I196" s="1136"/>
      <c r="J196" s="1136"/>
      <c r="K196" s="1136"/>
      <c r="L196" s="1136"/>
      <c r="M196" s="1136"/>
      <c r="N196" s="1136"/>
      <c r="O196" s="1136"/>
      <c r="P196" s="1136"/>
      <c r="Q196" s="1137"/>
      <c r="R196" s="1107"/>
      <c r="S196" s="1107"/>
      <c r="T196" s="2008"/>
      <c r="U196" s="1225">
        <v>2</v>
      </c>
      <c r="V196" s="1219" t="str" cm="1">
        <f t="array" aca="1" ref="V196" ca="1">IF(INDIRECT("'Incentives Worksheet'!H"&amp;'Configurable Tab'!H18+7)="","",INDIRECT("'Incentives Worksheet'!H"&amp;'Configurable Tab'!H18+7))</f>
        <v/>
      </c>
      <c r="W196" s="1211" t="str" cm="1">
        <f t="array" aca="1" ref="W196" ca="1">IF(INDIRECT("'Incentives Worksheet'!J"&amp;'Configurable Tab'!H18+7)="","",INDIRECT("'Incentives Worksheet'!J"&amp;'Configurable Tab'!H18+7))</f>
        <v/>
      </c>
      <c r="X196" s="1454" t="str" cm="1">
        <f t="array" aca="1" ref="X196" ca="1">IF(INDIRECT("'Incentives Worksheet'!L"&amp;'Configurable Tab'!H18+7)="","",INDIRECT("'Incentives Worksheet'!L"&amp;'Configurable Tab'!H18+7))</f>
        <v/>
      </c>
      <c r="Y196" s="1136"/>
      <c r="Z196" s="1136"/>
      <c r="AA196" s="1136"/>
      <c r="AB196" s="1136"/>
      <c r="AC196" s="1136"/>
      <c r="AD196" s="1136"/>
      <c r="AE196" s="1136"/>
      <c r="AF196" s="1136"/>
      <c r="AG196" s="1136"/>
      <c r="AH196" s="1136"/>
      <c r="AI196" s="1137"/>
      <c r="AJ196" s="1107"/>
      <c r="AK196" s="1107"/>
      <c r="AL196" s="1107"/>
      <c r="AM196" s="1107"/>
      <c r="AN196" s="1107"/>
      <c r="AO196" s="1107"/>
      <c r="AP196" s="1107"/>
      <c r="AQ196" s="1107"/>
      <c r="AR196" s="1107"/>
      <c r="AS196" s="1107"/>
      <c r="AT196" s="1107"/>
      <c r="AU196" s="1107"/>
      <c r="AV196" s="1107"/>
      <c r="AW196" s="1107"/>
      <c r="AX196" s="1107"/>
      <c r="AY196" s="1107"/>
      <c r="AZ196" s="1107"/>
      <c r="BA196" s="1107"/>
      <c r="BB196" s="1107"/>
      <c r="BC196" s="1107"/>
      <c r="BD196" s="1107"/>
      <c r="BE196" s="1107"/>
      <c r="BF196" s="1107"/>
      <c r="BG196" s="1107"/>
      <c r="BH196" s="1107"/>
      <c r="BI196" s="1107"/>
      <c r="BJ196" s="1107"/>
      <c r="BK196" s="1107"/>
      <c r="BL196" s="1107"/>
      <c r="BM196" s="1107"/>
      <c r="BN196" s="1107"/>
      <c r="BO196" s="1107"/>
      <c r="BP196" s="1107"/>
      <c r="BQ196" s="1107"/>
      <c r="BR196" s="1107"/>
      <c r="BS196" s="1107"/>
      <c r="BT196" s="1107"/>
      <c r="BU196" s="1107"/>
      <c r="BV196" s="1107"/>
      <c r="BW196" s="1107"/>
      <c r="BX196" s="1107"/>
      <c r="BY196" s="1107"/>
      <c r="BZ196" s="1107"/>
      <c r="CA196" s="1107"/>
      <c r="CB196" s="1107"/>
      <c r="CC196" s="1107"/>
      <c r="CD196" s="1107"/>
      <c r="CE196" s="1107"/>
      <c r="CF196" s="1107"/>
      <c r="CG196" s="1107"/>
      <c r="CH196" s="1107"/>
      <c r="CI196" s="1107"/>
      <c r="CJ196" s="1107"/>
      <c r="CK196" s="1107"/>
    </row>
    <row r="197" spans="1:89" x14ac:dyDescent="0.25">
      <c r="A197" s="1107"/>
      <c r="B197" s="2008"/>
      <c r="C197" s="1200">
        <v>3</v>
      </c>
      <c r="D197" s="1217" t="str" cm="1">
        <f t="array" aca="1" ref="D197" ca="1">IF(INDIRECT("'Incentives Worksheet'!H"&amp;'Configurable Tab'!H17+8)="","",INDIRECT("'Incentives Worksheet'!H"&amp;'Configurable Tab'!H17+8))</f>
        <v/>
      </c>
      <c r="E197" s="1180" t="str" cm="1">
        <f t="array" aca="1" ref="E197" ca="1">IF(INDIRECT("'Incentives Worksheet'!J"&amp;'Configurable Tab'!H17+8)="","",INDIRECT("'Incentives Worksheet'!J"&amp;'Configurable Tab'!H17+8))</f>
        <v/>
      </c>
      <c r="F197" s="1450" t="str" cm="1">
        <f t="array" aca="1" ref="F197" ca="1">IF(INDIRECT("'Incentives Worksheet'!L"&amp;'Configurable Tab'!H17+8)="","",INDIRECT("'Incentives Worksheet'!L"&amp;'Configurable Tab'!H17+8))</f>
        <v/>
      </c>
      <c r="G197" s="1136"/>
      <c r="H197" s="1136"/>
      <c r="I197" s="1136"/>
      <c r="J197" s="1136"/>
      <c r="K197" s="1136"/>
      <c r="L197" s="1136"/>
      <c r="M197" s="1136"/>
      <c r="N197" s="1136"/>
      <c r="O197" s="1136"/>
      <c r="P197" s="1136"/>
      <c r="Q197" s="1137"/>
      <c r="R197" s="1107"/>
      <c r="S197" s="1107"/>
      <c r="T197" s="2008"/>
      <c r="U197" s="1225">
        <v>3</v>
      </c>
      <c r="V197" s="1219" t="str" cm="1">
        <f t="array" aca="1" ref="V197" ca="1">IF(INDIRECT("'Incentives Worksheet'!H"&amp;'Configurable Tab'!H18+8)="","",INDIRECT("'Incentives Worksheet'!H"&amp;'Configurable Tab'!H18+8))</f>
        <v/>
      </c>
      <c r="W197" s="1211" t="str" cm="1">
        <f t="array" aca="1" ref="W197" ca="1">IF(INDIRECT("'Incentives Worksheet'!J"&amp;'Configurable Tab'!H18+8)="","",INDIRECT("'Incentives Worksheet'!J"&amp;'Configurable Tab'!H18+8))</f>
        <v/>
      </c>
      <c r="X197" s="1454" t="str" cm="1">
        <f t="array" aca="1" ref="X197" ca="1">IF(INDIRECT("'Incentives Worksheet'!L"&amp;'Configurable Tab'!H18+8)="","",INDIRECT("'Incentives Worksheet'!L"&amp;'Configurable Tab'!H18+8))</f>
        <v/>
      </c>
      <c r="Y197" s="1136"/>
      <c r="Z197" s="1136"/>
      <c r="AA197" s="1136"/>
      <c r="AB197" s="1136"/>
      <c r="AC197" s="1136"/>
      <c r="AD197" s="1136"/>
      <c r="AE197" s="1136"/>
      <c r="AF197" s="1136"/>
      <c r="AG197" s="1136"/>
      <c r="AH197" s="1136"/>
      <c r="AI197" s="1137"/>
      <c r="AJ197" s="1107"/>
      <c r="AK197" s="1107"/>
      <c r="AL197" s="1107"/>
      <c r="AM197" s="1107"/>
      <c r="AN197" s="1107"/>
      <c r="AO197" s="1107"/>
      <c r="AP197" s="1107"/>
      <c r="AQ197" s="1107"/>
      <c r="AR197" s="1107"/>
      <c r="AS197" s="1107"/>
      <c r="AT197" s="1107"/>
      <c r="AU197" s="1107"/>
      <c r="AV197" s="1107"/>
      <c r="AW197" s="1107"/>
      <c r="AX197" s="1107"/>
      <c r="AY197" s="1107"/>
      <c r="AZ197" s="1107"/>
      <c r="BA197" s="1107"/>
      <c r="BB197" s="1107"/>
      <c r="BC197" s="1107"/>
      <c r="BD197" s="1107"/>
      <c r="BE197" s="1107"/>
      <c r="BF197" s="1107"/>
      <c r="BG197" s="1107"/>
      <c r="BH197" s="1107"/>
      <c r="BI197" s="1107"/>
      <c r="BJ197" s="1107"/>
      <c r="BK197" s="1107"/>
      <c r="BL197" s="1107"/>
      <c r="BM197" s="1107"/>
      <c r="BN197" s="1107"/>
      <c r="BO197" s="1107"/>
      <c r="BP197" s="1107"/>
      <c r="BQ197" s="1107"/>
      <c r="BR197" s="1107"/>
      <c r="BS197" s="1107"/>
      <c r="BT197" s="1107"/>
      <c r="BU197" s="1107"/>
      <c r="BV197" s="1107"/>
      <c r="BW197" s="1107"/>
      <c r="BX197" s="1107"/>
      <c r="BY197" s="1107"/>
      <c r="BZ197" s="1107"/>
      <c r="CA197" s="1107"/>
      <c r="CB197" s="1107"/>
      <c r="CC197" s="1107"/>
      <c r="CD197" s="1107"/>
      <c r="CE197" s="1107"/>
      <c r="CF197" s="1107"/>
      <c r="CG197" s="1107"/>
      <c r="CH197" s="1107"/>
      <c r="CI197" s="1107"/>
      <c r="CJ197" s="1107"/>
      <c r="CK197" s="1107"/>
    </row>
    <row r="198" spans="1:89" x14ac:dyDescent="0.25">
      <c r="A198" s="1107"/>
      <c r="B198" s="2008"/>
      <c r="C198" s="1200">
        <v>4</v>
      </c>
      <c r="D198" s="1217" t="str" cm="1">
        <f t="array" aca="1" ref="D198" ca="1">IF(INDIRECT("'Incentives Worksheet'!H"&amp;'Configurable Tab'!H17+9)="","",INDIRECT("'Incentives Worksheet'!H"&amp;'Configurable Tab'!H17+9))</f>
        <v/>
      </c>
      <c r="E198" s="1180" t="str" cm="1">
        <f t="array" aca="1" ref="E198" ca="1">IF(INDIRECT("'Incentives Worksheet'!J"&amp;'Configurable Tab'!H17+9)="","",INDIRECT("'Incentives Worksheet'!J"&amp;'Configurable Tab'!H17+9))</f>
        <v/>
      </c>
      <c r="F198" s="1450" t="str" cm="1">
        <f t="array" aca="1" ref="F198" ca="1">IF(INDIRECT("'Incentives Worksheet'!L"&amp;'Configurable Tab'!H17+9)="","",INDIRECT("'Incentives Worksheet'!L"&amp;'Configurable Tab'!H17+9))</f>
        <v/>
      </c>
      <c r="G198" s="1136"/>
      <c r="H198" s="1136"/>
      <c r="I198" s="1136"/>
      <c r="J198" s="1136"/>
      <c r="K198" s="1136"/>
      <c r="L198" s="1136"/>
      <c r="M198" s="1136"/>
      <c r="N198" s="1136"/>
      <c r="O198" s="1136"/>
      <c r="P198" s="1136"/>
      <c r="Q198" s="1137"/>
      <c r="R198" s="1107"/>
      <c r="S198" s="1107"/>
      <c r="T198" s="2008"/>
      <c r="U198" s="1225">
        <v>4</v>
      </c>
      <c r="V198" s="1219" t="str" cm="1">
        <f t="array" aca="1" ref="V198" ca="1">IF(INDIRECT("'Incentives Worksheet'!H"&amp;'Configurable Tab'!H18+9)="","",INDIRECT("'Incentives Worksheet'!H"&amp;'Configurable Tab'!H18+9))</f>
        <v/>
      </c>
      <c r="W198" s="1211" t="str" cm="1">
        <f t="array" aca="1" ref="W198" ca="1">IF(INDIRECT("'Incentives Worksheet'!J"&amp;'Configurable Tab'!H18+9)="","",INDIRECT("'Incentives Worksheet'!J"&amp;'Configurable Tab'!H18+9))</f>
        <v/>
      </c>
      <c r="X198" s="1454" t="str" cm="1">
        <f t="array" aca="1" ref="X198" ca="1">IF(INDIRECT("'Incentives Worksheet'!L"&amp;'Configurable Tab'!H18+9)="","",INDIRECT("'Incentives Worksheet'!L"&amp;'Configurable Tab'!H18+9))</f>
        <v/>
      </c>
      <c r="Y198" s="1136"/>
      <c r="Z198" s="1136"/>
      <c r="AA198" s="1136"/>
      <c r="AB198" s="1136"/>
      <c r="AC198" s="1136"/>
      <c r="AD198" s="1136"/>
      <c r="AE198" s="1136"/>
      <c r="AF198" s="1136"/>
      <c r="AG198" s="1136"/>
      <c r="AH198" s="1136"/>
      <c r="AI198" s="1137"/>
      <c r="AJ198" s="1107"/>
      <c r="AK198" s="1107"/>
      <c r="AL198" s="1107"/>
      <c r="AM198" s="1107"/>
      <c r="AN198" s="1107"/>
      <c r="AO198" s="1107"/>
      <c r="AP198" s="1107"/>
      <c r="AQ198" s="1107"/>
      <c r="AR198" s="1107"/>
      <c r="AS198" s="1107"/>
      <c r="AT198" s="1107"/>
      <c r="AU198" s="1107"/>
      <c r="AV198" s="1107"/>
      <c r="AW198" s="1107"/>
      <c r="AX198" s="1107"/>
      <c r="AY198" s="1107"/>
      <c r="AZ198" s="1107"/>
      <c r="BA198" s="1107"/>
      <c r="BB198" s="1107"/>
      <c r="BC198" s="1107"/>
      <c r="BD198" s="1107"/>
      <c r="BE198" s="1107"/>
      <c r="BF198" s="1107"/>
      <c r="BG198" s="1107"/>
      <c r="BH198" s="1107"/>
      <c r="BI198" s="1107"/>
      <c r="BJ198" s="1107"/>
      <c r="BK198" s="1107"/>
      <c r="BL198" s="1107"/>
      <c r="BM198" s="1107"/>
      <c r="BN198" s="1107"/>
      <c r="BO198" s="1107"/>
      <c r="BP198" s="1107"/>
      <c r="BQ198" s="1107"/>
      <c r="BR198" s="1107"/>
      <c r="BS198" s="1107"/>
      <c r="BT198" s="1107"/>
      <c r="BU198" s="1107"/>
      <c r="BV198" s="1107"/>
      <c r="BW198" s="1107"/>
      <c r="BX198" s="1107"/>
      <c r="BY198" s="1107"/>
      <c r="BZ198" s="1107"/>
      <c r="CA198" s="1107"/>
      <c r="CB198" s="1107"/>
      <c r="CC198" s="1107"/>
      <c r="CD198" s="1107"/>
      <c r="CE198" s="1107"/>
      <c r="CF198" s="1107"/>
      <c r="CG198" s="1107"/>
      <c r="CH198" s="1107"/>
      <c r="CI198" s="1107"/>
      <c r="CJ198" s="1107"/>
      <c r="CK198" s="1107"/>
    </row>
    <row r="199" spans="1:89" ht="15.75" customHeight="1" thickBot="1" x14ac:dyDescent="0.3">
      <c r="A199" s="1107"/>
      <c r="B199" s="2009"/>
      <c r="C199" s="1184">
        <v>5</v>
      </c>
      <c r="D199" s="1451" t="str" cm="1">
        <f t="array" aca="1" ref="D199" ca="1">IF(INDIRECT("'Incentives Worksheet'!H"&amp;'Configurable Tab'!H17+10)="","",INDIRECT("'Incentives Worksheet'!H"&amp;'Configurable Tab'!H17+10))</f>
        <v/>
      </c>
      <c r="E199" s="1452" t="str" cm="1">
        <f t="array" aca="1" ref="E199" ca="1">IF(INDIRECT("'Incentives Worksheet'!J"&amp;'Configurable Tab'!H17+10)="","",INDIRECT("'Incentives Worksheet'!J"&amp;'Configurable Tab'!H17+10))</f>
        <v/>
      </c>
      <c r="F199" s="1453" t="str" cm="1">
        <f t="array" aca="1" ref="F199" ca="1">IF(INDIRECT("'Incentives Worksheet'!L"&amp;'Configurable Tab'!H17+10)="","",INDIRECT("'Incentives Worksheet'!L"&amp;'Configurable Tab'!H17+10))</f>
        <v/>
      </c>
      <c r="G199" s="1136"/>
      <c r="H199" s="1136"/>
      <c r="I199" s="1136"/>
      <c r="J199" s="1136"/>
      <c r="K199" s="1136"/>
      <c r="L199" s="1136"/>
      <c r="M199" s="1136"/>
      <c r="N199" s="1136"/>
      <c r="O199" s="1136"/>
      <c r="P199" s="1136"/>
      <c r="Q199" s="1137"/>
      <c r="R199" s="1107"/>
      <c r="S199" s="1107"/>
      <c r="T199" s="2009"/>
      <c r="U199" s="1188">
        <v>5</v>
      </c>
      <c r="V199" s="1222" t="str" cm="1">
        <f t="array" aca="1" ref="V199" ca="1">IF(INDIRECT("'Incentives Worksheet'!H"&amp;'Configurable Tab'!H18+10)="","",INDIRECT("'Incentives Worksheet'!H"&amp;'Configurable Tab'!H18+10))</f>
        <v/>
      </c>
      <c r="W199" s="1455" t="str" cm="1">
        <f t="array" aca="1" ref="W199" ca="1">IF(INDIRECT("'Incentives Worksheet'!J"&amp;'Configurable Tab'!H18+10)="","",INDIRECT("'Incentives Worksheet'!J"&amp;'Configurable Tab'!H18+10))</f>
        <v/>
      </c>
      <c r="X199" s="1456" t="str" cm="1">
        <f t="array" aca="1" ref="X199" ca="1">IF(INDIRECT("'Incentives Worksheet'!L"&amp;'Configurable Tab'!H18+10)="","",INDIRECT("'Incentives Worksheet'!L"&amp;'Configurable Tab'!H18+10))</f>
        <v/>
      </c>
      <c r="Y199" s="1136"/>
      <c r="Z199" s="1136"/>
      <c r="AA199" s="1136"/>
      <c r="AB199" s="1136"/>
      <c r="AC199" s="1136"/>
      <c r="AD199" s="1136"/>
      <c r="AE199" s="1136"/>
      <c r="AF199" s="1136"/>
      <c r="AG199" s="1136"/>
      <c r="AH199" s="1136"/>
      <c r="AI199" s="1137"/>
      <c r="AJ199" s="1107"/>
      <c r="AK199" s="1107"/>
      <c r="AL199" s="1107"/>
      <c r="AM199" s="1107"/>
      <c r="AN199" s="1107"/>
      <c r="AO199" s="1107"/>
      <c r="AP199" s="1107"/>
      <c r="AQ199" s="1107"/>
      <c r="AR199" s="1107"/>
      <c r="AS199" s="1107"/>
      <c r="AT199" s="1107"/>
      <c r="AU199" s="1107"/>
      <c r="AV199" s="1107"/>
      <c r="AW199" s="1107"/>
      <c r="AX199" s="1107"/>
      <c r="AY199" s="1107"/>
      <c r="AZ199" s="1107"/>
      <c r="BA199" s="1107"/>
      <c r="BB199" s="1107"/>
      <c r="BC199" s="1107"/>
      <c r="BD199" s="1107"/>
      <c r="BE199" s="1107"/>
      <c r="BF199" s="1107"/>
      <c r="BG199" s="1107"/>
      <c r="BH199" s="1107"/>
      <c r="BI199" s="1107"/>
      <c r="BJ199" s="1107"/>
      <c r="BK199" s="1107"/>
      <c r="BL199" s="1107"/>
      <c r="BM199" s="1107"/>
      <c r="BN199" s="1107"/>
      <c r="BO199" s="1107"/>
      <c r="BP199" s="1107"/>
      <c r="BQ199" s="1107"/>
      <c r="BR199" s="1107"/>
      <c r="BS199" s="1107"/>
      <c r="BT199" s="1107"/>
      <c r="BU199" s="1107"/>
      <c r="BV199" s="1107"/>
      <c r="BW199" s="1107"/>
      <c r="BX199" s="1107"/>
      <c r="BY199" s="1107"/>
      <c r="BZ199" s="1107"/>
      <c r="CA199" s="1107"/>
      <c r="CB199" s="1107"/>
      <c r="CC199" s="1107"/>
      <c r="CD199" s="1107"/>
      <c r="CE199" s="1107"/>
      <c r="CF199" s="1107"/>
      <c r="CG199" s="1107"/>
      <c r="CH199" s="1107"/>
      <c r="CI199" s="1107"/>
      <c r="CJ199" s="1107"/>
      <c r="CK199" s="1107"/>
    </row>
    <row r="200" spans="1:89" ht="15.75" customHeight="1" thickBot="1" x14ac:dyDescent="0.3">
      <c r="A200" s="1107"/>
      <c r="B200" s="2006" t="s">
        <v>1858</v>
      </c>
      <c r="C200" s="1191" t="s">
        <v>1859</v>
      </c>
      <c r="D200" s="1192" t="s">
        <v>131</v>
      </c>
      <c r="E200" s="1192" t="s">
        <v>1860</v>
      </c>
      <c r="F200" s="1107"/>
      <c r="G200" s="1107"/>
      <c r="H200" s="1107"/>
      <c r="I200" s="1107"/>
      <c r="J200" s="1107"/>
      <c r="K200" s="1107"/>
      <c r="L200" s="1107"/>
      <c r="M200" s="1107"/>
      <c r="N200" s="1107"/>
      <c r="O200" s="1107"/>
      <c r="P200" s="1107"/>
      <c r="Q200" s="1108"/>
      <c r="R200" s="1107"/>
      <c r="S200" s="1107"/>
      <c r="T200" s="2006" t="s">
        <v>1858</v>
      </c>
      <c r="U200" s="1191" t="s">
        <v>1859</v>
      </c>
      <c r="V200" s="1192" t="s">
        <v>131</v>
      </c>
      <c r="W200" s="1192" t="s">
        <v>1860</v>
      </c>
      <c r="X200" s="1107"/>
      <c r="Y200" s="1107"/>
      <c r="Z200" s="1107"/>
      <c r="AA200" s="1107"/>
      <c r="AB200" s="1107"/>
      <c r="AC200" s="1107"/>
      <c r="AD200" s="1107"/>
      <c r="AE200" s="1107"/>
      <c r="AF200" s="1107"/>
      <c r="AG200" s="1107"/>
      <c r="AH200" s="1107"/>
      <c r="AI200" s="1108"/>
      <c r="AJ200" s="1107"/>
      <c r="AK200" s="1107"/>
      <c r="AL200" s="1107"/>
      <c r="AM200" s="1107"/>
      <c r="AN200" s="1107"/>
      <c r="AO200" s="1107"/>
      <c r="AP200" s="1107"/>
      <c r="AQ200" s="1107"/>
      <c r="AR200" s="1107"/>
      <c r="AS200" s="1107"/>
      <c r="AT200" s="1107"/>
      <c r="AU200" s="1107"/>
      <c r="AV200" s="1107"/>
      <c r="AW200" s="1107"/>
      <c r="AX200" s="1107"/>
      <c r="AY200" s="1107"/>
      <c r="AZ200" s="1107"/>
      <c r="BA200" s="1107"/>
      <c r="BB200" s="1107"/>
      <c r="BC200" s="1107"/>
      <c r="BD200" s="1107"/>
      <c r="BE200" s="1107"/>
      <c r="BF200" s="1107"/>
      <c r="BG200" s="1107"/>
      <c r="BH200" s="1107"/>
      <c r="BI200" s="1107"/>
      <c r="BJ200" s="1107"/>
      <c r="BK200" s="1107"/>
      <c r="BL200" s="1107"/>
      <c r="BM200" s="1107"/>
      <c r="BN200" s="1107"/>
      <c r="BO200" s="1107"/>
      <c r="BP200" s="1107"/>
      <c r="BQ200" s="1107"/>
      <c r="BR200" s="1107"/>
      <c r="BS200" s="1107"/>
      <c r="BT200" s="1107"/>
      <c r="BU200" s="1107"/>
      <c r="BV200" s="1107"/>
      <c r="BW200" s="1107"/>
      <c r="BX200" s="1107"/>
      <c r="BY200" s="1107"/>
      <c r="BZ200" s="1107"/>
      <c r="CA200" s="1107"/>
      <c r="CB200" s="1107"/>
      <c r="CC200" s="1107"/>
      <c r="CD200" s="1107"/>
      <c r="CE200" s="1107"/>
      <c r="CF200" s="1107"/>
      <c r="CG200" s="1107"/>
      <c r="CH200" s="1107"/>
      <c r="CI200" s="1107"/>
      <c r="CJ200" s="1107"/>
      <c r="CK200" s="1107"/>
    </row>
    <row r="201" spans="1:89" x14ac:dyDescent="0.25">
      <c r="A201" s="1107"/>
      <c r="B201" s="2011"/>
      <c r="C201" s="1141" t="s">
        <v>1861</v>
      </c>
      <c r="D201" s="1141" t="s">
        <v>1862</v>
      </c>
      <c r="E201" s="1142"/>
      <c r="F201" s="1107"/>
      <c r="G201" s="1107"/>
      <c r="H201" s="1107"/>
      <c r="I201" s="1107"/>
      <c r="J201" s="1107"/>
      <c r="K201" s="1107"/>
      <c r="L201" s="1107"/>
      <c r="M201" s="1107"/>
      <c r="N201" s="1107"/>
      <c r="O201" s="1107"/>
      <c r="P201" s="1107"/>
      <c r="Q201" s="1108"/>
      <c r="R201" s="1107"/>
      <c r="S201" s="1107"/>
      <c r="T201" s="2011"/>
      <c r="U201" s="1141" t="s">
        <v>1861</v>
      </c>
      <c r="V201" s="1141" t="s">
        <v>1862</v>
      </c>
      <c r="W201" s="1142"/>
      <c r="X201" s="1107"/>
      <c r="Y201" s="1107"/>
      <c r="Z201" s="1107"/>
      <c r="AA201" s="1107"/>
      <c r="AB201" s="1107"/>
      <c r="AC201" s="1107"/>
      <c r="AD201" s="1107"/>
      <c r="AE201" s="1107"/>
      <c r="AF201" s="1107"/>
      <c r="AG201" s="1107"/>
      <c r="AH201" s="1107"/>
      <c r="AI201" s="1108"/>
      <c r="AJ201" s="1107"/>
      <c r="AK201" s="1107"/>
      <c r="AL201" s="1107"/>
      <c r="AM201" s="1107"/>
      <c r="AN201" s="1107"/>
      <c r="AO201" s="1107"/>
      <c r="AP201" s="1107"/>
      <c r="AQ201" s="1107"/>
      <c r="AR201" s="1107"/>
      <c r="AS201" s="1107"/>
      <c r="AT201" s="1107"/>
      <c r="AU201" s="1107"/>
      <c r="AV201" s="1107"/>
      <c r="AW201" s="1107"/>
      <c r="AX201" s="1107"/>
      <c r="AY201" s="1107"/>
      <c r="AZ201" s="1107"/>
      <c r="BA201" s="1107"/>
      <c r="BB201" s="1107"/>
      <c r="BC201" s="1107"/>
      <c r="BD201" s="1107"/>
      <c r="BE201" s="1107"/>
      <c r="BF201" s="1107"/>
      <c r="BG201" s="1107"/>
      <c r="BH201" s="1107"/>
      <c r="BI201" s="1107"/>
      <c r="BJ201" s="1107"/>
      <c r="BK201" s="1107"/>
      <c r="BL201" s="1107"/>
      <c r="BM201" s="1107"/>
      <c r="BN201" s="1107"/>
      <c r="BO201" s="1107"/>
      <c r="BP201" s="1107"/>
      <c r="BQ201" s="1107"/>
      <c r="BR201" s="1107"/>
      <c r="BS201" s="1107"/>
      <c r="BT201" s="1107"/>
      <c r="BU201" s="1107"/>
      <c r="BV201" s="1107"/>
      <c r="BW201" s="1107"/>
      <c r="BX201" s="1107"/>
      <c r="BY201" s="1107"/>
      <c r="BZ201" s="1107"/>
      <c r="CA201" s="1107"/>
      <c r="CB201" s="1107"/>
      <c r="CC201" s="1107"/>
      <c r="CD201" s="1107"/>
      <c r="CE201" s="1107"/>
      <c r="CF201" s="1107"/>
      <c r="CG201" s="1107"/>
      <c r="CH201" s="1107"/>
      <c r="CI201" s="1107"/>
      <c r="CJ201" s="1107"/>
      <c r="CK201" s="1107"/>
    </row>
    <row r="202" spans="1:89" x14ac:dyDescent="0.25">
      <c r="A202" s="1107"/>
      <c r="B202" s="2011"/>
      <c r="C202" s="1143" t="s">
        <v>1861</v>
      </c>
      <c r="D202" s="1143" t="s">
        <v>1863</v>
      </c>
      <c r="E202" s="1144" t="s">
        <v>1864</v>
      </c>
      <c r="F202" s="1107"/>
      <c r="G202" s="1107"/>
      <c r="H202" s="1107"/>
      <c r="I202" s="1107"/>
      <c r="J202" s="1107"/>
      <c r="K202" s="1107"/>
      <c r="L202" s="1107"/>
      <c r="M202" s="1107"/>
      <c r="N202" s="1107"/>
      <c r="O202" s="1107"/>
      <c r="P202" s="1107"/>
      <c r="Q202" s="1108"/>
      <c r="R202" s="1107"/>
      <c r="S202" s="1107"/>
      <c r="T202" s="2011"/>
      <c r="U202" s="1143" t="s">
        <v>1861</v>
      </c>
      <c r="V202" s="1143" t="s">
        <v>1863</v>
      </c>
      <c r="W202" s="1144" t="s">
        <v>1864</v>
      </c>
      <c r="X202" s="1107"/>
      <c r="Y202" s="1107"/>
      <c r="Z202" s="1107"/>
      <c r="AA202" s="1107"/>
      <c r="AB202" s="1107"/>
      <c r="AC202" s="1107"/>
      <c r="AD202" s="1107"/>
      <c r="AE202" s="1107"/>
      <c r="AF202" s="1107"/>
      <c r="AG202" s="1107"/>
      <c r="AH202" s="1107"/>
      <c r="AI202" s="1108"/>
      <c r="AJ202" s="1107"/>
      <c r="AK202" s="1107"/>
      <c r="AL202" s="1107"/>
      <c r="AM202" s="1107"/>
      <c r="AN202" s="1107"/>
      <c r="AO202" s="1107"/>
      <c r="AP202" s="1107"/>
      <c r="AQ202" s="1107"/>
      <c r="AR202" s="1107"/>
      <c r="AS202" s="1107"/>
      <c r="AT202" s="1107"/>
      <c r="AU202" s="1107"/>
      <c r="AV202" s="1107"/>
      <c r="AW202" s="1107"/>
      <c r="AX202" s="1107"/>
      <c r="AY202" s="1107"/>
      <c r="AZ202" s="1107"/>
      <c r="BA202" s="1107"/>
      <c r="BB202" s="1107"/>
      <c r="BC202" s="1107"/>
      <c r="BD202" s="1107"/>
      <c r="BE202" s="1107"/>
      <c r="BF202" s="1107"/>
      <c r="BG202" s="1107"/>
      <c r="BH202" s="1107"/>
      <c r="BI202" s="1107"/>
      <c r="BJ202" s="1107"/>
      <c r="BK202" s="1107"/>
      <c r="BL202" s="1107"/>
      <c r="BM202" s="1107"/>
      <c r="BN202" s="1107"/>
      <c r="BO202" s="1107"/>
      <c r="BP202" s="1107"/>
      <c r="BQ202" s="1107"/>
      <c r="BR202" s="1107"/>
      <c r="BS202" s="1107"/>
      <c r="BT202" s="1107"/>
      <c r="BU202" s="1107"/>
      <c r="BV202" s="1107"/>
      <c r="BW202" s="1107"/>
      <c r="BX202" s="1107"/>
      <c r="BY202" s="1107"/>
      <c r="BZ202" s="1107"/>
      <c r="CA202" s="1107"/>
      <c r="CB202" s="1107"/>
      <c r="CC202" s="1107"/>
      <c r="CD202" s="1107"/>
      <c r="CE202" s="1107"/>
      <c r="CF202" s="1107"/>
      <c r="CG202" s="1107"/>
      <c r="CH202" s="1107"/>
      <c r="CI202" s="1107"/>
      <c r="CJ202" s="1107"/>
      <c r="CK202" s="1107"/>
    </row>
    <row r="203" spans="1:89" x14ac:dyDescent="0.25">
      <c r="A203" s="1107"/>
      <c r="B203" s="2011"/>
      <c r="C203" s="1143" t="s">
        <v>1861</v>
      </c>
      <c r="D203" s="1143" t="s">
        <v>1865</v>
      </c>
      <c r="E203" s="1144" t="s">
        <v>1699</v>
      </c>
      <c r="F203" s="1107"/>
      <c r="G203" s="1107"/>
      <c r="H203" s="1107"/>
      <c r="I203" s="1107"/>
      <c r="J203" s="1107"/>
      <c r="K203" s="1107"/>
      <c r="L203" s="1107"/>
      <c r="M203" s="1107"/>
      <c r="N203" s="1107"/>
      <c r="O203" s="1107"/>
      <c r="P203" s="1107"/>
      <c r="Q203" s="1108"/>
      <c r="R203" s="1107"/>
      <c r="S203" s="1107"/>
      <c r="T203" s="2011"/>
      <c r="U203" s="1143" t="s">
        <v>1861</v>
      </c>
      <c r="V203" s="1143" t="s">
        <v>1865</v>
      </c>
      <c r="W203" s="1144" t="s">
        <v>1699</v>
      </c>
      <c r="X203" s="1107"/>
      <c r="Y203" s="1107"/>
      <c r="Z203" s="1107"/>
      <c r="AA203" s="1107"/>
      <c r="AB203" s="1107"/>
      <c r="AC203" s="1107"/>
      <c r="AD203" s="1107"/>
      <c r="AE203" s="1107"/>
      <c r="AF203" s="1107"/>
      <c r="AG203" s="1107"/>
      <c r="AH203" s="1107"/>
      <c r="AI203" s="1108"/>
      <c r="AJ203" s="1107"/>
      <c r="AK203" s="1107"/>
      <c r="AL203" s="1107"/>
      <c r="AM203" s="1107"/>
      <c r="AN203" s="1107"/>
      <c r="AO203" s="1107"/>
      <c r="AP203" s="1107"/>
      <c r="AQ203" s="1107"/>
      <c r="AR203" s="1107"/>
      <c r="AS203" s="1107"/>
      <c r="AT203" s="1107"/>
      <c r="AU203" s="1107"/>
      <c r="AV203" s="1107"/>
      <c r="AW203" s="1107"/>
      <c r="AX203" s="1107"/>
      <c r="AY203" s="1107"/>
      <c r="AZ203" s="1107"/>
      <c r="BA203" s="1107"/>
      <c r="BB203" s="1107"/>
      <c r="BC203" s="1107"/>
      <c r="BD203" s="1107"/>
      <c r="BE203" s="1107"/>
      <c r="BF203" s="1107"/>
      <c r="BG203" s="1107"/>
      <c r="BH203" s="1107"/>
      <c r="BI203" s="1107"/>
      <c r="BJ203" s="1107"/>
      <c r="BK203" s="1107"/>
      <c r="BL203" s="1107"/>
      <c r="BM203" s="1107"/>
      <c r="BN203" s="1107"/>
      <c r="BO203" s="1107"/>
      <c r="BP203" s="1107"/>
      <c r="BQ203" s="1107"/>
      <c r="BR203" s="1107"/>
      <c r="BS203" s="1107"/>
      <c r="BT203" s="1107"/>
      <c r="BU203" s="1107"/>
      <c r="BV203" s="1107"/>
      <c r="BW203" s="1107"/>
      <c r="BX203" s="1107"/>
      <c r="BY203" s="1107"/>
      <c r="BZ203" s="1107"/>
      <c r="CA203" s="1107"/>
      <c r="CB203" s="1107"/>
      <c r="CC203" s="1107"/>
      <c r="CD203" s="1107"/>
      <c r="CE203" s="1107"/>
      <c r="CF203" s="1107"/>
      <c r="CG203" s="1107"/>
      <c r="CH203" s="1107"/>
      <c r="CI203" s="1107"/>
      <c r="CJ203" s="1107"/>
      <c r="CK203" s="1107"/>
    </row>
    <row r="204" spans="1:89" ht="15.75" customHeight="1" thickBot="1" x14ac:dyDescent="0.3">
      <c r="A204" s="1107"/>
      <c r="B204" s="2010"/>
      <c r="C204" s="1145" t="s">
        <v>1861</v>
      </c>
      <c r="D204" s="1145" t="s">
        <v>1866</v>
      </c>
      <c r="E204" s="1146" t="s">
        <v>1867</v>
      </c>
      <c r="F204" s="1107"/>
      <c r="G204" s="1107"/>
      <c r="H204" s="1107"/>
      <c r="I204" s="1107"/>
      <c r="J204" s="1107"/>
      <c r="K204" s="1107"/>
      <c r="L204" s="1107"/>
      <c r="M204" s="1107"/>
      <c r="N204" s="1107"/>
      <c r="O204" s="1107"/>
      <c r="P204" s="1107"/>
      <c r="Q204" s="1108"/>
      <c r="R204" s="1107"/>
      <c r="S204" s="1107"/>
      <c r="T204" s="2010"/>
      <c r="U204" s="1145" t="s">
        <v>1861</v>
      </c>
      <c r="V204" s="1145" t="s">
        <v>1866</v>
      </c>
      <c r="W204" s="1146" t="s">
        <v>1867</v>
      </c>
      <c r="X204" s="1107"/>
      <c r="Y204" s="1107"/>
      <c r="Z204" s="1107"/>
      <c r="AA204" s="1107"/>
      <c r="AB204" s="1107"/>
      <c r="AC204" s="1107"/>
      <c r="AD204" s="1107"/>
      <c r="AE204" s="1107"/>
      <c r="AF204" s="1107"/>
      <c r="AG204" s="1107"/>
      <c r="AH204" s="1107"/>
      <c r="AI204" s="1108"/>
      <c r="AJ204" s="1107"/>
      <c r="AK204" s="1107"/>
      <c r="AL204" s="1107"/>
      <c r="AM204" s="1107"/>
      <c r="AN204" s="1107"/>
      <c r="AO204" s="1107"/>
      <c r="AP204" s="1107"/>
      <c r="AQ204" s="1107"/>
      <c r="AR204" s="1107"/>
      <c r="AS204" s="1107"/>
      <c r="AT204" s="1107"/>
      <c r="AU204" s="1107"/>
      <c r="AV204" s="1107"/>
      <c r="AW204" s="1107"/>
      <c r="AX204" s="1107"/>
      <c r="AY204" s="1107"/>
      <c r="AZ204" s="1107"/>
      <c r="BA204" s="1107"/>
      <c r="BB204" s="1107"/>
      <c r="BC204" s="1107"/>
      <c r="BD204" s="1107"/>
      <c r="BE204" s="1107"/>
      <c r="BF204" s="1107"/>
      <c r="BG204" s="1107"/>
      <c r="BH204" s="1107"/>
      <c r="BI204" s="1107"/>
      <c r="BJ204" s="1107"/>
      <c r="BK204" s="1107"/>
      <c r="BL204" s="1107"/>
      <c r="BM204" s="1107"/>
      <c r="BN204" s="1107"/>
      <c r="BO204" s="1107"/>
      <c r="BP204" s="1107"/>
      <c r="BQ204" s="1107"/>
      <c r="BR204" s="1107"/>
      <c r="BS204" s="1107"/>
      <c r="BT204" s="1107"/>
      <c r="BU204" s="1107"/>
      <c r="BV204" s="1107"/>
      <c r="BW204" s="1107"/>
      <c r="BX204" s="1107"/>
      <c r="BY204" s="1107"/>
      <c r="BZ204" s="1107"/>
      <c r="CA204" s="1107"/>
      <c r="CB204" s="1107"/>
      <c r="CC204" s="1107"/>
      <c r="CD204" s="1107"/>
      <c r="CE204" s="1107"/>
      <c r="CF204" s="1107"/>
      <c r="CG204" s="1107"/>
      <c r="CH204" s="1107"/>
      <c r="CI204" s="1107"/>
      <c r="CJ204" s="1107"/>
      <c r="CK204" s="1107"/>
    </row>
    <row r="205" spans="1:89" ht="15.75" customHeight="1" thickBot="1" x14ac:dyDescent="0.3">
      <c r="A205" s="1107"/>
      <c r="B205" s="2006" t="s">
        <v>1868</v>
      </c>
      <c r="C205" s="1147" t="s">
        <v>1869</v>
      </c>
      <c r="D205" s="1148" t="s">
        <v>1859</v>
      </c>
      <c r="E205" s="1148" t="s">
        <v>131</v>
      </c>
      <c r="F205" s="1148" t="s">
        <v>1860</v>
      </c>
      <c r="G205" s="1148" t="s">
        <v>1870</v>
      </c>
      <c r="H205" s="1149" t="s">
        <v>1871</v>
      </c>
      <c r="I205" s="1150" t="s">
        <v>766</v>
      </c>
      <c r="J205" s="1150" t="s">
        <v>767</v>
      </c>
      <c r="K205" s="1150" t="s">
        <v>768</v>
      </c>
      <c r="L205" s="1150" t="s">
        <v>769</v>
      </c>
      <c r="M205" s="1150" t="s">
        <v>204</v>
      </c>
      <c r="N205" s="1107"/>
      <c r="O205" s="1107"/>
      <c r="P205" s="1107"/>
      <c r="Q205" s="1108"/>
      <c r="R205" s="1107"/>
      <c r="S205" s="1107"/>
      <c r="T205" s="2006" t="s">
        <v>1868</v>
      </c>
      <c r="U205" s="1147" t="s">
        <v>1869</v>
      </c>
      <c r="V205" s="1148" t="s">
        <v>1859</v>
      </c>
      <c r="W205" s="1148" t="s">
        <v>131</v>
      </c>
      <c r="X205" s="1148" t="s">
        <v>1860</v>
      </c>
      <c r="Y205" s="1148" t="s">
        <v>1870</v>
      </c>
      <c r="Z205" s="1149" t="s">
        <v>1871</v>
      </c>
      <c r="AA205" s="1150" t="s">
        <v>766</v>
      </c>
      <c r="AB205" s="1150" t="s">
        <v>767</v>
      </c>
      <c r="AC205" s="1150" t="s">
        <v>768</v>
      </c>
      <c r="AD205" s="1150" t="s">
        <v>769</v>
      </c>
      <c r="AE205" s="1150" t="s">
        <v>204</v>
      </c>
      <c r="AF205" s="1107"/>
      <c r="AG205" s="1107"/>
      <c r="AH205" s="1107"/>
      <c r="AI205" s="1108"/>
      <c r="AJ205" s="1107"/>
      <c r="AK205" s="1107"/>
      <c r="AL205" s="1107"/>
      <c r="AM205" s="1107"/>
      <c r="AN205" s="1107"/>
      <c r="AO205" s="1107"/>
      <c r="AP205" s="1107"/>
      <c r="AQ205" s="1107"/>
      <c r="AR205" s="1107"/>
      <c r="AS205" s="1107"/>
      <c r="AT205" s="1107"/>
      <c r="AU205" s="1107"/>
      <c r="AV205" s="1107"/>
      <c r="AW205" s="1107"/>
      <c r="AX205" s="1107"/>
      <c r="AY205" s="1107"/>
      <c r="AZ205" s="1107"/>
      <c r="BA205" s="1107"/>
      <c r="BB205" s="1107"/>
      <c r="BC205" s="1107"/>
      <c r="BD205" s="1107"/>
      <c r="BE205" s="1107"/>
      <c r="BF205" s="1107"/>
      <c r="BG205" s="1107"/>
      <c r="BH205" s="1107"/>
      <c r="BI205" s="1107"/>
      <c r="BJ205" s="1107"/>
      <c r="BK205" s="1107"/>
      <c r="BL205" s="1107"/>
      <c r="BM205" s="1107"/>
      <c r="BN205" s="1107"/>
      <c r="BO205" s="1107"/>
      <c r="BP205" s="1107"/>
      <c r="BQ205" s="1107"/>
      <c r="BR205" s="1107"/>
      <c r="BS205" s="1107"/>
      <c r="BT205" s="1107"/>
      <c r="BU205" s="1107"/>
      <c r="BV205" s="1107"/>
      <c r="BW205" s="1107"/>
      <c r="BX205" s="1107"/>
      <c r="BY205" s="1107"/>
      <c r="BZ205" s="1107"/>
      <c r="CA205" s="1107"/>
      <c r="CB205" s="1107"/>
      <c r="CC205" s="1107"/>
      <c r="CD205" s="1107"/>
      <c r="CE205" s="1107"/>
      <c r="CF205" s="1107"/>
      <c r="CG205" s="1107"/>
      <c r="CH205" s="1107"/>
      <c r="CI205" s="1107"/>
      <c r="CJ205" s="1107"/>
      <c r="CK205" s="1107"/>
    </row>
    <row r="206" spans="1:89" x14ac:dyDescent="0.25">
      <c r="A206" s="1107"/>
      <c r="B206" s="2008"/>
      <c r="C206" s="1151">
        <v>1</v>
      </c>
      <c r="D206" s="1144" t="s">
        <v>1872</v>
      </c>
      <c r="E206" s="1144" t="s">
        <v>1426</v>
      </c>
      <c r="F206" s="1144" t="str">
        <f>'Required Info to Submit'!E23</f>
        <v/>
      </c>
      <c r="G206" s="1414" t="str">
        <f>IF(F206="","",'Required Info to Submit'!K23)</f>
        <v/>
      </c>
      <c r="H206" s="1415" t="str">
        <f>IF(F206="","",'Required Info to Submit'!L23)</f>
        <v/>
      </c>
      <c r="I206" s="1144" t="str">
        <f>'Required Info to Submit'!F23</f>
        <v/>
      </c>
      <c r="J206" s="1144" t="str">
        <f>'Required Info to Submit'!G23</f>
        <v/>
      </c>
      <c r="K206" s="1144" t="str">
        <f>'Required Info to Submit'!H23</f>
        <v/>
      </c>
      <c r="L206" s="1144" t="str">
        <f>'Required Info to Submit'!I23</f>
        <v/>
      </c>
      <c r="M206" s="1144" t="str">
        <f>'Required Info to Submit'!J23</f>
        <v/>
      </c>
      <c r="N206" s="1107"/>
      <c r="O206" s="1107"/>
      <c r="P206" s="1107"/>
      <c r="Q206" s="1108"/>
      <c r="R206" s="1107"/>
      <c r="S206" s="1107"/>
      <c r="T206" s="2008"/>
      <c r="U206" s="1151">
        <v>1</v>
      </c>
      <c r="V206" s="1144" t="s">
        <v>1872</v>
      </c>
      <c r="W206" s="1144" t="s">
        <v>1426</v>
      </c>
      <c r="X206" s="1153" t="str">
        <f>'Required Info to Submit'!E23</f>
        <v/>
      </c>
      <c r="Y206" s="1417" t="str">
        <f>IF(X206="","",'Required Info to Submit'!K23)</f>
        <v/>
      </c>
      <c r="Z206" s="1418" t="str">
        <f>IF(X206="","",'Required Info to Submit'!L23)</f>
        <v/>
      </c>
      <c r="AA206" s="1153" t="str">
        <f>'Required Info to Submit'!F23</f>
        <v/>
      </c>
      <c r="AB206" s="1153" t="str">
        <f>'Required Info to Submit'!G23</f>
        <v/>
      </c>
      <c r="AC206" s="1153" t="str">
        <f>'Required Info to Submit'!H23</f>
        <v/>
      </c>
      <c r="AD206" s="1153" t="str">
        <f>'Required Info to Submit'!I23</f>
        <v/>
      </c>
      <c r="AE206" s="1153" t="str">
        <f>'Required Info to Submit'!J23</f>
        <v/>
      </c>
      <c r="AF206" s="1107"/>
      <c r="AG206" s="1107"/>
      <c r="AH206" s="1107"/>
      <c r="AI206" s="1108"/>
      <c r="AJ206" s="1107"/>
      <c r="AK206" s="1107"/>
      <c r="AL206" s="1107"/>
      <c r="AM206" s="1107"/>
      <c r="AN206" s="1107"/>
      <c r="AO206" s="1107"/>
      <c r="AP206" s="1107"/>
      <c r="AQ206" s="1107"/>
      <c r="AR206" s="1107"/>
      <c r="AS206" s="1107"/>
      <c r="AT206" s="1107"/>
      <c r="AU206" s="1107"/>
      <c r="AV206" s="1107"/>
      <c r="AW206" s="1107"/>
      <c r="AX206" s="1107"/>
      <c r="AY206" s="1107"/>
      <c r="AZ206" s="1107"/>
      <c r="BA206" s="1107"/>
      <c r="BB206" s="1107"/>
      <c r="BC206" s="1107"/>
      <c r="BD206" s="1107"/>
      <c r="BE206" s="1107"/>
      <c r="BF206" s="1107"/>
      <c r="BG206" s="1107"/>
      <c r="BH206" s="1107"/>
      <c r="BI206" s="1107"/>
      <c r="BJ206" s="1107"/>
      <c r="BK206" s="1107"/>
      <c r="BL206" s="1107"/>
      <c r="BM206" s="1107"/>
      <c r="BN206" s="1107"/>
      <c r="BO206" s="1107"/>
      <c r="BP206" s="1107"/>
      <c r="BQ206" s="1107"/>
      <c r="BR206" s="1107"/>
      <c r="BS206" s="1107"/>
      <c r="BT206" s="1107"/>
      <c r="BU206" s="1107"/>
      <c r="BV206" s="1107"/>
      <c r="BW206" s="1107"/>
      <c r="BX206" s="1107"/>
      <c r="BY206" s="1107"/>
      <c r="BZ206" s="1107"/>
      <c r="CA206" s="1107"/>
      <c r="CB206" s="1107"/>
      <c r="CC206" s="1107"/>
      <c r="CD206" s="1107"/>
      <c r="CE206" s="1107"/>
      <c r="CF206" s="1107"/>
      <c r="CG206" s="1107"/>
      <c r="CH206" s="1107"/>
      <c r="CI206" s="1107"/>
      <c r="CJ206" s="1107"/>
      <c r="CK206" s="1107"/>
    </row>
    <row r="207" spans="1:89" x14ac:dyDescent="0.25">
      <c r="A207" s="1107"/>
      <c r="B207" s="2008"/>
      <c r="C207" s="1154">
        <v>2</v>
      </c>
      <c r="D207" s="1144" t="s">
        <v>1872</v>
      </c>
      <c r="E207" s="1144" t="s">
        <v>1426</v>
      </c>
      <c r="F207" s="1144" t="str">
        <f>'Required Info to Submit'!E24</f>
        <v/>
      </c>
      <c r="G207" s="1414" t="str">
        <f>IF(F207="","",'Required Info to Submit'!K24)</f>
        <v/>
      </c>
      <c r="H207" s="1415" t="str">
        <f>IF(F207="","",'Required Info to Submit'!L24)</f>
        <v/>
      </c>
      <c r="I207" s="1144" t="str">
        <f>'Required Info to Submit'!F24</f>
        <v/>
      </c>
      <c r="J207" s="1144" t="str">
        <f>'Required Info to Submit'!G24</f>
        <v/>
      </c>
      <c r="K207" s="1144" t="str">
        <f>'Required Info to Submit'!H24</f>
        <v/>
      </c>
      <c r="L207" s="1144" t="str">
        <f>'Required Info to Submit'!I24</f>
        <v/>
      </c>
      <c r="M207" s="1144" t="str">
        <f>'Required Info to Submit'!J24</f>
        <v/>
      </c>
      <c r="N207" s="1107"/>
      <c r="O207" s="1107"/>
      <c r="P207" s="1107"/>
      <c r="Q207" s="1108"/>
      <c r="R207" s="1107"/>
      <c r="S207" s="1107"/>
      <c r="T207" s="2008"/>
      <c r="U207" s="1154">
        <v>2</v>
      </c>
      <c r="V207" s="1144" t="s">
        <v>1872</v>
      </c>
      <c r="W207" s="1144" t="s">
        <v>1426</v>
      </c>
      <c r="X207" s="1153" t="str">
        <f>'Required Info to Submit'!E24</f>
        <v/>
      </c>
      <c r="Y207" s="1417" t="str">
        <f>IF(X207="","",'Required Info to Submit'!K24)</f>
        <v/>
      </c>
      <c r="Z207" s="1418" t="str">
        <f>IF(X207="","",'Required Info to Submit'!L24)</f>
        <v/>
      </c>
      <c r="AA207" s="1153" t="str">
        <f>'Required Info to Submit'!F24</f>
        <v/>
      </c>
      <c r="AB207" s="1153" t="str">
        <f>'Required Info to Submit'!G24</f>
        <v/>
      </c>
      <c r="AC207" s="1153" t="str">
        <f>'Required Info to Submit'!H24</f>
        <v/>
      </c>
      <c r="AD207" s="1153" t="str">
        <f>'Required Info to Submit'!I24</f>
        <v/>
      </c>
      <c r="AE207" s="1153" t="str">
        <f>'Required Info to Submit'!J24</f>
        <v/>
      </c>
      <c r="AF207" s="1107"/>
      <c r="AG207" s="1107"/>
      <c r="AH207" s="1107"/>
      <c r="AI207" s="1108"/>
      <c r="AJ207" s="1107"/>
      <c r="AK207" s="1107"/>
      <c r="AL207" s="1107"/>
      <c r="AM207" s="1107"/>
      <c r="AN207" s="1107"/>
      <c r="AO207" s="1107"/>
      <c r="AP207" s="1107"/>
      <c r="AQ207" s="1107"/>
      <c r="AR207" s="1107"/>
      <c r="AS207" s="1107"/>
      <c r="AT207" s="1107"/>
      <c r="AU207" s="1107"/>
      <c r="AV207" s="1107"/>
      <c r="AW207" s="1107"/>
      <c r="AX207" s="1107"/>
      <c r="AY207" s="1107"/>
      <c r="AZ207" s="1107"/>
      <c r="BA207" s="1107"/>
      <c r="BB207" s="1107"/>
      <c r="BC207" s="1107"/>
      <c r="BD207" s="1107"/>
      <c r="BE207" s="1107"/>
      <c r="BF207" s="1107"/>
      <c r="BG207" s="1107"/>
      <c r="BH207" s="1107"/>
      <c r="BI207" s="1107"/>
      <c r="BJ207" s="1107"/>
      <c r="BK207" s="1107"/>
      <c r="BL207" s="1107"/>
      <c r="BM207" s="1107"/>
      <c r="BN207" s="1107"/>
      <c r="BO207" s="1107"/>
      <c r="BP207" s="1107"/>
      <c r="BQ207" s="1107"/>
      <c r="BR207" s="1107"/>
      <c r="BS207" s="1107"/>
      <c r="BT207" s="1107"/>
      <c r="BU207" s="1107"/>
      <c r="BV207" s="1107"/>
      <c r="BW207" s="1107"/>
      <c r="BX207" s="1107"/>
      <c r="BY207" s="1107"/>
      <c r="BZ207" s="1107"/>
      <c r="CA207" s="1107"/>
      <c r="CB207" s="1107"/>
      <c r="CC207" s="1107"/>
      <c r="CD207" s="1107"/>
      <c r="CE207" s="1107"/>
      <c r="CF207" s="1107"/>
      <c r="CG207" s="1107"/>
      <c r="CH207" s="1107"/>
      <c r="CI207" s="1107"/>
      <c r="CJ207" s="1107"/>
      <c r="CK207" s="1107"/>
    </row>
    <row r="208" spans="1:89" x14ac:dyDescent="0.25">
      <c r="A208" s="1107"/>
      <c r="B208" s="2008"/>
      <c r="C208" s="1154">
        <v>3</v>
      </c>
      <c r="D208" s="1144" t="s">
        <v>1872</v>
      </c>
      <c r="E208" s="1144" t="s">
        <v>1426</v>
      </c>
      <c r="F208" s="1144" t="str">
        <f>'Required Info to Submit'!E25</f>
        <v/>
      </c>
      <c r="G208" s="1414" t="str">
        <f>IF(F208="","",'Required Info to Submit'!K25)</f>
        <v/>
      </c>
      <c r="H208" s="1415" t="str">
        <f>IF(F208="","",'Required Info to Submit'!L25)</f>
        <v/>
      </c>
      <c r="I208" s="1144" t="str">
        <f>'Required Info to Submit'!F25</f>
        <v/>
      </c>
      <c r="J208" s="1144" t="str">
        <f>'Required Info to Submit'!G25</f>
        <v/>
      </c>
      <c r="K208" s="1144" t="str">
        <f>'Required Info to Submit'!H25</f>
        <v/>
      </c>
      <c r="L208" s="1144" t="str">
        <f>'Required Info to Submit'!I25</f>
        <v/>
      </c>
      <c r="M208" s="1144" t="str">
        <f>'Required Info to Submit'!J25</f>
        <v/>
      </c>
      <c r="N208" s="1107"/>
      <c r="O208" s="1107"/>
      <c r="P208" s="1107"/>
      <c r="Q208" s="1108"/>
      <c r="R208" s="1107"/>
      <c r="S208" s="1107"/>
      <c r="T208" s="2008"/>
      <c r="U208" s="1154">
        <v>3</v>
      </c>
      <c r="V208" s="1144" t="s">
        <v>1872</v>
      </c>
      <c r="W208" s="1144" t="s">
        <v>1426</v>
      </c>
      <c r="X208" s="1153" t="str">
        <f>'Required Info to Submit'!E25</f>
        <v/>
      </c>
      <c r="Y208" s="1417" t="str">
        <f>IF(X208="","",'Required Info to Submit'!K25)</f>
        <v/>
      </c>
      <c r="Z208" s="1418" t="str">
        <f>IF(X208="","",'Required Info to Submit'!L25)</f>
        <v/>
      </c>
      <c r="AA208" s="1153" t="str">
        <f>'Required Info to Submit'!F25</f>
        <v/>
      </c>
      <c r="AB208" s="1153" t="str">
        <f>'Required Info to Submit'!G25</f>
        <v/>
      </c>
      <c r="AC208" s="1153" t="str">
        <f>'Required Info to Submit'!H25</f>
        <v/>
      </c>
      <c r="AD208" s="1153" t="str">
        <f>'Required Info to Submit'!I25</f>
        <v/>
      </c>
      <c r="AE208" s="1153" t="str">
        <f>'Required Info to Submit'!J25</f>
        <v/>
      </c>
      <c r="AF208" s="1107"/>
      <c r="AG208" s="1107"/>
      <c r="AH208" s="1107"/>
      <c r="AI208" s="1108"/>
      <c r="AJ208" s="1107"/>
      <c r="AK208" s="1107"/>
      <c r="AL208" s="1107"/>
      <c r="AM208" s="1107"/>
      <c r="AN208" s="1107"/>
      <c r="AO208" s="1107"/>
      <c r="AP208" s="1107"/>
      <c r="AQ208" s="1107"/>
      <c r="AR208" s="1107"/>
      <c r="AS208" s="1107"/>
      <c r="AT208" s="1107"/>
      <c r="AU208" s="1107"/>
      <c r="AV208" s="1107"/>
      <c r="AW208" s="1107"/>
      <c r="AX208" s="1107"/>
      <c r="AY208" s="1107"/>
      <c r="AZ208" s="1107"/>
      <c r="BA208" s="1107"/>
      <c r="BB208" s="1107"/>
      <c r="BC208" s="1107"/>
      <c r="BD208" s="1107"/>
      <c r="BE208" s="1107"/>
      <c r="BF208" s="1107"/>
      <c r="BG208" s="1107"/>
      <c r="BH208" s="1107"/>
      <c r="BI208" s="1107"/>
      <c r="BJ208" s="1107"/>
      <c r="BK208" s="1107"/>
      <c r="BL208" s="1107"/>
      <c r="BM208" s="1107"/>
      <c r="BN208" s="1107"/>
      <c r="BO208" s="1107"/>
      <c r="BP208" s="1107"/>
      <c r="BQ208" s="1107"/>
      <c r="BR208" s="1107"/>
      <c r="BS208" s="1107"/>
      <c r="BT208" s="1107"/>
      <c r="BU208" s="1107"/>
      <c r="BV208" s="1107"/>
      <c r="BW208" s="1107"/>
      <c r="BX208" s="1107"/>
      <c r="BY208" s="1107"/>
      <c r="BZ208" s="1107"/>
      <c r="CA208" s="1107"/>
      <c r="CB208" s="1107"/>
      <c r="CC208" s="1107"/>
      <c r="CD208" s="1107"/>
      <c r="CE208" s="1107"/>
      <c r="CF208" s="1107"/>
      <c r="CG208" s="1107"/>
      <c r="CH208" s="1107"/>
      <c r="CI208" s="1107"/>
      <c r="CJ208" s="1107"/>
      <c r="CK208" s="1107"/>
    </row>
    <row r="209" spans="1:89" x14ac:dyDescent="0.25">
      <c r="A209" s="1107"/>
      <c r="B209" s="2008"/>
      <c r="C209" s="1154">
        <v>4</v>
      </c>
      <c r="D209" s="1144" t="s">
        <v>1872</v>
      </c>
      <c r="E209" s="1144" t="s">
        <v>1426</v>
      </c>
      <c r="F209" s="1144" t="str">
        <f>'Required Info to Submit'!E26</f>
        <v/>
      </c>
      <c r="G209" s="1414" t="str">
        <f>IF(F209="","",'Required Info to Submit'!K26)</f>
        <v/>
      </c>
      <c r="H209" s="1415" t="str">
        <f>IF(F209="","",'Required Info to Submit'!L26)</f>
        <v/>
      </c>
      <c r="I209" s="1144" t="str">
        <f>'Required Info to Submit'!F26</f>
        <v/>
      </c>
      <c r="J209" s="1144" t="str">
        <f>'Required Info to Submit'!G26</f>
        <v/>
      </c>
      <c r="K209" s="1144" t="str">
        <f>'Required Info to Submit'!H26</f>
        <v/>
      </c>
      <c r="L209" s="1144" t="str">
        <f>'Required Info to Submit'!I26</f>
        <v/>
      </c>
      <c r="M209" s="1144" t="str">
        <f>'Required Info to Submit'!J26</f>
        <v/>
      </c>
      <c r="N209" s="1107"/>
      <c r="O209" s="1107"/>
      <c r="P209" s="1107"/>
      <c r="Q209" s="1108"/>
      <c r="R209" s="1107"/>
      <c r="S209" s="1107"/>
      <c r="T209" s="2008"/>
      <c r="U209" s="1154">
        <v>4</v>
      </c>
      <c r="V209" s="1144" t="s">
        <v>1872</v>
      </c>
      <c r="W209" s="1144" t="s">
        <v>1426</v>
      </c>
      <c r="X209" s="1153" t="str">
        <f>'Required Info to Submit'!E26</f>
        <v/>
      </c>
      <c r="Y209" s="1417" t="str">
        <f>IF(X209="","",'Required Info to Submit'!K26)</f>
        <v/>
      </c>
      <c r="Z209" s="1418" t="str">
        <f>IF(X209="","",'Required Info to Submit'!L26)</f>
        <v/>
      </c>
      <c r="AA209" s="1153" t="str">
        <f>'Required Info to Submit'!F26</f>
        <v/>
      </c>
      <c r="AB209" s="1153" t="str">
        <f>'Required Info to Submit'!G26</f>
        <v/>
      </c>
      <c r="AC209" s="1153" t="str">
        <f>'Required Info to Submit'!H26</f>
        <v/>
      </c>
      <c r="AD209" s="1153" t="str">
        <f>'Required Info to Submit'!I26</f>
        <v/>
      </c>
      <c r="AE209" s="1153" t="str">
        <f>'Required Info to Submit'!J26</f>
        <v/>
      </c>
      <c r="AF209" s="1107"/>
      <c r="AG209" s="1107"/>
      <c r="AH209" s="1107"/>
      <c r="AI209" s="1108"/>
      <c r="AJ209" s="1107"/>
      <c r="AK209" s="1107"/>
      <c r="AL209" s="1107"/>
      <c r="AM209" s="1107"/>
      <c r="AN209" s="1107"/>
      <c r="AO209" s="1107"/>
      <c r="AP209" s="1107"/>
      <c r="AQ209" s="1107"/>
      <c r="AR209" s="1107"/>
      <c r="AS209" s="1107"/>
      <c r="AT209" s="1107"/>
      <c r="AU209" s="1107"/>
      <c r="AV209" s="1107"/>
      <c r="AW209" s="1107"/>
      <c r="AX209" s="1107"/>
      <c r="AY209" s="1107"/>
      <c r="AZ209" s="1107"/>
      <c r="BA209" s="1107"/>
      <c r="BB209" s="1107"/>
      <c r="BC209" s="1107"/>
      <c r="BD209" s="1107"/>
      <c r="BE209" s="1107"/>
      <c r="BF209" s="1107"/>
      <c r="BG209" s="1107"/>
      <c r="BH209" s="1107"/>
      <c r="BI209" s="1107"/>
      <c r="BJ209" s="1107"/>
      <c r="BK209" s="1107"/>
      <c r="BL209" s="1107"/>
      <c r="BM209" s="1107"/>
      <c r="BN209" s="1107"/>
      <c r="BO209" s="1107"/>
      <c r="BP209" s="1107"/>
      <c r="BQ209" s="1107"/>
      <c r="BR209" s="1107"/>
      <c r="BS209" s="1107"/>
      <c r="BT209" s="1107"/>
      <c r="BU209" s="1107"/>
      <c r="BV209" s="1107"/>
      <c r="BW209" s="1107"/>
      <c r="BX209" s="1107"/>
      <c r="BY209" s="1107"/>
      <c r="BZ209" s="1107"/>
      <c r="CA209" s="1107"/>
      <c r="CB209" s="1107"/>
      <c r="CC209" s="1107"/>
      <c r="CD209" s="1107"/>
      <c r="CE209" s="1107"/>
      <c r="CF209" s="1107"/>
      <c r="CG209" s="1107"/>
      <c r="CH209" s="1107"/>
      <c r="CI209" s="1107"/>
      <c r="CJ209" s="1107"/>
      <c r="CK209" s="1107"/>
    </row>
    <row r="210" spans="1:89" x14ac:dyDescent="0.25">
      <c r="A210" s="1107"/>
      <c r="B210" s="2008"/>
      <c r="C210" s="1154">
        <v>5</v>
      </c>
      <c r="D210" s="1144" t="s">
        <v>1872</v>
      </c>
      <c r="E210" s="1144" t="s">
        <v>1426</v>
      </c>
      <c r="F210" s="1144" t="str">
        <f>'Required Info to Submit'!E27</f>
        <v/>
      </c>
      <c r="G210" s="1414" t="str">
        <f>IF(F210="","",'Required Info to Submit'!K27)</f>
        <v/>
      </c>
      <c r="H210" s="1415" t="str">
        <f>IF(F210="","",'Required Info to Submit'!L27)</f>
        <v/>
      </c>
      <c r="I210" s="1144" t="str">
        <f>'Required Info to Submit'!F27</f>
        <v/>
      </c>
      <c r="J210" s="1144" t="str">
        <f>'Required Info to Submit'!G27</f>
        <v/>
      </c>
      <c r="K210" s="1144" t="str">
        <f>'Required Info to Submit'!H27</f>
        <v/>
      </c>
      <c r="L210" s="1144" t="str">
        <f>'Required Info to Submit'!I27</f>
        <v/>
      </c>
      <c r="M210" s="1144" t="str">
        <f>'Required Info to Submit'!J27</f>
        <v/>
      </c>
      <c r="N210" s="1107"/>
      <c r="O210" s="1107"/>
      <c r="P210" s="1107"/>
      <c r="Q210" s="1108"/>
      <c r="R210" s="1107"/>
      <c r="S210" s="1107"/>
      <c r="T210" s="2008"/>
      <c r="U210" s="1154">
        <v>5</v>
      </c>
      <c r="V210" s="1144" t="s">
        <v>1872</v>
      </c>
      <c r="W210" s="1144" t="s">
        <v>1426</v>
      </c>
      <c r="X210" s="1153" t="str">
        <f>'Required Info to Submit'!E27</f>
        <v/>
      </c>
      <c r="Y210" s="1417" t="str">
        <f>IF(X210="","",'Required Info to Submit'!K27)</f>
        <v/>
      </c>
      <c r="Z210" s="1418" t="str">
        <f>IF(X210="","",'Required Info to Submit'!L27)</f>
        <v/>
      </c>
      <c r="AA210" s="1153" t="str">
        <f>'Required Info to Submit'!F27</f>
        <v/>
      </c>
      <c r="AB210" s="1153" t="str">
        <f>'Required Info to Submit'!G27</f>
        <v/>
      </c>
      <c r="AC210" s="1153" t="str">
        <f>'Required Info to Submit'!H27</f>
        <v/>
      </c>
      <c r="AD210" s="1153" t="str">
        <f>'Required Info to Submit'!I27</f>
        <v/>
      </c>
      <c r="AE210" s="1153" t="str">
        <f>'Required Info to Submit'!J27</f>
        <v/>
      </c>
      <c r="AF210" s="1107"/>
      <c r="AG210" s="1107"/>
      <c r="AH210" s="1107"/>
      <c r="AI210" s="1108"/>
      <c r="AJ210" s="1107"/>
      <c r="AK210" s="1107"/>
      <c r="AL210" s="1107"/>
      <c r="AM210" s="1107"/>
      <c r="AN210" s="1107"/>
      <c r="AO210" s="1107"/>
      <c r="AP210" s="1107"/>
      <c r="AQ210" s="1107"/>
      <c r="AR210" s="1107"/>
      <c r="AS210" s="1107"/>
      <c r="AT210" s="1107"/>
      <c r="AU210" s="1107"/>
      <c r="AV210" s="1107"/>
      <c r="AW210" s="1107"/>
      <c r="AX210" s="1107"/>
      <c r="AY210" s="1107"/>
      <c r="AZ210" s="1107"/>
      <c r="BA210" s="1107"/>
      <c r="BB210" s="1107"/>
      <c r="BC210" s="1107"/>
      <c r="BD210" s="1107"/>
      <c r="BE210" s="1107"/>
      <c r="BF210" s="1107"/>
      <c r="BG210" s="1107"/>
      <c r="BH210" s="1107"/>
      <c r="BI210" s="1107"/>
      <c r="BJ210" s="1107"/>
      <c r="BK210" s="1107"/>
      <c r="BL210" s="1107"/>
      <c r="BM210" s="1107"/>
      <c r="BN210" s="1107"/>
      <c r="BO210" s="1107"/>
      <c r="BP210" s="1107"/>
      <c r="BQ210" s="1107"/>
      <c r="BR210" s="1107"/>
      <c r="BS210" s="1107"/>
      <c r="BT210" s="1107"/>
      <c r="BU210" s="1107"/>
      <c r="BV210" s="1107"/>
      <c r="BW210" s="1107"/>
      <c r="BX210" s="1107"/>
      <c r="BY210" s="1107"/>
      <c r="BZ210" s="1107"/>
      <c r="CA210" s="1107"/>
      <c r="CB210" s="1107"/>
      <c r="CC210" s="1107"/>
      <c r="CD210" s="1107"/>
      <c r="CE210" s="1107"/>
      <c r="CF210" s="1107"/>
      <c r="CG210" s="1107"/>
      <c r="CH210" s="1107"/>
      <c r="CI210" s="1107"/>
      <c r="CJ210" s="1107"/>
      <c r="CK210" s="1107"/>
    </row>
    <row r="211" spans="1:89" x14ac:dyDescent="0.25">
      <c r="A211" s="1107"/>
      <c r="B211" s="2008"/>
      <c r="C211" s="1154">
        <v>6</v>
      </c>
      <c r="D211" s="1144" t="s">
        <v>1872</v>
      </c>
      <c r="E211" s="1144" t="s">
        <v>1426</v>
      </c>
      <c r="F211" s="1144" t="str">
        <f>'Required Info to Submit'!E28</f>
        <v/>
      </c>
      <c r="G211" s="1414" t="str">
        <f>IF(F211="","",'Required Info to Submit'!K28)</f>
        <v/>
      </c>
      <c r="H211" s="1415" t="str">
        <f>IF(F211="","",'Required Info to Submit'!L28)</f>
        <v/>
      </c>
      <c r="I211" s="1144" t="str">
        <f>'Required Info to Submit'!F28</f>
        <v/>
      </c>
      <c r="J211" s="1144" t="str">
        <f>'Required Info to Submit'!G28</f>
        <v/>
      </c>
      <c r="K211" s="1144" t="str">
        <f>'Required Info to Submit'!H28</f>
        <v/>
      </c>
      <c r="L211" s="1144" t="str">
        <f>'Required Info to Submit'!I28</f>
        <v/>
      </c>
      <c r="M211" s="1144" t="str">
        <f>'Required Info to Submit'!J28</f>
        <v/>
      </c>
      <c r="N211" s="1107"/>
      <c r="O211" s="1107"/>
      <c r="P211" s="1107"/>
      <c r="Q211" s="1108"/>
      <c r="R211" s="1107"/>
      <c r="S211" s="1107"/>
      <c r="T211" s="2008"/>
      <c r="U211" s="1154">
        <v>6</v>
      </c>
      <c r="V211" s="1144" t="s">
        <v>1872</v>
      </c>
      <c r="W211" s="1144" t="s">
        <v>1426</v>
      </c>
      <c r="X211" s="1153" t="str">
        <f>'Required Info to Submit'!E28</f>
        <v/>
      </c>
      <c r="Y211" s="1417" t="str">
        <f>IF(X211="","",'Required Info to Submit'!K28)</f>
        <v/>
      </c>
      <c r="Z211" s="1418" t="str">
        <f>IF(X211="","",'Required Info to Submit'!L28)</f>
        <v/>
      </c>
      <c r="AA211" s="1153" t="str">
        <f>'Required Info to Submit'!F28</f>
        <v/>
      </c>
      <c r="AB211" s="1153" t="str">
        <f>'Required Info to Submit'!G28</f>
        <v/>
      </c>
      <c r="AC211" s="1153" t="str">
        <f>'Required Info to Submit'!H28</f>
        <v/>
      </c>
      <c r="AD211" s="1153" t="str">
        <f>'Required Info to Submit'!I28</f>
        <v/>
      </c>
      <c r="AE211" s="1153" t="str">
        <f>'Required Info to Submit'!J28</f>
        <v/>
      </c>
      <c r="AF211" s="1107"/>
      <c r="AG211" s="1107"/>
      <c r="AH211" s="1107"/>
      <c r="AI211" s="1108"/>
      <c r="AJ211" s="1107"/>
      <c r="AK211" s="1107"/>
      <c r="AL211" s="1107"/>
      <c r="AM211" s="1107"/>
      <c r="AN211" s="1107"/>
      <c r="AO211" s="1107"/>
      <c r="AP211" s="1107"/>
      <c r="AQ211" s="1107"/>
      <c r="AR211" s="1107"/>
      <c r="AS211" s="1107"/>
      <c r="AT211" s="1107"/>
      <c r="AU211" s="1107"/>
      <c r="AV211" s="1107"/>
      <c r="AW211" s="1107"/>
      <c r="AX211" s="1107"/>
      <c r="AY211" s="1107"/>
      <c r="AZ211" s="1107"/>
      <c r="BA211" s="1107"/>
      <c r="BB211" s="1107"/>
      <c r="BC211" s="1107"/>
      <c r="BD211" s="1107"/>
      <c r="BE211" s="1107"/>
      <c r="BF211" s="1107"/>
      <c r="BG211" s="1107"/>
      <c r="BH211" s="1107"/>
      <c r="BI211" s="1107"/>
      <c r="BJ211" s="1107"/>
      <c r="BK211" s="1107"/>
      <c r="BL211" s="1107"/>
      <c r="BM211" s="1107"/>
      <c r="BN211" s="1107"/>
      <c r="BO211" s="1107"/>
      <c r="BP211" s="1107"/>
      <c r="BQ211" s="1107"/>
      <c r="BR211" s="1107"/>
      <c r="BS211" s="1107"/>
      <c r="BT211" s="1107"/>
      <c r="BU211" s="1107"/>
      <c r="BV211" s="1107"/>
      <c r="BW211" s="1107"/>
      <c r="BX211" s="1107"/>
      <c r="BY211" s="1107"/>
      <c r="BZ211" s="1107"/>
      <c r="CA211" s="1107"/>
      <c r="CB211" s="1107"/>
      <c r="CC211" s="1107"/>
      <c r="CD211" s="1107"/>
      <c r="CE211" s="1107"/>
      <c r="CF211" s="1107"/>
      <c r="CG211" s="1107"/>
      <c r="CH211" s="1107"/>
      <c r="CI211" s="1107"/>
      <c r="CJ211" s="1107"/>
      <c r="CK211" s="1107"/>
    </row>
    <row r="212" spans="1:89" x14ac:dyDescent="0.25">
      <c r="A212" s="1107"/>
      <c r="B212" s="2008"/>
      <c r="C212" s="1154">
        <v>7</v>
      </c>
      <c r="D212" s="1144" t="s">
        <v>1872</v>
      </c>
      <c r="E212" s="1144" t="s">
        <v>1426</v>
      </c>
      <c r="F212" s="1144" t="str">
        <f>'Required Info to Submit'!E29</f>
        <v/>
      </c>
      <c r="G212" s="1414" t="str">
        <f>IF(F212="","",'Required Info to Submit'!K29)</f>
        <v/>
      </c>
      <c r="H212" s="1415" t="str">
        <f>IF(F212="","",'Required Info to Submit'!L29)</f>
        <v/>
      </c>
      <c r="I212" s="1144" t="str">
        <f>'Required Info to Submit'!F29</f>
        <v/>
      </c>
      <c r="J212" s="1144" t="str">
        <f>'Required Info to Submit'!G29</f>
        <v/>
      </c>
      <c r="K212" s="1144" t="str">
        <f>'Required Info to Submit'!H29</f>
        <v/>
      </c>
      <c r="L212" s="1144" t="str">
        <f>'Required Info to Submit'!I29</f>
        <v/>
      </c>
      <c r="M212" s="1144" t="str">
        <f>'Required Info to Submit'!J29</f>
        <v/>
      </c>
      <c r="N212" s="1107"/>
      <c r="O212" s="1107"/>
      <c r="P212" s="1107"/>
      <c r="Q212" s="1108"/>
      <c r="R212" s="1107"/>
      <c r="S212" s="1107"/>
      <c r="T212" s="2008"/>
      <c r="U212" s="1154">
        <v>7</v>
      </c>
      <c r="V212" s="1144" t="s">
        <v>1872</v>
      </c>
      <c r="W212" s="1144" t="s">
        <v>1426</v>
      </c>
      <c r="X212" s="1153" t="str">
        <f>'Required Info to Submit'!E29</f>
        <v/>
      </c>
      <c r="Y212" s="1417" t="str">
        <f>IF(X212="","",'Required Info to Submit'!K29)</f>
        <v/>
      </c>
      <c r="Z212" s="1418" t="str">
        <f>IF(X212="","",'Required Info to Submit'!L29)</f>
        <v/>
      </c>
      <c r="AA212" s="1153" t="str">
        <f>'Required Info to Submit'!F29</f>
        <v/>
      </c>
      <c r="AB212" s="1153" t="str">
        <f>'Required Info to Submit'!G29</f>
        <v/>
      </c>
      <c r="AC212" s="1153" t="str">
        <f>'Required Info to Submit'!H29</f>
        <v/>
      </c>
      <c r="AD212" s="1153" t="str">
        <f>'Required Info to Submit'!I29</f>
        <v/>
      </c>
      <c r="AE212" s="1153" t="str">
        <f>'Required Info to Submit'!J29</f>
        <v/>
      </c>
      <c r="AF212" s="1107"/>
      <c r="AG212" s="1107"/>
      <c r="AH212" s="1107"/>
      <c r="AI212" s="1108"/>
      <c r="AJ212" s="1107"/>
      <c r="AK212" s="1107"/>
      <c r="AL212" s="1107"/>
      <c r="AM212" s="1107"/>
      <c r="AN212" s="1107"/>
      <c r="AO212" s="1107"/>
      <c r="AP212" s="1107"/>
      <c r="AQ212" s="1107"/>
      <c r="AR212" s="1107"/>
      <c r="AS212" s="1107"/>
      <c r="AT212" s="1107"/>
      <c r="AU212" s="1107"/>
      <c r="AV212" s="1107"/>
      <c r="AW212" s="1107"/>
      <c r="AX212" s="1107"/>
      <c r="AY212" s="1107"/>
      <c r="AZ212" s="1107"/>
      <c r="BA212" s="1107"/>
      <c r="BB212" s="1107"/>
      <c r="BC212" s="1107"/>
      <c r="BD212" s="1107"/>
      <c r="BE212" s="1107"/>
      <c r="BF212" s="1107"/>
      <c r="BG212" s="1107"/>
      <c r="BH212" s="1107"/>
      <c r="BI212" s="1107"/>
      <c r="BJ212" s="1107"/>
      <c r="BK212" s="1107"/>
      <c r="BL212" s="1107"/>
      <c r="BM212" s="1107"/>
      <c r="BN212" s="1107"/>
      <c r="BO212" s="1107"/>
      <c r="BP212" s="1107"/>
      <c r="BQ212" s="1107"/>
      <c r="BR212" s="1107"/>
      <c r="BS212" s="1107"/>
      <c r="BT212" s="1107"/>
      <c r="BU212" s="1107"/>
      <c r="BV212" s="1107"/>
      <c r="BW212" s="1107"/>
      <c r="BX212" s="1107"/>
      <c r="BY212" s="1107"/>
      <c r="BZ212" s="1107"/>
      <c r="CA212" s="1107"/>
      <c r="CB212" s="1107"/>
      <c r="CC212" s="1107"/>
      <c r="CD212" s="1107"/>
      <c r="CE212" s="1107"/>
      <c r="CF212" s="1107"/>
      <c r="CG212" s="1107"/>
      <c r="CH212" s="1107"/>
      <c r="CI212" s="1107"/>
      <c r="CJ212" s="1107"/>
      <c r="CK212" s="1107"/>
    </row>
    <row r="213" spans="1:89" x14ac:dyDescent="0.25">
      <c r="A213" s="1107"/>
      <c r="B213" s="2008"/>
      <c r="C213" s="1154">
        <v>8</v>
      </c>
      <c r="D213" s="1144" t="s">
        <v>1872</v>
      </c>
      <c r="E213" s="1144" t="s">
        <v>1426</v>
      </c>
      <c r="F213" s="1144" t="str">
        <f>'Required Info to Submit'!E30</f>
        <v/>
      </c>
      <c r="G213" s="1414" t="str">
        <f>IF(F213="","",'Required Info to Submit'!K30)</f>
        <v/>
      </c>
      <c r="H213" s="1415" t="str">
        <f>IF(F213="","",'Required Info to Submit'!L30)</f>
        <v/>
      </c>
      <c r="I213" s="1144" t="str">
        <f>'Required Info to Submit'!F30</f>
        <v/>
      </c>
      <c r="J213" s="1144" t="str">
        <f>'Required Info to Submit'!G30</f>
        <v/>
      </c>
      <c r="K213" s="1144" t="str">
        <f>'Required Info to Submit'!H30</f>
        <v/>
      </c>
      <c r="L213" s="1144" t="str">
        <f>'Required Info to Submit'!I30</f>
        <v/>
      </c>
      <c r="M213" s="1144" t="str">
        <f>'Required Info to Submit'!J30</f>
        <v/>
      </c>
      <c r="N213" s="1107"/>
      <c r="O213" s="1107"/>
      <c r="P213" s="1107"/>
      <c r="Q213" s="1108"/>
      <c r="R213" s="1107"/>
      <c r="S213" s="1107"/>
      <c r="T213" s="2008"/>
      <c r="U213" s="1154">
        <v>8</v>
      </c>
      <c r="V213" s="1144" t="s">
        <v>1872</v>
      </c>
      <c r="W213" s="1144" t="s">
        <v>1426</v>
      </c>
      <c r="X213" s="1153" t="str">
        <f>'Required Info to Submit'!E30</f>
        <v/>
      </c>
      <c r="Y213" s="1417" t="str">
        <f>IF(X213="","",'Required Info to Submit'!K30)</f>
        <v/>
      </c>
      <c r="Z213" s="1418" t="str">
        <f>IF(X213="","",'Required Info to Submit'!L30)</f>
        <v/>
      </c>
      <c r="AA213" s="1153" t="str">
        <f>'Required Info to Submit'!F30</f>
        <v/>
      </c>
      <c r="AB213" s="1153" t="str">
        <f>'Required Info to Submit'!G30</f>
        <v/>
      </c>
      <c r="AC213" s="1153" t="str">
        <f>'Required Info to Submit'!H30</f>
        <v/>
      </c>
      <c r="AD213" s="1153" t="str">
        <f>'Required Info to Submit'!I30</f>
        <v/>
      </c>
      <c r="AE213" s="1153" t="str">
        <f>'Required Info to Submit'!J30</f>
        <v/>
      </c>
      <c r="AF213" s="1107"/>
      <c r="AG213" s="1107"/>
      <c r="AH213" s="1107"/>
      <c r="AI213" s="1108"/>
      <c r="AJ213" s="1107"/>
      <c r="AK213" s="1107"/>
      <c r="AL213" s="1107"/>
      <c r="AM213" s="1107"/>
      <c r="AN213" s="1107"/>
      <c r="AO213" s="1107"/>
      <c r="AP213" s="1107"/>
      <c r="AQ213" s="1107"/>
      <c r="AR213" s="1107"/>
      <c r="AS213" s="1107"/>
      <c r="AT213" s="1107"/>
      <c r="AU213" s="1107"/>
      <c r="AV213" s="1107"/>
      <c r="AW213" s="1107"/>
      <c r="AX213" s="1107"/>
      <c r="AY213" s="1107"/>
      <c r="AZ213" s="1107"/>
      <c r="BA213" s="1107"/>
      <c r="BB213" s="1107"/>
      <c r="BC213" s="1107"/>
      <c r="BD213" s="1107"/>
      <c r="BE213" s="1107"/>
      <c r="BF213" s="1107"/>
      <c r="BG213" s="1107"/>
      <c r="BH213" s="1107"/>
      <c r="BI213" s="1107"/>
      <c r="BJ213" s="1107"/>
      <c r="BK213" s="1107"/>
      <c r="BL213" s="1107"/>
      <c r="BM213" s="1107"/>
      <c r="BN213" s="1107"/>
      <c r="BO213" s="1107"/>
      <c r="BP213" s="1107"/>
      <c r="BQ213" s="1107"/>
      <c r="BR213" s="1107"/>
      <c r="BS213" s="1107"/>
      <c r="BT213" s="1107"/>
      <c r="BU213" s="1107"/>
      <c r="BV213" s="1107"/>
      <c r="BW213" s="1107"/>
      <c r="BX213" s="1107"/>
      <c r="BY213" s="1107"/>
      <c r="BZ213" s="1107"/>
      <c r="CA213" s="1107"/>
      <c r="CB213" s="1107"/>
      <c r="CC213" s="1107"/>
      <c r="CD213" s="1107"/>
      <c r="CE213" s="1107"/>
      <c r="CF213" s="1107"/>
      <c r="CG213" s="1107"/>
      <c r="CH213" s="1107"/>
      <c r="CI213" s="1107"/>
      <c r="CJ213" s="1107"/>
      <c r="CK213" s="1107"/>
    </row>
    <row r="214" spans="1:89" x14ac:dyDescent="0.25">
      <c r="A214" s="1107"/>
      <c r="B214" s="2008"/>
      <c r="C214" s="1154">
        <v>9</v>
      </c>
      <c r="D214" s="1144" t="s">
        <v>1872</v>
      </c>
      <c r="E214" s="1144" t="s">
        <v>1426</v>
      </c>
      <c r="F214" s="1144" t="str">
        <f>'Required Info to Submit'!E31</f>
        <v/>
      </c>
      <c r="G214" s="1414" t="str">
        <f>IF(F214="","",'Required Info to Submit'!K31)</f>
        <v/>
      </c>
      <c r="H214" s="1415" t="str">
        <f>IF(F214="","",'Required Info to Submit'!L31)</f>
        <v/>
      </c>
      <c r="I214" s="1144" t="str">
        <f>'Required Info to Submit'!F31</f>
        <v/>
      </c>
      <c r="J214" s="1144" t="str">
        <f>'Required Info to Submit'!G31</f>
        <v/>
      </c>
      <c r="K214" s="1144" t="str">
        <f>'Required Info to Submit'!H31</f>
        <v/>
      </c>
      <c r="L214" s="1144" t="str">
        <f>'Required Info to Submit'!I31</f>
        <v/>
      </c>
      <c r="M214" s="1144" t="str">
        <f>'Required Info to Submit'!J31</f>
        <v/>
      </c>
      <c r="N214" s="1107"/>
      <c r="O214" s="1107"/>
      <c r="P214" s="1107"/>
      <c r="Q214" s="1108"/>
      <c r="R214" s="1107"/>
      <c r="S214" s="1107"/>
      <c r="T214" s="2008"/>
      <c r="U214" s="1154">
        <v>9</v>
      </c>
      <c r="V214" s="1144" t="s">
        <v>1872</v>
      </c>
      <c r="W214" s="1144" t="s">
        <v>1426</v>
      </c>
      <c r="X214" s="1153" t="str">
        <f>'Required Info to Submit'!E31</f>
        <v/>
      </c>
      <c r="Y214" s="1417" t="str">
        <f>IF(X214="","",'Required Info to Submit'!K31)</f>
        <v/>
      </c>
      <c r="Z214" s="1418" t="str">
        <f>IF(X214="","",'Required Info to Submit'!L31)</f>
        <v/>
      </c>
      <c r="AA214" s="1153" t="str">
        <f>'Required Info to Submit'!F31</f>
        <v/>
      </c>
      <c r="AB214" s="1153" t="str">
        <f>'Required Info to Submit'!G31</f>
        <v/>
      </c>
      <c r="AC214" s="1153" t="str">
        <f>'Required Info to Submit'!H31</f>
        <v/>
      </c>
      <c r="AD214" s="1153" t="str">
        <f>'Required Info to Submit'!I31</f>
        <v/>
      </c>
      <c r="AE214" s="1153" t="str">
        <f>'Required Info to Submit'!J31</f>
        <v/>
      </c>
      <c r="AF214" s="1107"/>
      <c r="AG214" s="1107"/>
      <c r="AH214" s="1107"/>
      <c r="AI214" s="1108"/>
      <c r="AJ214" s="1107"/>
      <c r="AK214" s="1107"/>
      <c r="AL214" s="1107"/>
      <c r="AM214" s="1107"/>
      <c r="AN214" s="1107"/>
      <c r="AO214" s="1107"/>
      <c r="AP214" s="1107"/>
      <c r="AQ214" s="1107"/>
      <c r="AR214" s="1107"/>
      <c r="AS214" s="1107"/>
      <c r="AT214" s="1107"/>
      <c r="AU214" s="1107"/>
      <c r="AV214" s="1107"/>
      <c r="AW214" s="1107"/>
      <c r="AX214" s="1107"/>
      <c r="AY214" s="1107"/>
      <c r="AZ214" s="1107"/>
      <c r="BA214" s="1107"/>
      <c r="BB214" s="1107"/>
      <c r="BC214" s="1107"/>
      <c r="BD214" s="1107"/>
      <c r="BE214" s="1107"/>
      <c r="BF214" s="1107"/>
      <c r="BG214" s="1107"/>
      <c r="BH214" s="1107"/>
      <c r="BI214" s="1107"/>
      <c r="BJ214" s="1107"/>
      <c r="BK214" s="1107"/>
      <c r="BL214" s="1107"/>
      <c r="BM214" s="1107"/>
      <c r="BN214" s="1107"/>
      <c r="BO214" s="1107"/>
      <c r="BP214" s="1107"/>
      <c r="BQ214" s="1107"/>
      <c r="BR214" s="1107"/>
      <c r="BS214" s="1107"/>
      <c r="BT214" s="1107"/>
      <c r="BU214" s="1107"/>
      <c r="BV214" s="1107"/>
      <c r="BW214" s="1107"/>
      <c r="BX214" s="1107"/>
      <c r="BY214" s="1107"/>
      <c r="BZ214" s="1107"/>
      <c r="CA214" s="1107"/>
      <c r="CB214" s="1107"/>
      <c r="CC214" s="1107"/>
      <c r="CD214" s="1107"/>
      <c r="CE214" s="1107"/>
      <c r="CF214" s="1107"/>
      <c r="CG214" s="1107"/>
      <c r="CH214" s="1107"/>
      <c r="CI214" s="1107"/>
      <c r="CJ214" s="1107"/>
      <c r="CK214" s="1107"/>
    </row>
    <row r="215" spans="1:89" ht="15.75" thickBot="1" x14ac:dyDescent="0.3">
      <c r="A215" s="1107"/>
      <c r="B215" s="2009"/>
      <c r="C215" s="1156">
        <v>10</v>
      </c>
      <c r="D215" s="1146" t="s">
        <v>1872</v>
      </c>
      <c r="E215" s="1146" t="s">
        <v>1426</v>
      </c>
      <c r="F215" s="1146" t="str">
        <f>'Required Info to Submit'!E32</f>
        <v/>
      </c>
      <c r="G215" s="1416" t="str">
        <f>IF(F215="","",'Required Info to Submit'!K32)</f>
        <v/>
      </c>
      <c r="H215" s="1416" t="str">
        <f>IF(F215="","",'Required Info to Submit'!L32)</f>
        <v/>
      </c>
      <c r="I215" s="1146" t="str">
        <f>'Required Info to Submit'!F32</f>
        <v/>
      </c>
      <c r="J215" s="1146" t="str">
        <f>'Required Info to Submit'!G32</f>
        <v/>
      </c>
      <c r="K215" s="1146" t="str">
        <f>'Required Info to Submit'!H32</f>
        <v/>
      </c>
      <c r="L215" s="1146" t="str">
        <f>'Required Info to Submit'!I32</f>
        <v/>
      </c>
      <c r="M215" s="1146" t="str">
        <f>'Required Info to Submit'!J32</f>
        <v/>
      </c>
      <c r="N215" s="1157"/>
      <c r="O215" s="1157"/>
      <c r="P215" s="1157"/>
      <c r="Q215" s="1110"/>
      <c r="R215" s="1107"/>
      <c r="S215" s="1107"/>
      <c r="T215" s="2009"/>
      <c r="U215" s="1156">
        <v>10</v>
      </c>
      <c r="V215" s="1146" t="s">
        <v>1872</v>
      </c>
      <c r="W215" s="1146" t="s">
        <v>1426</v>
      </c>
      <c r="X215" s="1159" t="str">
        <f>'Required Info to Submit'!E32</f>
        <v/>
      </c>
      <c r="Y215" s="1419" t="str">
        <f>IF(X215="","",'Required Info to Submit'!K32)</f>
        <v/>
      </c>
      <c r="Z215" s="1419" t="str">
        <f>IF(X215="","",'Required Info to Submit'!L32)</f>
        <v/>
      </c>
      <c r="AA215" s="1159" t="str">
        <f>'Required Info to Submit'!F32</f>
        <v/>
      </c>
      <c r="AB215" s="1159" t="str">
        <f>'Required Info to Submit'!G32</f>
        <v/>
      </c>
      <c r="AC215" s="1159" t="str">
        <f>'Required Info to Submit'!H32</f>
        <v/>
      </c>
      <c r="AD215" s="1159" t="str">
        <f>'Required Info to Submit'!I32</f>
        <v/>
      </c>
      <c r="AE215" s="1159" t="str">
        <f>'Required Info to Submit'!J32</f>
        <v/>
      </c>
      <c r="AF215" s="1157"/>
      <c r="AG215" s="1157"/>
      <c r="AH215" s="1157"/>
      <c r="AI215" s="1110"/>
      <c r="AJ215" s="1107"/>
      <c r="AK215" s="1107"/>
      <c r="AL215" s="1107"/>
      <c r="AM215" s="1107"/>
      <c r="AN215" s="1107"/>
      <c r="AO215" s="1107"/>
      <c r="AP215" s="1107"/>
      <c r="AQ215" s="1107"/>
      <c r="AR215" s="1107"/>
      <c r="AS215" s="1107"/>
      <c r="AT215" s="1107"/>
      <c r="AU215" s="1107"/>
      <c r="AV215" s="1107"/>
      <c r="AW215" s="1107"/>
      <c r="AX215" s="1107"/>
      <c r="AY215" s="1107"/>
      <c r="AZ215" s="1107"/>
      <c r="BA215" s="1107"/>
      <c r="BB215" s="1107"/>
      <c r="BC215" s="1107"/>
      <c r="BD215" s="1107"/>
      <c r="BE215" s="1107"/>
      <c r="BF215" s="1107"/>
      <c r="BG215" s="1107"/>
      <c r="BH215" s="1107"/>
      <c r="BI215" s="1107"/>
      <c r="BJ215" s="1107"/>
      <c r="BK215" s="1107"/>
      <c r="BL215" s="1107"/>
      <c r="BM215" s="1107"/>
      <c r="BN215" s="1107"/>
      <c r="BO215" s="1107"/>
      <c r="BP215" s="1107"/>
      <c r="BQ215" s="1107"/>
      <c r="BR215" s="1107"/>
      <c r="BS215" s="1107"/>
      <c r="BT215" s="1107"/>
      <c r="BU215" s="1107"/>
      <c r="BV215" s="1107"/>
      <c r="BW215" s="1107"/>
      <c r="BX215" s="1107"/>
      <c r="BY215" s="1107"/>
      <c r="BZ215" s="1107"/>
      <c r="CA215" s="1107"/>
      <c r="CB215" s="1107"/>
      <c r="CC215" s="1107"/>
      <c r="CD215" s="1107"/>
      <c r="CE215" s="1107"/>
      <c r="CF215" s="1107"/>
      <c r="CG215" s="1107"/>
      <c r="CH215" s="1107"/>
      <c r="CI215" s="1107"/>
      <c r="CJ215" s="1107"/>
      <c r="CK215" s="1107"/>
    </row>
    <row r="216" spans="1:89" x14ac:dyDescent="0.25">
      <c r="A216" s="1107"/>
      <c r="B216" s="1107"/>
      <c r="C216" s="1107"/>
      <c r="D216" s="1107"/>
      <c r="E216" s="1107"/>
      <c r="F216" s="1107"/>
      <c r="G216" s="1107"/>
      <c r="H216" s="1107"/>
      <c r="I216" s="1107"/>
      <c r="J216" s="1107"/>
      <c r="K216" s="1107"/>
      <c r="L216" s="1107"/>
      <c r="M216" s="1107"/>
      <c r="N216" s="1107"/>
      <c r="O216" s="1107"/>
      <c r="P216" s="1107"/>
      <c r="Q216" s="1107"/>
      <c r="R216" s="1107"/>
      <c r="S216" s="1107"/>
      <c r="T216" s="1107"/>
      <c r="U216" s="1107"/>
      <c r="V216" s="1107"/>
      <c r="W216" s="1107"/>
      <c r="X216" s="1107"/>
      <c r="Y216" s="1107"/>
      <c r="Z216" s="1107"/>
      <c r="AA216" s="1107"/>
      <c r="AB216" s="1107"/>
      <c r="AC216" s="1107"/>
      <c r="AD216" s="1107"/>
      <c r="AE216" s="1107"/>
      <c r="AF216" s="1107"/>
      <c r="AG216" s="1107"/>
      <c r="AH216" s="1107"/>
      <c r="AI216" s="1107"/>
      <c r="AJ216" s="1107"/>
      <c r="AK216" s="1107"/>
      <c r="AL216" s="1107"/>
      <c r="AM216" s="1107"/>
      <c r="AN216" s="1107"/>
      <c r="AO216" s="1107"/>
      <c r="AP216" s="1107"/>
      <c r="AQ216" s="1107"/>
      <c r="AR216" s="1107"/>
      <c r="AS216" s="1107"/>
      <c r="AT216" s="1107"/>
      <c r="AU216" s="1107"/>
      <c r="AV216" s="1107"/>
      <c r="AW216" s="1107"/>
      <c r="AX216" s="1107"/>
      <c r="AY216" s="1107"/>
      <c r="AZ216" s="1107"/>
      <c r="BA216" s="1107"/>
      <c r="BB216" s="1107"/>
      <c r="BC216" s="1107"/>
      <c r="BD216" s="1107"/>
      <c r="BE216" s="1107"/>
      <c r="BF216" s="1107"/>
      <c r="BG216" s="1107"/>
      <c r="BH216" s="1107"/>
      <c r="BI216" s="1107"/>
      <c r="BJ216" s="1107"/>
      <c r="BK216" s="1107"/>
      <c r="BL216" s="1107"/>
      <c r="BM216" s="1107"/>
      <c r="BN216" s="1107"/>
      <c r="BO216" s="1107"/>
      <c r="BP216" s="1107"/>
      <c r="BQ216" s="1107"/>
      <c r="BR216" s="1107"/>
      <c r="BS216" s="1107"/>
      <c r="BT216" s="1107"/>
      <c r="BU216" s="1107"/>
      <c r="BV216" s="1107"/>
      <c r="BW216" s="1107"/>
      <c r="BX216" s="1107"/>
      <c r="BY216" s="1107"/>
      <c r="BZ216" s="1107"/>
      <c r="CA216" s="1107"/>
      <c r="CB216" s="1107"/>
      <c r="CC216" s="1107"/>
      <c r="CD216" s="1107"/>
      <c r="CE216" s="1107"/>
      <c r="CF216" s="1107"/>
      <c r="CG216" s="1107"/>
      <c r="CH216" s="1107"/>
      <c r="CI216" s="1107"/>
      <c r="CJ216" s="1107"/>
      <c r="CK216" s="1107"/>
    </row>
    <row r="217" spans="1:89" ht="39" customHeight="1" thickBot="1" x14ac:dyDescent="0.3">
      <c r="A217" s="1107"/>
      <c r="B217" s="1107"/>
      <c r="C217" s="1107"/>
      <c r="D217" s="1107"/>
      <c r="E217" s="1107"/>
      <c r="F217" s="1107"/>
      <c r="G217" s="1107"/>
      <c r="H217" s="1107"/>
      <c r="I217" s="1107"/>
      <c r="J217" s="1107"/>
      <c r="K217" s="1107"/>
      <c r="L217" s="1107"/>
      <c r="M217" s="1107"/>
      <c r="N217" s="1107"/>
      <c r="O217" s="1107"/>
      <c r="P217" s="1107"/>
      <c r="Q217" s="1107"/>
      <c r="R217" s="1107"/>
      <c r="S217" s="1107"/>
      <c r="T217" s="1107"/>
      <c r="U217" s="1107"/>
      <c r="V217" s="1107"/>
      <c r="W217" s="1107"/>
      <c r="X217" s="1107"/>
      <c r="Y217" s="1107"/>
      <c r="Z217" s="1107"/>
      <c r="AA217" s="1107"/>
      <c r="AB217" s="1107"/>
      <c r="AC217" s="1107"/>
      <c r="AD217" s="1107"/>
      <c r="AE217" s="1107"/>
      <c r="AF217" s="1107"/>
      <c r="AG217" s="1107"/>
      <c r="AH217" s="1107"/>
      <c r="AI217" s="1107"/>
      <c r="AJ217" s="1107"/>
      <c r="AK217" s="1107"/>
      <c r="AL217" s="1107"/>
      <c r="AM217" s="1107"/>
      <c r="AN217" s="1107"/>
      <c r="AO217" s="1107"/>
      <c r="AP217" s="1107"/>
      <c r="AQ217" s="1107"/>
      <c r="AR217" s="1107"/>
      <c r="AS217" s="1107"/>
      <c r="AT217" s="1107"/>
      <c r="AU217" s="1107"/>
      <c r="AV217" s="1107"/>
      <c r="AW217" s="1107"/>
      <c r="AX217" s="1107"/>
      <c r="AY217" s="1107"/>
      <c r="AZ217" s="1107"/>
      <c r="BA217" s="1107"/>
      <c r="BB217" s="1107"/>
      <c r="BC217" s="1107"/>
      <c r="BD217" s="1107"/>
      <c r="BE217" s="1107"/>
      <c r="BF217" s="1107"/>
      <c r="BG217" s="1107"/>
      <c r="BH217" s="1107"/>
      <c r="BI217" s="1107"/>
      <c r="BJ217" s="1107"/>
      <c r="BK217" s="1107"/>
      <c r="BL217" s="1107"/>
      <c r="BM217" s="1107"/>
      <c r="BN217" s="1107"/>
      <c r="BO217" s="1107"/>
      <c r="BP217" s="1107"/>
      <c r="BQ217" s="1107"/>
      <c r="BR217" s="1107"/>
      <c r="BS217" s="1107"/>
      <c r="BT217" s="1107"/>
      <c r="BU217" s="1107"/>
      <c r="BV217" s="1107"/>
      <c r="BW217" s="1107"/>
      <c r="BX217" s="1107"/>
      <c r="BY217" s="1107"/>
      <c r="BZ217" s="1107"/>
      <c r="CA217" s="1107"/>
      <c r="CB217" s="1107"/>
      <c r="CC217" s="1107"/>
      <c r="CD217" s="1107"/>
      <c r="CE217" s="1107"/>
      <c r="CF217" s="1107"/>
      <c r="CG217" s="1107"/>
      <c r="CH217" s="1107"/>
      <c r="CI217" s="1107"/>
      <c r="CJ217" s="1107"/>
      <c r="CK217" s="1107"/>
    </row>
    <row r="218" spans="1:89" ht="72" customHeight="1" thickBot="1" x14ac:dyDescent="0.3">
      <c r="A218" s="1107"/>
      <c r="B218" s="1303"/>
      <c r="C218" s="1100" t="s">
        <v>1383</v>
      </c>
      <c r="D218" s="1100" t="s">
        <v>1491</v>
      </c>
      <c r="E218" s="1100" t="s">
        <v>766</v>
      </c>
      <c r="F218" s="1100" t="s">
        <v>1496</v>
      </c>
      <c r="G218" s="1100" t="s">
        <v>1849</v>
      </c>
      <c r="H218" s="1101" t="s">
        <v>1850</v>
      </c>
      <c r="I218" s="1101" t="s">
        <v>1851</v>
      </c>
      <c r="J218" s="1100" t="s">
        <v>1873</v>
      </c>
      <c r="K218" s="1100" t="s">
        <v>1852</v>
      </c>
      <c r="L218" s="1101" t="s">
        <v>1397</v>
      </c>
      <c r="M218" s="1101" t="s">
        <v>1381</v>
      </c>
      <c r="N218" s="1100" t="s">
        <v>1382</v>
      </c>
      <c r="O218" s="1101" t="s">
        <v>721</v>
      </c>
      <c r="P218" s="1101" t="s">
        <v>722</v>
      </c>
      <c r="Q218" s="1101" t="s">
        <v>1495</v>
      </c>
      <c r="R218" s="1107"/>
      <c r="S218" s="1107"/>
      <c r="T218" s="1303"/>
      <c r="U218" s="1100" t="s">
        <v>1383</v>
      </c>
      <c r="V218" s="1100" t="s">
        <v>1491</v>
      </c>
      <c r="W218" s="1100" t="s">
        <v>766</v>
      </c>
      <c r="X218" s="1100" t="s">
        <v>1496</v>
      </c>
      <c r="Y218" s="1100" t="s">
        <v>1849</v>
      </c>
      <c r="Z218" s="1101" t="s">
        <v>1850</v>
      </c>
      <c r="AA218" s="1101" t="s">
        <v>1851</v>
      </c>
      <c r="AB218" s="1100" t="s">
        <v>1873</v>
      </c>
      <c r="AC218" s="1100" t="s">
        <v>1852</v>
      </c>
      <c r="AD218" s="1101" t="s">
        <v>1397</v>
      </c>
      <c r="AE218" s="1101" t="s">
        <v>1381</v>
      </c>
      <c r="AF218" s="1100" t="s">
        <v>1382</v>
      </c>
      <c r="AG218" s="1100" t="s">
        <v>721</v>
      </c>
      <c r="AH218" s="1100" t="s">
        <v>722</v>
      </c>
      <c r="AI218" s="1101" t="s">
        <v>1495</v>
      </c>
      <c r="AJ218" s="1107"/>
      <c r="AK218" s="1107"/>
      <c r="AL218" s="1303"/>
      <c r="AM218" s="1100" t="s">
        <v>1383</v>
      </c>
      <c r="AN218" s="1100" t="s">
        <v>1491</v>
      </c>
      <c r="AO218" s="1100" t="s">
        <v>766</v>
      </c>
      <c r="AP218" s="1100" t="s">
        <v>1496</v>
      </c>
      <c r="AQ218" s="1100" t="s">
        <v>1849</v>
      </c>
      <c r="AR218" s="1101" t="s">
        <v>1850</v>
      </c>
      <c r="AS218" s="1101" t="s">
        <v>1851</v>
      </c>
      <c r="AT218" s="1100" t="s">
        <v>1873</v>
      </c>
      <c r="AU218" s="1100" t="s">
        <v>1852</v>
      </c>
      <c r="AV218" s="1101" t="s">
        <v>1397</v>
      </c>
      <c r="AW218" s="1101" t="s">
        <v>1381</v>
      </c>
      <c r="AX218" s="1100" t="s">
        <v>1382</v>
      </c>
      <c r="AY218" s="1100" t="s">
        <v>721</v>
      </c>
      <c r="AZ218" s="1100" t="s">
        <v>722</v>
      </c>
      <c r="BA218" s="1101" t="s">
        <v>1495</v>
      </c>
      <c r="BB218" s="1107"/>
      <c r="BC218" s="1303"/>
      <c r="BD218" s="1100" t="s">
        <v>1383</v>
      </c>
      <c r="BE218" s="1100" t="s">
        <v>1491</v>
      </c>
      <c r="BF218" s="1100" t="s">
        <v>766</v>
      </c>
      <c r="BG218" s="1100" t="s">
        <v>1496</v>
      </c>
      <c r="BH218" s="1100" t="s">
        <v>1849</v>
      </c>
      <c r="BI218" s="1101" t="s">
        <v>1850</v>
      </c>
      <c r="BJ218" s="1101" t="s">
        <v>1851</v>
      </c>
      <c r="BK218" s="1100" t="s">
        <v>1873</v>
      </c>
      <c r="BL218" s="1100" t="s">
        <v>1852</v>
      </c>
      <c r="BM218" s="1101" t="s">
        <v>1397</v>
      </c>
      <c r="BN218" s="1101" t="s">
        <v>1381</v>
      </c>
      <c r="BO218" s="1100" t="s">
        <v>1382</v>
      </c>
      <c r="BP218" s="1100" t="s">
        <v>721</v>
      </c>
      <c r="BQ218" s="1100" t="s">
        <v>722</v>
      </c>
      <c r="BR218" s="1101" t="s">
        <v>1495</v>
      </c>
      <c r="BS218" s="1107"/>
      <c r="BT218" s="1303"/>
      <c r="BU218" s="1100" t="s">
        <v>1383</v>
      </c>
      <c r="BV218" s="1100" t="s">
        <v>1491</v>
      </c>
      <c r="BW218" s="1100" t="s">
        <v>766</v>
      </c>
      <c r="BX218" s="1100" t="s">
        <v>1496</v>
      </c>
      <c r="BY218" s="1100" t="s">
        <v>1849</v>
      </c>
      <c r="BZ218" s="1101" t="s">
        <v>1850</v>
      </c>
      <c r="CA218" s="1101" t="s">
        <v>1851</v>
      </c>
      <c r="CB218" s="1100" t="s">
        <v>1873</v>
      </c>
      <c r="CC218" s="1100" t="s">
        <v>1852</v>
      </c>
      <c r="CD218" s="1101" t="s">
        <v>1397</v>
      </c>
      <c r="CE218" s="1101" t="s">
        <v>1381</v>
      </c>
      <c r="CF218" s="1100" t="s">
        <v>1382</v>
      </c>
      <c r="CG218" s="1100" t="s">
        <v>721</v>
      </c>
      <c r="CH218" s="1100" t="s">
        <v>722</v>
      </c>
      <c r="CI218" s="1101" t="s">
        <v>1495</v>
      </c>
      <c r="CJ218" s="1107"/>
      <c r="CK218" s="1107"/>
    </row>
    <row r="219" spans="1:89" ht="63" customHeight="1" thickBot="1" x14ac:dyDescent="0.3">
      <c r="A219" s="1107"/>
      <c r="B219" s="1132" t="s">
        <v>1853</v>
      </c>
      <c r="C219" s="1133" t="s">
        <v>1539</v>
      </c>
      <c r="D219" s="1134">
        <v>1301</v>
      </c>
      <c r="E219" s="1104" t="s">
        <v>1892</v>
      </c>
      <c r="F219" s="1104" t="s">
        <v>1497</v>
      </c>
      <c r="G219" s="1102" t="str" cm="1">
        <f t="array" aca="1" ref="G219" ca="1">INDIRECT("'Incentives Worksheet'!P"&amp;'Configurable Tab'!H19+3)</f>
        <v>Same as Payout Cycle</v>
      </c>
      <c r="H219" s="1102" t="str" cm="1">
        <f t="array" aca="1" ref="H219" ca="1">IF(ISBLANK(INDIRECT("'Incentives Worksheet'!H"&amp;'Configurable Tab'!H19+3)),"",INDIRECT("'Incentives Worksheet'!H"&amp;'Configurable Tab'!H19+3))</f>
        <v/>
      </c>
      <c r="I219" s="1102" t="str" cm="1">
        <f t="array" aca="1" ref="I219" ca="1">IF(INDIRECT("'Incentives Worksheet'!R"&amp;'Configurable Tab'!H19+3)="USF Calendar","Fiscal",INDIRECT("'Incentives Worksheet'!R"&amp;'Configurable Tab'!H19+3))</f>
        <v>Fiscal</v>
      </c>
      <c r="J219" s="1102" t="str" cm="1">
        <f t="array" aca="1" ref="J219" ca="1">IF(INDIRECT("'Incentives Worksheet'!L"&amp;'Configurable Tab'!H19+9)="All"," Select All Products","Unselect All Products")</f>
        <v xml:space="preserve"> Select All Products</v>
      </c>
      <c r="K219" s="1102" t="str" cm="1">
        <f t="array" aca="1" ref="K219" ca="1">IF(INDIRECT("'Incentives Worksheet'!T"&amp;'Configurable Tab'!H19+3)="Yes","Post to GL","")</f>
        <v/>
      </c>
      <c r="L219" s="1102" t="str" cm="1">
        <f t="array" aca="1" ref="L219" ca="1">IF(ISBLANK(INDIRECT("'Incentives Worksheet'!L"&amp;'Configurable Tab'!H19+3)),"",INDIRECT("'Incentives Worksheet'!L"&amp;'Configurable Tab'!H19+3))</f>
        <v/>
      </c>
      <c r="M219" s="1102" t="str" cm="1">
        <f t="array" aca="1" ref="M219" ca="1">IF(ISBLANK(INDIRECT("'Incentives Worksheet'!J"&amp;'Configurable Tab'!H19+3)),"",INDIRECT("'Incentives Worksheet'!J"&amp;'Configurable Tab'!H19+3))</f>
        <v/>
      </c>
      <c r="N219" s="1102" t="str" cm="1">
        <f t="array" aca="1" ref="N219" ca="1">IF(ISBLANK(INDIRECT("'Incentives Worksheet'!N"&amp;'Configurable Tab'!H19+3)),"",INDIRECT("'Incentives Worksheet'!N"&amp;'Configurable Tab'!H19+3))</f>
        <v/>
      </c>
      <c r="O219" s="1103" t="str" cm="1">
        <f t="array" aca="1" ref="O219" ca="1">INDIRECT("'Incentives Worksheet'!D"&amp;'Configurable Tab'!H19+6)</f>
        <v/>
      </c>
      <c r="P219" s="1103" t="str" cm="1">
        <f t="array" aca="1" ref="P219" ca="1">INDIRECT("'Incentives Worksheet'!D"&amp;'Configurable Tab'!H19+8)</f>
        <v/>
      </c>
      <c r="Q219" s="1102" t="str" cm="1">
        <f t="array" aca="1" ref="Q219" ca="1">IF(INDIRECT("'Incentives Worksheet'!D"&amp;'Configurable Tab'!H19+10)="No","Update tracking dates",INDIRECT("'Incentives Worksheet'!D"&amp;'Configurable Tab'!H19+10))</f>
        <v>Update tracking dates</v>
      </c>
      <c r="R219" s="1107"/>
      <c r="S219" s="1107"/>
      <c r="T219" s="1132" t="s">
        <v>1853</v>
      </c>
      <c r="U219" s="1133" t="s">
        <v>1539</v>
      </c>
      <c r="V219" s="1134">
        <v>1302</v>
      </c>
      <c r="W219" s="1104" t="s">
        <v>1892</v>
      </c>
      <c r="X219" s="1104" t="s">
        <v>1497</v>
      </c>
      <c r="Y219" s="1102" t="str" cm="1">
        <f t="array" aca="1" ref="Y219" ca="1">INDIRECT("'Incentives Worksheet'!P"&amp;'Configurable Tab'!H20+3)</f>
        <v>Same as Payout Cycle</v>
      </c>
      <c r="Z219" s="1102" t="str" cm="1">
        <f t="array" aca="1" ref="Z219" ca="1">IF(ISBLANK(INDIRECT("'Incentives Worksheet'!H"&amp;'Configurable Tab'!H20+3)),"",INDIRECT("'Incentives Worksheet'!H"&amp;'Configurable Tab'!H20+3))</f>
        <v/>
      </c>
      <c r="AA219" s="1102" t="str" cm="1">
        <f t="array" aca="1" ref="AA219" ca="1">IF(INDIRECT("'Incentives Worksheet'!R"&amp;'Configurable Tab'!H20+3)="USF Calendar","Fiscal",INDIRECT("'Incentives Worksheet'!R"&amp;'Configurable Tab'!H20+3))</f>
        <v>Fiscal</v>
      </c>
      <c r="AB219" s="1102" t="str" cm="1">
        <f t="array" aca="1" ref="AB219" ca="1">IF(INDIRECT("'Incentives Worksheet'!L"&amp;'Configurable Tab'!H20+9)="All"," Select All Products","Unselect All Products")</f>
        <v xml:space="preserve"> Select All Products</v>
      </c>
      <c r="AC219" s="1102" t="str" cm="1">
        <f t="array" aca="1" ref="AC219" ca="1">IF(INDIRECT("'Incentives Worksheet'!T"&amp;'Configurable Tab'!H20+3)="Yes","Post to GL","")</f>
        <v/>
      </c>
      <c r="AD219" s="1102" t="str" cm="1">
        <f t="array" aca="1" ref="AD219" ca="1">IF(ISBLANK(INDIRECT("'Incentives Worksheet'!L"&amp;'Configurable Tab'!H20+3)),"",INDIRECT("'Incentives Worksheet'!L"&amp;'Configurable Tab'!H20+3))</f>
        <v/>
      </c>
      <c r="AE219" s="1102" t="str" cm="1">
        <f t="array" aca="1" ref="AE219" ca="1">IF(ISBLANK(INDIRECT("'Incentives Worksheet'!J"&amp;'Configurable Tab'!H20+3)),"",INDIRECT("'Incentives Worksheet'!J"&amp;'Configurable Tab'!H20+3))</f>
        <v/>
      </c>
      <c r="AF219" s="1102" t="str" cm="1">
        <f t="array" aca="1" ref="AF219" ca="1">IF(ISBLANK(INDIRECT("'Incentives Worksheet'!N"&amp;'Configurable Tab'!H20+3)),"",INDIRECT("'Incentives Worksheet'!N"&amp;'Configurable Tab'!H20+3))</f>
        <v/>
      </c>
      <c r="AG219" s="1103" t="str" cm="1">
        <f t="array" aca="1" ref="AG219" ca="1">INDIRECT("'Incentives Worksheet'!D"&amp;'Configurable Tab'!H20+6)</f>
        <v/>
      </c>
      <c r="AH219" s="1103" t="str" cm="1">
        <f t="array" aca="1" ref="AH219" ca="1">INDIRECT("'Incentives Worksheet'!D"&amp;'Configurable Tab'!H20+8)</f>
        <v/>
      </c>
      <c r="AI219" s="1102" t="str" cm="1">
        <f t="array" aca="1" ref="AI219" ca="1">IF(INDIRECT("'Incentives Worksheet'!D"&amp;'Configurable Tab'!H20+10)="No","Update tracking dates",INDIRECT("'Incentives Worksheet'!D"&amp;'Configurable Tab'!H20+10))</f>
        <v>Update tracking dates</v>
      </c>
      <c r="AJ219" s="1107"/>
      <c r="AK219" s="1107"/>
      <c r="AL219" s="1132" t="s">
        <v>1853</v>
      </c>
      <c r="AM219" s="1133" t="s">
        <v>1539</v>
      </c>
      <c r="AN219" s="1134">
        <v>1303</v>
      </c>
      <c r="AO219" s="1104" t="s">
        <v>1892</v>
      </c>
      <c r="AP219" s="1104" t="s">
        <v>1497</v>
      </c>
      <c r="AQ219" s="1102" t="str" cm="1">
        <f t="array" aca="1" ref="AQ219" ca="1">INDIRECT("'Incentives Worksheet'!P"&amp;'Configurable Tab'!H21+3)</f>
        <v>Same as Payout Cycle</v>
      </c>
      <c r="AR219" s="1102" t="str" cm="1">
        <f t="array" aca="1" ref="AR219" ca="1">IF(ISBLANK(INDIRECT("'Incentives Worksheet'!H"&amp;'Configurable Tab'!H21+3)),"",INDIRECT("'Incentives Worksheet'!H"&amp;'Configurable Tab'!H21+3))</f>
        <v/>
      </c>
      <c r="AS219" s="1102" t="str" cm="1">
        <f t="array" aca="1" ref="AS219" ca="1">IF(INDIRECT("'Incentives Worksheet'!R"&amp;'Configurable Tab'!H21+3)="USF Calendar","Fiscal",INDIRECT("'Incentives Worksheet'!R"&amp;'Configurable Tab'!H21+3))</f>
        <v>Fiscal</v>
      </c>
      <c r="AT219" s="1102" t="str" cm="1">
        <f t="array" aca="1" ref="AT219" ca="1">IF(INDIRECT("'Incentives Worksheet'!L"&amp;'Configurable Tab'!H21+9)="All"," Select All Products","Unselect All Products")</f>
        <v xml:space="preserve"> Select All Products</v>
      </c>
      <c r="AU219" s="1102" t="str" cm="1">
        <f t="array" aca="1" ref="AU219" ca="1">IF(INDIRECT("'Incentives Worksheet'!T"&amp;'Configurable Tab'!H21+3)="Yes","Post to GL","")</f>
        <v/>
      </c>
      <c r="AV219" s="1102" t="str" cm="1">
        <f t="array" aca="1" ref="AV219" ca="1">IF(ISBLANK(INDIRECT("'Incentives Worksheet'!L"&amp;'Configurable Tab'!H21+3)),"",INDIRECT("'Incentives Worksheet'!L"&amp;'Configurable Tab'!H21+3))</f>
        <v/>
      </c>
      <c r="AW219" s="1102" t="str" cm="1">
        <f t="array" aca="1" ref="AW219" ca="1">IF(ISBLANK(INDIRECT("'Incentives Worksheet'!J"&amp;'Configurable Tab'!H21+3)),"",INDIRECT("'Incentives Worksheet'!J"&amp;'Configurable Tab'!H21+3))</f>
        <v/>
      </c>
      <c r="AX219" s="1102" t="str" cm="1">
        <f t="array" aca="1" ref="AX219" ca="1">IF(ISBLANK(INDIRECT("'Incentives Worksheet'!N"&amp;'Configurable Tab'!H21+3)),"",INDIRECT("'Incentives Worksheet'!N"&amp;'Configurable Tab'!H21+3))</f>
        <v/>
      </c>
      <c r="AY219" s="1103" t="str" cm="1">
        <f t="array" aca="1" ref="AY219" ca="1">INDIRECT("'Incentives Worksheet'!D"&amp;'Configurable Tab'!H21+6)</f>
        <v/>
      </c>
      <c r="AZ219" s="1103" t="str" cm="1">
        <f t="array" aca="1" ref="AZ219" ca="1">INDIRECT("'Incentives Worksheet'!D"&amp;'Configurable Tab'!H21+8)</f>
        <v/>
      </c>
      <c r="BA219" s="1102" t="str" cm="1">
        <f t="array" aca="1" ref="BA219" ca="1">IF(INDIRECT("'Incentives Worksheet'!D"&amp;'Configurable Tab'!H21+10)="No","Update tracking dates",INDIRECT("'Incentives Worksheet'!D"&amp;'Configurable Tab'!H21+10))</f>
        <v>Update tracking dates</v>
      </c>
      <c r="BB219" s="1107"/>
      <c r="BC219" s="1132" t="s">
        <v>1853</v>
      </c>
      <c r="BD219" s="1133" t="s">
        <v>1539</v>
      </c>
      <c r="BE219" s="1134">
        <v>1304</v>
      </c>
      <c r="BF219" s="1104" t="s">
        <v>1892</v>
      </c>
      <c r="BG219" s="1104" t="s">
        <v>1497</v>
      </c>
      <c r="BH219" s="1102" t="str" cm="1">
        <f t="array" aca="1" ref="BH219" ca="1">INDIRECT("'Incentives Worksheet'!P"&amp;'Configurable Tab'!H22+3)</f>
        <v>Same as Payout Cycle</v>
      </c>
      <c r="BI219" s="1102" t="str" cm="1">
        <f t="array" aca="1" ref="BI219" ca="1">IF(ISBLANK(INDIRECT("'Incentives Worksheet'!H"&amp;'Configurable Tab'!H22+3)),"",INDIRECT("'Incentives Worksheet'!H"&amp;'Configurable Tab'!H22+3))</f>
        <v/>
      </c>
      <c r="BJ219" s="1102" t="str" cm="1">
        <f t="array" aca="1" ref="BJ219" ca="1">IF(INDIRECT("'Incentives Worksheet'!R"&amp;'Configurable Tab'!H22+3)="USF Calendar","Fiscal",INDIRECT("'Incentives Worksheet'!R"&amp;'Configurable Tab'!H22+3))</f>
        <v>Fiscal</v>
      </c>
      <c r="BK219" s="1102" t="str" cm="1">
        <f t="array" aca="1" ref="BK219" ca="1">IF(INDIRECT("'Incentives Worksheet'!L"&amp;'Configurable Tab'!H22+9)="All"," Select All Products","Unselect All Products")</f>
        <v xml:space="preserve"> Select All Products</v>
      </c>
      <c r="BL219" s="1102" t="str" cm="1">
        <f t="array" aca="1" ref="BL219" ca="1">IF(INDIRECT("'Incentives Worksheet'!T"&amp;'Configurable Tab'!H22+3)="Yes","Post to GL","")</f>
        <v/>
      </c>
      <c r="BM219" s="1102" t="str" cm="1">
        <f t="array" aca="1" ref="BM219" ca="1">IF(ISBLANK(INDIRECT("'Incentives Worksheet'!L"&amp;'Configurable Tab'!H22+3)),"",INDIRECT("'Incentives Worksheet'!L"&amp;'Configurable Tab'!H22+3))</f>
        <v/>
      </c>
      <c r="BN219" s="1102" t="str" cm="1">
        <f t="array" aca="1" ref="BN219" ca="1">IF(ISBLANK(INDIRECT("'Incentives Worksheet'!J"&amp;'Configurable Tab'!H22+3)),"",INDIRECT("'Incentives Worksheet'!J"&amp;'Configurable Tab'!H22+3))</f>
        <v/>
      </c>
      <c r="BO219" s="1102" t="str" cm="1">
        <f t="array" aca="1" ref="BO219" ca="1">IF(ISBLANK(INDIRECT("'Incentives Worksheet'!N"&amp;'Configurable Tab'!H22+3)),"",INDIRECT("'Incentives Worksheet'!N"&amp;'Configurable Tab'!H22+3))</f>
        <v/>
      </c>
      <c r="BP219" s="1103" t="str" cm="1">
        <f t="array" aca="1" ref="BP219" ca="1">INDIRECT("'Incentives Worksheet'!D"&amp;'Configurable Tab'!H22+6)</f>
        <v/>
      </c>
      <c r="BQ219" s="1103" t="str" cm="1">
        <f t="array" aca="1" ref="BQ219" ca="1">INDIRECT("'Incentives Worksheet'!D"&amp;'Configurable Tab'!H22+8)</f>
        <v/>
      </c>
      <c r="BR219" s="1102" t="str" cm="1">
        <f t="array" aca="1" ref="BR219" ca="1">IF(INDIRECT("'Incentives Worksheet'!D"&amp;'Configurable Tab'!H22+10)="No","Update tracking dates",INDIRECT("'Incentives Worksheet'!D"&amp;'Configurable Tab'!H22+10))</f>
        <v>Update tracking dates</v>
      </c>
      <c r="BS219" s="1107"/>
      <c r="BT219" s="1132" t="s">
        <v>1853</v>
      </c>
      <c r="BU219" s="1133" t="s">
        <v>1539</v>
      </c>
      <c r="BV219" s="1134">
        <v>1305</v>
      </c>
      <c r="BW219" s="1104" t="s">
        <v>1892</v>
      </c>
      <c r="BX219" s="1104" t="s">
        <v>1497</v>
      </c>
      <c r="BY219" s="1102" t="str" cm="1">
        <f t="array" aca="1" ref="BY219" ca="1">INDIRECT("'Incentives Worksheet'!P"&amp;'Configurable Tab'!H23+3)</f>
        <v>Same as Payout Cycle</v>
      </c>
      <c r="BZ219" s="1102" t="str" cm="1">
        <f t="array" aca="1" ref="BZ219" ca="1">IF(ISBLANK(INDIRECT("'Incentives Worksheet'!H"&amp;'Configurable Tab'!H23+3)),"",INDIRECT("'Incentives Worksheet'!H"&amp;'Configurable Tab'!H23+3))</f>
        <v/>
      </c>
      <c r="CA219" s="1102" t="str" cm="1">
        <f t="array" aca="1" ref="CA219" ca="1">IF(INDIRECT("'Incentives Worksheet'!R"&amp;'Configurable Tab'!H23+3)="USF Calendar","Fiscal",INDIRECT("'Incentives Worksheet'!R"&amp;'Configurable Tab'!H23+3))</f>
        <v>Fiscal</v>
      </c>
      <c r="CB219" s="1102" t="str" cm="1">
        <f t="array" aca="1" ref="CB219" ca="1">IF(INDIRECT("'Incentives Worksheet'!L"&amp;'Configurable Tab'!H23+9)="All"," Select All Products","Unselect All Products")</f>
        <v xml:space="preserve"> Select All Products</v>
      </c>
      <c r="CC219" s="1102" t="str" cm="1">
        <f t="array" aca="1" ref="CC219" ca="1">IF(INDIRECT("'Incentives Worksheet'!T"&amp;'Configurable Tab'!H23+3)="Yes","Post to GL","")</f>
        <v/>
      </c>
      <c r="CD219" s="1102" t="str" cm="1">
        <f t="array" aca="1" ref="CD219" ca="1">IF(ISBLANK(INDIRECT("'Incentives Worksheet'!L"&amp;'Configurable Tab'!H23+3)),"",INDIRECT("'Incentives Worksheet'!L"&amp;'Configurable Tab'!H23+3))</f>
        <v/>
      </c>
      <c r="CE219" s="1102" t="str" cm="1">
        <f t="array" aca="1" ref="CE219" ca="1">IF(ISBLANK(INDIRECT("'Incentives Worksheet'!J"&amp;'Configurable Tab'!H23+3)),"",INDIRECT("'Incentives Worksheet'!J"&amp;'Configurable Tab'!H23+3))</f>
        <v/>
      </c>
      <c r="CF219" s="1102" t="str" cm="1">
        <f t="array" aca="1" ref="CF219" ca="1">IF(ISBLANK(INDIRECT("'Incentives Worksheet'!N"&amp;'Configurable Tab'!H23+3)),"",INDIRECT("'Incentives Worksheet'!N"&amp;'Configurable Tab'!H23+3))</f>
        <v/>
      </c>
      <c r="CG219" s="1103" t="str" cm="1">
        <f t="array" aca="1" ref="CG219" ca="1">INDIRECT("'Incentives Worksheet'!D"&amp;'Configurable Tab'!H23+6)</f>
        <v/>
      </c>
      <c r="CH219" s="1103" t="str" cm="1">
        <f t="array" aca="1" ref="CH219" ca="1">INDIRECT("'Incentives Worksheet'!D"&amp;'Configurable Tab'!H23+8)</f>
        <v/>
      </c>
      <c r="CI219" s="1102" t="str" cm="1">
        <f t="array" aca="1" ref="CI219" ca="1">IF(INDIRECT("'Incentives Worksheet'!D"&amp;'Configurable Tab'!H23+10)="No","Update tracking dates",INDIRECT("'Incentives Worksheet'!D"&amp;'Configurable Tab'!H23+10))</f>
        <v>Update tracking dates</v>
      </c>
      <c r="CJ219" s="1107"/>
      <c r="CK219" s="1107"/>
    </row>
    <row r="220" spans="1:89" ht="30.75" customHeight="1" thickBot="1" x14ac:dyDescent="0.3">
      <c r="A220" s="1107"/>
      <c r="B220" s="2006" t="s">
        <v>1858</v>
      </c>
      <c r="C220" s="1160" t="s">
        <v>1874</v>
      </c>
      <c r="D220" s="1100" t="s">
        <v>1875</v>
      </c>
      <c r="E220" s="1101" t="s">
        <v>1359</v>
      </c>
      <c r="F220" s="1101" t="s">
        <v>1876</v>
      </c>
      <c r="G220" s="1100" t="s">
        <v>1893</v>
      </c>
      <c r="H220" s="1100" t="s">
        <v>1877</v>
      </c>
      <c r="I220" s="1161" t="s">
        <v>1878</v>
      </c>
      <c r="J220" s="1161" t="s">
        <v>1879</v>
      </c>
      <c r="K220" s="1161" t="s">
        <v>1880</v>
      </c>
      <c r="L220" s="1162"/>
      <c r="M220" s="1162"/>
      <c r="N220" s="1162"/>
      <c r="O220" s="1162"/>
      <c r="P220" s="1162"/>
      <c r="Q220" s="1163"/>
      <c r="R220" s="1162"/>
      <c r="S220" s="1107"/>
      <c r="T220" s="2006" t="s">
        <v>1854</v>
      </c>
      <c r="U220" s="1160" t="s">
        <v>1874</v>
      </c>
      <c r="V220" s="1100" t="s">
        <v>1875</v>
      </c>
      <c r="W220" s="1101" t="s">
        <v>1359</v>
      </c>
      <c r="X220" s="1101" t="s">
        <v>1876</v>
      </c>
      <c r="Y220" s="1100" t="s">
        <v>1893</v>
      </c>
      <c r="Z220" s="1100" t="s">
        <v>1877</v>
      </c>
      <c r="AA220" s="1161" t="s">
        <v>1878</v>
      </c>
      <c r="AB220" s="1161" t="s">
        <v>1879</v>
      </c>
      <c r="AC220" s="1161" t="s">
        <v>1880</v>
      </c>
      <c r="AD220" s="1162"/>
      <c r="AE220" s="1162"/>
      <c r="AF220" s="1162"/>
      <c r="AG220" s="1162"/>
      <c r="AH220" s="1162"/>
      <c r="AI220" s="1163"/>
      <c r="AJ220" s="1107"/>
      <c r="AK220" s="1107"/>
      <c r="AL220" s="2006" t="s">
        <v>1854</v>
      </c>
      <c r="AM220" s="1160" t="s">
        <v>1874</v>
      </c>
      <c r="AN220" s="1100" t="s">
        <v>1875</v>
      </c>
      <c r="AO220" s="1101" t="s">
        <v>1359</v>
      </c>
      <c r="AP220" s="1101" t="s">
        <v>1876</v>
      </c>
      <c r="AQ220" s="1100" t="s">
        <v>1893</v>
      </c>
      <c r="AR220" s="1100" t="s">
        <v>1877</v>
      </c>
      <c r="AS220" s="1161" t="s">
        <v>1878</v>
      </c>
      <c r="AT220" s="1161" t="s">
        <v>1879</v>
      </c>
      <c r="AU220" s="1161" t="s">
        <v>1880</v>
      </c>
      <c r="AV220" s="1162"/>
      <c r="AW220" s="1162"/>
      <c r="AX220" s="1162"/>
      <c r="AY220" s="1162"/>
      <c r="AZ220" s="1162"/>
      <c r="BA220" s="1163"/>
      <c r="BB220" s="1107"/>
      <c r="BC220" s="2006" t="s">
        <v>1854</v>
      </c>
      <c r="BD220" s="1160" t="s">
        <v>1874</v>
      </c>
      <c r="BE220" s="1100" t="s">
        <v>1875</v>
      </c>
      <c r="BF220" s="1101" t="s">
        <v>1359</v>
      </c>
      <c r="BG220" s="1101" t="s">
        <v>1876</v>
      </c>
      <c r="BH220" s="1100" t="s">
        <v>1893</v>
      </c>
      <c r="BI220" s="1100" t="s">
        <v>1877</v>
      </c>
      <c r="BJ220" s="1161" t="s">
        <v>1878</v>
      </c>
      <c r="BK220" s="1161" t="s">
        <v>1879</v>
      </c>
      <c r="BL220" s="1161" t="s">
        <v>1880</v>
      </c>
      <c r="BM220" s="1162"/>
      <c r="BN220" s="1162"/>
      <c r="BO220" s="1162"/>
      <c r="BP220" s="1162"/>
      <c r="BQ220" s="1162"/>
      <c r="BR220" s="1163"/>
      <c r="BS220" s="1107"/>
      <c r="BT220" s="2006" t="s">
        <v>1854</v>
      </c>
      <c r="BU220" s="1160" t="s">
        <v>1874</v>
      </c>
      <c r="BV220" s="1100" t="s">
        <v>1875</v>
      </c>
      <c r="BW220" s="1101" t="s">
        <v>1359</v>
      </c>
      <c r="BX220" s="1101" t="s">
        <v>1876</v>
      </c>
      <c r="BY220" s="1100" t="s">
        <v>1893</v>
      </c>
      <c r="BZ220" s="1100" t="s">
        <v>1877</v>
      </c>
      <c r="CA220" s="1161" t="s">
        <v>1878</v>
      </c>
      <c r="CB220" s="1161" t="s">
        <v>1879</v>
      </c>
      <c r="CC220" s="1161" t="s">
        <v>1880</v>
      </c>
      <c r="CD220" s="1162"/>
      <c r="CE220" s="1162"/>
      <c r="CF220" s="1162"/>
      <c r="CG220" s="1162"/>
      <c r="CH220" s="1162"/>
      <c r="CI220" s="1163"/>
      <c r="CJ220" s="1107"/>
      <c r="CK220" s="1107"/>
    </row>
    <row r="221" spans="1:89" ht="15.75" thickBot="1" x14ac:dyDescent="0.3">
      <c r="A221" s="1107"/>
      <c r="B221" s="2011"/>
      <c r="C221" s="1195" t="s">
        <v>1881</v>
      </c>
      <c r="D221" s="1195" t="str" cm="1">
        <f t="array" aca="1" ref="D221" ca="1">IF(INDIRECT("'Incentives Worksheet'!L"&amp;'Configurable Tab'!H19+9)="All"," All Products","Included Products")</f>
        <v xml:space="preserve"> All Products</v>
      </c>
      <c r="E221" s="1195" t="str" cm="1">
        <f t="array" aca="1" ref="E221" ca="1">IF(INDIRECT("'Incentives Worksheet'!J"&amp;'Configurable Tab'!H19+9)="All","All Customers","Individual")</f>
        <v>All Customers</v>
      </c>
      <c r="F221" s="1195" t="str" cm="1">
        <f t="array" aca="1" ref="F221" ca="1">INDIRECT("'Incentives Worksheet'!P"&amp;'Configurable Tab'!H19+9)</f>
        <v>Yes</v>
      </c>
      <c r="G221" s="1226" t="str" cm="1">
        <f t="array" aca="1" ref="G221" ca="1">IF(INDIRECT("'Incentives Worksheet'!H"&amp;'Configurable Tab'!H19+6)=0,"",INDIRECT("'Incentives Worksheet'!H"&amp;'Configurable Tab'!H19+6))</f>
        <v/>
      </c>
      <c r="H221" s="1196" t="str" cm="1">
        <f t="array" aca="1" ref="H221" ca="1">IF(INDIRECT("'Incentives Worksheet'!L"&amp;'Configurable Tab'!H19+6)&lt;&gt;0,INDIRECT("'Incentives Worksheet'!L"&amp;'Configurable Tab'!H19+6),"")</f>
        <v/>
      </c>
      <c r="I221" s="1197" t="s">
        <v>1857</v>
      </c>
      <c r="J221" s="1197" t="s">
        <v>1894</v>
      </c>
      <c r="K221" s="1197" t="str" cm="1">
        <f t="array" aca="1" ref="K221" ca="1">INDIRECT("'Incentives Worksheet'!N"&amp;'Configurable Tab'!H19+6)</f>
        <v>%</v>
      </c>
      <c r="L221" s="1136"/>
      <c r="M221" s="1136"/>
      <c r="N221" s="1136"/>
      <c r="O221" s="1136"/>
      <c r="P221" s="1136"/>
      <c r="Q221" s="1137"/>
      <c r="R221" s="1107"/>
      <c r="S221" s="1107"/>
      <c r="T221" s="2011"/>
      <c r="U221" s="1195" t="s">
        <v>1881</v>
      </c>
      <c r="V221" s="1196" t="str" cm="1">
        <f t="array" aca="1" ref="V221" ca="1">IF(INDIRECT("'Incentives Worksheet'!L"&amp;'Configurable Tab'!H20+9)="All"," All Products","Included Products")</f>
        <v xml:space="preserve"> All Products</v>
      </c>
      <c r="W221" s="1196" t="str" cm="1">
        <f t="array" aca="1" ref="W221" ca="1">IF(INDIRECT("'Incentives Worksheet'!J"&amp;'Configurable Tab'!H20+9)="All","All Customers","Individual")</f>
        <v>All Customers</v>
      </c>
      <c r="X221" s="1196" t="str" cm="1">
        <f t="array" aca="1" ref="X221" ca="1">INDIRECT("'Incentives Worksheet'!P"&amp;'Configurable Tab'!H20+9)</f>
        <v>Yes</v>
      </c>
      <c r="Y221" s="1226" t="str" cm="1">
        <f t="array" aca="1" ref="Y221" ca="1">IF(INDIRECT("'Incentives Worksheet'!H"&amp;'Configurable Tab'!H20+6)=0,"",INDIRECT("'Incentives Worksheet'!H"&amp;'Configurable Tab'!H20+6))</f>
        <v/>
      </c>
      <c r="Z221" s="1196" t="str" cm="1">
        <f t="array" aca="1" ref="Z221" ca="1">IF(INDIRECT("'Incentives Worksheet'!L"&amp;'Configurable Tab'!H20+6)&lt;&gt;0,INDIRECT("'Incentives Worksheet'!L"&amp;'Configurable Tab'!H20+6),"")</f>
        <v/>
      </c>
      <c r="AA221" s="1197" t="s">
        <v>1857</v>
      </c>
      <c r="AB221" s="1197" t="s">
        <v>1894</v>
      </c>
      <c r="AC221" s="1197" t="str" cm="1">
        <f t="array" aca="1" ref="AC221" ca="1">INDIRECT("'Incentives Worksheet'!N"&amp;'Configurable Tab'!H20+6)</f>
        <v>%</v>
      </c>
      <c r="AD221" s="1136"/>
      <c r="AE221" s="1136"/>
      <c r="AF221" s="1136"/>
      <c r="AG221" s="1136"/>
      <c r="AH221" s="1136"/>
      <c r="AI221" s="1137"/>
      <c r="AJ221" s="1107"/>
      <c r="AK221" s="1107"/>
      <c r="AL221" s="2011"/>
      <c r="AM221" s="1195" t="s">
        <v>1881</v>
      </c>
      <c r="AN221" s="1196" t="str" cm="1">
        <f t="array" aca="1" ref="AN221" ca="1">IF(INDIRECT("'Incentives Worksheet'!L"&amp;'Configurable Tab'!H21+9)="All"," All Products","Included Products")</f>
        <v xml:space="preserve"> All Products</v>
      </c>
      <c r="AO221" s="1196" t="str" cm="1">
        <f t="array" aca="1" ref="AO221" ca="1">IF(INDIRECT("'Incentives Worksheet'!J"&amp;'Configurable Tab'!H21+9)="All","All Customers","Individual")</f>
        <v>All Customers</v>
      </c>
      <c r="AP221" s="1196" t="str" cm="1">
        <f t="array" aca="1" ref="AP221" ca="1">INDIRECT("'Incentives Worksheet'!P"&amp;'Configurable Tab'!H21+9)</f>
        <v>Yes</v>
      </c>
      <c r="AQ221" s="1226" t="str" cm="1">
        <f t="array" aca="1" ref="AQ221" ca="1">IF(INDIRECT("'Incentives Worksheet'!H"&amp;'Configurable Tab'!H21+6)=0,"",INDIRECT("'Incentives Worksheet'!H"&amp;'Configurable Tab'!H21+6))</f>
        <v/>
      </c>
      <c r="AR221" s="1196" t="str" cm="1">
        <f t="array" aca="1" ref="AR221" ca="1">IF(INDIRECT("'Incentives Worksheet'!L"&amp;'Configurable Tab'!H21+6)&lt;&gt;0,INDIRECT("'Incentives Worksheet'!L"&amp;'Configurable Tab'!H21+6),"")</f>
        <v/>
      </c>
      <c r="AS221" s="1197" t="s">
        <v>1857</v>
      </c>
      <c r="AT221" s="1197" t="s">
        <v>1894</v>
      </c>
      <c r="AU221" s="1197" t="str" cm="1">
        <f t="array" aca="1" ref="AU221" ca="1">INDIRECT("'Incentives Worksheet'!N"&amp;'Configurable Tab'!H21+6)</f>
        <v>%</v>
      </c>
      <c r="AV221" s="1136"/>
      <c r="AW221" s="1136"/>
      <c r="AX221" s="1136"/>
      <c r="AY221" s="1136"/>
      <c r="AZ221" s="1136"/>
      <c r="BA221" s="1137"/>
      <c r="BB221" s="1107"/>
      <c r="BC221" s="2011"/>
      <c r="BD221" s="1195" t="s">
        <v>1881</v>
      </c>
      <c r="BE221" s="1196" t="str" cm="1">
        <f t="array" aca="1" ref="BE221" ca="1">IF(INDIRECT("'Incentives Worksheet'!L"&amp;'Configurable Tab'!H22+9)="All"," All Products","Included Products")</f>
        <v xml:space="preserve"> All Products</v>
      </c>
      <c r="BF221" s="1196" t="str" cm="1">
        <f t="array" aca="1" ref="BF221" ca="1">IF(INDIRECT("'Incentives Worksheet'!J"&amp;'Configurable Tab'!H22+9)="All","All Customers","Individual")</f>
        <v>All Customers</v>
      </c>
      <c r="BG221" s="1196" t="str" cm="1">
        <f t="array" aca="1" ref="BG221" ca="1">INDIRECT("'Incentives Worksheet'!P"&amp;'Configurable Tab'!H22+9)</f>
        <v>Yes</v>
      </c>
      <c r="BH221" s="1226" t="str" cm="1">
        <f t="array" aca="1" ref="BH221" ca="1">IF(INDIRECT("'Incentives Worksheet'!H"&amp;'Configurable Tab'!H22+6)=0,"",INDIRECT("'Incentives Worksheet'!H"&amp;'Configurable Tab'!H22+6))</f>
        <v/>
      </c>
      <c r="BI221" s="1196" t="str" cm="1">
        <f t="array" aca="1" ref="BI221" ca="1">IF(INDIRECT("'Incentives Worksheet'!L"&amp;'Configurable Tab'!H22+6)&lt;&gt;0,INDIRECT("'Incentives Worksheet'!L"&amp;'Configurable Tab'!H22+6),"")</f>
        <v/>
      </c>
      <c r="BJ221" s="1197" t="s">
        <v>1857</v>
      </c>
      <c r="BK221" s="1197" t="s">
        <v>1894</v>
      </c>
      <c r="BL221" s="1197" t="str" cm="1">
        <f t="array" aca="1" ref="BL221" ca="1">INDIRECT("'Incentives Worksheet'!N"&amp;'Configurable Tab'!H22+6)</f>
        <v>%</v>
      </c>
      <c r="BM221" s="1136"/>
      <c r="BN221" s="1136"/>
      <c r="BO221" s="1136"/>
      <c r="BP221" s="1136"/>
      <c r="BQ221" s="1136"/>
      <c r="BR221" s="1137"/>
      <c r="BS221" s="1107"/>
      <c r="BT221" s="2011"/>
      <c r="BU221" s="1195" t="s">
        <v>1881</v>
      </c>
      <c r="BV221" s="1196" t="str" cm="1">
        <f t="array" aca="1" ref="BV221" ca="1">IF(INDIRECT("'Incentives Worksheet'!L"&amp;'Configurable Tab'!H23+9)="All"," All Products","Included Products")</f>
        <v xml:space="preserve"> All Products</v>
      </c>
      <c r="BW221" s="1196" t="str" cm="1">
        <f t="array" aca="1" ref="BW221" ca="1">IF(INDIRECT("'Incentives Worksheet'!J"&amp;'Configurable Tab'!H23+9)="All","All Customers","Individual")</f>
        <v>All Customers</v>
      </c>
      <c r="BX221" s="1196" t="str" cm="1">
        <f t="array" aca="1" ref="BX221" ca="1">INDIRECT("'Incentives Worksheet'!P"&amp;'Configurable Tab'!H23+9)</f>
        <v>Yes</v>
      </c>
      <c r="BY221" s="1226" t="str" cm="1">
        <f t="array" aca="1" ref="BY221" ca="1">IF(INDIRECT("'Incentives Worksheet'!H"&amp;'Configurable Tab'!H23+6)=0,"",INDIRECT("'Incentives Worksheet'!H"&amp;'Configurable Tab'!H23+6))</f>
        <v/>
      </c>
      <c r="BZ221" s="1196" t="str" cm="1">
        <f t="array" aca="1" ref="BZ221" ca="1">IF(INDIRECT("'Incentives Worksheet'!L"&amp;'Configurable Tab'!H23+6)&lt;&gt;0,INDIRECT("'Incentives Worksheet'!L"&amp;'Configurable Tab'!H23+6),"")</f>
        <v/>
      </c>
      <c r="CA221" s="1197" t="s">
        <v>1857</v>
      </c>
      <c r="CB221" s="1197" t="s">
        <v>1894</v>
      </c>
      <c r="CC221" s="1197" t="str" cm="1">
        <f t="array" aca="1" ref="CC221" ca="1">INDIRECT("'Incentives Worksheet'!N"&amp;'Configurable Tab'!H23+6)</f>
        <v>%</v>
      </c>
      <c r="CD221" s="1136"/>
      <c r="CE221" s="1136"/>
      <c r="CF221" s="1136"/>
      <c r="CG221" s="1136"/>
      <c r="CH221" s="1136"/>
      <c r="CI221" s="1137"/>
      <c r="CJ221" s="1107"/>
      <c r="CK221" s="1107"/>
    </row>
    <row r="222" spans="1:89" x14ac:dyDescent="0.25">
      <c r="A222" s="1107"/>
      <c r="B222" s="2008"/>
      <c r="C222" s="1170" t="s">
        <v>1884</v>
      </c>
      <c r="D222" s="1171" t="s">
        <v>126</v>
      </c>
      <c r="E222" s="1172" t="s">
        <v>128</v>
      </c>
      <c r="F222" s="1173" t="s">
        <v>1104</v>
      </c>
      <c r="G222" s="1136"/>
      <c r="H222" s="1136"/>
      <c r="I222" s="1136"/>
      <c r="J222" s="1136"/>
      <c r="K222" s="1136"/>
      <c r="L222" s="1136"/>
      <c r="M222" s="1136"/>
      <c r="N222" s="1136"/>
      <c r="O222" s="1136"/>
      <c r="P222" s="1136"/>
      <c r="Q222" s="1137"/>
      <c r="R222" s="1107"/>
      <c r="S222" s="1107"/>
      <c r="T222" s="2011"/>
      <c r="U222" s="1170" t="s">
        <v>1884</v>
      </c>
      <c r="V222" s="1171" t="s">
        <v>126</v>
      </c>
      <c r="W222" s="1172" t="s">
        <v>128</v>
      </c>
      <c r="X222" s="1173" t="s">
        <v>1104</v>
      </c>
      <c r="Y222" s="1136"/>
      <c r="Z222" s="1136"/>
      <c r="AA222" s="1136"/>
      <c r="AB222" s="1136"/>
      <c r="AC222" s="1136"/>
      <c r="AD222" s="1136"/>
      <c r="AE222" s="1136"/>
      <c r="AF222" s="1136"/>
      <c r="AG222" s="1136"/>
      <c r="AH222" s="1136"/>
      <c r="AI222" s="1137"/>
      <c r="AJ222" s="1107"/>
      <c r="AK222" s="1107"/>
      <c r="AL222" s="2011"/>
      <c r="AM222" s="1170" t="s">
        <v>1884</v>
      </c>
      <c r="AN222" s="1171" t="s">
        <v>126</v>
      </c>
      <c r="AO222" s="1172" t="s">
        <v>128</v>
      </c>
      <c r="AP222" s="1173" t="s">
        <v>1104</v>
      </c>
      <c r="AQ222" s="1136"/>
      <c r="AR222" s="1136"/>
      <c r="AS222" s="1136"/>
      <c r="AT222" s="1136"/>
      <c r="AU222" s="1136"/>
      <c r="AV222" s="1136"/>
      <c r="AW222" s="1136"/>
      <c r="AX222" s="1136"/>
      <c r="AY222" s="1136"/>
      <c r="AZ222" s="1136"/>
      <c r="BA222" s="1137"/>
      <c r="BB222" s="1107"/>
      <c r="BC222" s="2011"/>
      <c r="BD222" s="1170" t="s">
        <v>1884</v>
      </c>
      <c r="BE222" s="1171" t="s">
        <v>126</v>
      </c>
      <c r="BF222" s="1172" t="s">
        <v>128</v>
      </c>
      <c r="BG222" s="1173" t="s">
        <v>1104</v>
      </c>
      <c r="BH222" s="1136"/>
      <c r="BI222" s="1136"/>
      <c r="BJ222" s="1136"/>
      <c r="BK222" s="1136"/>
      <c r="BL222" s="1136"/>
      <c r="BM222" s="1136"/>
      <c r="BN222" s="1136"/>
      <c r="BO222" s="1136"/>
      <c r="BP222" s="1136"/>
      <c r="BQ222" s="1136"/>
      <c r="BR222" s="1137"/>
      <c r="BS222" s="1107"/>
      <c r="BT222" s="2011"/>
      <c r="BU222" s="1170" t="s">
        <v>1884</v>
      </c>
      <c r="BV222" s="1171" t="s">
        <v>126</v>
      </c>
      <c r="BW222" s="1172" t="s">
        <v>128</v>
      </c>
      <c r="BX222" s="1173" t="s">
        <v>1104</v>
      </c>
      <c r="BY222" s="1136"/>
      <c r="BZ222" s="1136"/>
      <c r="CA222" s="1136"/>
      <c r="CB222" s="1136"/>
      <c r="CC222" s="1136"/>
      <c r="CD222" s="1136"/>
      <c r="CE222" s="1136"/>
      <c r="CF222" s="1136"/>
      <c r="CG222" s="1136"/>
      <c r="CH222" s="1136"/>
      <c r="CI222" s="1137"/>
      <c r="CJ222" s="1107"/>
      <c r="CK222" s="1107"/>
    </row>
    <row r="223" spans="1:89" x14ac:dyDescent="0.25">
      <c r="A223" s="1107"/>
      <c r="B223" s="2008"/>
      <c r="C223" s="1178">
        <v>0</v>
      </c>
      <c r="D223" s="1179" t="str" cm="1">
        <f t="array" aca="1" ref="D223" ca="1">IF(INDIRECT("'Incentives Worksheet'!H"&amp;'Configurable Tab'!H19+6)&lt;&gt;0,0,"")</f>
        <v/>
      </c>
      <c r="E223" s="1212" t="str" cm="1">
        <f t="array" aca="1" ref="E223" ca="1">IF(INDIRECT("'Incentives Worksheet'!H"&amp;'Configurable Tab'!H19+6)&lt;&gt;0,INDIRECT("'Incentives Worksheet'!H"&amp;'Configurable Tab'!H19+6)-0.01,"")</f>
        <v/>
      </c>
      <c r="F223" s="1181" t="str" cm="1">
        <f t="array" aca="1" ref="F223" ca="1">IF(INDIRECT("'Incentives Worksheet'!H"&amp;'Configurable Tab'!H19+6)&lt;&gt;0,0,"")</f>
        <v/>
      </c>
      <c r="G223" s="1136"/>
      <c r="H223" s="1136"/>
      <c r="I223" s="1136"/>
      <c r="J223" s="1136"/>
      <c r="K223" s="1136"/>
      <c r="L223" s="1136"/>
      <c r="M223" s="1136"/>
      <c r="N223" s="1136"/>
      <c r="O223" s="1136"/>
      <c r="P223" s="1136"/>
      <c r="Q223" s="1137"/>
      <c r="R223" s="1107"/>
      <c r="S223" s="1107"/>
      <c r="T223" s="2011"/>
      <c r="U223" s="1178">
        <v>0</v>
      </c>
      <c r="V223" s="1179" t="str" cm="1">
        <f t="array" aca="1" ref="V223" ca="1">IF(INDIRECT("'Incentives Worksheet'!H"&amp;'Configurable Tab'!H20+6)&lt;&gt;0,0,"")</f>
        <v/>
      </c>
      <c r="W223" s="1212" t="str" cm="1">
        <f t="array" aca="1" ref="W223" ca="1">IF(INDIRECT("'Incentives Worksheet'!H"&amp;'Configurable Tab'!H20+6)&lt;&gt;0,INDIRECT("'Incentives Worksheet'!H"&amp;'Configurable Tab'!H20+6)-0.01,"")</f>
        <v/>
      </c>
      <c r="X223" s="1181" t="str" cm="1">
        <f t="array" aca="1" ref="X223" ca="1">IF(INDIRECT("'Incentives Worksheet'!H"&amp;'Configurable Tab'!H20+6)&lt;&gt;0,0,"")</f>
        <v/>
      </c>
      <c r="Y223" s="1136"/>
      <c r="Z223" s="1136"/>
      <c r="AA223" s="1136"/>
      <c r="AB223" s="1136"/>
      <c r="AC223" s="1136"/>
      <c r="AD223" s="1136"/>
      <c r="AE223" s="1136"/>
      <c r="AF223" s="1136"/>
      <c r="AG223" s="1136"/>
      <c r="AH223" s="1136"/>
      <c r="AI223" s="1137"/>
      <c r="AJ223" s="1107"/>
      <c r="AK223" s="1107"/>
      <c r="AL223" s="2011"/>
      <c r="AM223" s="1178">
        <v>0</v>
      </c>
      <c r="AN223" s="1179" t="str" cm="1">
        <f t="array" aca="1" ref="AN223" ca="1">IF(INDIRECT("'Incentives Worksheet'!H"&amp;'Configurable Tab'!H21+6)&lt;&gt;0,0,"")</f>
        <v/>
      </c>
      <c r="AO223" s="1212" t="str" cm="1">
        <f t="array" aca="1" ref="AO223" ca="1">IF(INDIRECT("'Incentives Worksheet'!H"&amp;'Configurable Tab'!H21+6)&lt;&gt;0,INDIRECT("'Incentives Worksheet'!H"&amp;'Configurable Tab'!H21+6)-0.01,"")</f>
        <v/>
      </c>
      <c r="AP223" s="1181" t="str" cm="1">
        <f t="array" aca="1" ref="AP223" ca="1">IF(INDIRECT("'Incentives Worksheet'!H"&amp;'Configurable Tab'!H21+6)&lt;&gt;0,0,"")</f>
        <v/>
      </c>
      <c r="AQ223" s="1136"/>
      <c r="AR223" s="1136"/>
      <c r="AS223" s="1136"/>
      <c r="AT223" s="1136"/>
      <c r="AU223" s="1136"/>
      <c r="AV223" s="1136"/>
      <c r="AW223" s="1136"/>
      <c r="AX223" s="1136"/>
      <c r="AY223" s="1136"/>
      <c r="AZ223" s="1136"/>
      <c r="BA223" s="1137"/>
      <c r="BB223" s="1107"/>
      <c r="BC223" s="2011"/>
      <c r="BD223" s="1178">
        <v>0</v>
      </c>
      <c r="BE223" s="1179" t="str" cm="1">
        <f t="array" aca="1" ref="BE223" ca="1">IF(INDIRECT("'Incentives Worksheet'!H"&amp;'Configurable Tab'!H22+6)&lt;&gt;0,0,"")</f>
        <v/>
      </c>
      <c r="BF223" s="1212" t="str" cm="1">
        <f t="array" aca="1" ref="BF223" ca="1">IF(INDIRECT("'Incentives Worksheet'!H"&amp;'Configurable Tab'!H22+6)&lt;&gt;0,INDIRECT("'Incentives Worksheet'!H"&amp;'Configurable Tab'!H22+6)-0.01,"")</f>
        <v/>
      </c>
      <c r="BG223" s="1181" t="str" cm="1">
        <f t="array" aca="1" ref="BG223" ca="1">IF(INDIRECT("'Incentives Worksheet'!H"&amp;'Configurable Tab'!H22+6)&lt;&gt;0,0,"")</f>
        <v/>
      </c>
      <c r="BH223" s="1136"/>
      <c r="BI223" s="1136"/>
      <c r="BJ223" s="1136"/>
      <c r="BK223" s="1136"/>
      <c r="BL223" s="1136"/>
      <c r="BM223" s="1136"/>
      <c r="BN223" s="1136"/>
      <c r="BO223" s="1136"/>
      <c r="BP223" s="1136"/>
      <c r="BQ223" s="1136"/>
      <c r="BR223" s="1137"/>
      <c r="BS223" s="1107"/>
      <c r="BT223" s="2011"/>
      <c r="BU223" s="1178">
        <v>0</v>
      </c>
      <c r="BV223" s="1179" t="str" cm="1">
        <f t="array" aca="1" ref="BV223" ca="1">IF(INDIRECT("'Incentives Worksheet'!H"&amp;'Configurable Tab'!H23+6)&lt;&gt;0,0,"")</f>
        <v/>
      </c>
      <c r="BW223" s="1212" t="str" cm="1">
        <f t="array" aca="1" ref="BW223" ca="1">IF(INDIRECT("'Incentives Worksheet'!H"&amp;'Configurable Tab'!H23+6)&lt;&gt;0,INDIRECT("'Incentives Worksheet'!H"&amp;'Configurable Tab'!H23+6)-0.01,"")</f>
        <v/>
      </c>
      <c r="BX223" s="1181" t="str" cm="1">
        <f t="array" aca="1" ref="BX223" ca="1">IF(INDIRECT("'Incentives Worksheet'!H"&amp;'Configurable Tab'!H23+6)&lt;&gt;0,0,"")</f>
        <v/>
      </c>
      <c r="BY223" s="1136"/>
      <c r="BZ223" s="1136"/>
      <c r="CA223" s="1136"/>
      <c r="CB223" s="1136"/>
      <c r="CC223" s="1136"/>
      <c r="CD223" s="1136"/>
      <c r="CE223" s="1136"/>
      <c r="CF223" s="1136"/>
      <c r="CG223" s="1136"/>
      <c r="CH223" s="1136"/>
      <c r="CI223" s="1137"/>
      <c r="CJ223" s="1107"/>
      <c r="CK223" s="1107"/>
    </row>
    <row r="224" spans="1:89" ht="15.75" customHeight="1" thickBot="1" x14ac:dyDescent="0.3">
      <c r="A224" s="1107"/>
      <c r="B224" s="2009"/>
      <c r="C224" s="1184">
        <v>1</v>
      </c>
      <c r="D224" s="1205" t="str" cm="1">
        <f t="array" aca="1" ref="D224" ca="1">IF(INDIRECT("'Incentives Worksheet'!H"&amp;'Configurable Tab'!H19+6)=0,"",INDIRECT("'Incentives Worksheet'!H"&amp;'Configurable Tab'!H19+6))</f>
        <v/>
      </c>
      <c r="E224" s="1227" t="str" cm="1">
        <f t="array" aca="1" ref="E224" ca="1">IF(INDIRECT("'Incentives Worksheet'!J"&amp;'Configurable Tab'!H19+6)=0,"",INDIRECT("'Incentives Worksheet'!J"&amp;'Configurable Tab'!H19+6))</f>
        <v/>
      </c>
      <c r="F224" s="1207" t="str" cm="1">
        <f t="array" aca="1" ref="F224" ca="1">IF(INDIRECT("'Incentives Worksheet'!L"&amp;'Configurable Tab'!H19+6)=0,"",INDIRECT("'Incentives Worksheet'!L"&amp;'Configurable Tab'!H19+6))</f>
        <v/>
      </c>
      <c r="G224" s="1136"/>
      <c r="H224" s="1136"/>
      <c r="I224" s="1136"/>
      <c r="J224" s="1136"/>
      <c r="K224" s="1136"/>
      <c r="L224" s="1136"/>
      <c r="M224" s="1136"/>
      <c r="N224" s="1136"/>
      <c r="O224" s="1136"/>
      <c r="P224" s="1136"/>
      <c r="Q224" s="1137"/>
      <c r="R224" s="1107"/>
      <c r="S224" s="1107"/>
      <c r="T224" s="2010"/>
      <c r="U224" s="1184">
        <v>1</v>
      </c>
      <c r="V224" s="1205" t="str" cm="1">
        <f t="array" aca="1" ref="V224" ca="1">IF(INDIRECT("'Incentives Worksheet'!H"&amp;'Configurable Tab'!H20+6)=0,"",INDIRECT("'Incentives Worksheet'!H"&amp;'Configurable Tab'!H20+6))</f>
        <v/>
      </c>
      <c r="W224" s="1227" t="str" cm="1">
        <f t="array" aca="1" ref="W224" ca="1">IF(INDIRECT("'Incentives Worksheet'!J"&amp;'Configurable Tab'!H20+6)=0,"",INDIRECT("'Incentives Worksheet'!J"&amp;'Configurable Tab'!H20+6))</f>
        <v/>
      </c>
      <c r="X224" s="1207" t="str" cm="1">
        <f t="array" aca="1" ref="X224" ca="1">IF(INDIRECT("'Incentives Worksheet'!L"&amp;'Configurable Tab'!H20+6)=0,"",INDIRECT("'Incentives Worksheet'!L"&amp;'Configurable Tab'!H20+6))</f>
        <v/>
      </c>
      <c r="Y224" s="1136"/>
      <c r="Z224" s="1136"/>
      <c r="AA224" s="1136"/>
      <c r="AB224" s="1136"/>
      <c r="AC224" s="1136"/>
      <c r="AD224" s="1136"/>
      <c r="AE224" s="1136"/>
      <c r="AF224" s="1136"/>
      <c r="AG224" s="1136"/>
      <c r="AH224" s="1136"/>
      <c r="AI224" s="1137"/>
      <c r="AJ224" s="1107"/>
      <c r="AK224" s="1107"/>
      <c r="AL224" s="2010"/>
      <c r="AM224" s="1184">
        <v>1</v>
      </c>
      <c r="AN224" s="1205" t="str" cm="1">
        <f t="array" aca="1" ref="AN224" ca="1">IF(INDIRECT("'Incentives Worksheet'!H"&amp;'Configurable Tab'!H21+6)=0,"",INDIRECT("'Incentives Worksheet'!H"&amp;'Configurable Tab'!H21+6))</f>
        <v/>
      </c>
      <c r="AO224" s="1227" t="str" cm="1">
        <f t="array" aca="1" ref="AO224" ca="1">IF(INDIRECT("'Incentives Worksheet'!J"&amp;'Configurable Tab'!H21+6)=0,"",INDIRECT("'Incentives Worksheet'!J"&amp;'Configurable Tab'!H21+6))</f>
        <v/>
      </c>
      <c r="AP224" s="1207" t="str" cm="1">
        <f t="array" aca="1" ref="AP224" ca="1">IF(INDIRECT("'Incentives Worksheet'!L"&amp;'Configurable Tab'!H21+6)=0,"",INDIRECT("'Incentives Worksheet'!L"&amp;'Configurable Tab'!H21+6))</f>
        <v/>
      </c>
      <c r="AQ224" s="1136"/>
      <c r="AR224" s="1136"/>
      <c r="AS224" s="1136"/>
      <c r="AT224" s="1136"/>
      <c r="AU224" s="1136"/>
      <c r="AV224" s="1136"/>
      <c r="AW224" s="1136"/>
      <c r="AX224" s="1136"/>
      <c r="AY224" s="1136"/>
      <c r="AZ224" s="1136"/>
      <c r="BA224" s="1137"/>
      <c r="BB224" s="1107"/>
      <c r="BC224" s="2010"/>
      <c r="BD224" s="1184">
        <v>1</v>
      </c>
      <c r="BE224" s="1205" t="str" cm="1">
        <f t="array" aca="1" ref="BE224" ca="1">IF(INDIRECT("'Incentives Worksheet'!H"&amp;'Configurable Tab'!H22+6)=0,"",INDIRECT("'Incentives Worksheet'!H"&amp;'Configurable Tab'!H22+6))</f>
        <v/>
      </c>
      <c r="BF224" s="1227" t="str" cm="1">
        <f t="array" aca="1" ref="BF224" ca="1">IF(INDIRECT("'Incentives Worksheet'!J"&amp;'Configurable Tab'!H22+6)=0,"",INDIRECT("'Incentives Worksheet'!J"&amp;'Configurable Tab'!H22+6))</f>
        <v/>
      </c>
      <c r="BG224" s="1207" t="str" cm="1">
        <f t="array" aca="1" ref="BG224" ca="1">IF(INDIRECT("'Incentives Worksheet'!L"&amp;'Configurable Tab'!H22+6)=0,"",INDIRECT("'Incentives Worksheet'!L"&amp;'Configurable Tab'!H22+6))</f>
        <v/>
      </c>
      <c r="BH224" s="1136"/>
      <c r="BI224" s="1136"/>
      <c r="BJ224" s="1136"/>
      <c r="BK224" s="1136"/>
      <c r="BL224" s="1136"/>
      <c r="BM224" s="1136"/>
      <c r="BN224" s="1136"/>
      <c r="BO224" s="1136"/>
      <c r="BP224" s="1136"/>
      <c r="BQ224" s="1136"/>
      <c r="BR224" s="1137"/>
      <c r="BS224" s="1107"/>
      <c r="BT224" s="2010"/>
      <c r="BU224" s="1184">
        <v>1</v>
      </c>
      <c r="BV224" s="1205" t="str" cm="1">
        <f t="array" aca="1" ref="BV224" ca="1">IF(INDIRECT("'Incentives Worksheet'!H"&amp;'Configurable Tab'!H23+6)=0,"",INDIRECT("'Incentives Worksheet'!H"&amp;'Configurable Tab'!H23+6))</f>
        <v/>
      </c>
      <c r="BW224" s="1227" t="str" cm="1">
        <f t="array" aca="1" ref="BW224" ca="1">IF(INDIRECT("'Incentives Worksheet'!J"&amp;'Configurable Tab'!H23+6)=0,"",INDIRECT("'Incentives Worksheet'!J"&amp;'Configurable Tab'!H23+6))</f>
        <v/>
      </c>
      <c r="BX224" s="1207" t="str" cm="1">
        <f t="array" aca="1" ref="BX224" ca="1">IF(INDIRECT("'Incentives Worksheet'!L"&amp;'Configurable Tab'!H23+6)=0,"",INDIRECT("'Incentives Worksheet'!L"&amp;'Configurable Tab'!H23+6))</f>
        <v/>
      </c>
      <c r="BY224" s="1136"/>
      <c r="BZ224" s="1136"/>
      <c r="CA224" s="1136"/>
      <c r="CB224" s="1136"/>
      <c r="CC224" s="1136"/>
      <c r="CD224" s="1136"/>
      <c r="CE224" s="1136"/>
      <c r="CF224" s="1136"/>
      <c r="CG224" s="1136"/>
      <c r="CH224" s="1136"/>
      <c r="CI224" s="1137"/>
      <c r="CJ224" s="1107"/>
      <c r="CK224" s="1107"/>
    </row>
    <row r="225" spans="1:89" ht="15.75" customHeight="1" thickBot="1" x14ac:dyDescent="0.3">
      <c r="A225" s="1107"/>
      <c r="B225" s="2006" t="s">
        <v>1858</v>
      </c>
      <c r="C225" s="1191" t="s">
        <v>1859</v>
      </c>
      <c r="D225" s="1192" t="s">
        <v>131</v>
      </c>
      <c r="E225" s="1192" t="s">
        <v>1860</v>
      </c>
      <c r="F225" s="1107"/>
      <c r="G225" s="1107"/>
      <c r="H225" s="1107"/>
      <c r="I225" s="1107"/>
      <c r="J225" s="1107"/>
      <c r="K225" s="1107"/>
      <c r="L225" s="1107"/>
      <c r="M225" s="1107"/>
      <c r="N225" s="1107"/>
      <c r="O225" s="1107"/>
      <c r="P225" s="1107"/>
      <c r="Q225" s="1108"/>
      <c r="R225" s="1107"/>
      <c r="S225" s="1107"/>
      <c r="T225" s="2006" t="s">
        <v>1858</v>
      </c>
      <c r="U225" s="1191" t="s">
        <v>1859</v>
      </c>
      <c r="V225" s="1140" t="s">
        <v>131</v>
      </c>
      <c r="W225" s="1140" t="s">
        <v>1860</v>
      </c>
      <c r="X225" s="1107"/>
      <c r="Y225" s="1107"/>
      <c r="Z225" s="1107"/>
      <c r="AA225" s="1107"/>
      <c r="AB225" s="1107"/>
      <c r="AC225" s="1107"/>
      <c r="AD225" s="1107"/>
      <c r="AE225" s="1107"/>
      <c r="AF225" s="1107"/>
      <c r="AG225" s="1107"/>
      <c r="AH225" s="1107"/>
      <c r="AI225" s="1108"/>
      <c r="AJ225" s="1107"/>
      <c r="AK225" s="1107"/>
      <c r="AL225" s="2006" t="s">
        <v>1858</v>
      </c>
      <c r="AM225" s="1191" t="s">
        <v>1859</v>
      </c>
      <c r="AN225" s="1140" t="s">
        <v>131</v>
      </c>
      <c r="AO225" s="1140" t="s">
        <v>1860</v>
      </c>
      <c r="AP225" s="1107"/>
      <c r="AQ225" s="1107"/>
      <c r="AR225" s="1107"/>
      <c r="AS225" s="1107"/>
      <c r="AT225" s="1107"/>
      <c r="AU225" s="1107"/>
      <c r="AV225" s="1107"/>
      <c r="AW225" s="1107"/>
      <c r="AX225" s="1107"/>
      <c r="AY225" s="1107"/>
      <c r="AZ225" s="1107"/>
      <c r="BA225" s="1108"/>
      <c r="BB225" s="1107"/>
      <c r="BC225" s="2006" t="s">
        <v>1858</v>
      </c>
      <c r="BD225" s="1191" t="s">
        <v>1859</v>
      </c>
      <c r="BE225" s="1140" t="s">
        <v>131</v>
      </c>
      <c r="BF225" s="1140" t="s">
        <v>1860</v>
      </c>
      <c r="BG225" s="1107"/>
      <c r="BH225" s="1107"/>
      <c r="BI225" s="1107"/>
      <c r="BJ225" s="1107"/>
      <c r="BK225" s="1107"/>
      <c r="BL225" s="1107"/>
      <c r="BM225" s="1107"/>
      <c r="BN225" s="1107"/>
      <c r="BO225" s="1107"/>
      <c r="BP225" s="1107"/>
      <c r="BQ225" s="1107"/>
      <c r="BR225" s="1108"/>
      <c r="BS225" s="1107"/>
      <c r="BT225" s="2006" t="s">
        <v>1858</v>
      </c>
      <c r="BU225" s="1191" t="s">
        <v>1859</v>
      </c>
      <c r="BV225" s="1140" t="s">
        <v>131</v>
      </c>
      <c r="BW225" s="1140" t="s">
        <v>1860</v>
      </c>
      <c r="BX225" s="1107"/>
      <c r="BY225" s="1107"/>
      <c r="BZ225" s="1107"/>
      <c r="CA225" s="1107"/>
      <c r="CB225" s="1107"/>
      <c r="CC225" s="1107"/>
      <c r="CD225" s="1107"/>
      <c r="CE225" s="1107"/>
      <c r="CF225" s="1107"/>
      <c r="CG225" s="1107"/>
      <c r="CH225" s="1107"/>
      <c r="CI225" s="1108"/>
      <c r="CJ225" s="1107"/>
      <c r="CK225" s="1107"/>
    </row>
    <row r="226" spans="1:89" x14ac:dyDescent="0.25">
      <c r="A226" s="1107"/>
      <c r="B226" s="2011"/>
      <c r="C226" s="1141" t="s">
        <v>1861</v>
      </c>
      <c r="D226" s="1141" t="s">
        <v>1862</v>
      </c>
      <c r="E226" s="1142"/>
      <c r="F226" s="1107"/>
      <c r="G226" s="1107"/>
      <c r="H226" s="1107"/>
      <c r="I226" s="1107"/>
      <c r="J226" s="1107"/>
      <c r="K226" s="1107"/>
      <c r="L226" s="1107"/>
      <c r="M226" s="1107"/>
      <c r="N226" s="1107"/>
      <c r="O226" s="1107"/>
      <c r="P226" s="1107"/>
      <c r="Q226" s="1108"/>
      <c r="R226" s="1107"/>
      <c r="S226" s="1107"/>
      <c r="T226" s="2011"/>
      <c r="U226" s="1141" t="s">
        <v>1861</v>
      </c>
      <c r="V226" s="1141" t="s">
        <v>1862</v>
      </c>
      <c r="W226" s="1142"/>
      <c r="X226" s="1107"/>
      <c r="Y226" s="1107"/>
      <c r="Z226" s="1107"/>
      <c r="AA226" s="1107"/>
      <c r="AB226" s="1107"/>
      <c r="AC226" s="1107"/>
      <c r="AD226" s="1107"/>
      <c r="AE226" s="1107"/>
      <c r="AF226" s="1107"/>
      <c r="AG226" s="1107"/>
      <c r="AH226" s="1107"/>
      <c r="AI226" s="1108"/>
      <c r="AJ226" s="1107"/>
      <c r="AK226" s="1107"/>
      <c r="AL226" s="2011"/>
      <c r="AM226" s="1141" t="s">
        <v>1861</v>
      </c>
      <c r="AN226" s="1141" t="s">
        <v>1862</v>
      </c>
      <c r="AO226" s="1142"/>
      <c r="AP226" s="1107"/>
      <c r="AQ226" s="1107"/>
      <c r="AR226" s="1107"/>
      <c r="AS226" s="1107"/>
      <c r="AT226" s="1107"/>
      <c r="AU226" s="1107"/>
      <c r="AV226" s="1107"/>
      <c r="AW226" s="1107"/>
      <c r="AX226" s="1107"/>
      <c r="AY226" s="1107"/>
      <c r="AZ226" s="1107"/>
      <c r="BA226" s="1108"/>
      <c r="BB226" s="1107"/>
      <c r="BC226" s="2011"/>
      <c r="BD226" s="1141" t="s">
        <v>1861</v>
      </c>
      <c r="BE226" s="1141" t="s">
        <v>1862</v>
      </c>
      <c r="BF226" s="1142"/>
      <c r="BG226" s="1107"/>
      <c r="BH226" s="1107"/>
      <c r="BI226" s="1107"/>
      <c r="BJ226" s="1107"/>
      <c r="BK226" s="1107"/>
      <c r="BL226" s="1107"/>
      <c r="BM226" s="1107"/>
      <c r="BN226" s="1107"/>
      <c r="BO226" s="1107"/>
      <c r="BP226" s="1107"/>
      <c r="BQ226" s="1107"/>
      <c r="BR226" s="1108"/>
      <c r="BS226" s="1107"/>
      <c r="BT226" s="2011"/>
      <c r="BU226" s="1141" t="s">
        <v>1861</v>
      </c>
      <c r="BV226" s="1141" t="s">
        <v>1862</v>
      </c>
      <c r="BW226" s="1142"/>
      <c r="BX226" s="1107"/>
      <c r="BY226" s="1107"/>
      <c r="BZ226" s="1107"/>
      <c r="CA226" s="1107"/>
      <c r="CB226" s="1107"/>
      <c r="CC226" s="1107"/>
      <c r="CD226" s="1107"/>
      <c r="CE226" s="1107"/>
      <c r="CF226" s="1107"/>
      <c r="CG226" s="1107"/>
      <c r="CH226" s="1107"/>
      <c r="CI226" s="1108"/>
      <c r="CJ226" s="1107"/>
      <c r="CK226" s="1107"/>
    </row>
    <row r="227" spans="1:89" x14ac:dyDescent="0.25">
      <c r="A227" s="1107"/>
      <c r="B227" s="2011"/>
      <c r="C227" s="1143" t="s">
        <v>1861</v>
      </c>
      <c r="D227" s="1143" t="s">
        <v>1863</v>
      </c>
      <c r="E227" s="1144" t="s">
        <v>1864</v>
      </c>
      <c r="F227" s="1107"/>
      <c r="G227" s="1107"/>
      <c r="H227" s="1107"/>
      <c r="I227" s="1107"/>
      <c r="J227" s="1107"/>
      <c r="K227" s="1107"/>
      <c r="L227" s="1107"/>
      <c r="M227" s="1107"/>
      <c r="N227" s="1107"/>
      <c r="O227" s="1107"/>
      <c r="P227" s="1107"/>
      <c r="Q227" s="1108"/>
      <c r="R227" s="1107"/>
      <c r="S227" s="1107"/>
      <c r="T227" s="2011"/>
      <c r="U227" s="1143" t="s">
        <v>1861</v>
      </c>
      <c r="V227" s="1143" t="s">
        <v>1863</v>
      </c>
      <c r="W227" s="1144" t="s">
        <v>1864</v>
      </c>
      <c r="X227" s="1107"/>
      <c r="Y227" s="1107"/>
      <c r="Z227" s="1107"/>
      <c r="AA227" s="1107"/>
      <c r="AB227" s="1107"/>
      <c r="AC227" s="1107"/>
      <c r="AD227" s="1107"/>
      <c r="AE227" s="1107"/>
      <c r="AF227" s="1107"/>
      <c r="AG227" s="1107"/>
      <c r="AH227" s="1107"/>
      <c r="AI227" s="1108"/>
      <c r="AJ227" s="1107"/>
      <c r="AK227" s="1107"/>
      <c r="AL227" s="2011"/>
      <c r="AM227" s="1143" t="s">
        <v>1861</v>
      </c>
      <c r="AN227" s="1143" t="s">
        <v>1863</v>
      </c>
      <c r="AO227" s="1144" t="s">
        <v>1864</v>
      </c>
      <c r="AP227" s="1107"/>
      <c r="AQ227" s="1107"/>
      <c r="AR227" s="1107"/>
      <c r="AS227" s="1107"/>
      <c r="AT227" s="1107"/>
      <c r="AU227" s="1107"/>
      <c r="AV227" s="1107"/>
      <c r="AW227" s="1107"/>
      <c r="AX227" s="1107"/>
      <c r="AY227" s="1107"/>
      <c r="AZ227" s="1107"/>
      <c r="BA227" s="1108"/>
      <c r="BB227" s="1107"/>
      <c r="BC227" s="2011"/>
      <c r="BD227" s="1143" t="s">
        <v>1861</v>
      </c>
      <c r="BE227" s="1143" t="s">
        <v>1863</v>
      </c>
      <c r="BF227" s="1144" t="s">
        <v>1864</v>
      </c>
      <c r="BG227" s="1107"/>
      <c r="BH227" s="1107"/>
      <c r="BI227" s="1107"/>
      <c r="BJ227" s="1107"/>
      <c r="BK227" s="1107"/>
      <c r="BL227" s="1107"/>
      <c r="BM227" s="1107"/>
      <c r="BN227" s="1107"/>
      <c r="BO227" s="1107"/>
      <c r="BP227" s="1107"/>
      <c r="BQ227" s="1107"/>
      <c r="BR227" s="1108"/>
      <c r="BS227" s="1107"/>
      <c r="BT227" s="2011"/>
      <c r="BU227" s="1143" t="s">
        <v>1861</v>
      </c>
      <c r="BV227" s="1143" t="s">
        <v>1863</v>
      </c>
      <c r="BW227" s="1144" t="s">
        <v>1864</v>
      </c>
      <c r="BX227" s="1107"/>
      <c r="BY227" s="1107"/>
      <c r="BZ227" s="1107"/>
      <c r="CA227" s="1107"/>
      <c r="CB227" s="1107"/>
      <c r="CC227" s="1107"/>
      <c r="CD227" s="1107"/>
      <c r="CE227" s="1107"/>
      <c r="CF227" s="1107"/>
      <c r="CG227" s="1107"/>
      <c r="CH227" s="1107"/>
      <c r="CI227" s="1108"/>
      <c r="CJ227" s="1107"/>
      <c r="CK227" s="1107"/>
    </row>
    <row r="228" spans="1:89" x14ac:dyDescent="0.25">
      <c r="A228" s="1107"/>
      <c r="B228" s="2011"/>
      <c r="C228" s="1143" t="s">
        <v>1861</v>
      </c>
      <c r="D228" s="1143" t="s">
        <v>1865</v>
      </c>
      <c r="E228" s="1144" t="s">
        <v>1699</v>
      </c>
      <c r="F228" s="1107"/>
      <c r="G228" s="1107"/>
      <c r="H228" s="1107"/>
      <c r="I228" s="1107"/>
      <c r="J228" s="1107"/>
      <c r="K228" s="1107"/>
      <c r="L228" s="1107"/>
      <c r="M228" s="1107"/>
      <c r="N228" s="1107"/>
      <c r="O228" s="1107"/>
      <c r="P228" s="1107"/>
      <c r="Q228" s="1108"/>
      <c r="R228" s="1107"/>
      <c r="S228" s="1107"/>
      <c r="T228" s="2011"/>
      <c r="U228" s="1143" t="s">
        <v>1861</v>
      </c>
      <c r="V228" s="1143" t="s">
        <v>1865</v>
      </c>
      <c r="W228" s="1144" t="s">
        <v>1699</v>
      </c>
      <c r="X228" s="1107"/>
      <c r="Y228" s="1107"/>
      <c r="Z228" s="1107"/>
      <c r="AA228" s="1107"/>
      <c r="AB228" s="1107"/>
      <c r="AC228" s="1107"/>
      <c r="AD228" s="1107"/>
      <c r="AE228" s="1107"/>
      <c r="AF228" s="1107"/>
      <c r="AG228" s="1107"/>
      <c r="AH228" s="1107"/>
      <c r="AI228" s="1108"/>
      <c r="AJ228" s="1107"/>
      <c r="AK228" s="1107"/>
      <c r="AL228" s="2011"/>
      <c r="AM228" s="1143" t="s">
        <v>1861</v>
      </c>
      <c r="AN228" s="1143" t="s">
        <v>1865</v>
      </c>
      <c r="AO228" s="1144" t="s">
        <v>1699</v>
      </c>
      <c r="AP228" s="1107"/>
      <c r="AQ228" s="1107"/>
      <c r="AR228" s="1107"/>
      <c r="AS228" s="1107"/>
      <c r="AT228" s="1107"/>
      <c r="AU228" s="1107"/>
      <c r="AV228" s="1107"/>
      <c r="AW228" s="1107"/>
      <c r="AX228" s="1107"/>
      <c r="AY228" s="1107"/>
      <c r="AZ228" s="1107"/>
      <c r="BA228" s="1108"/>
      <c r="BB228" s="1107"/>
      <c r="BC228" s="2011"/>
      <c r="BD228" s="1143" t="s">
        <v>1861</v>
      </c>
      <c r="BE228" s="1143" t="s">
        <v>1865</v>
      </c>
      <c r="BF228" s="1144" t="s">
        <v>1699</v>
      </c>
      <c r="BG228" s="1107"/>
      <c r="BH228" s="1107"/>
      <c r="BI228" s="1107"/>
      <c r="BJ228" s="1107"/>
      <c r="BK228" s="1107"/>
      <c r="BL228" s="1107"/>
      <c r="BM228" s="1107"/>
      <c r="BN228" s="1107"/>
      <c r="BO228" s="1107"/>
      <c r="BP228" s="1107"/>
      <c r="BQ228" s="1107"/>
      <c r="BR228" s="1108"/>
      <c r="BS228" s="1107"/>
      <c r="BT228" s="2011"/>
      <c r="BU228" s="1143" t="s">
        <v>1861</v>
      </c>
      <c r="BV228" s="1143" t="s">
        <v>1865</v>
      </c>
      <c r="BW228" s="1144" t="s">
        <v>1699</v>
      </c>
      <c r="BX228" s="1107"/>
      <c r="BY228" s="1107"/>
      <c r="BZ228" s="1107"/>
      <c r="CA228" s="1107"/>
      <c r="CB228" s="1107"/>
      <c r="CC228" s="1107"/>
      <c r="CD228" s="1107"/>
      <c r="CE228" s="1107"/>
      <c r="CF228" s="1107"/>
      <c r="CG228" s="1107"/>
      <c r="CH228" s="1107"/>
      <c r="CI228" s="1108"/>
      <c r="CJ228" s="1107"/>
      <c r="CK228" s="1107"/>
    </row>
    <row r="229" spans="1:89" ht="15.75" customHeight="1" thickBot="1" x14ac:dyDescent="0.3">
      <c r="A229" s="1107"/>
      <c r="B229" s="2010"/>
      <c r="C229" s="1145" t="s">
        <v>1861</v>
      </c>
      <c r="D229" s="1145" t="s">
        <v>1866</v>
      </c>
      <c r="E229" s="1146" t="s">
        <v>1867</v>
      </c>
      <c r="F229" s="1107"/>
      <c r="G229" s="1107"/>
      <c r="H229" s="1107"/>
      <c r="I229" s="1107"/>
      <c r="J229" s="1107"/>
      <c r="K229" s="1107"/>
      <c r="L229" s="1107"/>
      <c r="M229" s="1107"/>
      <c r="N229" s="1107"/>
      <c r="O229" s="1107"/>
      <c r="P229" s="1107"/>
      <c r="Q229" s="1108"/>
      <c r="R229" s="1107"/>
      <c r="S229" s="1107"/>
      <c r="T229" s="2010"/>
      <c r="U229" s="1145" t="s">
        <v>1861</v>
      </c>
      <c r="V229" s="1145" t="s">
        <v>1866</v>
      </c>
      <c r="W229" s="1146" t="s">
        <v>1867</v>
      </c>
      <c r="X229" s="1107"/>
      <c r="Y229" s="1107"/>
      <c r="Z229" s="1107"/>
      <c r="AA229" s="1107"/>
      <c r="AB229" s="1107"/>
      <c r="AC229" s="1107"/>
      <c r="AD229" s="1107"/>
      <c r="AE229" s="1107"/>
      <c r="AF229" s="1107"/>
      <c r="AG229" s="1107"/>
      <c r="AH229" s="1107"/>
      <c r="AI229" s="1108"/>
      <c r="AJ229" s="1107"/>
      <c r="AK229" s="1107"/>
      <c r="AL229" s="2010"/>
      <c r="AM229" s="1145" t="s">
        <v>1861</v>
      </c>
      <c r="AN229" s="1145" t="s">
        <v>1866</v>
      </c>
      <c r="AO229" s="1146" t="s">
        <v>1867</v>
      </c>
      <c r="AP229" s="1107"/>
      <c r="AQ229" s="1107"/>
      <c r="AR229" s="1107"/>
      <c r="AS229" s="1107"/>
      <c r="AT229" s="1107"/>
      <c r="AU229" s="1107"/>
      <c r="AV229" s="1107"/>
      <c r="AW229" s="1107"/>
      <c r="AX229" s="1107"/>
      <c r="AY229" s="1107"/>
      <c r="AZ229" s="1107"/>
      <c r="BA229" s="1108"/>
      <c r="BB229" s="1107"/>
      <c r="BC229" s="2010"/>
      <c r="BD229" s="1145" t="s">
        <v>1861</v>
      </c>
      <c r="BE229" s="1145" t="s">
        <v>1866</v>
      </c>
      <c r="BF229" s="1146" t="s">
        <v>1867</v>
      </c>
      <c r="BG229" s="1107"/>
      <c r="BH229" s="1107"/>
      <c r="BI229" s="1107"/>
      <c r="BJ229" s="1107"/>
      <c r="BK229" s="1107"/>
      <c r="BL229" s="1107"/>
      <c r="BM229" s="1107"/>
      <c r="BN229" s="1107"/>
      <c r="BO229" s="1107"/>
      <c r="BP229" s="1107"/>
      <c r="BQ229" s="1107"/>
      <c r="BR229" s="1108"/>
      <c r="BS229" s="1107"/>
      <c r="BT229" s="2010"/>
      <c r="BU229" s="1145" t="s">
        <v>1861</v>
      </c>
      <c r="BV229" s="1145" t="s">
        <v>1866</v>
      </c>
      <c r="BW229" s="1146" t="s">
        <v>1867</v>
      </c>
      <c r="BX229" s="1107"/>
      <c r="BY229" s="1107"/>
      <c r="BZ229" s="1107"/>
      <c r="CA229" s="1107"/>
      <c r="CB229" s="1107"/>
      <c r="CC229" s="1107"/>
      <c r="CD229" s="1107"/>
      <c r="CE229" s="1107"/>
      <c r="CF229" s="1107"/>
      <c r="CG229" s="1107"/>
      <c r="CH229" s="1107"/>
      <c r="CI229" s="1108"/>
      <c r="CJ229" s="1107"/>
      <c r="CK229" s="1107"/>
    </row>
    <row r="230" spans="1:89" ht="15.75" customHeight="1" thickBot="1" x14ac:dyDescent="0.3">
      <c r="A230" s="1107"/>
      <c r="B230" s="2006" t="s">
        <v>1868</v>
      </c>
      <c r="C230" s="1147" t="s">
        <v>1869</v>
      </c>
      <c r="D230" s="1148" t="s">
        <v>1859</v>
      </c>
      <c r="E230" s="1148" t="s">
        <v>131</v>
      </c>
      <c r="F230" s="1148" t="s">
        <v>1860</v>
      </c>
      <c r="G230" s="1148" t="s">
        <v>1870</v>
      </c>
      <c r="H230" s="1149" t="s">
        <v>1871</v>
      </c>
      <c r="I230" s="1150" t="s">
        <v>766</v>
      </c>
      <c r="J230" s="1150" t="s">
        <v>767</v>
      </c>
      <c r="K230" s="1150" t="s">
        <v>768</v>
      </c>
      <c r="L230" s="1150" t="s">
        <v>769</v>
      </c>
      <c r="M230" s="1150" t="s">
        <v>204</v>
      </c>
      <c r="N230" s="1107"/>
      <c r="O230" s="1107"/>
      <c r="P230" s="1107"/>
      <c r="Q230" s="1108"/>
      <c r="R230" s="1107"/>
      <c r="S230" s="1107"/>
      <c r="T230" s="2006" t="s">
        <v>1868</v>
      </c>
      <c r="U230" s="1147" t="s">
        <v>1869</v>
      </c>
      <c r="V230" s="1148" t="s">
        <v>1859</v>
      </c>
      <c r="W230" s="1148" t="s">
        <v>131</v>
      </c>
      <c r="X230" s="1148" t="s">
        <v>1860</v>
      </c>
      <c r="Y230" s="1148" t="s">
        <v>1870</v>
      </c>
      <c r="Z230" s="1149" t="s">
        <v>1871</v>
      </c>
      <c r="AA230" s="1150" t="s">
        <v>766</v>
      </c>
      <c r="AB230" s="1150" t="s">
        <v>767</v>
      </c>
      <c r="AC230" s="1150" t="s">
        <v>768</v>
      </c>
      <c r="AD230" s="1150" t="s">
        <v>769</v>
      </c>
      <c r="AE230" s="1150" t="s">
        <v>204</v>
      </c>
      <c r="AF230" s="1107"/>
      <c r="AG230" s="1107"/>
      <c r="AH230" s="1107"/>
      <c r="AI230" s="1108"/>
      <c r="AJ230" s="1107"/>
      <c r="AK230" s="1107"/>
      <c r="AL230" s="2006" t="s">
        <v>1868</v>
      </c>
      <c r="AM230" s="1147" t="s">
        <v>1869</v>
      </c>
      <c r="AN230" s="1148" t="s">
        <v>1859</v>
      </c>
      <c r="AO230" s="1148" t="s">
        <v>131</v>
      </c>
      <c r="AP230" s="1148" t="s">
        <v>1860</v>
      </c>
      <c r="AQ230" s="1148" t="s">
        <v>1870</v>
      </c>
      <c r="AR230" s="1149" t="s">
        <v>1871</v>
      </c>
      <c r="AS230" s="1150" t="s">
        <v>766</v>
      </c>
      <c r="AT230" s="1150" t="s">
        <v>767</v>
      </c>
      <c r="AU230" s="1150" t="s">
        <v>768</v>
      </c>
      <c r="AV230" s="1150" t="s">
        <v>769</v>
      </c>
      <c r="AW230" s="1150" t="s">
        <v>204</v>
      </c>
      <c r="AX230" s="1107"/>
      <c r="AY230" s="1107"/>
      <c r="AZ230" s="1107"/>
      <c r="BA230" s="1108"/>
      <c r="BB230" s="1107"/>
      <c r="BC230" s="2006" t="s">
        <v>1868</v>
      </c>
      <c r="BD230" s="1147" t="s">
        <v>1869</v>
      </c>
      <c r="BE230" s="1148" t="s">
        <v>1859</v>
      </c>
      <c r="BF230" s="1148" t="s">
        <v>131</v>
      </c>
      <c r="BG230" s="1148" t="s">
        <v>1860</v>
      </c>
      <c r="BH230" s="1148" t="s">
        <v>1870</v>
      </c>
      <c r="BI230" s="1149" t="s">
        <v>1871</v>
      </c>
      <c r="BJ230" s="1150" t="s">
        <v>766</v>
      </c>
      <c r="BK230" s="1150" t="s">
        <v>767</v>
      </c>
      <c r="BL230" s="1150" t="s">
        <v>768</v>
      </c>
      <c r="BM230" s="1150" t="s">
        <v>769</v>
      </c>
      <c r="BN230" s="1150" t="s">
        <v>204</v>
      </c>
      <c r="BO230" s="1107"/>
      <c r="BP230" s="1107"/>
      <c r="BQ230" s="1107"/>
      <c r="BR230" s="1108"/>
      <c r="BS230" s="1107"/>
      <c r="BT230" s="2006" t="s">
        <v>1868</v>
      </c>
      <c r="BU230" s="1147" t="s">
        <v>1869</v>
      </c>
      <c r="BV230" s="1148" t="s">
        <v>1859</v>
      </c>
      <c r="BW230" s="1148" t="s">
        <v>131</v>
      </c>
      <c r="BX230" s="1148" t="s">
        <v>1860</v>
      </c>
      <c r="BY230" s="1148" t="s">
        <v>1870</v>
      </c>
      <c r="BZ230" s="1149" t="s">
        <v>1871</v>
      </c>
      <c r="CA230" s="1150" t="s">
        <v>766</v>
      </c>
      <c r="CB230" s="1150" t="s">
        <v>767</v>
      </c>
      <c r="CC230" s="1150" t="s">
        <v>768</v>
      </c>
      <c r="CD230" s="1150" t="s">
        <v>769</v>
      </c>
      <c r="CE230" s="1150" t="s">
        <v>204</v>
      </c>
      <c r="CF230" s="1107"/>
      <c r="CG230" s="1107"/>
      <c r="CH230" s="1107"/>
      <c r="CI230" s="1108"/>
      <c r="CJ230" s="1107"/>
      <c r="CK230" s="1107"/>
    </row>
    <row r="231" spans="1:89" x14ac:dyDescent="0.25">
      <c r="A231" s="1107"/>
      <c r="B231" s="2008"/>
      <c r="C231" s="1151">
        <v>1</v>
      </c>
      <c r="D231" s="1144" t="s">
        <v>1872</v>
      </c>
      <c r="E231" s="1144" t="s">
        <v>1426</v>
      </c>
      <c r="F231" s="1153" t="str">
        <f>'Required Info to Submit'!E23</f>
        <v/>
      </c>
      <c r="G231" s="1417" t="str">
        <f>IF(F231="","",'Required Info to Submit'!K23)</f>
        <v/>
      </c>
      <c r="H231" s="1418" t="str">
        <f>IF(F231="","",'Required Info to Submit'!L23)</f>
        <v/>
      </c>
      <c r="I231" s="1153" t="str">
        <f>'Required Info to Submit'!F23</f>
        <v/>
      </c>
      <c r="J231" s="1153" t="str">
        <f>'Required Info to Submit'!G23</f>
        <v/>
      </c>
      <c r="K231" s="1153" t="str">
        <f>'Required Info to Submit'!H23</f>
        <v/>
      </c>
      <c r="L231" s="1153" t="str">
        <f>'Required Info to Submit'!I23</f>
        <v/>
      </c>
      <c r="M231" s="1153" t="str">
        <f>'Required Info to Submit'!J23</f>
        <v/>
      </c>
      <c r="N231" s="1107"/>
      <c r="O231" s="1107"/>
      <c r="P231" s="1107"/>
      <c r="Q231" s="1108"/>
      <c r="R231" s="1107"/>
      <c r="S231" s="1107"/>
      <c r="T231" s="2008"/>
      <c r="U231" s="1151">
        <v>1</v>
      </c>
      <c r="V231" s="1144" t="s">
        <v>1872</v>
      </c>
      <c r="W231" s="1144" t="s">
        <v>1426</v>
      </c>
      <c r="X231" s="1153" t="str">
        <f>'Required Info to Submit'!E23</f>
        <v/>
      </c>
      <c r="Y231" s="1417" t="str">
        <f>IF(X231="","",'Required Info to Submit'!K23)</f>
        <v/>
      </c>
      <c r="Z231" s="1418" t="str">
        <f>IF(X231="","",'Required Info to Submit'!L23)</f>
        <v/>
      </c>
      <c r="AA231" s="1153" t="str">
        <f>'Required Info to Submit'!F23</f>
        <v/>
      </c>
      <c r="AB231" s="1153" t="str">
        <f>'Required Info to Submit'!G23</f>
        <v/>
      </c>
      <c r="AC231" s="1153" t="str">
        <f>'Required Info to Submit'!H23</f>
        <v/>
      </c>
      <c r="AD231" s="1153" t="str">
        <f>'Required Info to Submit'!I23</f>
        <v/>
      </c>
      <c r="AE231" s="1153" t="str">
        <f>'Required Info to Submit'!J23</f>
        <v/>
      </c>
      <c r="AF231" s="1107"/>
      <c r="AG231" s="1107"/>
      <c r="AH231" s="1107"/>
      <c r="AI231" s="1108"/>
      <c r="AJ231" s="1107"/>
      <c r="AK231" s="1107"/>
      <c r="AL231" s="2008"/>
      <c r="AM231" s="1151">
        <v>1</v>
      </c>
      <c r="AN231" s="1144" t="s">
        <v>1872</v>
      </c>
      <c r="AO231" s="1144" t="s">
        <v>1426</v>
      </c>
      <c r="AP231" s="1228" t="str">
        <f>'Required Info to Submit'!E23</f>
        <v/>
      </c>
      <c r="AQ231" s="1425" t="str">
        <f>IF(AP231="","",'Required Info to Submit'!K23)</f>
        <v/>
      </c>
      <c r="AR231" s="1426" t="str">
        <f>IF(AP231="","",'Required Info to Submit'!L23)</f>
        <v/>
      </c>
      <c r="AS231" s="1228" t="str">
        <f>'Required Info to Submit'!F23</f>
        <v/>
      </c>
      <c r="AT231" s="1228" t="str">
        <f>'Required Info to Submit'!G23</f>
        <v/>
      </c>
      <c r="AU231" s="1228" t="str">
        <f>'Required Info to Submit'!H23</f>
        <v/>
      </c>
      <c r="AV231" s="1228" t="str">
        <f>'Required Info to Submit'!I23</f>
        <v/>
      </c>
      <c r="AW231" s="1228" t="str">
        <f>'Required Info to Submit'!J23</f>
        <v/>
      </c>
      <c r="AX231" s="1107"/>
      <c r="AY231" s="1107"/>
      <c r="AZ231" s="1107"/>
      <c r="BA231" s="1108"/>
      <c r="BB231" s="1107"/>
      <c r="BC231" s="2008"/>
      <c r="BD231" s="1151">
        <v>1</v>
      </c>
      <c r="BE231" s="1144" t="s">
        <v>1872</v>
      </c>
      <c r="BF231" s="1144" t="s">
        <v>1426</v>
      </c>
      <c r="BG231" s="1153" t="str">
        <f>'Required Info to Submit'!E23</f>
        <v/>
      </c>
      <c r="BH231" s="1417" t="str">
        <f>IF(BG231="","",'Required Info to Submit'!K23)</f>
        <v/>
      </c>
      <c r="BI231" s="1418" t="str">
        <f>IF(BG231="","",'Required Info to Submit'!L23)</f>
        <v/>
      </c>
      <c r="BJ231" s="1153" t="str">
        <f>'Required Info to Submit'!F23</f>
        <v/>
      </c>
      <c r="BK231" s="1153" t="str">
        <f>'Required Info to Submit'!G23</f>
        <v/>
      </c>
      <c r="BL231" s="1153" t="str">
        <f>'Required Info to Submit'!H23</f>
        <v/>
      </c>
      <c r="BM231" s="1153" t="str">
        <f>'Required Info to Submit'!I23</f>
        <v/>
      </c>
      <c r="BN231" s="1153" t="str">
        <f>'Required Info to Submit'!J23</f>
        <v/>
      </c>
      <c r="BO231" s="1107"/>
      <c r="BP231" s="1107"/>
      <c r="BQ231" s="1107"/>
      <c r="BR231" s="1108"/>
      <c r="BS231" s="1107"/>
      <c r="BT231" s="2008"/>
      <c r="BU231" s="1151">
        <v>1</v>
      </c>
      <c r="BV231" s="1144" t="s">
        <v>1872</v>
      </c>
      <c r="BW231" s="1144" t="s">
        <v>1426</v>
      </c>
      <c r="BX231" s="1153" t="str">
        <f>'Required Info to Submit'!E23</f>
        <v/>
      </c>
      <c r="BY231" s="1417" t="str">
        <f>IF(BG231="","",'Required Info to Submit'!K23)</f>
        <v/>
      </c>
      <c r="BZ231" s="1418" t="str">
        <f>IF(BG231="","",'Required Info to Submit'!L23)</f>
        <v/>
      </c>
      <c r="CA231" s="1153" t="str">
        <f>'Required Info to Submit'!F23</f>
        <v/>
      </c>
      <c r="CB231" s="1153" t="str">
        <f>'Required Info to Submit'!G23</f>
        <v/>
      </c>
      <c r="CC231" s="1153" t="str">
        <f>'Required Info to Submit'!H23</f>
        <v/>
      </c>
      <c r="CD231" s="1153" t="str">
        <f>'Required Info to Submit'!I23</f>
        <v/>
      </c>
      <c r="CE231" s="1153" t="str">
        <f>'Required Info to Submit'!J23</f>
        <v/>
      </c>
      <c r="CF231" s="1107"/>
      <c r="CG231" s="1107"/>
      <c r="CH231" s="1107"/>
      <c r="CI231" s="1108"/>
      <c r="CJ231" s="1107"/>
      <c r="CK231" s="1107"/>
    </row>
    <row r="232" spans="1:89" x14ac:dyDescent="0.25">
      <c r="A232" s="1107"/>
      <c r="B232" s="2008"/>
      <c r="C232" s="1154">
        <v>2</v>
      </c>
      <c r="D232" s="1144" t="s">
        <v>1872</v>
      </c>
      <c r="E232" s="1144" t="s">
        <v>1426</v>
      </c>
      <c r="F232" s="1153" t="str">
        <f>'Required Info to Submit'!E24</f>
        <v/>
      </c>
      <c r="G232" s="1417" t="str">
        <f>IF(F232="","",'Required Info to Submit'!K24)</f>
        <v/>
      </c>
      <c r="H232" s="1418" t="str">
        <f>IF(F232="","",'Required Info to Submit'!L24)</f>
        <v/>
      </c>
      <c r="I232" s="1153" t="str">
        <f>'Required Info to Submit'!F24</f>
        <v/>
      </c>
      <c r="J232" s="1153" t="str">
        <f>'Required Info to Submit'!G24</f>
        <v/>
      </c>
      <c r="K232" s="1153" t="str">
        <f>'Required Info to Submit'!H24</f>
        <v/>
      </c>
      <c r="L232" s="1153" t="str">
        <f>'Required Info to Submit'!I24</f>
        <v/>
      </c>
      <c r="M232" s="1153" t="str">
        <f>'Required Info to Submit'!J24</f>
        <v/>
      </c>
      <c r="N232" s="1107"/>
      <c r="O232" s="1107"/>
      <c r="P232" s="1107"/>
      <c r="Q232" s="1108"/>
      <c r="R232" s="1107"/>
      <c r="S232" s="1107"/>
      <c r="T232" s="2008"/>
      <c r="U232" s="1154">
        <v>2</v>
      </c>
      <c r="V232" s="1144" t="s">
        <v>1872</v>
      </c>
      <c r="W232" s="1144" t="s">
        <v>1426</v>
      </c>
      <c r="X232" s="1153" t="str">
        <f>'Required Info to Submit'!E24</f>
        <v/>
      </c>
      <c r="Y232" s="1417" t="str">
        <f>IF(X232="","",'Required Info to Submit'!K24)</f>
        <v/>
      </c>
      <c r="Z232" s="1418" t="str">
        <f>IF(X232="","",'Required Info to Submit'!L24)</f>
        <v/>
      </c>
      <c r="AA232" s="1153" t="str">
        <f>'Required Info to Submit'!F24</f>
        <v/>
      </c>
      <c r="AB232" s="1153" t="str">
        <f>'Required Info to Submit'!G24</f>
        <v/>
      </c>
      <c r="AC232" s="1153" t="str">
        <f>'Required Info to Submit'!H24</f>
        <v/>
      </c>
      <c r="AD232" s="1153" t="str">
        <f>'Required Info to Submit'!I24</f>
        <v/>
      </c>
      <c r="AE232" s="1153" t="str">
        <f>'Required Info to Submit'!J24</f>
        <v/>
      </c>
      <c r="AF232" s="1107"/>
      <c r="AG232" s="1107"/>
      <c r="AH232" s="1107"/>
      <c r="AI232" s="1108"/>
      <c r="AJ232" s="1107"/>
      <c r="AK232" s="1107"/>
      <c r="AL232" s="2008"/>
      <c r="AM232" s="1154">
        <v>2</v>
      </c>
      <c r="AN232" s="1144" t="s">
        <v>1872</v>
      </c>
      <c r="AO232" s="1144" t="s">
        <v>1426</v>
      </c>
      <c r="AP232" s="1228" t="str">
        <f>'Required Info to Submit'!E24</f>
        <v/>
      </c>
      <c r="AQ232" s="1425" t="str">
        <f>IF(AP232="","",'Required Info to Submit'!K24)</f>
        <v/>
      </c>
      <c r="AR232" s="1426" t="str">
        <f>IF(AP232="","",'Required Info to Submit'!L24)</f>
        <v/>
      </c>
      <c r="AS232" s="1228" t="str">
        <f>'Required Info to Submit'!F24</f>
        <v/>
      </c>
      <c r="AT232" s="1228" t="str">
        <f>'Required Info to Submit'!G24</f>
        <v/>
      </c>
      <c r="AU232" s="1228" t="str">
        <f>'Required Info to Submit'!H24</f>
        <v/>
      </c>
      <c r="AV232" s="1228" t="str">
        <f>'Required Info to Submit'!I24</f>
        <v/>
      </c>
      <c r="AW232" s="1228" t="str">
        <f>'Required Info to Submit'!J24</f>
        <v/>
      </c>
      <c r="AX232" s="1107"/>
      <c r="AY232" s="1107"/>
      <c r="AZ232" s="1107"/>
      <c r="BA232" s="1108"/>
      <c r="BB232" s="1107"/>
      <c r="BC232" s="2008"/>
      <c r="BD232" s="1154">
        <v>2</v>
      </c>
      <c r="BE232" s="1144" t="s">
        <v>1872</v>
      </c>
      <c r="BF232" s="1144" t="s">
        <v>1426</v>
      </c>
      <c r="BG232" s="1153" t="str">
        <f>'Required Info to Submit'!E24</f>
        <v/>
      </c>
      <c r="BH232" s="1417" t="str">
        <f>IF(BG232="","",'Required Info to Submit'!K24)</f>
        <v/>
      </c>
      <c r="BI232" s="1418" t="str">
        <f>IF(BG232="","",'Required Info to Submit'!L24)</f>
        <v/>
      </c>
      <c r="BJ232" s="1153" t="str">
        <f>'Required Info to Submit'!F24</f>
        <v/>
      </c>
      <c r="BK232" s="1153" t="str">
        <f>'Required Info to Submit'!G24</f>
        <v/>
      </c>
      <c r="BL232" s="1153" t="str">
        <f>'Required Info to Submit'!H24</f>
        <v/>
      </c>
      <c r="BM232" s="1153" t="str">
        <f>'Required Info to Submit'!I24</f>
        <v/>
      </c>
      <c r="BN232" s="1153" t="str">
        <f>'Required Info to Submit'!J24</f>
        <v/>
      </c>
      <c r="BO232" s="1107"/>
      <c r="BP232" s="1107"/>
      <c r="BQ232" s="1107"/>
      <c r="BR232" s="1108"/>
      <c r="BS232" s="1107"/>
      <c r="BT232" s="2008"/>
      <c r="BU232" s="1154">
        <v>2</v>
      </c>
      <c r="BV232" s="1144" t="s">
        <v>1872</v>
      </c>
      <c r="BW232" s="1144" t="s">
        <v>1426</v>
      </c>
      <c r="BX232" s="1153" t="str">
        <f>'Required Info to Submit'!E24</f>
        <v/>
      </c>
      <c r="BY232" s="1417" t="str">
        <f>IF(BG232="","",'Required Info to Submit'!K24)</f>
        <v/>
      </c>
      <c r="BZ232" s="1418" t="str">
        <f>IF(BG232="","",'Required Info to Submit'!L24)</f>
        <v/>
      </c>
      <c r="CA232" s="1153" t="str">
        <f>'Required Info to Submit'!F24</f>
        <v/>
      </c>
      <c r="CB232" s="1153" t="str">
        <f>'Required Info to Submit'!G24</f>
        <v/>
      </c>
      <c r="CC232" s="1153" t="str">
        <f>'Required Info to Submit'!H24</f>
        <v/>
      </c>
      <c r="CD232" s="1153" t="str">
        <f>'Required Info to Submit'!I24</f>
        <v/>
      </c>
      <c r="CE232" s="1153" t="str">
        <f>'Required Info to Submit'!J24</f>
        <v/>
      </c>
      <c r="CF232" s="1107"/>
      <c r="CG232" s="1107"/>
      <c r="CH232" s="1107"/>
      <c r="CI232" s="1108"/>
      <c r="CJ232" s="1107"/>
      <c r="CK232" s="1107"/>
    </row>
    <row r="233" spans="1:89" x14ac:dyDescent="0.25">
      <c r="A233" s="1107"/>
      <c r="B233" s="2008"/>
      <c r="C233" s="1154">
        <v>3</v>
      </c>
      <c r="D233" s="1144" t="s">
        <v>1872</v>
      </c>
      <c r="E233" s="1144" t="s">
        <v>1426</v>
      </c>
      <c r="F233" s="1153" t="str">
        <f>'Required Info to Submit'!E25</f>
        <v/>
      </c>
      <c r="G233" s="1417" t="str">
        <f>IF(F233="","",'Required Info to Submit'!K25)</f>
        <v/>
      </c>
      <c r="H233" s="1418" t="str">
        <f>IF(F233="","",'Required Info to Submit'!L25)</f>
        <v/>
      </c>
      <c r="I233" s="1153" t="str">
        <f>'Required Info to Submit'!F25</f>
        <v/>
      </c>
      <c r="J233" s="1153" t="str">
        <f>'Required Info to Submit'!G25</f>
        <v/>
      </c>
      <c r="K233" s="1153" t="str">
        <f>'Required Info to Submit'!H25</f>
        <v/>
      </c>
      <c r="L233" s="1153" t="str">
        <f>'Required Info to Submit'!I25</f>
        <v/>
      </c>
      <c r="M233" s="1153" t="str">
        <f>'Required Info to Submit'!J25</f>
        <v/>
      </c>
      <c r="N233" s="1107"/>
      <c r="O233" s="1107"/>
      <c r="P233" s="1107"/>
      <c r="Q233" s="1108"/>
      <c r="R233" s="1107"/>
      <c r="S233" s="1107"/>
      <c r="T233" s="2008"/>
      <c r="U233" s="1154">
        <v>3</v>
      </c>
      <c r="V233" s="1144" t="s">
        <v>1872</v>
      </c>
      <c r="W233" s="1144" t="s">
        <v>1426</v>
      </c>
      <c r="X233" s="1153" t="str">
        <f>'Required Info to Submit'!E25</f>
        <v/>
      </c>
      <c r="Y233" s="1417" t="str">
        <f>IF(X233="","",'Required Info to Submit'!K25)</f>
        <v/>
      </c>
      <c r="Z233" s="1418" t="str">
        <f>IF(X233="","",'Required Info to Submit'!L25)</f>
        <v/>
      </c>
      <c r="AA233" s="1153" t="str">
        <f>'Required Info to Submit'!F25</f>
        <v/>
      </c>
      <c r="AB233" s="1153" t="str">
        <f>'Required Info to Submit'!G25</f>
        <v/>
      </c>
      <c r="AC233" s="1153" t="str">
        <f>'Required Info to Submit'!H25</f>
        <v/>
      </c>
      <c r="AD233" s="1153" t="str">
        <f>'Required Info to Submit'!I25</f>
        <v/>
      </c>
      <c r="AE233" s="1153" t="str">
        <f>'Required Info to Submit'!J25</f>
        <v/>
      </c>
      <c r="AF233" s="1107"/>
      <c r="AG233" s="1107"/>
      <c r="AH233" s="1107"/>
      <c r="AI233" s="1108"/>
      <c r="AJ233" s="1107"/>
      <c r="AK233" s="1107"/>
      <c r="AL233" s="2008"/>
      <c r="AM233" s="1154">
        <v>3</v>
      </c>
      <c r="AN233" s="1144" t="s">
        <v>1872</v>
      </c>
      <c r="AO233" s="1144" t="s">
        <v>1426</v>
      </c>
      <c r="AP233" s="1228" t="str">
        <f>'Required Info to Submit'!E25</f>
        <v/>
      </c>
      <c r="AQ233" s="1425" t="str">
        <f>IF(AP233="","",'Required Info to Submit'!K25)</f>
        <v/>
      </c>
      <c r="AR233" s="1426" t="str">
        <f>IF(AP233="","",'Required Info to Submit'!L25)</f>
        <v/>
      </c>
      <c r="AS233" s="1228" t="str">
        <f>'Required Info to Submit'!F25</f>
        <v/>
      </c>
      <c r="AT233" s="1228" t="str">
        <f>'Required Info to Submit'!G25</f>
        <v/>
      </c>
      <c r="AU233" s="1228" t="str">
        <f>'Required Info to Submit'!H25</f>
        <v/>
      </c>
      <c r="AV233" s="1228" t="str">
        <f>'Required Info to Submit'!I25</f>
        <v/>
      </c>
      <c r="AW233" s="1228" t="str">
        <f>'Required Info to Submit'!J25</f>
        <v/>
      </c>
      <c r="AX233" s="1107"/>
      <c r="AY233" s="1107"/>
      <c r="AZ233" s="1107"/>
      <c r="BA233" s="1108"/>
      <c r="BB233" s="1107"/>
      <c r="BC233" s="2008"/>
      <c r="BD233" s="1154">
        <v>3</v>
      </c>
      <c r="BE233" s="1144" t="s">
        <v>1872</v>
      </c>
      <c r="BF233" s="1144" t="s">
        <v>1426</v>
      </c>
      <c r="BG233" s="1153" t="str">
        <f>'Required Info to Submit'!E25</f>
        <v/>
      </c>
      <c r="BH233" s="1417" t="str">
        <f>IF(BG233="","",'Required Info to Submit'!K25)</f>
        <v/>
      </c>
      <c r="BI233" s="1418" t="str">
        <f>IF(BG233="","",'Required Info to Submit'!L25)</f>
        <v/>
      </c>
      <c r="BJ233" s="1153" t="str">
        <f>'Required Info to Submit'!F25</f>
        <v/>
      </c>
      <c r="BK233" s="1153" t="str">
        <f>'Required Info to Submit'!G25</f>
        <v/>
      </c>
      <c r="BL233" s="1153" t="str">
        <f>'Required Info to Submit'!H25</f>
        <v/>
      </c>
      <c r="BM233" s="1153" t="str">
        <f>'Required Info to Submit'!I25</f>
        <v/>
      </c>
      <c r="BN233" s="1153" t="str">
        <f>'Required Info to Submit'!J25</f>
        <v/>
      </c>
      <c r="BO233" s="1107"/>
      <c r="BP233" s="1107"/>
      <c r="BQ233" s="1107"/>
      <c r="BR233" s="1108"/>
      <c r="BS233" s="1107"/>
      <c r="BT233" s="2008"/>
      <c r="BU233" s="1154">
        <v>3</v>
      </c>
      <c r="BV233" s="1144" t="s">
        <v>1872</v>
      </c>
      <c r="BW233" s="1144" t="s">
        <v>1426</v>
      </c>
      <c r="BX233" s="1153" t="str">
        <f>'Required Info to Submit'!E25</f>
        <v/>
      </c>
      <c r="BY233" s="1417" t="str">
        <f>IF(BG233="","",'Required Info to Submit'!K25)</f>
        <v/>
      </c>
      <c r="BZ233" s="1418" t="str">
        <f>IF(BG233="","",'Required Info to Submit'!L25)</f>
        <v/>
      </c>
      <c r="CA233" s="1153" t="str">
        <f>'Required Info to Submit'!F25</f>
        <v/>
      </c>
      <c r="CB233" s="1153" t="str">
        <f>'Required Info to Submit'!G25</f>
        <v/>
      </c>
      <c r="CC233" s="1153" t="str">
        <f>'Required Info to Submit'!H25</f>
        <v/>
      </c>
      <c r="CD233" s="1153" t="str">
        <f>'Required Info to Submit'!I25</f>
        <v/>
      </c>
      <c r="CE233" s="1153" t="str">
        <f>'Required Info to Submit'!J25</f>
        <v/>
      </c>
      <c r="CF233" s="1107"/>
      <c r="CG233" s="1107"/>
      <c r="CH233" s="1107"/>
      <c r="CI233" s="1108"/>
      <c r="CJ233" s="1107"/>
      <c r="CK233" s="1107"/>
    </row>
    <row r="234" spans="1:89" x14ac:dyDescent="0.25">
      <c r="A234" s="1107"/>
      <c r="B234" s="2008"/>
      <c r="C234" s="1154">
        <v>4</v>
      </c>
      <c r="D234" s="1144" t="s">
        <v>1872</v>
      </c>
      <c r="E234" s="1144" t="s">
        <v>1426</v>
      </c>
      <c r="F234" s="1153" t="str">
        <f>'Required Info to Submit'!E26</f>
        <v/>
      </c>
      <c r="G234" s="1417" t="str">
        <f>IF(F234="","",'Required Info to Submit'!K26)</f>
        <v/>
      </c>
      <c r="H234" s="1418" t="str">
        <f>IF(F234="","",'Required Info to Submit'!L26)</f>
        <v/>
      </c>
      <c r="I234" s="1153" t="str">
        <f>'Required Info to Submit'!F26</f>
        <v/>
      </c>
      <c r="J234" s="1153" t="str">
        <f>'Required Info to Submit'!G26</f>
        <v/>
      </c>
      <c r="K234" s="1153" t="str">
        <f>'Required Info to Submit'!H26</f>
        <v/>
      </c>
      <c r="L234" s="1153" t="str">
        <f>'Required Info to Submit'!I26</f>
        <v/>
      </c>
      <c r="M234" s="1153" t="str">
        <f>'Required Info to Submit'!J26</f>
        <v/>
      </c>
      <c r="N234" s="1107"/>
      <c r="O234" s="1107"/>
      <c r="P234" s="1107"/>
      <c r="Q234" s="1108"/>
      <c r="R234" s="1107"/>
      <c r="S234" s="1107"/>
      <c r="T234" s="2008"/>
      <c r="U234" s="1154">
        <v>4</v>
      </c>
      <c r="V234" s="1144" t="s">
        <v>1872</v>
      </c>
      <c r="W234" s="1144" t="s">
        <v>1426</v>
      </c>
      <c r="X234" s="1153" t="str">
        <f>'Required Info to Submit'!E26</f>
        <v/>
      </c>
      <c r="Y234" s="1417" t="str">
        <f>IF(X234="","",'Required Info to Submit'!K26)</f>
        <v/>
      </c>
      <c r="Z234" s="1418" t="str">
        <f>IF(X234="","",'Required Info to Submit'!L26)</f>
        <v/>
      </c>
      <c r="AA234" s="1153" t="str">
        <f>'Required Info to Submit'!F26</f>
        <v/>
      </c>
      <c r="AB234" s="1153" t="str">
        <f>'Required Info to Submit'!G26</f>
        <v/>
      </c>
      <c r="AC234" s="1153" t="str">
        <f>'Required Info to Submit'!H26</f>
        <v/>
      </c>
      <c r="AD234" s="1153" t="str">
        <f>'Required Info to Submit'!I26</f>
        <v/>
      </c>
      <c r="AE234" s="1153" t="str">
        <f>'Required Info to Submit'!J26</f>
        <v/>
      </c>
      <c r="AF234" s="1107"/>
      <c r="AG234" s="1107"/>
      <c r="AH234" s="1107"/>
      <c r="AI234" s="1108"/>
      <c r="AJ234" s="1107"/>
      <c r="AK234" s="1107"/>
      <c r="AL234" s="2008"/>
      <c r="AM234" s="1154">
        <v>4</v>
      </c>
      <c r="AN234" s="1144" t="s">
        <v>1872</v>
      </c>
      <c r="AO234" s="1144" t="s">
        <v>1426</v>
      </c>
      <c r="AP234" s="1228" t="str">
        <f>'Required Info to Submit'!E26</f>
        <v/>
      </c>
      <c r="AQ234" s="1425" t="str">
        <f>IF(AP234="","",'Required Info to Submit'!K26)</f>
        <v/>
      </c>
      <c r="AR234" s="1426" t="str">
        <f>IF(AP234="","",'Required Info to Submit'!L26)</f>
        <v/>
      </c>
      <c r="AS234" s="1228" t="str">
        <f>'Required Info to Submit'!F26</f>
        <v/>
      </c>
      <c r="AT234" s="1228" t="str">
        <f>'Required Info to Submit'!G26</f>
        <v/>
      </c>
      <c r="AU234" s="1228" t="str">
        <f>'Required Info to Submit'!H26</f>
        <v/>
      </c>
      <c r="AV234" s="1228" t="str">
        <f>'Required Info to Submit'!I26</f>
        <v/>
      </c>
      <c r="AW234" s="1228" t="str">
        <f>'Required Info to Submit'!J26</f>
        <v/>
      </c>
      <c r="AX234" s="1107"/>
      <c r="AY234" s="1107"/>
      <c r="AZ234" s="1107"/>
      <c r="BA234" s="1108"/>
      <c r="BB234" s="1107"/>
      <c r="BC234" s="2008"/>
      <c r="BD234" s="1154">
        <v>4</v>
      </c>
      <c r="BE234" s="1144" t="s">
        <v>1872</v>
      </c>
      <c r="BF234" s="1144" t="s">
        <v>1426</v>
      </c>
      <c r="BG234" s="1153" t="str">
        <f>'Required Info to Submit'!E26</f>
        <v/>
      </c>
      <c r="BH234" s="1417" t="str">
        <f>IF(BG234="","",'Required Info to Submit'!K26)</f>
        <v/>
      </c>
      <c r="BI234" s="1418" t="str">
        <f>IF(BG234="","",'Required Info to Submit'!L26)</f>
        <v/>
      </c>
      <c r="BJ234" s="1153" t="str">
        <f>'Required Info to Submit'!F26</f>
        <v/>
      </c>
      <c r="BK234" s="1153" t="str">
        <f>'Required Info to Submit'!G26</f>
        <v/>
      </c>
      <c r="BL234" s="1153" t="str">
        <f>'Required Info to Submit'!H26</f>
        <v/>
      </c>
      <c r="BM234" s="1153" t="str">
        <f>'Required Info to Submit'!I26</f>
        <v/>
      </c>
      <c r="BN234" s="1153" t="str">
        <f>'Required Info to Submit'!J26</f>
        <v/>
      </c>
      <c r="BO234" s="1107"/>
      <c r="BP234" s="1107"/>
      <c r="BQ234" s="1107"/>
      <c r="BR234" s="1108"/>
      <c r="BS234" s="1107"/>
      <c r="BT234" s="2008"/>
      <c r="BU234" s="1154">
        <v>4</v>
      </c>
      <c r="BV234" s="1144" t="s">
        <v>1872</v>
      </c>
      <c r="BW234" s="1144" t="s">
        <v>1426</v>
      </c>
      <c r="BX234" s="1153" t="str">
        <f>'Required Info to Submit'!E26</f>
        <v/>
      </c>
      <c r="BY234" s="1417" t="str">
        <f>IF(BG234="","",'Required Info to Submit'!K26)</f>
        <v/>
      </c>
      <c r="BZ234" s="1418" t="str">
        <f>IF(BG234="","",'Required Info to Submit'!L26)</f>
        <v/>
      </c>
      <c r="CA234" s="1153" t="str">
        <f>'Required Info to Submit'!F26</f>
        <v/>
      </c>
      <c r="CB234" s="1153" t="str">
        <f>'Required Info to Submit'!G26</f>
        <v/>
      </c>
      <c r="CC234" s="1153" t="str">
        <f>'Required Info to Submit'!H26</f>
        <v/>
      </c>
      <c r="CD234" s="1153" t="str">
        <f>'Required Info to Submit'!I26</f>
        <v/>
      </c>
      <c r="CE234" s="1153" t="str">
        <f>'Required Info to Submit'!J26</f>
        <v/>
      </c>
      <c r="CF234" s="1107"/>
      <c r="CG234" s="1107"/>
      <c r="CH234" s="1107"/>
      <c r="CI234" s="1108"/>
      <c r="CJ234" s="1107"/>
      <c r="CK234" s="1107"/>
    </row>
    <row r="235" spans="1:89" x14ac:dyDescent="0.25">
      <c r="A235" s="1107"/>
      <c r="B235" s="2008"/>
      <c r="C235" s="1154">
        <v>5</v>
      </c>
      <c r="D235" s="1144" t="s">
        <v>1872</v>
      </c>
      <c r="E235" s="1144" t="s">
        <v>1426</v>
      </c>
      <c r="F235" s="1153" t="str">
        <f>'Required Info to Submit'!E27</f>
        <v/>
      </c>
      <c r="G235" s="1417" t="str">
        <f>IF(F235="","",'Required Info to Submit'!K27)</f>
        <v/>
      </c>
      <c r="H235" s="1418" t="str">
        <f>IF(F235="","",'Required Info to Submit'!L27)</f>
        <v/>
      </c>
      <c r="I235" s="1153" t="str">
        <f>'Required Info to Submit'!F27</f>
        <v/>
      </c>
      <c r="J235" s="1153" t="str">
        <f>'Required Info to Submit'!G27</f>
        <v/>
      </c>
      <c r="K235" s="1153" t="str">
        <f>'Required Info to Submit'!H27</f>
        <v/>
      </c>
      <c r="L235" s="1153" t="str">
        <f>'Required Info to Submit'!I27</f>
        <v/>
      </c>
      <c r="M235" s="1153" t="str">
        <f>'Required Info to Submit'!J27</f>
        <v/>
      </c>
      <c r="N235" s="1107"/>
      <c r="O235" s="1107"/>
      <c r="P235" s="1107"/>
      <c r="Q235" s="1108"/>
      <c r="R235" s="1107"/>
      <c r="S235" s="1107"/>
      <c r="T235" s="2008"/>
      <c r="U235" s="1154">
        <v>5</v>
      </c>
      <c r="V235" s="1144" t="s">
        <v>1872</v>
      </c>
      <c r="W235" s="1144" t="s">
        <v>1426</v>
      </c>
      <c r="X235" s="1153" t="str">
        <f>'Required Info to Submit'!E27</f>
        <v/>
      </c>
      <c r="Y235" s="1417" t="str">
        <f>IF(X235="","",'Required Info to Submit'!K27)</f>
        <v/>
      </c>
      <c r="Z235" s="1418" t="str">
        <f>IF(X235="","",'Required Info to Submit'!L27)</f>
        <v/>
      </c>
      <c r="AA235" s="1153" t="str">
        <f>'Required Info to Submit'!F27</f>
        <v/>
      </c>
      <c r="AB235" s="1153" t="str">
        <f>'Required Info to Submit'!G27</f>
        <v/>
      </c>
      <c r="AC235" s="1153" t="str">
        <f>'Required Info to Submit'!H27</f>
        <v/>
      </c>
      <c r="AD235" s="1153" t="str">
        <f>'Required Info to Submit'!I27</f>
        <v/>
      </c>
      <c r="AE235" s="1153" t="str">
        <f>'Required Info to Submit'!J27</f>
        <v/>
      </c>
      <c r="AF235" s="1107"/>
      <c r="AG235" s="1107"/>
      <c r="AH235" s="1107"/>
      <c r="AI235" s="1108"/>
      <c r="AJ235" s="1107"/>
      <c r="AK235" s="1107"/>
      <c r="AL235" s="2008"/>
      <c r="AM235" s="1154">
        <v>5</v>
      </c>
      <c r="AN235" s="1144" t="s">
        <v>1872</v>
      </c>
      <c r="AO235" s="1144" t="s">
        <v>1426</v>
      </c>
      <c r="AP235" s="1228" t="str">
        <f>'Required Info to Submit'!E27</f>
        <v/>
      </c>
      <c r="AQ235" s="1425" t="str">
        <f>IF(AP235="","",'Required Info to Submit'!K27)</f>
        <v/>
      </c>
      <c r="AR235" s="1426" t="str">
        <f>IF(AP235="","",'Required Info to Submit'!L27)</f>
        <v/>
      </c>
      <c r="AS235" s="1228" t="str">
        <f>'Required Info to Submit'!F27</f>
        <v/>
      </c>
      <c r="AT235" s="1228" t="str">
        <f>'Required Info to Submit'!G27</f>
        <v/>
      </c>
      <c r="AU235" s="1228" t="str">
        <f>'Required Info to Submit'!H27</f>
        <v/>
      </c>
      <c r="AV235" s="1228" t="str">
        <f>'Required Info to Submit'!I27</f>
        <v/>
      </c>
      <c r="AW235" s="1228" t="str">
        <f>'Required Info to Submit'!J27</f>
        <v/>
      </c>
      <c r="AX235" s="1107"/>
      <c r="AY235" s="1107"/>
      <c r="AZ235" s="1107"/>
      <c r="BA235" s="1108"/>
      <c r="BB235" s="1107"/>
      <c r="BC235" s="2008"/>
      <c r="BD235" s="1154">
        <v>5</v>
      </c>
      <c r="BE235" s="1144" t="s">
        <v>1872</v>
      </c>
      <c r="BF235" s="1144" t="s">
        <v>1426</v>
      </c>
      <c r="BG235" s="1153" t="str">
        <f>'Required Info to Submit'!E27</f>
        <v/>
      </c>
      <c r="BH235" s="1417" t="str">
        <f>IF(BG235="","",'Required Info to Submit'!K27)</f>
        <v/>
      </c>
      <c r="BI235" s="1418" t="str">
        <f>IF(BG235="","",'Required Info to Submit'!L27)</f>
        <v/>
      </c>
      <c r="BJ235" s="1153" t="str">
        <f>'Required Info to Submit'!F27</f>
        <v/>
      </c>
      <c r="BK235" s="1153" t="str">
        <f>'Required Info to Submit'!G27</f>
        <v/>
      </c>
      <c r="BL235" s="1153" t="str">
        <f>'Required Info to Submit'!H27</f>
        <v/>
      </c>
      <c r="BM235" s="1153" t="str">
        <f>'Required Info to Submit'!I27</f>
        <v/>
      </c>
      <c r="BN235" s="1153" t="str">
        <f>'Required Info to Submit'!J27</f>
        <v/>
      </c>
      <c r="BO235" s="1107"/>
      <c r="BP235" s="1107"/>
      <c r="BQ235" s="1107"/>
      <c r="BR235" s="1108"/>
      <c r="BS235" s="1107"/>
      <c r="BT235" s="2008"/>
      <c r="BU235" s="1154">
        <v>5</v>
      </c>
      <c r="BV235" s="1144" t="s">
        <v>1872</v>
      </c>
      <c r="BW235" s="1144" t="s">
        <v>1426</v>
      </c>
      <c r="BX235" s="1153" t="str">
        <f>'Required Info to Submit'!E27</f>
        <v/>
      </c>
      <c r="BY235" s="1417" t="str">
        <f>IF(BG235="","",'Required Info to Submit'!K27)</f>
        <v/>
      </c>
      <c r="BZ235" s="1418" t="str">
        <f>IF(BG235="","",'Required Info to Submit'!L27)</f>
        <v/>
      </c>
      <c r="CA235" s="1153" t="str">
        <f>'Required Info to Submit'!F27</f>
        <v/>
      </c>
      <c r="CB235" s="1153" t="str">
        <f>'Required Info to Submit'!G27</f>
        <v/>
      </c>
      <c r="CC235" s="1153" t="str">
        <f>'Required Info to Submit'!H27</f>
        <v/>
      </c>
      <c r="CD235" s="1153" t="str">
        <f>'Required Info to Submit'!I27</f>
        <v/>
      </c>
      <c r="CE235" s="1153" t="str">
        <f>'Required Info to Submit'!J27</f>
        <v/>
      </c>
      <c r="CF235" s="1107"/>
      <c r="CG235" s="1107"/>
      <c r="CH235" s="1107"/>
      <c r="CI235" s="1108"/>
      <c r="CJ235" s="1107"/>
      <c r="CK235" s="1107"/>
    </row>
    <row r="236" spans="1:89" x14ac:dyDescent="0.25">
      <c r="A236" s="1107"/>
      <c r="B236" s="2008"/>
      <c r="C236" s="1154">
        <v>6</v>
      </c>
      <c r="D236" s="1144" t="s">
        <v>1872</v>
      </c>
      <c r="E236" s="1144" t="s">
        <v>1426</v>
      </c>
      <c r="F236" s="1153" t="str">
        <f>'Required Info to Submit'!E28</f>
        <v/>
      </c>
      <c r="G236" s="1417" t="str">
        <f>IF(F236="","",'Required Info to Submit'!K28)</f>
        <v/>
      </c>
      <c r="H236" s="1418" t="str">
        <f>IF(F236="","",'Required Info to Submit'!L28)</f>
        <v/>
      </c>
      <c r="I236" s="1153" t="str">
        <f>'Required Info to Submit'!F28</f>
        <v/>
      </c>
      <c r="J236" s="1153" t="str">
        <f>'Required Info to Submit'!G28</f>
        <v/>
      </c>
      <c r="K236" s="1153" t="str">
        <f>'Required Info to Submit'!H28</f>
        <v/>
      </c>
      <c r="L236" s="1153" t="str">
        <f>'Required Info to Submit'!I28</f>
        <v/>
      </c>
      <c r="M236" s="1153" t="str">
        <f>'Required Info to Submit'!J28</f>
        <v/>
      </c>
      <c r="N236" s="1107"/>
      <c r="O236" s="1107"/>
      <c r="P236" s="1107"/>
      <c r="Q236" s="1108"/>
      <c r="R236" s="1107"/>
      <c r="S236" s="1107"/>
      <c r="T236" s="2008"/>
      <c r="U236" s="1154">
        <v>6</v>
      </c>
      <c r="V236" s="1144" t="s">
        <v>1872</v>
      </c>
      <c r="W236" s="1144" t="s">
        <v>1426</v>
      </c>
      <c r="X236" s="1153" t="str">
        <f>'Required Info to Submit'!E28</f>
        <v/>
      </c>
      <c r="Y236" s="1417" t="str">
        <f>IF(X236="","",'Required Info to Submit'!K28)</f>
        <v/>
      </c>
      <c r="Z236" s="1418" t="str">
        <f>IF(X236="","",'Required Info to Submit'!L28)</f>
        <v/>
      </c>
      <c r="AA236" s="1153" t="str">
        <f>'Required Info to Submit'!F28</f>
        <v/>
      </c>
      <c r="AB236" s="1153" t="str">
        <f>'Required Info to Submit'!G28</f>
        <v/>
      </c>
      <c r="AC236" s="1153" t="str">
        <f>'Required Info to Submit'!H28</f>
        <v/>
      </c>
      <c r="AD236" s="1153" t="str">
        <f>'Required Info to Submit'!I28</f>
        <v/>
      </c>
      <c r="AE236" s="1153" t="str">
        <f>'Required Info to Submit'!J28</f>
        <v/>
      </c>
      <c r="AF236" s="1107"/>
      <c r="AG236" s="1107"/>
      <c r="AH236" s="1107"/>
      <c r="AI236" s="1108"/>
      <c r="AJ236" s="1107"/>
      <c r="AK236" s="1107"/>
      <c r="AL236" s="2008"/>
      <c r="AM236" s="1154">
        <v>6</v>
      </c>
      <c r="AN236" s="1144" t="s">
        <v>1872</v>
      </c>
      <c r="AO236" s="1144" t="s">
        <v>1426</v>
      </c>
      <c r="AP236" s="1228" t="str">
        <f>'Required Info to Submit'!E28</f>
        <v/>
      </c>
      <c r="AQ236" s="1425" t="str">
        <f>IF(AP236="","",'Required Info to Submit'!K28)</f>
        <v/>
      </c>
      <c r="AR236" s="1426" t="str">
        <f>IF(AP236="","",'Required Info to Submit'!L28)</f>
        <v/>
      </c>
      <c r="AS236" s="1228" t="str">
        <f>'Required Info to Submit'!F28</f>
        <v/>
      </c>
      <c r="AT236" s="1228" t="str">
        <f>'Required Info to Submit'!G28</f>
        <v/>
      </c>
      <c r="AU236" s="1228" t="str">
        <f>'Required Info to Submit'!H28</f>
        <v/>
      </c>
      <c r="AV236" s="1228" t="str">
        <f>'Required Info to Submit'!I28</f>
        <v/>
      </c>
      <c r="AW236" s="1228" t="str">
        <f>'Required Info to Submit'!J28</f>
        <v/>
      </c>
      <c r="AX236" s="1107"/>
      <c r="AY236" s="1107"/>
      <c r="AZ236" s="1107"/>
      <c r="BA236" s="1108"/>
      <c r="BB236" s="1107"/>
      <c r="BC236" s="2008"/>
      <c r="BD236" s="1154">
        <v>6</v>
      </c>
      <c r="BE236" s="1144" t="s">
        <v>1872</v>
      </c>
      <c r="BF236" s="1144" t="s">
        <v>1426</v>
      </c>
      <c r="BG236" s="1153" t="str">
        <f>'Required Info to Submit'!E28</f>
        <v/>
      </c>
      <c r="BH236" s="1417" t="str">
        <f>IF(BG236="","",'Required Info to Submit'!K28)</f>
        <v/>
      </c>
      <c r="BI236" s="1418" t="str">
        <f>IF(BG236="","",'Required Info to Submit'!L28)</f>
        <v/>
      </c>
      <c r="BJ236" s="1153" t="str">
        <f>'Required Info to Submit'!F28</f>
        <v/>
      </c>
      <c r="BK236" s="1153" t="str">
        <f>'Required Info to Submit'!G28</f>
        <v/>
      </c>
      <c r="BL236" s="1153" t="str">
        <f>'Required Info to Submit'!H28</f>
        <v/>
      </c>
      <c r="BM236" s="1153" t="str">
        <f>'Required Info to Submit'!I28</f>
        <v/>
      </c>
      <c r="BN236" s="1153" t="str">
        <f>'Required Info to Submit'!J28</f>
        <v/>
      </c>
      <c r="BO236" s="1107"/>
      <c r="BP236" s="1107"/>
      <c r="BQ236" s="1107"/>
      <c r="BR236" s="1108"/>
      <c r="BS236" s="1107"/>
      <c r="BT236" s="2008"/>
      <c r="BU236" s="1154">
        <v>6</v>
      </c>
      <c r="BV236" s="1144" t="s">
        <v>1872</v>
      </c>
      <c r="BW236" s="1144" t="s">
        <v>1426</v>
      </c>
      <c r="BX236" s="1153" t="str">
        <f>'Required Info to Submit'!E28</f>
        <v/>
      </c>
      <c r="BY236" s="1417" t="str">
        <f>IF(BG236="","",'Required Info to Submit'!K28)</f>
        <v/>
      </c>
      <c r="BZ236" s="1418" t="str">
        <f>IF(BG236="","",'Required Info to Submit'!L28)</f>
        <v/>
      </c>
      <c r="CA236" s="1153" t="str">
        <f>'Required Info to Submit'!F28</f>
        <v/>
      </c>
      <c r="CB236" s="1153" t="str">
        <f>'Required Info to Submit'!G28</f>
        <v/>
      </c>
      <c r="CC236" s="1153" t="str">
        <f>'Required Info to Submit'!H28</f>
        <v/>
      </c>
      <c r="CD236" s="1153" t="str">
        <f>'Required Info to Submit'!I28</f>
        <v/>
      </c>
      <c r="CE236" s="1153" t="str">
        <f>'Required Info to Submit'!J28</f>
        <v/>
      </c>
      <c r="CF236" s="1107"/>
      <c r="CG236" s="1107"/>
      <c r="CH236" s="1107"/>
      <c r="CI236" s="1108"/>
      <c r="CJ236" s="1107"/>
      <c r="CK236" s="1107"/>
    </row>
    <row r="237" spans="1:89" x14ac:dyDescent="0.25">
      <c r="A237" s="1107"/>
      <c r="B237" s="2008"/>
      <c r="C237" s="1154">
        <v>7</v>
      </c>
      <c r="D237" s="1144" t="s">
        <v>1872</v>
      </c>
      <c r="E237" s="1144" t="s">
        <v>1426</v>
      </c>
      <c r="F237" s="1153" t="str">
        <f>'Required Info to Submit'!E29</f>
        <v/>
      </c>
      <c r="G237" s="1417" t="str">
        <f>IF(F237="","",'Required Info to Submit'!K29)</f>
        <v/>
      </c>
      <c r="H237" s="1418" t="str">
        <f>IF(F237="","",'Required Info to Submit'!L29)</f>
        <v/>
      </c>
      <c r="I237" s="1153" t="str">
        <f>'Required Info to Submit'!F29</f>
        <v/>
      </c>
      <c r="J237" s="1153" t="str">
        <f>'Required Info to Submit'!G29</f>
        <v/>
      </c>
      <c r="K237" s="1153" t="str">
        <f>'Required Info to Submit'!H29</f>
        <v/>
      </c>
      <c r="L237" s="1153" t="str">
        <f>'Required Info to Submit'!I29</f>
        <v/>
      </c>
      <c r="M237" s="1153" t="str">
        <f>'Required Info to Submit'!J29</f>
        <v/>
      </c>
      <c r="N237" s="1107"/>
      <c r="O237" s="1107"/>
      <c r="P237" s="1107"/>
      <c r="Q237" s="1108"/>
      <c r="R237" s="1107"/>
      <c r="S237" s="1107"/>
      <c r="T237" s="2008"/>
      <c r="U237" s="1154">
        <v>7</v>
      </c>
      <c r="V237" s="1144" t="s">
        <v>1872</v>
      </c>
      <c r="W237" s="1144" t="s">
        <v>1426</v>
      </c>
      <c r="X237" s="1153" t="str">
        <f>'Required Info to Submit'!E29</f>
        <v/>
      </c>
      <c r="Y237" s="1417" t="str">
        <f>IF(X237="","",'Required Info to Submit'!K29)</f>
        <v/>
      </c>
      <c r="Z237" s="1418" t="str">
        <f>IF(X237="","",'Required Info to Submit'!L29)</f>
        <v/>
      </c>
      <c r="AA237" s="1153" t="str">
        <f>'Required Info to Submit'!F29</f>
        <v/>
      </c>
      <c r="AB237" s="1153" t="str">
        <f>'Required Info to Submit'!G29</f>
        <v/>
      </c>
      <c r="AC237" s="1153" t="str">
        <f>'Required Info to Submit'!H29</f>
        <v/>
      </c>
      <c r="AD237" s="1153" t="str">
        <f>'Required Info to Submit'!I29</f>
        <v/>
      </c>
      <c r="AE237" s="1153" t="str">
        <f>'Required Info to Submit'!J29</f>
        <v/>
      </c>
      <c r="AF237" s="1107"/>
      <c r="AG237" s="1107"/>
      <c r="AH237" s="1107"/>
      <c r="AI237" s="1108"/>
      <c r="AJ237" s="1107"/>
      <c r="AK237" s="1107"/>
      <c r="AL237" s="2008"/>
      <c r="AM237" s="1154">
        <v>7</v>
      </c>
      <c r="AN237" s="1144" t="s">
        <v>1872</v>
      </c>
      <c r="AO237" s="1144" t="s">
        <v>1426</v>
      </c>
      <c r="AP237" s="1228" t="str">
        <f>'Required Info to Submit'!E29</f>
        <v/>
      </c>
      <c r="AQ237" s="1425" t="str">
        <f>IF(AP237="","",'Required Info to Submit'!K29)</f>
        <v/>
      </c>
      <c r="AR237" s="1426" t="str">
        <f>IF(AP237="","",'Required Info to Submit'!L29)</f>
        <v/>
      </c>
      <c r="AS237" s="1228" t="str">
        <f>'Required Info to Submit'!F29</f>
        <v/>
      </c>
      <c r="AT237" s="1228" t="str">
        <f>'Required Info to Submit'!G29</f>
        <v/>
      </c>
      <c r="AU237" s="1228" t="str">
        <f>'Required Info to Submit'!H29</f>
        <v/>
      </c>
      <c r="AV237" s="1228" t="str">
        <f>'Required Info to Submit'!I29</f>
        <v/>
      </c>
      <c r="AW237" s="1228" t="str">
        <f>'Required Info to Submit'!J29</f>
        <v/>
      </c>
      <c r="AX237" s="1107"/>
      <c r="AY237" s="1107"/>
      <c r="AZ237" s="1107"/>
      <c r="BA237" s="1108"/>
      <c r="BB237" s="1107"/>
      <c r="BC237" s="2008"/>
      <c r="BD237" s="1154">
        <v>7</v>
      </c>
      <c r="BE237" s="1144" t="s">
        <v>1872</v>
      </c>
      <c r="BF237" s="1144" t="s">
        <v>1426</v>
      </c>
      <c r="BG237" s="1153" t="str">
        <f>'Required Info to Submit'!E29</f>
        <v/>
      </c>
      <c r="BH237" s="1417" t="str">
        <f>IF(BG237="","",'Required Info to Submit'!K29)</f>
        <v/>
      </c>
      <c r="BI237" s="1418" t="str">
        <f>IF(BG237="","",'Required Info to Submit'!L29)</f>
        <v/>
      </c>
      <c r="BJ237" s="1153" t="str">
        <f>'Required Info to Submit'!F29</f>
        <v/>
      </c>
      <c r="BK237" s="1153" t="str">
        <f>'Required Info to Submit'!G29</f>
        <v/>
      </c>
      <c r="BL237" s="1153" t="str">
        <f>'Required Info to Submit'!H29</f>
        <v/>
      </c>
      <c r="BM237" s="1153" t="str">
        <f>'Required Info to Submit'!I29</f>
        <v/>
      </c>
      <c r="BN237" s="1153" t="str">
        <f>'Required Info to Submit'!J29</f>
        <v/>
      </c>
      <c r="BO237" s="1107"/>
      <c r="BP237" s="1107"/>
      <c r="BQ237" s="1107"/>
      <c r="BR237" s="1108"/>
      <c r="BS237" s="1107"/>
      <c r="BT237" s="2008"/>
      <c r="BU237" s="1154">
        <v>7</v>
      </c>
      <c r="BV237" s="1144" t="s">
        <v>1872</v>
      </c>
      <c r="BW237" s="1144" t="s">
        <v>1426</v>
      </c>
      <c r="BX237" s="1153" t="str">
        <f>'Required Info to Submit'!E29</f>
        <v/>
      </c>
      <c r="BY237" s="1417" t="str">
        <f>IF(BG237="","",'Required Info to Submit'!K29)</f>
        <v/>
      </c>
      <c r="BZ237" s="1418" t="str">
        <f>IF(BG237="","",'Required Info to Submit'!L29)</f>
        <v/>
      </c>
      <c r="CA237" s="1153" t="str">
        <f>'Required Info to Submit'!F29</f>
        <v/>
      </c>
      <c r="CB237" s="1153" t="str">
        <f>'Required Info to Submit'!G29</f>
        <v/>
      </c>
      <c r="CC237" s="1153" t="str">
        <f>'Required Info to Submit'!H29</f>
        <v/>
      </c>
      <c r="CD237" s="1153" t="str">
        <f>'Required Info to Submit'!I29</f>
        <v/>
      </c>
      <c r="CE237" s="1153" t="str">
        <f>'Required Info to Submit'!J29</f>
        <v/>
      </c>
      <c r="CF237" s="1107"/>
      <c r="CG237" s="1107"/>
      <c r="CH237" s="1107"/>
      <c r="CI237" s="1108"/>
      <c r="CJ237" s="1107"/>
      <c r="CK237" s="1107"/>
    </row>
    <row r="238" spans="1:89" x14ac:dyDescent="0.25">
      <c r="A238" s="1107"/>
      <c r="B238" s="2008"/>
      <c r="C238" s="1154">
        <v>8</v>
      </c>
      <c r="D238" s="1144" t="s">
        <v>1872</v>
      </c>
      <c r="E238" s="1144" t="s">
        <v>1426</v>
      </c>
      <c r="F238" s="1153" t="str">
        <f>'Required Info to Submit'!E30</f>
        <v/>
      </c>
      <c r="G238" s="1417" t="str">
        <f>IF(F238="","",'Required Info to Submit'!K30)</f>
        <v/>
      </c>
      <c r="H238" s="1418" t="str">
        <f>IF(F238="","",'Required Info to Submit'!L30)</f>
        <v/>
      </c>
      <c r="I238" s="1153" t="str">
        <f>'Required Info to Submit'!F30</f>
        <v/>
      </c>
      <c r="J238" s="1153" t="str">
        <f>'Required Info to Submit'!G30</f>
        <v/>
      </c>
      <c r="K238" s="1153" t="str">
        <f>'Required Info to Submit'!H30</f>
        <v/>
      </c>
      <c r="L238" s="1153" t="str">
        <f>'Required Info to Submit'!I30</f>
        <v/>
      </c>
      <c r="M238" s="1153" t="str">
        <f>'Required Info to Submit'!J30</f>
        <v/>
      </c>
      <c r="N238" s="1107"/>
      <c r="O238" s="1107"/>
      <c r="P238" s="1107"/>
      <c r="Q238" s="1108"/>
      <c r="R238" s="1107"/>
      <c r="S238" s="1107"/>
      <c r="T238" s="2008"/>
      <c r="U238" s="1154">
        <v>8</v>
      </c>
      <c r="V238" s="1144" t="s">
        <v>1872</v>
      </c>
      <c r="W238" s="1144" t="s">
        <v>1426</v>
      </c>
      <c r="X238" s="1153" t="str">
        <f>'Required Info to Submit'!E30</f>
        <v/>
      </c>
      <c r="Y238" s="1417" t="str">
        <f>IF(X238="","",'Required Info to Submit'!K30)</f>
        <v/>
      </c>
      <c r="Z238" s="1418" t="str">
        <f>IF(X238="","",'Required Info to Submit'!L30)</f>
        <v/>
      </c>
      <c r="AA238" s="1153" t="str">
        <f>'Required Info to Submit'!F30</f>
        <v/>
      </c>
      <c r="AB238" s="1153" t="str">
        <f>'Required Info to Submit'!G30</f>
        <v/>
      </c>
      <c r="AC238" s="1153" t="str">
        <f>'Required Info to Submit'!H30</f>
        <v/>
      </c>
      <c r="AD238" s="1153" t="str">
        <f>'Required Info to Submit'!I30</f>
        <v/>
      </c>
      <c r="AE238" s="1153" t="str">
        <f>'Required Info to Submit'!J30</f>
        <v/>
      </c>
      <c r="AF238" s="1107"/>
      <c r="AG238" s="1107"/>
      <c r="AH238" s="1107"/>
      <c r="AI238" s="1108"/>
      <c r="AJ238" s="1107"/>
      <c r="AK238" s="1107"/>
      <c r="AL238" s="2008"/>
      <c r="AM238" s="1154">
        <v>8</v>
      </c>
      <c r="AN238" s="1144" t="s">
        <v>1872</v>
      </c>
      <c r="AO238" s="1144" t="s">
        <v>1426</v>
      </c>
      <c r="AP238" s="1228" t="str">
        <f>'Required Info to Submit'!E30</f>
        <v/>
      </c>
      <c r="AQ238" s="1425" t="str">
        <f>IF(AP238="","",'Required Info to Submit'!K30)</f>
        <v/>
      </c>
      <c r="AR238" s="1426" t="str">
        <f>IF(AP238="","",'Required Info to Submit'!L30)</f>
        <v/>
      </c>
      <c r="AS238" s="1228" t="str">
        <f>'Required Info to Submit'!F30</f>
        <v/>
      </c>
      <c r="AT238" s="1228" t="str">
        <f>'Required Info to Submit'!G30</f>
        <v/>
      </c>
      <c r="AU238" s="1228" t="str">
        <f>'Required Info to Submit'!H30</f>
        <v/>
      </c>
      <c r="AV238" s="1228" t="str">
        <f>'Required Info to Submit'!I30</f>
        <v/>
      </c>
      <c r="AW238" s="1228" t="str">
        <f>'Required Info to Submit'!J30</f>
        <v/>
      </c>
      <c r="AX238" s="1107"/>
      <c r="AY238" s="1107"/>
      <c r="AZ238" s="1107"/>
      <c r="BA238" s="1108"/>
      <c r="BB238" s="1107"/>
      <c r="BC238" s="2008"/>
      <c r="BD238" s="1154">
        <v>8</v>
      </c>
      <c r="BE238" s="1144" t="s">
        <v>1872</v>
      </c>
      <c r="BF238" s="1144" t="s">
        <v>1426</v>
      </c>
      <c r="BG238" s="1153" t="str">
        <f>'Required Info to Submit'!E30</f>
        <v/>
      </c>
      <c r="BH238" s="1417" t="str">
        <f>IF(BG238="","",'Required Info to Submit'!K30)</f>
        <v/>
      </c>
      <c r="BI238" s="1418" t="str">
        <f>IF(BG238="","",'Required Info to Submit'!L30)</f>
        <v/>
      </c>
      <c r="BJ238" s="1153" t="str">
        <f>'Required Info to Submit'!F30</f>
        <v/>
      </c>
      <c r="BK238" s="1153" t="str">
        <f>'Required Info to Submit'!G30</f>
        <v/>
      </c>
      <c r="BL238" s="1153" t="str">
        <f>'Required Info to Submit'!H30</f>
        <v/>
      </c>
      <c r="BM238" s="1153" t="str">
        <f>'Required Info to Submit'!I30</f>
        <v/>
      </c>
      <c r="BN238" s="1153" t="str">
        <f>'Required Info to Submit'!J30</f>
        <v/>
      </c>
      <c r="BO238" s="1107"/>
      <c r="BP238" s="1107"/>
      <c r="BQ238" s="1107"/>
      <c r="BR238" s="1108"/>
      <c r="BS238" s="1107"/>
      <c r="BT238" s="2008"/>
      <c r="BU238" s="1154">
        <v>8</v>
      </c>
      <c r="BV238" s="1144" t="s">
        <v>1872</v>
      </c>
      <c r="BW238" s="1144" t="s">
        <v>1426</v>
      </c>
      <c r="BX238" s="1153" t="str">
        <f>'Required Info to Submit'!E30</f>
        <v/>
      </c>
      <c r="BY238" s="1417" t="str">
        <f>IF(BG238="","",'Required Info to Submit'!K30)</f>
        <v/>
      </c>
      <c r="BZ238" s="1418" t="str">
        <f>IF(BG238="","",'Required Info to Submit'!L30)</f>
        <v/>
      </c>
      <c r="CA238" s="1153" t="str">
        <f>'Required Info to Submit'!F30</f>
        <v/>
      </c>
      <c r="CB238" s="1153" t="str">
        <f>'Required Info to Submit'!G30</f>
        <v/>
      </c>
      <c r="CC238" s="1153" t="str">
        <f>'Required Info to Submit'!H30</f>
        <v/>
      </c>
      <c r="CD238" s="1153" t="str">
        <f>'Required Info to Submit'!I30</f>
        <v/>
      </c>
      <c r="CE238" s="1153" t="str">
        <f>'Required Info to Submit'!J30</f>
        <v/>
      </c>
      <c r="CF238" s="1107"/>
      <c r="CG238" s="1107"/>
      <c r="CH238" s="1107"/>
      <c r="CI238" s="1108"/>
      <c r="CJ238" s="1107"/>
      <c r="CK238" s="1107"/>
    </row>
    <row r="239" spans="1:89" x14ac:dyDescent="0.25">
      <c r="A239" s="1107"/>
      <c r="B239" s="2008"/>
      <c r="C239" s="1154">
        <v>9</v>
      </c>
      <c r="D239" s="1144" t="s">
        <v>1872</v>
      </c>
      <c r="E239" s="1144" t="s">
        <v>1426</v>
      </c>
      <c r="F239" s="1153" t="str">
        <f>'Required Info to Submit'!E31</f>
        <v/>
      </c>
      <c r="G239" s="1417" t="str">
        <f>IF(F239="","",'Required Info to Submit'!K31)</f>
        <v/>
      </c>
      <c r="H239" s="1418" t="str">
        <f>IF(F239="","",'Required Info to Submit'!L31)</f>
        <v/>
      </c>
      <c r="I239" s="1153" t="str">
        <f>'Required Info to Submit'!F31</f>
        <v/>
      </c>
      <c r="J239" s="1153" t="str">
        <f>'Required Info to Submit'!G31</f>
        <v/>
      </c>
      <c r="K239" s="1153" t="str">
        <f>'Required Info to Submit'!H31</f>
        <v/>
      </c>
      <c r="L239" s="1153" t="str">
        <f>'Required Info to Submit'!I31</f>
        <v/>
      </c>
      <c r="M239" s="1153" t="str">
        <f>'Required Info to Submit'!J31</f>
        <v/>
      </c>
      <c r="N239" s="1107"/>
      <c r="O239" s="1107"/>
      <c r="P239" s="1107"/>
      <c r="Q239" s="1108"/>
      <c r="R239" s="1107"/>
      <c r="S239" s="1107"/>
      <c r="T239" s="2008"/>
      <c r="U239" s="1154">
        <v>9</v>
      </c>
      <c r="V239" s="1144" t="s">
        <v>1872</v>
      </c>
      <c r="W239" s="1144" t="s">
        <v>1426</v>
      </c>
      <c r="X239" s="1153" t="str">
        <f>'Required Info to Submit'!E31</f>
        <v/>
      </c>
      <c r="Y239" s="1417" t="str">
        <f>IF(X239="","",'Required Info to Submit'!K31)</f>
        <v/>
      </c>
      <c r="Z239" s="1418" t="str">
        <f>IF(X239="","",'Required Info to Submit'!L31)</f>
        <v/>
      </c>
      <c r="AA239" s="1153" t="str">
        <f>'Required Info to Submit'!F31</f>
        <v/>
      </c>
      <c r="AB239" s="1153" t="str">
        <f>'Required Info to Submit'!G31</f>
        <v/>
      </c>
      <c r="AC239" s="1153" t="str">
        <f>'Required Info to Submit'!H31</f>
        <v/>
      </c>
      <c r="AD239" s="1153" t="str">
        <f>'Required Info to Submit'!I31</f>
        <v/>
      </c>
      <c r="AE239" s="1153" t="str">
        <f>'Required Info to Submit'!J31</f>
        <v/>
      </c>
      <c r="AF239" s="1107"/>
      <c r="AG239" s="1107"/>
      <c r="AH239" s="1107"/>
      <c r="AI239" s="1108"/>
      <c r="AJ239" s="1107"/>
      <c r="AK239" s="1107"/>
      <c r="AL239" s="2008"/>
      <c r="AM239" s="1154">
        <v>9</v>
      </c>
      <c r="AN239" s="1144" t="s">
        <v>1872</v>
      </c>
      <c r="AO239" s="1144" t="s">
        <v>1426</v>
      </c>
      <c r="AP239" s="1228" t="str">
        <f>'Required Info to Submit'!E31</f>
        <v/>
      </c>
      <c r="AQ239" s="1425" t="str">
        <f>IF(AP239="","",'Required Info to Submit'!K31)</f>
        <v/>
      </c>
      <c r="AR239" s="1426" t="str">
        <f>IF(AP239="","",'Required Info to Submit'!L31)</f>
        <v/>
      </c>
      <c r="AS239" s="1228" t="str">
        <f>'Required Info to Submit'!F31</f>
        <v/>
      </c>
      <c r="AT239" s="1228" t="str">
        <f>'Required Info to Submit'!G31</f>
        <v/>
      </c>
      <c r="AU239" s="1228" t="str">
        <f>'Required Info to Submit'!H31</f>
        <v/>
      </c>
      <c r="AV239" s="1228" t="str">
        <f>'Required Info to Submit'!I31</f>
        <v/>
      </c>
      <c r="AW239" s="1228" t="str">
        <f>'Required Info to Submit'!J31</f>
        <v/>
      </c>
      <c r="AX239" s="1107"/>
      <c r="AY239" s="1107"/>
      <c r="AZ239" s="1107"/>
      <c r="BA239" s="1108"/>
      <c r="BB239" s="1107"/>
      <c r="BC239" s="2008"/>
      <c r="BD239" s="1154">
        <v>9</v>
      </c>
      <c r="BE239" s="1144" t="s">
        <v>1872</v>
      </c>
      <c r="BF239" s="1144" t="s">
        <v>1426</v>
      </c>
      <c r="BG239" s="1153" t="str">
        <f>'Required Info to Submit'!E31</f>
        <v/>
      </c>
      <c r="BH239" s="1417" t="str">
        <f>IF(BG239="","",'Required Info to Submit'!K31)</f>
        <v/>
      </c>
      <c r="BI239" s="1418" t="str">
        <f>IF(BG239="","",'Required Info to Submit'!L31)</f>
        <v/>
      </c>
      <c r="BJ239" s="1153" t="str">
        <f>'Required Info to Submit'!F31</f>
        <v/>
      </c>
      <c r="BK239" s="1153" t="str">
        <f>'Required Info to Submit'!G31</f>
        <v/>
      </c>
      <c r="BL239" s="1153" t="str">
        <f>'Required Info to Submit'!H31</f>
        <v/>
      </c>
      <c r="BM239" s="1153" t="str">
        <f>'Required Info to Submit'!I31</f>
        <v/>
      </c>
      <c r="BN239" s="1153" t="str">
        <f>'Required Info to Submit'!J31</f>
        <v/>
      </c>
      <c r="BO239" s="1107"/>
      <c r="BP239" s="1107"/>
      <c r="BQ239" s="1107"/>
      <c r="BR239" s="1108"/>
      <c r="BS239" s="1107"/>
      <c r="BT239" s="2008"/>
      <c r="BU239" s="1154">
        <v>9</v>
      </c>
      <c r="BV239" s="1144" t="s">
        <v>1872</v>
      </c>
      <c r="BW239" s="1144" t="s">
        <v>1426</v>
      </c>
      <c r="BX239" s="1153" t="str">
        <f>'Required Info to Submit'!E31</f>
        <v/>
      </c>
      <c r="BY239" s="1417" t="str">
        <f>IF(BG239="","",'Required Info to Submit'!K31)</f>
        <v/>
      </c>
      <c r="BZ239" s="1418" t="str">
        <f>IF(BG239="","",'Required Info to Submit'!L31)</f>
        <v/>
      </c>
      <c r="CA239" s="1153" t="str">
        <f>'Required Info to Submit'!F31</f>
        <v/>
      </c>
      <c r="CB239" s="1153" t="str">
        <f>'Required Info to Submit'!G31</f>
        <v/>
      </c>
      <c r="CC239" s="1153" t="str">
        <f>'Required Info to Submit'!H31</f>
        <v/>
      </c>
      <c r="CD239" s="1153" t="str">
        <f>'Required Info to Submit'!I31</f>
        <v/>
      </c>
      <c r="CE239" s="1153" t="str">
        <f>'Required Info to Submit'!J31</f>
        <v/>
      </c>
      <c r="CF239" s="1107"/>
      <c r="CG239" s="1107"/>
      <c r="CH239" s="1107"/>
      <c r="CI239" s="1108"/>
      <c r="CJ239" s="1107"/>
      <c r="CK239" s="1107"/>
    </row>
    <row r="240" spans="1:89" ht="15.75" thickBot="1" x14ac:dyDescent="0.3">
      <c r="A240" s="1107"/>
      <c r="B240" s="2009"/>
      <c r="C240" s="1156">
        <v>10</v>
      </c>
      <c r="D240" s="1146" t="s">
        <v>1872</v>
      </c>
      <c r="E240" s="1146" t="s">
        <v>1426</v>
      </c>
      <c r="F240" s="1159" t="str">
        <f>'Required Info to Submit'!E32</f>
        <v/>
      </c>
      <c r="G240" s="1419" t="str">
        <f>IF(F240="","",'Required Info to Submit'!K32)</f>
        <v/>
      </c>
      <c r="H240" s="1419" t="str">
        <f>IF(F240="","",'Required Info to Submit'!L32)</f>
        <v/>
      </c>
      <c r="I240" s="1159" t="str">
        <f>'Required Info to Submit'!F32</f>
        <v/>
      </c>
      <c r="J240" s="1159" t="str">
        <f>'Required Info to Submit'!G32</f>
        <v/>
      </c>
      <c r="K240" s="1159" t="str">
        <f>'Required Info to Submit'!H32</f>
        <v/>
      </c>
      <c r="L240" s="1159" t="str">
        <f>'Required Info to Submit'!I32</f>
        <v/>
      </c>
      <c r="M240" s="1159" t="str">
        <f>'Required Info to Submit'!J32</f>
        <v/>
      </c>
      <c r="N240" s="1157"/>
      <c r="O240" s="1157"/>
      <c r="P240" s="1157"/>
      <c r="Q240" s="1110"/>
      <c r="R240" s="1107"/>
      <c r="S240" s="1107"/>
      <c r="T240" s="2009"/>
      <c r="U240" s="1156">
        <v>10</v>
      </c>
      <c r="V240" s="1146" t="s">
        <v>1872</v>
      </c>
      <c r="W240" s="1146" t="s">
        <v>1426</v>
      </c>
      <c r="X240" s="1159" t="str">
        <f>'Required Info to Submit'!E32</f>
        <v/>
      </c>
      <c r="Y240" s="1419" t="str">
        <f>IF(X240="","",'Required Info to Submit'!K32)</f>
        <v/>
      </c>
      <c r="Z240" s="1423" t="str">
        <f>IF(X240="","",'Required Info to Submit'!L32)</f>
        <v/>
      </c>
      <c r="AA240" s="1159" t="str">
        <f>'Required Info to Submit'!F32</f>
        <v/>
      </c>
      <c r="AB240" s="1159" t="str">
        <f>'Required Info to Submit'!G32</f>
        <v/>
      </c>
      <c r="AC240" s="1159" t="str">
        <f>'Required Info to Submit'!H32</f>
        <v/>
      </c>
      <c r="AD240" s="1159" t="str">
        <f>'Required Info to Submit'!I32</f>
        <v/>
      </c>
      <c r="AE240" s="1159" t="str">
        <f>'Required Info to Submit'!J32</f>
        <v/>
      </c>
      <c r="AF240" s="1157"/>
      <c r="AG240" s="1157"/>
      <c r="AH240" s="1157"/>
      <c r="AI240" s="1110"/>
      <c r="AJ240" s="1107"/>
      <c r="AK240" s="1107"/>
      <c r="AL240" s="2009"/>
      <c r="AM240" s="1156">
        <v>10</v>
      </c>
      <c r="AN240" s="1146" t="s">
        <v>1872</v>
      </c>
      <c r="AO240" s="1146" t="s">
        <v>1426</v>
      </c>
      <c r="AP240" s="1229" t="str">
        <f>'Required Info to Submit'!E32</f>
        <v/>
      </c>
      <c r="AQ240" s="1427" t="str">
        <f>IF(AP240="","",'Required Info to Submit'!K32)</f>
        <v/>
      </c>
      <c r="AR240" s="1427" t="str">
        <f>IF(AP240="","",'Required Info to Submit'!L32)</f>
        <v/>
      </c>
      <c r="AS240" s="1229" t="str">
        <f>'Required Info to Submit'!F32</f>
        <v/>
      </c>
      <c r="AT240" s="1229" t="str">
        <f>'Required Info to Submit'!G32</f>
        <v/>
      </c>
      <c r="AU240" s="1229" t="str">
        <f>'Required Info to Submit'!H32</f>
        <v/>
      </c>
      <c r="AV240" s="1229" t="str">
        <f>'Required Info to Submit'!I32</f>
        <v/>
      </c>
      <c r="AW240" s="1229" t="str">
        <f>'Required Info to Submit'!J32</f>
        <v/>
      </c>
      <c r="AX240" s="1157"/>
      <c r="AY240" s="1157"/>
      <c r="AZ240" s="1157"/>
      <c r="BA240" s="1110"/>
      <c r="BB240" s="1107"/>
      <c r="BC240" s="2009"/>
      <c r="BD240" s="1156">
        <v>10</v>
      </c>
      <c r="BE240" s="1146" t="s">
        <v>1872</v>
      </c>
      <c r="BF240" s="1146" t="s">
        <v>1426</v>
      </c>
      <c r="BG240" s="1159" t="str">
        <f>'Required Info to Submit'!E32</f>
        <v/>
      </c>
      <c r="BH240" s="1419" t="str">
        <f>IF(BG240="","",'Required Info to Submit'!K32)</f>
        <v/>
      </c>
      <c r="BI240" s="1419" t="str">
        <f>IF(BG240="","",'Required Info to Submit'!L32)</f>
        <v/>
      </c>
      <c r="BJ240" s="1159" t="str">
        <f>'Required Info to Submit'!F32</f>
        <v/>
      </c>
      <c r="BK240" s="1159" t="str">
        <f>'Required Info to Submit'!G32</f>
        <v/>
      </c>
      <c r="BL240" s="1159" t="str">
        <f>'Required Info to Submit'!H32</f>
        <v/>
      </c>
      <c r="BM240" s="1159" t="str">
        <f>'Required Info to Submit'!I32</f>
        <v/>
      </c>
      <c r="BN240" s="1159" t="str">
        <f>'Required Info to Submit'!J32</f>
        <v/>
      </c>
      <c r="BO240" s="1157"/>
      <c r="BP240" s="1157"/>
      <c r="BQ240" s="1157"/>
      <c r="BR240" s="1110"/>
      <c r="BS240" s="1107"/>
      <c r="BT240" s="2009"/>
      <c r="BU240" s="1156">
        <v>10</v>
      </c>
      <c r="BV240" s="1146" t="s">
        <v>1872</v>
      </c>
      <c r="BW240" s="1146" t="s">
        <v>1426</v>
      </c>
      <c r="BX240" s="1159" t="str">
        <f>'Required Info to Submit'!E32</f>
        <v/>
      </c>
      <c r="BY240" s="1419" t="str">
        <f>IF(BG240="","",'Required Info to Submit'!K32)</f>
        <v/>
      </c>
      <c r="BZ240" s="1419" t="str">
        <f>IF(BG240="","",'Required Info to Submit'!L32)</f>
        <v/>
      </c>
      <c r="CA240" s="1159" t="str">
        <f>'Required Info to Submit'!F32</f>
        <v/>
      </c>
      <c r="CB240" s="1159" t="str">
        <f>'Required Info to Submit'!G32</f>
        <v/>
      </c>
      <c r="CC240" s="1159" t="str">
        <f>'Required Info to Submit'!H32</f>
        <v/>
      </c>
      <c r="CD240" s="1159" t="str">
        <f>'Required Info to Submit'!I32</f>
        <v/>
      </c>
      <c r="CE240" s="1159" t="str">
        <f>'Required Info to Submit'!J32</f>
        <v/>
      </c>
      <c r="CF240" s="1157"/>
      <c r="CG240" s="1157"/>
      <c r="CH240" s="1157"/>
      <c r="CI240" s="1110"/>
      <c r="CJ240" s="1107"/>
      <c r="CK240" s="1107"/>
    </row>
    <row r="241" spans="1:89" x14ac:dyDescent="0.25">
      <c r="A241" s="1107"/>
      <c r="B241" s="1107"/>
      <c r="C241" s="1107"/>
      <c r="D241" s="1107"/>
      <c r="E241" s="1107"/>
      <c r="F241" s="1107"/>
      <c r="G241" s="1107"/>
      <c r="H241" s="1107"/>
      <c r="I241" s="1107"/>
      <c r="J241" s="1107"/>
      <c r="K241" s="1107"/>
      <c r="L241" s="1107"/>
      <c r="M241" s="1107"/>
      <c r="N241" s="1107"/>
      <c r="O241" s="1107"/>
      <c r="P241" s="1107"/>
      <c r="Q241" s="1107"/>
      <c r="R241" s="1107"/>
      <c r="S241" s="1107"/>
      <c r="T241" s="1107"/>
      <c r="U241" s="1107"/>
      <c r="V241" s="1107"/>
      <c r="W241" s="1107"/>
      <c r="X241" s="1107"/>
      <c r="Y241" s="1107"/>
      <c r="Z241" s="1107"/>
      <c r="AA241" s="1107"/>
      <c r="AB241" s="1107"/>
      <c r="AC241" s="1107"/>
      <c r="AD241" s="1107"/>
      <c r="AE241" s="1107"/>
      <c r="AF241" s="1107"/>
      <c r="AG241" s="1107"/>
      <c r="AH241" s="1107"/>
      <c r="AI241" s="1107"/>
      <c r="AJ241" s="1107"/>
      <c r="AK241" s="1107"/>
      <c r="AL241" s="1107"/>
      <c r="AM241" s="1107"/>
      <c r="AN241" s="1107"/>
      <c r="AO241" s="1107"/>
      <c r="AP241" s="1107"/>
      <c r="AQ241" s="1107"/>
      <c r="AR241" s="1107"/>
      <c r="AS241" s="1107"/>
      <c r="AT241" s="1107"/>
      <c r="AU241" s="1107"/>
      <c r="AV241" s="1107"/>
      <c r="AW241" s="1107"/>
      <c r="AX241" s="1107"/>
      <c r="AY241" s="1107"/>
      <c r="AZ241" s="1107"/>
      <c r="BA241" s="1107"/>
      <c r="BB241" s="1107"/>
      <c r="BC241" s="1107"/>
      <c r="BD241" s="1107"/>
      <c r="BE241" s="1107"/>
      <c r="BF241" s="1107"/>
      <c r="BG241" s="1107"/>
      <c r="BH241" s="1107"/>
      <c r="BI241" s="1107"/>
      <c r="BJ241" s="1107"/>
      <c r="BK241" s="1107"/>
      <c r="BL241" s="1107"/>
      <c r="BM241" s="1107"/>
      <c r="BN241" s="1107"/>
      <c r="BO241" s="1107"/>
      <c r="BP241" s="1107"/>
      <c r="BQ241" s="1107"/>
      <c r="BR241" s="1107"/>
      <c r="BS241" s="1107"/>
      <c r="BT241" s="1107"/>
      <c r="BU241" s="1107"/>
      <c r="BV241" s="1107"/>
      <c r="BW241" s="1107"/>
      <c r="BX241" s="1107"/>
      <c r="BY241" s="1107"/>
      <c r="BZ241" s="1107"/>
      <c r="CA241" s="1107"/>
      <c r="CB241" s="1107"/>
      <c r="CC241" s="1107"/>
      <c r="CD241" s="1107"/>
      <c r="CE241" s="1107"/>
      <c r="CF241" s="1107"/>
      <c r="CG241" s="1107"/>
      <c r="CH241" s="1107"/>
      <c r="CI241" s="1107"/>
      <c r="CJ241" s="1107"/>
      <c r="CK241" s="1107"/>
    </row>
    <row r="242" spans="1:89" ht="15.75" thickBot="1" x14ac:dyDescent="0.3">
      <c r="A242" s="1107"/>
      <c r="B242" s="1107"/>
      <c r="C242" s="1107"/>
      <c r="D242" s="1107"/>
      <c r="E242" s="1107"/>
      <c r="F242" s="1107"/>
      <c r="G242" s="1107"/>
      <c r="H242" s="1107"/>
      <c r="I242" s="1107"/>
      <c r="J242" s="1107"/>
      <c r="K242" s="1107"/>
      <c r="L242" s="1107"/>
      <c r="M242" s="1107"/>
      <c r="N242" s="1107"/>
      <c r="O242" s="1107"/>
      <c r="P242" s="1107"/>
      <c r="Q242" s="1107"/>
      <c r="R242" s="1107"/>
      <c r="S242" s="1107"/>
      <c r="T242" s="1107"/>
      <c r="U242" s="1107"/>
      <c r="V242" s="1107"/>
      <c r="W242" s="1107"/>
      <c r="X242" s="1107"/>
      <c r="Y242" s="1107"/>
      <c r="Z242" s="1107"/>
      <c r="AA242" s="1107"/>
      <c r="AB242" s="1107"/>
      <c r="AC242" s="1107"/>
      <c r="AD242" s="1107"/>
      <c r="AE242" s="1107"/>
      <c r="AF242" s="1107"/>
      <c r="AG242" s="1107"/>
      <c r="AH242" s="1107"/>
      <c r="AI242" s="1107"/>
      <c r="AJ242" s="1107"/>
      <c r="AK242" s="1107"/>
      <c r="AL242" s="1107"/>
      <c r="AM242" s="1107"/>
      <c r="AN242" s="1107"/>
      <c r="AO242" s="1107"/>
      <c r="AP242" s="1107"/>
      <c r="AQ242" s="1107"/>
      <c r="AR242" s="1107"/>
      <c r="AS242" s="1107"/>
      <c r="AT242" s="1107"/>
      <c r="AU242" s="1107"/>
      <c r="AV242" s="1107"/>
      <c r="AW242" s="1107"/>
      <c r="AX242" s="1107"/>
      <c r="AY242" s="1107"/>
      <c r="AZ242" s="1107"/>
      <c r="BA242" s="1107"/>
      <c r="BB242" s="1107"/>
      <c r="BC242" s="1107"/>
      <c r="BD242" s="1107"/>
      <c r="BE242" s="1107"/>
      <c r="BF242" s="1107"/>
      <c r="BG242" s="1107"/>
      <c r="BH242" s="1107"/>
      <c r="BI242" s="1107"/>
      <c r="BJ242" s="1107"/>
      <c r="BK242" s="1107"/>
      <c r="BL242" s="1107"/>
      <c r="BM242" s="1107"/>
      <c r="BN242" s="1107"/>
      <c r="BO242" s="1107"/>
      <c r="BP242" s="1107"/>
      <c r="BQ242" s="1107"/>
      <c r="BR242" s="1107"/>
      <c r="BS242" s="1107"/>
      <c r="BT242" s="1107"/>
      <c r="BU242" s="1107"/>
      <c r="BV242" s="1107"/>
      <c r="BW242" s="1107"/>
      <c r="BX242" s="1107"/>
      <c r="BY242" s="1107"/>
      <c r="BZ242" s="1107"/>
      <c r="CA242" s="1107"/>
      <c r="CB242" s="1107"/>
      <c r="CC242" s="1107"/>
      <c r="CD242" s="1107"/>
      <c r="CE242" s="1107"/>
      <c r="CF242" s="1107"/>
      <c r="CG242" s="1107"/>
      <c r="CH242" s="1107"/>
      <c r="CI242" s="1107"/>
      <c r="CJ242" s="1107"/>
      <c r="CK242" s="1107"/>
    </row>
    <row r="243" spans="1:89" ht="30.75" thickBot="1" x14ac:dyDescent="0.3">
      <c r="A243" s="1107"/>
      <c r="B243" s="1303"/>
      <c r="C243" s="1100" t="s">
        <v>1383</v>
      </c>
      <c r="D243" s="1100" t="s">
        <v>1491</v>
      </c>
      <c r="E243" s="1100" t="s">
        <v>766</v>
      </c>
      <c r="F243" s="1100" t="s">
        <v>1496</v>
      </c>
      <c r="G243" s="1100" t="s">
        <v>1849</v>
      </c>
      <c r="H243" s="1101" t="s">
        <v>1850</v>
      </c>
      <c r="I243" s="1101" t="s">
        <v>1851</v>
      </c>
      <c r="J243" s="1100" t="s">
        <v>1873</v>
      </c>
      <c r="K243" s="1100" t="s">
        <v>1852</v>
      </c>
      <c r="L243" s="1101" t="s">
        <v>1397</v>
      </c>
      <c r="M243" s="1101" t="s">
        <v>1381</v>
      </c>
      <c r="N243" s="1100" t="s">
        <v>1382</v>
      </c>
      <c r="O243" s="1100" t="s">
        <v>721</v>
      </c>
      <c r="P243" s="1100" t="s">
        <v>722</v>
      </c>
      <c r="Q243" s="1101" t="s">
        <v>1495</v>
      </c>
      <c r="R243" s="1107"/>
      <c r="S243" s="1107"/>
      <c r="T243" s="1107"/>
      <c r="U243" s="1107"/>
      <c r="V243" s="1107"/>
      <c r="W243" s="1107"/>
      <c r="X243" s="1107"/>
      <c r="Y243" s="1107"/>
      <c r="Z243" s="1107"/>
      <c r="AA243" s="1107"/>
      <c r="AB243" s="1107"/>
      <c r="AC243" s="1107"/>
      <c r="AD243" s="1107"/>
      <c r="AE243" s="1107"/>
      <c r="AF243" s="1107"/>
      <c r="AG243" s="1107"/>
      <c r="AH243" s="1107"/>
      <c r="AI243" s="1107"/>
      <c r="AJ243" s="1107"/>
      <c r="AK243" s="1107"/>
      <c r="AL243" s="1107"/>
      <c r="AM243" s="1107"/>
      <c r="AN243" s="1107"/>
      <c r="AO243" s="1107"/>
      <c r="AP243" s="1107"/>
      <c r="AQ243" s="1107"/>
      <c r="AR243" s="1107"/>
      <c r="AS243" s="1107"/>
      <c r="AT243" s="1107"/>
      <c r="AU243" s="1107"/>
      <c r="AV243" s="1107"/>
      <c r="AW243" s="1107"/>
      <c r="AX243" s="1107"/>
      <c r="AY243" s="1107"/>
      <c r="AZ243" s="1107"/>
      <c r="BA243" s="1107"/>
      <c r="BB243" s="1107"/>
      <c r="BC243" s="1107"/>
      <c r="BD243" s="1107"/>
      <c r="BE243" s="1107"/>
      <c r="BF243" s="1107"/>
      <c r="BG243" s="1107"/>
      <c r="BH243" s="1107"/>
      <c r="BI243" s="1107"/>
      <c r="BJ243" s="1107"/>
      <c r="BK243" s="1107"/>
      <c r="BL243" s="1107"/>
      <c r="BM243" s="1107"/>
      <c r="BN243" s="1107"/>
      <c r="BO243" s="1107"/>
      <c r="BP243" s="1107"/>
      <c r="BQ243" s="1107"/>
      <c r="BR243" s="1107"/>
      <c r="BS243" s="1107"/>
      <c r="BT243" s="1107"/>
      <c r="BU243" s="1107"/>
      <c r="BV243" s="1107"/>
      <c r="BW243" s="1107"/>
      <c r="BX243" s="1107"/>
      <c r="BY243" s="1107"/>
      <c r="BZ243" s="1107"/>
      <c r="CA243" s="1107"/>
      <c r="CB243" s="1107"/>
      <c r="CC243" s="1107"/>
      <c r="CD243" s="1107"/>
      <c r="CE243" s="1107"/>
      <c r="CF243" s="1107"/>
      <c r="CG243" s="1107"/>
      <c r="CH243" s="1107"/>
      <c r="CI243" s="1107"/>
      <c r="CJ243" s="1107"/>
      <c r="CK243" s="1107"/>
    </row>
    <row r="244" spans="1:89" ht="60.75" thickBot="1" x14ac:dyDescent="0.3">
      <c r="A244" s="1107"/>
      <c r="B244" s="1132" t="s">
        <v>1853</v>
      </c>
      <c r="C244" s="1133" t="s">
        <v>1540</v>
      </c>
      <c r="D244" s="1134">
        <v>4001</v>
      </c>
      <c r="E244" s="1104" t="s">
        <v>1900</v>
      </c>
      <c r="F244" s="1104" t="s">
        <v>1497</v>
      </c>
      <c r="G244" s="1102" t="str" cm="1">
        <f t="array" aca="1" ref="G244" ca="1">INDIRECT("'Incentives Worksheet'!P"&amp;'Configurable Tab'!H24+3)</f>
        <v>Same as Payout Cycle</v>
      </c>
      <c r="H244" s="1102" t="str" cm="1">
        <f t="array" aca="1" ref="H244" ca="1">IF(ISBLANK(INDIRECT("'Incentives Worksheet'!H"&amp;'Configurable Tab'!H24+3)),"",INDIRECT("'Incentives Worksheet'!H"&amp;'Configurable Tab'!H24+3))</f>
        <v/>
      </c>
      <c r="I244" s="1102" t="str" cm="1">
        <f t="array" aca="1" ref="I244" ca="1">IF(INDIRECT("'Incentives Worksheet'!R"&amp;'Configurable Tab'!H24+3)="USF Calendar","Fiscal",INDIRECT("'Incentives Worksheet'!R"&amp;'Configurable Tab'!H24+3))</f>
        <v>Fiscal</v>
      </c>
      <c r="J244" s="1102" t="str" cm="1">
        <f t="array" aca="1" ref="J244" ca="1">IF(INDIRECT("'Incentives Worksheet'!L"&amp;'Configurable Tab'!H24+9)="All"," Select All Products","Unselect All Products")</f>
        <v>Unselect All Products</v>
      </c>
      <c r="K244" s="1102" t="str" cm="1">
        <f t="array" aca="1" ref="K244" ca="1">IF(INDIRECT("'Incentives Worksheet'!T"&amp;'Configurable Tab'!H24+3)="Yes","Post to GL","")</f>
        <v/>
      </c>
      <c r="L244" s="1102" t="str" cm="1">
        <f t="array" aca="1" ref="L244" ca="1">IF(ISBLANK(INDIRECT("'Incentives Worksheet'!L"&amp;'Configurable Tab'!H24+3)),"",INDIRECT("'Incentives Worksheet'!L"&amp;'Configurable Tab'!H24+3))</f>
        <v/>
      </c>
      <c r="M244" s="1102" t="str" cm="1">
        <f t="array" aca="1" ref="M244" ca="1">IF(ISBLANK(INDIRECT("'Incentives Worksheet'!J"&amp;'Configurable Tab'!H24+3)),"",INDIRECT("'Incentives Worksheet'!J"&amp;'Configurable Tab'!H24+3))</f>
        <v/>
      </c>
      <c r="N244" s="1102" t="str" cm="1">
        <f t="array" aca="1" ref="N244" ca="1">IF(ISBLANK(INDIRECT("'Incentives Worksheet'!N"&amp;'Configurable Tab'!H24+3)),"",INDIRECT("'Incentives Worksheet'!N"&amp;'Configurable Tab'!H24+3))</f>
        <v/>
      </c>
      <c r="O244" s="1103" t="str" cm="1">
        <f t="array" aca="1" ref="O244" ca="1">INDIRECT("'Incentives Worksheet'!D"&amp;'Configurable Tab'!H24+6)</f>
        <v/>
      </c>
      <c r="P244" s="1103" t="str" cm="1">
        <f t="array" aca="1" ref="P244" ca="1">INDIRECT("'Incentives Worksheet'!D"&amp;'Configurable Tab'!H24+8)</f>
        <v/>
      </c>
      <c r="Q244" s="1102" t="str" cm="1">
        <f t="array" aca="1" ref="Q244" ca="1">IF(INDIRECT("'Incentives Worksheet'!D"&amp;'Configurable Tab'!H24+10)="No","Update tracking dates",INDIRECT("'Incentives Worksheet'!D"&amp;'Configurable Tab'!H24+10))</f>
        <v>Yes</v>
      </c>
      <c r="R244" s="1107"/>
      <c r="S244" s="1107"/>
      <c r="T244" s="1107"/>
      <c r="U244" s="1107"/>
      <c r="V244" s="1107"/>
      <c r="W244" s="1107"/>
      <c r="X244" s="1107"/>
      <c r="Y244" s="1107"/>
      <c r="Z244" s="1107"/>
      <c r="AA244" s="1107"/>
      <c r="AB244" s="1107"/>
      <c r="AC244" s="1107"/>
      <c r="AD244" s="1107"/>
      <c r="AE244" s="1107"/>
      <c r="AF244" s="1107"/>
      <c r="AG244" s="1107"/>
      <c r="AH244" s="1107"/>
      <c r="AI244" s="1107"/>
      <c r="AJ244" s="1107"/>
      <c r="AK244" s="1107"/>
      <c r="AL244" s="1107"/>
      <c r="AM244" s="1107"/>
      <c r="AN244" s="1107"/>
      <c r="AO244" s="1107"/>
      <c r="AP244" s="1107"/>
      <c r="AQ244" s="1107"/>
      <c r="AR244" s="1107"/>
      <c r="AS244" s="1107"/>
      <c r="AT244" s="1107"/>
      <c r="AU244" s="1107"/>
      <c r="AV244" s="1107"/>
      <c r="AW244" s="1107"/>
      <c r="AX244" s="1107"/>
      <c r="AY244" s="1107"/>
      <c r="AZ244" s="1107"/>
      <c r="BA244" s="1107"/>
      <c r="BB244" s="1107"/>
      <c r="BC244" s="1107"/>
      <c r="BD244" s="1107"/>
      <c r="BE244" s="1107"/>
      <c r="BF244" s="1107"/>
      <c r="BG244" s="1107"/>
      <c r="BH244" s="1107"/>
      <c r="BI244" s="1107"/>
      <c r="BJ244" s="1107"/>
      <c r="BK244" s="1107"/>
      <c r="BL244" s="1107"/>
      <c r="BM244" s="1107"/>
      <c r="BN244" s="1107"/>
      <c r="BO244" s="1107"/>
      <c r="BP244" s="1107"/>
      <c r="BQ244" s="1107"/>
      <c r="BR244" s="1107"/>
      <c r="BS244" s="1107"/>
      <c r="BT244" s="1107"/>
      <c r="BU244" s="1107"/>
      <c r="BV244" s="1107"/>
      <c r="BW244" s="1107"/>
      <c r="BX244" s="1107"/>
      <c r="BY244" s="1107"/>
      <c r="BZ244" s="1107"/>
      <c r="CA244" s="1107"/>
      <c r="CB244" s="1107"/>
      <c r="CC244" s="1107"/>
      <c r="CD244" s="1107"/>
      <c r="CE244" s="1107"/>
      <c r="CF244" s="1107"/>
      <c r="CG244" s="1107"/>
      <c r="CH244" s="1107"/>
      <c r="CI244" s="1107"/>
      <c r="CJ244" s="1107"/>
      <c r="CK244" s="1107"/>
    </row>
    <row r="245" spans="1:89" ht="30.75" customHeight="1" thickBot="1" x14ac:dyDescent="0.3">
      <c r="A245" s="1107"/>
      <c r="B245" s="2006" t="s">
        <v>1854</v>
      </c>
      <c r="C245" s="1160" t="s">
        <v>1874</v>
      </c>
      <c r="D245" s="1100" t="s">
        <v>1875</v>
      </c>
      <c r="E245" s="1101" t="s">
        <v>1359</v>
      </c>
      <c r="F245" s="1100" t="s">
        <v>1877</v>
      </c>
      <c r="G245" s="1161" t="s">
        <v>1880</v>
      </c>
      <c r="H245" s="1162"/>
      <c r="I245" s="1162"/>
      <c r="J245" s="1107"/>
      <c r="K245" s="1162"/>
      <c r="L245" s="1162"/>
      <c r="M245" s="1162"/>
      <c r="N245" s="1162"/>
      <c r="O245" s="1162"/>
      <c r="P245" s="1162"/>
      <c r="Q245" s="1163"/>
      <c r="R245" s="1107"/>
      <c r="S245" s="1107"/>
      <c r="T245" s="1107"/>
      <c r="U245" s="1107"/>
      <c r="V245" s="1107"/>
      <c r="W245" s="1107"/>
      <c r="X245" s="1107"/>
      <c r="Y245" s="1107"/>
      <c r="Z245" s="1107"/>
      <c r="AA245" s="1107"/>
      <c r="AB245" s="1107"/>
      <c r="AC245" s="1107"/>
      <c r="AD245" s="1107"/>
      <c r="AE245" s="1107"/>
      <c r="AF245" s="1107"/>
      <c r="AG245" s="1107"/>
      <c r="AH245" s="1107"/>
      <c r="AI245" s="1107"/>
      <c r="AJ245" s="1107"/>
      <c r="AK245" s="1107"/>
      <c r="AL245" s="1107"/>
      <c r="AM245" s="1107"/>
      <c r="AN245" s="1107"/>
      <c r="AO245" s="1107"/>
      <c r="AP245" s="1107"/>
      <c r="AQ245" s="1107"/>
      <c r="AR245" s="1107"/>
      <c r="AS245" s="1107"/>
      <c r="AT245" s="1107"/>
      <c r="AU245" s="1107"/>
      <c r="AV245" s="1107"/>
      <c r="AW245" s="1107"/>
      <c r="AX245" s="1107"/>
      <c r="AY245" s="1107"/>
      <c r="AZ245" s="1107"/>
      <c r="BA245" s="1107"/>
      <c r="BB245" s="1107"/>
      <c r="BC245" s="1107"/>
      <c r="BD245" s="1107"/>
      <c r="BE245" s="1107"/>
      <c r="BF245" s="1107"/>
      <c r="BG245" s="1107"/>
      <c r="BH245" s="1107"/>
      <c r="BI245" s="1107"/>
      <c r="BJ245" s="1107"/>
      <c r="BK245" s="1107"/>
      <c r="BL245" s="1107"/>
      <c r="BM245" s="1107"/>
      <c r="BN245" s="1107"/>
      <c r="BO245" s="1107"/>
      <c r="BP245" s="1107"/>
      <c r="BQ245" s="1107"/>
      <c r="BR245" s="1107"/>
      <c r="BS245" s="1107"/>
      <c r="BT245" s="1107"/>
      <c r="BU245" s="1107"/>
      <c r="BV245" s="1107"/>
      <c r="BW245" s="1107"/>
      <c r="BX245" s="1107"/>
      <c r="BY245" s="1107"/>
      <c r="BZ245" s="1107"/>
      <c r="CA245" s="1107"/>
      <c r="CB245" s="1107"/>
      <c r="CC245" s="1107"/>
      <c r="CD245" s="1107"/>
      <c r="CE245" s="1107"/>
      <c r="CF245" s="1107"/>
      <c r="CG245" s="1107"/>
      <c r="CH245" s="1107"/>
      <c r="CI245" s="1107"/>
      <c r="CJ245" s="1107"/>
      <c r="CK245" s="1107"/>
    </row>
    <row r="246" spans="1:89" ht="15.75" thickBot="1" x14ac:dyDescent="0.3">
      <c r="A246" s="1107"/>
      <c r="B246" s="2011"/>
      <c r="C246" s="1195" t="s">
        <v>1890</v>
      </c>
      <c r="D246" s="1195" t="str" cm="1">
        <f t="array" aca="1" ref="D246" ca="1">IF(INDIRECT("'Incentives Worksheet'!L"&amp;'Configurable Tab'!H24+9)="All"," All Products","Included Products")</f>
        <v>Included Products</v>
      </c>
      <c r="E246" s="1195" t="str" cm="1">
        <f t="array" aca="1" ref="E246" ca="1">IF(INDIRECT("'Incentives Worksheet'!J"&amp;'Configurable Tab'!H24+9)="All","All Customers","Individual")</f>
        <v>All Customers</v>
      </c>
      <c r="F246" s="1196" t="str" cm="1">
        <f t="array" aca="1" ref="F246" ca="1">IF(INDIRECT("'Incentives Worksheet'!L"&amp;'Configurable Tab'!H24+6)&lt;&gt;0,INDIRECT("'Incentives Worksheet'!L"&amp;'Configurable Tab'!H24+6),"")</f>
        <v/>
      </c>
      <c r="G246" s="1197" t="str" cm="1">
        <f t="array" aca="1" ref="G246" ca="1">INDIRECT("'Incentives Worksheet'!N"&amp;'Configurable Tab'!H24+6)</f>
        <v>%</v>
      </c>
      <c r="H246" s="1136"/>
      <c r="I246" s="1136"/>
      <c r="J246" s="1107"/>
      <c r="K246" s="1136"/>
      <c r="L246" s="1136"/>
      <c r="M246" s="1136"/>
      <c r="N246" s="1136"/>
      <c r="O246" s="1136"/>
      <c r="P246" s="1136"/>
      <c r="Q246" s="1108"/>
      <c r="R246" s="1107"/>
      <c r="S246" s="1107"/>
      <c r="T246" s="1107"/>
      <c r="U246" s="1107"/>
      <c r="V246" s="1107"/>
      <c r="W246" s="1107"/>
      <c r="X246" s="1107"/>
      <c r="Y246" s="1107"/>
      <c r="Z246" s="1107"/>
      <c r="AA246" s="1107"/>
      <c r="AB246" s="1107"/>
      <c r="AC246" s="1107"/>
      <c r="AD246" s="1107"/>
      <c r="AE246" s="1107"/>
      <c r="AF246" s="1107"/>
      <c r="AG246" s="1107"/>
      <c r="AH246" s="1107"/>
      <c r="AI246" s="1107"/>
      <c r="AJ246" s="1107"/>
      <c r="AK246" s="1107"/>
      <c r="AL246" s="1107"/>
      <c r="AM246" s="1107"/>
      <c r="AN246" s="1107"/>
      <c r="AO246" s="1107"/>
      <c r="AP246" s="1107"/>
      <c r="AQ246" s="1107"/>
      <c r="AR246" s="1107"/>
      <c r="AS246" s="1107"/>
      <c r="AT246" s="1107"/>
      <c r="AU246" s="1107"/>
      <c r="AV246" s="1107"/>
      <c r="AW246" s="1107"/>
      <c r="AX246" s="1107"/>
      <c r="AY246" s="1107"/>
      <c r="AZ246" s="1107"/>
      <c r="BA246" s="1107"/>
      <c r="BB246" s="1107"/>
      <c r="BC246" s="1107"/>
      <c r="BD246" s="1107"/>
      <c r="BE246" s="1107"/>
      <c r="BF246" s="1107"/>
      <c r="BG246" s="1107"/>
      <c r="BH246" s="1107"/>
      <c r="BI246" s="1107"/>
      <c r="BJ246" s="1107"/>
      <c r="BK246" s="1107"/>
      <c r="BL246" s="1107"/>
      <c r="BM246" s="1107"/>
      <c r="BN246" s="1107"/>
      <c r="BO246" s="1107"/>
      <c r="BP246" s="1107"/>
      <c r="BQ246" s="1107"/>
      <c r="BR246" s="1107"/>
      <c r="BS246" s="1107"/>
      <c r="BT246" s="1107"/>
      <c r="BU246" s="1107"/>
      <c r="BV246" s="1107"/>
      <c r="BW246" s="1107"/>
      <c r="BX246" s="1107"/>
      <c r="BY246" s="1107"/>
      <c r="BZ246" s="1107"/>
      <c r="CA246" s="1107"/>
      <c r="CB246" s="1107"/>
      <c r="CC246" s="1107"/>
      <c r="CD246" s="1107"/>
      <c r="CE246" s="1107"/>
      <c r="CF246" s="1107"/>
      <c r="CG246" s="1107"/>
      <c r="CH246" s="1107"/>
      <c r="CI246" s="1107"/>
      <c r="CJ246" s="1107"/>
      <c r="CK246" s="1107"/>
    </row>
    <row r="247" spans="1:89" x14ac:dyDescent="0.25">
      <c r="A247" s="1107"/>
      <c r="B247" s="2008"/>
      <c r="C247" s="1170" t="s">
        <v>1884</v>
      </c>
      <c r="D247" s="1171" t="s">
        <v>126</v>
      </c>
      <c r="E247" s="1172" t="s">
        <v>128</v>
      </c>
      <c r="F247" s="1173" t="s">
        <v>1104</v>
      </c>
      <c r="G247" s="1136"/>
      <c r="H247" s="1136"/>
      <c r="I247" s="1136"/>
      <c r="J247" s="1136"/>
      <c r="K247" s="1136"/>
      <c r="L247" s="1136"/>
      <c r="M247" s="1136"/>
      <c r="N247" s="1136"/>
      <c r="O247" s="1136"/>
      <c r="P247" s="1136"/>
      <c r="Q247" s="1137"/>
      <c r="R247" s="1107"/>
      <c r="S247" s="1107"/>
      <c r="T247" s="1107"/>
      <c r="U247" s="1107"/>
      <c r="V247" s="1107"/>
      <c r="W247" s="1107"/>
      <c r="X247" s="1107"/>
      <c r="Y247" s="1107"/>
      <c r="Z247" s="1107"/>
      <c r="AA247" s="1107"/>
      <c r="AB247" s="1107"/>
      <c r="AC247" s="1107"/>
      <c r="AD247" s="1107"/>
      <c r="AE247" s="1107"/>
      <c r="AF247" s="1107"/>
      <c r="AG247" s="1107"/>
      <c r="AH247" s="1107"/>
      <c r="AI247" s="1107"/>
      <c r="AJ247" s="1107"/>
      <c r="AK247" s="1107"/>
      <c r="AL247" s="1107"/>
      <c r="AM247" s="1107"/>
      <c r="AN247" s="1107"/>
      <c r="AO247" s="1107"/>
      <c r="AP247" s="1107"/>
      <c r="AQ247" s="1107"/>
      <c r="AR247" s="1107"/>
      <c r="AS247" s="1107"/>
      <c r="AT247" s="1107"/>
      <c r="AU247" s="1107"/>
      <c r="AV247" s="1107"/>
      <c r="AW247" s="1107"/>
      <c r="AX247" s="1107"/>
      <c r="AY247" s="1107"/>
      <c r="AZ247" s="1107"/>
      <c r="BA247" s="1107"/>
      <c r="BB247" s="1107"/>
      <c r="BC247" s="1107"/>
      <c r="BD247" s="1107"/>
      <c r="BE247" s="1107"/>
      <c r="BF247" s="1107"/>
      <c r="BG247" s="1107"/>
      <c r="BH247" s="1107"/>
      <c r="BI247" s="1107"/>
      <c r="BJ247" s="1107"/>
      <c r="BK247" s="1107"/>
      <c r="BL247" s="1107"/>
      <c r="BM247" s="1107"/>
      <c r="BN247" s="1107"/>
      <c r="BO247" s="1107"/>
      <c r="BP247" s="1107"/>
      <c r="BQ247" s="1107"/>
      <c r="BR247" s="1107"/>
      <c r="BS247" s="1107"/>
      <c r="BT247" s="1107"/>
      <c r="BU247" s="1107"/>
      <c r="BV247" s="1107"/>
      <c r="BW247" s="1107"/>
      <c r="BX247" s="1107"/>
      <c r="BY247" s="1107"/>
      <c r="BZ247" s="1107"/>
      <c r="CA247" s="1107"/>
      <c r="CB247" s="1107"/>
      <c r="CC247" s="1107"/>
      <c r="CD247" s="1107"/>
      <c r="CE247" s="1107"/>
      <c r="CF247" s="1107"/>
      <c r="CG247" s="1107"/>
      <c r="CH247" s="1107"/>
      <c r="CI247" s="1107"/>
      <c r="CJ247" s="1107"/>
      <c r="CK247" s="1107"/>
    </row>
    <row r="248" spans="1:89" x14ac:dyDescent="0.25">
      <c r="A248" s="1107"/>
      <c r="B248" s="2008"/>
      <c r="C248" s="1178">
        <v>0</v>
      </c>
      <c r="D248" s="1179" t="str" cm="1">
        <f t="array" aca="1" ref="D248" ca="1">IF(INDIRECT("'Incentives Worksheet'!H"&amp;'Configurable Tab'!H24+6)&lt;&gt;0,0,"")</f>
        <v/>
      </c>
      <c r="E248" s="1212" t="str" cm="1">
        <f t="array" aca="1" ref="E248" ca="1">IF(INDIRECT("'Incentives Worksheet'!H"&amp;'Configurable Tab'!H24+6)&lt;&gt;0,INDIRECT("'Incentives Worksheet'!H"&amp;'Configurable Tab'!H24+6)-0.01,"")</f>
        <v/>
      </c>
      <c r="F248" s="1181" t="str" cm="1">
        <f t="array" aca="1" ref="F248" ca="1">IF(INDIRECT("'Incentives Worksheet'!H"&amp;'Configurable Tab'!H24+6)&lt;&gt;0,0,"")</f>
        <v/>
      </c>
      <c r="G248" s="1136"/>
      <c r="H248" s="1136"/>
      <c r="I248" s="1136"/>
      <c r="J248" s="1136"/>
      <c r="K248" s="1136"/>
      <c r="L248" s="1136"/>
      <c r="M248" s="1136"/>
      <c r="N248" s="1136"/>
      <c r="O248" s="1136"/>
      <c r="P248" s="1136"/>
      <c r="Q248" s="1137"/>
      <c r="R248" s="1107"/>
      <c r="S248" s="1107"/>
      <c r="T248" s="1107"/>
      <c r="U248" s="1107"/>
      <c r="V248" s="1107"/>
      <c r="W248" s="1107"/>
      <c r="X248" s="1107"/>
      <c r="Y248" s="1107"/>
      <c r="Z248" s="1107"/>
      <c r="AA248" s="1107"/>
      <c r="AB248" s="1107"/>
      <c r="AC248" s="1107"/>
      <c r="AD248" s="1107"/>
      <c r="AE248" s="1107"/>
      <c r="AF248" s="1107"/>
      <c r="AG248" s="1107"/>
      <c r="AH248" s="1107"/>
      <c r="AI248" s="1107"/>
      <c r="AJ248" s="1107"/>
      <c r="AK248" s="1107"/>
      <c r="AL248" s="1107"/>
      <c r="AM248" s="1107"/>
      <c r="AN248" s="1107"/>
      <c r="AO248" s="1107"/>
      <c r="AP248" s="1107"/>
      <c r="AQ248" s="1107"/>
      <c r="AR248" s="1107"/>
      <c r="AS248" s="1107"/>
      <c r="AT248" s="1107"/>
      <c r="AU248" s="1107"/>
      <c r="AV248" s="1107"/>
      <c r="AW248" s="1107"/>
      <c r="AX248" s="1107"/>
      <c r="AY248" s="1107"/>
      <c r="AZ248" s="1107"/>
      <c r="BA248" s="1107"/>
      <c r="BB248" s="1107"/>
      <c r="BC248" s="1107"/>
      <c r="BD248" s="1107"/>
      <c r="BE248" s="1107"/>
      <c r="BF248" s="1107"/>
      <c r="BG248" s="1107"/>
      <c r="BH248" s="1107"/>
      <c r="BI248" s="1107"/>
      <c r="BJ248" s="1107"/>
      <c r="BK248" s="1107"/>
      <c r="BL248" s="1107"/>
      <c r="BM248" s="1107"/>
      <c r="BN248" s="1107"/>
      <c r="BO248" s="1107"/>
      <c r="BP248" s="1107"/>
      <c r="BQ248" s="1107"/>
      <c r="BR248" s="1107"/>
      <c r="BS248" s="1107"/>
      <c r="BT248" s="1107"/>
      <c r="BU248" s="1107"/>
      <c r="BV248" s="1107"/>
      <c r="BW248" s="1107"/>
      <c r="BX248" s="1107"/>
      <c r="BY248" s="1107"/>
      <c r="BZ248" s="1107"/>
      <c r="CA248" s="1107"/>
      <c r="CB248" s="1107"/>
      <c r="CC248" s="1107"/>
      <c r="CD248" s="1107"/>
      <c r="CE248" s="1107"/>
      <c r="CF248" s="1107"/>
      <c r="CG248" s="1107"/>
      <c r="CH248" s="1107"/>
      <c r="CI248" s="1107"/>
      <c r="CJ248" s="1107"/>
      <c r="CK248" s="1107"/>
    </row>
    <row r="249" spans="1:89" ht="15.75" thickBot="1" x14ac:dyDescent="0.3">
      <c r="A249" s="1107"/>
      <c r="B249" s="2009"/>
      <c r="C249" s="1184">
        <v>1</v>
      </c>
      <c r="D249" s="1205" t="str" cm="1">
        <f t="array" aca="1" ref="D249" ca="1">IF(INDIRECT("'Incentives Worksheet'!H"&amp;'Configurable Tab'!H24+6)=0,"",INDIRECT("'Incentives Worksheet'!H"&amp;'Configurable Tab'!H24+6))</f>
        <v/>
      </c>
      <c r="E249" s="1227" t="str" cm="1">
        <f t="array" aca="1" ref="E249" ca="1">IF(INDIRECT("'Incentives Worksheet'!J"&amp;'Configurable Tab'!H24+6)=0,"",INDIRECT("'Incentives Worksheet'!J"&amp;'Configurable Tab'!H24+6))</f>
        <v/>
      </c>
      <c r="F249" s="1207" t="str" cm="1">
        <f t="array" aca="1" ref="F249" ca="1">IF(INDIRECT("'Incentives Worksheet'!L"&amp;'Configurable Tab'!H24+6)=0,"",INDIRECT("'Incentives Worksheet'!L"&amp;'Configurable Tab'!H24+6))</f>
        <v/>
      </c>
      <c r="G249" s="1136"/>
      <c r="H249" s="1136"/>
      <c r="I249" s="1136"/>
      <c r="J249" s="1136"/>
      <c r="K249" s="1136"/>
      <c r="L249" s="1136"/>
      <c r="M249" s="1136"/>
      <c r="N249" s="1136"/>
      <c r="O249" s="1136"/>
      <c r="P249" s="1136"/>
      <c r="Q249" s="1137"/>
      <c r="R249" s="1107"/>
      <c r="S249" s="1107"/>
      <c r="T249" s="1107"/>
      <c r="U249" s="1107"/>
      <c r="V249" s="1107"/>
      <c r="W249" s="1107"/>
      <c r="X249" s="1107"/>
      <c r="Y249" s="1107"/>
      <c r="Z249" s="1107"/>
      <c r="AA249" s="1107"/>
      <c r="AB249" s="1107"/>
      <c r="AC249" s="1107"/>
      <c r="AD249" s="1107"/>
      <c r="AE249" s="1107"/>
      <c r="AF249" s="1107"/>
      <c r="AG249" s="1107"/>
      <c r="AH249" s="1107"/>
      <c r="AI249" s="1107"/>
      <c r="AJ249" s="1107"/>
      <c r="AK249" s="1107"/>
      <c r="AL249" s="1107"/>
      <c r="AM249" s="1107"/>
      <c r="AN249" s="1107"/>
      <c r="AO249" s="1107"/>
      <c r="AP249" s="1107"/>
      <c r="AQ249" s="1107"/>
      <c r="AR249" s="1107"/>
      <c r="AS249" s="1107"/>
      <c r="AT249" s="1107"/>
      <c r="AU249" s="1107"/>
      <c r="AV249" s="1107"/>
      <c r="AW249" s="1107"/>
      <c r="AX249" s="1107"/>
      <c r="AY249" s="1107"/>
      <c r="AZ249" s="1107"/>
      <c r="BA249" s="1107"/>
      <c r="BB249" s="1107"/>
      <c r="BC249" s="1107"/>
      <c r="BD249" s="1107"/>
      <c r="BE249" s="1107"/>
      <c r="BF249" s="1107"/>
      <c r="BG249" s="1107"/>
      <c r="BH249" s="1107"/>
      <c r="BI249" s="1107"/>
      <c r="BJ249" s="1107"/>
      <c r="BK249" s="1107"/>
      <c r="BL249" s="1107"/>
      <c r="BM249" s="1107"/>
      <c r="BN249" s="1107"/>
      <c r="BO249" s="1107"/>
      <c r="BP249" s="1107"/>
      <c r="BQ249" s="1107"/>
      <c r="BR249" s="1107"/>
      <c r="BS249" s="1107"/>
      <c r="BT249" s="1107"/>
      <c r="BU249" s="1107"/>
      <c r="BV249" s="1107"/>
      <c r="BW249" s="1107"/>
      <c r="BX249" s="1107"/>
      <c r="BY249" s="1107"/>
      <c r="BZ249" s="1107"/>
      <c r="CA249" s="1107"/>
      <c r="CB249" s="1107"/>
      <c r="CC249" s="1107"/>
      <c r="CD249" s="1107"/>
      <c r="CE249" s="1107"/>
      <c r="CF249" s="1107"/>
      <c r="CG249" s="1107"/>
      <c r="CH249" s="1107"/>
      <c r="CI249" s="1107"/>
      <c r="CJ249" s="1107"/>
      <c r="CK249" s="1107"/>
    </row>
    <row r="250" spans="1:89" ht="15.75" customHeight="1" thickBot="1" x14ac:dyDescent="0.3">
      <c r="A250" s="1107"/>
      <c r="B250" s="2006" t="s">
        <v>1858</v>
      </c>
      <c r="C250" s="1191" t="s">
        <v>1859</v>
      </c>
      <c r="D250" s="1192" t="s">
        <v>131</v>
      </c>
      <c r="E250" s="1192" t="s">
        <v>1860</v>
      </c>
      <c r="F250" s="1107"/>
      <c r="G250" s="1107"/>
      <c r="H250" s="1107"/>
      <c r="I250" s="1107"/>
      <c r="J250" s="1107"/>
      <c r="K250" s="1107"/>
      <c r="L250" s="1107"/>
      <c r="M250" s="1107"/>
      <c r="N250" s="1107"/>
      <c r="O250" s="1107"/>
      <c r="P250" s="1107"/>
      <c r="Q250" s="1108"/>
      <c r="R250" s="1107"/>
      <c r="S250" s="1107"/>
      <c r="T250" s="1107"/>
      <c r="U250" s="1107"/>
      <c r="V250" s="1107"/>
      <c r="W250" s="1107"/>
      <c r="X250" s="1107"/>
      <c r="Y250" s="1107"/>
      <c r="Z250" s="1107"/>
      <c r="AA250" s="1107"/>
      <c r="AB250" s="1107"/>
      <c r="AC250" s="1107"/>
      <c r="AD250" s="1107"/>
      <c r="AE250" s="1107"/>
      <c r="AF250" s="1107"/>
      <c r="AG250" s="1107"/>
      <c r="AH250" s="1107"/>
      <c r="AI250" s="1107"/>
      <c r="AJ250" s="1107"/>
      <c r="AK250" s="1107"/>
      <c r="AL250" s="1107"/>
      <c r="AM250" s="1107"/>
      <c r="AN250" s="1107"/>
      <c r="AO250" s="1107"/>
      <c r="AP250" s="1107"/>
      <c r="AQ250" s="1107"/>
      <c r="AR250" s="1107"/>
      <c r="AS250" s="1107"/>
      <c r="AT250" s="1107"/>
      <c r="AU250" s="1107"/>
      <c r="AV250" s="1107"/>
      <c r="AW250" s="1107"/>
      <c r="AX250" s="1107"/>
      <c r="AY250" s="1107"/>
      <c r="AZ250" s="1107"/>
      <c r="BA250" s="1107"/>
      <c r="BB250" s="1107"/>
      <c r="BC250" s="1107"/>
      <c r="BD250" s="1107"/>
      <c r="BE250" s="1107"/>
      <c r="BF250" s="1107"/>
      <c r="BG250" s="1107"/>
      <c r="BH250" s="1107"/>
      <c r="BI250" s="1107"/>
      <c r="BJ250" s="1107"/>
      <c r="BK250" s="1107"/>
      <c r="BL250" s="1107"/>
      <c r="BM250" s="1107"/>
      <c r="BN250" s="1107"/>
      <c r="BO250" s="1107"/>
      <c r="BP250" s="1107"/>
      <c r="BQ250" s="1107"/>
      <c r="BR250" s="1107"/>
      <c r="BS250" s="1107"/>
      <c r="BT250" s="1107"/>
      <c r="BU250" s="1107"/>
      <c r="BV250" s="1107"/>
      <c r="BW250" s="1107"/>
      <c r="BX250" s="1107"/>
      <c r="BY250" s="1107"/>
      <c r="BZ250" s="1107"/>
      <c r="CA250" s="1107"/>
      <c r="CB250" s="1107"/>
      <c r="CC250" s="1107"/>
      <c r="CD250" s="1107"/>
      <c r="CE250" s="1107"/>
      <c r="CF250" s="1107"/>
      <c r="CG250" s="1107"/>
      <c r="CH250" s="1107"/>
      <c r="CI250" s="1107"/>
      <c r="CJ250" s="1107"/>
      <c r="CK250" s="1107"/>
    </row>
    <row r="251" spans="1:89" x14ac:dyDescent="0.25">
      <c r="A251" s="1107"/>
      <c r="B251" s="2011"/>
      <c r="C251" s="1141" t="s">
        <v>1861</v>
      </c>
      <c r="D251" s="1141" t="s">
        <v>1862</v>
      </c>
      <c r="E251" s="1142"/>
      <c r="F251" s="1107"/>
      <c r="G251" s="1107"/>
      <c r="H251" s="1107"/>
      <c r="I251" s="1107"/>
      <c r="J251" s="1107"/>
      <c r="K251" s="1107"/>
      <c r="L251" s="1107"/>
      <c r="M251" s="1107"/>
      <c r="N251" s="1107"/>
      <c r="O251" s="1107"/>
      <c r="P251" s="1107"/>
      <c r="Q251" s="1108"/>
      <c r="R251" s="1107"/>
      <c r="S251" s="1107"/>
      <c r="T251" s="1107"/>
      <c r="U251" s="1107"/>
      <c r="V251" s="1107"/>
      <c r="W251" s="1107"/>
      <c r="X251" s="1107"/>
      <c r="Y251" s="1107"/>
      <c r="Z251" s="1107"/>
      <c r="AA251" s="1107"/>
      <c r="AB251" s="1107"/>
      <c r="AC251" s="1107"/>
      <c r="AD251" s="1107"/>
      <c r="AE251" s="1107"/>
      <c r="AF251" s="1107"/>
      <c r="AG251" s="1107"/>
      <c r="AH251" s="1107"/>
      <c r="AI251" s="1107"/>
      <c r="AJ251" s="1107"/>
      <c r="AK251" s="1107"/>
      <c r="AL251" s="1107"/>
      <c r="AM251" s="1107"/>
      <c r="AN251" s="1107"/>
      <c r="AO251" s="1107"/>
      <c r="AP251" s="1107"/>
      <c r="AQ251" s="1107"/>
      <c r="AR251" s="1107"/>
      <c r="AS251" s="1107"/>
      <c r="AT251" s="1107"/>
      <c r="AU251" s="1107"/>
      <c r="AV251" s="1107"/>
      <c r="AW251" s="1107"/>
      <c r="AX251" s="1107"/>
      <c r="AY251" s="1107"/>
      <c r="AZ251" s="1107"/>
      <c r="BA251" s="1107"/>
      <c r="BB251" s="1107"/>
      <c r="BC251" s="1107"/>
      <c r="BD251" s="1107"/>
      <c r="BE251" s="1107"/>
      <c r="BF251" s="1107"/>
      <c r="BG251" s="1107"/>
      <c r="BH251" s="1107"/>
      <c r="BI251" s="1107"/>
      <c r="BJ251" s="1107"/>
      <c r="BK251" s="1107"/>
      <c r="BL251" s="1107"/>
      <c r="BM251" s="1107"/>
      <c r="BN251" s="1107"/>
      <c r="BO251" s="1107"/>
      <c r="BP251" s="1107"/>
      <c r="BQ251" s="1107"/>
      <c r="BR251" s="1107"/>
      <c r="BS251" s="1107"/>
      <c r="BT251" s="1107"/>
      <c r="BU251" s="1107"/>
      <c r="BV251" s="1107"/>
      <c r="BW251" s="1107"/>
      <c r="BX251" s="1107"/>
      <c r="BY251" s="1107"/>
      <c r="BZ251" s="1107"/>
      <c r="CA251" s="1107"/>
      <c r="CB251" s="1107"/>
      <c r="CC251" s="1107"/>
      <c r="CD251" s="1107"/>
      <c r="CE251" s="1107"/>
      <c r="CF251" s="1107"/>
      <c r="CG251" s="1107"/>
      <c r="CH251" s="1107"/>
      <c r="CI251" s="1107"/>
      <c r="CJ251" s="1107"/>
      <c r="CK251" s="1107"/>
    </row>
    <row r="252" spans="1:89" x14ac:dyDescent="0.25">
      <c r="A252" s="1107"/>
      <c r="B252" s="2011"/>
      <c r="C252" s="1143" t="s">
        <v>1861</v>
      </c>
      <c r="D252" s="1143" t="s">
        <v>1863</v>
      </c>
      <c r="E252" s="1144" t="s">
        <v>1864</v>
      </c>
      <c r="F252" s="1107"/>
      <c r="G252" s="1107"/>
      <c r="H252" s="1107"/>
      <c r="I252" s="1107"/>
      <c r="J252" s="1107"/>
      <c r="K252" s="1107"/>
      <c r="L252" s="1107"/>
      <c r="M252" s="1107"/>
      <c r="N252" s="1107"/>
      <c r="O252" s="1107"/>
      <c r="P252" s="1107"/>
      <c r="Q252" s="1108"/>
      <c r="R252" s="1107"/>
      <c r="S252" s="1107"/>
      <c r="T252" s="1107"/>
      <c r="U252" s="1107"/>
      <c r="V252" s="1107"/>
      <c r="W252" s="1107"/>
      <c r="X252" s="1107"/>
      <c r="Y252" s="1107"/>
      <c r="Z252" s="1107"/>
      <c r="AA252" s="1107"/>
      <c r="AB252" s="1107"/>
      <c r="AC252" s="1107"/>
      <c r="AD252" s="1107"/>
      <c r="AE252" s="1107"/>
      <c r="AF252" s="1107"/>
      <c r="AG252" s="1107"/>
      <c r="AH252" s="1107"/>
      <c r="AI252" s="1107"/>
      <c r="AJ252" s="1107"/>
      <c r="AK252" s="1107"/>
      <c r="AL252" s="1107"/>
      <c r="AM252" s="1107"/>
      <c r="AN252" s="1107"/>
      <c r="AO252" s="1107"/>
      <c r="AP252" s="1107"/>
      <c r="AQ252" s="1107"/>
      <c r="AR252" s="1107"/>
      <c r="AS252" s="1107"/>
      <c r="AT252" s="1107"/>
      <c r="AU252" s="1107"/>
      <c r="AV252" s="1107"/>
      <c r="AW252" s="1107"/>
      <c r="AX252" s="1107"/>
      <c r="AY252" s="1107"/>
      <c r="AZ252" s="1107"/>
      <c r="BA252" s="1107"/>
      <c r="BB252" s="1107"/>
      <c r="BC252" s="1107"/>
      <c r="BD252" s="1107"/>
      <c r="BE252" s="1107"/>
      <c r="BF252" s="1107"/>
      <c r="BG252" s="1107"/>
      <c r="BH252" s="1107"/>
      <c r="BI252" s="1107"/>
      <c r="BJ252" s="1107"/>
      <c r="BK252" s="1107"/>
      <c r="BL252" s="1107"/>
      <c r="BM252" s="1107"/>
      <c r="BN252" s="1107"/>
      <c r="BO252" s="1107"/>
      <c r="BP252" s="1107"/>
      <c r="BQ252" s="1107"/>
      <c r="BR252" s="1107"/>
      <c r="BS252" s="1107"/>
      <c r="BT252" s="1107"/>
      <c r="BU252" s="1107"/>
      <c r="BV252" s="1107"/>
      <c r="BW252" s="1107"/>
      <c r="BX252" s="1107"/>
      <c r="BY252" s="1107"/>
      <c r="BZ252" s="1107"/>
      <c r="CA252" s="1107"/>
      <c r="CB252" s="1107"/>
      <c r="CC252" s="1107"/>
      <c r="CD252" s="1107"/>
      <c r="CE252" s="1107"/>
      <c r="CF252" s="1107"/>
      <c r="CG252" s="1107"/>
      <c r="CH252" s="1107"/>
      <c r="CI252" s="1107"/>
      <c r="CJ252" s="1107"/>
      <c r="CK252" s="1107"/>
    </row>
    <row r="253" spans="1:89" s="1384" customFormat="1" x14ac:dyDescent="0.25">
      <c r="A253" s="1107"/>
      <c r="B253" s="2011"/>
      <c r="C253" s="1143" t="s">
        <v>1861</v>
      </c>
      <c r="D253" s="1143" t="s">
        <v>1865</v>
      </c>
      <c r="E253" s="1144" t="s">
        <v>1699</v>
      </c>
      <c r="F253" s="1107"/>
      <c r="G253" s="1107"/>
      <c r="H253" s="1107"/>
      <c r="I253" s="1107"/>
      <c r="J253" s="1107"/>
      <c r="K253" s="1107"/>
      <c r="L253" s="1107"/>
      <c r="M253" s="1107"/>
      <c r="N253" s="1107"/>
      <c r="O253" s="1107"/>
      <c r="P253" s="1107"/>
      <c r="Q253" s="1108"/>
      <c r="R253" s="1107"/>
      <c r="S253" s="1107"/>
      <c r="T253" s="1107"/>
      <c r="U253" s="1107"/>
      <c r="V253" s="1107"/>
      <c r="W253" s="1107"/>
      <c r="X253" s="1107"/>
      <c r="Y253" s="1107"/>
      <c r="Z253" s="1107"/>
      <c r="AA253" s="1107"/>
      <c r="AB253" s="1107"/>
      <c r="AC253" s="1107"/>
      <c r="AD253" s="1107"/>
      <c r="AE253" s="1107"/>
      <c r="AF253" s="1107"/>
      <c r="AG253" s="1107"/>
      <c r="AH253" s="1107"/>
      <c r="AI253" s="1107"/>
      <c r="AJ253" s="1107"/>
      <c r="AK253" s="1107"/>
      <c r="AL253" s="1107"/>
      <c r="AM253" s="1107"/>
      <c r="AN253" s="1107"/>
      <c r="AO253" s="1107"/>
      <c r="AP253" s="1107"/>
      <c r="AQ253" s="1107"/>
      <c r="AR253" s="1107"/>
      <c r="AS253" s="1107"/>
      <c r="AT253" s="1107"/>
      <c r="AU253" s="1107"/>
      <c r="AV253" s="1107"/>
      <c r="AW253" s="1107"/>
      <c r="AX253" s="1107"/>
      <c r="AY253" s="1107"/>
      <c r="AZ253" s="1107"/>
      <c r="BA253" s="1107"/>
      <c r="BB253" s="1107"/>
      <c r="BC253" s="1107"/>
      <c r="BD253" s="1107"/>
      <c r="BE253" s="1107"/>
      <c r="BF253" s="1107"/>
      <c r="BG253" s="1107"/>
      <c r="BH253" s="1107"/>
      <c r="BI253" s="1107"/>
      <c r="BJ253" s="1107"/>
      <c r="BK253" s="1107"/>
      <c r="BL253" s="1107"/>
      <c r="BM253" s="1107"/>
      <c r="BN253" s="1107"/>
      <c r="BO253" s="1107"/>
      <c r="BP253" s="1107"/>
      <c r="BQ253" s="1107"/>
      <c r="BR253" s="1107"/>
      <c r="BS253" s="1107"/>
      <c r="BT253" s="1107"/>
      <c r="BU253" s="1107"/>
      <c r="BV253" s="1107"/>
      <c r="BW253" s="1107"/>
      <c r="BX253" s="1107"/>
      <c r="BY253" s="1107"/>
      <c r="BZ253" s="1107"/>
      <c r="CA253" s="1107"/>
      <c r="CB253" s="1107"/>
      <c r="CC253" s="1107"/>
      <c r="CD253" s="1107"/>
      <c r="CE253" s="1107"/>
      <c r="CF253" s="1107"/>
      <c r="CG253" s="1107"/>
      <c r="CH253" s="1107"/>
      <c r="CI253" s="1107"/>
      <c r="CJ253" s="1107"/>
      <c r="CK253" s="1107"/>
    </row>
    <row r="254" spans="1:89" s="1384" customFormat="1" x14ac:dyDescent="0.25">
      <c r="A254" s="1107"/>
      <c r="B254" s="2011"/>
      <c r="C254" s="1143" t="s">
        <v>1861</v>
      </c>
      <c r="D254" s="1143" t="s">
        <v>1866</v>
      </c>
      <c r="E254" s="1144" t="s">
        <v>1867</v>
      </c>
      <c r="F254" s="1107"/>
      <c r="G254" s="1107"/>
      <c r="H254" s="1107"/>
      <c r="I254" s="1107"/>
      <c r="J254" s="1107"/>
      <c r="K254" s="1107"/>
      <c r="L254" s="1107"/>
      <c r="M254" s="1107"/>
      <c r="N254" s="1107"/>
      <c r="O254" s="1107"/>
      <c r="P254" s="1107"/>
      <c r="Q254" s="1108"/>
      <c r="R254" s="1107"/>
      <c r="S254" s="1107"/>
      <c r="T254" s="1107"/>
      <c r="U254" s="1107"/>
      <c r="V254" s="1107"/>
      <c r="W254" s="1107"/>
      <c r="X254" s="1107"/>
      <c r="Y254" s="1107"/>
      <c r="Z254" s="1107"/>
      <c r="AA254" s="1107"/>
      <c r="AB254" s="1107"/>
      <c r="AC254" s="1107"/>
      <c r="AD254" s="1107"/>
      <c r="AE254" s="1107"/>
      <c r="AF254" s="1107"/>
      <c r="AG254" s="1107"/>
      <c r="AH254" s="1107"/>
      <c r="AI254" s="1107"/>
      <c r="AJ254" s="1107"/>
      <c r="AK254" s="1107"/>
      <c r="AL254" s="1107"/>
      <c r="AM254" s="1107"/>
      <c r="AN254" s="1107"/>
      <c r="AO254" s="1107"/>
      <c r="AP254" s="1107"/>
      <c r="AQ254" s="1107"/>
      <c r="AR254" s="1107"/>
      <c r="AS254" s="1107"/>
      <c r="AT254" s="1107"/>
      <c r="AU254" s="1107"/>
      <c r="AV254" s="1107"/>
      <c r="AW254" s="1107"/>
      <c r="AX254" s="1107"/>
      <c r="AY254" s="1107"/>
      <c r="AZ254" s="1107"/>
      <c r="BA254" s="1107"/>
      <c r="BB254" s="1107"/>
      <c r="BC254" s="1107"/>
      <c r="BD254" s="1107"/>
      <c r="BE254" s="1107"/>
      <c r="BF254" s="1107"/>
      <c r="BG254" s="1107"/>
      <c r="BH254" s="1107"/>
      <c r="BI254" s="1107"/>
      <c r="BJ254" s="1107"/>
      <c r="BK254" s="1107"/>
      <c r="BL254" s="1107"/>
      <c r="BM254" s="1107"/>
      <c r="BN254" s="1107"/>
      <c r="BO254" s="1107"/>
      <c r="BP254" s="1107"/>
      <c r="BQ254" s="1107"/>
      <c r="BR254" s="1107"/>
      <c r="BS254" s="1107"/>
      <c r="BT254" s="1107"/>
      <c r="BU254" s="1107"/>
      <c r="BV254" s="1107"/>
      <c r="BW254" s="1107"/>
      <c r="BX254" s="1107"/>
      <c r="BY254" s="1107"/>
      <c r="BZ254" s="1107"/>
      <c r="CA254" s="1107"/>
      <c r="CB254" s="1107"/>
      <c r="CC254" s="1107"/>
      <c r="CD254" s="1107"/>
      <c r="CE254" s="1107"/>
      <c r="CF254" s="1107"/>
      <c r="CG254" s="1107"/>
      <c r="CH254" s="1107"/>
      <c r="CI254" s="1107"/>
      <c r="CJ254" s="1107"/>
      <c r="CK254" s="1107"/>
    </row>
    <row r="255" spans="1:89" x14ac:dyDescent="0.25">
      <c r="A255" s="1107"/>
      <c r="B255" s="2011"/>
      <c r="C255" s="1143" t="s">
        <v>1872</v>
      </c>
      <c r="D255" s="1143" t="s">
        <v>2058</v>
      </c>
      <c r="E255" s="1144" t="s">
        <v>2059</v>
      </c>
      <c r="F255" s="1107"/>
      <c r="G255" s="1107"/>
      <c r="H255" s="1107"/>
      <c r="I255" s="1107"/>
      <c r="J255" s="1107"/>
      <c r="K255" s="1107"/>
      <c r="L255" s="1107"/>
      <c r="M255" s="1107"/>
      <c r="N255" s="1107"/>
      <c r="O255" s="1107"/>
      <c r="P255" s="1107"/>
      <c r="Q255" s="1108"/>
      <c r="R255" s="1107"/>
      <c r="S255" s="1107"/>
      <c r="T255" s="1107"/>
      <c r="U255" s="1107"/>
      <c r="V255" s="1107"/>
      <c r="W255" s="1107"/>
      <c r="X255" s="1107"/>
      <c r="Y255" s="1107"/>
      <c r="Z255" s="1107"/>
      <c r="AA255" s="1107"/>
      <c r="AB255" s="1107"/>
      <c r="AC255" s="1107"/>
      <c r="AD255" s="1107"/>
      <c r="AE255" s="1107"/>
      <c r="AF255" s="1107"/>
      <c r="AG255" s="1107"/>
      <c r="AH255" s="1107"/>
      <c r="AI255" s="1107"/>
      <c r="AJ255" s="1107"/>
      <c r="AK255" s="1107"/>
      <c r="AL255" s="1107"/>
      <c r="AM255" s="1107"/>
      <c r="AN255" s="1107"/>
      <c r="AO255" s="1107"/>
      <c r="AP255" s="1107"/>
      <c r="AQ255" s="1107"/>
      <c r="AR255" s="1107"/>
      <c r="AS255" s="1107"/>
      <c r="AT255" s="1107"/>
      <c r="AU255" s="1107"/>
      <c r="AV255" s="1107"/>
      <c r="AW255" s="1107"/>
      <c r="AX255" s="1107"/>
      <c r="AY255" s="1107"/>
      <c r="AZ255" s="1107"/>
      <c r="BA255" s="1107"/>
      <c r="BB255" s="1107"/>
      <c r="BC255" s="1107"/>
      <c r="BD255" s="1107"/>
      <c r="BE255" s="1107"/>
      <c r="BF255" s="1107"/>
      <c r="BG255" s="1107"/>
      <c r="BH255" s="1107"/>
      <c r="BI255" s="1107"/>
      <c r="BJ255" s="1107"/>
      <c r="BK255" s="1107"/>
      <c r="BL255" s="1107"/>
      <c r="BM255" s="1107"/>
      <c r="BN255" s="1107"/>
      <c r="BO255" s="1107"/>
      <c r="BP255" s="1107"/>
      <c r="BQ255" s="1107"/>
      <c r="BR255" s="1107"/>
      <c r="BS255" s="1107"/>
      <c r="BT255" s="1107"/>
      <c r="BU255" s="1107"/>
      <c r="BV255" s="1107"/>
      <c r="BW255" s="1107"/>
      <c r="BX255" s="1107"/>
      <c r="BY255" s="1107"/>
      <c r="BZ255" s="1107"/>
      <c r="CA255" s="1107"/>
      <c r="CB255" s="1107"/>
      <c r="CC255" s="1107"/>
      <c r="CD255" s="1107"/>
      <c r="CE255" s="1107"/>
      <c r="CF255" s="1107"/>
      <c r="CG255" s="1107"/>
      <c r="CH255" s="1107"/>
      <c r="CI255" s="1107"/>
      <c r="CJ255" s="1107"/>
      <c r="CK255" s="1107"/>
    </row>
    <row r="256" spans="1:89" ht="15.75" thickBot="1" x14ac:dyDescent="0.3">
      <c r="A256" s="1107"/>
      <c r="B256" s="2010"/>
      <c r="C256" s="1145" t="s">
        <v>1872</v>
      </c>
      <c r="D256" s="1145" t="s">
        <v>2058</v>
      </c>
      <c r="E256" s="1146" t="s">
        <v>2060</v>
      </c>
      <c r="F256" s="1107"/>
      <c r="G256" s="1107"/>
      <c r="H256" s="1107"/>
      <c r="I256" s="1107"/>
      <c r="J256" s="1107"/>
      <c r="K256" s="1107"/>
      <c r="L256" s="1107"/>
      <c r="M256" s="1107"/>
      <c r="N256" s="1107"/>
      <c r="O256" s="1107"/>
      <c r="P256" s="1107"/>
      <c r="Q256" s="1108"/>
      <c r="R256" s="1107"/>
      <c r="S256" s="1107"/>
      <c r="T256" s="1107"/>
      <c r="U256" s="1107"/>
      <c r="V256" s="1107"/>
      <c r="W256" s="1107"/>
      <c r="X256" s="1107"/>
      <c r="Y256" s="1107"/>
      <c r="Z256" s="1107"/>
      <c r="AA256" s="1107"/>
      <c r="AB256" s="1107"/>
      <c r="AC256" s="1107"/>
      <c r="AD256" s="1107"/>
      <c r="AE256" s="1107"/>
      <c r="AF256" s="1107"/>
      <c r="AG256" s="1107"/>
      <c r="AH256" s="1107"/>
      <c r="AI256" s="1107"/>
      <c r="AJ256" s="1107"/>
      <c r="AK256" s="1107"/>
      <c r="AL256" s="1107"/>
      <c r="AM256" s="1107"/>
      <c r="AN256" s="1107"/>
      <c r="AO256" s="1107"/>
      <c r="AP256" s="1107"/>
      <c r="AQ256" s="1107"/>
      <c r="AR256" s="1107"/>
      <c r="AS256" s="1107"/>
      <c r="AT256" s="1107"/>
      <c r="AU256" s="1107"/>
      <c r="AV256" s="1107"/>
      <c r="AW256" s="1107"/>
      <c r="AX256" s="1107"/>
      <c r="AY256" s="1107"/>
      <c r="AZ256" s="1107"/>
      <c r="BA256" s="1107"/>
      <c r="BB256" s="1107"/>
      <c r="BC256" s="1107"/>
      <c r="BD256" s="1107"/>
      <c r="BE256" s="1107"/>
      <c r="BF256" s="1107"/>
      <c r="BG256" s="1107"/>
      <c r="BH256" s="1107"/>
      <c r="BI256" s="1107"/>
      <c r="BJ256" s="1107"/>
      <c r="BK256" s="1107"/>
      <c r="BL256" s="1107"/>
      <c r="BM256" s="1107"/>
      <c r="BN256" s="1107"/>
      <c r="BO256" s="1107"/>
      <c r="BP256" s="1107"/>
      <c r="BQ256" s="1107"/>
      <c r="BR256" s="1107"/>
      <c r="BS256" s="1107"/>
      <c r="BT256" s="1107"/>
      <c r="BU256" s="1107"/>
      <c r="BV256" s="1107"/>
      <c r="BW256" s="1107"/>
      <c r="BX256" s="1107"/>
      <c r="BY256" s="1107"/>
      <c r="BZ256" s="1107"/>
      <c r="CA256" s="1107"/>
      <c r="CB256" s="1107"/>
      <c r="CC256" s="1107"/>
      <c r="CD256" s="1107"/>
      <c r="CE256" s="1107"/>
      <c r="CF256" s="1107"/>
      <c r="CG256" s="1107"/>
      <c r="CH256" s="1107"/>
      <c r="CI256" s="1107"/>
      <c r="CJ256" s="1107"/>
      <c r="CK256" s="1107"/>
    </row>
    <row r="257" spans="1:89" ht="15.75" customHeight="1" thickBot="1" x14ac:dyDescent="0.3">
      <c r="A257" s="1107"/>
      <c r="B257" s="2006" t="s">
        <v>1868</v>
      </c>
      <c r="C257" s="1147" t="s">
        <v>1869</v>
      </c>
      <c r="D257" s="1148" t="s">
        <v>1859</v>
      </c>
      <c r="E257" s="1148" t="s">
        <v>131</v>
      </c>
      <c r="F257" s="1148" t="s">
        <v>1860</v>
      </c>
      <c r="G257" s="1148" t="s">
        <v>1870</v>
      </c>
      <c r="H257" s="1149" t="s">
        <v>1871</v>
      </c>
      <c r="I257" s="1150" t="s">
        <v>766</v>
      </c>
      <c r="J257" s="1150" t="s">
        <v>767</v>
      </c>
      <c r="K257" s="1150" t="s">
        <v>768</v>
      </c>
      <c r="L257" s="1150" t="s">
        <v>769</v>
      </c>
      <c r="M257" s="1150" t="s">
        <v>204</v>
      </c>
      <c r="N257" s="1107"/>
      <c r="O257" s="1107"/>
      <c r="P257" s="1107"/>
      <c r="Q257" s="1108"/>
      <c r="R257" s="1107"/>
      <c r="S257" s="1107"/>
      <c r="T257" s="1107"/>
      <c r="U257" s="1107"/>
      <c r="V257" s="1107"/>
      <c r="W257" s="1107"/>
      <c r="X257" s="1107"/>
      <c r="Y257" s="1107"/>
      <c r="Z257" s="1107"/>
      <c r="AA257" s="1107"/>
      <c r="AB257" s="1107"/>
      <c r="AC257" s="1107"/>
      <c r="AD257" s="1107"/>
      <c r="AE257" s="1107"/>
      <c r="AF257" s="1107"/>
      <c r="AG257" s="1107"/>
      <c r="AH257" s="1107"/>
      <c r="AI257" s="1107"/>
      <c r="AJ257" s="1107"/>
      <c r="AK257" s="1107"/>
      <c r="AL257" s="1107"/>
      <c r="AM257" s="1107"/>
      <c r="AN257" s="1107"/>
      <c r="AO257" s="1107"/>
      <c r="AP257" s="1107"/>
      <c r="AQ257" s="1107"/>
      <c r="AR257" s="1107"/>
      <c r="AS257" s="1107"/>
      <c r="AT257" s="1107"/>
      <c r="AU257" s="1107"/>
      <c r="AV257" s="1107"/>
      <c r="AW257" s="1107"/>
      <c r="AX257" s="1107"/>
      <c r="AY257" s="1107"/>
      <c r="AZ257" s="1107"/>
      <c r="BA257" s="1107"/>
      <c r="BB257" s="1107"/>
      <c r="BC257" s="1107"/>
      <c r="BD257" s="1107"/>
      <c r="BE257" s="1107"/>
      <c r="BF257" s="1107"/>
      <c r="BG257" s="1107"/>
      <c r="BH257" s="1107"/>
      <c r="BI257" s="1107"/>
      <c r="BJ257" s="1107"/>
      <c r="BK257" s="1107"/>
      <c r="BL257" s="1107"/>
      <c r="BM257" s="1107"/>
      <c r="BN257" s="1107"/>
      <c r="BO257" s="1107"/>
      <c r="BP257" s="1107"/>
      <c r="BQ257" s="1107"/>
      <c r="BR257" s="1107"/>
      <c r="BS257" s="1107"/>
      <c r="BT257" s="1107"/>
      <c r="BU257" s="1107"/>
      <c r="BV257" s="1107"/>
      <c r="BW257" s="1107"/>
      <c r="BX257" s="1107"/>
      <c r="BY257" s="1107"/>
      <c r="BZ257" s="1107"/>
      <c r="CA257" s="1107"/>
      <c r="CB257" s="1107"/>
      <c r="CC257" s="1107"/>
      <c r="CD257" s="1107"/>
      <c r="CE257" s="1107"/>
      <c r="CF257" s="1107"/>
      <c r="CG257" s="1107"/>
      <c r="CH257" s="1107"/>
      <c r="CI257" s="1107"/>
      <c r="CJ257" s="1107"/>
      <c r="CK257" s="1107"/>
    </row>
    <row r="258" spans="1:89" x14ac:dyDescent="0.25">
      <c r="A258" s="1107"/>
      <c r="B258" s="2008"/>
      <c r="C258" s="1151">
        <v>1</v>
      </c>
      <c r="D258" s="1144" t="s">
        <v>1872</v>
      </c>
      <c r="E258" s="1144" t="s">
        <v>1426</v>
      </c>
      <c r="F258" s="1153" t="str">
        <f>'Required Info to Submit'!E23</f>
        <v/>
      </c>
      <c r="G258" s="1417" t="str">
        <f>IF(F258="","",'Required Info to Submit'!K23)</f>
        <v/>
      </c>
      <c r="H258" s="1418" t="str">
        <f>IF(F258="","",'Required Info to Submit'!L23)</f>
        <v/>
      </c>
      <c r="I258" s="1153" t="str">
        <f>'Required Info to Submit'!F23</f>
        <v/>
      </c>
      <c r="J258" s="1153" t="str">
        <f>'Required Info to Submit'!G23</f>
        <v/>
      </c>
      <c r="K258" s="1153" t="str">
        <f>'Required Info to Submit'!H23</f>
        <v/>
      </c>
      <c r="L258" s="1153" t="str">
        <f>'Required Info to Submit'!I23</f>
        <v/>
      </c>
      <c r="M258" s="1153" t="str">
        <f>'Required Info to Submit'!J23</f>
        <v/>
      </c>
      <c r="N258" s="1107"/>
      <c r="O258" s="1107"/>
      <c r="P258" s="1107"/>
      <c r="Q258" s="1108"/>
      <c r="R258" s="1107"/>
      <c r="S258" s="1107"/>
      <c r="T258" s="1107"/>
      <c r="U258" s="1107"/>
      <c r="V258" s="1107"/>
      <c r="W258" s="1107"/>
      <c r="X258" s="1107"/>
      <c r="Y258" s="1107"/>
      <c r="Z258" s="1107"/>
      <c r="AA258" s="1107"/>
      <c r="AB258" s="1107"/>
      <c r="AC258" s="1107"/>
      <c r="AD258" s="1107"/>
      <c r="AE258" s="1107"/>
      <c r="AF258" s="1107"/>
      <c r="AG258" s="1107"/>
      <c r="AH258" s="1107"/>
      <c r="AI258" s="1107"/>
      <c r="AJ258" s="1107"/>
      <c r="AK258" s="1107"/>
      <c r="AL258" s="1107"/>
      <c r="AM258" s="1107"/>
      <c r="AN258" s="1107"/>
      <c r="AO258" s="1107"/>
      <c r="AP258" s="1107"/>
      <c r="AQ258" s="1107"/>
      <c r="AR258" s="1107"/>
      <c r="AS258" s="1107"/>
      <c r="AT258" s="1107"/>
      <c r="AU258" s="1107"/>
      <c r="AV258" s="1107"/>
      <c r="AW258" s="1107"/>
      <c r="AX258" s="1107"/>
      <c r="AY258" s="1107"/>
      <c r="AZ258" s="1107"/>
      <c r="BA258" s="1107"/>
      <c r="BB258" s="1107"/>
      <c r="BC258" s="1107"/>
      <c r="BD258" s="1107"/>
      <c r="BE258" s="1107"/>
      <c r="BF258" s="1107"/>
      <c r="BG258" s="1107"/>
      <c r="BH258" s="1107"/>
      <c r="BI258" s="1107"/>
      <c r="BJ258" s="1107"/>
      <c r="BK258" s="1107"/>
      <c r="BL258" s="1107"/>
      <c r="BM258" s="1107"/>
      <c r="BN258" s="1107"/>
      <c r="BO258" s="1107"/>
      <c r="BP258" s="1107"/>
      <c r="BQ258" s="1107"/>
      <c r="BR258" s="1107"/>
      <c r="BS258" s="1107"/>
      <c r="BT258" s="1107"/>
      <c r="BU258" s="1107"/>
      <c r="BV258" s="1107"/>
      <c r="BW258" s="1107"/>
      <c r="BX258" s="1107"/>
      <c r="BY258" s="1107"/>
      <c r="BZ258" s="1107"/>
      <c r="CA258" s="1107"/>
      <c r="CB258" s="1107"/>
      <c r="CC258" s="1107"/>
      <c r="CD258" s="1107"/>
      <c r="CE258" s="1107"/>
      <c r="CF258" s="1107"/>
      <c r="CG258" s="1107"/>
      <c r="CH258" s="1107"/>
      <c r="CI258" s="1107"/>
      <c r="CJ258" s="1107"/>
      <c r="CK258" s="1107"/>
    </row>
    <row r="259" spans="1:89" x14ac:dyDescent="0.25">
      <c r="A259" s="1107"/>
      <c r="B259" s="2008"/>
      <c r="C259" s="1154">
        <v>2</v>
      </c>
      <c r="D259" s="1144" t="s">
        <v>1872</v>
      </c>
      <c r="E259" s="1144" t="s">
        <v>1426</v>
      </c>
      <c r="F259" s="1153" t="str">
        <f>'Required Info to Submit'!E24</f>
        <v/>
      </c>
      <c r="G259" s="1417" t="str">
        <f>IF(F259="","",'Required Info to Submit'!K24)</f>
        <v/>
      </c>
      <c r="H259" s="1418" t="str">
        <f>IF(F259="","",'Required Info to Submit'!L24)</f>
        <v/>
      </c>
      <c r="I259" s="1153" t="str">
        <f>'Required Info to Submit'!F24</f>
        <v/>
      </c>
      <c r="J259" s="1153" t="str">
        <f>'Required Info to Submit'!G24</f>
        <v/>
      </c>
      <c r="K259" s="1153" t="str">
        <f>'Required Info to Submit'!H24</f>
        <v/>
      </c>
      <c r="L259" s="1153" t="str">
        <f>'Required Info to Submit'!I24</f>
        <v/>
      </c>
      <c r="M259" s="1153" t="str">
        <f>'Required Info to Submit'!J24</f>
        <v/>
      </c>
      <c r="N259" s="1107"/>
      <c r="O259" s="1107"/>
      <c r="P259" s="1107"/>
      <c r="Q259" s="1108"/>
      <c r="R259" s="1107"/>
      <c r="S259" s="1107"/>
      <c r="T259" s="1107"/>
      <c r="U259" s="1107"/>
      <c r="V259" s="1107"/>
      <c r="W259" s="1107"/>
      <c r="X259" s="1107"/>
      <c r="Y259" s="1107"/>
      <c r="Z259" s="1107"/>
      <c r="AA259" s="1107"/>
      <c r="AB259" s="1107"/>
      <c r="AC259" s="1107"/>
      <c r="AD259" s="1107"/>
      <c r="AE259" s="1107"/>
      <c r="AF259" s="1107"/>
      <c r="AG259" s="1107"/>
      <c r="AH259" s="1107"/>
      <c r="AI259" s="1107"/>
      <c r="AJ259" s="1107"/>
      <c r="AK259" s="1107"/>
      <c r="AL259" s="1107"/>
      <c r="AM259" s="1107"/>
      <c r="AN259" s="1107"/>
      <c r="AO259" s="1107"/>
      <c r="AP259" s="1107"/>
      <c r="AQ259" s="1107"/>
      <c r="AR259" s="1107"/>
      <c r="AS259" s="1107"/>
      <c r="AT259" s="1107"/>
      <c r="AU259" s="1107"/>
      <c r="AV259" s="1107"/>
      <c r="AW259" s="1107"/>
      <c r="AX259" s="1107"/>
      <c r="AY259" s="1107"/>
      <c r="AZ259" s="1107"/>
      <c r="BA259" s="1107"/>
      <c r="BB259" s="1107"/>
      <c r="BC259" s="1107"/>
      <c r="BD259" s="1107"/>
      <c r="BE259" s="1107"/>
      <c r="BF259" s="1107"/>
      <c r="BG259" s="1107"/>
      <c r="BH259" s="1107"/>
      <c r="BI259" s="1107"/>
      <c r="BJ259" s="1107"/>
      <c r="BK259" s="1107"/>
      <c r="BL259" s="1107"/>
      <c r="BM259" s="1107"/>
      <c r="BN259" s="1107"/>
      <c r="BO259" s="1107"/>
      <c r="BP259" s="1107"/>
      <c r="BQ259" s="1107"/>
      <c r="BR259" s="1107"/>
      <c r="BS259" s="1107"/>
      <c r="BT259" s="1107"/>
      <c r="BU259" s="1107"/>
      <c r="BV259" s="1107"/>
      <c r="BW259" s="1107"/>
      <c r="BX259" s="1107"/>
      <c r="BY259" s="1107"/>
      <c r="BZ259" s="1107"/>
      <c r="CA259" s="1107"/>
      <c r="CB259" s="1107"/>
      <c r="CC259" s="1107"/>
      <c r="CD259" s="1107"/>
      <c r="CE259" s="1107"/>
      <c r="CF259" s="1107"/>
      <c r="CG259" s="1107"/>
      <c r="CH259" s="1107"/>
      <c r="CI259" s="1107"/>
      <c r="CJ259" s="1107"/>
      <c r="CK259" s="1107"/>
    </row>
    <row r="260" spans="1:89" x14ac:dyDescent="0.25">
      <c r="A260" s="1107"/>
      <c r="B260" s="2008"/>
      <c r="C260" s="1154">
        <v>3</v>
      </c>
      <c r="D260" s="1144" t="s">
        <v>1872</v>
      </c>
      <c r="E260" s="1144" t="s">
        <v>1426</v>
      </c>
      <c r="F260" s="1153" t="str">
        <f>'Required Info to Submit'!E25</f>
        <v/>
      </c>
      <c r="G260" s="1417" t="str">
        <f>IF(F260="","",'Required Info to Submit'!K25)</f>
        <v/>
      </c>
      <c r="H260" s="1418" t="str">
        <f>IF(F260="","",'Required Info to Submit'!L25)</f>
        <v/>
      </c>
      <c r="I260" s="1153" t="str">
        <f>'Required Info to Submit'!F25</f>
        <v/>
      </c>
      <c r="J260" s="1153" t="str">
        <f>'Required Info to Submit'!G25</f>
        <v/>
      </c>
      <c r="K260" s="1153" t="str">
        <f>'Required Info to Submit'!H25</f>
        <v/>
      </c>
      <c r="L260" s="1153" t="str">
        <f>'Required Info to Submit'!I25</f>
        <v/>
      </c>
      <c r="M260" s="1153" t="str">
        <f>'Required Info to Submit'!J25</f>
        <v/>
      </c>
      <c r="N260" s="1107"/>
      <c r="O260" s="1107"/>
      <c r="P260" s="1107"/>
      <c r="Q260" s="1108"/>
      <c r="R260" s="1107"/>
      <c r="S260" s="1107"/>
      <c r="T260" s="1107"/>
      <c r="U260" s="1107"/>
      <c r="V260" s="1107"/>
      <c r="W260" s="1107"/>
      <c r="X260" s="1107"/>
      <c r="Y260" s="1107"/>
      <c r="Z260" s="1107"/>
      <c r="AA260" s="1107"/>
      <c r="AB260" s="1107"/>
      <c r="AC260" s="1107"/>
      <c r="AD260" s="1107"/>
      <c r="AE260" s="1107"/>
      <c r="AF260" s="1107"/>
      <c r="AG260" s="1107"/>
      <c r="AH260" s="1107"/>
      <c r="AI260" s="1107"/>
      <c r="AJ260" s="1107"/>
      <c r="AK260" s="1107"/>
      <c r="AL260" s="1107"/>
      <c r="AM260" s="1107"/>
      <c r="AN260" s="1107"/>
      <c r="AO260" s="1107"/>
      <c r="AP260" s="1107"/>
      <c r="AQ260" s="1107"/>
      <c r="AR260" s="1107"/>
      <c r="AS260" s="1107"/>
      <c r="AT260" s="1107"/>
      <c r="AU260" s="1107"/>
      <c r="AV260" s="1107"/>
      <c r="AW260" s="1107"/>
      <c r="AX260" s="1107"/>
      <c r="AY260" s="1107"/>
      <c r="AZ260" s="1107"/>
      <c r="BA260" s="1107"/>
      <c r="BB260" s="1107"/>
      <c r="BC260" s="1107"/>
      <c r="BD260" s="1107"/>
      <c r="BE260" s="1107"/>
      <c r="BF260" s="1107"/>
      <c r="BG260" s="1107"/>
      <c r="BH260" s="1107"/>
      <c r="BI260" s="1107"/>
      <c r="BJ260" s="1107"/>
      <c r="BK260" s="1107"/>
      <c r="BL260" s="1107"/>
      <c r="BM260" s="1107"/>
      <c r="BN260" s="1107"/>
      <c r="BO260" s="1107"/>
      <c r="BP260" s="1107"/>
      <c r="BQ260" s="1107"/>
      <c r="BR260" s="1107"/>
      <c r="BS260" s="1107"/>
      <c r="BT260" s="1107"/>
      <c r="BU260" s="1107"/>
      <c r="BV260" s="1107"/>
      <c r="BW260" s="1107"/>
      <c r="BX260" s="1107"/>
      <c r="BY260" s="1107"/>
      <c r="BZ260" s="1107"/>
      <c r="CA260" s="1107"/>
      <c r="CB260" s="1107"/>
      <c r="CC260" s="1107"/>
      <c r="CD260" s="1107"/>
      <c r="CE260" s="1107"/>
      <c r="CF260" s="1107"/>
      <c r="CG260" s="1107"/>
      <c r="CH260" s="1107"/>
      <c r="CI260" s="1107"/>
      <c r="CJ260" s="1107"/>
      <c r="CK260" s="1107"/>
    </row>
    <row r="261" spans="1:89" x14ac:dyDescent="0.25">
      <c r="A261" s="1107"/>
      <c r="B261" s="2008"/>
      <c r="C261" s="1154">
        <v>4</v>
      </c>
      <c r="D261" s="1144" t="s">
        <v>1872</v>
      </c>
      <c r="E261" s="1144" t="s">
        <v>1426</v>
      </c>
      <c r="F261" s="1153" t="str">
        <f>'Required Info to Submit'!E26</f>
        <v/>
      </c>
      <c r="G261" s="1417" t="str">
        <f>IF(F261="","",'Required Info to Submit'!K26)</f>
        <v/>
      </c>
      <c r="H261" s="1418" t="str">
        <f>IF(F261="","",'Required Info to Submit'!L26)</f>
        <v/>
      </c>
      <c r="I261" s="1153" t="str">
        <f>'Required Info to Submit'!F26</f>
        <v/>
      </c>
      <c r="J261" s="1153" t="str">
        <f>'Required Info to Submit'!G26</f>
        <v/>
      </c>
      <c r="K261" s="1153" t="str">
        <f>'Required Info to Submit'!H26</f>
        <v/>
      </c>
      <c r="L261" s="1153" t="str">
        <f>'Required Info to Submit'!I26</f>
        <v/>
      </c>
      <c r="M261" s="1153" t="str">
        <f>'Required Info to Submit'!J26</f>
        <v/>
      </c>
      <c r="N261" s="1107"/>
      <c r="O261" s="1107"/>
      <c r="P261" s="1107"/>
      <c r="Q261" s="1108"/>
      <c r="R261" s="1107"/>
      <c r="S261" s="1107"/>
      <c r="T261" s="1107"/>
      <c r="U261" s="1107"/>
      <c r="V261" s="1107"/>
      <c r="W261" s="1107"/>
      <c r="X261" s="1107"/>
      <c r="Y261" s="1107"/>
      <c r="Z261" s="1107"/>
      <c r="AA261" s="1107"/>
      <c r="AB261" s="1107"/>
      <c r="AC261" s="1107"/>
      <c r="AD261" s="1107"/>
      <c r="AE261" s="1107"/>
      <c r="AF261" s="1107"/>
      <c r="AG261" s="1107"/>
      <c r="AH261" s="1107"/>
      <c r="AI261" s="1107"/>
      <c r="AJ261" s="1107"/>
      <c r="AK261" s="1107"/>
      <c r="AL261" s="1107"/>
      <c r="AM261" s="1107"/>
      <c r="AN261" s="1107"/>
      <c r="AO261" s="1107"/>
      <c r="AP261" s="1107"/>
      <c r="AQ261" s="1107"/>
      <c r="AR261" s="1107"/>
      <c r="AS261" s="1107"/>
      <c r="AT261" s="1107"/>
      <c r="AU261" s="1107"/>
      <c r="AV261" s="1107"/>
      <c r="AW261" s="1107"/>
      <c r="AX261" s="1107"/>
      <c r="AY261" s="1107"/>
      <c r="AZ261" s="1107"/>
      <c r="BA261" s="1107"/>
      <c r="BB261" s="1107"/>
      <c r="BC261" s="1107"/>
      <c r="BD261" s="1107"/>
      <c r="BE261" s="1107"/>
      <c r="BF261" s="1107"/>
      <c r="BG261" s="1107"/>
      <c r="BH261" s="1107"/>
      <c r="BI261" s="1107"/>
      <c r="BJ261" s="1107"/>
      <c r="BK261" s="1107"/>
      <c r="BL261" s="1107"/>
      <c r="BM261" s="1107"/>
      <c r="BN261" s="1107"/>
      <c r="BO261" s="1107"/>
      <c r="BP261" s="1107"/>
      <c r="BQ261" s="1107"/>
      <c r="BR261" s="1107"/>
      <c r="BS261" s="1107"/>
      <c r="BT261" s="1107"/>
      <c r="BU261" s="1107"/>
      <c r="BV261" s="1107"/>
      <c r="BW261" s="1107"/>
      <c r="BX261" s="1107"/>
      <c r="BY261" s="1107"/>
      <c r="BZ261" s="1107"/>
      <c r="CA261" s="1107"/>
      <c r="CB261" s="1107"/>
      <c r="CC261" s="1107"/>
      <c r="CD261" s="1107"/>
      <c r="CE261" s="1107"/>
      <c r="CF261" s="1107"/>
      <c r="CG261" s="1107"/>
      <c r="CH261" s="1107"/>
      <c r="CI261" s="1107"/>
      <c r="CJ261" s="1107"/>
      <c r="CK261" s="1107"/>
    </row>
    <row r="262" spans="1:89" x14ac:dyDescent="0.25">
      <c r="A262" s="1107"/>
      <c r="B262" s="2008"/>
      <c r="C262" s="1154">
        <v>5</v>
      </c>
      <c r="D262" s="1144" t="s">
        <v>1872</v>
      </c>
      <c r="E262" s="1144" t="s">
        <v>1426</v>
      </c>
      <c r="F262" s="1153" t="str">
        <f>'Required Info to Submit'!E27</f>
        <v/>
      </c>
      <c r="G262" s="1417" t="str">
        <f>IF(F262="","",'Required Info to Submit'!K27)</f>
        <v/>
      </c>
      <c r="H262" s="1418" t="str">
        <f>IF(F262="","",'Required Info to Submit'!L27)</f>
        <v/>
      </c>
      <c r="I262" s="1153" t="str">
        <f>'Required Info to Submit'!F27</f>
        <v/>
      </c>
      <c r="J262" s="1153" t="str">
        <f>'Required Info to Submit'!G27</f>
        <v/>
      </c>
      <c r="K262" s="1153" t="str">
        <f>'Required Info to Submit'!H27</f>
        <v/>
      </c>
      <c r="L262" s="1153" t="str">
        <f>'Required Info to Submit'!I27</f>
        <v/>
      </c>
      <c r="M262" s="1153" t="str">
        <f>'Required Info to Submit'!J27</f>
        <v/>
      </c>
      <c r="N262" s="1107"/>
      <c r="O262" s="1107"/>
      <c r="P262" s="1107"/>
      <c r="Q262" s="1108"/>
      <c r="R262" s="1107"/>
      <c r="S262" s="1107"/>
      <c r="T262" s="1107"/>
      <c r="U262" s="1107"/>
      <c r="V262" s="1107"/>
      <c r="W262" s="1107"/>
      <c r="X262" s="1107"/>
      <c r="Y262" s="1107"/>
      <c r="Z262" s="1107"/>
      <c r="AA262" s="1107"/>
      <c r="AB262" s="1107"/>
      <c r="AC262" s="1107"/>
      <c r="AD262" s="1107"/>
      <c r="AE262" s="1107"/>
      <c r="AF262" s="1107"/>
      <c r="AG262" s="1107"/>
      <c r="AH262" s="1107"/>
      <c r="AI262" s="1107"/>
      <c r="AJ262" s="1107"/>
      <c r="AK262" s="1107"/>
      <c r="AL262" s="1107"/>
      <c r="AM262" s="1107"/>
      <c r="AN262" s="1107"/>
      <c r="AO262" s="1107"/>
      <c r="AP262" s="1107"/>
      <c r="AQ262" s="1107"/>
      <c r="AR262" s="1107"/>
      <c r="AS262" s="1107"/>
      <c r="AT262" s="1107"/>
      <c r="AU262" s="1107"/>
      <c r="AV262" s="1107"/>
      <c r="AW262" s="1107"/>
      <c r="AX262" s="1107"/>
      <c r="AY262" s="1107"/>
      <c r="AZ262" s="1107"/>
      <c r="BA262" s="1107"/>
      <c r="BB262" s="1107"/>
      <c r="BC262" s="1107"/>
      <c r="BD262" s="1107"/>
      <c r="BE262" s="1107"/>
      <c r="BF262" s="1107"/>
      <c r="BG262" s="1107"/>
      <c r="BH262" s="1107"/>
      <c r="BI262" s="1107"/>
      <c r="BJ262" s="1107"/>
      <c r="BK262" s="1107"/>
      <c r="BL262" s="1107"/>
      <c r="BM262" s="1107"/>
      <c r="BN262" s="1107"/>
      <c r="BO262" s="1107"/>
      <c r="BP262" s="1107"/>
      <c r="BQ262" s="1107"/>
      <c r="BR262" s="1107"/>
      <c r="BS262" s="1107"/>
      <c r="BT262" s="1107"/>
      <c r="BU262" s="1107"/>
      <c r="BV262" s="1107"/>
      <c r="BW262" s="1107"/>
      <c r="BX262" s="1107"/>
      <c r="BY262" s="1107"/>
      <c r="BZ262" s="1107"/>
      <c r="CA262" s="1107"/>
      <c r="CB262" s="1107"/>
      <c r="CC262" s="1107"/>
      <c r="CD262" s="1107"/>
      <c r="CE262" s="1107"/>
      <c r="CF262" s="1107"/>
      <c r="CG262" s="1107"/>
      <c r="CH262" s="1107"/>
      <c r="CI262" s="1107"/>
      <c r="CJ262" s="1107"/>
      <c r="CK262" s="1107"/>
    </row>
    <row r="263" spans="1:89" x14ac:dyDescent="0.25">
      <c r="A263" s="1107"/>
      <c r="B263" s="2008"/>
      <c r="C263" s="1154">
        <v>6</v>
      </c>
      <c r="D263" s="1144" t="s">
        <v>1872</v>
      </c>
      <c r="E263" s="1144" t="s">
        <v>1426</v>
      </c>
      <c r="F263" s="1153" t="str">
        <f>'Required Info to Submit'!E28</f>
        <v/>
      </c>
      <c r="G263" s="1417" t="str">
        <f>IF(F263="","",'Required Info to Submit'!K28)</f>
        <v/>
      </c>
      <c r="H263" s="1418" t="str">
        <f>IF(F263="","",'Required Info to Submit'!L28)</f>
        <v/>
      </c>
      <c r="I263" s="1153" t="str">
        <f>'Required Info to Submit'!F28</f>
        <v/>
      </c>
      <c r="J263" s="1153" t="str">
        <f>'Required Info to Submit'!G28</f>
        <v/>
      </c>
      <c r="K263" s="1153" t="str">
        <f>'Required Info to Submit'!H28</f>
        <v/>
      </c>
      <c r="L263" s="1153" t="str">
        <f>'Required Info to Submit'!I28</f>
        <v/>
      </c>
      <c r="M263" s="1153" t="str">
        <f>'Required Info to Submit'!J28</f>
        <v/>
      </c>
      <c r="N263" s="1107"/>
      <c r="O263" s="1107"/>
      <c r="P263" s="1107"/>
      <c r="Q263" s="1108"/>
      <c r="R263" s="1107"/>
      <c r="S263" s="1107"/>
      <c r="T263" s="1107"/>
      <c r="U263" s="1107"/>
      <c r="V263" s="1107"/>
      <c r="W263" s="1107"/>
      <c r="X263" s="1107"/>
      <c r="Y263" s="1107"/>
      <c r="Z263" s="1107"/>
      <c r="AA263" s="1107"/>
      <c r="AB263" s="1107"/>
      <c r="AC263" s="1107"/>
      <c r="AD263" s="1107"/>
      <c r="AE263" s="1107"/>
      <c r="AF263" s="1107"/>
      <c r="AG263" s="1107"/>
      <c r="AH263" s="1107"/>
      <c r="AI263" s="1107"/>
      <c r="AJ263" s="1107"/>
      <c r="AK263" s="1107"/>
      <c r="AL263" s="1107"/>
      <c r="AM263" s="1107"/>
      <c r="AN263" s="1107"/>
      <c r="AO263" s="1107"/>
      <c r="AP263" s="1107"/>
      <c r="AQ263" s="1107"/>
      <c r="AR263" s="1107"/>
      <c r="AS263" s="1107"/>
      <c r="AT263" s="1107"/>
      <c r="AU263" s="1107"/>
      <c r="AV263" s="1107"/>
      <c r="AW263" s="1107"/>
      <c r="AX263" s="1107"/>
      <c r="AY263" s="1107"/>
      <c r="AZ263" s="1107"/>
      <c r="BA263" s="1107"/>
      <c r="BB263" s="1107"/>
      <c r="BC263" s="1107"/>
      <c r="BD263" s="1107"/>
      <c r="BE263" s="1107"/>
      <c r="BF263" s="1107"/>
      <c r="BG263" s="1107"/>
      <c r="BH263" s="1107"/>
      <c r="BI263" s="1107"/>
      <c r="BJ263" s="1107"/>
      <c r="BK263" s="1107"/>
      <c r="BL263" s="1107"/>
      <c r="BM263" s="1107"/>
      <c r="BN263" s="1107"/>
      <c r="BO263" s="1107"/>
      <c r="BP263" s="1107"/>
      <c r="BQ263" s="1107"/>
      <c r="BR263" s="1107"/>
      <c r="BS263" s="1107"/>
      <c r="BT263" s="1107"/>
      <c r="BU263" s="1107"/>
      <c r="BV263" s="1107"/>
      <c r="BW263" s="1107"/>
      <c r="BX263" s="1107"/>
      <c r="BY263" s="1107"/>
      <c r="BZ263" s="1107"/>
      <c r="CA263" s="1107"/>
      <c r="CB263" s="1107"/>
      <c r="CC263" s="1107"/>
      <c r="CD263" s="1107"/>
      <c r="CE263" s="1107"/>
      <c r="CF263" s="1107"/>
      <c r="CG263" s="1107"/>
      <c r="CH263" s="1107"/>
      <c r="CI263" s="1107"/>
      <c r="CJ263" s="1107"/>
      <c r="CK263" s="1107"/>
    </row>
    <row r="264" spans="1:89" x14ac:dyDescent="0.25">
      <c r="A264" s="1107"/>
      <c r="B264" s="2008"/>
      <c r="C264" s="1154">
        <v>7</v>
      </c>
      <c r="D264" s="1144" t="s">
        <v>1872</v>
      </c>
      <c r="E264" s="1144" t="s">
        <v>1426</v>
      </c>
      <c r="F264" s="1153" t="str">
        <f>'Required Info to Submit'!E29</f>
        <v/>
      </c>
      <c r="G264" s="1417" t="str">
        <f>IF(F264="","",'Required Info to Submit'!K29)</f>
        <v/>
      </c>
      <c r="H264" s="1418" t="str">
        <f>IF(F264="","",'Required Info to Submit'!L29)</f>
        <v/>
      </c>
      <c r="I264" s="1153" t="str">
        <f>'Required Info to Submit'!F29</f>
        <v/>
      </c>
      <c r="J264" s="1153" t="str">
        <f>'Required Info to Submit'!G29</f>
        <v/>
      </c>
      <c r="K264" s="1153" t="str">
        <f>'Required Info to Submit'!H29</f>
        <v/>
      </c>
      <c r="L264" s="1153" t="str">
        <f>'Required Info to Submit'!I29</f>
        <v/>
      </c>
      <c r="M264" s="1153" t="str">
        <f>'Required Info to Submit'!J29</f>
        <v/>
      </c>
      <c r="N264" s="1107"/>
      <c r="O264" s="1107"/>
      <c r="P264" s="1107"/>
      <c r="Q264" s="1108"/>
      <c r="R264" s="1107"/>
      <c r="S264" s="1107"/>
      <c r="T264" s="1107"/>
      <c r="U264" s="1107"/>
      <c r="V264" s="1107"/>
      <c r="W264" s="1107"/>
      <c r="X264" s="1107"/>
      <c r="Y264" s="1107"/>
      <c r="Z264" s="1107"/>
      <c r="AA264" s="1107"/>
      <c r="AB264" s="1107"/>
      <c r="AC264" s="1107"/>
      <c r="AD264" s="1107"/>
      <c r="AE264" s="1107"/>
      <c r="AF264" s="1107"/>
      <c r="AG264" s="1107"/>
      <c r="AH264" s="1107"/>
      <c r="AI264" s="1107"/>
      <c r="AJ264" s="1107"/>
      <c r="AK264" s="1107"/>
      <c r="AL264" s="1107"/>
      <c r="AM264" s="1107"/>
      <c r="AN264" s="1107"/>
      <c r="AO264" s="1107"/>
      <c r="AP264" s="1107"/>
      <c r="AQ264" s="1107"/>
      <c r="AR264" s="1107"/>
      <c r="AS264" s="1107"/>
      <c r="AT264" s="1107"/>
      <c r="AU264" s="1107"/>
      <c r="AV264" s="1107"/>
      <c r="AW264" s="1107"/>
      <c r="AX264" s="1107"/>
      <c r="AY264" s="1107"/>
      <c r="AZ264" s="1107"/>
      <c r="BA264" s="1107"/>
      <c r="BB264" s="1107"/>
      <c r="BC264" s="1107"/>
      <c r="BD264" s="1107"/>
      <c r="BE264" s="1107"/>
      <c r="BF264" s="1107"/>
      <c r="BG264" s="1107"/>
      <c r="BH264" s="1107"/>
      <c r="BI264" s="1107"/>
      <c r="BJ264" s="1107"/>
      <c r="BK264" s="1107"/>
      <c r="BL264" s="1107"/>
      <c r="BM264" s="1107"/>
      <c r="BN264" s="1107"/>
      <c r="BO264" s="1107"/>
      <c r="BP264" s="1107"/>
      <c r="BQ264" s="1107"/>
      <c r="BR264" s="1107"/>
      <c r="BS264" s="1107"/>
      <c r="BT264" s="1107"/>
      <c r="BU264" s="1107"/>
      <c r="BV264" s="1107"/>
      <c r="BW264" s="1107"/>
      <c r="BX264" s="1107"/>
      <c r="BY264" s="1107"/>
      <c r="BZ264" s="1107"/>
      <c r="CA264" s="1107"/>
      <c r="CB264" s="1107"/>
      <c r="CC264" s="1107"/>
      <c r="CD264" s="1107"/>
      <c r="CE264" s="1107"/>
      <c r="CF264" s="1107"/>
      <c r="CG264" s="1107"/>
      <c r="CH264" s="1107"/>
      <c r="CI264" s="1107"/>
      <c r="CJ264" s="1107"/>
      <c r="CK264" s="1107"/>
    </row>
    <row r="265" spans="1:89" x14ac:dyDescent="0.25">
      <c r="A265" s="1107"/>
      <c r="B265" s="2008"/>
      <c r="C265" s="1154">
        <v>8</v>
      </c>
      <c r="D265" s="1144" t="s">
        <v>1872</v>
      </c>
      <c r="E265" s="1144" t="s">
        <v>1426</v>
      </c>
      <c r="F265" s="1153" t="str">
        <f>'Required Info to Submit'!E30</f>
        <v/>
      </c>
      <c r="G265" s="1417" t="str">
        <f>IF(F265="","",'Required Info to Submit'!K30)</f>
        <v/>
      </c>
      <c r="H265" s="1418" t="str">
        <f>IF(F265="","",'Required Info to Submit'!L30)</f>
        <v/>
      </c>
      <c r="I265" s="1153" t="str">
        <f>'Required Info to Submit'!F30</f>
        <v/>
      </c>
      <c r="J265" s="1153" t="str">
        <f>'Required Info to Submit'!G30</f>
        <v/>
      </c>
      <c r="K265" s="1153" t="str">
        <f>'Required Info to Submit'!H30</f>
        <v/>
      </c>
      <c r="L265" s="1153" t="str">
        <f>'Required Info to Submit'!I30</f>
        <v/>
      </c>
      <c r="M265" s="1153" t="str">
        <f>'Required Info to Submit'!J30</f>
        <v/>
      </c>
      <c r="N265" s="1107"/>
      <c r="O265" s="1107"/>
      <c r="P265" s="1107"/>
      <c r="Q265" s="1108"/>
      <c r="R265" s="1107"/>
      <c r="S265" s="1107"/>
      <c r="T265" s="1107"/>
      <c r="U265" s="1107"/>
      <c r="V265" s="1107"/>
      <c r="W265" s="1107"/>
      <c r="X265" s="1107"/>
      <c r="Y265" s="1107"/>
      <c r="Z265" s="1107"/>
      <c r="AA265" s="1107"/>
      <c r="AB265" s="1107"/>
      <c r="AC265" s="1107"/>
      <c r="AD265" s="1107"/>
      <c r="AE265" s="1107"/>
      <c r="AF265" s="1107"/>
      <c r="AG265" s="1107"/>
      <c r="AH265" s="1107"/>
      <c r="AI265" s="1107"/>
      <c r="AJ265" s="1107"/>
      <c r="AK265" s="1107"/>
      <c r="AL265" s="1107"/>
      <c r="AM265" s="1107"/>
      <c r="AN265" s="1107"/>
      <c r="AO265" s="1107"/>
      <c r="AP265" s="1107"/>
      <c r="AQ265" s="1107"/>
      <c r="AR265" s="1107"/>
      <c r="AS265" s="1107"/>
      <c r="AT265" s="1107"/>
      <c r="AU265" s="1107"/>
      <c r="AV265" s="1107"/>
      <c r="AW265" s="1107"/>
      <c r="AX265" s="1107"/>
      <c r="AY265" s="1107"/>
      <c r="AZ265" s="1107"/>
      <c r="BA265" s="1107"/>
      <c r="BB265" s="1107"/>
      <c r="BC265" s="1107"/>
      <c r="BD265" s="1107"/>
      <c r="BE265" s="1107"/>
      <c r="BF265" s="1107"/>
      <c r="BG265" s="1107"/>
      <c r="BH265" s="1107"/>
      <c r="BI265" s="1107"/>
      <c r="BJ265" s="1107"/>
      <c r="BK265" s="1107"/>
      <c r="BL265" s="1107"/>
      <c r="BM265" s="1107"/>
      <c r="BN265" s="1107"/>
      <c r="BO265" s="1107"/>
      <c r="BP265" s="1107"/>
      <c r="BQ265" s="1107"/>
      <c r="BR265" s="1107"/>
      <c r="BS265" s="1107"/>
      <c r="BT265" s="1107"/>
      <c r="BU265" s="1107"/>
      <c r="BV265" s="1107"/>
      <c r="BW265" s="1107"/>
      <c r="BX265" s="1107"/>
      <c r="BY265" s="1107"/>
      <c r="BZ265" s="1107"/>
      <c r="CA265" s="1107"/>
      <c r="CB265" s="1107"/>
      <c r="CC265" s="1107"/>
      <c r="CD265" s="1107"/>
      <c r="CE265" s="1107"/>
      <c r="CF265" s="1107"/>
      <c r="CG265" s="1107"/>
      <c r="CH265" s="1107"/>
      <c r="CI265" s="1107"/>
      <c r="CJ265" s="1107"/>
      <c r="CK265" s="1107"/>
    </row>
    <row r="266" spans="1:89" x14ac:dyDescent="0.25">
      <c r="A266" s="1107"/>
      <c r="B266" s="2008"/>
      <c r="C266" s="1154">
        <v>9</v>
      </c>
      <c r="D266" s="1144" t="s">
        <v>1872</v>
      </c>
      <c r="E266" s="1144" t="s">
        <v>1426</v>
      </c>
      <c r="F266" s="1153" t="str">
        <f>'Required Info to Submit'!E31</f>
        <v/>
      </c>
      <c r="G266" s="1417" t="str">
        <f>IF(F266="","",'Required Info to Submit'!K31)</f>
        <v/>
      </c>
      <c r="H266" s="1418" t="str">
        <f>IF(F266="","",'Required Info to Submit'!L31)</f>
        <v/>
      </c>
      <c r="I266" s="1153" t="str">
        <f>'Required Info to Submit'!F31</f>
        <v/>
      </c>
      <c r="J266" s="1153" t="str">
        <f>'Required Info to Submit'!G31</f>
        <v/>
      </c>
      <c r="K266" s="1153" t="str">
        <f>'Required Info to Submit'!H31</f>
        <v/>
      </c>
      <c r="L266" s="1153" t="str">
        <f>'Required Info to Submit'!I31</f>
        <v/>
      </c>
      <c r="M266" s="1153" t="str">
        <f>'Required Info to Submit'!J31</f>
        <v/>
      </c>
      <c r="N266" s="1107"/>
      <c r="O266" s="1107"/>
      <c r="P266" s="1107"/>
      <c r="Q266" s="1108"/>
      <c r="R266" s="1107"/>
      <c r="S266" s="1107"/>
      <c r="T266" s="1107"/>
      <c r="U266" s="1107"/>
      <c r="V266" s="1107"/>
      <c r="W266" s="1107"/>
      <c r="X266" s="1107"/>
      <c r="Y266" s="1107"/>
      <c r="Z266" s="1107"/>
      <c r="AA266" s="1107"/>
      <c r="AB266" s="1107"/>
      <c r="AC266" s="1107"/>
      <c r="AD266" s="1107"/>
      <c r="AE266" s="1107"/>
      <c r="AF266" s="1107"/>
      <c r="AG266" s="1107"/>
      <c r="AH266" s="1107"/>
      <c r="AI266" s="1107"/>
      <c r="AJ266" s="1107"/>
      <c r="AK266" s="1107"/>
      <c r="AL266" s="1107"/>
      <c r="AM266" s="1107"/>
      <c r="AN266" s="1107"/>
      <c r="AO266" s="1107"/>
      <c r="AP266" s="1107"/>
      <c r="AQ266" s="1107"/>
      <c r="AR266" s="1107"/>
      <c r="AS266" s="1107"/>
      <c r="AT266" s="1107"/>
      <c r="AU266" s="1107"/>
      <c r="AV266" s="1107"/>
      <c r="AW266" s="1107"/>
      <c r="AX266" s="1107"/>
      <c r="AY266" s="1107"/>
      <c r="AZ266" s="1107"/>
      <c r="BA266" s="1107"/>
      <c r="BB266" s="1107"/>
      <c r="BC266" s="1107"/>
      <c r="BD266" s="1107"/>
      <c r="BE266" s="1107"/>
      <c r="BF266" s="1107"/>
      <c r="BG266" s="1107"/>
      <c r="BH266" s="1107"/>
      <c r="BI266" s="1107"/>
      <c r="BJ266" s="1107"/>
      <c r="BK266" s="1107"/>
      <c r="BL266" s="1107"/>
      <c r="BM266" s="1107"/>
      <c r="BN266" s="1107"/>
      <c r="BO266" s="1107"/>
      <c r="BP266" s="1107"/>
      <c r="BQ266" s="1107"/>
      <c r="BR266" s="1107"/>
      <c r="BS266" s="1107"/>
      <c r="BT266" s="1107"/>
      <c r="BU266" s="1107"/>
      <c r="BV266" s="1107"/>
      <c r="BW266" s="1107"/>
      <c r="BX266" s="1107"/>
      <c r="BY266" s="1107"/>
      <c r="BZ266" s="1107"/>
      <c r="CA266" s="1107"/>
      <c r="CB266" s="1107"/>
      <c r="CC266" s="1107"/>
      <c r="CD266" s="1107"/>
      <c r="CE266" s="1107"/>
      <c r="CF266" s="1107"/>
      <c r="CG266" s="1107"/>
      <c r="CH266" s="1107"/>
      <c r="CI266" s="1107"/>
      <c r="CJ266" s="1107"/>
      <c r="CK266" s="1107"/>
    </row>
    <row r="267" spans="1:89" ht="15.75" thickBot="1" x14ac:dyDescent="0.3">
      <c r="A267" s="1107"/>
      <c r="B267" s="2009"/>
      <c r="C267" s="1156">
        <v>10</v>
      </c>
      <c r="D267" s="1146" t="s">
        <v>1872</v>
      </c>
      <c r="E267" s="1146" t="s">
        <v>1426</v>
      </c>
      <c r="F267" s="1159" t="str">
        <f>'Required Info to Submit'!E32</f>
        <v/>
      </c>
      <c r="G267" s="1419" t="str">
        <f>IF(F267="","",'Required Info to Submit'!K32)</f>
        <v/>
      </c>
      <c r="H267" s="1419" t="str">
        <f>IF(F267="","",'Required Info to Submit'!L32)</f>
        <v/>
      </c>
      <c r="I267" s="1159" t="str">
        <f>'Required Info to Submit'!F32</f>
        <v/>
      </c>
      <c r="J267" s="1159" t="str">
        <f>'Required Info to Submit'!G32</f>
        <v/>
      </c>
      <c r="K267" s="1159" t="str">
        <f>'Required Info to Submit'!H32</f>
        <v/>
      </c>
      <c r="L267" s="1159" t="str">
        <f>'Required Info to Submit'!I32</f>
        <v/>
      </c>
      <c r="M267" s="1159" t="str">
        <f>'Required Info to Submit'!J32</f>
        <v/>
      </c>
      <c r="N267" s="1157"/>
      <c r="O267" s="1157"/>
      <c r="P267" s="1157"/>
      <c r="Q267" s="1110"/>
      <c r="R267" s="1107"/>
      <c r="S267" s="1107"/>
      <c r="T267" s="1107"/>
      <c r="U267" s="1107"/>
      <c r="V267" s="1107"/>
      <c r="W267" s="1107"/>
      <c r="X267" s="1107"/>
      <c r="Y267" s="1107"/>
      <c r="Z267" s="1107"/>
      <c r="AA267" s="1107"/>
      <c r="AB267" s="1107"/>
      <c r="AC267" s="1107"/>
      <c r="AD267" s="1107"/>
      <c r="AE267" s="1107"/>
      <c r="AF267" s="1107"/>
      <c r="AG267" s="1107"/>
      <c r="AH267" s="1107"/>
      <c r="AI267" s="1107"/>
      <c r="AJ267" s="1107"/>
      <c r="AK267" s="1107"/>
      <c r="AL267" s="1107"/>
      <c r="AM267" s="1107"/>
      <c r="AN267" s="1107"/>
      <c r="AO267" s="1107"/>
      <c r="AP267" s="1107"/>
      <c r="AQ267" s="1107"/>
      <c r="AR267" s="1107"/>
      <c r="AS267" s="1107"/>
      <c r="AT267" s="1107"/>
      <c r="AU267" s="1107"/>
      <c r="AV267" s="1107"/>
      <c r="AW267" s="1107"/>
      <c r="AX267" s="1107"/>
      <c r="AY267" s="1107"/>
      <c r="AZ267" s="1107"/>
      <c r="BA267" s="1107"/>
      <c r="BB267" s="1107"/>
      <c r="BC267" s="1107"/>
      <c r="BD267" s="1107"/>
      <c r="BE267" s="1107"/>
      <c r="BF267" s="1107"/>
      <c r="BG267" s="1107"/>
      <c r="BH267" s="1107"/>
      <c r="BI267" s="1107"/>
      <c r="BJ267" s="1107"/>
      <c r="BK267" s="1107"/>
      <c r="BL267" s="1107"/>
      <c r="BM267" s="1107"/>
      <c r="BN267" s="1107"/>
      <c r="BO267" s="1107"/>
      <c r="BP267" s="1107"/>
      <c r="BQ267" s="1107"/>
      <c r="BR267" s="1107"/>
      <c r="BS267" s="1107"/>
      <c r="BT267" s="1107"/>
      <c r="BU267" s="1107"/>
      <c r="BV267" s="1107"/>
      <c r="BW267" s="1107"/>
      <c r="BX267" s="1107"/>
      <c r="BY267" s="1107"/>
      <c r="BZ267" s="1107"/>
      <c r="CA267" s="1107"/>
      <c r="CB267" s="1107"/>
      <c r="CC267" s="1107"/>
      <c r="CD267" s="1107"/>
      <c r="CE267" s="1107"/>
      <c r="CF267" s="1107"/>
      <c r="CG267" s="1107"/>
      <c r="CH267" s="1107"/>
      <c r="CI267" s="1107"/>
      <c r="CJ267" s="1107"/>
      <c r="CK267" s="1107"/>
    </row>
    <row r="268" spans="1:89" x14ac:dyDescent="0.25">
      <c r="A268" s="1107"/>
      <c r="B268" s="1107"/>
      <c r="C268" s="1107"/>
      <c r="D268" s="1107"/>
      <c r="E268" s="1107"/>
      <c r="F268" s="1107"/>
      <c r="G268" s="1107"/>
      <c r="H268" s="1107"/>
      <c r="I268" s="1107"/>
      <c r="J268" s="1107"/>
      <c r="K268" s="1107"/>
      <c r="L268" s="1107"/>
      <c r="M268" s="1107"/>
      <c r="N268" s="1107"/>
      <c r="O268" s="1107"/>
      <c r="P268" s="1107"/>
      <c r="Q268" s="1107"/>
      <c r="R268" s="1107"/>
      <c r="S268" s="1107"/>
      <c r="T268" s="1107"/>
      <c r="U268" s="1107"/>
      <c r="V268" s="1107"/>
      <c r="W268" s="1107"/>
      <c r="X268" s="1107"/>
      <c r="Y268" s="1107"/>
      <c r="Z268" s="1107"/>
      <c r="AA268" s="1107"/>
      <c r="AB268" s="1107"/>
      <c r="AC268" s="1107"/>
      <c r="AD268" s="1107"/>
      <c r="AE268" s="1107"/>
      <c r="AF268" s="1107"/>
      <c r="AG268" s="1107"/>
      <c r="AH268" s="1107"/>
      <c r="AI268" s="1107"/>
      <c r="AJ268" s="1107"/>
      <c r="AK268" s="1107"/>
      <c r="AL268" s="1107"/>
      <c r="AM268" s="1107"/>
      <c r="AN268" s="1107"/>
      <c r="AO268" s="1107"/>
      <c r="AP268" s="1107"/>
      <c r="AQ268" s="1107"/>
      <c r="AR268" s="1107"/>
      <c r="AS268" s="1107"/>
      <c r="AT268" s="1107"/>
      <c r="AU268" s="1107"/>
      <c r="AV268" s="1107"/>
      <c r="AW268" s="1107"/>
      <c r="AX268" s="1107"/>
      <c r="AY268" s="1107"/>
      <c r="AZ268" s="1107"/>
      <c r="BA268" s="1107"/>
      <c r="BB268" s="1107"/>
      <c r="BC268" s="1107"/>
      <c r="BD268" s="1107"/>
      <c r="BE268" s="1107"/>
      <c r="BF268" s="1107"/>
      <c r="BG268" s="1107"/>
      <c r="BH268" s="1107"/>
      <c r="BI268" s="1107"/>
      <c r="BJ268" s="1107"/>
      <c r="BK268" s="1107"/>
      <c r="BL268" s="1107"/>
      <c r="BM268" s="1107"/>
      <c r="BN268" s="1107"/>
      <c r="BO268" s="1107"/>
      <c r="BP268" s="1107"/>
      <c r="BQ268" s="1107"/>
      <c r="BR268" s="1107"/>
      <c r="BS268" s="1107"/>
      <c r="BT268" s="1107"/>
      <c r="BU268" s="1107"/>
      <c r="BV268" s="1107"/>
      <c r="BW268" s="1107"/>
      <c r="BX268" s="1107"/>
      <c r="BY268" s="1107"/>
      <c r="BZ268" s="1107"/>
      <c r="CA268" s="1107"/>
      <c r="CB268" s="1107"/>
      <c r="CC268" s="1107"/>
      <c r="CD268" s="1107"/>
      <c r="CE268" s="1107"/>
      <c r="CF268" s="1107"/>
      <c r="CG268" s="1107"/>
      <c r="CH268" s="1107"/>
      <c r="CI268" s="1107"/>
      <c r="CJ268" s="1107"/>
      <c r="CK268" s="1107"/>
    </row>
    <row r="269" spans="1:89" ht="15.75" thickBot="1" x14ac:dyDescent="0.3">
      <c r="A269" s="1107"/>
      <c r="B269" s="1107"/>
      <c r="C269" s="1107"/>
      <c r="D269" s="1107"/>
      <c r="E269" s="1107"/>
      <c r="F269" s="1107"/>
      <c r="G269" s="1107"/>
      <c r="H269" s="1107"/>
      <c r="I269" s="1107"/>
      <c r="J269" s="1107"/>
      <c r="K269" s="1107"/>
      <c r="L269" s="1107"/>
      <c r="M269" s="1107"/>
      <c r="N269" s="1107"/>
      <c r="O269" s="1107"/>
      <c r="P269" s="1107"/>
      <c r="Q269" s="1107"/>
      <c r="R269" s="1107"/>
      <c r="S269" s="1107"/>
      <c r="T269" s="1107"/>
      <c r="U269" s="1107"/>
      <c r="V269" s="1107"/>
      <c r="W269" s="1107"/>
      <c r="X269" s="1107"/>
      <c r="Y269" s="1107"/>
      <c r="Z269" s="1107"/>
      <c r="AA269" s="1107"/>
      <c r="AB269" s="1107"/>
      <c r="AC269" s="1107"/>
      <c r="AD269" s="1107"/>
      <c r="AE269" s="1107"/>
      <c r="AF269" s="1107"/>
      <c r="AG269" s="1107"/>
      <c r="AH269" s="1107"/>
      <c r="AI269" s="1107"/>
      <c r="AJ269" s="1107"/>
      <c r="AK269" s="1107"/>
      <c r="AL269" s="1107"/>
      <c r="AM269" s="1107"/>
      <c r="AN269" s="1107"/>
      <c r="AO269" s="1107"/>
      <c r="AP269" s="1107"/>
      <c r="AQ269" s="1107"/>
      <c r="AR269" s="1107"/>
      <c r="AS269" s="1107"/>
      <c r="AT269" s="1107"/>
      <c r="AU269" s="1107"/>
      <c r="AV269" s="1107"/>
      <c r="AW269" s="1107"/>
      <c r="AX269" s="1107"/>
      <c r="AY269" s="1107"/>
      <c r="AZ269" s="1107"/>
      <c r="BA269" s="1107"/>
      <c r="BB269" s="1107"/>
      <c r="BC269" s="1107"/>
      <c r="BD269" s="1107"/>
      <c r="BE269" s="1107"/>
      <c r="BF269" s="1107"/>
      <c r="BG269" s="1107"/>
      <c r="BH269" s="1107"/>
      <c r="BI269" s="1107"/>
      <c r="BJ269" s="1107"/>
      <c r="BK269" s="1107"/>
      <c r="BL269" s="1107"/>
      <c r="BM269" s="1107"/>
      <c r="BN269" s="1107"/>
      <c r="BO269" s="1107"/>
      <c r="BP269" s="1107"/>
      <c r="BQ269" s="1107"/>
      <c r="BR269" s="1107"/>
      <c r="BS269" s="1107"/>
      <c r="BT269" s="1107"/>
      <c r="BU269" s="1107"/>
      <c r="BV269" s="1107"/>
      <c r="BW269" s="1107"/>
      <c r="BX269" s="1107"/>
      <c r="BY269" s="1107"/>
      <c r="BZ269" s="1107"/>
      <c r="CA269" s="1107"/>
      <c r="CB269" s="1107"/>
      <c r="CC269" s="1107"/>
      <c r="CD269" s="1107"/>
      <c r="CE269" s="1107"/>
      <c r="CF269" s="1107"/>
      <c r="CG269" s="1107"/>
      <c r="CH269" s="1107"/>
      <c r="CI269" s="1107"/>
      <c r="CJ269" s="1107"/>
      <c r="CK269" s="1107"/>
    </row>
    <row r="270" spans="1:89" ht="45.75" customHeight="1" thickBot="1" x14ac:dyDescent="0.3">
      <c r="A270" s="1107"/>
      <c r="B270" s="1303"/>
      <c r="C270" s="1100" t="s">
        <v>1383</v>
      </c>
      <c r="D270" s="1100" t="s">
        <v>1491</v>
      </c>
      <c r="E270" s="1100" t="s">
        <v>766</v>
      </c>
      <c r="F270" s="1100" t="s">
        <v>1496</v>
      </c>
      <c r="G270" s="1101" t="s">
        <v>1850</v>
      </c>
      <c r="H270" s="1101" t="s">
        <v>1851</v>
      </c>
      <c r="I270" s="1100" t="s">
        <v>1852</v>
      </c>
      <c r="J270" s="1101" t="s">
        <v>1397</v>
      </c>
      <c r="K270" s="1101" t="s">
        <v>1381</v>
      </c>
      <c r="L270" s="1100" t="s">
        <v>1382</v>
      </c>
      <c r="M270" s="1100" t="s">
        <v>721</v>
      </c>
      <c r="N270" s="1100" t="s">
        <v>722</v>
      </c>
      <c r="O270" s="1101" t="s">
        <v>1495</v>
      </c>
      <c r="P270" s="1107"/>
      <c r="Q270" s="1107"/>
      <c r="R270" s="1107"/>
      <c r="S270" s="1107"/>
      <c r="T270" s="1303"/>
      <c r="U270" s="1100" t="s">
        <v>1383</v>
      </c>
      <c r="V270" s="1100" t="s">
        <v>1491</v>
      </c>
      <c r="W270" s="1100" t="s">
        <v>766</v>
      </c>
      <c r="X270" s="1100" t="s">
        <v>1496</v>
      </c>
      <c r="Y270" s="1101" t="s">
        <v>1850</v>
      </c>
      <c r="Z270" s="1101" t="s">
        <v>1851</v>
      </c>
      <c r="AA270" s="1100" t="s">
        <v>1852</v>
      </c>
      <c r="AB270" s="1101" t="s">
        <v>1397</v>
      </c>
      <c r="AC270" s="1101" t="s">
        <v>1381</v>
      </c>
      <c r="AD270" s="1100" t="s">
        <v>1382</v>
      </c>
      <c r="AE270" s="1100" t="s">
        <v>721</v>
      </c>
      <c r="AF270" s="1100" t="s">
        <v>722</v>
      </c>
      <c r="AG270" s="1101" t="s">
        <v>1495</v>
      </c>
      <c r="AH270" s="1107"/>
      <c r="AI270" s="1107"/>
      <c r="AJ270" s="1107"/>
      <c r="AK270" s="1107"/>
      <c r="AL270" s="1107"/>
      <c r="AM270" s="1107"/>
      <c r="AN270" s="1107"/>
      <c r="AO270" s="1107"/>
      <c r="AP270" s="1107"/>
      <c r="AQ270" s="1107"/>
      <c r="AR270" s="1107"/>
      <c r="AS270" s="1107"/>
      <c r="AT270" s="1107"/>
      <c r="AU270" s="1107"/>
      <c r="AV270" s="1107"/>
      <c r="AW270" s="1107"/>
      <c r="AX270" s="1107"/>
      <c r="AY270" s="1107"/>
      <c r="AZ270" s="1107"/>
      <c r="BA270" s="1107"/>
      <c r="BB270" s="1107"/>
      <c r="BC270" s="1107"/>
      <c r="BD270" s="1107"/>
      <c r="BE270" s="1107"/>
      <c r="BF270" s="1107"/>
      <c r="BG270" s="1107"/>
      <c r="BH270" s="1107"/>
      <c r="BI270" s="1107"/>
      <c r="BJ270" s="1107"/>
      <c r="BK270" s="1107"/>
      <c r="BL270" s="1107"/>
      <c r="BM270" s="1107"/>
      <c r="BN270" s="1107"/>
      <c r="BO270" s="1107"/>
      <c r="BP270" s="1107"/>
      <c r="BQ270" s="1107"/>
      <c r="BR270" s="1107"/>
      <c r="BS270" s="1107"/>
      <c r="BT270" s="1107"/>
      <c r="BU270" s="1107"/>
      <c r="BV270" s="1107"/>
      <c r="BW270" s="1107"/>
      <c r="BX270" s="1107"/>
      <c r="BY270" s="1107"/>
      <c r="BZ270" s="1107"/>
      <c r="CA270" s="1107"/>
      <c r="CB270" s="1107"/>
      <c r="CC270" s="1107"/>
      <c r="CD270" s="1107"/>
      <c r="CE270" s="1107"/>
      <c r="CF270" s="1107"/>
      <c r="CG270" s="1107"/>
      <c r="CH270" s="1107"/>
      <c r="CI270" s="1107"/>
      <c r="CJ270" s="1107"/>
      <c r="CK270" s="1107"/>
    </row>
    <row r="271" spans="1:89" ht="60.75" thickBot="1" x14ac:dyDescent="0.3">
      <c r="A271" s="1107"/>
      <c r="B271" s="1132" t="s">
        <v>1853</v>
      </c>
      <c r="C271" s="1133" t="s">
        <v>1600</v>
      </c>
      <c r="D271" s="1112">
        <v>4601</v>
      </c>
      <c r="E271" s="1230" t="s">
        <v>1095</v>
      </c>
      <c r="F271" s="1230" t="s">
        <v>1606</v>
      </c>
      <c r="G271" s="1104" t="str" cm="1">
        <f t="array" aca="1" ref="G271" ca="1">IF(ISBLANK(INDIRECT("'Incentives Worksheet'!H"&amp;'Configurable Tab'!H25+3)),"",INDIRECT("'Incentives Worksheet'!H"&amp;'Configurable Tab'!H25+3))</f>
        <v>Program</v>
      </c>
      <c r="H271" s="1104" t="str" cm="1">
        <f t="array" aca="1" ref="H271" ca="1">IF(INDIRECT("'Incentives Worksheet'!R"&amp;'Configurable Tab'!H25+3)="USF Calendar","Fiscal",INDIRECT("'Incentives Worksheet'!R"&amp;'Configurable Tab'!H25+3))</f>
        <v>Calendar</v>
      </c>
      <c r="I271" s="1104" t="str" cm="1">
        <f t="array" aca="1" ref="I271" ca="1">IF(INDIRECT("'Incentives Worksheet'!T"&amp;'Configurable Tab'!H25+3)="Yes","Post to GL","")</f>
        <v>Post to GL</v>
      </c>
      <c r="J271" s="1104" t="str" cm="1">
        <f t="array" aca="1" ref="J271" ca="1">IF(ISBLANK(INDIRECT("'Incentives Worksheet'!L"&amp;'Configurable Tab'!H25+3)),"",INDIRECT("'Incentives Worksheet'!L"&amp;'Configurable Tab'!H25+3))</f>
        <v/>
      </c>
      <c r="K271" s="1104" t="str" cm="1">
        <f t="array" aca="1" ref="K271" ca="1">IF(ISBLANK(INDIRECT("'Incentives Worksheet'!J"&amp;'Configurable Tab'!H25+3)),"",INDIRECT("'Incentives Worksheet'!J"&amp;'Configurable Tab'!H25+3))</f>
        <v/>
      </c>
      <c r="L271" s="1104" t="str" cm="1">
        <f t="array" aca="1" ref="L271" ca="1">IF(ISBLANK(INDIRECT("'Incentives Worksheet'!N"&amp;'Configurable Tab'!H25+3)),"",INDIRECT("'Incentives Worksheet'!N"&amp;'Configurable Tab'!H25+3))</f>
        <v/>
      </c>
      <c r="M271" s="1231" t="str" cm="1">
        <f t="array" aca="1" ref="M271" ca="1">INDIRECT("'Incentives Worksheet'!D"&amp;'Configurable Tab'!H25+6)</f>
        <v/>
      </c>
      <c r="N271" s="1231" t="str" cm="1">
        <f t="array" aca="1" ref="N271" ca="1">INDIRECT("'Incentives Worksheet'!D"&amp;'Configurable Tab'!H25+8)</f>
        <v/>
      </c>
      <c r="O271" s="1104" t="str" cm="1">
        <f t="array" aca="1" ref="O271" ca="1">IF(INDIRECT("'Incentives Worksheet'!D"&amp;'Configurable Tab'!H25+10)="No","Update tracking dates",INDIRECT("'Incentives Worksheet'!D"&amp;'Configurable Tab'!H25+10))</f>
        <v>Yes</v>
      </c>
      <c r="P271" s="1232"/>
      <c r="Q271" s="1232"/>
      <c r="R271" s="1232"/>
      <c r="S271" s="1232"/>
      <c r="T271" s="1132" t="s">
        <v>1853</v>
      </c>
      <c r="U271" s="1133" t="s">
        <v>1600</v>
      </c>
      <c r="V271" s="1112">
        <v>4602</v>
      </c>
      <c r="W271" s="1230" t="s">
        <v>1095</v>
      </c>
      <c r="X271" s="1230" t="s">
        <v>1606</v>
      </c>
      <c r="Y271" s="1104" t="str" cm="1">
        <f t="array" aca="1" ref="Y271" ca="1">IF(ISBLANK(INDIRECT("'Incentives Worksheet'!H"&amp;'Configurable Tab'!H26+3)),"",INDIRECT("'Incentives Worksheet'!H"&amp;'Configurable Tab'!H26+3))</f>
        <v>Program</v>
      </c>
      <c r="Z271" s="1104" t="str" cm="1">
        <f t="array" aca="1" ref="Z271" ca="1">IF(INDIRECT("'Incentives Worksheet'!R"&amp;'Configurable Tab'!H26+3)="USF Calendar","Fiscal",INDIRECT("'Incentives Worksheet'!R"&amp;'Configurable Tab'!H26+3))</f>
        <v>Calendar</v>
      </c>
      <c r="AA271" s="1104" t="str" cm="1">
        <f t="array" aca="1" ref="AA271" ca="1">IF(INDIRECT("'Incentives Worksheet'!T"&amp;'Configurable Tab'!H26+3)="Yes","Post to GL","")</f>
        <v>Post to GL</v>
      </c>
      <c r="AB271" s="1104" t="str" cm="1">
        <f t="array" aca="1" ref="AB271" ca="1">IF(ISBLANK(INDIRECT("'Incentives Worksheet'!L"&amp;'Configurable Tab'!H26+3)),"",INDIRECT("'Incentives Worksheet'!L"&amp;'Configurable Tab'!H26+3))</f>
        <v/>
      </c>
      <c r="AC271" s="1104" t="str" cm="1">
        <f t="array" aca="1" ref="AC271" ca="1">IF(ISBLANK(INDIRECT("'Incentives Worksheet'!J"&amp;'Configurable Tab'!H26+3)),"",INDIRECT("'Incentives Worksheet'!J"&amp;'Configurable Tab'!H26+3))</f>
        <v/>
      </c>
      <c r="AD271" s="1104" t="str" cm="1">
        <f t="array" aca="1" ref="AD271" ca="1">IF(ISBLANK(INDIRECT("'Incentives Worksheet'!N"&amp;'Configurable Tab'!H26+3)),"",INDIRECT("'Incentives Worksheet'!N"&amp;'Configurable Tab'!H26+3))</f>
        <v/>
      </c>
      <c r="AE271" s="1231" t="str" cm="1">
        <f t="array" aca="1" ref="AE271" ca="1">INDIRECT("'Incentives Worksheet'!D"&amp;'Configurable Tab'!H26+6)</f>
        <v/>
      </c>
      <c r="AF271" s="1231" t="str" cm="1">
        <f t="array" aca="1" ref="AF271" ca="1">INDIRECT("'Incentives Worksheet'!D"&amp;'Configurable Tab'!H26+8)</f>
        <v/>
      </c>
      <c r="AG271" s="1104" t="str" cm="1">
        <f t="array" aca="1" ref="AG271" ca="1">IF(INDIRECT("'Incentives Worksheet'!D"&amp;'Configurable Tab'!H26+10)="No","Update tracking dates",INDIRECT("'Incentives Worksheet'!D"&amp;'Configurable Tab'!H26+10))</f>
        <v>Yes</v>
      </c>
      <c r="AH271" s="1107"/>
      <c r="AI271" s="1107"/>
      <c r="AJ271" s="1107"/>
      <c r="AK271" s="1107"/>
      <c r="AL271" s="1107"/>
      <c r="AM271" s="1107"/>
      <c r="AN271" s="1107"/>
      <c r="AO271" s="1107"/>
      <c r="AP271" s="1107"/>
      <c r="AQ271" s="1107"/>
      <c r="AR271" s="1107"/>
      <c r="AS271" s="1107"/>
      <c r="AT271" s="1107"/>
      <c r="AU271" s="1107"/>
      <c r="AV271" s="1107"/>
      <c r="AW271" s="1107"/>
      <c r="AX271" s="1107"/>
      <c r="AY271" s="1107"/>
      <c r="AZ271" s="1107"/>
      <c r="BA271" s="1107"/>
      <c r="BB271" s="1107"/>
      <c r="BC271" s="1107"/>
      <c r="BD271" s="1107"/>
      <c r="BE271" s="1107"/>
      <c r="BF271" s="1107"/>
      <c r="BG271" s="1107"/>
      <c r="BH271" s="1107"/>
      <c r="BI271" s="1107"/>
      <c r="BJ271" s="1107"/>
      <c r="BK271" s="1107"/>
      <c r="BL271" s="1107"/>
      <c r="BM271" s="1107"/>
      <c r="BN271" s="1107"/>
      <c r="BO271" s="1107"/>
      <c r="BP271" s="1107"/>
      <c r="BQ271" s="1107"/>
      <c r="BR271" s="1107"/>
      <c r="BS271" s="1107"/>
      <c r="BT271" s="1107"/>
      <c r="BU271" s="1107"/>
      <c r="BV271" s="1107"/>
      <c r="BW271" s="1107"/>
      <c r="BX271" s="1107"/>
      <c r="BY271" s="1107"/>
      <c r="BZ271" s="1107"/>
      <c r="CA271" s="1107"/>
      <c r="CB271" s="1107"/>
      <c r="CC271" s="1107"/>
      <c r="CD271" s="1107"/>
      <c r="CE271" s="1107"/>
      <c r="CF271" s="1107"/>
      <c r="CG271" s="1107"/>
      <c r="CH271" s="1107"/>
      <c r="CI271" s="1107"/>
      <c r="CJ271" s="1107"/>
      <c r="CK271" s="1107"/>
    </row>
    <row r="272" spans="1:89" ht="30.75" thickBot="1" x14ac:dyDescent="0.3">
      <c r="A272" s="1107"/>
      <c r="B272" s="2006" t="s">
        <v>1901</v>
      </c>
      <c r="C272" s="1160" t="s">
        <v>1902</v>
      </c>
      <c r="D272" s="1100" t="s">
        <v>1903</v>
      </c>
      <c r="E272" s="1101" t="s">
        <v>727</v>
      </c>
      <c r="F272" s="1100" t="s">
        <v>1904</v>
      </c>
      <c r="G272" s="1100" t="s">
        <v>1841</v>
      </c>
      <c r="H272" s="1131"/>
      <c r="I272" s="1131"/>
      <c r="J272" s="1233"/>
      <c r="K272" s="1233"/>
      <c r="L272" s="1233"/>
      <c r="M272" s="1233"/>
      <c r="N272" s="1233"/>
      <c r="O272" s="1234"/>
      <c r="P272" s="1235"/>
      <c r="Q272" s="1235"/>
      <c r="R272" s="1235"/>
      <c r="S272" s="1235"/>
      <c r="T272" s="2006" t="s">
        <v>1901</v>
      </c>
      <c r="U272" s="1160" t="s">
        <v>1902</v>
      </c>
      <c r="V272" s="1100" t="s">
        <v>1903</v>
      </c>
      <c r="W272" s="1101" t="s">
        <v>727</v>
      </c>
      <c r="X272" s="1100" t="s">
        <v>1904</v>
      </c>
      <c r="Y272" s="1100" t="s">
        <v>1841</v>
      </c>
      <c r="Z272" s="1131"/>
      <c r="AA272" s="1131"/>
      <c r="AB272" s="1233"/>
      <c r="AC272" s="1233"/>
      <c r="AD272" s="1233"/>
      <c r="AE272" s="1233"/>
      <c r="AF272" s="1233"/>
      <c r="AG272" s="1234"/>
      <c r="AH272" s="1107"/>
      <c r="AI272" s="1107"/>
      <c r="AJ272" s="1107"/>
      <c r="AK272" s="1107"/>
      <c r="AL272" s="1107"/>
      <c r="AM272" s="1107"/>
      <c r="AN272" s="1107"/>
      <c r="AO272" s="1107"/>
      <c r="AP272" s="1107"/>
      <c r="AQ272" s="1107"/>
      <c r="AR272" s="1107"/>
      <c r="AS272" s="1107"/>
      <c r="AT272" s="1107"/>
      <c r="AU272" s="1107"/>
      <c r="AV272" s="1107"/>
      <c r="AW272" s="1107"/>
      <c r="AX272" s="1107"/>
      <c r="AY272" s="1107"/>
      <c r="AZ272" s="1107"/>
      <c r="BA272" s="1107"/>
      <c r="BB272" s="1107"/>
      <c r="BC272" s="1107"/>
      <c r="BD272" s="1107"/>
      <c r="BE272" s="1107"/>
      <c r="BF272" s="1107"/>
      <c r="BG272" s="1107"/>
      <c r="BH272" s="1107"/>
      <c r="BI272" s="1107"/>
      <c r="BJ272" s="1107"/>
      <c r="BK272" s="1107"/>
      <c r="BL272" s="1107"/>
      <c r="BM272" s="1107"/>
      <c r="BN272" s="1107"/>
      <c r="BO272" s="1107"/>
      <c r="BP272" s="1107"/>
      <c r="BQ272" s="1107"/>
      <c r="BR272" s="1107"/>
      <c r="BS272" s="1107"/>
      <c r="BT272" s="1107"/>
      <c r="BU272" s="1107"/>
      <c r="BV272" s="1107"/>
      <c r="BW272" s="1107"/>
      <c r="BX272" s="1107"/>
      <c r="BY272" s="1107"/>
      <c r="BZ272" s="1107"/>
      <c r="CA272" s="1107"/>
      <c r="CB272" s="1107"/>
      <c r="CC272" s="1107"/>
      <c r="CD272" s="1107"/>
      <c r="CE272" s="1107"/>
      <c r="CF272" s="1107"/>
      <c r="CG272" s="1107"/>
      <c r="CH272" s="1107"/>
      <c r="CI272" s="1107"/>
      <c r="CJ272" s="1107"/>
      <c r="CK272" s="1107"/>
    </row>
    <row r="273" spans="1:89" ht="15.75" thickBot="1" x14ac:dyDescent="0.3">
      <c r="A273" s="1107"/>
      <c r="B273" s="2011"/>
      <c r="C273" s="1236" t="str" cm="1">
        <f t="array" aca="1" ref="C273" ca="1">INDIRECT("'Incentives Worksheet'!R"&amp;'Configurable Tab'!H25+6)</f>
        <v>Post Pay</v>
      </c>
      <c r="D273" s="1210" cm="1">
        <f t="array" aca="1" ref="D273" ca="1">INDIRECT("'Incentives Worksheet'!T"&amp;'Configurable Tab'!H25+6)</f>
        <v>1</v>
      </c>
      <c r="E273" s="1195" t="str" cm="1">
        <f t="array" aca="1" ref="E273" ca="1">IF(ISBLANK(INDIRECT("'Incentives Worksheet'!H"&amp;'Configurable Tab'!H25+6)),"",INDIRECT("'Incentives Worksheet'!H"&amp;'Configurable Tab'!H25+6))</f>
        <v/>
      </c>
      <c r="F273" s="1195" t="s">
        <v>1095</v>
      </c>
      <c r="G273" s="1195"/>
      <c r="H273" s="1237"/>
      <c r="I273" s="1136"/>
      <c r="J273" s="1136"/>
      <c r="K273" s="1136"/>
      <c r="L273" s="1136"/>
      <c r="M273" s="1136"/>
      <c r="N273" s="1136"/>
      <c r="O273" s="1108"/>
      <c r="P273" s="1107"/>
      <c r="Q273" s="1107"/>
      <c r="R273" s="1107"/>
      <c r="S273" s="1107"/>
      <c r="T273" s="2011"/>
      <c r="U273" s="1238" t="str" cm="1">
        <f t="array" aca="1" ref="U273" ca="1">INDIRECT("'Incentives Worksheet'!R"&amp;'Configurable Tab'!H26+6)</f>
        <v>Post Pay</v>
      </c>
      <c r="V273" s="1210" cm="1">
        <f t="array" aca="1" ref="V273" ca="1">INDIRECT("'Incentives Worksheet'!T"&amp;'Configurable Tab'!H26+6)</f>
        <v>1</v>
      </c>
      <c r="W273" s="1195" t="str" cm="1">
        <f t="array" aca="1" ref="W273" ca="1">IF(ISBLANK(INDIRECT("'Incentives Worksheet'!H"&amp;'Configurable Tab'!H26+6)),"",INDIRECT("'Incentives Worksheet'!H"&amp;'Configurable Tab'!H26+6))</f>
        <v/>
      </c>
      <c r="X273" s="1195" t="s">
        <v>1095</v>
      </c>
      <c r="Y273" s="1195"/>
      <c r="Z273" s="1237"/>
      <c r="AA273" s="1136"/>
      <c r="AB273" s="1136"/>
      <c r="AC273" s="1136"/>
      <c r="AD273" s="1136"/>
      <c r="AE273" s="1136"/>
      <c r="AF273" s="1136"/>
      <c r="AG273" s="1108"/>
      <c r="AH273" s="1107"/>
      <c r="AI273" s="1107"/>
      <c r="AJ273" s="1107"/>
      <c r="AK273" s="1107"/>
      <c r="AL273" s="1107"/>
      <c r="AM273" s="1107"/>
      <c r="AN273" s="1107"/>
      <c r="AO273" s="1107"/>
      <c r="AP273" s="1107"/>
      <c r="AQ273" s="1107"/>
      <c r="AR273" s="1107"/>
      <c r="AS273" s="1107"/>
      <c r="AT273" s="1107"/>
      <c r="AU273" s="1107"/>
      <c r="AV273" s="1107"/>
      <c r="AW273" s="1107"/>
      <c r="AX273" s="1107"/>
      <c r="AY273" s="1107"/>
      <c r="AZ273" s="1107"/>
      <c r="BA273" s="1107"/>
      <c r="BB273" s="1107"/>
      <c r="BC273" s="1107"/>
      <c r="BD273" s="1107"/>
      <c r="BE273" s="1107"/>
      <c r="BF273" s="1107"/>
      <c r="BG273" s="1107"/>
      <c r="BH273" s="1107"/>
      <c r="BI273" s="1107"/>
      <c r="BJ273" s="1107"/>
      <c r="BK273" s="1107"/>
      <c r="BL273" s="1107"/>
      <c r="BM273" s="1107"/>
      <c r="BN273" s="1107"/>
      <c r="BO273" s="1107"/>
      <c r="BP273" s="1107"/>
      <c r="BQ273" s="1107"/>
      <c r="BR273" s="1107"/>
      <c r="BS273" s="1107"/>
      <c r="BT273" s="1107"/>
      <c r="BU273" s="1107"/>
      <c r="BV273" s="1107"/>
      <c r="BW273" s="1107"/>
      <c r="BX273" s="1107"/>
      <c r="BY273" s="1107"/>
      <c r="BZ273" s="1107"/>
      <c r="CA273" s="1107"/>
      <c r="CB273" s="1107"/>
      <c r="CC273" s="1107"/>
      <c r="CD273" s="1107"/>
      <c r="CE273" s="1107"/>
      <c r="CF273" s="1107"/>
      <c r="CG273" s="1107"/>
      <c r="CH273" s="1107"/>
      <c r="CI273" s="1107"/>
      <c r="CJ273" s="1107"/>
      <c r="CK273" s="1107"/>
    </row>
    <row r="274" spans="1:89" ht="15.75" customHeight="1" thickBot="1" x14ac:dyDescent="0.3">
      <c r="A274" s="1107"/>
      <c r="B274" s="2006" t="s">
        <v>1868</v>
      </c>
      <c r="C274" s="1239" t="s">
        <v>1869</v>
      </c>
      <c r="D274" s="1148" t="s">
        <v>1859</v>
      </c>
      <c r="E274" s="1148" t="s">
        <v>131</v>
      </c>
      <c r="F274" s="1148" t="s">
        <v>1860</v>
      </c>
      <c r="G274" s="1148" t="s">
        <v>1870</v>
      </c>
      <c r="H274" s="1149" t="s">
        <v>1871</v>
      </c>
      <c r="I274" s="1150" t="s">
        <v>766</v>
      </c>
      <c r="J274" s="1150" t="s">
        <v>767</v>
      </c>
      <c r="K274" s="1150" t="s">
        <v>768</v>
      </c>
      <c r="L274" s="1150" t="s">
        <v>769</v>
      </c>
      <c r="M274" s="1150" t="s">
        <v>204</v>
      </c>
      <c r="N274" s="1107"/>
      <c r="O274" s="1108"/>
      <c r="P274" s="1107"/>
      <c r="Q274" s="1107"/>
      <c r="R274" s="1107"/>
      <c r="S274" s="1107"/>
      <c r="T274" s="2006" t="s">
        <v>1868</v>
      </c>
      <c r="U274" s="1238" t="s">
        <v>1869</v>
      </c>
      <c r="V274" s="1148" t="s">
        <v>1859</v>
      </c>
      <c r="W274" s="1148" t="s">
        <v>131</v>
      </c>
      <c r="X274" s="1148" t="s">
        <v>1860</v>
      </c>
      <c r="Y274" s="1148" t="s">
        <v>1870</v>
      </c>
      <c r="Z274" s="1149" t="s">
        <v>1871</v>
      </c>
      <c r="AA274" s="1150" t="s">
        <v>766</v>
      </c>
      <c r="AB274" s="1150" t="s">
        <v>767</v>
      </c>
      <c r="AC274" s="1150" t="s">
        <v>768</v>
      </c>
      <c r="AD274" s="1150" t="s">
        <v>769</v>
      </c>
      <c r="AE274" s="1150" t="s">
        <v>204</v>
      </c>
      <c r="AF274" s="1107"/>
      <c r="AG274" s="1108"/>
      <c r="AH274" s="1107"/>
      <c r="AI274" s="1107"/>
      <c r="AJ274" s="1107"/>
      <c r="AK274" s="1107"/>
      <c r="AL274" s="1107"/>
      <c r="AM274" s="1107"/>
      <c r="AN274" s="1107"/>
      <c r="AO274" s="1107"/>
      <c r="AP274" s="1107"/>
      <c r="AQ274" s="1107"/>
      <c r="AR274" s="1107"/>
      <c r="AS274" s="1107"/>
      <c r="AT274" s="1107"/>
      <c r="AU274" s="1107"/>
      <c r="AV274" s="1107"/>
      <c r="AW274" s="1107"/>
      <c r="AX274" s="1107"/>
      <c r="AY274" s="1107"/>
      <c r="AZ274" s="1107"/>
      <c r="BA274" s="1107"/>
      <c r="BB274" s="1107"/>
      <c r="BC274" s="1107"/>
      <c r="BD274" s="1107"/>
      <c r="BE274" s="1107"/>
      <c r="BF274" s="1107"/>
      <c r="BG274" s="1107"/>
      <c r="BH274" s="1107"/>
      <c r="BI274" s="1107"/>
      <c r="BJ274" s="1107"/>
      <c r="BK274" s="1107"/>
      <c r="BL274" s="1107"/>
      <c r="BM274" s="1107"/>
      <c r="BN274" s="1107"/>
      <c r="BO274" s="1107"/>
      <c r="BP274" s="1107"/>
      <c r="BQ274" s="1107"/>
      <c r="BR274" s="1107"/>
      <c r="BS274" s="1107"/>
      <c r="BT274" s="1107"/>
      <c r="BU274" s="1107"/>
      <c r="BV274" s="1107"/>
      <c r="BW274" s="1107"/>
      <c r="BX274" s="1107"/>
      <c r="BY274" s="1107"/>
      <c r="BZ274" s="1107"/>
      <c r="CA274" s="1107"/>
      <c r="CB274" s="1107"/>
      <c r="CC274" s="1107"/>
      <c r="CD274" s="1107"/>
      <c r="CE274" s="1107"/>
      <c r="CF274" s="1107"/>
      <c r="CG274" s="1107"/>
      <c r="CH274" s="1107"/>
      <c r="CI274" s="1107"/>
      <c r="CJ274" s="1107"/>
      <c r="CK274" s="1107"/>
    </row>
    <row r="275" spans="1:89" x14ac:dyDescent="0.25">
      <c r="A275" s="1107"/>
      <c r="B275" s="2008"/>
      <c r="C275" s="1151">
        <v>1</v>
      </c>
      <c r="D275" s="1144" t="s">
        <v>1872</v>
      </c>
      <c r="E275" s="1144" t="s">
        <v>1426</v>
      </c>
      <c r="F275" s="1144" t="str">
        <f>'Required Info to Submit'!E23</f>
        <v/>
      </c>
      <c r="G275" s="1414" t="str">
        <f>IF(F275="","",'Required Info to Submit'!K23)</f>
        <v/>
      </c>
      <c r="H275" s="1415" t="str">
        <f>IF(F275="","",'Required Info to Submit'!L23)</f>
        <v/>
      </c>
      <c r="I275" s="1144" t="str">
        <f>'Required Info to Submit'!F23</f>
        <v/>
      </c>
      <c r="J275" s="1144" t="str">
        <f>'Required Info to Submit'!G23</f>
        <v/>
      </c>
      <c r="K275" s="1144" t="str">
        <f>'Required Info to Submit'!H23</f>
        <v/>
      </c>
      <c r="L275" s="1144" t="str">
        <f>'Required Info to Submit'!I23</f>
        <v/>
      </c>
      <c r="M275" s="1144" t="str">
        <f>'Required Info to Submit'!J23</f>
        <v/>
      </c>
      <c r="N275" s="1107"/>
      <c r="O275" s="1108"/>
      <c r="P275" s="1107"/>
      <c r="Q275" s="1107"/>
      <c r="R275" s="1107"/>
      <c r="S275" s="1107"/>
      <c r="T275" s="2008"/>
      <c r="U275" s="1151">
        <v>1</v>
      </c>
      <c r="V275" s="1144" t="s">
        <v>1872</v>
      </c>
      <c r="W275" s="1144" t="s">
        <v>1426</v>
      </c>
      <c r="X275" s="1144" t="str">
        <f>'Required Info to Submit'!E23</f>
        <v/>
      </c>
      <c r="Y275" s="1414" t="str">
        <f>IF(X275="","",'Required Info to Submit'!K23)</f>
        <v/>
      </c>
      <c r="Z275" s="1415" t="str">
        <f>IF(X275="","",'Required Info to Submit'!L23)</f>
        <v/>
      </c>
      <c r="AA275" s="1144" t="str">
        <f>'Required Info to Submit'!F23</f>
        <v/>
      </c>
      <c r="AB275" s="1144" t="str">
        <f>'Required Info to Submit'!G23</f>
        <v/>
      </c>
      <c r="AC275" s="1144" t="str">
        <f>'Required Info to Submit'!H23</f>
        <v/>
      </c>
      <c r="AD275" s="1144" t="str">
        <f>'Required Info to Submit'!I23</f>
        <v/>
      </c>
      <c r="AE275" s="1144" t="str">
        <f>'Required Info to Submit'!J23</f>
        <v/>
      </c>
      <c r="AF275" s="1107"/>
      <c r="AG275" s="1108"/>
      <c r="AH275" s="1107"/>
      <c r="AI275" s="1107"/>
      <c r="AJ275" s="1107"/>
      <c r="AK275" s="1107"/>
      <c r="AL275" s="1107"/>
      <c r="AM275" s="1107"/>
      <c r="AN275" s="1107"/>
      <c r="AO275" s="1107"/>
      <c r="AP275" s="1107"/>
      <c r="AQ275" s="1107"/>
      <c r="AR275" s="1107"/>
      <c r="AS275" s="1107"/>
      <c r="AT275" s="1107"/>
      <c r="AU275" s="1107"/>
      <c r="AV275" s="1107"/>
      <c r="AW275" s="1107"/>
      <c r="AX275" s="1107"/>
      <c r="AY275" s="1107"/>
      <c r="AZ275" s="1107"/>
      <c r="BA275" s="1107"/>
      <c r="BB275" s="1107"/>
      <c r="BC275" s="1107"/>
      <c r="BD275" s="1107"/>
      <c r="BE275" s="1107"/>
      <c r="BF275" s="1107"/>
      <c r="BG275" s="1107"/>
      <c r="BH275" s="1107"/>
      <c r="BI275" s="1107"/>
      <c r="BJ275" s="1107"/>
      <c r="BK275" s="1107"/>
      <c r="BL275" s="1107"/>
      <c r="BM275" s="1107"/>
      <c r="BN275" s="1107"/>
      <c r="BO275" s="1107"/>
      <c r="BP275" s="1107"/>
      <c r="BQ275" s="1107"/>
      <c r="BR275" s="1107"/>
      <c r="BS275" s="1107"/>
      <c r="BT275" s="1107"/>
      <c r="BU275" s="1107"/>
      <c r="BV275" s="1107"/>
      <c r="BW275" s="1107"/>
      <c r="BX275" s="1107"/>
      <c r="BY275" s="1107"/>
      <c r="BZ275" s="1107"/>
      <c r="CA275" s="1107"/>
      <c r="CB275" s="1107"/>
      <c r="CC275" s="1107"/>
      <c r="CD275" s="1107"/>
      <c r="CE275" s="1107"/>
      <c r="CF275" s="1107"/>
      <c r="CG275" s="1107"/>
      <c r="CH275" s="1107"/>
      <c r="CI275" s="1107"/>
      <c r="CJ275" s="1107"/>
      <c r="CK275" s="1107"/>
    </row>
    <row r="276" spans="1:89" x14ac:dyDescent="0.25">
      <c r="A276" s="1107"/>
      <c r="B276" s="2008"/>
      <c r="C276" s="1154">
        <v>2</v>
      </c>
      <c r="D276" s="1144" t="s">
        <v>1872</v>
      </c>
      <c r="E276" s="1144" t="s">
        <v>1426</v>
      </c>
      <c r="F276" s="1144" t="str">
        <f>'Required Info to Submit'!E24</f>
        <v/>
      </c>
      <c r="G276" s="1414" t="str">
        <f>IF(F276="","",'Required Info to Submit'!K24)</f>
        <v/>
      </c>
      <c r="H276" s="1415" t="str">
        <f>IF(F276="","",'Required Info to Submit'!L24)</f>
        <v/>
      </c>
      <c r="I276" s="1144" t="str">
        <f>'Required Info to Submit'!F24</f>
        <v/>
      </c>
      <c r="J276" s="1144" t="str">
        <f>'Required Info to Submit'!G24</f>
        <v/>
      </c>
      <c r="K276" s="1144" t="str">
        <f>'Required Info to Submit'!H24</f>
        <v/>
      </c>
      <c r="L276" s="1144" t="str">
        <f>'Required Info to Submit'!I24</f>
        <v/>
      </c>
      <c r="M276" s="1144" t="str">
        <f>'Required Info to Submit'!J24</f>
        <v/>
      </c>
      <c r="N276" s="1107"/>
      <c r="O276" s="1108"/>
      <c r="P276" s="1107"/>
      <c r="Q276" s="1107"/>
      <c r="R276" s="1107"/>
      <c r="S276" s="1107"/>
      <c r="T276" s="2008"/>
      <c r="U276" s="1154">
        <v>2</v>
      </c>
      <c r="V276" s="1144" t="s">
        <v>1872</v>
      </c>
      <c r="W276" s="1144" t="s">
        <v>1426</v>
      </c>
      <c r="X276" s="1144" t="str">
        <f>'Required Info to Submit'!E24</f>
        <v/>
      </c>
      <c r="Y276" s="1414" t="str">
        <f>IF(X276="","",'Required Info to Submit'!K24)</f>
        <v/>
      </c>
      <c r="Z276" s="1415" t="str">
        <f>IF(X276="","",'Required Info to Submit'!L24)</f>
        <v/>
      </c>
      <c r="AA276" s="1144" t="str">
        <f>'Required Info to Submit'!F24</f>
        <v/>
      </c>
      <c r="AB276" s="1144" t="str">
        <f>'Required Info to Submit'!G24</f>
        <v/>
      </c>
      <c r="AC276" s="1144" t="str">
        <f>'Required Info to Submit'!H24</f>
        <v/>
      </c>
      <c r="AD276" s="1144" t="str">
        <f>'Required Info to Submit'!I24</f>
        <v/>
      </c>
      <c r="AE276" s="1144" t="str">
        <f>'Required Info to Submit'!J24</f>
        <v/>
      </c>
      <c r="AF276" s="1107"/>
      <c r="AG276" s="1108"/>
      <c r="AH276" s="1107"/>
      <c r="AI276" s="1107"/>
      <c r="AJ276" s="1107"/>
      <c r="AK276" s="1107"/>
      <c r="AL276" s="1107"/>
      <c r="AM276" s="1107"/>
      <c r="AN276" s="1107"/>
      <c r="AO276" s="1107"/>
      <c r="AP276" s="1107"/>
      <c r="AQ276" s="1107"/>
      <c r="AR276" s="1107"/>
      <c r="AS276" s="1107"/>
      <c r="AT276" s="1107"/>
      <c r="AU276" s="1107"/>
      <c r="AV276" s="1107"/>
      <c r="AW276" s="1107"/>
      <c r="AX276" s="1107"/>
      <c r="AY276" s="1107"/>
      <c r="AZ276" s="1107"/>
      <c r="BA276" s="1107"/>
      <c r="BB276" s="1107"/>
      <c r="BC276" s="1107"/>
      <c r="BD276" s="1107"/>
      <c r="BE276" s="1107"/>
      <c r="BF276" s="1107"/>
      <c r="BG276" s="1107"/>
      <c r="BH276" s="1107"/>
      <c r="BI276" s="1107"/>
      <c r="BJ276" s="1107"/>
      <c r="BK276" s="1107"/>
      <c r="BL276" s="1107"/>
      <c r="BM276" s="1107"/>
      <c r="BN276" s="1107"/>
      <c r="BO276" s="1107"/>
      <c r="BP276" s="1107"/>
      <c r="BQ276" s="1107"/>
      <c r="BR276" s="1107"/>
      <c r="BS276" s="1107"/>
      <c r="BT276" s="1107"/>
      <c r="BU276" s="1107"/>
      <c r="BV276" s="1107"/>
      <c r="BW276" s="1107"/>
      <c r="BX276" s="1107"/>
      <c r="BY276" s="1107"/>
      <c r="BZ276" s="1107"/>
      <c r="CA276" s="1107"/>
      <c r="CB276" s="1107"/>
      <c r="CC276" s="1107"/>
      <c r="CD276" s="1107"/>
      <c r="CE276" s="1107"/>
      <c r="CF276" s="1107"/>
      <c r="CG276" s="1107"/>
      <c r="CH276" s="1107"/>
      <c r="CI276" s="1107"/>
      <c r="CJ276" s="1107"/>
      <c r="CK276" s="1107"/>
    </row>
    <row r="277" spans="1:89" x14ac:dyDescent="0.25">
      <c r="A277" s="1107"/>
      <c r="B277" s="2008"/>
      <c r="C277" s="1154">
        <v>3</v>
      </c>
      <c r="D277" s="1144" t="s">
        <v>1872</v>
      </c>
      <c r="E277" s="1144" t="s">
        <v>1426</v>
      </c>
      <c r="F277" s="1144" t="str">
        <f>'Required Info to Submit'!E25</f>
        <v/>
      </c>
      <c r="G277" s="1414" t="str">
        <f>IF(F277="","",'Required Info to Submit'!K25)</f>
        <v/>
      </c>
      <c r="H277" s="1415" t="str">
        <f>IF(F277="","",'Required Info to Submit'!L25)</f>
        <v/>
      </c>
      <c r="I277" s="1144" t="str">
        <f>'Required Info to Submit'!F25</f>
        <v/>
      </c>
      <c r="J277" s="1144" t="str">
        <f>'Required Info to Submit'!G25</f>
        <v/>
      </c>
      <c r="K277" s="1144" t="str">
        <f>'Required Info to Submit'!H25</f>
        <v/>
      </c>
      <c r="L277" s="1144" t="str">
        <f>'Required Info to Submit'!I25</f>
        <v/>
      </c>
      <c r="M277" s="1144" t="str">
        <f>'Required Info to Submit'!J25</f>
        <v/>
      </c>
      <c r="N277" s="1107"/>
      <c r="O277" s="1108"/>
      <c r="P277" s="1107"/>
      <c r="Q277" s="1107"/>
      <c r="R277" s="1107"/>
      <c r="S277" s="1107"/>
      <c r="T277" s="2008"/>
      <c r="U277" s="1154">
        <v>3</v>
      </c>
      <c r="V277" s="1144" t="s">
        <v>1872</v>
      </c>
      <c r="W277" s="1144" t="s">
        <v>1426</v>
      </c>
      <c r="X277" s="1144" t="str">
        <f>'Required Info to Submit'!E25</f>
        <v/>
      </c>
      <c r="Y277" s="1414" t="str">
        <f>IF(X277="","",'Required Info to Submit'!K25)</f>
        <v/>
      </c>
      <c r="Z277" s="1415" t="str">
        <f>IF(X277="","",'Required Info to Submit'!L25)</f>
        <v/>
      </c>
      <c r="AA277" s="1144" t="str">
        <f>'Required Info to Submit'!F25</f>
        <v/>
      </c>
      <c r="AB277" s="1144" t="str">
        <f>'Required Info to Submit'!G25</f>
        <v/>
      </c>
      <c r="AC277" s="1144" t="str">
        <f>'Required Info to Submit'!H25</f>
        <v/>
      </c>
      <c r="AD277" s="1144" t="str">
        <f>'Required Info to Submit'!I25</f>
        <v/>
      </c>
      <c r="AE277" s="1144" t="str">
        <f>'Required Info to Submit'!J25</f>
        <v/>
      </c>
      <c r="AF277" s="1107"/>
      <c r="AG277" s="1108"/>
      <c r="AH277" s="1107"/>
      <c r="AI277" s="1107"/>
      <c r="AJ277" s="1107"/>
      <c r="AK277" s="1107"/>
      <c r="AL277" s="1107"/>
      <c r="AM277" s="1107"/>
      <c r="AN277" s="1107"/>
      <c r="AO277" s="1107"/>
      <c r="AP277" s="1107"/>
      <c r="AQ277" s="1107"/>
      <c r="AR277" s="1107"/>
      <c r="AS277" s="1107"/>
      <c r="AT277" s="1107"/>
      <c r="AU277" s="1107"/>
      <c r="AV277" s="1107"/>
      <c r="AW277" s="1107"/>
      <c r="AX277" s="1107"/>
      <c r="AY277" s="1107"/>
      <c r="AZ277" s="1107"/>
      <c r="BA277" s="1107"/>
      <c r="BB277" s="1107"/>
      <c r="BC277" s="1107"/>
      <c r="BD277" s="1107"/>
      <c r="BE277" s="1107"/>
      <c r="BF277" s="1107"/>
      <c r="BG277" s="1107"/>
      <c r="BH277" s="1107"/>
      <c r="BI277" s="1107"/>
      <c r="BJ277" s="1107"/>
      <c r="BK277" s="1107"/>
      <c r="BL277" s="1107"/>
      <c r="BM277" s="1107"/>
      <c r="BN277" s="1107"/>
      <c r="BO277" s="1107"/>
      <c r="BP277" s="1107"/>
      <c r="BQ277" s="1107"/>
      <c r="BR277" s="1107"/>
      <c r="BS277" s="1107"/>
      <c r="BT277" s="1107"/>
      <c r="BU277" s="1107"/>
      <c r="BV277" s="1107"/>
      <c r="BW277" s="1107"/>
      <c r="BX277" s="1107"/>
      <c r="BY277" s="1107"/>
      <c r="BZ277" s="1107"/>
      <c r="CA277" s="1107"/>
      <c r="CB277" s="1107"/>
      <c r="CC277" s="1107"/>
      <c r="CD277" s="1107"/>
      <c r="CE277" s="1107"/>
      <c r="CF277" s="1107"/>
      <c r="CG277" s="1107"/>
      <c r="CH277" s="1107"/>
      <c r="CI277" s="1107"/>
      <c r="CJ277" s="1107"/>
      <c r="CK277" s="1107"/>
    </row>
    <row r="278" spans="1:89" x14ac:dyDescent="0.25">
      <c r="A278" s="1107"/>
      <c r="B278" s="2008"/>
      <c r="C278" s="1154">
        <v>4</v>
      </c>
      <c r="D278" s="1144" t="s">
        <v>1872</v>
      </c>
      <c r="E278" s="1144" t="s">
        <v>1426</v>
      </c>
      <c r="F278" s="1144" t="str">
        <f>'Required Info to Submit'!E26</f>
        <v/>
      </c>
      <c r="G278" s="1414" t="str">
        <f>IF(F278="","",'Required Info to Submit'!K26)</f>
        <v/>
      </c>
      <c r="H278" s="1415" t="str">
        <f>IF(F278="","",'Required Info to Submit'!L26)</f>
        <v/>
      </c>
      <c r="I278" s="1144" t="str">
        <f>'Required Info to Submit'!F26</f>
        <v/>
      </c>
      <c r="J278" s="1144" t="str">
        <f>'Required Info to Submit'!G26</f>
        <v/>
      </c>
      <c r="K278" s="1144" t="str">
        <f>'Required Info to Submit'!H26</f>
        <v/>
      </c>
      <c r="L278" s="1144" t="str">
        <f>'Required Info to Submit'!I26</f>
        <v/>
      </c>
      <c r="M278" s="1144" t="str">
        <f>'Required Info to Submit'!J26</f>
        <v/>
      </c>
      <c r="N278" s="1107"/>
      <c r="O278" s="1108"/>
      <c r="P278" s="1107"/>
      <c r="Q278" s="1107"/>
      <c r="R278" s="1107"/>
      <c r="S278" s="1107"/>
      <c r="T278" s="2008"/>
      <c r="U278" s="1154">
        <v>4</v>
      </c>
      <c r="V278" s="1144" t="s">
        <v>1872</v>
      </c>
      <c r="W278" s="1144" t="s">
        <v>1426</v>
      </c>
      <c r="X278" s="1144" t="str">
        <f>'Required Info to Submit'!E26</f>
        <v/>
      </c>
      <c r="Y278" s="1414" t="str">
        <f>IF(X278="","",'Required Info to Submit'!K26)</f>
        <v/>
      </c>
      <c r="Z278" s="1415" t="str">
        <f>IF(X278="","",'Required Info to Submit'!L26)</f>
        <v/>
      </c>
      <c r="AA278" s="1144" t="str">
        <f>'Required Info to Submit'!F26</f>
        <v/>
      </c>
      <c r="AB278" s="1144" t="str">
        <f>'Required Info to Submit'!G26</f>
        <v/>
      </c>
      <c r="AC278" s="1144" t="str">
        <f>'Required Info to Submit'!H26</f>
        <v/>
      </c>
      <c r="AD278" s="1144" t="str">
        <f>'Required Info to Submit'!I26</f>
        <v/>
      </c>
      <c r="AE278" s="1144" t="str">
        <f>'Required Info to Submit'!J26</f>
        <v/>
      </c>
      <c r="AF278" s="1107"/>
      <c r="AG278" s="1108"/>
      <c r="AH278" s="1107"/>
      <c r="AI278" s="1107"/>
      <c r="AJ278" s="1107"/>
      <c r="AK278" s="1107"/>
      <c r="AL278" s="1107"/>
      <c r="AM278" s="1107"/>
      <c r="AN278" s="1107"/>
      <c r="AO278" s="1107"/>
      <c r="AP278" s="1107"/>
      <c r="AQ278" s="1107"/>
      <c r="AR278" s="1107"/>
      <c r="AS278" s="1107"/>
      <c r="AT278" s="1107"/>
      <c r="AU278" s="1107"/>
      <c r="AV278" s="1107"/>
      <c r="AW278" s="1107"/>
      <c r="AX278" s="1107"/>
      <c r="AY278" s="1107"/>
      <c r="AZ278" s="1107"/>
      <c r="BA278" s="1107"/>
      <c r="BB278" s="1107"/>
      <c r="BC278" s="1107"/>
      <c r="BD278" s="1107"/>
      <c r="BE278" s="1107"/>
      <c r="BF278" s="1107"/>
      <c r="BG278" s="1107"/>
      <c r="BH278" s="1107"/>
      <c r="BI278" s="1107"/>
      <c r="BJ278" s="1107"/>
      <c r="BK278" s="1107"/>
      <c r="BL278" s="1107"/>
      <c r="BM278" s="1107"/>
      <c r="BN278" s="1107"/>
      <c r="BO278" s="1107"/>
      <c r="BP278" s="1107"/>
      <c r="BQ278" s="1107"/>
      <c r="BR278" s="1107"/>
      <c r="BS278" s="1107"/>
      <c r="BT278" s="1107"/>
      <c r="BU278" s="1107"/>
      <c r="BV278" s="1107"/>
      <c r="BW278" s="1107"/>
      <c r="BX278" s="1107"/>
      <c r="BY278" s="1107"/>
      <c r="BZ278" s="1107"/>
      <c r="CA278" s="1107"/>
      <c r="CB278" s="1107"/>
      <c r="CC278" s="1107"/>
      <c r="CD278" s="1107"/>
      <c r="CE278" s="1107"/>
      <c r="CF278" s="1107"/>
      <c r="CG278" s="1107"/>
      <c r="CH278" s="1107"/>
      <c r="CI278" s="1107"/>
      <c r="CJ278" s="1107"/>
      <c r="CK278" s="1107"/>
    </row>
    <row r="279" spans="1:89" x14ac:dyDescent="0.25">
      <c r="A279" s="1107"/>
      <c r="B279" s="2008"/>
      <c r="C279" s="1154">
        <v>5</v>
      </c>
      <c r="D279" s="1144" t="s">
        <v>1872</v>
      </c>
      <c r="E279" s="1144" t="s">
        <v>1426</v>
      </c>
      <c r="F279" s="1144" t="str">
        <f>'Required Info to Submit'!E27</f>
        <v/>
      </c>
      <c r="G279" s="1414" t="str">
        <f>IF(F279="","",'Required Info to Submit'!K27)</f>
        <v/>
      </c>
      <c r="H279" s="1415" t="str">
        <f>IF(F279="","",'Required Info to Submit'!L27)</f>
        <v/>
      </c>
      <c r="I279" s="1144" t="str">
        <f>'Required Info to Submit'!F27</f>
        <v/>
      </c>
      <c r="J279" s="1144" t="str">
        <f>'Required Info to Submit'!G27</f>
        <v/>
      </c>
      <c r="K279" s="1144" t="str">
        <f>'Required Info to Submit'!H27</f>
        <v/>
      </c>
      <c r="L279" s="1144" t="str">
        <f>'Required Info to Submit'!I27</f>
        <v/>
      </c>
      <c r="M279" s="1144" t="str">
        <f>'Required Info to Submit'!J27</f>
        <v/>
      </c>
      <c r="N279" s="1107"/>
      <c r="O279" s="1108"/>
      <c r="P279" s="1107"/>
      <c r="Q279" s="1107"/>
      <c r="R279" s="1107"/>
      <c r="S279" s="1107"/>
      <c r="T279" s="2008"/>
      <c r="U279" s="1154">
        <v>5</v>
      </c>
      <c r="V279" s="1144" t="s">
        <v>1872</v>
      </c>
      <c r="W279" s="1144" t="s">
        <v>1426</v>
      </c>
      <c r="X279" s="1144" t="str">
        <f>'Required Info to Submit'!E27</f>
        <v/>
      </c>
      <c r="Y279" s="1414" t="str">
        <f>IF(X279="","",'Required Info to Submit'!K27)</f>
        <v/>
      </c>
      <c r="Z279" s="1415" t="str">
        <f>IF(X279="","",'Required Info to Submit'!L27)</f>
        <v/>
      </c>
      <c r="AA279" s="1144" t="str">
        <f>'Required Info to Submit'!F27</f>
        <v/>
      </c>
      <c r="AB279" s="1144" t="str">
        <f>'Required Info to Submit'!G27</f>
        <v/>
      </c>
      <c r="AC279" s="1144" t="str">
        <f>'Required Info to Submit'!H27</f>
        <v/>
      </c>
      <c r="AD279" s="1144" t="str">
        <f>'Required Info to Submit'!I27</f>
        <v/>
      </c>
      <c r="AE279" s="1144" t="str">
        <f>'Required Info to Submit'!J27</f>
        <v/>
      </c>
      <c r="AF279" s="1107"/>
      <c r="AG279" s="1108"/>
      <c r="AH279" s="1107"/>
      <c r="AI279" s="1107"/>
      <c r="AJ279" s="1107"/>
      <c r="AK279" s="1107"/>
      <c r="AL279" s="1107"/>
      <c r="AM279" s="1107"/>
      <c r="AN279" s="1107"/>
      <c r="AO279" s="1107"/>
      <c r="AP279" s="1107"/>
      <c r="AQ279" s="1107"/>
      <c r="AR279" s="1107"/>
      <c r="AS279" s="1107"/>
      <c r="AT279" s="1107"/>
      <c r="AU279" s="1107"/>
      <c r="AV279" s="1107"/>
      <c r="AW279" s="1107"/>
      <c r="AX279" s="1107"/>
      <c r="AY279" s="1107"/>
      <c r="AZ279" s="1107"/>
      <c r="BA279" s="1107"/>
      <c r="BB279" s="1107"/>
      <c r="BC279" s="1107"/>
      <c r="BD279" s="1107"/>
      <c r="BE279" s="1107"/>
      <c r="BF279" s="1107"/>
      <c r="BG279" s="1107"/>
      <c r="BH279" s="1107"/>
      <c r="BI279" s="1107"/>
      <c r="BJ279" s="1107"/>
      <c r="BK279" s="1107"/>
      <c r="BL279" s="1107"/>
      <c r="BM279" s="1107"/>
      <c r="BN279" s="1107"/>
      <c r="BO279" s="1107"/>
      <c r="BP279" s="1107"/>
      <c r="BQ279" s="1107"/>
      <c r="BR279" s="1107"/>
      <c r="BS279" s="1107"/>
      <c r="BT279" s="1107"/>
      <c r="BU279" s="1107"/>
      <c r="BV279" s="1107"/>
      <c r="BW279" s="1107"/>
      <c r="BX279" s="1107"/>
      <c r="BY279" s="1107"/>
      <c r="BZ279" s="1107"/>
      <c r="CA279" s="1107"/>
      <c r="CB279" s="1107"/>
      <c r="CC279" s="1107"/>
      <c r="CD279" s="1107"/>
      <c r="CE279" s="1107"/>
      <c r="CF279" s="1107"/>
      <c r="CG279" s="1107"/>
      <c r="CH279" s="1107"/>
      <c r="CI279" s="1107"/>
      <c r="CJ279" s="1107"/>
      <c r="CK279" s="1107"/>
    </row>
    <row r="280" spans="1:89" x14ac:dyDescent="0.25">
      <c r="A280" s="1107"/>
      <c r="B280" s="2008"/>
      <c r="C280" s="1154">
        <v>6</v>
      </c>
      <c r="D280" s="1144" t="s">
        <v>1872</v>
      </c>
      <c r="E280" s="1144" t="s">
        <v>1426</v>
      </c>
      <c r="F280" s="1144" t="str">
        <f>'Required Info to Submit'!E28</f>
        <v/>
      </c>
      <c r="G280" s="1414" t="str">
        <f>IF(F280="","",'Required Info to Submit'!K28)</f>
        <v/>
      </c>
      <c r="H280" s="1415" t="str">
        <f>IF(F280="","",'Required Info to Submit'!L28)</f>
        <v/>
      </c>
      <c r="I280" s="1144" t="str">
        <f>'Required Info to Submit'!F28</f>
        <v/>
      </c>
      <c r="J280" s="1144" t="str">
        <f>'Required Info to Submit'!G28</f>
        <v/>
      </c>
      <c r="K280" s="1144" t="str">
        <f>'Required Info to Submit'!H28</f>
        <v/>
      </c>
      <c r="L280" s="1144" t="str">
        <f>'Required Info to Submit'!I28</f>
        <v/>
      </c>
      <c r="M280" s="1144" t="str">
        <f>'Required Info to Submit'!J28</f>
        <v/>
      </c>
      <c r="N280" s="1107"/>
      <c r="O280" s="1108"/>
      <c r="P280" s="1107"/>
      <c r="Q280" s="1107"/>
      <c r="R280" s="1107"/>
      <c r="S280" s="1107"/>
      <c r="T280" s="2008"/>
      <c r="U280" s="1154">
        <v>6</v>
      </c>
      <c r="V280" s="1144" t="s">
        <v>1872</v>
      </c>
      <c r="W280" s="1144" t="s">
        <v>1426</v>
      </c>
      <c r="X280" s="1144" t="str">
        <f>'Required Info to Submit'!E28</f>
        <v/>
      </c>
      <c r="Y280" s="1414" t="str">
        <f>IF(X280="","",'Required Info to Submit'!K28)</f>
        <v/>
      </c>
      <c r="Z280" s="1415" t="str">
        <f>IF(X280="","",'Required Info to Submit'!L28)</f>
        <v/>
      </c>
      <c r="AA280" s="1144" t="str">
        <f>'Required Info to Submit'!F28</f>
        <v/>
      </c>
      <c r="AB280" s="1144" t="str">
        <f>'Required Info to Submit'!G28</f>
        <v/>
      </c>
      <c r="AC280" s="1144" t="str">
        <f>'Required Info to Submit'!H28</f>
        <v/>
      </c>
      <c r="AD280" s="1144" t="str">
        <f>'Required Info to Submit'!I28</f>
        <v/>
      </c>
      <c r="AE280" s="1144" t="str">
        <f>'Required Info to Submit'!J28</f>
        <v/>
      </c>
      <c r="AF280" s="1107"/>
      <c r="AG280" s="1108"/>
      <c r="AH280" s="1107"/>
      <c r="AI280" s="1107"/>
      <c r="AJ280" s="1107"/>
      <c r="AK280" s="1107"/>
      <c r="AL280" s="1107"/>
      <c r="AM280" s="1107"/>
      <c r="AN280" s="1107"/>
      <c r="AO280" s="1107"/>
      <c r="AP280" s="1107"/>
      <c r="AQ280" s="1107"/>
      <c r="AR280" s="1107"/>
      <c r="AS280" s="1107"/>
      <c r="AT280" s="1107"/>
      <c r="AU280" s="1107"/>
      <c r="AV280" s="1107"/>
      <c r="AW280" s="1107"/>
      <c r="AX280" s="1107"/>
      <c r="AY280" s="1107"/>
      <c r="AZ280" s="1107"/>
      <c r="BA280" s="1107"/>
      <c r="BB280" s="1107"/>
      <c r="BC280" s="1107"/>
      <c r="BD280" s="1107"/>
      <c r="BE280" s="1107"/>
      <c r="BF280" s="1107"/>
      <c r="BG280" s="1107"/>
      <c r="BH280" s="1107"/>
      <c r="BI280" s="1107"/>
      <c r="BJ280" s="1107"/>
      <c r="BK280" s="1107"/>
      <c r="BL280" s="1107"/>
      <c r="BM280" s="1107"/>
      <c r="BN280" s="1107"/>
      <c r="BO280" s="1107"/>
      <c r="BP280" s="1107"/>
      <c r="BQ280" s="1107"/>
      <c r="BR280" s="1107"/>
      <c r="BS280" s="1107"/>
      <c r="BT280" s="1107"/>
      <c r="BU280" s="1107"/>
      <c r="BV280" s="1107"/>
      <c r="BW280" s="1107"/>
      <c r="BX280" s="1107"/>
      <c r="BY280" s="1107"/>
      <c r="BZ280" s="1107"/>
      <c r="CA280" s="1107"/>
      <c r="CB280" s="1107"/>
      <c r="CC280" s="1107"/>
      <c r="CD280" s="1107"/>
      <c r="CE280" s="1107"/>
      <c r="CF280" s="1107"/>
      <c r="CG280" s="1107"/>
      <c r="CH280" s="1107"/>
      <c r="CI280" s="1107"/>
      <c r="CJ280" s="1107"/>
      <c r="CK280" s="1107"/>
    </row>
    <row r="281" spans="1:89" x14ac:dyDescent="0.25">
      <c r="A281" s="1107"/>
      <c r="B281" s="2008"/>
      <c r="C281" s="1154">
        <v>7</v>
      </c>
      <c r="D281" s="1144" t="s">
        <v>1872</v>
      </c>
      <c r="E281" s="1144" t="s">
        <v>1426</v>
      </c>
      <c r="F281" s="1144" t="str">
        <f>'Required Info to Submit'!E29</f>
        <v/>
      </c>
      <c r="G281" s="1414" t="str">
        <f>IF(F281="","",'Required Info to Submit'!K29)</f>
        <v/>
      </c>
      <c r="H281" s="1415" t="str">
        <f>IF(F281="","",'Required Info to Submit'!L29)</f>
        <v/>
      </c>
      <c r="I281" s="1144" t="str">
        <f>'Required Info to Submit'!F29</f>
        <v/>
      </c>
      <c r="J281" s="1144" t="str">
        <f>'Required Info to Submit'!G29</f>
        <v/>
      </c>
      <c r="K281" s="1144" t="str">
        <f>'Required Info to Submit'!H29</f>
        <v/>
      </c>
      <c r="L281" s="1144" t="str">
        <f>'Required Info to Submit'!I29</f>
        <v/>
      </c>
      <c r="M281" s="1144" t="str">
        <f>'Required Info to Submit'!J29</f>
        <v/>
      </c>
      <c r="N281" s="1107"/>
      <c r="O281" s="1108"/>
      <c r="P281" s="1107"/>
      <c r="Q281" s="1107"/>
      <c r="R281" s="1107"/>
      <c r="S281" s="1107"/>
      <c r="T281" s="2008"/>
      <c r="U281" s="1154">
        <v>7</v>
      </c>
      <c r="V281" s="1144" t="s">
        <v>1872</v>
      </c>
      <c r="W281" s="1144" t="s">
        <v>1426</v>
      </c>
      <c r="X281" s="1144" t="str">
        <f>'Required Info to Submit'!E29</f>
        <v/>
      </c>
      <c r="Y281" s="1414" t="str">
        <f>IF(X281="","",'Required Info to Submit'!K29)</f>
        <v/>
      </c>
      <c r="Z281" s="1415" t="str">
        <f>IF(X281="","",'Required Info to Submit'!L29)</f>
        <v/>
      </c>
      <c r="AA281" s="1144" t="str">
        <f>'Required Info to Submit'!F29</f>
        <v/>
      </c>
      <c r="AB281" s="1144" t="str">
        <f>'Required Info to Submit'!G29</f>
        <v/>
      </c>
      <c r="AC281" s="1144" t="str">
        <f>'Required Info to Submit'!H29</f>
        <v/>
      </c>
      <c r="AD281" s="1144" t="str">
        <f>'Required Info to Submit'!I29</f>
        <v/>
      </c>
      <c r="AE281" s="1144" t="str">
        <f>'Required Info to Submit'!J29</f>
        <v/>
      </c>
      <c r="AF281" s="1107"/>
      <c r="AG281" s="1108"/>
      <c r="AH281" s="1107"/>
      <c r="AI281" s="1107"/>
      <c r="AJ281" s="1107"/>
      <c r="AK281" s="1107"/>
      <c r="AL281" s="1107"/>
      <c r="AM281" s="1107"/>
      <c r="AN281" s="1107"/>
      <c r="AO281" s="1107"/>
      <c r="AP281" s="1107"/>
      <c r="AQ281" s="1107"/>
      <c r="AR281" s="1107"/>
      <c r="AS281" s="1107"/>
      <c r="AT281" s="1107"/>
      <c r="AU281" s="1107"/>
      <c r="AV281" s="1107"/>
      <c r="AW281" s="1107"/>
      <c r="AX281" s="1107"/>
      <c r="AY281" s="1107"/>
      <c r="AZ281" s="1107"/>
      <c r="BA281" s="1107"/>
      <c r="BB281" s="1107"/>
      <c r="BC281" s="1107"/>
      <c r="BD281" s="1107"/>
      <c r="BE281" s="1107"/>
      <c r="BF281" s="1107"/>
      <c r="BG281" s="1107"/>
      <c r="BH281" s="1107"/>
      <c r="BI281" s="1107"/>
      <c r="BJ281" s="1107"/>
      <c r="BK281" s="1107"/>
      <c r="BL281" s="1107"/>
      <c r="BM281" s="1107"/>
      <c r="BN281" s="1107"/>
      <c r="BO281" s="1107"/>
      <c r="BP281" s="1107"/>
      <c r="BQ281" s="1107"/>
      <c r="BR281" s="1107"/>
      <c r="BS281" s="1107"/>
      <c r="BT281" s="1107"/>
      <c r="BU281" s="1107"/>
      <c r="BV281" s="1107"/>
      <c r="BW281" s="1107"/>
      <c r="BX281" s="1107"/>
      <c r="BY281" s="1107"/>
      <c r="BZ281" s="1107"/>
      <c r="CA281" s="1107"/>
      <c r="CB281" s="1107"/>
      <c r="CC281" s="1107"/>
      <c r="CD281" s="1107"/>
      <c r="CE281" s="1107"/>
      <c r="CF281" s="1107"/>
      <c r="CG281" s="1107"/>
      <c r="CH281" s="1107"/>
      <c r="CI281" s="1107"/>
      <c r="CJ281" s="1107"/>
      <c r="CK281" s="1107"/>
    </row>
    <row r="282" spans="1:89" x14ac:dyDescent="0.25">
      <c r="A282" s="1107"/>
      <c r="B282" s="2008"/>
      <c r="C282" s="1154">
        <v>8</v>
      </c>
      <c r="D282" s="1144" t="s">
        <v>1872</v>
      </c>
      <c r="E282" s="1144" t="s">
        <v>1426</v>
      </c>
      <c r="F282" s="1144" t="str">
        <f>'Required Info to Submit'!E30</f>
        <v/>
      </c>
      <c r="G282" s="1414" t="str">
        <f>IF(F282="","",'Required Info to Submit'!K30)</f>
        <v/>
      </c>
      <c r="H282" s="1415" t="str">
        <f>IF(F282="","",'Required Info to Submit'!L30)</f>
        <v/>
      </c>
      <c r="I282" s="1144" t="str">
        <f>'Required Info to Submit'!F30</f>
        <v/>
      </c>
      <c r="J282" s="1144" t="str">
        <f>'Required Info to Submit'!G30</f>
        <v/>
      </c>
      <c r="K282" s="1144" t="str">
        <f>'Required Info to Submit'!H30</f>
        <v/>
      </c>
      <c r="L282" s="1144" t="str">
        <f>'Required Info to Submit'!I30</f>
        <v/>
      </c>
      <c r="M282" s="1144" t="str">
        <f>'Required Info to Submit'!J30</f>
        <v/>
      </c>
      <c r="N282" s="1107"/>
      <c r="O282" s="1108"/>
      <c r="P282" s="1107"/>
      <c r="Q282" s="1107"/>
      <c r="R282" s="1107"/>
      <c r="S282" s="1107"/>
      <c r="T282" s="2008"/>
      <c r="U282" s="1154">
        <v>8</v>
      </c>
      <c r="V282" s="1144" t="s">
        <v>1872</v>
      </c>
      <c r="W282" s="1144" t="s">
        <v>1426</v>
      </c>
      <c r="X282" s="1144" t="str">
        <f>'Required Info to Submit'!E30</f>
        <v/>
      </c>
      <c r="Y282" s="1414" t="str">
        <f>IF(X282="","",'Required Info to Submit'!K30)</f>
        <v/>
      </c>
      <c r="Z282" s="1415" t="str">
        <f>IF(X282="","",'Required Info to Submit'!L30)</f>
        <v/>
      </c>
      <c r="AA282" s="1144" t="str">
        <f>'Required Info to Submit'!F30</f>
        <v/>
      </c>
      <c r="AB282" s="1144" t="str">
        <f>'Required Info to Submit'!G30</f>
        <v/>
      </c>
      <c r="AC282" s="1144" t="str">
        <f>'Required Info to Submit'!H30</f>
        <v/>
      </c>
      <c r="AD282" s="1144" t="str">
        <f>'Required Info to Submit'!I30</f>
        <v/>
      </c>
      <c r="AE282" s="1144" t="str">
        <f>'Required Info to Submit'!J30</f>
        <v/>
      </c>
      <c r="AF282" s="1107"/>
      <c r="AG282" s="1108"/>
      <c r="AH282" s="1107"/>
      <c r="AI282" s="1107"/>
      <c r="AJ282" s="1107"/>
      <c r="AK282" s="1107"/>
      <c r="AL282" s="1107"/>
      <c r="AM282" s="1107"/>
      <c r="AN282" s="1107"/>
      <c r="AO282" s="1107"/>
      <c r="AP282" s="1107"/>
      <c r="AQ282" s="1107"/>
      <c r="AR282" s="1107"/>
      <c r="AS282" s="1107"/>
      <c r="AT282" s="1107"/>
      <c r="AU282" s="1107"/>
      <c r="AV282" s="1107"/>
      <c r="AW282" s="1107"/>
      <c r="AX282" s="1107"/>
      <c r="AY282" s="1107"/>
      <c r="AZ282" s="1107"/>
      <c r="BA282" s="1107"/>
      <c r="BB282" s="1107"/>
      <c r="BC282" s="1107"/>
      <c r="BD282" s="1107"/>
      <c r="BE282" s="1107"/>
      <c r="BF282" s="1107"/>
      <c r="BG282" s="1107"/>
      <c r="BH282" s="1107"/>
      <c r="BI282" s="1107"/>
      <c r="BJ282" s="1107"/>
      <c r="BK282" s="1107"/>
      <c r="BL282" s="1107"/>
      <c r="BM282" s="1107"/>
      <c r="BN282" s="1107"/>
      <c r="BO282" s="1107"/>
      <c r="BP282" s="1107"/>
      <c r="BQ282" s="1107"/>
      <c r="BR282" s="1107"/>
      <c r="BS282" s="1107"/>
      <c r="BT282" s="1107"/>
      <c r="BU282" s="1107"/>
      <c r="BV282" s="1107"/>
      <c r="BW282" s="1107"/>
      <c r="BX282" s="1107"/>
      <c r="BY282" s="1107"/>
      <c r="BZ282" s="1107"/>
      <c r="CA282" s="1107"/>
      <c r="CB282" s="1107"/>
      <c r="CC282" s="1107"/>
      <c r="CD282" s="1107"/>
      <c r="CE282" s="1107"/>
      <c r="CF282" s="1107"/>
      <c r="CG282" s="1107"/>
      <c r="CH282" s="1107"/>
      <c r="CI282" s="1107"/>
      <c r="CJ282" s="1107"/>
      <c r="CK282" s="1107"/>
    </row>
    <row r="283" spans="1:89" x14ac:dyDescent="0.25">
      <c r="A283" s="1107"/>
      <c r="B283" s="2008"/>
      <c r="C283" s="1154">
        <v>9</v>
      </c>
      <c r="D283" s="1144" t="s">
        <v>1872</v>
      </c>
      <c r="E283" s="1144" t="s">
        <v>1426</v>
      </c>
      <c r="F283" s="1144" t="str">
        <f>'Required Info to Submit'!E31</f>
        <v/>
      </c>
      <c r="G283" s="1414" t="str">
        <f>IF(F283="","",'Required Info to Submit'!K31)</f>
        <v/>
      </c>
      <c r="H283" s="1415" t="str">
        <f>IF(F283="","",'Required Info to Submit'!L31)</f>
        <v/>
      </c>
      <c r="I283" s="1144" t="str">
        <f>'Required Info to Submit'!F31</f>
        <v/>
      </c>
      <c r="J283" s="1144" t="str">
        <f>'Required Info to Submit'!G31</f>
        <v/>
      </c>
      <c r="K283" s="1144" t="str">
        <f>'Required Info to Submit'!H31</f>
        <v/>
      </c>
      <c r="L283" s="1144" t="str">
        <f>'Required Info to Submit'!I31</f>
        <v/>
      </c>
      <c r="M283" s="1144" t="str">
        <f>'Required Info to Submit'!J31</f>
        <v/>
      </c>
      <c r="N283" s="1107"/>
      <c r="O283" s="1108"/>
      <c r="P283" s="1107"/>
      <c r="Q283" s="1107"/>
      <c r="R283" s="1107"/>
      <c r="S283" s="1107"/>
      <c r="T283" s="2008"/>
      <c r="U283" s="1154">
        <v>9</v>
      </c>
      <c r="V283" s="1144" t="s">
        <v>1872</v>
      </c>
      <c r="W283" s="1144" t="s">
        <v>1426</v>
      </c>
      <c r="X283" s="1144" t="str">
        <f>'Required Info to Submit'!E31</f>
        <v/>
      </c>
      <c r="Y283" s="1414" t="str">
        <f>IF(X283="","",'Required Info to Submit'!K31)</f>
        <v/>
      </c>
      <c r="Z283" s="1415" t="str">
        <f>IF(X283="","",'Required Info to Submit'!L31)</f>
        <v/>
      </c>
      <c r="AA283" s="1144" t="str">
        <f>'Required Info to Submit'!F31</f>
        <v/>
      </c>
      <c r="AB283" s="1144" t="str">
        <f>'Required Info to Submit'!G31</f>
        <v/>
      </c>
      <c r="AC283" s="1144" t="str">
        <f>'Required Info to Submit'!H31</f>
        <v/>
      </c>
      <c r="AD283" s="1144" t="str">
        <f>'Required Info to Submit'!I31</f>
        <v/>
      </c>
      <c r="AE283" s="1144" t="str">
        <f>'Required Info to Submit'!J31</f>
        <v/>
      </c>
      <c r="AF283" s="1107"/>
      <c r="AG283" s="1108"/>
      <c r="AH283" s="1107"/>
      <c r="AI283" s="1107"/>
      <c r="AJ283" s="1107"/>
      <c r="AK283" s="1107"/>
      <c r="AL283" s="1107"/>
      <c r="AM283" s="1107"/>
      <c r="AN283" s="1107"/>
      <c r="AO283" s="1107"/>
      <c r="AP283" s="1107"/>
      <c r="AQ283" s="1107"/>
      <c r="AR283" s="1107"/>
      <c r="AS283" s="1107"/>
      <c r="AT283" s="1107"/>
      <c r="AU283" s="1107"/>
      <c r="AV283" s="1107"/>
      <c r="AW283" s="1107"/>
      <c r="AX283" s="1107"/>
      <c r="AY283" s="1107"/>
      <c r="AZ283" s="1107"/>
      <c r="BA283" s="1107"/>
      <c r="BB283" s="1107"/>
      <c r="BC283" s="1107"/>
      <c r="BD283" s="1107"/>
      <c r="BE283" s="1107"/>
      <c r="BF283" s="1107"/>
      <c r="BG283" s="1107"/>
      <c r="BH283" s="1107"/>
      <c r="BI283" s="1107"/>
      <c r="BJ283" s="1107"/>
      <c r="BK283" s="1107"/>
      <c r="BL283" s="1107"/>
      <c r="BM283" s="1107"/>
      <c r="BN283" s="1107"/>
      <c r="BO283" s="1107"/>
      <c r="BP283" s="1107"/>
      <c r="BQ283" s="1107"/>
      <c r="BR283" s="1107"/>
      <c r="BS283" s="1107"/>
      <c r="BT283" s="1107"/>
      <c r="BU283" s="1107"/>
      <c r="BV283" s="1107"/>
      <c r="BW283" s="1107"/>
      <c r="BX283" s="1107"/>
      <c r="BY283" s="1107"/>
      <c r="BZ283" s="1107"/>
      <c r="CA283" s="1107"/>
      <c r="CB283" s="1107"/>
      <c r="CC283" s="1107"/>
      <c r="CD283" s="1107"/>
      <c r="CE283" s="1107"/>
      <c r="CF283" s="1107"/>
      <c r="CG283" s="1107"/>
      <c r="CH283" s="1107"/>
      <c r="CI283" s="1107"/>
      <c r="CJ283" s="1107"/>
      <c r="CK283" s="1107"/>
    </row>
    <row r="284" spans="1:89" ht="15.75" thickBot="1" x14ac:dyDescent="0.3">
      <c r="A284" s="1107"/>
      <c r="B284" s="2009"/>
      <c r="C284" s="1156">
        <v>10</v>
      </c>
      <c r="D284" s="1146" t="s">
        <v>1872</v>
      </c>
      <c r="E284" s="1146" t="s">
        <v>1426</v>
      </c>
      <c r="F284" s="1146" t="str">
        <f>'Required Info to Submit'!E32</f>
        <v/>
      </c>
      <c r="G284" s="1416" t="str">
        <f>IF(F284="","",'Required Info to Submit'!K32)</f>
        <v/>
      </c>
      <c r="H284" s="1416" t="str">
        <f>IF(F284="","",'Required Info to Submit'!L32)</f>
        <v/>
      </c>
      <c r="I284" s="1146" t="str">
        <f>'Required Info to Submit'!F32</f>
        <v/>
      </c>
      <c r="J284" s="1146" t="str">
        <f>'Required Info to Submit'!G32</f>
        <v/>
      </c>
      <c r="K284" s="1146" t="str">
        <f>'Required Info to Submit'!H32</f>
        <v/>
      </c>
      <c r="L284" s="1146" t="str">
        <f>'Required Info to Submit'!I32</f>
        <v/>
      </c>
      <c r="M284" s="1146" t="str">
        <f>'Required Info to Submit'!J32</f>
        <v/>
      </c>
      <c r="N284" s="1157"/>
      <c r="O284" s="1110"/>
      <c r="P284" s="1107"/>
      <c r="Q284" s="1107"/>
      <c r="R284" s="1107"/>
      <c r="S284" s="1107"/>
      <c r="T284" s="2009"/>
      <c r="U284" s="1156">
        <v>10</v>
      </c>
      <c r="V284" s="1146" t="s">
        <v>1872</v>
      </c>
      <c r="W284" s="1146" t="s">
        <v>1426</v>
      </c>
      <c r="X284" s="1146" t="str">
        <f>'Required Info to Submit'!E32</f>
        <v/>
      </c>
      <c r="Y284" s="1416" t="str">
        <f>IF(X284="","",'Required Info to Submit'!K32)</f>
        <v/>
      </c>
      <c r="Z284" s="1416" t="str">
        <f>IF(X284="","",'Required Info to Submit'!L32)</f>
        <v/>
      </c>
      <c r="AA284" s="1146" t="str">
        <f>'Required Info to Submit'!F32</f>
        <v/>
      </c>
      <c r="AB284" s="1146" t="str">
        <f>'Required Info to Submit'!G32</f>
        <v/>
      </c>
      <c r="AC284" s="1146" t="str">
        <f>'Required Info to Submit'!H32</f>
        <v/>
      </c>
      <c r="AD284" s="1146" t="str">
        <f>'Required Info to Submit'!I32</f>
        <v/>
      </c>
      <c r="AE284" s="1146" t="str">
        <f>'Required Info to Submit'!J32</f>
        <v/>
      </c>
      <c r="AF284" s="1157"/>
      <c r="AG284" s="1110"/>
      <c r="AH284" s="1107"/>
      <c r="AI284" s="1107"/>
      <c r="AJ284" s="1107"/>
      <c r="AK284" s="1107"/>
      <c r="AL284" s="1107"/>
      <c r="AM284" s="1107"/>
      <c r="AN284" s="1107"/>
      <c r="AO284" s="1107"/>
      <c r="AP284" s="1107"/>
      <c r="AQ284" s="1107"/>
      <c r="AR284" s="1107"/>
      <c r="AS284" s="1107"/>
      <c r="AT284" s="1107"/>
      <c r="AU284" s="1107"/>
      <c r="AV284" s="1107"/>
      <c r="AW284" s="1107"/>
      <c r="AX284" s="1107"/>
      <c r="AY284" s="1107"/>
      <c r="AZ284" s="1107"/>
      <c r="BA284" s="1107"/>
      <c r="BB284" s="1107"/>
      <c r="BC284" s="1107"/>
      <c r="BD284" s="1107"/>
      <c r="BE284" s="1107"/>
      <c r="BF284" s="1107"/>
      <c r="BG284" s="1107"/>
      <c r="BH284" s="1107"/>
      <c r="BI284" s="1107"/>
      <c r="BJ284" s="1107"/>
      <c r="BK284" s="1107"/>
      <c r="BL284" s="1107"/>
      <c r="BM284" s="1107"/>
      <c r="BN284" s="1107"/>
      <c r="BO284" s="1107"/>
      <c r="BP284" s="1107"/>
      <c r="BQ284" s="1107"/>
      <c r="BR284" s="1107"/>
      <c r="BS284" s="1107"/>
      <c r="BT284" s="1107"/>
      <c r="BU284" s="1107"/>
      <c r="BV284" s="1107"/>
      <c r="BW284" s="1107"/>
      <c r="BX284" s="1107"/>
      <c r="BY284" s="1107"/>
      <c r="BZ284" s="1107"/>
      <c r="CA284" s="1107"/>
      <c r="CB284" s="1107"/>
      <c r="CC284" s="1107"/>
      <c r="CD284" s="1107"/>
      <c r="CE284" s="1107"/>
      <c r="CF284" s="1107"/>
      <c r="CG284" s="1107"/>
      <c r="CH284" s="1107"/>
      <c r="CI284" s="1107"/>
      <c r="CJ284" s="1107"/>
      <c r="CK284" s="1107"/>
    </row>
    <row r="285" spans="1:89" x14ac:dyDescent="0.25">
      <c r="A285" s="1107"/>
      <c r="B285" s="1107"/>
      <c r="C285" s="1107"/>
      <c r="D285" s="1107"/>
      <c r="E285" s="1107"/>
      <c r="F285" s="1107"/>
      <c r="G285" s="1107"/>
      <c r="H285" s="1107"/>
      <c r="I285" s="1107"/>
      <c r="J285" s="1107"/>
      <c r="K285" s="1107"/>
      <c r="L285" s="1107"/>
      <c r="M285" s="1107"/>
      <c r="N285" s="1107"/>
      <c r="O285" s="1107"/>
      <c r="P285" s="1107"/>
      <c r="Q285" s="1107"/>
      <c r="R285" s="1107"/>
      <c r="S285" s="1107"/>
      <c r="T285" s="1107"/>
      <c r="U285" s="1107"/>
      <c r="V285" s="1107"/>
      <c r="W285" s="1107"/>
      <c r="X285" s="1107"/>
      <c r="Y285" s="1107"/>
      <c r="Z285" s="1107"/>
      <c r="AA285" s="1107"/>
      <c r="AB285" s="1107"/>
      <c r="AC285" s="1107"/>
      <c r="AD285" s="1107"/>
      <c r="AE285" s="1107"/>
      <c r="AF285" s="1107"/>
      <c r="AG285" s="1107"/>
      <c r="AH285" s="1107"/>
      <c r="AI285" s="1107"/>
      <c r="AJ285" s="1107"/>
      <c r="AK285" s="1107"/>
      <c r="AL285" s="1107"/>
      <c r="AM285" s="1107"/>
      <c r="AN285" s="1107"/>
      <c r="AO285" s="1107"/>
      <c r="AP285" s="1107"/>
      <c r="AQ285" s="1107"/>
      <c r="AR285" s="1107"/>
      <c r="AS285" s="1107"/>
      <c r="AT285" s="1107"/>
      <c r="AU285" s="1107"/>
      <c r="AV285" s="1107"/>
      <c r="AW285" s="1107"/>
      <c r="AX285" s="1107"/>
      <c r="AY285" s="1107"/>
      <c r="AZ285" s="1107"/>
      <c r="BA285" s="1107"/>
      <c r="BB285" s="1107"/>
      <c r="BC285" s="1107"/>
      <c r="BD285" s="1107"/>
      <c r="BE285" s="1107"/>
      <c r="BF285" s="1107"/>
      <c r="BG285" s="1107"/>
      <c r="BH285" s="1107"/>
      <c r="BI285" s="1107"/>
      <c r="BJ285" s="1107"/>
      <c r="BK285" s="1107"/>
      <c r="BL285" s="1107"/>
      <c r="BM285" s="1107"/>
      <c r="BN285" s="1107"/>
      <c r="BO285" s="1107"/>
      <c r="BP285" s="1107"/>
      <c r="BQ285" s="1107"/>
      <c r="BR285" s="1107"/>
      <c r="BS285" s="1107"/>
      <c r="BT285" s="1107"/>
      <c r="BU285" s="1107"/>
      <c r="BV285" s="1107"/>
      <c r="BW285" s="1107"/>
      <c r="BX285" s="1107"/>
      <c r="BY285" s="1107"/>
      <c r="BZ285" s="1107"/>
      <c r="CA285" s="1107"/>
      <c r="CB285" s="1107"/>
      <c r="CC285" s="1107"/>
      <c r="CD285" s="1107"/>
      <c r="CE285" s="1107"/>
      <c r="CF285" s="1107"/>
      <c r="CG285" s="1107"/>
      <c r="CH285" s="1107"/>
      <c r="CI285" s="1107"/>
      <c r="CJ285" s="1107"/>
      <c r="CK285" s="1107"/>
    </row>
    <row r="286" spans="1:89" ht="15.75" thickBot="1" x14ac:dyDescent="0.3">
      <c r="A286" s="1107"/>
      <c r="B286" s="1107"/>
      <c r="C286" s="1107"/>
      <c r="D286" s="1107"/>
      <c r="E286" s="1107"/>
      <c r="F286" s="1107"/>
      <c r="G286" s="1107"/>
      <c r="H286" s="1107"/>
      <c r="I286" s="1107"/>
      <c r="J286" s="1107"/>
      <c r="K286" s="1107"/>
      <c r="L286" s="1107"/>
      <c r="M286" s="1107"/>
      <c r="N286" s="1107"/>
      <c r="O286" s="1107"/>
      <c r="P286" s="1107"/>
      <c r="Q286" s="1107"/>
      <c r="R286" s="1107"/>
      <c r="S286" s="1107"/>
      <c r="T286" s="1107"/>
      <c r="U286" s="1107"/>
      <c r="V286" s="1107"/>
      <c r="W286" s="1107"/>
      <c r="X286" s="1107"/>
      <c r="Y286" s="1107"/>
      <c r="Z286" s="1107"/>
      <c r="AA286" s="1107"/>
      <c r="AB286" s="1107"/>
      <c r="AC286" s="1107"/>
      <c r="AD286" s="1107"/>
      <c r="AE286" s="1107"/>
      <c r="AF286" s="1107"/>
      <c r="AG286" s="1107"/>
      <c r="AH286" s="1107"/>
      <c r="AI286" s="1107"/>
      <c r="AJ286" s="1107"/>
      <c r="AK286" s="1107"/>
      <c r="AL286" s="1107"/>
      <c r="AM286" s="1107"/>
      <c r="AN286" s="1107"/>
      <c r="AO286" s="1107"/>
      <c r="AP286" s="1107"/>
      <c r="AQ286" s="1107"/>
      <c r="AR286" s="1107"/>
      <c r="AS286" s="1107"/>
      <c r="AT286" s="1107"/>
      <c r="AU286" s="1107"/>
      <c r="AV286" s="1107"/>
      <c r="AW286" s="1107"/>
      <c r="AX286" s="1107"/>
      <c r="AY286" s="1107"/>
      <c r="AZ286" s="1107"/>
      <c r="BA286" s="1107"/>
      <c r="BB286" s="1107"/>
      <c r="BC286" s="1107"/>
      <c r="BD286" s="1107"/>
      <c r="BE286" s="1107"/>
      <c r="BF286" s="1107"/>
      <c r="BG286" s="1107"/>
      <c r="BH286" s="1107"/>
      <c r="BI286" s="1107"/>
      <c r="BJ286" s="1107"/>
      <c r="BK286" s="1107"/>
      <c r="BL286" s="1107"/>
      <c r="BM286" s="1107"/>
      <c r="BN286" s="1107"/>
      <c r="BO286" s="1107"/>
      <c r="BP286" s="1107"/>
      <c r="BQ286" s="1107"/>
      <c r="BR286" s="1107"/>
      <c r="BS286" s="1107"/>
      <c r="BT286" s="1107"/>
      <c r="BU286" s="1107"/>
      <c r="BV286" s="1107"/>
      <c r="BW286" s="1107"/>
      <c r="BX286" s="1107"/>
      <c r="BY286" s="1107"/>
      <c r="BZ286" s="1107"/>
      <c r="CA286" s="1107"/>
      <c r="CB286" s="1107"/>
      <c r="CC286" s="1107"/>
      <c r="CD286" s="1107"/>
      <c r="CE286" s="1107"/>
      <c r="CF286" s="1107"/>
      <c r="CG286" s="1107"/>
      <c r="CH286" s="1107"/>
      <c r="CI286" s="1107"/>
      <c r="CJ286" s="1107"/>
      <c r="CK286" s="1107"/>
    </row>
    <row r="287" spans="1:89" ht="45.75" customHeight="1" thickBot="1" x14ac:dyDescent="0.3">
      <c r="A287" s="1107"/>
      <c r="B287" s="1303"/>
      <c r="C287" s="1100" t="s">
        <v>1383</v>
      </c>
      <c r="D287" s="1100" t="s">
        <v>1491</v>
      </c>
      <c r="E287" s="1100" t="s">
        <v>766</v>
      </c>
      <c r="F287" s="1100" t="s">
        <v>1496</v>
      </c>
      <c r="G287" s="1101" t="s">
        <v>1850</v>
      </c>
      <c r="H287" s="1101" t="s">
        <v>1851</v>
      </c>
      <c r="I287" s="1100" t="s">
        <v>1852</v>
      </c>
      <c r="J287" s="1101" t="s">
        <v>1397</v>
      </c>
      <c r="K287" s="1101" t="s">
        <v>1381</v>
      </c>
      <c r="L287" s="1100" t="s">
        <v>1382</v>
      </c>
      <c r="M287" s="1100" t="s">
        <v>721</v>
      </c>
      <c r="N287" s="1100" t="s">
        <v>722</v>
      </c>
      <c r="O287" s="1101" t="s">
        <v>1495</v>
      </c>
      <c r="P287" s="1107"/>
      <c r="Q287" s="1107"/>
      <c r="R287" s="1107"/>
      <c r="S287" s="1107"/>
      <c r="T287" s="1107"/>
      <c r="U287" s="1107"/>
      <c r="V287" s="1107"/>
      <c r="W287" s="1107"/>
      <c r="X287" s="1107"/>
      <c r="Y287" s="1107"/>
      <c r="Z287" s="1107"/>
      <c r="AA287" s="1107"/>
      <c r="AB287" s="1107"/>
      <c r="AC287" s="1107"/>
      <c r="AD287" s="1107"/>
      <c r="AE287" s="1107"/>
      <c r="AF287" s="1107"/>
      <c r="AG287" s="1107"/>
      <c r="AH287" s="1107"/>
      <c r="AI287" s="1107"/>
      <c r="AJ287" s="1107"/>
      <c r="AK287" s="1107"/>
      <c r="AL287" s="1107"/>
      <c r="AM287" s="1107"/>
      <c r="AN287" s="1107"/>
      <c r="AO287" s="1107"/>
      <c r="AP287" s="1107"/>
      <c r="AQ287" s="1107"/>
      <c r="AR287" s="1107"/>
      <c r="AS287" s="1107"/>
      <c r="AT287" s="1107"/>
      <c r="AU287" s="1107"/>
      <c r="AV287" s="1107"/>
      <c r="AW287" s="1107"/>
      <c r="AX287" s="1107"/>
      <c r="AY287" s="1107"/>
      <c r="AZ287" s="1107"/>
      <c r="BA287" s="1107"/>
      <c r="BB287" s="1107"/>
      <c r="BC287" s="1107"/>
      <c r="BD287" s="1107"/>
      <c r="BE287" s="1107"/>
      <c r="BF287" s="1107"/>
      <c r="BG287" s="1107"/>
      <c r="BH287" s="1107"/>
      <c r="BI287" s="1107"/>
      <c r="BJ287" s="1107"/>
      <c r="BK287" s="1107"/>
      <c r="BL287" s="1107"/>
      <c r="BM287" s="1107"/>
      <c r="BN287" s="1107"/>
      <c r="BO287" s="1107"/>
      <c r="BP287" s="1107"/>
      <c r="BQ287" s="1107"/>
      <c r="BR287" s="1107"/>
      <c r="BS287" s="1107"/>
      <c r="BT287" s="1107"/>
      <c r="BU287" s="1107"/>
      <c r="BV287" s="1107"/>
      <c r="BW287" s="1107"/>
      <c r="BX287" s="1107"/>
      <c r="BY287" s="1107"/>
      <c r="BZ287" s="1107"/>
      <c r="CA287" s="1107"/>
      <c r="CB287" s="1107"/>
      <c r="CC287" s="1107"/>
      <c r="CD287" s="1107"/>
      <c r="CE287" s="1107"/>
      <c r="CF287" s="1107"/>
      <c r="CG287" s="1107"/>
      <c r="CH287" s="1107"/>
      <c r="CI287" s="1107"/>
      <c r="CJ287" s="1107"/>
      <c r="CK287" s="1107"/>
    </row>
    <row r="288" spans="1:89" ht="60.75" thickBot="1" x14ac:dyDescent="0.3">
      <c r="A288" s="1107"/>
      <c r="B288" s="1132" t="s">
        <v>1853</v>
      </c>
      <c r="C288" s="1133" t="s">
        <v>1630</v>
      </c>
      <c r="D288" s="1112">
        <v>4901</v>
      </c>
      <c r="E288" s="1230" t="s">
        <v>1630</v>
      </c>
      <c r="F288" s="1230" t="s">
        <v>1606</v>
      </c>
      <c r="G288" s="1104" t="str" cm="1">
        <f t="array" aca="1" ref="G288" ca="1">IF(ISBLANK(INDIRECT("'Incentives Worksheet'!H"&amp;'Configurable Tab'!H27+3)),"",INDIRECT("'Incentives Worksheet'!H"&amp;'Configurable Tab'!H27+3))</f>
        <v>Program</v>
      </c>
      <c r="H288" s="1104" t="str" cm="1">
        <f t="array" aca="1" ref="H288" ca="1">IF(INDIRECT("'Incentives Worksheet'!R"&amp;'Configurable Tab'!H27+3)="USF Calendar","Fiscal",INDIRECT("'Incentives Worksheet'!R"&amp;'Configurable Tab'!H27+3))</f>
        <v>Calendar</v>
      </c>
      <c r="I288" s="1104" t="str" cm="1">
        <f t="array" aca="1" ref="I288" ca="1">IF(INDIRECT("'Incentives Worksheet'!T"&amp;'Configurable Tab'!H27+3)="Yes","Post to GL","")</f>
        <v>Post to GL</v>
      </c>
      <c r="J288" s="1104" t="str" cm="1">
        <f t="array" aca="1" ref="J288" ca="1">IF(ISBLANK(INDIRECT("'Incentives Worksheet'!L"&amp;'Configurable Tab'!H27+3)),"",INDIRECT("'Incentives Worksheet'!L"&amp;'Configurable Tab'!H27+3))</f>
        <v/>
      </c>
      <c r="K288" s="1104" t="str" cm="1">
        <f t="array" aca="1" ref="K288" ca="1">IF(ISBLANK(INDIRECT("'Incentives Worksheet'!J"&amp;'Configurable Tab'!H27+3)),"",INDIRECT("'Incentives Worksheet'!J"&amp;'Configurable Tab'!H27+3))</f>
        <v/>
      </c>
      <c r="L288" s="1104" t="str" cm="1">
        <f t="array" aca="1" ref="L288" ca="1">IF(ISBLANK(INDIRECT("'Incentives Worksheet'!N"&amp;'Configurable Tab'!H27+3)),"",INDIRECT("'Incentives Worksheet'!N"&amp;'Configurable Tab'!H27+3))</f>
        <v/>
      </c>
      <c r="M288" s="1231" t="str" cm="1">
        <f t="array" aca="1" ref="M288" ca="1">INDIRECT("'Incentives Worksheet'!D"&amp;'Configurable Tab'!H27+6)</f>
        <v/>
      </c>
      <c r="N288" s="1231" t="str" cm="1">
        <f t="array" aca="1" ref="N288" ca="1">INDIRECT("'Incentives Worksheet'!D"&amp;'Configurable Tab'!H27+8)</f>
        <v/>
      </c>
      <c r="O288" s="1104" t="str" cm="1">
        <f t="array" aca="1" ref="O288" ca="1">INDIRECT("'Incentives Worksheet'!D"&amp;'Configurable Tab'!H27+10)</f>
        <v>Yes</v>
      </c>
      <c r="P288" s="1107"/>
      <c r="Q288" s="1107"/>
      <c r="R288" s="1107"/>
      <c r="S288" s="1107"/>
      <c r="T288" s="1107"/>
      <c r="U288" s="1107"/>
      <c r="V288" s="1107"/>
      <c r="W288" s="1107"/>
      <c r="X288" s="1107"/>
      <c r="Y288" s="1107"/>
      <c r="Z288" s="1107"/>
      <c r="AA288" s="1107"/>
      <c r="AB288" s="1107"/>
      <c r="AC288" s="1107"/>
      <c r="AD288" s="1107"/>
      <c r="AE288" s="1107"/>
      <c r="AF288" s="1107"/>
      <c r="AG288" s="1107"/>
      <c r="AH288" s="1107"/>
      <c r="AI288" s="1107"/>
      <c r="AJ288" s="1107"/>
      <c r="AK288" s="1107"/>
      <c r="AL288" s="1107"/>
      <c r="AM288" s="1107"/>
      <c r="AN288" s="1107"/>
      <c r="AO288" s="1107"/>
      <c r="AP288" s="1107"/>
      <c r="AQ288" s="1107"/>
      <c r="AR288" s="1107"/>
      <c r="AS288" s="1107"/>
      <c r="AT288" s="1107"/>
      <c r="AU288" s="1107"/>
      <c r="AV288" s="1107"/>
      <c r="AW288" s="1107"/>
      <c r="AX288" s="1107"/>
      <c r="AY288" s="1107"/>
      <c r="AZ288" s="1107"/>
      <c r="BA288" s="1107"/>
      <c r="BB288" s="1107"/>
      <c r="BC288" s="1107"/>
      <c r="BD288" s="1107"/>
      <c r="BE288" s="1107"/>
      <c r="BF288" s="1107"/>
      <c r="BG288" s="1107"/>
      <c r="BH288" s="1107"/>
      <c r="BI288" s="1107"/>
      <c r="BJ288" s="1107"/>
      <c r="BK288" s="1107"/>
      <c r="BL288" s="1107"/>
      <c r="BM288" s="1107"/>
      <c r="BN288" s="1107"/>
      <c r="BO288" s="1107"/>
      <c r="BP288" s="1107"/>
      <c r="BQ288" s="1107"/>
      <c r="BR288" s="1107"/>
      <c r="BS288" s="1107"/>
      <c r="BT288" s="1107"/>
      <c r="BU288" s="1107"/>
      <c r="BV288" s="1107"/>
      <c r="BW288" s="1107"/>
      <c r="BX288" s="1107"/>
      <c r="BY288" s="1107"/>
      <c r="BZ288" s="1107"/>
      <c r="CA288" s="1107"/>
      <c r="CB288" s="1107"/>
      <c r="CC288" s="1107"/>
      <c r="CD288" s="1107"/>
      <c r="CE288" s="1107"/>
      <c r="CF288" s="1107"/>
      <c r="CG288" s="1107"/>
      <c r="CH288" s="1107"/>
      <c r="CI288" s="1107"/>
      <c r="CJ288" s="1107"/>
      <c r="CK288" s="1107"/>
    </row>
    <row r="289" spans="1:89" ht="30.75" thickBot="1" x14ac:dyDescent="0.3">
      <c r="A289" s="1107"/>
      <c r="B289" s="2006" t="s">
        <v>1901</v>
      </c>
      <c r="C289" s="1160" t="s">
        <v>1902</v>
      </c>
      <c r="D289" s="1100" t="s">
        <v>1903</v>
      </c>
      <c r="E289" s="1101" t="s">
        <v>727</v>
      </c>
      <c r="F289" s="1100" t="s">
        <v>1904</v>
      </c>
      <c r="G289" s="1100" t="s">
        <v>1841</v>
      </c>
      <c r="H289" s="1131"/>
      <c r="I289" s="1131"/>
      <c r="J289" s="1233"/>
      <c r="K289" s="1233"/>
      <c r="L289" s="1233"/>
      <c r="M289" s="1233"/>
      <c r="N289" s="1233"/>
      <c r="O289" s="1234"/>
      <c r="P289" s="1107"/>
      <c r="Q289" s="1107"/>
      <c r="R289" s="1107"/>
      <c r="S289" s="1107"/>
      <c r="T289" s="1107"/>
      <c r="U289" s="1107"/>
      <c r="V289" s="1107"/>
      <c r="W289" s="1107"/>
      <c r="X289" s="1107"/>
      <c r="Y289" s="1107"/>
      <c r="Z289" s="1107"/>
      <c r="AA289" s="1107"/>
      <c r="AB289" s="1107"/>
      <c r="AC289" s="1107"/>
      <c r="AD289" s="1107"/>
      <c r="AE289" s="1107"/>
      <c r="AF289" s="1107"/>
      <c r="AG289" s="1107"/>
      <c r="AH289" s="1107"/>
      <c r="AI289" s="1107"/>
      <c r="AJ289" s="1107"/>
      <c r="AK289" s="1107"/>
      <c r="AL289" s="1107"/>
      <c r="AM289" s="1107"/>
      <c r="AN289" s="1107"/>
      <c r="AO289" s="1107"/>
      <c r="AP289" s="1107"/>
      <c r="AQ289" s="1107"/>
      <c r="AR289" s="1107"/>
      <c r="AS289" s="1107"/>
      <c r="AT289" s="1107"/>
      <c r="AU289" s="1107"/>
      <c r="AV289" s="1107"/>
      <c r="AW289" s="1107"/>
      <c r="AX289" s="1107"/>
      <c r="AY289" s="1107"/>
      <c r="AZ289" s="1107"/>
      <c r="BA289" s="1107"/>
      <c r="BB289" s="1107"/>
      <c r="BC289" s="1107"/>
      <c r="BD289" s="1107"/>
      <c r="BE289" s="1107"/>
      <c r="BF289" s="1107"/>
      <c r="BG289" s="1107"/>
      <c r="BH289" s="1107"/>
      <c r="BI289" s="1107"/>
      <c r="BJ289" s="1107"/>
      <c r="BK289" s="1107"/>
      <c r="BL289" s="1107"/>
      <c r="BM289" s="1107"/>
      <c r="BN289" s="1107"/>
      <c r="BO289" s="1107"/>
      <c r="BP289" s="1107"/>
      <c r="BQ289" s="1107"/>
      <c r="BR289" s="1107"/>
      <c r="BS289" s="1107"/>
      <c r="BT289" s="1107"/>
      <c r="BU289" s="1107"/>
      <c r="BV289" s="1107"/>
      <c r="BW289" s="1107"/>
      <c r="BX289" s="1107"/>
      <c r="BY289" s="1107"/>
      <c r="BZ289" s="1107"/>
      <c r="CA289" s="1107"/>
      <c r="CB289" s="1107"/>
      <c r="CC289" s="1107"/>
      <c r="CD289" s="1107"/>
      <c r="CE289" s="1107"/>
      <c r="CF289" s="1107"/>
      <c r="CG289" s="1107"/>
      <c r="CH289" s="1107"/>
      <c r="CI289" s="1107"/>
      <c r="CJ289" s="1107"/>
      <c r="CK289" s="1107"/>
    </row>
    <row r="290" spans="1:89" ht="15.75" thickBot="1" x14ac:dyDescent="0.3">
      <c r="A290" s="1107"/>
      <c r="B290" s="2011"/>
      <c r="C290" s="1238" t="str" cm="1">
        <f t="array" aca="1" ref="C290" ca="1">INDIRECT("'Incentives Worksheet'!R"&amp;'Configurable Tab'!H27+6)</f>
        <v>Post Pay</v>
      </c>
      <c r="D290" s="1210" cm="1">
        <f t="array" aca="1" ref="D290" ca="1">INDIRECT("'Incentives Worksheet'!T"&amp;'Configurable Tab'!H27+6)</f>
        <v>1</v>
      </c>
      <c r="E290" s="1195" t="str" cm="1">
        <f t="array" aca="1" ref="E290" ca="1">IF(ISBLANK(INDIRECT("'Incentives Worksheet'!H"&amp;'Configurable Tab'!H27+6)),"",INDIRECT("'Incentives Worksheet'!H"&amp;'Configurable Tab'!H27+6))</f>
        <v/>
      </c>
      <c r="F290" s="1195" t="s">
        <v>1095</v>
      </c>
      <c r="G290" s="1195"/>
      <c r="H290" s="1237"/>
      <c r="I290" s="1136"/>
      <c r="J290" s="1136"/>
      <c r="K290" s="1136"/>
      <c r="L290" s="1136"/>
      <c r="M290" s="1136"/>
      <c r="N290" s="1136"/>
      <c r="O290" s="1137"/>
      <c r="P290" s="1107"/>
      <c r="Q290" s="1107"/>
      <c r="R290" s="1107"/>
      <c r="S290" s="1107"/>
      <c r="T290" s="1107"/>
      <c r="U290" s="1107"/>
      <c r="V290" s="1107"/>
      <c r="W290" s="1107"/>
      <c r="X290" s="1107"/>
      <c r="Y290" s="1107"/>
      <c r="Z290" s="1107"/>
      <c r="AA290" s="1107"/>
      <c r="AB290" s="1107"/>
      <c r="AC290" s="1107"/>
      <c r="AD290" s="1107"/>
      <c r="AE290" s="1107"/>
      <c r="AF290" s="1107"/>
      <c r="AG290" s="1107"/>
      <c r="AH290" s="1107"/>
      <c r="AI290" s="1107"/>
      <c r="AJ290" s="1107"/>
      <c r="AK290" s="1107"/>
      <c r="AL290" s="1107"/>
      <c r="AM290" s="1107"/>
      <c r="AN290" s="1107"/>
      <c r="AO290" s="1107"/>
      <c r="AP290" s="1107"/>
      <c r="AQ290" s="1107"/>
      <c r="AR290" s="1107"/>
      <c r="AS290" s="1107"/>
      <c r="AT290" s="1107"/>
      <c r="AU290" s="1107"/>
      <c r="AV290" s="1107"/>
      <c r="AW290" s="1107"/>
      <c r="AX290" s="1107"/>
      <c r="AY290" s="1107"/>
      <c r="AZ290" s="1107"/>
      <c r="BA290" s="1107"/>
      <c r="BB290" s="1107"/>
      <c r="BC290" s="1107"/>
      <c r="BD290" s="1107"/>
      <c r="BE290" s="1107"/>
      <c r="BF290" s="1107"/>
      <c r="BG290" s="1107"/>
      <c r="BH290" s="1107"/>
      <c r="BI290" s="1107"/>
      <c r="BJ290" s="1107"/>
      <c r="BK290" s="1107"/>
      <c r="BL290" s="1107"/>
      <c r="BM290" s="1107"/>
      <c r="BN290" s="1107"/>
      <c r="BO290" s="1107"/>
      <c r="BP290" s="1107"/>
      <c r="BQ290" s="1107"/>
      <c r="BR290" s="1107"/>
      <c r="BS290" s="1107"/>
      <c r="BT290" s="1107"/>
      <c r="BU290" s="1107"/>
      <c r="BV290" s="1107"/>
      <c r="BW290" s="1107"/>
      <c r="BX290" s="1107"/>
      <c r="BY290" s="1107"/>
      <c r="BZ290" s="1107"/>
      <c r="CA290" s="1107"/>
      <c r="CB290" s="1107"/>
      <c r="CC290" s="1107"/>
      <c r="CD290" s="1107"/>
      <c r="CE290" s="1107"/>
      <c r="CF290" s="1107"/>
      <c r="CG290" s="1107"/>
      <c r="CH290" s="1107"/>
      <c r="CI290" s="1107"/>
      <c r="CJ290" s="1107"/>
      <c r="CK290" s="1107"/>
    </row>
    <row r="291" spans="1:89" ht="15.75" customHeight="1" thickBot="1" x14ac:dyDescent="0.3">
      <c r="A291" s="1107"/>
      <c r="B291" s="2006" t="s">
        <v>1868</v>
      </c>
      <c r="C291" s="1147" t="s">
        <v>1869</v>
      </c>
      <c r="D291" s="1148" t="s">
        <v>1859</v>
      </c>
      <c r="E291" s="1148" t="s">
        <v>131</v>
      </c>
      <c r="F291" s="1148" t="s">
        <v>1860</v>
      </c>
      <c r="G291" s="1148" t="s">
        <v>1870</v>
      </c>
      <c r="H291" s="1149" t="s">
        <v>1871</v>
      </c>
      <c r="I291" s="1150" t="s">
        <v>766</v>
      </c>
      <c r="J291" s="1150" t="s">
        <v>767</v>
      </c>
      <c r="K291" s="1150" t="s">
        <v>768</v>
      </c>
      <c r="L291" s="1150" t="s">
        <v>769</v>
      </c>
      <c r="M291" s="1150" t="s">
        <v>204</v>
      </c>
      <c r="N291" s="1107"/>
      <c r="O291" s="1108"/>
      <c r="P291" s="1107"/>
      <c r="Q291" s="1107"/>
      <c r="R291" s="1107"/>
      <c r="S291" s="1107"/>
      <c r="T291" s="1107"/>
      <c r="U291" s="1107"/>
      <c r="V291" s="1107"/>
      <c r="W291" s="1107"/>
      <c r="X291" s="1107"/>
      <c r="Y291" s="1107"/>
      <c r="Z291" s="1107"/>
      <c r="AA291" s="1107"/>
      <c r="AB291" s="1107"/>
      <c r="AC291" s="1107"/>
      <c r="AD291" s="1107"/>
      <c r="AE291" s="1107"/>
      <c r="AF291" s="1107"/>
      <c r="AG291" s="1107"/>
      <c r="AH291" s="1107"/>
      <c r="AI291" s="1107"/>
      <c r="AJ291" s="1107"/>
      <c r="AK291" s="1107"/>
      <c r="AL291" s="1107"/>
      <c r="AM291" s="1107"/>
      <c r="AN291" s="1107"/>
      <c r="AO291" s="1107"/>
      <c r="AP291" s="1107"/>
      <c r="AQ291" s="1107"/>
      <c r="AR291" s="1107"/>
      <c r="AS291" s="1107"/>
      <c r="AT291" s="1107"/>
      <c r="AU291" s="1107"/>
      <c r="AV291" s="1107"/>
      <c r="AW291" s="1107"/>
      <c r="AX291" s="1107"/>
      <c r="AY291" s="1107"/>
      <c r="AZ291" s="1107"/>
      <c r="BA291" s="1107"/>
      <c r="BB291" s="1107"/>
      <c r="BC291" s="1107"/>
      <c r="BD291" s="1107"/>
      <c r="BE291" s="1107"/>
      <c r="BF291" s="1107"/>
      <c r="BG291" s="1107"/>
      <c r="BH291" s="1107"/>
      <c r="BI291" s="1107"/>
      <c r="BJ291" s="1107"/>
      <c r="BK291" s="1107"/>
      <c r="BL291" s="1107"/>
      <c r="BM291" s="1107"/>
      <c r="BN291" s="1107"/>
      <c r="BO291" s="1107"/>
      <c r="BP291" s="1107"/>
      <c r="BQ291" s="1107"/>
      <c r="BR291" s="1107"/>
      <c r="BS291" s="1107"/>
      <c r="BT291" s="1107"/>
      <c r="BU291" s="1107"/>
      <c r="BV291" s="1107"/>
      <c r="BW291" s="1107"/>
      <c r="BX291" s="1107"/>
      <c r="BY291" s="1107"/>
      <c r="BZ291" s="1107"/>
      <c r="CA291" s="1107"/>
      <c r="CB291" s="1107"/>
      <c r="CC291" s="1107"/>
      <c r="CD291" s="1107"/>
      <c r="CE291" s="1107"/>
      <c r="CF291" s="1107"/>
      <c r="CG291" s="1107"/>
      <c r="CH291" s="1107"/>
      <c r="CI291" s="1107"/>
      <c r="CJ291" s="1107"/>
      <c r="CK291" s="1107"/>
    </row>
    <row r="292" spans="1:89" x14ac:dyDescent="0.25">
      <c r="A292" s="1107"/>
      <c r="B292" s="2008"/>
      <c r="C292" s="1151">
        <v>1</v>
      </c>
      <c r="D292" s="1144" t="s">
        <v>1872</v>
      </c>
      <c r="E292" s="1144" t="s">
        <v>1426</v>
      </c>
      <c r="F292" s="1144" t="str">
        <f>'Required Info to Submit'!E23</f>
        <v/>
      </c>
      <c r="G292" s="1414" t="str">
        <f>IF(F292="","",'Required Info to Submit'!K23)</f>
        <v/>
      </c>
      <c r="H292" s="1415" t="str">
        <f>IF(F292="","",'Required Info to Submit'!L23)</f>
        <v/>
      </c>
      <c r="I292" s="1144" t="str">
        <f>'Required Info to Submit'!F23</f>
        <v/>
      </c>
      <c r="J292" s="1144" t="str">
        <f>'Required Info to Submit'!G23</f>
        <v/>
      </c>
      <c r="K292" s="1144" t="str">
        <f>'Required Info to Submit'!H23</f>
        <v/>
      </c>
      <c r="L292" s="1144" t="str">
        <f>'Required Info to Submit'!I23</f>
        <v/>
      </c>
      <c r="M292" s="1144" t="str">
        <f>'Required Info to Submit'!J23</f>
        <v/>
      </c>
      <c r="N292" s="1107"/>
      <c r="O292" s="1108"/>
      <c r="P292" s="1107"/>
      <c r="Q292" s="1107"/>
      <c r="R292" s="1107"/>
      <c r="S292" s="1107"/>
      <c r="T292" s="1107"/>
      <c r="U292" s="1107"/>
      <c r="V292" s="1107"/>
      <c r="W292" s="1107"/>
      <c r="X292" s="1107"/>
      <c r="Y292" s="1107"/>
      <c r="Z292" s="1107"/>
      <c r="AA292" s="1107"/>
      <c r="AB292" s="1107"/>
      <c r="AC292" s="1107"/>
      <c r="AD292" s="1107"/>
      <c r="AE292" s="1107"/>
      <c r="AF292" s="1107"/>
      <c r="AG292" s="1107"/>
      <c r="AH292" s="1107"/>
      <c r="AI292" s="1107"/>
      <c r="AJ292" s="1107"/>
      <c r="AK292" s="1107"/>
      <c r="AL292" s="1107"/>
      <c r="AM292" s="1107"/>
      <c r="AN292" s="1107"/>
      <c r="AO292" s="1107"/>
      <c r="AP292" s="1107"/>
      <c r="AQ292" s="1107"/>
      <c r="AR292" s="1107"/>
      <c r="AS292" s="1107"/>
      <c r="AT292" s="1107"/>
      <c r="AU292" s="1107"/>
      <c r="AV292" s="1107"/>
      <c r="AW292" s="1107"/>
      <c r="AX292" s="1107"/>
      <c r="AY292" s="1107"/>
      <c r="AZ292" s="1107"/>
      <c r="BA292" s="1107"/>
      <c r="BB292" s="1107"/>
      <c r="BC292" s="1107"/>
      <c r="BD292" s="1107"/>
      <c r="BE292" s="1107"/>
      <c r="BF292" s="1107"/>
      <c r="BG292" s="1107"/>
      <c r="BH292" s="1107"/>
      <c r="BI292" s="1107"/>
      <c r="BJ292" s="1107"/>
      <c r="BK292" s="1107"/>
      <c r="BL292" s="1107"/>
      <c r="BM292" s="1107"/>
      <c r="BN292" s="1107"/>
      <c r="BO292" s="1107"/>
      <c r="BP292" s="1107"/>
      <c r="BQ292" s="1107"/>
      <c r="BR292" s="1107"/>
      <c r="BS292" s="1107"/>
      <c r="BT292" s="1107"/>
      <c r="BU292" s="1107"/>
      <c r="BV292" s="1107"/>
      <c r="BW292" s="1107"/>
      <c r="BX292" s="1107"/>
      <c r="BY292" s="1107"/>
      <c r="BZ292" s="1107"/>
      <c r="CA292" s="1107"/>
      <c r="CB292" s="1107"/>
      <c r="CC292" s="1107"/>
      <c r="CD292" s="1107"/>
      <c r="CE292" s="1107"/>
      <c r="CF292" s="1107"/>
      <c r="CG292" s="1107"/>
      <c r="CH292" s="1107"/>
      <c r="CI292" s="1107"/>
      <c r="CJ292" s="1107"/>
      <c r="CK292" s="1107"/>
    </row>
    <row r="293" spans="1:89" x14ac:dyDescent="0.25">
      <c r="A293" s="1107"/>
      <c r="B293" s="2008"/>
      <c r="C293" s="1154">
        <v>2</v>
      </c>
      <c r="D293" s="1144" t="s">
        <v>1872</v>
      </c>
      <c r="E293" s="1144" t="s">
        <v>1426</v>
      </c>
      <c r="F293" s="1144" t="str">
        <f>'Required Info to Submit'!E24</f>
        <v/>
      </c>
      <c r="G293" s="1414" t="str">
        <f>IF(F293="","",'Required Info to Submit'!K24)</f>
        <v/>
      </c>
      <c r="H293" s="1415" t="str">
        <f>IF(F293="","",'Required Info to Submit'!L24)</f>
        <v/>
      </c>
      <c r="I293" s="1144" t="str">
        <f>'Required Info to Submit'!F24</f>
        <v/>
      </c>
      <c r="J293" s="1144" t="str">
        <f>'Required Info to Submit'!G24</f>
        <v/>
      </c>
      <c r="K293" s="1144" t="str">
        <f>'Required Info to Submit'!H24</f>
        <v/>
      </c>
      <c r="L293" s="1144" t="str">
        <f>'Required Info to Submit'!I24</f>
        <v/>
      </c>
      <c r="M293" s="1144" t="str">
        <f>'Required Info to Submit'!J24</f>
        <v/>
      </c>
      <c r="N293" s="1107"/>
      <c r="O293" s="1108"/>
      <c r="P293" s="1107"/>
      <c r="Q293" s="1107"/>
      <c r="R293" s="1107"/>
      <c r="S293" s="1107"/>
      <c r="T293" s="1107"/>
      <c r="U293" s="1107"/>
      <c r="V293" s="1107"/>
      <c r="W293" s="1107"/>
      <c r="X293" s="1107"/>
      <c r="Y293" s="1107"/>
      <c r="Z293" s="1107"/>
      <c r="AA293" s="1107"/>
      <c r="AB293" s="1107"/>
      <c r="AC293" s="1107"/>
      <c r="AD293" s="1107"/>
      <c r="AE293" s="1107"/>
      <c r="AF293" s="1107"/>
      <c r="AG293" s="1107"/>
      <c r="AH293" s="1107"/>
      <c r="AI293" s="1107"/>
      <c r="AJ293" s="1107"/>
      <c r="AK293" s="1107"/>
      <c r="AL293" s="1107"/>
      <c r="AM293" s="1107"/>
      <c r="AN293" s="1107"/>
      <c r="AO293" s="1107"/>
      <c r="AP293" s="1107"/>
      <c r="AQ293" s="1107"/>
      <c r="AR293" s="1107"/>
      <c r="AS293" s="1107"/>
      <c r="AT293" s="1107"/>
      <c r="AU293" s="1107"/>
      <c r="AV293" s="1107"/>
      <c r="AW293" s="1107"/>
      <c r="AX293" s="1107"/>
      <c r="AY293" s="1107"/>
      <c r="AZ293" s="1107"/>
      <c r="BA293" s="1107"/>
      <c r="BB293" s="1107"/>
      <c r="BC293" s="1107"/>
      <c r="BD293" s="1107"/>
      <c r="BE293" s="1107"/>
      <c r="BF293" s="1107"/>
      <c r="BG293" s="1107"/>
      <c r="BH293" s="1107"/>
      <c r="BI293" s="1107"/>
      <c r="BJ293" s="1107"/>
      <c r="BK293" s="1107"/>
      <c r="BL293" s="1107"/>
      <c r="BM293" s="1107"/>
      <c r="BN293" s="1107"/>
      <c r="BO293" s="1107"/>
      <c r="BP293" s="1107"/>
      <c r="BQ293" s="1107"/>
      <c r="BR293" s="1107"/>
      <c r="BS293" s="1107"/>
      <c r="BT293" s="1107"/>
      <c r="BU293" s="1107"/>
      <c r="BV293" s="1107"/>
      <c r="BW293" s="1107"/>
      <c r="BX293" s="1107"/>
      <c r="BY293" s="1107"/>
      <c r="BZ293" s="1107"/>
      <c r="CA293" s="1107"/>
      <c r="CB293" s="1107"/>
      <c r="CC293" s="1107"/>
      <c r="CD293" s="1107"/>
      <c r="CE293" s="1107"/>
      <c r="CF293" s="1107"/>
      <c r="CG293" s="1107"/>
      <c r="CH293" s="1107"/>
      <c r="CI293" s="1107"/>
      <c r="CJ293" s="1107"/>
      <c r="CK293" s="1107"/>
    </row>
    <row r="294" spans="1:89" x14ac:dyDescent="0.25">
      <c r="A294" s="1107"/>
      <c r="B294" s="2008"/>
      <c r="C294" s="1154">
        <v>3</v>
      </c>
      <c r="D294" s="1144" t="s">
        <v>1872</v>
      </c>
      <c r="E294" s="1144" t="s">
        <v>1426</v>
      </c>
      <c r="F294" s="1144" t="str">
        <f>'Required Info to Submit'!E25</f>
        <v/>
      </c>
      <c r="G294" s="1414" t="str">
        <f>IF(F294="","",'Required Info to Submit'!K25)</f>
        <v/>
      </c>
      <c r="H294" s="1415" t="str">
        <f>IF(F294="","",'Required Info to Submit'!L25)</f>
        <v/>
      </c>
      <c r="I294" s="1144" t="str">
        <f>'Required Info to Submit'!F25</f>
        <v/>
      </c>
      <c r="J294" s="1144" t="str">
        <f>'Required Info to Submit'!G25</f>
        <v/>
      </c>
      <c r="K294" s="1144" t="str">
        <f>'Required Info to Submit'!H25</f>
        <v/>
      </c>
      <c r="L294" s="1144" t="str">
        <f>'Required Info to Submit'!I25</f>
        <v/>
      </c>
      <c r="M294" s="1144" t="str">
        <f>'Required Info to Submit'!J25</f>
        <v/>
      </c>
      <c r="N294" s="1107"/>
      <c r="O294" s="1108"/>
      <c r="P294" s="1107"/>
      <c r="Q294" s="1107"/>
      <c r="R294" s="1107"/>
      <c r="S294" s="1107"/>
      <c r="T294" s="1107"/>
      <c r="U294" s="1107"/>
      <c r="V294" s="1107"/>
      <c r="W294" s="1107"/>
      <c r="X294" s="1107"/>
      <c r="Y294" s="1107"/>
      <c r="Z294" s="1107"/>
      <c r="AA294" s="1107"/>
      <c r="AB294" s="1107"/>
      <c r="AC294" s="1107"/>
      <c r="AD294" s="1107"/>
      <c r="AE294" s="1107"/>
      <c r="AF294" s="1107"/>
      <c r="AG294" s="1107"/>
      <c r="AH294" s="1107"/>
      <c r="AI294" s="1107"/>
      <c r="AJ294" s="1107"/>
      <c r="AK294" s="1107"/>
      <c r="AL294" s="1107"/>
      <c r="AM294" s="1107"/>
      <c r="AN294" s="1107"/>
      <c r="AO294" s="1107"/>
      <c r="AP294" s="1107"/>
      <c r="AQ294" s="1107"/>
      <c r="AR294" s="1107"/>
      <c r="AS294" s="1107"/>
      <c r="AT294" s="1107"/>
      <c r="AU294" s="1107"/>
      <c r="AV294" s="1107"/>
      <c r="AW294" s="1107"/>
      <c r="AX294" s="1107"/>
      <c r="AY294" s="1107"/>
      <c r="AZ294" s="1107"/>
      <c r="BA294" s="1107"/>
      <c r="BB294" s="1107"/>
      <c r="BC294" s="1107"/>
      <c r="BD294" s="1107"/>
      <c r="BE294" s="1107"/>
      <c r="BF294" s="1107"/>
      <c r="BG294" s="1107"/>
      <c r="BH294" s="1107"/>
      <c r="BI294" s="1107"/>
      <c r="BJ294" s="1107"/>
      <c r="BK294" s="1107"/>
      <c r="BL294" s="1107"/>
      <c r="BM294" s="1107"/>
      <c r="BN294" s="1107"/>
      <c r="BO294" s="1107"/>
      <c r="BP294" s="1107"/>
      <c r="BQ294" s="1107"/>
      <c r="BR294" s="1107"/>
      <c r="BS294" s="1107"/>
      <c r="BT294" s="1107"/>
      <c r="BU294" s="1107"/>
      <c r="BV294" s="1107"/>
      <c r="BW294" s="1107"/>
      <c r="BX294" s="1107"/>
      <c r="BY294" s="1107"/>
      <c r="BZ294" s="1107"/>
      <c r="CA294" s="1107"/>
      <c r="CB294" s="1107"/>
      <c r="CC294" s="1107"/>
      <c r="CD294" s="1107"/>
      <c r="CE294" s="1107"/>
      <c r="CF294" s="1107"/>
      <c r="CG294" s="1107"/>
      <c r="CH294" s="1107"/>
      <c r="CI294" s="1107"/>
      <c r="CJ294" s="1107"/>
      <c r="CK294" s="1107"/>
    </row>
    <row r="295" spans="1:89" x14ac:dyDescent="0.25">
      <c r="A295" s="1107"/>
      <c r="B295" s="2008"/>
      <c r="C295" s="1154">
        <v>4</v>
      </c>
      <c r="D295" s="1144" t="s">
        <v>1872</v>
      </c>
      <c r="E295" s="1144" t="s">
        <v>1426</v>
      </c>
      <c r="F295" s="1144" t="str">
        <f>'Required Info to Submit'!E26</f>
        <v/>
      </c>
      <c r="G295" s="1414" t="str">
        <f>IF(F295="","",'Required Info to Submit'!K26)</f>
        <v/>
      </c>
      <c r="H295" s="1415" t="str">
        <f>IF(F295="","",'Required Info to Submit'!L26)</f>
        <v/>
      </c>
      <c r="I295" s="1144" t="str">
        <f>'Required Info to Submit'!F26</f>
        <v/>
      </c>
      <c r="J295" s="1144" t="str">
        <f>'Required Info to Submit'!G26</f>
        <v/>
      </c>
      <c r="K295" s="1144" t="str">
        <f>'Required Info to Submit'!H26</f>
        <v/>
      </c>
      <c r="L295" s="1144" t="str">
        <f>'Required Info to Submit'!I26</f>
        <v/>
      </c>
      <c r="M295" s="1144" t="str">
        <f>'Required Info to Submit'!J26</f>
        <v/>
      </c>
      <c r="N295" s="1107"/>
      <c r="O295" s="1108"/>
      <c r="P295" s="1107"/>
      <c r="Q295" s="1107"/>
      <c r="R295" s="1107"/>
      <c r="S295" s="1107"/>
      <c r="T295" s="1107"/>
      <c r="U295" s="1107"/>
      <c r="V295" s="1107"/>
      <c r="W295" s="1107"/>
      <c r="X295" s="1107"/>
      <c r="Y295" s="1107"/>
      <c r="Z295" s="1107"/>
      <c r="AA295" s="1107"/>
      <c r="AB295" s="1107"/>
      <c r="AC295" s="1107"/>
      <c r="AD295" s="1107"/>
      <c r="AE295" s="1107"/>
      <c r="AF295" s="1107"/>
      <c r="AG295" s="1107"/>
      <c r="AH295" s="1107"/>
      <c r="AI295" s="1107"/>
      <c r="AJ295" s="1107"/>
      <c r="AK295" s="1107"/>
      <c r="AL295" s="1107"/>
      <c r="AM295" s="1107"/>
      <c r="AN295" s="1107"/>
      <c r="AO295" s="1107"/>
      <c r="AP295" s="1107"/>
      <c r="AQ295" s="1107"/>
      <c r="AR295" s="1107"/>
      <c r="AS295" s="1107"/>
      <c r="AT295" s="1107"/>
      <c r="AU295" s="1107"/>
      <c r="AV295" s="1107"/>
      <c r="AW295" s="1107"/>
      <c r="AX295" s="1107"/>
      <c r="AY295" s="1107"/>
      <c r="AZ295" s="1107"/>
      <c r="BA295" s="1107"/>
      <c r="BB295" s="1107"/>
      <c r="BC295" s="1107"/>
      <c r="BD295" s="1107"/>
      <c r="BE295" s="1107"/>
      <c r="BF295" s="1107"/>
      <c r="BG295" s="1107"/>
      <c r="BH295" s="1107"/>
      <c r="BI295" s="1107"/>
      <c r="BJ295" s="1107"/>
      <c r="BK295" s="1107"/>
      <c r="BL295" s="1107"/>
      <c r="BM295" s="1107"/>
      <c r="BN295" s="1107"/>
      <c r="BO295" s="1107"/>
      <c r="BP295" s="1107"/>
      <c r="BQ295" s="1107"/>
      <c r="BR295" s="1107"/>
      <c r="BS295" s="1107"/>
      <c r="BT295" s="1107"/>
      <c r="BU295" s="1107"/>
      <c r="BV295" s="1107"/>
      <c r="BW295" s="1107"/>
      <c r="BX295" s="1107"/>
      <c r="BY295" s="1107"/>
      <c r="BZ295" s="1107"/>
      <c r="CA295" s="1107"/>
      <c r="CB295" s="1107"/>
      <c r="CC295" s="1107"/>
      <c r="CD295" s="1107"/>
      <c r="CE295" s="1107"/>
      <c r="CF295" s="1107"/>
      <c r="CG295" s="1107"/>
      <c r="CH295" s="1107"/>
      <c r="CI295" s="1107"/>
      <c r="CJ295" s="1107"/>
      <c r="CK295" s="1107"/>
    </row>
    <row r="296" spans="1:89" x14ac:dyDescent="0.25">
      <c r="A296" s="1107"/>
      <c r="B296" s="2008"/>
      <c r="C296" s="1154">
        <v>5</v>
      </c>
      <c r="D296" s="1144" t="s">
        <v>1872</v>
      </c>
      <c r="E296" s="1144" t="s">
        <v>1426</v>
      </c>
      <c r="F296" s="1144" t="str">
        <f>'Required Info to Submit'!E27</f>
        <v/>
      </c>
      <c r="G296" s="1414" t="str">
        <f>IF(F296="","",'Required Info to Submit'!K27)</f>
        <v/>
      </c>
      <c r="H296" s="1415" t="str">
        <f>IF(F296="","",'Required Info to Submit'!L27)</f>
        <v/>
      </c>
      <c r="I296" s="1144" t="str">
        <f>'Required Info to Submit'!F27</f>
        <v/>
      </c>
      <c r="J296" s="1144" t="str">
        <f>'Required Info to Submit'!G27</f>
        <v/>
      </c>
      <c r="K296" s="1144" t="str">
        <f>'Required Info to Submit'!H27</f>
        <v/>
      </c>
      <c r="L296" s="1144" t="str">
        <f>'Required Info to Submit'!I27</f>
        <v/>
      </c>
      <c r="M296" s="1144" t="str">
        <f>'Required Info to Submit'!J27</f>
        <v/>
      </c>
      <c r="N296" s="1107"/>
      <c r="O296" s="1108"/>
      <c r="P296" s="1107"/>
      <c r="Q296" s="1107"/>
      <c r="R296" s="1107"/>
      <c r="S296" s="1107"/>
      <c r="T296" s="1107"/>
      <c r="U296" s="1107"/>
      <c r="V296" s="1107"/>
      <c r="W296" s="1107"/>
      <c r="X296" s="1107"/>
      <c r="Y296" s="1107"/>
      <c r="Z296" s="1107"/>
      <c r="AA296" s="1107"/>
      <c r="AB296" s="1107"/>
      <c r="AC296" s="1107"/>
      <c r="AD296" s="1107"/>
      <c r="AE296" s="1107"/>
      <c r="AF296" s="1107"/>
      <c r="AG296" s="1107"/>
      <c r="AH296" s="1107"/>
      <c r="AI296" s="1107"/>
      <c r="AJ296" s="1107"/>
      <c r="AK296" s="1107"/>
      <c r="AL296" s="1107"/>
      <c r="AM296" s="1107"/>
      <c r="AN296" s="1107"/>
      <c r="AO296" s="1107"/>
      <c r="AP296" s="1107"/>
      <c r="AQ296" s="1107"/>
      <c r="AR296" s="1107"/>
      <c r="AS296" s="1107"/>
      <c r="AT296" s="1107"/>
      <c r="AU296" s="1107"/>
      <c r="AV296" s="1107"/>
      <c r="AW296" s="1107"/>
      <c r="AX296" s="1107"/>
      <c r="AY296" s="1107"/>
      <c r="AZ296" s="1107"/>
      <c r="BA296" s="1107"/>
      <c r="BB296" s="1107"/>
      <c r="BC296" s="1107"/>
      <c r="BD296" s="1107"/>
      <c r="BE296" s="1107"/>
      <c r="BF296" s="1107"/>
      <c r="BG296" s="1107"/>
      <c r="BH296" s="1107"/>
      <c r="BI296" s="1107"/>
      <c r="BJ296" s="1107"/>
      <c r="BK296" s="1107"/>
      <c r="BL296" s="1107"/>
      <c r="BM296" s="1107"/>
      <c r="BN296" s="1107"/>
      <c r="BO296" s="1107"/>
      <c r="BP296" s="1107"/>
      <c r="BQ296" s="1107"/>
      <c r="BR296" s="1107"/>
      <c r="BS296" s="1107"/>
      <c r="BT296" s="1107"/>
      <c r="BU296" s="1107"/>
      <c r="BV296" s="1107"/>
      <c r="BW296" s="1107"/>
      <c r="BX296" s="1107"/>
      <c r="BY296" s="1107"/>
      <c r="BZ296" s="1107"/>
      <c r="CA296" s="1107"/>
      <c r="CB296" s="1107"/>
      <c r="CC296" s="1107"/>
      <c r="CD296" s="1107"/>
      <c r="CE296" s="1107"/>
      <c r="CF296" s="1107"/>
      <c r="CG296" s="1107"/>
      <c r="CH296" s="1107"/>
      <c r="CI296" s="1107"/>
      <c r="CJ296" s="1107"/>
      <c r="CK296" s="1107"/>
    </row>
    <row r="297" spans="1:89" x14ac:dyDescent="0.25">
      <c r="A297" s="1107"/>
      <c r="B297" s="2008"/>
      <c r="C297" s="1154">
        <v>6</v>
      </c>
      <c r="D297" s="1144" t="s">
        <v>1872</v>
      </c>
      <c r="E297" s="1144" t="s">
        <v>1426</v>
      </c>
      <c r="F297" s="1144" t="str">
        <f>'Required Info to Submit'!E28</f>
        <v/>
      </c>
      <c r="G297" s="1414" t="str">
        <f>IF(F297="","",'Required Info to Submit'!K28)</f>
        <v/>
      </c>
      <c r="H297" s="1415" t="str">
        <f>IF(F297="","",'Required Info to Submit'!L28)</f>
        <v/>
      </c>
      <c r="I297" s="1144" t="str">
        <f>'Required Info to Submit'!F28</f>
        <v/>
      </c>
      <c r="J297" s="1144" t="str">
        <f>'Required Info to Submit'!G28</f>
        <v/>
      </c>
      <c r="K297" s="1144" t="str">
        <f>'Required Info to Submit'!H28</f>
        <v/>
      </c>
      <c r="L297" s="1144" t="str">
        <f>'Required Info to Submit'!I28</f>
        <v/>
      </c>
      <c r="M297" s="1144" t="str">
        <f>'Required Info to Submit'!J28</f>
        <v/>
      </c>
      <c r="N297" s="1107"/>
      <c r="O297" s="1108"/>
      <c r="P297" s="1107"/>
      <c r="Q297" s="1107"/>
      <c r="R297" s="1107"/>
      <c r="S297" s="1107"/>
      <c r="T297" s="1107"/>
      <c r="U297" s="1107"/>
      <c r="V297" s="1107"/>
      <c r="W297" s="1107"/>
      <c r="X297" s="1107"/>
      <c r="Y297" s="1107"/>
      <c r="Z297" s="1107"/>
      <c r="AA297" s="1107"/>
      <c r="AB297" s="1107"/>
      <c r="AC297" s="1107"/>
      <c r="AD297" s="1107"/>
      <c r="AE297" s="1107"/>
      <c r="AF297" s="1107"/>
      <c r="AG297" s="1107"/>
      <c r="AH297" s="1107"/>
      <c r="AI297" s="1107"/>
      <c r="AJ297" s="1107"/>
      <c r="AK297" s="1107"/>
      <c r="AL297" s="1107"/>
      <c r="AM297" s="1107"/>
      <c r="AN297" s="1107"/>
      <c r="AO297" s="1107"/>
      <c r="AP297" s="1107"/>
      <c r="AQ297" s="1107"/>
      <c r="AR297" s="1107"/>
      <c r="AS297" s="1107"/>
      <c r="AT297" s="1107"/>
      <c r="AU297" s="1107"/>
      <c r="AV297" s="1107"/>
      <c r="AW297" s="1107"/>
      <c r="AX297" s="1107"/>
      <c r="AY297" s="1107"/>
      <c r="AZ297" s="1107"/>
      <c r="BA297" s="1107"/>
      <c r="BB297" s="1107"/>
      <c r="BC297" s="1107"/>
      <c r="BD297" s="1107"/>
      <c r="BE297" s="1107"/>
      <c r="BF297" s="1107"/>
      <c r="BG297" s="1107"/>
      <c r="BH297" s="1107"/>
      <c r="BI297" s="1107"/>
      <c r="BJ297" s="1107"/>
      <c r="BK297" s="1107"/>
      <c r="BL297" s="1107"/>
      <c r="BM297" s="1107"/>
      <c r="BN297" s="1107"/>
      <c r="BO297" s="1107"/>
      <c r="BP297" s="1107"/>
      <c r="BQ297" s="1107"/>
      <c r="BR297" s="1107"/>
      <c r="BS297" s="1107"/>
      <c r="BT297" s="1107"/>
      <c r="BU297" s="1107"/>
      <c r="BV297" s="1107"/>
      <c r="BW297" s="1107"/>
      <c r="BX297" s="1107"/>
      <c r="BY297" s="1107"/>
      <c r="BZ297" s="1107"/>
      <c r="CA297" s="1107"/>
      <c r="CB297" s="1107"/>
      <c r="CC297" s="1107"/>
      <c r="CD297" s="1107"/>
      <c r="CE297" s="1107"/>
      <c r="CF297" s="1107"/>
      <c r="CG297" s="1107"/>
      <c r="CH297" s="1107"/>
      <c r="CI297" s="1107"/>
      <c r="CJ297" s="1107"/>
      <c r="CK297" s="1107"/>
    </row>
    <row r="298" spans="1:89" x14ac:dyDescent="0.25">
      <c r="A298" s="1107"/>
      <c r="B298" s="2008"/>
      <c r="C298" s="1154">
        <v>7</v>
      </c>
      <c r="D298" s="1144" t="s">
        <v>1872</v>
      </c>
      <c r="E298" s="1144" t="s">
        <v>1426</v>
      </c>
      <c r="F298" s="1144" t="str">
        <f>'Required Info to Submit'!E29</f>
        <v/>
      </c>
      <c r="G298" s="1414" t="str">
        <f>IF(F298="","",'Required Info to Submit'!K29)</f>
        <v/>
      </c>
      <c r="H298" s="1415" t="str">
        <f>IF(F298="","",'Required Info to Submit'!L29)</f>
        <v/>
      </c>
      <c r="I298" s="1144" t="str">
        <f>'Required Info to Submit'!F29</f>
        <v/>
      </c>
      <c r="J298" s="1144" t="str">
        <f>'Required Info to Submit'!G29</f>
        <v/>
      </c>
      <c r="K298" s="1144" t="str">
        <f>'Required Info to Submit'!H29</f>
        <v/>
      </c>
      <c r="L298" s="1144" t="str">
        <f>'Required Info to Submit'!I29</f>
        <v/>
      </c>
      <c r="M298" s="1144" t="str">
        <f>'Required Info to Submit'!J29</f>
        <v/>
      </c>
      <c r="N298" s="1107"/>
      <c r="O298" s="1108"/>
      <c r="P298" s="1107"/>
      <c r="Q298" s="1107"/>
      <c r="R298" s="1107"/>
      <c r="S298" s="1107"/>
      <c r="T298" s="1107"/>
      <c r="U298" s="1107"/>
      <c r="V298" s="1107"/>
      <c r="W298" s="1107"/>
      <c r="X298" s="1107"/>
      <c r="Y298" s="1107"/>
      <c r="Z298" s="1107"/>
      <c r="AA298" s="1107"/>
      <c r="AB298" s="1107"/>
      <c r="AC298" s="1107"/>
      <c r="AD298" s="1107"/>
      <c r="AE298" s="1107"/>
      <c r="AF298" s="1107"/>
      <c r="AG298" s="1107"/>
      <c r="AH298" s="1107"/>
      <c r="AI298" s="1107"/>
      <c r="AJ298" s="1107"/>
      <c r="AK298" s="1107"/>
      <c r="AL298" s="1107"/>
      <c r="AM298" s="1107"/>
      <c r="AN298" s="1107"/>
      <c r="AO298" s="1107"/>
      <c r="AP298" s="1107"/>
      <c r="AQ298" s="1107"/>
      <c r="AR298" s="1107"/>
      <c r="AS298" s="1107"/>
      <c r="AT298" s="1107"/>
      <c r="AU298" s="1107"/>
      <c r="AV298" s="1107"/>
      <c r="AW298" s="1107"/>
      <c r="AX298" s="1107"/>
      <c r="AY298" s="1107"/>
      <c r="AZ298" s="1107"/>
      <c r="BA298" s="1107"/>
      <c r="BB298" s="1107"/>
      <c r="BC298" s="1107"/>
      <c r="BD298" s="1107"/>
      <c r="BE298" s="1107"/>
      <c r="BF298" s="1107"/>
      <c r="BG298" s="1107"/>
      <c r="BH298" s="1107"/>
      <c r="BI298" s="1107"/>
      <c r="BJ298" s="1107"/>
      <c r="BK298" s="1107"/>
      <c r="BL298" s="1107"/>
      <c r="BM298" s="1107"/>
      <c r="BN298" s="1107"/>
      <c r="BO298" s="1107"/>
      <c r="BP298" s="1107"/>
      <c r="BQ298" s="1107"/>
      <c r="BR298" s="1107"/>
      <c r="BS298" s="1107"/>
      <c r="BT298" s="1107"/>
      <c r="BU298" s="1107"/>
      <c r="BV298" s="1107"/>
      <c r="BW298" s="1107"/>
      <c r="BX298" s="1107"/>
      <c r="BY298" s="1107"/>
      <c r="BZ298" s="1107"/>
      <c r="CA298" s="1107"/>
      <c r="CB298" s="1107"/>
      <c r="CC298" s="1107"/>
      <c r="CD298" s="1107"/>
      <c r="CE298" s="1107"/>
      <c r="CF298" s="1107"/>
      <c r="CG298" s="1107"/>
      <c r="CH298" s="1107"/>
      <c r="CI298" s="1107"/>
      <c r="CJ298" s="1107"/>
      <c r="CK298" s="1107"/>
    </row>
    <row r="299" spans="1:89" x14ac:dyDescent="0.25">
      <c r="A299" s="1107"/>
      <c r="B299" s="2008"/>
      <c r="C299" s="1154">
        <v>8</v>
      </c>
      <c r="D299" s="1144" t="s">
        <v>1872</v>
      </c>
      <c r="E299" s="1144" t="s">
        <v>1426</v>
      </c>
      <c r="F299" s="1144" t="str">
        <f>'Required Info to Submit'!E30</f>
        <v/>
      </c>
      <c r="G299" s="1414" t="str">
        <f>IF(F299="","",'Required Info to Submit'!K30)</f>
        <v/>
      </c>
      <c r="H299" s="1415" t="str">
        <f>IF(F299="","",'Required Info to Submit'!L30)</f>
        <v/>
      </c>
      <c r="I299" s="1144" t="str">
        <f>'Required Info to Submit'!F30</f>
        <v/>
      </c>
      <c r="J299" s="1144" t="str">
        <f>'Required Info to Submit'!G30</f>
        <v/>
      </c>
      <c r="K299" s="1144" t="str">
        <f>'Required Info to Submit'!H30</f>
        <v/>
      </c>
      <c r="L299" s="1144" t="str">
        <f>'Required Info to Submit'!I30</f>
        <v/>
      </c>
      <c r="M299" s="1144" t="str">
        <f>'Required Info to Submit'!J30</f>
        <v/>
      </c>
      <c r="N299" s="1107"/>
      <c r="O299" s="1108"/>
      <c r="P299" s="1107"/>
      <c r="Q299" s="1107"/>
      <c r="R299" s="1107"/>
      <c r="S299" s="1107"/>
      <c r="T299" s="1107"/>
      <c r="U299" s="1107"/>
      <c r="V299" s="1107"/>
      <c r="W299" s="1107"/>
      <c r="X299" s="1107"/>
      <c r="Y299" s="1107"/>
      <c r="Z299" s="1107"/>
      <c r="AA299" s="1107"/>
      <c r="AB299" s="1107"/>
      <c r="AC299" s="1107"/>
      <c r="AD299" s="1107"/>
      <c r="AE299" s="1107"/>
      <c r="AF299" s="1107"/>
      <c r="AG299" s="1107"/>
      <c r="AH299" s="1107"/>
      <c r="AI299" s="1107"/>
      <c r="AJ299" s="1107"/>
      <c r="AK299" s="1107"/>
      <c r="AL299" s="1107"/>
      <c r="AM299" s="1107"/>
      <c r="AN299" s="1107"/>
      <c r="AO299" s="1107"/>
      <c r="AP299" s="1107"/>
      <c r="AQ299" s="1107"/>
      <c r="AR299" s="1107"/>
      <c r="AS299" s="1107"/>
      <c r="AT299" s="1107"/>
      <c r="AU299" s="1107"/>
      <c r="AV299" s="1107"/>
      <c r="AW299" s="1107"/>
      <c r="AX299" s="1107"/>
      <c r="AY299" s="1107"/>
      <c r="AZ299" s="1107"/>
      <c r="BA299" s="1107"/>
      <c r="BB299" s="1107"/>
      <c r="BC299" s="1107"/>
      <c r="BD299" s="1107"/>
      <c r="BE299" s="1107"/>
      <c r="BF299" s="1107"/>
      <c r="BG299" s="1107"/>
      <c r="BH299" s="1107"/>
      <c r="BI299" s="1107"/>
      <c r="BJ299" s="1107"/>
      <c r="BK299" s="1107"/>
      <c r="BL299" s="1107"/>
      <c r="BM299" s="1107"/>
      <c r="BN299" s="1107"/>
      <c r="BO299" s="1107"/>
      <c r="BP299" s="1107"/>
      <c r="BQ299" s="1107"/>
      <c r="BR299" s="1107"/>
      <c r="BS299" s="1107"/>
      <c r="BT299" s="1107"/>
      <c r="BU299" s="1107"/>
      <c r="BV299" s="1107"/>
      <c r="BW299" s="1107"/>
      <c r="BX299" s="1107"/>
      <c r="BY299" s="1107"/>
      <c r="BZ299" s="1107"/>
      <c r="CA299" s="1107"/>
      <c r="CB299" s="1107"/>
      <c r="CC299" s="1107"/>
      <c r="CD299" s="1107"/>
      <c r="CE299" s="1107"/>
      <c r="CF299" s="1107"/>
      <c r="CG299" s="1107"/>
      <c r="CH299" s="1107"/>
      <c r="CI299" s="1107"/>
      <c r="CJ299" s="1107"/>
      <c r="CK299" s="1107"/>
    </row>
    <row r="300" spans="1:89" x14ac:dyDescent="0.25">
      <c r="A300" s="1107"/>
      <c r="B300" s="2008"/>
      <c r="C300" s="1154">
        <v>9</v>
      </c>
      <c r="D300" s="1144" t="s">
        <v>1872</v>
      </c>
      <c r="E300" s="1144" t="s">
        <v>1426</v>
      </c>
      <c r="F300" s="1144" t="str">
        <f>'Required Info to Submit'!E31</f>
        <v/>
      </c>
      <c r="G300" s="1414" t="str">
        <f>IF(F300="","",'Required Info to Submit'!K31)</f>
        <v/>
      </c>
      <c r="H300" s="1415" t="str">
        <f>IF(F300="","",'Required Info to Submit'!L31)</f>
        <v/>
      </c>
      <c r="I300" s="1144" t="str">
        <f>'Required Info to Submit'!F31</f>
        <v/>
      </c>
      <c r="J300" s="1144" t="str">
        <f>'Required Info to Submit'!G31</f>
        <v/>
      </c>
      <c r="K300" s="1144" t="str">
        <f>'Required Info to Submit'!H31</f>
        <v/>
      </c>
      <c r="L300" s="1144" t="str">
        <f>'Required Info to Submit'!I31</f>
        <v/>
      </c>
      <c r="M300" s="1144" t="str">
        <f>'Required Info to Submit'!J31</f>
        <v/>
      </c>
      <c r="N300" s="1107"/>
      <c r="O300" s="1108"/>
      <c r="P300" s="1107"/>
      <c r="Q300" s="1107"/>
      <c r="R300" s="1107"/>
      <c r="S300" s="1107"/>
      <c r="T300" s="1107"/>
      <c r="U300" s="1107"/>
      <c r="V300" s="1107"/>
      <c r="W300" s="1107"/>
      <c r="X300" s="1107"/>
      <c r="Y300" s="1107"/>
      <c r="Z300" s="1107"/>
      <c r="AA300" s="1107"/>
      <c r="AB300" s="1107"/>
      <c r="AC300" s="1107"/>
      <c r="AD300" s="1107"/>
      <c r="AE300" s="1107"/>
      <c r="AF300" s="1107"/>
      <c r="AG300" s="1107"/>
      <c r="AH300" s="1107"/>
      <c r="AI300" s="1107"/>
      <c r="AJ300" s="1107"/>
      <c r="AK300" s="1107"/>
      <c r="AL300" s="1107"/>
      <c r="AM300" s="1107"/>
      <c r="AN300" s="1107"/>
      <c r="AO300" s="1107"/>
      <c r="AP300" s="1107"/>
      <c r="AQ300" s="1107"/>
      <c r="AR300" s="1107"/>
      <c r="AS300" s="1107"/>
      <c r="AT300" s="1107"/>
      <c r="AU300" s="1107"/>
      <c r="AV300" s="1107"/>
      <c r="AW300" s="1107"/>
      <c r="AX300" s="1107"/>
      <c r="AY300" s="1107"/>
      <c r="AZ300" s="1107"/>
      <c r="BA300" s="1107"/>
      <c r="BB300" s="1107"/>
      <c r="BC300" s="1107"/>
      <c r="BD300" s="1107"/>
      <c r="BE300" s="1107"/>
      <c r="BF300" s="1107"/>
      <c r="BG300" s="1107"/>
      <c r="BH300" s="1107"/>
      <c r="BI300" s="1107"/>
      <c r="BJ300" s="1107"/>
      <c r="BK300" s="1107"/>
      <c r="BL300" s="1107"/>
      <c r="BM300" s="1107"/>
      <c r="BN300" s="1107"/>
      <c r="BO300" s="1107"/>
      <c r="BP300" s="1107"/>
      <c r="BQ300" s="1107"/>
      <c r="BR300" s="1107"/>
      <c r="BS300" s="1107"/>
      <c r="BT300" s="1107"/>
      <c r="BU300" s="1107"/>
      <c r="BV300" s="1107"/>
      <c r="BW300" s="1107"/>
      <c r="BX300" s="1107"/>
      <c r="BY300" s="1107"/>
      <c r="BZ300" s="1107"/>
      <c r="CA300" s="1107"/>
      <c r="CB300" s="1107"/>
      <c r="CC300" s="1107"/>
      <c r="CD300" s="1107"/>
      <c r="CE300" s="1107"/>
      <c r="CF300" s="1107"/>
      <c r="CG300" s="1107"/>
      <c r="CH300" s="1107"/>
      <c r="CI300" s="1107"/>
      <c r="CJ300" s="1107"/>
      <c r="CK300" s="1107"/>
    </row>
    <row r="301" spans="1:89" ht="15.75" thickBot="1" x14ac:dyDescent="0.3">
      <c r="A301" s="1107"/>
      <c r="B301" s="2009"/>
      <c r="C301" s="1156">
        <v>10</v>
      </c>
      <c r="D301" s="1146" t="s">
        <v>1872</v>
      </c>
      <c r="E301" s="1146" t="s">
        <v>1426</v>
      </c>
      <c r="F301" s="1146" t="str">
        <f>'Required Info to Submit'!E32</f>
        <v/>
      </c>
      <c r="G301" s="1416" t="str">
        <f>IF(F301="","",'Required Info to Submit'!K32)</f>
        <v/>
      </c>
      <c r="H301" s="1416" t="str">
        <f>IF(F301="","",'Required Info to Submit'!L32)</f>
        <v/>
      </c>
      <c r="I301" s="1146" t="str">
        <f>'Required Info to Submit'!F32</f>
        <v/>
      </c>
      <c r="J301" s="1146" t="str">
        <f>'Required Info to Submit'!G32</f>
        <v/>
      </c>
      <c r="K301" s="1146" t="str">
        <f>'Required Info to Submit'!H32</f>
        <v/>
      </c>
      <c r="L301" s="1146" t="str">
        <f>'Required Info to Submit'!I32</f>
        <v/>
      </c>
      <c r="M301" s="1146" t="str">
        <f>'Required Info to Submit'!J32</f>
        <v/>
      </c>
      <c r="N301" s="1157"/>
      <c r="O301" s="1110"/>
      <c r="P301" s="1107"/>
      <c r="Q301" s="1107"/>
      <c r="R301" s="1107"/>
      <c r="S301" s="1107"/>
      <c r="T301" s="1107"/>
      <c r="U301" s="1107"/>
      <c r="V301" s="1107"/>
      <c r="W301" s="1107"/>
      <c r="X301" s="1107"/>
      <c r="Y301" s="1107"/>
      <c r="Z301" s="1107"/>
      <c r="AA301" s="1107"/>
      <c r="AB301" s="1107"/>
      <c r="AC301" s="1107"/>
      <c r="AD301" s="1107"/>
      <c r="AE301" s="1107"/>
      <c r="AF301" s="1107"/>
      <c r="AG301" s="1107"/>
      <c r="AH301" s="1107"/>
      <c r="AI301" s="1107"/>
      <c r="AJ301" s="1107"/>
      <c r="AK301" s="1107"/>
      <c r="AL301" s="1107"/>
      <c r="AM301" s="1107"/>
      <c r="AN301" s="1107"/>
      <c r="AO301" s="1107"/>
      <c r="AP301" s="1107"/>
      <c r="AQ301" s="1107"/>
      <c r="AR301" s="1107"/>
      <c r="AS301" s="1107"/>
      <c r="AT301" s="1107"/>
      <c r="AU301" s="1107"/>
      <c r="AV301" s="1107"/>
      <c r="AW301" s="1107"/>
      <c r="AX301" s="1107"/>
      <c r="AY301" s="1107"/>
      <c r="AZ301" s="1107"/>
      <c r="BA301" s="1107"/>
      <c r="BB301" s="1107"/>
      <c r="BC301" s="1107"/>
      <c r="BD301" s="1107"/>
      <c r="BE301" s="1107"/>
      <c r="BF301" s="1107"/>
      <c r="BG301" s="1107"/>
      <c r="BH301" s="1107"/>
      <c r="BI301" s="1107"/>
      <c r="BJ301" s="1107"/>
      <c r="BK301" s="1107"/>
      <c r="BL301" s="1107"/>
      <c r="BM301" s="1107"/>
      <c r="BN301" s="1107"/>
      <c r="BO301" s="1107"/>
      <c r="BP301" s="1107"/>
      <c r="BQ301" s="1107"/>
      <c r="BR301" s="1107"/>
      <c r="BS301" s="1107"/>
      <c r="BT301" s="1107"/>
      <c r="BU301" s="1107"/>
      <c r="BV301" s="1107"/>
      <c r="BW301" s="1107"/>
      <c r="BX301" s="1107"/>
      <c r="BY301" s="1107"/>
      <c r="BZ301" s="1107"/>
      <c r="CA301" s="1107"/>
      <c r="CB301" s="1107"/>
      <c r="CC301" s="1107"/>
      <c r="CD301" s="1107"/>
      <c r="CE301" s="1107"/>
      <c r="CF301" s="1107"/>
      <c r="CG301" s="1107"/>
      <c r="CH301" s="1107"/>
      <c r="CI301" s="1107"/>
      <c r="CJ301" s="1107"/>
      <c r="CK301" s="1107"/>
    </row>
    <row r="302" spans="1:89" x14ac:dyDescent="0.25">
      <c r="A302" s="1107"/>
      <c r="B302" s="1107"/>
      <c r="C302" s="1107"/>
      <c r="D302" s="1107"/>
      <c r="E302" s="1107"/>
      <c r="F302" s="1107"/>
      <c r="G302" s="1107"/>
      <c r="H302" s="1107"/>
      <c r="I302" s="1107"/>
      <c r="J302" s="1107"/>
      <c r="K302" s="1107"/>
      <c r="L302" s="1107"/>
      <c r="M302" s="1107"/>
      <c r="N302" s="1107"/>
      <c r="O302" s="1107"/>
      <c r="P302" s="1107"/>
      <c r="Q302" s="1107"/>
      <c r="R302" s="1107"/>
      <c r="S302" s="1107"/>
      <c r="T302" s="1107"/>
      <c r="U302" s="1107"/>
      <c r="V302" s="1107"/>
      <c r="W302" s="1107"/>
      <c r="X302" s="1107"/>
      <c r="Y302" s="1107"/>
      <c r="Z302" s="1107"/>
      <c r="AA302" s="1107"/>
      <c r="AB302" s="1107"/>
      <c r="AC302" s="1107"/>
      <c r="AD302" s="1107"/>
      <c r="AE302" s="1107"/>
      <c r="AF302" s="1107"/>
      <c r="AG302" s="1107"/>
      <c r="AH302" s="1107"/>
      <c r="AI302" s="1107"/>
      <c r="AJ302" s="1107"/>
      <c r="AK302" s="1107"/>
      <c r="AL302" s="1107"/>
      <c r="AM302" s="1107"/>
      <c r="AN302" s="1107"/>
      <c r="AO302" s="1107"/>
      <c r="AP302" s="1107"/>
      <c r="AQ302" s="1107"/>
      <c r="AR302" s="1107"/>
      <c r="AS302" s="1107"/>
      <c r="AT302" s="1107"/>
      <c r="AU302" s="1107"/>
      <c r="AV302" s="1107"/>
      <c r="AW302" s="1107"/>
      <c r="AX302" s="1107"/>
      <c r="AY302" s="1107"/>
      <c r="AZ302" s="1107"/>
      <c r="BA302" s="1107"/>
      <c r="BB302" s="1107"/>
      <c r="BC302" s="1107"/>
      <c r="BD302" s="1107"/>
      <c r="BE302" s="1107"/>
      <c r="BF302" s="1107"/>
      <c r="BG302" s="1107"/>
      <c r="BH302" s="1107"/>
      <c r="BI302" s="1107"/>
      <c r="BJ302" s="1107"/>
      <c r="BK302" s="1107"/>
      <c r="BL302" s="1107"/>
      <c r="BM302" s="1107"/>
      <c r="BN302" s="1107"/>
      <c r="BO302" s="1107"/>
      <c r="BP302" s="1107"/>
      <c r="BQ302" s="1107"/>
      <c r="BR302" s="1107"/>
      <c r="BS302" s="1107"/>
      <c r="BT302" s="1107"/>
      <c r="BU302" s="1107"/>
      <c r="BV302" s="1107"/>
      <c r="BW302" s="1107"/>
      <c r="BX302" s="1107"/>
      <c r="BY302" s="1107"/>
      <c r="BZ302" s="1107"/>
      <c r="CA302" s="1107"/>
      <c r="CB302" s="1107"/>
      <c r="CC302" s="1107"/>
      <c r="CD302" s="1107"/>
      <c r="CE302" s="1107"/>
      <c r="CF302" s="1107"/>
      <c r="CG302" s="1107"/>
      <c r="CH302" s="1107"/>
      <c r="CI302" s="1107"/>
      <c r="CJ302" s="1107"/>
      <c r="CK302" s="1107"/>
    </row>
    <row r="303" spans="1:89" ht="15.75" thickBot="1" x14ac:dyDescent="0.3">
      <c r="A303" s="1107"/>
      <c r="B303" s="1107"/>
      <c r="C303" s="1107"/>
      <c r="D303" s="1107"/>
      <c r="E303" s="1107"/>
      <c r="F303" s="1107"/>
      <c r="G303" s="1107"/>
      <c r="H303" s="1107"/>
      <c r="I303" s="1107"/>
      <c r="J303" s="1107"/>
      <c r="K303" s="1107"/>
      <c r="L303" s="1107"/>
      <c r="M303" s="1107"/>
      <c r="N303" s="1107"/>
      <c r="O303" s="1107"/>
      <c r="P303" s="1107"/>
      <c r="Q303" s="1107"/>
      <c r="R303" s="1107"/>
      <c r="S303" s="1107"/>
      <c r="T303" s="1107"/>
      <c r="U303" s="1107"/>
      <c r="V303" s="1107"/>
      <c r="W303" s="1107"/>
      <c r="X303" s="1107"/>
      <c r="Y303" s="1107"/>
      <c r="Z303" s="1107"/>
      <c r="AA303" s="1107"/>
      <c r="AB303" s="1107"/>
      <c r="AC303" s="1107"/>
      <c r="AD303" s="1107"/>
      <c r="AE303" s="1107"/>
      <c r="AF303" s="1107"/>
      <c r="AG303" s="1107"/>
      <c r="AH303" s="1107"/>
      <c r="AI303" s="1107"/>
      <c r="AJ303" s="1107"/>
      <c r="AK303" s="1107"/>
      <c r="AL303" s="1107"/>
      <c r="AM303" s="1107"/>
      <c r="AN303" s="1107"/>
      <c r="AO303" s="1107"/>
      <c r="AP303" s="1107"/>
      <c r="AQ303" s="1107"/>
      <c r="AR303" s="1107"/>
      <c r="AS303" s="1107"/>
      <c r="AT303" s="1107"/>
      <c r="AU303" s="1107"/>
      <c r="AV303" s="1107"/>
      <c r="AW303" s="1107"/>
      <c r="AX303" s="1107"/>
      <c r="AY303" s="1107"/>
      <c r="AZ303" s="1107"/>
      <c r="BA303" s="1107"/>
      <c r="BB303" s="1107"/>
      <c r="BC303" s="1107"/>
      <c r="BD303" s="1107"/>
      <c r="BE303" s="1107"/>
      <c r="BF303" s="1107"/>
      <c r="BG303" s="1107"/>
      <c r="BH303" s="1107"/>
      <c r="BI303" s="1107"/>
      <c r="BJ303" s="1107"/>
      <c r="BK303" s="1107"/>
      <c r="BL303" s="1107"/>
      <c r="BM303" s="1107"/>
      <c r="BN303" s="1107"/>
      <c r="BO303" s="1107"/>
      <c r="BP303" s="1107"/>
      <c r="BQ303" s="1107"/>
      <c r="BR303" s="1107"/>
      <c r="BS303" s="1107"/>
      <c r="BT303" s="1107"/>
      <c r="BU303" s="1107"/>
      <c r="BV303" s="1107"/>
      <c r="BW303" s="1107"/>
      <c r="BX303" s="1107"/>
      <c r="BY303" s="1107"/>
      <c r="BZ303" s="1107"/>
      <c r="CA303" s="1107"/>
      <c r="CB303" s="1107"/>
      <c r="CC303" s="1107"/>
      <c r="CD303" s="1107"/>
      <c r="CE303" s="1107"/>
      <c r="CF303" s="1107"/>
      <c r="CG303" s="1107"/>
      <c r="CH303" s="1107"/>
      <c r="CI303" s="1107"/>
      <c r="CJ303" s="1107"/>
      <c r="CK303" s="1107"/>
    </row>
    <row r="304" spans="1:89" ht="30.75" thickBot="1" x14ac:dyDescent="0.3">
      <c r="A304" s="1107"/>
      <c r="B304" s="1303"/>
      <c r="C304" s="1100" t="s">
        <v>1383</v>
      </c>
      <c r="D304" s="1100" t="s">
        <v>1491</v>
      </c>
      <c r="E304" s="1100" t="s">
        <v>766</v>
      </c>
      <c r="F304" s="1100" t="s">
        <v>1496</v>
      </c>
      <c r="G304" s="1100" t="s">
        <v>1849</v>
      </c>
      <c r="H304" s="1101" t="s">
        <v>1850</v>
      </c>
      <c r="I304" s="1101" t="s">
        <v>1851</v>
      </c>
      <c r="J304" s="1100" t="s">
        <v>1852</v>
      </c>
      <c r="K304" s="1101" t="s">
        <v>1397</v>
      </c>
      <c r="L304" s="1101" t="s">
        <v>1381</v>
      </c>
      <c r="M304" s="1100" t="s">
        <v>1382</v>
      </c>
      <c r="N304" s="1100" t="s">
        <v>721</v>
      </c>
      <c r="O304" s="1100" t="s">
        <v>722</v>
      </c>
      <c r="P304" s="1101" t="s">
        <v>1495</v>
      </c>
      <c r="Q304" s="1107"/>
      <c r="R304" s="1107"/>
      <c r="S304" s="1107"/>
      <c r="T304" s="1107"/>
      <c r="U304" s="1107"/>
      <c r="V304" s="1107"/>
      <c r="W304" s="1107"/>
      <c r="X304" s="1107"/>
      <c r="Y304" s="1107"/>
      <c r="Z304" s="1107"/>
      <c r="AA304" s="1107"/>
      <c r="AB304" s="1107"/>
      <c r="AC304" s="1107"/>
      <c r="AD304" s="1107"/>
      <c r="AE304" s="1107"/>
      <c r="AF304" s="1107"/>
      <c r="AG304" s="1107"/>
      <c r="AH304" s="1107"/>
      <c r="AI304" s="1107"/>
      <c r="AJ304" s="1107"/>
      <c r="AK304" s="1107"/>
      <c r="AL304" s="1107"/>
      <c r="AM304" s="1107"/>
      <c r="AN304" s="1107"/>
      <c r="AO304" s="1107"/>
      <c r="AP304" s="1107"/>
      <c r="AQ304" s="1107"/>
      <c r="AR304" s="1107"/>
      <c r="AS304" s="1107"/>
      <c r="AT304" s="1107"/>
      <c r="AU304" s="1107"/>
      <c r="AV304" s="1107"/>
      <c r="AW304" s="1107"/>
      <c r="AX304" s="1107"/>
      <c r="AY304" s="1107"/>
      <c r="AZ304" s="1107"/>
      <c r="BA304" s="1107"/>
      <c r="BB304" s="1107"/>
      <c r="BC304" s="1107"/>
      <c r="BD304" s="1107"/>
      <c r="BE304" s="1107"/>
      <c r="BF304" s="1107"/>
      <c r="BG304" s="1107"/>
      <c r="BH304" s="1107"/>
      <c r="BI304" s="1107"/>
      <c r="BJ304" s="1107"/>
      <c r="BK304" s="1107"/>
      <c r="BL304" s="1107"/>
      <c r="BM304" s="1107"/>
      <c r="BN304" s="1107"/>
      <c r="BO304" s="1107"/>
      <c r="BP304" s="1107"/>
      <c r="BQ304" s="1107"/>
      <c r="BR304" s="1107"/>
      <c r="BS304" s="1107"/>
      <c r="BT304" s="1107"/>
      <c r="BU304" s="1107"/>
      <c r="BV304" s="1107"/>
      <c r="BW304" s="1107"/>
      <c r="BX304" s="1107"/>
      <c r="BY304" s="1107"/>
      <c r="BZ304" s="1107"/>
      <c r="CA304" s="1107"/>
      <c r="CB304" s="1107"/>
      <c r="CC304" s="1107"/>
      <c r="CD304" s="1107"/>
      <c r="CE304" s="1107"/>
      <c r="CF304" s="1107"/>
      <c r="CG304" s="1107"/>
      <c r="CH304" s="1107"/>
      <c r="CI304" s="1107"/>
      <c r="CJ304" s="1107"/>
      <c r="CK304" s="1107"/>
    </row>
    <row r="305" spans="1:89" ht="60.75" thickBot="1" x14ac:dyDescent="0.3">
      <c r="A305" s="1107"/>
      <c r="B305" s="1132" t="s">
        <v>1853</v>
      </c>
      <c r="C305" s="1133" t="s">
        <v>1608</v>
      </c>
      <c r="D305" s="1112">
        <v>5001</v>
      </c>
      <c r="E305" s="1230" t="s">
        <v>1905</v>
      </c>
      <c r="F305" s="1230" t="s">
        <v>1497</v>
      </c>
      <c r="G305" s="1102" t="str" cm="1">
        <f t="array" aca="1" ref="G305" ca="1">INDIRECT("'Incentives Worksheet'!P"&amp;'Configurable Tab'!H28+3)</f>
        <v>Same as Payout Cycle</v>
      </c>
      <c r="H305" s="1102" t="str" cm="1">
        <f t="array" aca="1" ref="H305" ca="1">IF(ISBLANK(INDIRECT("'Incentives Worksheet'!H"&amp;'Configurable Tab'!H28+3)),"",INDIRECT("'Incentives Worksheet'!H"&amp;'Configurable Tab'!H28+3))</f>
        <v/>
      </c>
      <c r="I305" s="1102" t="str" cm="1">
        <f t="array" aca="1" ref="I305" ca="1">IF(INDIRECT("'Incentives Worksheet'!R"&amp;'Configurable Tab'!H28+3)="USF Calendar","Fiscal",INDIRECT("'Incentives Worksheet'!R"&amp;'Configurable Tab'!H28+3))</f>
        <v>Fiscal</v>
      </c>
      <c r="J305" s="1102" t="str" cm="1">
        <f t="array" aca="1" ref="J305" ca="1">IF(INDIRECT("'Incentives Worksheet'!T"&amp;'Configurable Tab'!H28+3)="Yes","Post to GL","")</f>
        <v/>
      </c>
      <c r="K305" s="1102" t="str" cm="1">
        <f t="array" aca="1" ref="K305" ca="1">IF(ISBLANK(INDIRECT("'Incentives Worksheet'!L"&amp;'Configurable Tab'!H28+3)),"",INDIRECT("'Incentives Worksheet'!L"&amp;'Configurable Tab'!H28+3))</f>
        <v/>
      </c>
      <c r="L305" s="1102" t="str" cm="1">
        <f t="array" aca="1" ref="L305" ca="1">IF(ISBLANK(INDIRECT("'Incentives Worksheet'!J"&amp;'Configurable Tab'!H28+3)),"",INDIRECT("'Incentives Worksheet'!J"&amp;'Configurable Tab'!H28+3))</f>
        <v/>
      </c>
      <c r="M305" s="1102" t="str" cm="1">
        <f t="array" aca="1" ref="M305" ca="1">IF(ISBLANK(INDIRECT("'Incentives Worksheet'!N"&amp;'Configurable Tab'!H28+3)),"",INDIRECT("'Incentives Worksheet'!N"&amp;'Configurable Tab'!H28+3))</f>
        <v/>
      </c>
      <c r="N305" s="1103" t="str" cm="1">
        <f t="array" aca="1" ref="N305" ca="1">INDIRECT("'Incentives Worksheet'!D"&amp;'Configurable Tab'!H28+6)</f>
        <v/>
      </c>
      <c r="O305" s="1103" t="str" cm="1">
        <f t="array" aca="1" ref="O305" ca="1">INDIRECT("'Incentives Worksheet'!D"&amp;'Configurable Tab'!H28+8)</f>
        <v/>
      </c>
      <c r="P305" s="1102" t="str" cm="1">
        <f t="array" aca="1" ref="P305" ca="1">INDIRECT("'Incentives Worksheet'!D"&amp;'Configurable Tab'!H28+10)</f>
        <v>Yes</v>
      </c>
      <c r="Q305" s="1107"/>
      <c r="R305" s="1107"/>
      <c r="S305" s="1107"/>
      <c r="T305" s="1107"/>
      <c r="U305" s="1107"/>
      <c r="V305" s="1107"/>
      <c r="W305" s="1107"/>
      <c r="X305" s="1107"/>
      <c r="Y305" s="1107"/>
      <c r="Z305" s="1107"/>
      <c r="AA305" s="1107"/>
      <c r="AB305" s="1107"/>
      <c r="AC305" s="1107"/>
      <c r="AD305" s="1107"/>
      <c r="AE305" s="1107"/>
      <c r="AF305" s="1107"/>
      <c r="AG305" s="1107"/>
      <c r="AH305" s="1107"/>
      <c r="AI305" s="1107"/>
      <c r="AJ305" s="1107"/>
      <c r="AK305" s="1107"/>
      <c r="AL305" s="1107"/>
      <c r="AM305" s="1107"/>
      <c r="AN305" s="1107"/>
      <c r="AO305" s="1107"/>
      <c r="AP305" s="1107"/>
      <c r="AQ305" s="1107"/>
      <c r="AR305" s="1107"/>
      <c r="AS305" s="1107"/>
      <c r="AT305" s="1107"/>
      <c r="AU305" s="1107"/>
      <c r="AV305" s="1107"/>
      <c r="AW305" s="1107"/>
      <c r="AX305" s="1107"/>
      <c r="AY305" s="1107"/>
      <c r="AZ305" s="1107"/>
      <c r="BA305" s="1107"/>
      <c r="BB305" s="1107"/>
      <c r="BC305" s="1107"/>
      <c r="BD305" s="1107"/>
      <c r="BE305" s="1107"/>
      <c r="BF305" s="1107"/>
      <c r="BG305" s="1107"/>
      <c r="BH305" s="1107"/>
      <c r="BI305" s="1107"/>
      <c r="BJ305" s="1107"/>
      <c r="BK305" s="1107"/>
      <c r="BL305" s="1107"/>
      <c r="BM305" s="1107"/>
      <c r="BN305" s="1107"/>
      <c r="BO305" s="1107"/>
      <c r="BP305" s="1107"/>
      <c r="BQ305" s="1107"/>
      <c r="BR305" s="1107"/>
      <c r="BS305" s="1107"/>
      <c r="BT305" s="1107"/>
      <c r="BU305" s="1107"/>
      <c r="BV305" s="1107"/>
      <c r="BW305" s="1107"/>
      <c r="BX305" s="1107"/>
      <c r="BY305" s="1107"/>
      <c r="BZ305" s="1107"/>
      <c r="CA305" s="1107"/>
      <c r="CB305" s="1107"/>
      <c r="CC305" s="1107"/>
      <c r="CD305" s="1107"/>
      <c r="CE305" s="1107"/>
      <c r="CF305" s="1107"/>
      <c r="CG305" s="1107"/>
      <c r="CH305" s="1107"/>
      <c r="CI305" s="1107"/>
      <c r="CJ305" s="1107"/>
      <c r="CK305" s="1107"/>
    </row>
    <row r="306" spans="1:89" ht="15.75" customHeight="1" thickBot="1" x14ac:dyDescent="0.3">
      <c r="A306" s="1107"/>
      <c r="B306" s="2012" t="s">
        <v>1854</v>
      </c>
      <c r="C306" s="1100" t="s">
        <v>1855</v>
      </c>
      <c r="D306" s="1101" t="s">
        <v>1856</v>
      </c>
      <c r="E306" s="1136"/>
      <c r="F306" s="1136"/>
      <c r="G306" s="1136"/>
      <c r="H306" s="1136"/>
      <c r="I306" s="1136"/>
      <c r="J306" s="1136"/>
      <c r="K306" s="1136"/>
      <c r="L306" s="1136"/>
      <c r="M306" s="1136"/>
      <c r="N306" s="1136"/>
      <c r="O306" s="1136"/>
      <c r="P306" s="1137"/>
      <c r="Q306" s="1107"/>
      <c r="R306" s="1107"/>
      <c r="S306" s="1107"/>
      <c r="T306" s="1107"/>
      <c r="U306" s="1107"/>
      <c r="V306" s="1107"/>
      <c r="W306" s="1107"/>
      <c r="X306" s="1107"/>
      <c r="Y306" s="1107"/>
      <c r="Z306" s="1107"/>
      <c r="AA306" s="1107"/>
      <c r="AB306" s="1107"/>
      <c r="AC306" s="1107"/>
      <c r="AD306" s="1107"/>
      <c r="AE306" s="1107"/>
      <c r="AF306" s="1107"/>
      <c r="AG306" s="1107"/>
      <c r="AH306" s="1107"/>
      <c r="AI306" s="1107"/>
      <c r="AJ306" s="1107"/>
      <c r="AK306" s="1107"/>
      <c r="AL306" s="1107"/>
      <c r="AM306" s="1107"/>
      <c r="AN306" s="1107"/>
      <c r="AO306" s="1107"/>
      <c r="AP306" s="1107"/>
      <c r="AQ306" s="1107"/>
      <c r="AR306" s="1107"/>
      <c r="AS306" s="1107"/>
      <c r="AT306" s="1107"/>
      <c r="AU306" s="1107"/>
      <c r="AV306" s="1107"/>
      <c r="AW306" s="1107"/>
      <c r="AX306" s="1107"/>
      <c r="AY306" s="1107"/>
      <c r="AZ306" s="1107"/>
      <c r="BA306" s="1107"/>
      <c r="BB306" s="1107"/>
      <c r="BC306" s="1107"/>
      <c r="BD306" s="1107"/>
      <c r="BE306" s="1107"/>
      <c r="BF306" s="1107"/>
      <c r="BG306" s="1107"/>
      <c r="BH306" s="1107"/>
      <c r="BI306" s="1107"/>
      <c r="BJ306" s="1107"/>
      <c r="BK306" s="1107"/>
      <c r="BL306" s="1107"/>
      <c r="BM306" s="1107"/>
      <c r="BN306" s="1107"/>
      <c r="BO306" s="1107"/>
      <c r="BP306" s="1107"/>
      <c r="BQ306" s="1107"/>
      <c r="BR306" s="1107"/>
      <c r="BS306" s="1107"/>
      <c r="BT306" s="1107"/>
      <c r="BU306" s="1107"/>
      <c r="BV306" s="1107"/>
      <c r="BW306" s="1107"/>
      <c r="BX306" s="1107"/>
      <c r="BY306" s="1107"/>
      <c r="BZ306" s="1107"/>
      <c r="CA306" s="1107"/>
      <c r="CB306" s="1107"/>
      <c r="CC306" s="1107"/>
      <c r="CD306" s="1107"/>
      <c r="CE306" s="1107"/>
      <c r="CF306" s="1107"/>
      <c r="CG306" s="1107"/>
      <c r="CH306" s="1107"/>
      <c r="CI306" s="1107"/>
      <c r="CJ306" s="1107"/>
      <c r="CK306" s="1107"/>
    </row>
    <row r="307" spans="1:89" ht="15.75" thickBot="1" x14ac:dyDescent="0.3">
      <c r="A307" s="1107"/>
      <c r="B307" s="2013"/>
      <c r="C307" s="1138" t="s">
        <v>1857</v>
      </c>
      <c r="D307" s="1240" t="str" cm="1">
        <f t="array" aca="1" ref="D307" ca="1">IF(ISBLANK(INDIRECT("'Incentives Worksheet'!L"&amp;'Configurable Tab'!H28+6)),"",INDIRECT("'Incentives Worksheet'!L"&amp;'Configurable Tab'!H28+6))</f>
        <v/>
      </c>
      <c r="E307" s="1136"/>
      <c r="F307" s="1136"/>
      <c r="G307" s="1136"/>
      <c r="H307" s="1136"/>
      <c r="I307" s="1136"/>
      <c r="J307" s="1136"/>
      <c r="K307" s="1136"/>
      <c r="L307" s="1136"/>
      <c r="M307" s="1136"/>
      <c r="N307" s="1136"/>
      <c r="O307" s="1136"/>
      <c r="P307" s="1137"/>
      <c r="Q307" s="1107"/>
      <c r="R307" s="1107"/>
      <c r="S307" s="1107"/>
      <c r="T307" s="1107"/>
      <c r="U307" s="1107"/>
      <c r="V307" s="1107"/>
      <c r="W307" s="1107"/>
      <c r="X307" s="1107"/>
      <c r="Y307" s="1107"/>
      <c r="Z307" s="1107"/>
      <c r="AA307" s="1107"/>
      <c r="AB307" s="1107"/>
      <c r="AC307" s="1107"/>
      <c r="AD307" s="1107"/>
      <c r="AE307" s="1107"/>
      <c r="AF307" s="1107"/>
      <c r="AG307" s="1107"/>
      <c r="AH307" s="1107"/>
      <c r="AI307" s="1107"/>
      <c r="AJ307" s="1107"/>
      <c r="AK307" s="1107"/>
      <c r="AL307" s="1107"/>
      <c r="AM307" s="1107"/>
      <c r="AN307" s="1107"/>
      <c r="AO307" s="1107"/>
      <c r="AP307" s="1107"/>
      <c r="AQ307" s="1107"/>
      <c r="AR307" s="1107"/>
      <c r="AS307" s="1107"/>
      <c r="AT307" s="1107"/>
      <c r="AU307" s="1107"/>
      <c r="AV307" s="1107"/>
      <c r="AW307" s="1107"/>
      <c r="AX307" s="1107"/>
      <c r="AY307" s="1107"/>
      <c r="AZ307" s="1107"/>
      <c r="BA307" s="1107"/>
      <c r="BB307" s="1107"/>
      <c r="BC307" s="1107"/>
      <c r="BD307" s="1107"/>
      <c r="BE307" s="1107"/>
      <c r="BF307" s="1107"/>
      <c r="BG307" s="1107"/>
      <c r="BH307" s="1107"/>
      <c r="BI307" s="1107"/>
      <c r="BJ307" s="1107"/>
      <c r="BK307" s="1107"/>
      <c r="BL307" s="1107"/>
      <c r="BM307" s="1107"/>
      <c r="BN307" s="1107"/>
      <c r="BO307" s="1107"/>
      <c r="BP307" s="1107"/>
      <c r="BQ307" s="1107"/>
      <c r="BR307" s="1107"/>
      <c r="BS307" s="1107"/>
      <c r="BT307" s="1107"/>
      <c r="BU307" s="1107"/>
      <c r="BV307" s="1107"/>
      <c r="BW307" s="1107"/>
      <c r="BX307" s="1107"/>
      <c r="BY307" s="1107"/>
      <c r="BZ307" s="1107"/>
      <c r="CA307" s="1107"/>
      <c r="CB307" s="1107"/>
      <c r="CC307" s="1107"/>
      <c r="CD307" s="1107"/>
      <c r="CE307" s="1107"/>
      <c r="CF307" s="1107"/>
      <c r="CG307" s="1107"/>
      <c r="CH307" s="1107"/>
      <c r="CI307" s="1107"/>
      <c r="CJ307" s="1107"/>
      <c r="CK307" s="1107"/>
    </row>
    <row r="308" spans="1:89" ht="15.75" customHeight="1" thickBot="1" x14ac:dyDescent="0.3">
      <c r="A308" s="1107"/>
      <c r="B308" s="2006" t="s">
        <v>1868</v>
      </c>
      <c r="C308" s="1147" t="s">
        <v>1869</v>
      </c>
      <c r="D308" s="1148" t="s">
        <v>1859</v>
      </c>
      <c r="E308" s="1148" t="s">
        <v>131</v>
      </c>
      <c r="F308" s="1148" t="s">
        <v>1860</v>
      </c>
      <c r="G308" s="1148" t="s">
        <v>1870</v>
      </c>
      <c r="H308" s="1149" t="s">
        <v>1871</v>
      </c>
      <c r="I308" s="1150" t="s">
        <v>766</v>
      </c>
      <c r="J308" s="1150" t="s">
        <v>767</v>
      </c>
      <c r="K308" s="1150" t="s">
        <v>768</v>
      </c>
      <c r="L308" s="1150" t="s">
        <v>769</v>
      </c>
      <c r="M308" s="1150" t="s">
        <v>204</v>
      </c>
      <c r="N308" s="1107"/>
      <c r="O308" s="1107"/>
      <c r="P308" s="1108"/>
      <c r="Q308" s="1107"/>
      <c r="R308" s="1107"/>
      <c r="S308" s="1107"/>
      <c r="T308" s="1107"/>
      <c r="U308" s="1107"/>
      <c r="V308" s="1107"/>
      <c r="W308" s="1107"/>
      <c r="X308" s="1107"/>
      <c r="Y308" s="1107"/>
      <c r="Z308" s="1107"/>
      <c r="AA308" s="1107"/>
      <c r="AB308" s="1107"/>
      <c r="AC308" s="1107"/>
      <c r="AD308" s="1107"/>
      <c r="AE308" s="1107"/>
      <c r="AF308" s="1107"/>
      <c r="AG308" s="1107"/>
      <c r="AH308" s="1107"/>
      <c r="AI308" s="1107"/>
      <c r="AJ308" s="1107"/>
      <c r="AK308" s="1107"/>
      <c r="AL308" s="1107"/>
      <c r="AM308" s="1107"/>
      <c r="AN308" s="1107"/>
      <c r="AO308" s="1107"/>
      <c r="AP308" s="1107"/>
      <c r="AQ308" s="1107"/>
      <c r="AR308" s="1107"/>
      <c r="AS308" s="1107"/>
      <c r="AT308" s="1107"/>
      <c r="AU308" s="1107"/>
      <c r="AV308" s="1107"/>
      <c r="AW308" s="1107"/>
      <c r="AX308" s="1107"/>
      <c r="AY308" s="1107"/>
      <c r="AZ308" s="1107"/>
      <c r="BA308" s="1107"/>
      <c r="BB308" s="1107"/>
      <c r="BC308" s="1107"/>
      <c r="BD308" s="1107"/>
      <c r="BE308" s="1107"/>
      <c r="BF308" s="1107"/>
      <c r="BG308" s="1107"/>
      <c r="BH308" s="1107"/>
      <c r="BI308" s="1107"/>
      <c r="BJ308" s="1107"/>
      <c r="BK308" s="1107"/>
      <c r="BL308" s="1107"/>
      <c r="BM308" s="1107"/>
      <c r="BN308" s="1107"/>
      <c r="BO308" s="1107"/>
      <c r="BP308" s="1107"/>
      <c r="BQ308" s="1107"/>
      <c r="BR308" s="1107"/>
      <c r="BS308" s="1107"/>
      <c r="BT308" s="1107"/>
      <c r="BU308" s="1107"/>
      <c r="BV308" s="1107"/>
      <c r="BW308" s="1107"/>
      <c r="BX308" s="1107"/>
      <c r="BY308" s="1107"/>
      <c r="BZ308" s="1107"/>
      <c r="CA308" s="1107"/>
      <c r="CB308" s="1107"/>
      <c r="CC308" s="1107"/>
      <c r="CD308" s="1107"/>
      <c r="CE308" s="1107"/>
      <c r="CF308" s="1107"/>
      <c r="CG308" s="1107"/>
      <c r="CH308" s="1107"/>
      <c r="CI308" s="1107"/>
      <c r="CJ308" s="1107"/>
      <c r="CK308" s="1107"/>
    </row>
    <row r="309" spans="1:89" x14ac:dyDescent="0.25">
      <c r="A309" s="1107"/>
      <c r="B309" s="2008"/>
      <c r="C309" s="1151">
        <v>1</v>
      </c>
      <c r="D309" s="1144" t="s">
        <v>1872</v>
      </c>
      <c r="E309" s="1144" t="s">
        <v>1426</v>
      </c>
      <c r="F309" s="1144" t="str">
        <f>'Required Info to Submit'!E23</f>
        <v/>
      </c>
      <c r="G309" s="1414" t="str">
        <f>IF(F309="","",'Required Info to Submit'!K23)</f>
        <v/>
      </c>
      <c r="H309" s="1415" t="str">
        <f>IF(F309="","",'Required Info to Submit'!L23)</f>
        <v/>
      </c>
      <c r="I309" s="1144" t="str">
        <f>'Required Info to Submit'!F23</f>
        <v/>
      </c>
      <c r="J309" s="1144" t="str">
        <f>'Required Info to Submit'!G23</f>
        <v/>
      </c>
      <c r="K309" s="1144" t="str">
        <f>'Required Info to Submit'!H23</f>
        <v/>
      </c>
      <c r="L309" s="1144" t="str">
        <f>'Required Info to Submit'!I23</f>
        <v/>
      </c>
      <c r="M309" s="1144" t="str">
        <f>'Required Info to Submit'!J23</f>
        <v/>
      </c>
      <c r="N309" s="1107"/>
      <c r="O309" s="1107"/>
      <c r="P309" s="1108"/>
      <c r="Q309" s="1107"/>
      <c r="R309" s="1107"/>
      <c r="S309" s="1107"/>
      <c r="T309" s="1107"/>
      <c r="U309" s="1107"/>
      <c r="V309" s="1107"/>
      <c r="W309" s="1107"/>
      <c r="X309" s="1107"/>
      <c r="Y309" s="1107"/>
      <c r="Z309" s="1107"/>
      <c r="AA309" s="1107"/>
      <c r="AB309" s="1107"/>
      <c r="AC309" s="1107"/>
      <c r="AD309" s="1107"/>
      <c r="AE309" s="1107"/>
      <c r="AF309" s="1107"/>
      <c r="AG309" s="1107"/>
      <c r="AH309" s="1107"/>
      <c r="AI309" s="1107"/>
      <c r="AJ309" s="1107"/>
      <c r="AK309" s="1107"/>
      <c r="AL309" s="1107"/>
      <c r="AM309" s="1107"/>
      <c r="AN309" s="1107"/>
      <c r="AO309" s="1107"/>
      <c r="AP309" s="1107"/>
      <c r="AQ309" s="1107"/>
      <c r="AR309" s="1107"/>
      <c r="AS309" s="1107"/>
      <c r="AT309" s="1107"/>
      <c r="AU309" s="1107"/>
      <c r="AV309" s="1107"/>
      <c r="AW309" s="1107"/>
      <c r="AX309" s="1107"/>
      <c r="AY309" s="1107"/>
      <c r="AZ309" s="1107"/>
      <c r="BA309" s="1107"/>
      <c r="BB309" s="1107"/>
      <c r="BC309" s="1107"/>
      <c r="BD309" s="1107"/>
      <c r="BE309" s="1107"/>
      <c r="BF309" s="1107"/>
      <c r="BG309" s="1107"/>
      <c r="BH309" s="1107"/>
      <c r="BI309" s="1107"/>
      <c r="BJ309" s="1107"/>
      <c r="BK309" s="1107"/>
      <c r="BL309" s="1107"/>
      <c r="BM309" s="1107"/>
      <c r="BN309" s="1107"/>
      <c r="BO309" s="1107"/>
      <c r="BP309" s="1107"/>
      <c r="BQ309" s="1107"/>
      <c r="BR309" s="1107"/>
      <c r="BS309" s="1107"/>
      <c r="BT309" s="1107"/>
      <c r="BU309" s="1107"/>
      <c r="BV309" s="1107"/>
      <c r="BW309" s="1107"/>
      <c r="BX309" s="1107"/>
      <c r="BY309" s="1107"/>
      <c r="BZ309" s="1107"/>
      <c r="CA309" s="1107"/>
      <c r="CB309" s="1107"/>
      <c r="CC309" s="1107"/>
      <c r="CD309" s="1107"/>
      <c r="CE309" s="1107"/>
      <c r="CF309" s="1107"/>
      <c r="CG309" s="1107"/>
      <c r="CH309" s="1107"/>
      <c r="CI309" s="1107"/>
      <c r="CJ309" s="1107"/>
      <c r="CK309" s="1107"/>
    </row>
    <row r="310" spans="1:89" x14ac:dyDescent="0.25">
      <c r="A310" s="1107"/>
      <c r="B310" s="2008"/>
      <c r="C310" s="1154">
        <v>2</v>
      </c>
      <c r="D310" s="1144" t="s">
        <v>1872</v>
      </c>
      <c r="E310" s="1144" t="s">
        <v>1426</v>
      </c>
      <c r="F310" s="1144" t="str">
        <f>'Required Info to Submit'!E24</f>
        <v/>
      </c>
      <c r="G310" s="1414" t="str">
        <f>IF(F310="","",'Required Info to Submit'!K24)</f>
        <v/>
      </c>
      <c r="H310" s="1415" t="str">
        <f>IF(F310="","",'Required Info to Submit'!L24)</f>
        <v/>
      </c>
      <c r="I310" s="1144" t="str">
        <f>'Required Info to Submit'!F24</f>
        <v/>
      </c>
      <c r="J310" s="1144" t="str">
        <f>'Required Info to Submit'!G24</f>
        <v/>
      </c>
      <c r="K310" s="1144" t="str">
        <f>'Required Info to Submit'!H24</f>
        <v/>
      </c>
      <c r="L310" s="1144" t="str">
        <f>'Required Info to Submit'!I24</f>
        <v/>
      </c>
      <c r="M310" s="1144" t="str">
        <f>'Required Info to Submit'!J24</f>
        <v/>
      </c>
      <c r="N310" s="1107"/>
      <c r="O310" s="1107"/>
      <c r="P310" s="1108"/>
      <c r="Q310" s="1107"/>
      <c r="R310" s="1107"/>
      <c r="S310" s="1107"/>
      <c r="T310" s="1107"/>
      <c r="U310" s="1107"/>
      <c r="V310" s="1107"/>
      <c r="W310" s="1107"/>
      <c r="X310" s="1107"/>
      <c r="Y310" s="1107"/>
      <c r="Z310" s="1107"/>
      <c r="AA310" s="1107"/>
      <c r="AB310" s="1107"/>
      <c r="AC310" s="1107"/>
      <c r="AD310" s="1107"/>
      <c r="AE310" s="1107"/>
      <c r="AF310" s="1107"/>
      <c r="AG310" s="1107"/>
      <c r="AH310" s="1107"/>
      <c r="AI310" s="1107"/>
      <c r="AJ310" s="1107"/>
      <c r="AK310" s="1107"/>
      <c r="AL310" s="1107"/>
      <c r="AM310" s="1107"/>
      <c r="AN310" s="1107"/>
      <c r="AO310" s="1107"/>
      <c r="AP310" s="1107"/>
      <c r="AQ310" s="1107"/>
      <c r="AR310" s="1107"/>
      <c r="AS310" s="1107"/>
      <c r="AT310" s="1107"/>
      <c r="AU310" s="1107"/>
      <c r="AV310" s="1107"/>
      <c r="AW310" s="1107"/>
      <c r="AX310" s="1107"/>
      <c r="AY310" s="1107"/>
      <c r="AZ310" s="1107"/>
      <c r="BA310" s="1107"/>
      <c r="BB310" s="1107"/>
      <c r="BC310" s="1107"/>
      <c r="BD310" s="1107"/>
      <c r="BE310" s="1107"/>
      <c r="BF310" s="1107"/>
      <c r="BG310" s="1107"/>
      <c r="BH310" s="1107"/>
      <c r="BI310" s="1107"/>
      <c r="BJ310" s="1107"/>
      <c r="BK310" s="1107"/>
      <c r="BL310" s="1107"/>
      <c r="BM310" s="1107"/>
      <c r="BN310" s="1107"/>
      <c r="BO310" s="1107"/>
      <c r="BP310" s="1107"/>
      <c r="BQ310" s="1107"/>
      <c r="BR310" s="1107"/>
      <c r="BS310" s="1107"/>
      <c r="BT310" s="1107"/>
      <c r="BU310" s="1107"/>
      <c r="BV310" s="1107"/>
      <c r="BW310" s="1107"/>
      <c r="BX310" s="1107"/>
      <c r="BY310" s="1107"/>
      <c r="BZ310" s="1107"/>
      <c r="CA310" s="1107"/>
      <c r="CB310" s="1107"/>
      <c r="CC310" s="1107"/>
      <c r="CD310" s="1107"/>
      <c r="CE310" s="1107"/>
      <c r="CF310" s="1107"/>
      <c r="CG310" s="1107"/>
      <c r="CH310" s="1107"/>
      <c r="CI310" s="1107"/>
      <c r="CJ310" s="1107"/>
      <c r="CK310" s="1107"/>
    </row>
    <row r="311" spans="1:89" x14ac:dyDescent="0.25">
      <c r="A311" s="1107"/>
      <c r="B311" s="2008"/>
      <c r="C311" s="1154">
        <v>3</v>
      </c>
      <c r="D311" s="1144" t="s">
        <v>1872</v>
      </c>
      <c r="E311" s="1144" t="s">
        <v>1426</v>
      </c>
      <c r="F311" s="1144" t="str">
        <f>'Required Info to Submit'!E25</f>
        <v/>
      </c>
      <c r="G311" s="1414" t="str">
        <f>IF(F311="","",'Required Info to Submit'!K25)</f>
        <v/>
      </c>
      <c r="H311" s="1415" t="str">
        <f>IF(F311="","",'Required Info to Submit'!L25)</f>
        <v/>
      </c>
      <c r="I311" s="1144" t="str">
        <f>'Required Info to Submit'!F25</f>
        <v/>
      </c>
      <c r="J311" s="1144" t="str">
        <f>'Required Info to Submit'!G25</f>
        <v/>
      </c>
      <c r="K311" s="1144" t="str">
        <f>'Required Info to Submit'!H25</f>
        <v/>
      </c>
      <c r="L311" s="1144" t="str">
        <f>'Required Info to Submit'!I25</f>
        <v/>
      </c>
      <c r="M311" s="1144" t="str">
        <f>'Required Info to Submit'!J25</f>
        <v/>
      </c>
      <c r="N311" s="1107"/>
      <c r="O311" s="1107"/>
      <c r="P311" s="1108"/>
      <c r="Q311" s="1107"/>
      <c r="R311" s="1107"/>
      <c r="S311" s="1107"/>
      <c r="T311" s="1107"/>
      <c r="U311" s="1107"/>
      <c r="V311" s="1107"/>
      <c r="W311" s="1107"/>
      <c r="X311" s="1107"/>
      <c r="Y311" s="1107"/>
      <c r="Z311" s="1107"/>
      <c r="AA311" s="1107"/>
      <c r="AB311" s="1107"/>
      <c r="AC311" s="1107"/>
      <c r="AD311" s="1107"/>
      <c r="AE311" s="1107"/>
      <c r="AF311" s="1107"/>
      <c r="AG311" s="1107"/>
      <c r="AH311" s="1107"/>
      <c r="AI311" s="1107"/>
      <c r="AJ311" s="1107"/>
      <c r="AK311" s="1107"/>
      <c r="AL311" s="1107"/>
      <c r="AM311" s="1107"/>
      <c r="AN311" s="1107"/>
      <c r="AO311" s="1107"/>
      <c r="AP311" s="1107"/>
      <c r="AQ311" s="1107"/>
      <c r="AR311" s="1107"/>
      <c r="AS311" s="1107"/>
      <c r="AT311" s="1107"/>
      <c r="AU311" s="1107"/>
      <c r="AV311" s="1107"/>
      <c r="AW311" s="1107"/>
      <c r="AX311" s="1107"/>
      <c r="AY311" s="1107"/>
      <c r="AZ311" s="1107"/>
      <c r="BA311" s="1107"/>
      <c r="BB311" s="1107"/>
      <c r="BC311" s="1107"/>
      <c r="BD311" s="1107"/>
      <c r="BE311" s="1107"/>
      <c r="BF311" s="1107"/>
      <c r="BG311" s="1107"/>
      <c r="BH311" s="1107"/>
      <c r="BI311" s="1107"/>
      <c r="BJ311" s="1107"/>
      <c r="BK311" s="1107"/>
      <c r="BL311" s="1107"/>
      <c r="BM311" s="1107"/>
      <c r="BN311" s="1107"/>
      <c r="BO311" s="1107"/>
      <c r="BP311" s="1107"/>
      <c r="BQ311" s="1107"/>
      <c r="BR311" s="1107"/>
      <c r="BS311" s="1107"/>
      <c r="BT311" s="1107"/>
      <c r="BU311" s="1107"/>
      <c r="BV311" s="1107"/>
      <c r="BW311" s="1107"/>
      <c r="BX311" s="1107"/>
      <c r="BY311" s="1107"/>
      <c r="BZ311" s="1107"/>
      <c r="CA311" s="1107"/>
      <c r="CB311" s="1107"/>
      <c r="CC311" s="1107"/>
      <c r="CD311" s="1107"/>
      <c r="CE311" s="1107"/>
      <c r="CF311" s="1107"/>
      <c r="CG311" s="1107"/>
      <c r="CH311" s="1107"/>
      <c r="CI311" s="1107"/>
      <c r="CJ311" s="1107"/>
      <c r="CK311" s="1107"/>
    </row>
    <row r="312" spans="1:89" x14ac:dyDescent="0.25">
      <c r="A312" s="1107"/>
      <c r="B312" s="2008"/>
      <c r="C312" s="1154">
        <v>4</v>
      </c>
      <c r="D312" s="1144" t="s">
        <v>1872</v>
      </c>
      <c r="E312" s="1144" t="s">
        <v>1426</v>
      </c>
      <c r="F312" s="1144" t="str">
        <f>'Required Info to Submit'!E26</f>
        <v/>
      </c>
      <c r="G312" s="1414" t="str">
        <f>IF(F312="","",'Required Info to Submit'!K26)</f>
        <v/>
      </c>
      <c r="H312" s="1415" t="str">
        <f>IF(F312="","",'Required Info to Submit'!L26)</f>
        <v/>
      </c>
      <c r="I312" s="1144" t="str">
        <f>'Required Info to Submit'!F26</f>
        <v/>
      </c>
      <c r="J312" s="1144" t="str">
        <f>'Required Info to Submit'!G26</f>
        <v/>
      </c>
      <c r="K312" s="1144" t="str">
        <f>'Required Info to Submit'!H26</f>
        <v/>
      </c>
      <c r="L312" s="1144" t="str">
        <f>'Required Info to Submit'!I26</f>
        <v/>
      </c>
      <c r="M312" s="1144" t="str">
        <f>'Required Info to Submit'!J26</f>
        <v/>
      </c>
      <c r="N312" s="1107"/>
      <c r="O312" s="1107"/>
      <c r="P312" s="1108"/>
      <c r="Q312" s="1107"/>
      <c r="R312" s="1107"/>
      <c r="S312" s="1107"/>
      <c r="T312" s="1107"/>
      <c r="U312" s="1107"/>
      <c r="V312" s="1107"/>
      <c r="W312" s="1107"/>
      <c r="X312" s="1107"/>
      <c r="Y312" s="1107"/>
      <c r="Z312" s="1107"/>
      <c r="AA312" s="1107"/>
      <c r="AB312" s="1107"/>
      <c r="AC312" s="1107"/>
      <c r="AD312" s="1107"/>
      <c r="AE312" s="1107"/>
      <c r="AF312" s="1107"/>
      <c r="AG312" s="1107"/>
      <c r="AH312" s="1107"/>
      <c r="AI312" s="1107"/>
      <c r="AJ312" s="1107"/>
      <c r="AK312" s="1107"/>
      <c r="AL312" s="1107"/>
      <c r="AM312" s="1107"/>
      <c r="AN312" s="1107"/>
      <c r="AO312" s="1107"/>
      <c r="AP312" s="1107"/>
      <c r="AQ312" s="1107"/>
      <c r="AR312" s="1107"/>
      <c r="AS312" s="1107"/>
      <c r="AT312" s="1107"/>
      <c r="AU312" s="1107"/>
      <c r="AV312" s="1107"/>
      <c r="AW312" s="1107"/>
      <c r="AX312" s="1107"/>
      <c r="AY312" s="1107"/>
      <c r="AZ312" s="1107"/>
      <c r="BA312" s="1107"/>
      <c r="BB312" s="1107"/>
      <c r="BC312" s="1107"/>
      <c r="BD312" s="1107"/>
      <c r="BE312" s="1107"/>
      <c r="BF312" s="1107"/>
      <c r="BG312" s="1107"/>
      <c r="BH312" s="1107"/>
      <c r="BI312" s="1107"/>
      <c r="BJ312" s="1107"/>
      <c r="BK312" s="1107"/>
      <c r="BL312" s="1107"/>
      <c r="BM312" s="1107"/>
      <c r="BN312" s="1107"/>
      <c r="BO312" s="1107"/>
      <c r="BP312" s="1107"/>
      <c r="BQ312" s="1107"/>
      <c r="BR312" s="1107"/>
      <c r="BS312" s="1107"/>
      <c r="BT312" s="1107"/>
      <c r="BU312" s="1107"/>
      <c r="BV312" s="1107"/>
      <c r="BW312" s="1107"/>
      <c r="BX312" s="1107"/>
      <c r="BY312" s="1107"/>
      <c r="BZ312" s="1107"/>
      <c r="CA312" s="1107"/>
      <c r="CB312" s="1107"/>
      <c r="CC312" s="1107"/>
      <c r="CD312" s="1107"/>
      <c r="CE312" s="1107"/>
      <c r="CF312" s="1107"/>
      <c r="CG312" s="1107"/>
      <c r="CH312" s="1107"/>
      <c r="CI312" s="1107"/>
      <c r="CJ312" s="1107"/>
      <c r="CK312" s="1107"/>
    </row>
    <row r="313" spans="1:89" x14ac:dyDescent="0.25">
      <c r="A313" s="1107"/>
      <c r="B313" s="2008"/>
      <c r="C313" s="1154">
        <v>5</v>
      </c>
      <c r="D313" s="1144" t="s">
        <v>1872</v>
      </c>
      <c r="E313" s="1144" t="s">
        <v>1426</v>
      </c>
      <c r="F313" s="1144" t="str">
        <f>'Required Info to Submit'!E27</f>
        <v/>
      </c>
      <c r="G313" s="1414" t="str">
        <f>IF(F313="","",'Required Info to Submit'!K27)</f>
        <v/>
      </c>
      <c r="H313" s="1415" t="str">
        <f>IF(F313="","",'Required Info to Submit'!L27)</f>
        <v/>
      </c>
      <c r="I313" s="1144" t="str">
        <f>'Required Info to Submit'!F27</f>
        <v/>
      </c>
      <c r="J313" s="1144" t="str">
        <f>'Required Info to Submit'!G27</f>
        <v/>
      </c>
      <c r="K313" s="1144" t="str">
        <f>'Required Info to Submit'!H27</f>
        <v/>
      </c>
      <c r="L313" s="1144" t="str">
        <f>'Required Info to Submit'!I27</f>
        <v/>
      </c>
      <c r="M313" s="1144" t="str">
        <f>'Required Info to Submit'!J27</f>
        <v/>
      </c>
      <c r="N313" s="1107"/>
      <c r="O313" s="1107"/>
      <c r="P313" s="1108"/>
      <c r="Q313" s="1107"/>
      <c r="R313" s="1107"/>
      <c r="S313" s="1107"/>
      <c r="T313" s="1107"/>
      <c r="U313" s="1107"/>
      <c r="V313" s="1107"/>
      <c r="W313" s="1107"/>
      <c r="X313" s="1107"/>
      <c r="Y313" s="1107"/>
      <c r="Z313" s="1107"/>
      <c r="AA313" s="1107"/>
      <c r="AB313" s="1107"/>
      <c r="AC313" s="1107"/>
      <c r="AD313" s="1107"/>
      <c r="AE313" s="1107"/>
      <c r="AF313" s="1107"/>
      <c r="AG313" s="1107"/>
      <c r="AH313" s="1107"/>
      <c r="AI313" s="1107"/>
      <c r="AJ313" s="1107"/>
      <c r="AK313" s="1107"/>
      <c r="AL313" s="1107"/>
      <c r="AM313" s="1107"/>
      <c r="AN313" s="1107"/>
      <c r="AO313" s="1107"/>
      <c r="AP313" s="1107"/>
      <c r="AQ313" s="1107"/>
      <c r="AR313" s="1107"/>
      <c r="AS313" s="1107"/>
      <c r="AT313" s="1107"/>
      <c r="AU313" s="1107"/>
      <c r="AV313" s="1107"/>
      <c r="AW313" s="1107"/>
      <c r="AX313" s="1107"/>
      <c r="AY313" s="1107"/>
      <c r="AZ313" s="1107"/>
      <c r="BA313" s="1107"/>
      <c r="BB313" s="1107"/>
      <c r="BC313" s="1107"/>
      <c r="BD313" s="1107"/>
      <c r="BE313" s="1107"/>
      <c r="BF313" s="1107"/>
      <c r="BG313" s="1107"/>
      <c r="BH313" s="1107"/>
      <c r="BI313" s="1107"/>
      <c r="BJ313" s="1107"/>
      <c r="BK313" s="1107"/>
      <c r="BL313" s="1107"/>
      <c r="BM313" s="1107"/>
      <c r="BN313" s="1107"/>
      <c r="BO313" s="1107"/>
      <c r="BP313" s="1107"/>
      <c r="BQ313" s="1107"/>
      <c r="BR313" s="1107"/>
      <c r="BS313" s="1107"/>
      <c r="BT313" s="1107"/>
      <c r="BU313" s="1107"/>
      <c r="BV313" s="1107"/>
      <c r="BW313" s="1107"/>
      <c r="BX313" s="1107"/>
      <c r="BY313" s="1107"/>
      <c r="BZ313" s="1107"/>
      <c r="CA313" s="1107"/>
      <c r="CB313" s="1107"/>
      <c r="CC313" s="1107"/>
      <c r="CD313" s="1107"/>
      <c r="CE313" s="1107"/>
      <c r="CF313" s="1107"/>
      <c r="CG313" s="1107"/>
      <c r="CH313" s="1107"/>
      <c r="CI313" s="1107"/>
      <c r="CJ313" s="1107"/>
      <c r="CK313" s="1107"/>
    </row>
    <row r="314" spans="1:89" x14ac:dyDescent="0.25">
      <c r="A314" s="1107"/>
      <c r="B314" s="2008"/>
      <c r="C314" s="1154">
        <v>6</v>
      </c>
      <c r="D314" s="1144" t="s">
        <v>1872</v>
      </c>
      <c r="E314" s="1144" t="s">
        <v>1426</v>
      </c>
      <c r="F314" s="1144" t="str">
        <f>'Required Info to Submit'!E28</f>
        <v/>
      </c>
      <c r="G314" s="1414" t="str">
        <f>IF(F314="","",'Required Info to Submit'!K28)</f>
        <v/>
      </c>
      <c r="H314" s="1415" t="str">
        <f>IF(F314="","",'Required Info to Submit'!L28)</f>
        <v/>
      </c>
      <c r="I314" s="1144" t="str">
        <f>'Required Info to Submit'!F28</f>
        <v/>
      </c>
      <c r="J314" s="1144" t="str">
        <f>'Required Info to Submit'!G28</f>
        <v/>
      </c>
      <c r="K314" s="1144" t="str">
        <f>'Required Info to Submit'!H28</f>
        <v/>
      </c>
      <c r="L314" s="1144" t="str">
        <f>'Required Info to Submit'!I28</f>
        <v/>
      </c>
      <c r="M314" s="1144" t="str">
        <f>'Required Info to Submit'!J28</f>
        <v/>
      </c>
      <c r="N314" s="1107"/>
      <c r="O314" s="1107"/>
      <c r="P314" s="1108"/>
      <c r="Q314" s="1107"/>
      <c r="R314" s="1107"/>
      <c r="S314" s="1107"/>
      <c r="T314" s="1107"/>
      <c r="U314" s="1107"/>
      <c r="V314" s="1107"/>
      <c r="W314" s="1107"/>
      <c r="X314" s="1107"/>
      <c r="Y314" s="1107"/>
      <c r="Z314" s="1107"/>
      <c r="AA314" s="1107"/>
      <c r="AB314" s="1107"/>
      <c r="AC314" s="1107"/>
      <c r="AD314" s="1107"/>
      <c r="AE314" s="1107"/>
      <c r="AF314" s="1107"/>
      <c r="AG314" s="1107"/>
      <c r="AH314" s="1107"/>
      <c r="AI314" s="1107"/>
      <c r="AJ314" s="1107"/>
      <c r="AK314" s="1107"/>
      <c r="AL314" s="1107"/>
      <c r="AM314" s="1107"/>
      <c r="AN314" s="1107"/>
      <c r="AO314" s="1107"/>
      <c r="AP314" s="1107"/>
      <c r="AQ314" s="1107"/>
      <c r="AR314" s="1107"/>
      <c r="AS314" s="1107"/>
      <c r="AT314" s="1107"/>
      <c r="AU314" s="1107"/>
      <c r="AV314" s="1107"/>
      <c r="AW314" s="1107"/>
      <c r="AX314" s="1107"/>
      <c r="AY314" s="1107"/>
      <c r="AZ314" s="1107"/>
      <c r="BA314" s="1107"/>
      <c r="BB314" s="1107"/>
      <c r="BC314" s="1107"/>
      <c r="BD314" s="1107"/>
      <c r="BE314" s="1107"/>
      <c r="BF314" s="1107"/>
      <c r="BG314" s="1107"/>
      <c r="BH314" s="1107"/>
      <c r="BI314" s="1107"/>
      <c r="BJ314" s="1107"/>
      <c r="BK314" s="1107"/>
      <c r="BL314" s="1107"/>
      <c r="BM314" s="1107"/>
      <c r="BN314" s="1107"/>
      <c r="BO314" s="1107"/>
      <c r="BP314" s="1107"/>
      <c r="BQ314" s="1107"/>
      <c r="BR314" s="1107"/>
      <c r="BS314" s="1107"/>
      <c r="BT314" s="1107"/>
      <c r="BU314" s="1107"/>
      <c r="BV314" s="1107"/>
      <c r="BW314" s="1107"/>
      <c r="BX314" s="1107"/>
      <c r="BY314" s="1107"/>
      <c r="BZ314" s="1107"/>
      <c r="CA314" s="1107"/>
      <c r="CB314" s="1107"/>
      <c r="CC314" s="1107"/>
      <c r="CD314" s="1107"/>
      <c r="CE314" s="1107"/>
      <c r="CF314" s="1107"/>
      <c r="CG314" s="1107"/>
      <c r="CH314" s="1107"/>
      <c r="CI314" s="1107"/>
      <c r="CJ314" s="1107"/>
      <c r="CK314" s="1107"/>
    </row>
    <row r="315" spans="1:89" x14ac:dyDescent="0.25">
      <c r="A315" s="1107"/>
      <c r="B315" s="2008"/>
      <c r="C315" s="1154">
        <v>7</v>
      </c>
      <c r="D315" s="1144" t="s">
        <v>1872</v>
      </c>
      <c r="E315" s="1144" t="s">
        <v>1426</v>
      </c>
      <c r="F315" s="1144" t="str">
        <f>'Required Info to Submit'!E29</f>
        <v/>
      </c>
      <c r="G315" s="1414" t="str">
        <f>IF(F315="","",'Required Info to Submit'!K29)</f>
        <v/>
      </c>
      <c r="H315" s="1415" t="str">
        <f>IF(F315="","",'Required Info to Submit'!L29)</f>
        <v/>
      </c>
      <c r="I315" s="1144" t="str">
        <f>'Required Info to Submit'!F29</f>
        <v/>
      </c>
      <c r="J315" s="1144" t="str">
        <f>'Required Info to Submit'!G29</f>
        <v/>
      </c>
      <c r="K315" s="1144" t="str">
        <f>'Required Info to Submit'!H29</f>
        <v/>
      </c>
      <c r="L315" s="1144" t="str">
        <f>'Required Info to Submit'!I29</f>
        <v/>
      </c>
      <c r="M315" s="1144" t="str">
        <f>'Required Info to Submit'!J29</f>
        <v/>
      </c>
      <c r="N315" s="1107"/>
      <c r="O315" s="1107"/>
      <c r="P315" s="1108"/>
      <c r="Q315" s="1107"/>
      <c r="R315" s="1107"/>
      <c r="S315" s="1107"/>
      <c r="T315" s="1107"/>
      <c r="U315" s="1107"/>
      <c r="V315" s="1107"/>
      <c r="W315" s="1107"/>
      <c r="X315" s="1107"/>
      <c r="Y315" s="1107"/>
      <c r="Z315" s="1107"/>
      <c r="AA315" s="1107"/>
      <c r="AB315" s="1107"/>
      <c r="AC315" s="1107"/>
      <c r="AD315" s="1107"/>
      <c r="AE315" s="1107"/>
      <c r="AF315" s="1107"/>
      <c r="AG315" s="1107"/>
      <c r="AH315" s="1107"/>
      <c r="AI315" s="1107"/>
      <c r="AJ315" s="1107"/>
      <c r="AK315" s="1107"/>
      <c r="AL315" s="1107"/>
      <c r="AM315" s="1107"/>
      <c r="AN315" s="1107"/>
      <c r="AO315" s="1107"/>
      <c r="AP315" s="1107"/>
      <c r="AQ315" s="1107"/>
      <c r="AR315" s="1107"/>
      <c r="AS315" s="1107"/>
      <c r="AT315" s="1107"/>
      <c r="AU315" s="1107"/>
      <c r="AV315" s="1107"/>
      <c r="AW315" s="1107"/>
      <c r="AX315" s="1107"/>
      <c r="AY315" s="1107"/>
      <c r="AZ315" s="1107"/>
      <c r="BA315" s="1107"/>
      <c r="BB315" s="1107"/>
      <c r="BC315" s="1107"/>
      <c r="BD315" s="1107"/>
      <c r="BE315" s="1107"/>
      <c r="BF315" s="1107"/>
      <c r="BG315" s="1107"/>
      <c r="BH315" s="1107"/>
      <c r="BI315" s="1107"/>
      <c r="BJ315" s="1107"/>
      <c r="BK315" s="1107"/>
      <c r="BL315" s="1107"/>
      <c r="BM315" s="1107"/>
      <c r="BN315" s="1107"/>
      <c r="BO315" s="1107"/>
      <c r="BP315" s="1107"/>
      <c r="BQ315" s="1107"/>
      <c r="BR315" s="1107"/>
      <c r="BS315" s="1107"/>
      <c r="BT315" s="1107"/>
      <c r="BU315" s="1107"/>
      <c r="BV315" s="1107"/>
      <c r="BW315" s="1107"/>
      <c r="BX315" s="1107"/>
      <c r="BY315" s="1107"/>
      <c r="BZ315" s="1107"/>
      <c r="CA315" s="1107"/>
      <c r="CB315" s="1107"/>
      <c r="CC315" s="1107"/>
      <c r="CD315" s="1107"/>
      <c r="CE315" s="1107"/>
      <c r="CF315" s="1107"/>
      <c r="CG315" s="1107"/>
      <c r="CH315" s="1107"/>
      <c r="CI315" s="1107"/>
      <c r="CJ315" s="1107"/>
      <c r="CK315" s="1107"/>
    </row>
    <row r="316" spans="1:89" x14ac:dyDescent="0.25">
      <c r="A316" s="1107"/>
      <c r="B316" s="2008"/>
      <c r="C316" s="1154">
        <v>8</v>
      </c>
      <c r="D316" s="1144" t="s">
        <v>1872</v>
      </c>
      <c r="E316" s="1144" t="s">
        <v>1426</v>
      </c>
      <c r="F316" s="1144" t="str">
        <f>'Required Info to Submit'!E30</f>
        <v/>
      </c>
      <c r="G316" s="1414" t="str">
        <f>IF(F316="","",'Required Info to Submit'!K30)</f>
        <v/>
      </c>
      <c r="H316" s="1415" t="str">
        <f>IF(F316="","",'Required Info to Submit'!L30)</f>
        <v/>
      </c>
      <c r="I316" s="1144" t="str">
        <f>'Required Info to Submit'!F30</f>
        <v/>
      </c>
      <c r="J316" s="1144" t="str">
        <f>'Required Info to Submit'!G30</f>
        <v/>
      </c>
      <c r="K316" s="1144" t="str">
        <f>'Required Info to Submit'!H30</f>
        <v/>
      </c>
      <c r="L316" s="1144" t="str">
        <f>'Required Info to Submit'!I30</f>
        <v/>
      </c>
      <c r="M316" s="1144" t="str">
        <f>'Required Info to Submit'!J30</f>
        <v/>
      </c>
      <c r="N316" s="1107"/>
      <c r="O316" s="1107"/>
      <c r="P316" s="1108"/>
      <c r="Q316" s="1107"/>
      <c r="R316" s="1107"/>
      <c r="S316" s="1107"/>
      <c r="T316" s="1107"/>
      <c r="U316" s="1107"/>
      <c r="V316" s="1107"/>
      <c r="W316" s="1107"/>
      <c r="X316" s="1107"/>
      <c r="Y316" s="1107"/>
      <c r="Z316" s="1107"/>
      <c r="AA316" s="1107"/>
      <c r="AB316" s="1107"/>
      <c r="AC316" s="1107"/>
      <c r="AD316" s="1107"/>
      <c r="AE316" s="1107"/>
      <c r="AF316" s="1107"/>
      <c r="AG316" s="1107"/>
      <c r="AH316" s="1107"/>
      <c r="AI316" s="1107"/>
      <c r="AJ316" s="1107"/>
      <c r="AK316" s="1107"/>
      <c r="AL316" s="1107"/>
      <c r="AM316" s="1107"/>
      <c r="AN316" s="1107"/>
      <c r="AO316" s="1107"/>
      <c r="AP316" s="1107"/>
      <c r="AQ316" s="1107"/>
      <c r="AR316" s="1107"/>
      <c r="AS316" s="1107"/>
      <c r="AT316" s="1107"/>
      <c r="AU316" s="1107"/>
      <c r="AV316" s="1107"/>
      <c r="AW316" s="1107"/>
      <c r="AX316" s="1107"/>
      <c r="AY316" s="1107"/>
      <c r="AZ316" s="1107"/>
      <c r="BA316" s="1107"/>
      <c r="BB316" s="1107"/>
      <c r="BC316" s="1107"/>
      <c r="BD316" s="1107"/>
      <c r="BE316" s="1107"/>
      <c r="BF316" s="1107"/>
      <c r="BG316" s="1107"/>
      <c r="BH316" s="1107"/>
      <c r="BI316" s="1107"/>
      <c r="BJ316" s="1107"/>
      <c r="BK316" s="1107"/>
      <c r="BL316" s="1107"/>
      <c r="BM316" s="1107"/>
      <c r="BN316" s="1107"/>
      <c r="BO316" s="1107"/>
      <c r="BP316" s="1107"/>
      <c r="BQ316" s="1107"/>
      <c r="BR316" s="1107"/>
      <c r="BS316" s="1107"/>
      <c r="BT316" s="1107"/>
      <c r="BU316" s="1107"/>
      <c r="BV316" s="1107"/>
      <c r="BW316" s="1107"/>
      <c r="BX316" s="1107"/>
      <c r="BY316" s="1107"/>
      <c r="BZ316" s="1107"/>
      <c r="CA316" s="1107"/>
      <c r="CB316" s="1107"/>
      <c r="CC316" s="1107"/>
      <c r="CD316" s="1107"/>
      <c r="CE316" s="1107"/>
      <c r="CF316" s="1107"/>
      <c r="CG316" s="1107"/>
      <c r="CH316" s="1107"/>
      <c r="CI316" s="1107"/>
      <c r="CJ316" s="1107"/>
      <c r="CK316" s="1107"/>
    </row>
    <row r="317" spans="1:89" x14ac:dyDescent="0.25">
      <c r="A317" s="1107"/>
      <c r="B317" s="2008"/>
      <c r="C317" s="1154">
        <v>9</v>
      </c>
      <c r="D317" s="1144" t="s">
        <v>1872</v>
      </c>
      <c r="E317" s="1144" t="s">
        <v>1426</v>
      </c>
      <c r="F317" s="1144" t="str">
        <f>'Required Info to Submit'!E31</f>
        <v/>
      </c>
      <c r="G317" s="1414" t="str">
        <f>IF(F317="","",'Required Info to Submit'!K31)</f>
        <v/>
      </c>
      <c r="H317" s="1415" t="str">
        <f>IF(F317="","",'Required Info to Submit'!L31)</f>
        <v/>
      </c>
      <c r="I317" s="1144" t="str">
        <f>'Required Info to Submit'!F31</f>
        <v/>
      </c>
      <c r="J317" s="1144" t="str">
        <f>'Required Info to Submit'!G31</f>
        <v/>
      </c>
      <c r="K317" s="1144" t="str">
        <f>'Required Info to Submit'!H31</f>
        <v/>
      </c>
      <c r="L317" s="1144" t="str">
        <f>'Required Info to Submit'!I31</f>
        <v/>
      </c>
      <c r="M317" s="1144" t="str">
        <f>'Required Info to Submit'!J31</f>
        <v/>
      </c>
      <c r="N317" s="1107"/>
      <c r="O317" s="1107"/>
      <c r="P317" s="1108"/>
      <c r="Q317" s="1107"/>
      <c r="R317" s="1107"/>
      <c r="S317" s="1107"/>
      <c r="T317" s="1107"/>
      <c r="U317" s="1107"/>
      <c r="V317" s="1107"/>
      <c r="W317" s="1107"/>
      <c r="X317" s="1107"/>
      <c r="Y317" s="1107"/>
      <c r="Z317" s="1107"/>
      <c r="AA317" s="1107"/>
      <c r="AB317" s="1107"/>
      <c r="AC317" s="1107"/>
      <c r="AD317" s="1107"/>
      <c r="AE317" s="1107"/>
      <c r="AF317" s="1107"/>
      <c r="AG317" s="1107"/>
      <c r="AH317" s="1107"/>
      <c r="AI317" s="1107"/>
      <c r="AJ317" s="1107"/>
      <c r="AK317" s="1107"/>
      <c r="AL317" s="1107"/>
      <c r="AM317" s="1107"/>
      <c r="AN317" s="1107"/>
      <c r="AO317" s="1107"/>
      <c r="AP317" s="1107"/>
      <c r="AQ317" s="1107"/>
      <c r="AR317" s="1107"/>
      <c r="AS317" s="1107"/>
      <c r="AT317" s="1107"/>
      <c r="AU317" s="1107"/>
      <c r="AV317" s="1107"/>
      <c r="AW317" s="1107"/>
      <c r="AX317" s="1107"/>
      <c r="AY317" s="1107"/>
      <c r="AZ317" s="1107"/>
      <c r="BA317" s="1107"/>
      <c r="BB317" s="1107"/>
      <c r="BC317" s="1107"/>
      <c r="BD317" s="1107"/>
      <c r="BE317" s="1107"/>
      <c r="BF317" s="1107"/>
      <c r="BG317" s="1107"/>
      <c r="BH317" s="1107"/>
      <c r="BI317" s="1107"/>
      <c r="BJ317" s="1107"/>
      <c r="BK317" s="1107"/>
      <c r="BL317" s="1107"/>
      <c r="BM317" s="1107"/>
      <c r="BN317" s="1107"/>
      <c r="BO317" s="1107"/>
      <c r="BP317" s="1107"/>
      <c r="BQ317" s="1107"/>
      <c r="BR317" s="1107"/>
      <c r="BS317" s="1107"/>
      <c r="BT317" s="1107"/>
      <c r="BU317" s="1107"/>
      <c r="BV317" s="1107"/>
      <c r="BW317" s="1107"/>
      <c r="BX317" s="1107"/>
      <c r="BY317" s="1107"/>
      <c r="BZ317" s="1107"/>
      <c r="CA317" s="1107"/>
      <c r="CB317" s="1107"/>
      <c r="CC317" s="1107"/>
      <c r="CD317" s="1107"/>
      <c r="CE317" s="1107"/>
      <c r="CF317" s="1107"/>
      <c r="CG317" s="1107"/>
      <c r="CH317" s="1107"/>
      <c r="CI317" s="1107"/>
      <c r="CJ317" s="1107"/>
      <c r="CK317" s="1107"/>
    </row>
    <row r="318" spans="1:89" ht="15.75" thickBot="1" x14ac:dyDescent="0.3">
      <c r="A318" s="1107"/>
      <c r="B318" s="2009"/>
      <c r="C318" s="1156">
        <v>10</v>
      </c>
      <c r="D318" s="1146" t="s">
        <v>1872</v>
      </c>
      <c r="E318" s="1146" t="s">
        <v>1426</v>
      </c>
      <c r="F318" s="1146" t="str">
        <f>'Required Info to Submit'!E32</f>
        <v/>
      </c>
      <c r="G318" s="1414" t="str">
        <f>IF(F318="","",'Required Info to Submit'!K32)</f>
        <v/>
      </c>
      <c r="H318" s="1415" t="str">
        <f>IF(F318="","",'Required Info to Submit'!L32)</f>
        <v/>
      </c>
      <c r="I318" s="1146" t="str">
        <f>'Required Info to Submit'!F32</f>
        <v/>
      </c>
      <c r="J318" s="1146" t="str">
        <f>'Required Info to Submit'!G32</f>
        <v/>
      </c>
      <c r="K318" s="1146" t="str">
        <f>'Required Info to Submit'!H32</f>
        <v/>
      </c>
      <c r="L318" s="1146" t="str">
        <f>'Required Info to Submit'!I32</f>
        <v/>
      </c>
      <c r="M318" s="1146" t="str">
        <f>'Required Info to Submit'!J32</f>
        <v/>
      </c>
      <c r="N318" s="1157"/>
      <c r="O318" s="1157"/>
      <c r="P318" s="1110"/>
      <c r="Q318" s="1107"/>
      <c r="R318" s="1107"/>
      <c r="S318" s="1107"/>
      <c r="T318" s="1107"/>
      <c r="U318" s="1107"/>
      <c r="V318" s="1107"/>
      <c r="W318" s="1107"/>
      <c r="X318" s="1107"/>
      <c r="Y318" s="1107"/>
      <c r="Z318" s="1107"/>
      <c r="AA318" s="1107"/>
      <c r="AB318" s="1107"/>
      <c r="AC318" s="1107"/>
      <c r="AD318" s="1107"/>
      <c r="AE318" s="1107"/>
      <c r="AF318" s="1107"/>
      <c r="AG318" s="1107"/>
      <c r="AH318" s="1107"/>
      <c r="AI318" s="1107"/>
      <c r="AJ318" s="1107"/>
      <c r="AK318" s="1107"/>
      <c r="AL318" s="1107"/>
      <c r="AM318" s="1107"/>
      <c r="AN318" s="1107"/>
      <c r="AO318" s="1107"/>
      <c r="AP318" s="1107"/>
      <c r="AQ318" s="1107"/>
      <c r="AR318" s="1107"/>
      <c r="AS318" s="1107"/>
      <c r="AT318" s="1107"/>
      <c r="AU318" s="1107"/>
      <c r="AV318" s="1107"/>
      <c r="AW318" s="1107"/>
      <c r="AX318" s="1107"/>
      <c r="AY318" s="1107"/>
      <c r="AZ318" s="1107"/>
      <c r="BA318" s="1107"/>
      <c r="BB318" s="1107"/>
      <c r="BC318" s="1107"/>
      <c r="BD318" s="1107"/>
      <c r="BE318" s="1107"/>
      <c r="BF318" s="1107"/>
      <c r="BG318" s="1107"/>
      <c r="BH318" s="1107"/>
      <c r="BI318" s="1107"/>
      <c r="BJ318" s="1107"/>
      <c r="BK318" s="1107"/>
      <c r="BL318" s="1107"/>
      <c r="BM318" s="1107"/>
      <c r="BN318" s="1107"/>
      <c r="BO318" s="1107"/>
      <c r="BP318" s="1107"/>
      <c r="BQ318" s="1107"/>
      <c r="BR318" s="1107"/>
      <c r="BS318" s="1107"/>
      <c r="BT318" s="1107"/>
      <c r="BU318" s="1107"/>
      <c r="BV318" s="1107"/>
      <c r="BW318" s="1107"/>
      <c r="BX318" s="1107"/>
      <c r="BY318" s="1107"/>
      <c r="BZ318" s="1107"/>
      <c r="CA318" s="1107"/>
      <c r="CB318" s="1107"/>
      <c r="CC318" s="1107"/>
      <c r="CD318" s="1107"/>
      <c r="CE318" s="1107"/>
      <c r="CF318" s="1107"/>
      <c r="CG318" s="1107"/>
      <c r="CH318" s="1107"/>
      <c r="CI318" s="1107"/>
      <c r="CJ318" s="1107"/>
      <c r="CK318" s="1107"/>
    </row>
    <row r="319" spans="1:89" x14ac:dyDescent="0.25">
      <c r="A319" s="1107"/>
      <c r="B319" s="1107"/>
      <c r="C319" s="1107"/>
      <c r="D319" s="1107"/>
      <c r="E319" s="1107"/>
      <c r="F319" s="1107"/>
      <c r="G319" s="1107"/>
      <c r="H319" s="1107"/>
      <c r="I319" s="1107"/>
      <c r="J319" s="1107"/>
      <c r="K319" s="1107"/>
      <c r="L319" s="1107"/>
      <c r="M319" s="1107"/>
      <c r="N319" s="1107"/>
      <c r="O319" s="1107"/>
      <c r="P319" s="1107"/>
      <c r="Q319" s="1107"/>
      <c r="R319" s="1107"/>
      <c r="S319" s="1107"/>
      <c r="T319" s="1107"/>
      <c r="U319" s="1107"/>
      <c r="V319" s="1107"/>
      <c r="W319" s="1107"/>
      <c r="X319" s="1107"/>
      <c r="Y319" s="1107"/>
      <c r="Z319" s="1107"/>
      <c r="AA319" s="1107"/>
      <c r="AB319" s="1107"/>
      <c r="AC319" s="1107"/>
      <c r="AD319" s="1107"/>
      <c r="AE319" s="1107"/>
      <c r="AF319" s="1107"/>
      <c r="AG319" s="1107"/>
      <c r="AH319" s="1107"/>
      <c r="AI319" s="1107"/>
      <c r="AJ319" s="1107"/>
      <c r="AK319" s="1107"/>
      <c r="AL319" s="1107"/>
      <c r="AM319" s="1107"/>
      <c r="AN319" s="1107"/>
      <c r="AO319" s="1107"/>
      <c r="AP319" s="1107"/>
      <c r="AQ319" s="1107"/>
      <c r="AR319" s="1107"/>
      <c r="AS319" s="1107"/>
      <c r="AT319" s="1107"/>
      <c r="AU319" s="1107"/>
      <c r="AV319" s="1107"/>
      <c r="AW319" s="1107"/>
      <c r="AX319" s="1107"/>
      <c r="AY319" s="1107"/>
      <c r="AZ319" s="1107"/>
      <c r="BA319" s="1107"/>
      <c r="BB319" s="1107"/>
      <c r="BC319" s="1107"/>
      <c r="BD319" s="1107"/>
      <c r="BE319" s="1107"/>
      <c r="BF319" s="1107"/>
      <c r="BG319" s="1107"/>
      <c r="BH319" s="1107"/>
      <c r="BI319" s="1107"/>
      <c r="BJ319" s="1107"/>
      <c r="BK319" s="1107"/>
      <c r="BL319" s="1107"/>
      <c r="BM319" s="1107"/>
      <c r="BN319" s="1107"/>
      <c r="BO319" s="1107"/>
      <c r="BP319" s="1107"/>
      <c r="BQ319" s="1107"/>
      <c r="BR319" s="1107"/>
      <c r="BS319" s="1107"/>
      <c r="BT319" s="1107"/>
      <c r="BU319" s="1107"/>
      <c r="BV319" s="1107"/>
      <c r="BW319" s="1107"/>
      <c r="BX319" s="1107"/>
      <c r="BY319" s="1107"/>
      <c r="BZ319" s="1107"/>
      <c r="CA319" s="1107"/>
      <c r="CB319" s="1107"/>
      <c r="CC319" s="1107"/>
      <c r="CD319" s="1107"/>
      <c r="CE319" s="1107"/>
      <c r="CF319" s="1107"/>
      <c r="CG319" s="1107"/>
      <c r="CH319" s="1107"/>
      <c r="CI319" s="1107"/>
      <c r="CJ319" s="1107"/>
      <c r="CK319" s="1107"/>
    </row>
    <row r="320" spans="1:89" ht="15.75" thickBot="1" x14ac:dyDescent="0.3">
      <c r="A320" s="1107"/>
      <c r="B320" s="1107"/>
      <c r="C320" s="1107"/>
      <c r="D320" s="1107"/>
      <c r="E320" s="1107"/>
      <c r="F320" s="1107"/>
      <c r="G320" s="1107"/>
      <c r="H320" s="1107"/>
      <c r="I320" s="1107"/>
      <c r="J320" s="1107"/>
      <c r="K320" s="1107"/>
      <c r="L320" s="1107"/>
      <c r="M320" s="1107"/>
      <c r="N320" s="1107"/>
      <c r="O320" s="1107"/>
      <c r="P320" s="1107"/>
      <c r="Q320" s="1107"/>
      <c r="R320" s="1107"/>
      <c r="S320" s="1107"/>
      <c r="T320" s="1107"/>
      <c r="U320" s="1107"/>
      <c r="V320" s="1107"/>
      <c r="W320" s="1107"/>
      <c r="X320" s="1107"/>
      <c r="Y320" s="1107"/>
      <c r="Z320" s="1107"/>
      <c r="AA320" s="1107"/>
      <c r="AB320" s="1107"/>
      <c r="AC320" s="1107"/>
      <c r="AD320" s="1107"/>
      <c r="AE320" s="1107"/>
      <c r="AF320" s="1107"/>
      <c r="AG320" s="1107"/>
      <c r="AH320" s="1107"/>
      <c r="AI320" s="1107"/>
      <c r="AJ320" s="1107"/>
      <c r="AK320" s="1107"/>
      <c r="AL320" s="1107"/>
      <c r="AM320" s="1107"/>
      <c r="AN320" s="1107"/>
      <c r="AO320" s="1107"/>
      <c r="AP320" s="1107"/>
      <c r="AQ320" s="1107"/>
      <c r="AR320" s="1107"/>
      <c r="AS320" s="1107"/>
      <c r="AT320" s="1107"/>
      <c r="AU320" s="1107"/>
      <c r="AV320" s="1107"/>
      <c r="AW320" s="1107"/>
      <c r="AX320" s="1107"/>
      <c r="AY320" s="1107"/>
      <c r="AZ320" s="1107"/>
      <c r="BA320" s="1107"/>
      <c r="BB320" s="1107"/>
      <c r="BC320" s="1107"/>
      <c r="BD320" s="1107"/>
      <c r="BE320" s="1107"/>
      <c r="BF320" s="1107"/>
      <c r="BG320" s="1107"/>
      <c r="BH320" s="1107"/>
      <c r="BI320" s="1107"/>
      <c r="BJ320" s="1107"/>
      <c r="BK320" s="1107"/>
      <c r="BL320" s="1107"/>
      <c r="BM320" s="1107"/>
      <c r="BN320" s="1107"/>
      <c r="BO320" s="1107"/>
      <c r="BP320" s="1107"/>
      <c r="BQ320" s="1107"/>
      <c r="BR320" s="1107"/>
      <c r="BS320" s="1107"/>
      <c r="BT320" s="1107"/>
      <c r="BU320" s="1107"/>
      <c r="BV320" s="1107"/>
      <c r="BW320" s="1107"/>
      <c r="BX320" s="1107"/>
      <c r="BY320" s="1107"/>
      <c r="BZ320" s="1107"/>
      <c r="CA320" s="1107"/>
      <c r="CB320" s="1107"/>
      <c r="CC320" s="1107"/>
      <c r="CD320" s="1107"/>
      <c r="CE320" s="1107"/>
      <c r="CF320" s="1107"/>
      <c r="CG320" s="1107"/>
      <c r="CH320" s="1107"/>
      <c r="CI320" s="1107"/>
      <c r="CJ320" s="1107"/>
      <c r="CK320" s="1107"/>
    </row>
    <row r="321" spans="1:89" ht="60.75" customHeight="1" thickBot="1" x14ac:dyDescent="0.3">
      <c r="A321" s="1107"/>
      <c r="B321" s="1303"/>
      <c r="C321" s="1100" t="s">
        <v>1383</v>
      </c>
      <c r="D321" s="1100" t="s">
        <v>1491</v>
      </c>
      <c r="E321" s="1100" t="s">
        <v>766</v>
      </c>
      <c r="F321" s="1100" t="s">
        <v>1496</v>
      </c>
      <c r="G321" s="1101" t="s">
        <v>1850</v>
      </c>
      <c r="H321" s="1101" t="s">
        <v>1851</v>
      </c>
      <c r="I321" s="1101" t="s">
        <v>1397</v>
      </c>
      <c r="J321" s="1101" t="s">
        <v>1381</v>
      </c>
      <c r="K321" s="1100" t="s">
        <v>1382</v>
      </c>
      <c r="L321" s="1100" t="s">
        <v>721</v>
      </c>
      <c r="M321" s="1100" t="s">
        <v>722</v>
      </c>
      <c r="N321" s="1101" t="s">
        <v>1495</v>
      </c>
      <c r="O321" s="1101" t="s">
        <v>1841</v>
      </c>
      <c r="P321" s="1107"/>
      <c r="Q321" s="1107"/>
      <c r="R321" s="1107"/>
      <c r="S321" s="1107"/>
      <c r="T321" s="1107"/>
      <c r="U321" s="1107"/>
      <c r="V321" s="1107"/>
      <c r="W321" s="1107"/>
      <c r="X321" s="1107"/>
      <c r="Y321" s="1107"/>
      <c r="Z321" s="1107"/>
      <c r="AA321" s="1107"/>
      <c r="AB321" s="1107"/>
      <c r="AC321" s="1107"/>
      <c r="AD321" s="1107"/>
      <c r="AE321" s="1107"/>
      <c r="AF321" s="1107"/>
      <c r="AG321" s="1107"/>
      <c r="AH321" s="1107"/>
      <c r="AI321" s="1107"/>
      <c r="AJ321" s="1107"/>
      <c r="AK321" s="1107"/>
      <c r="AL321" s="1107"/>
      <c r="AM321" s="1107"/>
      <c r="AN321" s="1107"/>
      <c r="AO321" s="1107"/>
      <c r="AP321" s="1107"/>
      <c r="AQ321" s="1107"/>
      <c r="AR321" s="1107"/>
      <c r="AS321" s="1107"/>
      <c r="AT321" s="1107"/>
      <c r="AU321" s="1107"/>
      <c r="AV321" s="1107"/>
      <c r="AW321" s="1107"/>
      <c r="AX321" s="1107"/>
      <c r="AY321" s="1107"/>
      <c r="AZ321" s="1107"/>
      <c r="BA321" s="1107"/>
      <c r="BB321" s="1107"/>
      <c r="BC321" s="1107"/>
      <c r="BD321" s="1107"/>
      <c r="BE321" s="1107"/>
      <c r="BF321" s="1107"/>
      <c r="BG321" s="1107"/>
      <c r="BH321" s="1107"/>
      <c r="BI321" s="1107"/>
      <c r="BJ321" s="1107"/>
      <c r="BK321" s="1107"/>
      <c r="BL321" s="1107"/>
      <c r="BM321" s="1107"/>
      <c r="BN321" s="1107"/>
      <c r="BO321" s="1107"/>
      <c r="BP321" s="1107"/>
      <c r="BQ321" s="1107"/>
      <c r="BR321" s="1107"/>
      <c r="BS321" s="1107"/>
      <c r="BT321" s="1107"/>
      <c r="BU321" s="1107"/>
      <c r="BV321" s="1107"/>
      <c r="BW321" s="1107"/>
      <c r="BX321" s="1107"/>
      <c r="BY321" s="1107"/>
      <c r="BZ321" s="1107"/>
      <c r="CA321" s="1107"/>
      <c r="CB321" s="1107"/>
      <c r="CC321" s="1107"/>
      <c r="CD321" s="1107"/>
      <c r="CE321" s="1107"/>
      <c r="CF321" s="1107"/>
      <c r="CG321" s="1107"/>
      <c r="CH321" s="1107"/>
      <c r="CI321" s="1107"/>
      <c r="CJ321" s="1107"/>
      <c r="CK321" s="1107"/>
    </row>
    <row r="322" spans="1:89" ht="75.75" customHeight="1" thickBot="1" x14ac:dyDescent="0.3">
      <c r="A322" s="1107"/>
      <c r="B322" s="1241" t="s">
        <v>1853</v>
      </c>
      <c r="C322" s="1133" t="s">
        <v>1133</v>
      </c>
      <c r="D322" s="1112">
        <v>801</v>
      </c>
      <c r="E322" s="1230" t="s">
        <v>1906</v>
      </c>
      <c r="F322" s="1230" t="s">
        <v>1606</v>
      </c>
      <c r="G322" s="1104" t="str" cm="1">
        <f t="array" aca="1" ref="G322" ca="1">IF(ISBLANK(INDIRECT("'Incentives Worksheet'!H"&amp;'Configurable Tab'!H29+3)),"",INDIRECT("'Incentives Worksheet'!H"&amp;'Configurable Tab'!H29+3))</f>
        <v/>
      </c>
      <c r="H322" s="1104" t="str" cm="1">
        <f t="array" aca="1" ref="H322" ca="1">IF(INDIRECT("'Incentives Worksheet'!R"&amp;'Configurable Tab'!H29+3)="USF Calendar","Fiscal",INDIRECT("'Incentives Worksheet'!R"&amp;'Configurable Tab'!H29+3))</f>
        <v>Calendar</v>
      </c>
      <c r="I322" s="1104" t="str" cm="1">
        <f t="array" aca="1" ref="I322" ca="1">IF(ISBLANK(INDIRECT("'Incentives Worksheet'!L"&amp;'Configurable Tab'!H29+3)),"",INDIRECT("'Incentives Worksheet'!L"&amp;'Configurable Tab'!H29+3))</f>
        <v/>
      </c>
      <c r="J322" s="1104" t="str" cm="1">
        <f t="array" aca="1" ref="J322" ca="1">IF(ISBLANK(INDIRECT("'Incentives Worksheet'!J"&amp;'Configurable Tab'!H29+3)),"",INDIRECT("'Incentives Worksheet'!J"&amp;'Configurable Tab'!H29+3))</f>
        <v/>
      </c>
      <c r="K322" s="1104" t="str" cm="1">
        <f t="array" aca="1" ref="K322" ca="1">IF(ISBLANK(INDIRECT("'Incentives Worksheet'!N"&amp;'Configurable Tab'!H29+3)),"",INDIRECT("'Incentives Worksheet'!N"&amp;'Configurable Tab'!H29+3))</f>
        <v/>
      </c>
      <c r="L322" s="1231" t="str" cm="1">
        <f t="array" aca="1" ref="L322" ca="1">INDIRECT("'Incentives Worksheet'!D"&amp;'Configurable Tab'!H29+6)</f>
        <v/>
      </c>
      <c r="M322" s="1231" t="str" cm="1">
        <f t="array" aca="1" ref="M322" ca="1">INDIRECT("'Incentives Worksheet'!D"&amp;'Configurable Tab'!H29+8)</f>
        <v/>
      </c>
      <c r="N322" s="1104" t="str" cm="1">
        <f t="array" aca="1" ref="N322" ca="1">INDIRECT("'Incentives Worksheet'!D"&amp;'Configurable Tab'!H29+10)</f>
        <v>Yes</v>
      </c>
      <c r="O322" s="1265" t="s">
        <v>1907</v>
      </c>
      <c r="P322" s="1107"/>
      <c r="Q322" s="1107"/>
      <c r="R322" s="1107"/>
      <c r="S322" s="1107"/>
      <c r="T322" s="1107"/>
      <c r="U322" s="1107"/>
      <c r="V322" s="1107"/>
      <c r="W322" s="1107"/>
      <c r="X322" s="1107"/>
      <c r="Y322" s="1107"/>
      <c r="Z322" s="1107"/>
      <c r="AA322" s="1107"/>
      <c r="AB322" s="1107"/>
      <c r="AC322" s="1107"/>
      <c r="AD322" s="1107"/>
      <c r="AE322" s="1107"/>
      <c r="AF322" s="1107"/>
      <c r="AG322" s="1107"/>
      <c r="AH322" s="1107"/>
      <c r="AI322" s="1107"/>
      <c r="AJ322" s="1107"/>
      <c r="AK322" s="1107"/>
      <c r="AL322" s="1107"/>
      <c r="AM322" s="1107"/>
      <c r="AN322" s="1107"/>
      <c r="AO322" s="1107"/>
      <c r="AP322" s="1107"/>
      <c r="AQ322" s="1107"/>
      <c r="AR322" s="1107"/>
      <c r="AS322" s="1107"/>
      <c r="AT322" s="1107"/>
      <c r="AU322" s="1107"/>
      <c r="AV322" s="1107"/>
      <c r="AW322" s="1107"/>
      <c r="AX322" s="1107"/>
      <c r="AY322" s="1107"/>
      <c r="AZ322" s="1107"/>
      <c r="BA322" s="1107"/>
      <c r="BB322" s="1107"/>
      <c r="BC322" s="1107"/>
      <c r="BD322" s="1107"/>
      <c r="BE322" s="1107"/>
      <c r="BF322" s="1107"/>
      <c r="BG322" s="1107"/>
      <c r="BH322" s="1107"/>
      <c r="BI322" s="1107"/>
      <c r="BJ322" s="1107"/>
      <c r="BK322" s="1107"/>
      <c r="BL322" s="1107"/>
      <c r="BM322" s="1107"/>
      <c r="BN322" s="1107"/>
      <c r="BO322" s="1107"/>
      <c r="BP322" s="1107"/>
      <c r="BQ322" s="1107"/>
      <c r="BR322" s="1107"/>
      <c r="BS322" s="1107"/>
      <c r="BT322" s="1107"/>
      <c r="BU322" s="1107"/>
      <c r="BV322" s="1107"/>
      <c r="BW322" s="1107"/>
      <c r="BX322" s="1107"/>
      <c r="BY322" s="1107"/>
      <c r="BZ322" s="1107"/>
      <c r="CA322" s="1107"/>
      <c r="CB322" s="1107"/>
      <c r="CC322" s="1107"/>
      <c r="CD322" s="1107"/>
      <c r="CE322" s="1107"/>
      <c r="CF322" s="1107"/>
      <c r="CG322" s="1107"/>
      <c r="CH322" s="1107"/>
      <c r="CI322" s="1107"/>
      <c r="CJ322" s="1107"/>
      <c r="CK322" s="1107"/>
    </row>
    <row r="323" spans="1:89" ht="30.75" thickBot="1" x14ac:dyDescent="0.3">
      <c r="A323" s="1107"/>
      <c r="B323" s="2006" t="s">
        <v>1901</v>
      </c>
      <c r="C323" s="1160" t="s">
        <v>1902</v>
      </c>
      <c r="D323" s="1100" t="s">
        <v>1903</v>
      </c>
      <c r="E323" s="1101" t="s">
        <v>727</v>
      </c>
      <c r="F323" s="1100" t="s">
        <v>1904</v>
      </c>
      <c r="G323" s="1100" t="s">
        <v>1908</v>
      </c>
      <c r="H323" s="1107"/>
      <c r="I323" s="1107"/>
      <c r="J323" s="1107"/>
      <c r="K323" s="1107"/>
      <c r="L323" s="1107"/>
      <c r="M323" s="1107"/>
      <c r="N323" s="1107"/>
      <c r="O323" s="1108"/>
      <c r="P323" s="1107"/>
      <c r="Q323" s="1107"/>
      <c r="R323" s="1107"/>
      <c r="S323" s="1107"/>
      <c r="T323" s="1107"/>
      <c r="U323" s="1107"/>
      <c r="V323" s="1107"/>
      <c r="W323" s="1107"/>
      <c r="X323" s="1107"/>
      <c r="Y323" s="1107"/>
      <c r="Z323" s="1107"/>
      <c r="AA323" s="1107"/>
      <c r="AB323" s="1107"/>
      <c r="AC323" s="1107"/>
      <c r="AD323" s="1107"/>
      <c r="AE323" s="1107"/>
      <c r="AF323" s="1107"/>
      <c r="AG323" s="1107"/>
      <c r="AH323" s="1107"/>
      <c r="AI323" s="1107"/>
      <c r="AJ323" s="1107"/>
      <c r="AK323" s="1107"/>
      <c r="AL323" s="1107"/>
      <c r="AM323" s="1107"/>
      <c r="AN323" s="1107"/>
      <c r="AO323" s="1107"/>
      <c r="AP323" s="1107"/>
      <c r="AQ323" s="1107"/>
      <c r="AR323" s="1107"/>
      <c r="AS323" s="1107"/>
      <c r="AT323" s="1107"/>
      <c r="AU323" s="1107"/>
      <c r="AV323" s="1107"/>
      <c r="AW323" s="1107"/>
      <c r="AX323" s="1107"/>
      <c r="AY323" s="1107"/>
      <c r="AZ323" s="1107"/>
      <c r="BA323" s="1107"/>
      <c r="BB323" s="1107"/>
      <c r="BC323" s="1107"/>
      <c r="BD323" s="1107"/>
      <c r="BE323" s="1107"/>
      <c r="BF323" s="1107"/>
      <c r="BG323" s="1107"/>
      <c r="BH323" s="1107"/>
      <c r="BI323" s="1107"/>
      <c r="BJ323" s="1107"/>
      <c r="BK323" s="1107"/>
      <c r="BL323" s="1107"/>
      <c r="BM323" s="1107"/>
      <c r="BN323" s="1107"/>
      <c r="BO323" s="1107"/>
      <c r="BP323" s="1107"/>
      <c r="BQ323" s="1107"/>
      <c r="BR323" s="1107"/>
      <c r="BS323" s="1107"/>
      <c r="BT323" s="1107"/>
      <c r="BU323" s="1107"/>
      <c r="BV323" s="1107"/>
      <c r="BW323" s="1107"/>
      <c r="BX323" s="1107"/>
      <c r="BY323" s="1107"/>
      <c r="BZ323" s="1107"/>
      <c r="CA323" s="1107"/>
      <c r="CB323" s="1107"/>
      <c r="CC323" s="1107"/>
      <c r="CD323" s="1107"/>
      <c r="CE323" s="1107"/>
      <c r="CF323" s="1107"/>
      <c r="CG323" s="1107"/>
      <c r="CH323" s="1107"/>
      <c r="CI323" s="1107"/>
      <c r="CJ323" s="1107"/>
      <c r="CK323" s="1107"/>
    </row>
    <row r="324" spans="1:89" ht="15.75" thickBot="1" x14ac:dyDescent="0.3">
      <c r="A324" s="1107"/>
      <c r="B324" s="2010"/>
      <c r="C324" s="1196" t="str" cm="1">
        <f t="array" aca="1" ref="C324" ca="1">INDIRECT("'Incentives Worksheet'!R"&amp;'Configurable Tab'!H29+6)</f>
        <v>Pre Pay</v>
      </c>
      <c r="D324" s="1196" t="str" cm="1">
        <f t="array" aca="1" ref="D324" ca="1">INDIRECT("'Incentives Worksheet'!T"&amp;'Configurable Tab'!H29+6)</f>
        <v>Sales</v>
      </c>
      <c r="E324" s="1226" t="str" cm="1">
        <f t="array" aca="1" ref="E324" ca="1">IF(ISBLANK(INDIRECT("'Incentives Worksheet'!H"&amp;'Configurable Tab'!H29+6)),"",INDIRECT("'Incentives Worksheet'!H"&amp;'Configurable Tab'!H29+6))</f>
        <v/>
      </c>
      <c r="F324" s="1196" t="s">
        <v>1132</v>
      </c>
      <c r="G324" s="1226" t="str">
        <f>IFERROR(IF('Tracking &amp; Profitability'!E6*'Tracking &amp; Profitability'!E5=0,"",'Tracking &amp; Profitability'!E6*'Tracking &amp; Profitability'!E5),"")</f>
        <v/>
      </c>
      <c r="H324" s="1107"/>
      <c r="I324" s="1107"/>
      <c r="J324" s="1107"/>
      <c r="K324" s="1107"/>
      <c r="L324" s="1107"/>
      <c r="M324" s="1107"/>
      <c r="N324" s="1107"/>
      <c r="O324" s="1108"/>
      <c r="P324" s="1107"/>
      <c r="Q324" s="1107"/>
      <c r="R324" s="1107"/>
      <c r="S324" s="1107"/>
      <c r="T324" s="1107"/>
      <c r="U324" s="1107"/>
      <c r="V324" s="1107"/>
      <c r="W324" s="1107"/>
      <c r="X324" s="1107"/>
      <c r="Y324" s="1107"/>
      <c r="Z324" s="1107"/>
      <c r="AA324" s="1107"/>
      <c r="AB324" s="1107"/>
      <c r="AC324" s="1107"/>
      <c r="AD324" s="1107"/>
      <c r="AE324" s="1107"/>
      <c r="AF324" s="1107"/>
      <c r="AG324" s="1107"/>
      <c r="AH324" s="1107"/>
      <c r="AI324" s="1107"/>
      <c r="AJ324" s="1107"/>
      <c r="AK324" s="1107"/>
      <c r="AL324" s="1107"/>
      <c r="AM324" s="1107"/>
      <c r="AN324" s="1107"/>
      <c r="AO324" s="1107"/>
      <c r="AP324" s="1107"/>
      <c r="AQ324" s="1107"/>
      <c r="AR324" s="1107"/>
      <c r="AS324" s="1107"/>
      <c r="AT324" s="1107"/>
      <c r="AU324" s="1107"/>
      <c r="AV324" s="1107"/>
      <c r="AW324" s="1107"/>
      <c r="AX324" s="1107"/>
      <c r="AY324" s="1107"/>
      <c r="AZ324" s="1107"/>
      <c r="BA324" s="1107"/>
      <c r="BB324" s="1107"/>
      <c r="BC324" s="1107"/>
      <c r="BD324" s="1107"/>
      <c r="BE324" s="1107"/>
      <c r="BF324" s="1107"/>
      <c r="BG324" s="1107"/>
      <c r="BH324" s="1107"/>
      <c r="BI324" s="1107"/>
      <c r="BJ324" s="1107"/>
      <c r="BK324" s="1107"/>
      <c r="BL324" s="1107"/>
      <c r="BM324" s="1107"/>
      <c r="BN324" s="1107"/>
      <c r="BO324" s="1107"/>
      <c r="BP324" s="1107"/>
      <c r="BQ324" s="1107"/>
      <c r="BR324" s="1107"/>
      <c r="BS324" s="1107"/>
      <c r="BT324" s="1107"/>
      <c r="BU324" s="1107"/>
      <c r="BV324" s="1107"/>
      <c r="BW324" s="1107"/>
      <c r="BX324" s="1107"/>
      <c r="BY324" s="1107"/>
      <c r="BZ324" s="1107"/>
      <c r="CA324" s="1107"/>
      <c r="CB324" s="1107"/>
      <c r="CC324" s="1107"/>
      <c r="CD324" s="1107"/>
      <c r="CE324" s="1107"/>
      <c r="CF324" s="1107"/>
      <c r="CG324" s="1107"/>
      <c r="CH324" s="1107"/>
      <c r="CI324" s="1107"/>
      <c r="CJ324" s="1107"/>
      <c r="CK324" s="1107"/>
    </row>
    <row r="325" spans="1:89" ht="15.75" customHeight="1" thickBot="1" x14ac:dyDescent="0.3">
      <c r="A325" s="1107"/>
      <c r="B325" s="2006" t="s">
        <v>1868</v>
      </c>
      <c r="C325" s="1147" t="s">
        <v>1869</v>
      </c>
      <c r="D325" s="1148" t="s">
        <v>1859</v>
      </c>
      <c r="E325" s="1148" t="s">
        <v>131</v>
      </c>
      <c r="F325" s="1148" t="s">
        <v>1860</v>
      </c>
      <c r="G325" s="1148" t="s">
        <v>1870</v>
      </c>
      <c r="H325" s="1149" t="s">
        <v>1871</v>
      </c>
      <c r="I325" s="1150" t="s">
        <v>766</v>
      </c>
      <c r="J325" s="1150" t="s">
        <v>767</v>
      </c>
      <c r="K325" s="1150" t="s">
        <v>768</v>
      </c>
      <c r="L325" s="1150" t="s">
        <v>769</v>
      </c>
      <c r="M325" s="1150" t="s">
        <v>204</v>
      </c>
      <c r="N325" s="1107"/>
      <c r="O325" s="1108"/>
      <c r="P325" s="1107"/>
      <c r="Q325" s="1107"/>
      <c r="R325" s="1107"/>
      <c r="S325" s="1107"/>
      <c r="T325" s="1107"/>
      <c r="U325" s="1107"/>
      <c r="V325" s="1107"/>
      <c r="W325" s="1107"/>
      <c r="X325" s="1107"/>
      <c r="Y325" s="1107"/>
      <c r="Z325" s="1107"/>
      <c r="AA325" s="1107"/>
      <c r="AB325" s="1107"/>
      <c r="AC325" s="1107"/>
      <c r="AD325" s="1107"/>
      <c r="AE325" s="1107"/>
      <c r="AF325" s="1107"/>
      <c r="AG325" s="1107"/>
      <c r="AH325" s="1107"/>
      <c r="AI325" s="1107"/>
      <c r="AJ325" s="1107"/>
      <c r="AK325" s="1107"/>
      <c r="AL325" s="1107"/>
      <c r="AM325" s="1107"/>
      <c r="AN325" s="1107"/>
      <c r="AO325" s="1107"/>
      <c r="AP325" s="1107"/>
      <c r="AQ325" s="1107"/>
      <c r="AR325" s="1107"/>
      <c r="AS325" s="1107"/>
      <c r="AT325" s="1107"/>
      <c r="AU325" s="1107"/>
      <c r="AV325" s="1107"/>
      <c r="AW325" s="1107"/>
      <c r="AX325" s="1107"/>
      <c r="AY325" s="1107"/>
      <c r="AZ325" s="1107"/>
      <c r="BA325" s="1107"/>
      <c r="BB325" s="1107"/>
      <c r="BC325" s="1107"/>
      <c r="BD325" s="1107"/>
      <c r="BE325" s="1107"/>
      <c r="BF325" s="1107"/>
      <c r="BG325" s="1107"/>
      <c r="BH325" s="1107"/>
      <c r="BI325" s="1107"/>
      <c r="BJ325" s="1107"/>
      <c r="BK325" s="1107"/>
      <c r="BL325" s="1107"/>
      <c r="BM325" s="1107"/>
      <c r="BN325" s="1107"/>
      <c r="BO325" s="1107"/>
      <c r="BP325" s="1107"/>
      <c r="BQ325" s="1107"/>
      <c r="BR325" s="1107"/>
      <c r="BS325" s="1107"/>
      <c r="BT325" s="1107"/>
      <c r="BU325" s="1107"/>
      <c r="BV325" s="1107"/>
      <c r="BW325" s="1107"/>
      <c r="BX325" s="1107"/>
      <c r="BY325" s="1107"/>
      <c r="BZ325" s="1107"/>
      <c r="CA325" s="1107"/>
      <c r="CB325" s="1107"/>
      <c r="CC325" s="1107"/>
      <c r="CD325" s="1107"/>
      <c r="CE325" s="1107"/>
      <c r="CF325" s="1107"/>
      <c r="CG325" s="1107"/>
      <c r="CH325" s="1107"/>
      <c r="CI325" s="1107"/>
      <c r="CJ325" s="1107"/>
      <c r="CK325" s="1107"/>
    </row>
    <row r="326" spans="1:89" x14ac:dyDescent="0.25">
      <c r="A326" s="1107"/>
      <c r="B326" s="2008"/>
      <c r="C326" s="1151">
        <v>1</v>
      </c>
      <c r="D326" s="1144" t="s">
        <v>1872</v>
      </c>
      <c r="E326" s="1144" t="s">
        <v>1426</v>
      </c>
      <c r="F326" s="1153" t="str">
        <f>'Required Info to Submit'!E23</f>
        <v/>
      </c>
      <c r="G326" s="1417" t="str">
        <f>IF(F326="","",'Required Info to Submit'!K23)</f>
        <v/>
      </c>
      <c r="H326" s="1418" t="str">
        <f>IF(F309="","",'Required Info to Submit'!L23)</f>
        <v/>
      </c>
      <c r="I326" s="1153" t="str">
        <f>'Required Info to Submit'!F23</f>
        <v/>
      </c>
      <c r="J326" s="1153" t="str">
        <f>'Required Info to Submit'!G23</f>
        <v/>
      </c>
      <c r="K326" s="1153" t="str">
        <f>'Required Info to Submit'!H23</f>
        <v/>
      </c>
      <c r="L326" s="1153" t="str">
        <f>'Required Info to Submit'!I23</f>
        <v/>
      </c>
      <c r="M326" s="1153" t="str">
        <f>'Required Info to Submit'!J23</f>
        <v/>
      </c>
      <c r="N326" s="1107"/>
      <c r="O326" s="1108"/>
      <c r="P326" s="1107"/>
      <c r="Q326" s="1107"/>
      <c r="R326" s="1107"/>
      <c r="S326" s="1107"/>
      <c r="T326" s="1107"/>
      <c r="U326" s="1107"/>
      <c r="V326" s="1107"/>
      <c r="W326" s="1107"/>
      <c r="X326" s="1107"/>
      <c r="Y326" s="1107"/>
      <c r="Z326" s="1107"/>
      <c r="AA326" s="1107"/>
      <c r="AB326" s="1107"/>
      <c r="AC326" s="1107"/>
      <c r="AD326" s="1107"/>
      <c r="AE326" s="1107"/>
      <c r="AF326" s="1107"/>
      <c r="AG326" s="1107"/>
      <c r="AH326" s="1107"/>
      <c r="AI326" s="1107"/>
      <c r="AJ326" s="1107"/>
      <c r="AK326" s="1107"/>
      <c r="AL326" s="1107"/>
      <c r="AM326" s="1107"/>
      <c r="AN326" s="1107"/>
      <c r="AO326" s="1107"/>
      <c r="AP326" s="1107"/>
      <c r="AQ326" s="1107"/>
      <c r="AR326" s="1107"/>
      <c r="AS326" s="1107"/>
      <c r="AT326" s="1107"/>
      <c r="AU326" s="1107"/>
      <c r="AV326" s="1107"/>
      <c r="AW326" s="1107"/>
      <c r="AX326" s="1107"/>
      <c r="AY326" s="1107"/>
      <c r="AZ326" s="1107"/>
      <c r="BA326" s="1107"/>
      <c r="BB326" s="1107"/>
      <c r="BC326" s="1107"/>
      <c r="BD326" s="1107"/>
      <c r="BE326" s="1107"/>
      <c r="BF326" s="1107"/>
      <c r="BG326" s="1107"/>
      <c r="BH326" s="1107"/>
      <c r="BI326" s="1107"/>
      <c r="BJ326" s="1107"/>
      <c r="BK326" s="1107"/>
      <c r="BL326" s="1107"/>
      <c r="BM326" s="1107"/>
      <c r="BN326" s="1107"/>
      <c r="BO326" s="1107"/>
      <c r="BP326" s="1107"/>
      <c r="BQ326" s="1107"/>
      <c r="BR326" s="1107"/>
      <c r="BS326" s="1107"/>
      <c r="BT326" s="1107"/>
      <c r="BU326" s="1107"/>
      <c r="BV326" s="1107"/>
      <c r="BW326" s="1107"/>
      <c r="BX326" s="1107"/>
      <c r="BY326" s="1107"/>
      <c r="BZ326" s="1107"/>
      <c r="CA326" s="1107"/>
      <c r="CB326" s="1107"/>
      <c r="CC326" s="1107"/>
      <c r="CD326" s="1107"/>
      <c r="CE326" s="1107"/>
      <c r="CF326" s="1107"/>
      <c r="CG326" s="1107"/>
      <c r="CH326" s="1107"/>
      <c r="CI326" s="1107"/>
      <c r="CJ326" s="1107"/>
      <c r="CK326" s="1107"/>
    </row>
    <row r="327" spans="1:89" x14ac:dyDescent="0.25">
      <c r="A327" s="1107"/>
      <c r="B327" s="2008"/>
      <c r="C327" s="1154">
        <v>2</v>
      </c>
      <c r="D327" s="1144" t="s">
        <v>1872</v>
      </c>
      <c r="E327" s="1144" t="s">
        <v>1426</v>
      </c>
      <c r="F327" s="1153" t="str">
        <f>'Required Info to Submit'!E24</f>
        <v/>
      </c>
      <c r="G327" s="1417" t="str">
        <f>IF(F327="","",'Required Info to Submit'!K24)</f>
        <v/>
      </c>
      <c r="H327" s="1418" t="str">
        <f>IF(F310="","",'Required Info to Submit'!L24)</f>
        <v/>
      </c>
      <c r="I327" s="1153" t="str">
        <f>'Required Info to Submit'!F24</f>
        <v/>
      </c>
      <c r="J327" s="1153" t="str">
        <f>'Required Info to Submit'!G24</f>
        <v/>
      </c>
      <c r="K327" s="1153" t="str">
        <f>'Required Info to Submit'!H24</f>
        <v/>
      </c>
      <c r="L327" s="1153" t="str">
        <f>'Required Info to Submit'!I24</f>
        <v/>
      </c>
      <c r="M327" s="1153" t="str">
        <f>'Required Info to Submit'!J24</f>
        <v/>
      </c>
      <c r="N327" s="1107"/>
      <c r="O327" s="1108"/>
      <c r="P327" s="1107"/>
      <c r="Q327" s="1107"/>
      <c r="R327" s="1107"/>
      <c r="S327" s="1107"/>
      <c r="T327" s="1107"/>
      <c r="U327" s="1107"/>
      <c r="V327" s="1107"/>
      <c r="W327" s="1107"/>
      <c r="X327" s="1107"/>
      <c r="Y327" s="1107"/>
      <c r="Z327" s="1107"/>
      <c r="AA327" s="1107"/>
      <c r="AB327" s="1107"/>
      <c r="AC327" s="1107"/>
      <c r="AD327" s="1107"/>
      <c r="AE327" s="1107"/>
      <c r="AF327" s="1107"/>
      <c r="AG327" s="1107"/>
      <c r="AH327" s="1107"/>
      <c r="AI327" s="1107"/>
      <c r="AJ327" s="1107"/>
      <c r="AK327" s="1107"/>
      <c r="AL327" s="1107"/>
      <c r="AM327" s="1107"/>
      <c r="AN327" s="1107"/>
      <c r="AO327" s="1107"/>
      <c r="AP327" s="1107"/>
      <c r="AQ327" s="1107"/>
      <c r="AR327" s="1107"/>
      <c r="AS327" s="1107"/>
      <c r="AT327" s="1107"/>
      <c r="AU327" s="1107"/>
      <c r="AV327" s="1107"/>
      <c r="AW327" s="1107"/>
      <c r="AX327" s="1107"/>
      <c r="AY327" s="1107"/>
      <c r="AZ327" s="1107"/>
      <c r="BA327" s="1107"/>
      <c r="BB327" s="1107"/>
      <c r="BC327" s="1107"/>
      <c r="BD327" s="1107"/>
      <c r="BE327" s="1107"/>
      <c r="BF327" s="1107"/>
      <c r="BG327" s="1107"/>
      <c r="BH327" s="1107"/>
      <c r="BI327" s="1107"/>
      <c r="BJ327" s="1107"/>
      <c r="BK327" s="1107"/>
      <c r="BL327" s="1107"/>
      <c r="BM327" s="1107"/>
      <c r="BN327" s="1107"/>
      <c r="BO327" s="1107"/>
      <c r="BP327" s="1107"/>
      <c r="BQ327" s="1107"/>
      <c r="BR327" s="1107"/>
      <c r="BS327" s="1107"/>
      <c r="BT327" s="1107"/>
      <c r="BU327" s="1107"/>
      <c r="BV327" s="1107"/>
      <c r="BW327" s="1107"/>
      <c r="BX327" s="1107"/>
      <c r="BY327" s="1107"/>
      <c r="BZ327" s="1107"/>
      <c r="CA327" s="1107"/>
      <c r="CB327" s="1107"/>
      <c r="CC327" s="1107"/>
      <c r="CD327" s="1107"/>
      <c r="CE327" s="1107"/>
      <c r="CF327" s="1107"/>
      <c r="CG327" s="1107"/>
      <c r="CH327" s="1107"/>
      <c r="CI327" s="1107"/>
      <c r="CJ327" s="1107"/>
      <c r="CK327" s="1107"/>
    </row>
    <row r="328" spans="1:89" x14ac:dyDescent="0.25">
      <c r="A328" s="1107"/>
      <c r="B328" s="2008"/>
      <c r="C328" s="1154">
        <v>3</v>
      </c>
      <c r="D328" s="1144" t="s">
        <v>1872</v>
      </c>
      <c r="E328" s="1144" t="s">
        <v>1426</v>
      </c>
      <c r="F328" s="1153" t="str">
        <f>'Required Info to Submit'!E25</f>
        <v/>
      </c>
      <c r="G328" s="1417" t="str">
        <f>IF(F328="","",'Required Info to Submit'!K25)</f>
        <v/>
      </c>
      <c r="H328" s="1418" t="str">
        <f>IF(F311="","",'Required Info to Submit'!L25)</f>
        <v/>
      </c>
      <c r="I328" s="1153" t="str">
        <f>'Required Info to Submit'!F25</f>
        <v/>
      </c>
      <c r="J328" s="1153" t="str">
        <f>'Required Info to Submit'!G25</f>
        <v/>
      </c>
      <c r="K328" s="1153" t="str">
        <f>'Required Info to Submit'!H25</f>
        <v/>
      </c>
      <c r="L328" s="1153" t="str">
        <f>'Required Info to Submit'!I25</f>
        <v/>
      </c>
      <c r="M328" s="1153" t="str">
        <f>'Required Info to Submit'!J25</f>
        <v/>
      </c>
      <c r="N328" s="1107"/>
      <c r="O328" s="1108"/>
      <c r="P328" s="1107"/>
      <c r="Q328" s="1107"/>
      <c r="R328" s="1107"/>
      <c r="S328" s="1107"/>
      <c r="T328" s="1107"/>
      <c r="U328" s="1107"/>
      <c r="V328" s="1107"/>
      <c r="W328" s="1107"/>
      <c r="X328" s="1107"/>
      <c r="Y328" s="1107"/>
      <c r="Z328" s="1107"/>
      <c r="AA328" s="1107"/>
      <c r="AB328" s="1107"/>
      <c r="AC328" s="1107"/>
      <c r="AD328" s="1107"/>
      <c r="AE328" s="1107"/>
      <c r="AF328" s="1107"/>
      <c r="AG328" s="1107"/>
      <c r="AH328" s="1107"/>
      <c r="AI328" s="1107"/>
      <c r="AJ328" s="1107"/>
      <c r="AK328" s="1107"/>
      <c r="AL328" s="1107"/>
      <c r="AM328" s="1107"/>
      <c r="AN328" s="1107"/>
      <c r="AO328" s="1107"/>
      <c r="AP328" s="1107"/>
      <c r="AQ328" s="1107"/>
      <c r="AR328" s="1107"/>
      <c r="AS328" s="1107"/>
      <c r="AT328" s="1107"/>
      <c r="AU328" s="1107"/>
      <c r="AV328" s="1107"/>
      <c r="AW328" s="1107"/>
      <c r="AX328" s="1107"/>
      <c r="AY328" s="1107"/>
      <c r="AZ328" s="1107"/>
      <c r="BA328" s="1107"/>
      <c r="BB328" s="1107"/>
      <c r="BC328" s="1107"/>
      <c r="BD328" s="1107"/>
      <c r="BE328" s="1107"/>
      <c r="BF328" s="1107"/>
      <c r="BG328" s="1107"/>
      <c r="BH328" s="1107"/>
      <c r="BI328" s="1107"/>
      <c r="BJ328" s="1107"/>
      <c r="BK328" s="1107"/>
      <c r="BL328" s="1107"/>
      <c r="BM328" s="1107"/>
      <c r="BN328" s="1107"/>
      <c r="BO328" s="1107"/>
      <c r="BP328" s="1107"/>
      <c r="BQ328" s="1107"/>
      <c r="BR328" s="1107"/>
      <c r="BS328" s="1107"/>
      <c r="BT328" s="1107"/>
      <c r="BU328" s="1107"/>
      <c r="BV328" s="1107"/>
      <c r="BW328" s="1107"/>
      <c r="BX328" s="1107"/>
      <c r="BY328" s="1107"/>
      <c r="BZ328" s="1107"/>
      <c r="CA328" s="1107"/>
      <c r="CB328" s="1107"/>
      <c r="CC328" s="1107"/>
      <c r="CD328" s="1107"/>
      <c r="CE328" s="1107"/>
      <c r="CF328" s="1107"/>
      <c r="CG328" s="1107"/>
      <c r="CH328" s="1107"/>
      <c r="CI328" s="1107"/>
      <c r="CJ328" s="1107"/>
      <c r="CK328" s="1107"/>
    </row>
    <row r="329" spans="1:89" x14ac:dyDescent="0.25">
      <c r="A329" s="1107"/>
      <c r="B329" s="2008"/>
      <c r="C329" s="1154">
        <v>4</v>
      </c>
      <c r="D329" s="1144" t="s">
        <v>1872</v>
      </c>
      <c r="E329" s="1144" t="s">
        <v>1426</v>
      </c>
      <c r="F329" s="1153" t="str">
        <f>'Required Info to Submit'!E26</f>
        <v/>
      </c>
      <c r="G329" s="1417" t="str">
        <f>IF(F329="","",'Required Info to Submit'!K26)</f>
        <v/>
      </c>
      <c r="H329" s="1418" t="str">
        <f>IF(F312="","",'Required Info to Submit'!L26)</f>
        <v/>
      </c>
      <c r="I329" s="1153" t="str">
        <f>'Required Info to Submit'!F26</f>
        <v/>
      </c>
      <c r="J329" s="1153" t="str">
        <f>'Required Info to Submit'!G26</f>
        <v/>
      </c>
      <c r="K329" s="1153" t="str">
        <f>'Required Info to Submit'!H26</f>
        <v/>
      </c>
      <c r="L329" s="1153" t="str">
        <f>'Required Info to Submit'!I26</f>
        <v/>
      </c>
      <c r="M329" s="1153" t="str">
        <f>'Required Info to Submit'!J26</f>
        <v/>
      </c>
      <c r="N329" s="1107"/>
      <c r="O329" s="1108"/>
      <c r="P329" s="1107"/>
      <c r="Q329" s="1107"/>
      <c r="R329" s="1107"/>
      <c r="S329" s="1107"/>
      <c r="T329" s="1107"/>
      <c r="U329" s="1107"/>
      <c r="V329" s="1107"/>
      <c r="W329" s="1107"/>
      <c r="X329" s="1107"/>
      <c r="Y329" s="1107"/>
      <c r="Z329" s="1107"/>
      <c r="AA329" s="1107"/>
      <c r="AB329" s="1107"/>
      <c r="AC329" s="1107"/>
      <c r="AD329" s="1107"/>
      <c r="AE329" s="1107"/>
      <c r="AF329" s="1107"/>
      <c r="AG329" s="1107"/>
      <c r="AH329" s="1107"/>
      <c r="AI329" s="1107"/>
      <c r="AJ329" s="1107"/>
      <c r="AK329" s="1107"/>
      <c r="AL329" s="1107"/>
      <c r="AM329" s="1107"/>
      <c r="AN329" s="1107"/>
      <c r="AO329" s="1107"/>
      <c r="AP329" s="1107"/>
      <c r="AQ329" s="1107"/>
      <c r="AR329" s="1107"/>
      <c r="AS329" s="1107"/>
      <c r="AT329" s="1107"/>
      <c r="AU329" s="1107"/>
      <c r="AV329" s="1107"/>
      <c r="AW329" s="1107"/>
      <c r="AX329" s="1107"/>
      <c r="AY329" s="1107"/>
      <c r="AZ329" s="1107"/>
      <c r="BA329" s="1107"/>
      <c r="BB329" s="1107"/>
      <c r="BC329" s="1107"/>
      <c r="BD329" s="1107"/>
      <c r="BE329" s="1107"/>
      <c r="BF329" s="1107"/>
      <c r="BG329" s="1107"/>
      <c r="BH329" s="1107"/>
      <c r="BI329" s="1107"/>
      <c r="BJ329" s="1107"/>
      <c r="BK329" s="1107"/>
      <c r="BL329" s="1107"/>
      <c r="BM329" s="1107"/>
      <c r="BN329" s="1107"/>
      <c r="BO329" s="1107"/>
      <c r="BP329" s="1107"/>
      <c r="BQ329" s="1107"/>
      <c r="BR329" s="1107"/>
      <c r="BS329" s="1107"/>
      <c r="BT329" s="1107"/>
      <c r="BU329" s="1107"/>
      <c r="BV329" s="1107"/>
      <c r="BW329" s="1107"/>
      <c r="BX329" s="1107"/>
      <c r="BY329" s="1107"/>
      <c r="BZ329" s="1107"/>
      <c r="CA329" s="1107"/>
      <c r="CB329" s="1107"/>
      <c r="CC329" s="1107"/>
      <c r="CD329" s="1107"/>
      <c r="CE329" s="1107"/>
      <c r="CF329" s="1107"/>
      <c r="CG329" s="1107"/>
      <c r="CH329" s="1107"/>
      <c r="CI329" s="1107"/>
      <c r="CJ329" s="1107"/>
      <c r="CK329" s="1107"/>
    </row>
    <row r="330" spans="1:89" x14ac:dyDescent="0.25">
      <c r="A330" s="1107"/>
      <c r="B330" s="2008"/>
      <c r="C330" s="1154">
        <v>5</v>
      </c>
      <c r="D330" s="1144" t="s">
        <v>1872</v>
      </c>
      <c r="E330" s="1144" t="s">
        <v>1426</v>
      </c>
      <c r="F330" s="1153" t="str">
        <f>'Required Info to Submit'!E27</f>
        <v/>
      </c>
      <c r="G330" s="1417" t="str">
        <f>IF(F330="","",'Required Info to Submit'!K27)</f>
        <v/>
      </c>
      <c r="H330" s="1418" t="str">
        <f>IF(F313="","",'Required Info to Submit'!L27)</f>
        <v/>
      </c>
      <c r="I330" s="1153" t="str">
        <f>'Required Info to Submit'!F27</f>
        <v/>
      </c>
      <c r="J330" s="1153" t="str">
        <f>'Required Info to Submit'!G27</f>
        <v/>
      </c>
      <c r="K330" s="1153" t="str">
        <f>'Required Info to Submit'!H27</f>
        <v/>
      </c>
      <c r="L330" s="1153" t="str">
        <f>'Required Info to Submit'!I27</f>
        <v/>
      </c>
      <c r="M330" s="1153" t="str">
        <f>'Required Info to Submit'!J27</f>
        <v/>
      </c>
      <c r="N330" s="1107"/>
      <c r="O330" s="1108"/>
      <c r="P330" s="1107"/>
      <c r="Q330" s="1107"/>
      <c r="R330" s="1107"/>
      <c r="S330" s="1107"/>
      <c r="T330" s="1107"/>
      <c r="U330" s="1107"/>
      <c r="V330" s="1107"/>
      <c r="W330" s="1107"/>
      <c r="X330" s="1107"/>
      <c r="Y330" s="1107"/>
      <c r="Z330" s="1107"/>
      <c r="AA330" s="1107"/>
      <c r="AB330" s="1107"/>
      <c r="AC330" s="1107"/>
      <c r="AD330" s="1107"/>
      <c r="AE330" s="1107"/>
      <c r="AF330" s="1107"/>
      <c r="AG330" s="1107"/>
      <c r="AH330" s="1107"/>
      <c r="AI330" s="1107"/>
      <c r="AJ330" s="1107"/>
      <c r="AK330" s="1107"/>
      <c r="AL330" s="1107"/>
      <c r="AM330" s="1107"/>
      <c r="AN330" s="1107"/>
      <c r="AO330" s="1107"/>
      <c r="AP330" s="1107"/>
      <c r="AQ330" s="1107"/>
      <c r="AR330" s="1107"/>
      <c r="AS330" s="1107"/>
      <c r="AT330" s="1107"/>
      <c r="AU330" s="1107"/>
      <c r="AV330" s="1107"/>
      <c r="AW330" s="1107"/>
      <c r="AX330" s="1107"/>
      <c r="AY330" s="1107"/>
      <c r="AZ330" s="1107"/>
      <c r="BA330" s="1107"/>
      <c r="BB330" s="1107"/>
      <c r="BC330" s="1107"/>
      <c r="BD330" s="1107"/>
      <c r="BE330" s="1107"/>
      <c r="BF330" s="1107"/>
      <c r="BG330" s="1107"/>
      <c r="BH330" s="1107"/>
      <c r="BI330" s="1107"/>
      <c r="BJ330" s="1107"/>
      <c r="BK330" s="1107"/>
      <c r="BL330" s="1107"/>
      <c r="BM330" s="1107"/>
      <c r="BN330" s="1107"/>
      <c r="BO330" s="1107"/>
      <c r="BP330" s="1107"/>
      <c r="BQ330" s="1107"/>
      <c r="BR330" s="1107"/>
      <c r="BS330" s="1107"/>
      <c r="BT330" s="1107"/>
      <c r="BU330" s="1107"/>
      <c r="BV330" s="1107"/>
      <c r="BW330" s="1107"/>
      <c r="BX330" s="1107"/>
      <c r="BY330" s="1107"/>
      <c r="BZ330" s="1107"/>
      <c r="CA330" s="1107"/>
      <c r="CB330" s="1107"/>
      <c r="CC330" s="1107"/>
      <c r="CD330" s="1107"/>
      <c r="CE330" s="1107"/>
      <c r="CF330" s="1107"/>
      <c r="CG330" s="1107"/>
      <c r="CH330" s="1107"/>
      <c r="CI330" s="1107"/>
      <c r="CJ330" s="1107"/>
      <c r="CK330" s="1107"/>
    </row>
    <row r="331" spans="1:89" x14ac:dyDescent="0.25">
      <c r="A331" s="1107"/>
      <c r="B331" s="2008"/>
      <c r="C331" s="1154">
        <v>6</v>
      </c>
      <c r="D331" s="1144" t="s">
        <v>1872</v>
      </c>
      <c r="E331" s="1144" t="s">
        <v>1426</v>
      </c>
      <c r="F331" s="1153" t="str">
        <f>'Required Info to Submit'!E28</f>
        <v/>
      </c>
      <c r="G331" s="1417" t="str">
        <f>IF(F331="","",'Required Info to Submit'!K28)</f>
        <v/>
      </c>
      <c r="H331" s="1418" t="str">
        <f>IF(F314="","",'Required Info to Submit'!L28)</f>
        <v/>
      </c>
      <c r="I331" s="1153" t="str">
        <f>'Required Info to Submit'!F28</f>
        <v/>
      </c>
      <c r="J331" s="1153" t="str">
        <f>'Required Info to Submit'!G28</f>
        <v/>
      </c>
      <c r="K331" s="1153" t="str">
        <f>'Required Info to Submit'!H28</f>
        <v/>
      </c>
      <c r="L331" s="1153" t="str">
        <f>'Required Info to Submit'!I28</f>
        <v/>
      </c>
      <c r="M331" s="1153" t="str">
        <f>'Required Info to Submit'!J28</f>
        <v/>
      </c>
      <c r="N331" s="1107"/>
      <c r="O331" s="1108"/>
      <c r="P331" s="1107"/>
      <c r="Q331" s="1107"/>
      <c r="R331" s="1107"/>
      <c r="S331" s="1107"/>
      <c r="T331" s="1107"/>
      <c r="U331" s="1107"/>
      <c r="V331" s="1107"/>
      <c r="W331" s="1107"/>
      <c r="X331" s="1107"/>
      <c r="Y331" s="1107"/>
      <c r="Z331" s="1107"/>
      <c r="AA331" s="1107"/>
      <c r="AB331" s="1107"/>
      <c r="AC331" s="1107"/>
      <c r="AD331" s="1107"/>
      <c r="AE331" s="1107"/>
      <c r="AF331" s="1107"/>
      <c r="AG331" s="1107"/>
      <c r="AH331" s="1107"/>
      <c r="AI331" s="1107"/>
      <c r="AJ331" s="1107"/>
      <c r="AK331" s="1107"/>
      <c r="AL331" s="1107"/>
      <c r="AM331" s="1107"/>
      <c r="AN331" s="1107"/>
      <c r="AO331" s="1107"/>
      <c r="AP331" s="1107"/>
      <c r="AQ331" s="1107"/>
      <c r="AR331" s="1107"/>
      <c r="AS331" s="1107"/>
      <c r="AT331" s="1107"/>
      <c r="AU331" s="1107"/>
      <c r="AV331" s="1107"/>
      <c r="AW331" s="1107"/>
      <c r="AX331" s="1107"/>
      <c r="AY331" s="1107"/>
      <c r="AZ331" s="1107"/>
      <c r="BA331" s="1107"/>
      <c r="BB331" s="1107"/>
      <c r="BC331" s="1107"/>
      <c r="BD331" s="1107"/>
      <c r="BE331" s="1107"/>
      <c r="BF331" s="1107"/>
      <c r="BG331" s="1107"/>
      <c r="BH331" s="1107"/>
      <c r="BI331" s="1107"/>
      <c r="BJ331" s="1107"/>
      <c r="BK331" s="1107"/>
      <c r="BL331" s="1107"/>
      <c r="BM331" s="1107"/>
      <c r="BN331" s="1107"/>
      <c r="BO331" s="1107"/>
      <c r="BP331" s="1107"/>
      <c r="BQ331" s="1107"/>
      <c r="BR331" s="1107"/>
      <c r="BS331" s="1107"/>
      <c r="BT331" s="1107"/>
      <c r="BU331" s="1107"/>
      <c r="BV331" s="1107"/>
      <c r="BW331" s="1107"/>
      <c r="BX331" s="1107"/>
      <c r="BY331" s="1107"/>
      <c r="BZ331" s="1107"/>
      <c r="CA331" s="1107"/>
      <c r="CB331" s="1107"/>
      <c r="CC331" s="1107"/>
      <c r="CD331" s="1107"/>
      <c r="CE331" s="1107"/>
      <c r="CF331" s="1107"/>
      <c r="CG331" s="1107"/>
      <c r="CH331" s="1107"/>
      <c r="CI331" s="1107"/>
      <c r="CJ331" s="1107"/>
      <c r="CK331" s="1107"/>
    </row>
    <row r="332" spans="1:89" x14ac:dyDescent="0.25">
      <c r="A332" s="1107"/>
      <c r="B332" s="2008"/>
      <c r="C332" s="1154">
        <v>7</v>
      </c>
      <c r="D332" s="1144" t="s">
        <v>1872</v>
      </c>
      <c r="E332" s="1144" t="s">
        <v>1426</v>
      </c>
      <c r="F332" s="1153" t="str">
        <f>'Required Info to Submit'!E29</f>
        <v/>
      </c>
      <c r="G332" s="1417" t="str">
        <f>IF(F332="","",'Required Info to Submit'!K29)</f>
        <v/>
      </c>
      <c r="H332" s="1418" t="str">
        <f>IF(F315="","",'Required Info to Submit'!L29)</f>
        <v/>
      </c>
      <c r="I332" s="1153" t="str">
        <f>'Required Info to Submit'!F29</f>
        <v/>
      </c>
      <c r="J332" s="1153" t="str">
        <f>'Required Info to Submit'!G29</f>
        <v/>
      </c>
      <c r="K332" s="1153" t="str">
        <f>'Required Info to Submit'!H29</f>
        <v/>
      </c>
      <c r="L332" s="1153" t="str">
        <f>'Required Info to Submit'!I29</f>
        <v/>
      </c>
      <c r="M332" s="1153" t="str">
        <f>'Required Info to Submit'!J29</f>
        <v/>
      </c>
      <c r="N332" s="1107"/>
      <c r="O332" s="1108"/>
      <c r="P332" s="1107"/>
      <c r="Q332" s="1107"/>
      <c r="R332" s="1107"/>
      <c r="S332" s="1107"/>
      <c r="T332" s="1107"/>
      <c r="U332" s="1107"/>
      <c r="V332" s="1107"/>
      <c r="W332" s="1107"/>
      <c r="X332" s="1107"/>
      <c r="Y332" s="1107"/>
      <c r="Z332" s="1107"/>
      <c r="AA332" s="1107"/>
      <c r="AB332" s="1107"/>
      <c r="AC332" s="1107"/>
      <c r="AD332" s="1107"/>
      <c r="AE332" s="1107"/>
      <c r="AF332" s="1107"/>
      <c r="AG332" s="1107"/>
      <c r="AH332" s="1107"/>
      <c r="AI332" s="1107"/>
      <c r="AJ332" s="1107"/>
      <c r="AK332" s="1107"/>
      <c r="AL332" s="1107"/>
      <c r="AM332" s="1107"/>
      <c r="AN332" s="1107"/>
      <c r="AO332" s="1107"/>
      <c r="AP332" s="1107"/>
      <c r="AQ332" s="1107"/>
      <c r="AR332" s="1107"/>
      <c r="AS332" s="1107"/>
      <c r="AT332" s="1107"/>
      <c r="AU332" s="1107"/>
      <c r="AV332" s="1107"/>
      <c r="AW332" s="1107"/>
      <c r="AX332" s="1107"/>
      <c r="AY332" s="1107"/>
      <c r="AZ332" s="1107"/>
      <c r="BA332" s="1107"/>
      <c r="BB332" s="1107"/>
      <c r="BC332" s="1107"/>
      <c r="BD332" s="1107"/>
      <c r="BE332" s="1107"/>
      <c r="BF332" s="1107"/>
      <c r="BG332" s="1107"/>
      <c r="BH332" s="1107"/>
      <c r="BI332" s="1107"/>
      <c r="BJ332" s="1107"/>
      <c r="BK332" s="1107"/>
      <c r="BL332" s="1107"/>
      <c r="BM332" s="1107"/>
      <c r="BN332" s="1107"/>
      <c r="BO332" s="1107"/>
      <c r="BP332" s="1107"/>
      <c r="BQ332" s="1107"/>
      <c r="BR332" s="1107"/>
      <c r="BS332" s="1107"/>
      <c r="BT332" s="1107"/>
      <c r="BU332" s="1107"/>
      <c r="BV332" s="1107"/>
      <c r="BW332" s="1107"/>
      <c r="BX332" s="1107"/>
      <c r="BY332" s="1107"/>
      <c r="BZ332" s="1107"/>
      <c r="CA332" s="1107"/>
      <c r="CB332" s="1107"/>
      <c r="CC332" s="1107"/>
      <c r="CD332" s="1107"/>
      <c r="CE332" s="1107"/>
      <c r="CF332" s="1107"/>
      <c r="CG332" s="1107"/>
      <c r="CH332" s="1107"/>
      <c r="CI332" s="1107"/>
      <c r="CJ332" s="1107"/>
      <c r="CK332" s="1107"/>
    </row>
    <row r="333" spans="1:89" x14ac:dyDescent="0.25">
      <c r="A333" s="1107"/>
      <c r="B333" s="2008"/>
      <c r="C333" s="1154">
        <v>8</v>
      </c>
      <c r="D333" s="1144" t="s">
        <v>1872</v>
      </c>
      <c r="E333" s="1144" t="s">
        <v>1426</v>
      </c>
      <c r="F333" s="1153" t="str">
        <f>'Required Info to Submit'!E30</f>
        <v/>
      </c>
      <c r="G333" s="1417" t="str">
        <f>IF(F333="","",'Required Info to Submit'!K30)</f>
        <v/>
      </c>
      <c r="H333" s="1418" t="str">
        <f>IF(F316="","",'Required Info to Submit'!L30)</f>
        <v/>
      </c>
      <c r="I333" s="1153" t="str">
        <f>'Required Info to Submit'!F30</f>
        <v/>
      </c>
      <c r="J333" s="1153" t="str">
        <f>'Required Info to Submit'!G30</f>
        <v/>
      </c>
      <c r="K333" s="1153" t="str">
        <f>'Required Info to Submit'!H30</f>
        <v/>
      </c>
      <c r="L333" s="1153" t="str">
        <f>'Required Info to Submit'!I30</f>
        <v/>
      </c>
      <c r="M333" s="1153" t="str">
        <f>'Required Info to Submit'!J30</f>
        <v/>
      </c>
      <c r="N333" s="1107"/>
      <c r="O333" s="1108"/>
      <c r="P333" s="1107"/>
      <c r="Q333" s="1107"/>
      <c r="R333" s="1107"/>
      <c r="S333" s="1107"/>
      <c r="T333" s="1107"/>
      <c r="U333" s="1107"/>
      <c r="V333" s="1107"/>
      <c r="W333" s="1107"/>
      <c r="X333" s="1107"/>
      <c r="Y333" s="1107"/>
      <c r="Z333" s="1107"/>
      <c r="AA333" s="1107"/>
      <c r="AB333" s="1107"/>
      <c r="AC333" s="1107"/>
      <c r="AD333" s="1107"/>
      <c r="AE333" s="1107"/>
      <c r="AF333" s="1107"/>
      <c r="AG333" s="1107"/>
      <c r="AH333" s="1107"/>
      <c r="AI333" s="1107"/>
      <c r="AJ333" s="1107"/>
      <c r="AK333" s="1107"/>
      <c r="AL333" s="1107"/>
      <c r="AM333" s="1107"/>
      <c r="AN333" s="1107"/>
      <c r="AO333" s="1107"/>
      <c r="AP333" s="1107"/>
      <c r="AQ333" s="1107"/>
      <c r="AR333" s="1107"/>
      <c r="AS333" s="1107"/>
      <c r="AT333" s="1107"/>
      <c r="AU333" s="1107"/>
      <c r="AV333" s="1107"/>
      <c r="AW333" s="1107"/>
      <c r="AX333" s="1107"/>
      <c r="AY333" s="1107"/>
      <c r="AZ333" s="1107"/>
      <c r="BA333" s="1107"/>
      <c r="BB333" s="1107"/>
      <c r="BC333" s="1107"/>
      <c r="BD333" s="1107"/>
      <c r="BE333" s="1107"/>
      <c r="BF333" s="1107"/>
      <c r="BG333" s="1107"/>
      <c r="BH333" s="1107"/>
      <c r="BI333" s="1107"/>
      <c r="BJ333" s="1107"/>
      <c r="BK333" s="1107"/>
      <c r="BL333" s="1107"/>
      <c r="BM333" s="1107"/>
      <c r="BN333" s="1107"/>
      <c r="BO333" s="1107"/>
      <c r="BP333" s="1107"/>
      <c r="BQ333" s="1107"/>
      <c r="BR333" s="1107"/>
      <c r="BS333" s="1107"/>
      <c r="BT333" s="1107"/>
      <c r="BU333" s="1107"/>
      <c r="BV333" s="1107"/>
      <c r="BW333" s="1107"/>
      <c r="BX333" s="1107"/>
      <c r="BY333" s="1107"/>
      <c r="BZ333" s="1107"/>
      <c r="CA333" s="1107"/>
      <c r="CB333" s="1107"/>
      <c r="CC333" s="1107"/>
      <c r="CD333" s="1107"/>
      <c r="CE333" s="1107"/>
      <c r="CF333" s="1107"/>
      <c r="CG333" s="1107"/>
      <c r="CH333" s="1107"/>
      <c r="CI333" s="1107"/>
      <c r="CJ333" s="1107"/>
      <c r="CK333" s="1107"/>
    </row>
    <row r="334" spans="1:89" x14ac:dyDescent="0.25">
      <c r="A334" s="1107"/>
      <c r="B334" s="2008"/>
      <c r="C334" s="1154">
        <v>9</v>
      </c>
      <c r="D334" s="1144" t="s">
        <v>1872</v>
      </c>
      <c r="E334" s="1144" t="s">
        <v>1426</v>
      </c>
      <c r="F334" s="1153" t="str">
        <f>'Required Info to Submit'!E31</f>
        <v/>
      </c>
      <c r="G334" s="1417" t="str">
        <f>IF(F334="","",'Required Info to Submit'!K31)</f>
        <v/>
      </c>
      <c r="H334" s="1418" t="str">
        <f>IF(F317="","",'Required Info to Submit'!L31)</f>
        <v/>
      </c>
      <c r="I334" s="1153" t="str">
        <f>'Required Info to Submit'!F31</f>
        <v/>
      </c>
      <c r="J334" s="1153" t="str">
        <f>'Required Info to Submit'!G31</f>
        <v/>
      </c>
      <c r="K334" s="1153" t="str">
        <f>'Required Info to Submit'!H31</f>
        <v/>
      </c>
      <c r="L334" s="1153" t="str">
        <f>'Required Info to Submit'!I31</f>
        <v/>
      </c>
      <c r="M334" s="1153" t="str">
        <f>'Required Info to Submit'!J31</f>
        <v/>
      </c>
      <c r="N334" s="1107"/>
      <c r="O334" s="1108"/>
      <c r="P334" s="1107"/>
      <c r="Q334" s="1107"/>
      <c r="R334" s="1107"/>
      <c r="S334" s="1107"/>
      <c r="T334" s="1107"/>
      <c r="U334" s="1107"/>
      <c r="V334" s="1107"/>
      <c r="W334" s="1107"/>
      <c r="X334" s="1107"/>
      <c r="Y334" s="1107"/>
      <c r="Z334" s="1107"/>
      <c r="AA334" s="1107"/>
      <c r="AB334" s="1107"/>
      <c r="AC334" s="1107"/>
      <c r="AD334" s="1107"/>
      <c r="AE334" s="1107"/>
      <c r="AF334" s="1107"/>
      <c r="AG334" s="1107"/>
      <c r="AH334" s="1107"/>
      <c r="AI334" s="1107"/>
      <c r="AJ334" s="1107"/>
      <c r="AK334" s="1107"/>
      <c r="AL334" s="1107"/>
      <c r="AM334" s="1107"/>
      <c r="AN334" s="1107"/>
      <c r="AO334" s="1107"/>
      <c r="AP334" s="1107"/>
      <c r="AQ334" s="1107"/>
      <c r="AR334" s="1107"/>
      <c r="AS334" s="1107"/>
      <c r="AT334" s="1107"/>
      <c r="AU334" s="1107"/>
      <c r="AV334" s="1107"/>
      <c r="AW334" s="1107"/>
      <c r="AX334" s="1107"/>
      <c r="AY334" s="1107"/>
      <c r="AZ334" s="1107"/>
      <c r="BA334" s="1107"/>
      <c r="BB334" s="1107"/>
      <c r="BC334" s="1107"/>
      <c r="BD334" s="1107"/>
      <c r="BE334" s="1107"/>
      <c r="BF334" s="1107"/>
      <c r="BG334" s="1107"/>
      <c r="BH334" s="1107"/>
      <c r="BI334" s="1107"/>
      <c r="BJ334" s="1107"/>
      <c r="BK334" s="1107"/>
      <c r="BL334" s="1107"/>
      <c r="BM334" s="1107"/>
      <c r="BN334" s="1107"/>
      <c r="BO334" s="1107"/>
      <c r="BP334" s="1107"/>
      <c r="BQ334" s="1107"/>
      <c r="BR334" s="1107"/>
      <c r="BS334" s="1107"/>
      <c r="BT334" s="1107"/>
      <c r="BU334" s="1107"/>
      <c r="BV334" s="1107"/>
      <c r="BW334" s="1107"/>
      <c r="BX334" s="1107"/>
      <c r="BY334" s="1107"/>
      <c r="BZ334" s="1107"/>
      <c r="CA334" s="1107"/>
      <c r="CB334" s="1107"/>
      <c r="CC334" s="1107"/>
      <c r="CD334" s="1107"/>
      <c r="CE334" s="1107"/>
      <c r="CF334" s="1107"/>
      <c r="CG334" s="1107"/>
      <c r="CH334" s="1107"/>
      <c r="CI334" s="1107"/>
      <c r="CJ334" s="1107"/>
      <c r="CK334" s="1107"/>
    </row>
    <row r="335" spans="1:89" ht="15.75" thickBot="1" x14ac:dyDescent="0.3">
      <c r="A335" s="1107"/>
      <c r="B335" s="2009"/>
      <c r="C335" s="1242">
        <v>10</v>
      </c>
      <c r="D335" s="1243" t="s">
        <v>1872</v>
      </c>
      <c r="E335" s="1243" t="s">
        <v>1426</v>
      </c>
      <c r="F335" s="1153" t="str">
        <f>'Required Info to Submit'!E32</f>
        <v/>
      </c>
      <c r="G335" s="1417" t="str">
        <f>IF(F335="","",'Required Info to Submit'!K32)</f>
        <v/>
      </c>
      <c r="H335" s="1418" t="str">
        <f>IF(F318="","",'Required Info to Submit'!L32)</f>
        <v/>
      </c>
      <c r="I335" s="1159" t="str">
        <f>'Required Info to Submit'!F32</f>
        <v/>
      </c>
      <c r="J335" s="1159" t="str">
        <f>'Required Info to Submit'!G32</f>
        <v/>
      </c>
      <c r="K335" s="1159" t="str">
        <f>'Required Info to Submit'!H32</f>
        <v/>
      </c>
      <c r="L335" s="1159" t="str">
        <f>'Required Info to Submit'!I32</f>
        <v/>
      </c>
      <c r="M335" s="1159" t="str">
        <f>'Required Info to Submit'!J32</f>
        <v/>
      </c>
      <c r="N335" s="1107"/>
      <c r="O335" s="1108"/>
      <c r="P335" s="1107"/>
      <c r="Q335" s="1107"/>
      <c r="R335" s="1107"/>
      <c r="S335" s="1107"/>
      <c r="T335" s="1107"/>
      <c r="U335" s="1107"/>
      <c r="V335" s="1107"/>
      <c r="W335" s="1107"/>
      <c r="X335" s="1107"/>
      <c r="Y335" s="1107"/>
      <c r="Z335" s="1107"/>
      <c r="AA335" s="1107"/>
      <c r="AB335" s="1107"/>
      <c r="AC335" s="1107"/>
      <c r="AD335" s="1107"/>
      <c r="AE335" s="1107"/>
      <c r="AF335" s="1107"/>
      <c r="AG335" s="1107"/>
      <c r="AH335" s="1107"/>
      <c r="AI335" s="1107"/>
      <c r="AJ335" s="1107"/>
      <c r="AK335" s="1107"/>
      <c r="AL335" s="1107"/>
      <c r="AM335" s="1107"/>
      <c r="AN335" s="1107"/>
      <c r="AO335" s="1107"/>
      <c r="AP335" s="1107"/>
      <c r="AQ335" s="1107"/>
      <c r="AR335" s="1107"/>
      <c r="AS335" s="1107"/>
      <c r="AT335" s="1107"/>
      <c r="AU335" s="1107"/>
      <c r="AV335" s="1107"/>
      <c r="AW335" s="1107"/>
      <c r="AX335" s="1107"/>
      <c r="AY335" s="1107"/>
      <c r="AZ335" s="1107"/>
      <c r="BA335" s="1107"/>
      <c r="BB335" s="1107"/>
      <c r="BC335" s="1107"/>
      <c r="BD335" s="1107"/>
      <c r="BE335" s="1107"/>
      <c r="BF335" s="1107"/>
      <c r="BG335" s="1107"/>
      <c r="BH335" s="1107"/>
      <c r="BI335" s="1107"/>
      <c r="BJ335" s="1107"/>
      <c r="BK335" s="1107"/>
      <c r="BL335" s="1107"/>
      <c r="BM335" s="1107"/>
      <c r="BN335" s="1107"/>
      <c r="BO335" s="1107"/>
      <c r="BP335" s="1107"/>
      <c r="BQ335" s="1107"/>
      <c r="BR335" s="1107"/>
      <c r="BS335" s="1107"/>
      <c r="BT335" s="1107"/>
      <c r="BU335" s="1107"/>
      <c r="BV335" s="1107"/>
      <c r="BW335" s="1107"/>
      <c r="BX335" s="1107"/>
      <c r="BY335" s="1107"/>
      <c r="BZ335" s="1107"/>
      <c r="CA335" s="1107"/>
      <c r="CB335" s="1107"/>
      <c r="CC335" s="1107"/>
      <c r="CD335" s="1107"/>
      <c r="CE335" s="1107"/>
      <c r="CF335" s="1107"/>
      <c r="CG335" s="1107"/>
      <c r="CH335" s="1107"/>
      <c r="CI335" s="1107"/>
      <c r="CJ335" s="1107"/>
      <c r="CK335" s="1107"/>
    </row>
    <row r="336" spans="1:89" ht="30" x14ac:dyDescent="0.25">
      <c r="A336" s="1107"/>
      <c r="B336" s="2006" t="s">
        <v>1909</v>
      </c>
      <c r="C336" s="1244" t="s">
        <v>1475</v>
      </c>
      <c r="D336" s="1245" t="s">
        <v>1402</v>
      </c>
      <c r="E336" s="1244" t="s">
        <v>1478</v>
      </c>
      <c r="F336" s="1246" t="s">
        <v>1135</v>
      </c>
      <c r="G336" s="1247" t="s">
        <v>1134</v>
      </c>
      <c r="H336" s="1247" t="s">
        <v>1672</v>
      </c>
      <c r="I336" s="1107"/>
      <c r="J336" s="1107"/>
      <c r="K336" s="1107"/>
      <c r="L336" s="1107"/>
      <c r="M336" s="1107"/>
      <c r="N336" s="1107"/>
      <c r="O336" s="1108"/>
      <c r="P336" s="1107"/>
      <c r="Q336" s="1107"/>
      <c r="R336" s="1107"/>
      <c r="S336" s="1107"/>
      <c r="T336" s="1107"/>
      <c r="U336" s="1107"/>
      <c r="V336" s="1107"/>
      <c r="W336" s="1107"/>
      <c r="X336" s="1107"/>
      <c r="Y336" s="1107"/>
      <c r="Z336" s="1107"/>
      <c r="AA336" s="1107"/>
      <c r="AB336" s="1107"/>
      <c r="AC336" s="1107"/>
      <c r="AD336" s="1107"/>
      <c r="AE336" s="1107"/>
      <c r="AF336" s="1107"/>
      <c r="AG336" s="1107"/>
      <c r="AH336" s="1107"/>
      <c r="AI336" s="1107"/>
      <c r="AJ336" s="1107"/>
      <c r="AK336" s="1107"/>
      <c r="AL336" s="1107"/>
      <c r="AM336" s="1107"/>
      <c r="AN336" s="1107"/>
      <c r="AO336" s="1107"/>
      <c r="AP336" s="1107"/>
      <c r="AQ336" s="1107"/>
      <c r="AR336" s="1107"/>
      <c r="AS336" s="1107"/>
      <c r="AT336" s="1107"/>
      <c r="AU336" s="1107"/>
      <c r="AV336" s="1107"/>
      <c r="AW336" s="1107"/>
      <c r="AX336" s="1107"/>
      <c r="AY336" s="1107"/>
      <c r="AZ336" s="1107"/>
      <c r="BA336" s="1107"/>
      <c r="BB336" s="1107"/>
      <c r="BC336" s="1107"/>
      <c r="BD336" s="1107"/>
      <c r="BE336" s="1107"/>
      <c r="BF336" s="1107"/>
      <c r="BG336" s="1107"/>
      <c r="BH336" s="1107"/>
      <c r="BI336" s="1107"/>
      <c r="BJ336" s="1107"/>
      <c r="BK336" s="1107"/>
      <c r="BL336" s="1107"/>
      <c r="BM336" s="1107"/>
      <c r="BN336" s="1107"/>
      <c r="BO336" s="1107"/>
      <c r="BP336" s="1107"/>
      <c r="BQ336" s="1107"/>
      <c r="BR336" s="1107"/>
      <c r="BS336" s="1107"/>
      <c r="BT336" s="1107"/>
      <c r="BU336" s="1107"/>
      <c r="BV336" s="1107"/>
      <c r="BW336" s="1107"/>
      <c r="BX336" s="1107"/>
      <c r="BY336" s="1107"/>
      <c r="BZ336" s="1107"/>
      <c r="CA336" s="1107"/>
      <c r="CB336" s="1107"/>
      <c r="CC336" s="1107"/>
      <c r="CD336" s="1107"/>
      <c r="CE336" s="1107"/>
      <c r="CF336" s="1107"/>
      <c r="CG336" s="1107"/>
      <c r="CH336" s="1107"/>
      <c r="CI336" s="1107"/>
      <c r="CJ336" s="1107"/>
      <c r="CK336" s="1107"/>
    </row>
    <row r="337" spans="1:89" ht="15.75" thickBot="1" x14ac:dyDescent="0.3">
      <c r="A337" s="1107"/>
      <c r="B337" s="2010"/>
      <c r="C337" s="1248" t="str" cm="1">
        <f t="array" aca="1" ref="C337" ca="1">IF(ISBLANK(INDIRECT("'Incentives Worksheet'!L"&amp;'Configurable Tab'!H29+6)),"",INDIRECT("'Incentives Worksheet'!L"&amp;'Configurable Tab'!H29+6))</f>
        <v/>
      </c>
      <c r="D337" s="1249" t="str" cm="1">
        <f t="array" aca="1" ref="D337" ca="1">IF(ISBLANK(INDIRECT("'Incentives Worksheet'!R"&amp;'Configurable Tab'!H29+9)),"",INDIRECT("'Incentives Worksheet'!R"&amp;'Configurable Tab'!H29+9))</f>
        <v/>
      </c>
      <c r="E337" s="1250" t="str" cm="1">
        <f t="array" aca="1" ref="E337" ca="1">IF(ISBLANK(INDIRECT("'Incentives Worksheet'!H"&amp;'Configurable Tab'!H29+9)),"",INDIRECT("'Incentives Worksheet'!H"&amp;'Configurable Tab'!H29+9))</f>
        <v/>
      </c>
      <c r="F337" s="1251" t="str" cm="1">
        <f t="array" aca="1" ref="F337" ca="1">IF(ISBLANK(INDIRECT("'Incentives Worksheet'!L"&amp;'Configurable Tab'!H29+9)),"",INDIRECT("'Incentives Worksheet'!L"&amp;'Configurable Tab'!H29+9))</f>
        <v/>
      </c>
      <c r="G337" s="1248" t="str" cm="1">
        <f t="array" aca="1" ref="G337" ca="1">IF(ISBLANK(INDIRECT("'Incentives Worksheet'!P"&amp;'Configurable Tab'!H29+9)),"",INDIRECT("'Incentives Worksheet'!P"&amp;'Configurable Tab'!H29+9))</f>
        <v/>
      </c>
      <c r="H337" s="1248" t="str" cm="1">
        <f t="array" aca="1" ref="H337" ca="1">IF(ISBLANK(INDIRECT("'Incentives Worksheet'!J"&amp;'Configurable Tab'!H29+6)),"",INDIRECT("'Incentives Worksheet'!J"&amp;'Configurable Tab'!H29+6))</f>
        <v/>
      </c>
      <c r="I337" s="1157"/>
      <c r="J337" s="1157"/>
      <c r="K337" s="1157"/>
      <c r="L337" s="1157"/>
      <c r="M337" s="1157"/>
      <c r="N337" s="1157"/>
      <c r="O337" s="1110"/>
      <c r="P337" s="1107"/>
      <c r="Q337" s="1107"/>
      <c r="R337" s="1107"/>
      <c r="S337" s="1107"/>
      <c r="T337" s="1107"/>
      <c r="U337" s="1107"/>
      <c r="V337" s="1107"/>
      <c r="W337" s="1107"/>
      <c r="X337" s="1107"/>
      <c r="Y337" s="1107"/>
      <c r="Z337" s="1107"/>
      <c r="AA337" s="1107"/>
      <c r="AB337" s="1107"/>
      <c r="AC337" s="1107"/>
      <c r="AD337" s="1107"/>
      <c r="AE337" s="1107"/>
      <c r="AF337" s="1107"/>
      <c r="AG337" s="1107"/>
      <c r="AH337" s="1107"/>
      <c r="AI337" s="1107"/>
      <c r="AJ337" s="1107"/>
      <c r="AK337" s="1107"/>
      <c r="AL337" s="1107"/>
      <c r="AM337" s="1107"/>
      <c r="AN337" s="1107"/>
      <c r="AO337" s="1107"/>
      <c r="AP337" s="1107"/>
      <c r="AQ337" s="1107"/>
      <c r="AR337" s="1107"/>
      <c r="AS337" s="1107"/>
      <c r="AT337" s="1107"/>
      <c r="AU337" s="1107"/>
      <c r="AV337" s="1107"/>
      <c r="AW337" s="1107"/>
      <c r="AX337" s="1107"/>
      <c r="AY337" s="1107"/>
      <c r="AZ337" s="1107"/>
      <c r="BA337" s="1107"/>
      <c r="BB337" s="1107"/>
      <c r="BC337" s="1107"/>
      <c r="BD337" s="1107"/>
      <c r="BE337" s="1107"/>
      <c r="BF337" s="1107"/>
      <c r="BG337" s="1107"/>
      <c r="BH337" s="1107"/>
      <c r="BI337" s="1107"/>
      <c r="BJ337" s="1107"/>
      <c r="BK337" s="1107"/>
      <c r="BL337" s="1107"/>
      <c r="BM337" s="1107"/>
      <c r="BN337" s="1107"/>
      <c r="BO337" s="1107"/>
      <c r="BP337" s="1107"/>
      <c r="BQ337" s="1107"/>
      <c r="BR337" s="1107"/>
      <c r="BS337" s="1107"/>
      <c r="BT337" s="1107"/>
      <c r="BU337" s="1107"/>
      <c r="BV337" s="1107"/>
      <c r="BW337" s="1107"/>
      <c r="BX337" s="1107"/>
      <c r="BY337" s="1107"/>
      <c r="BZ337" s="1107"/>
      <c r="CA337" s="1107"/>
      <c r="CB337" s="1107"/>
      <c r="CC337" s="1107"/>
      <c r="CD337" s="1107"/>
      <c r="CE337" s="1107"/>
      <c r="CF337" s="1107"/>
      <c r="CG337" s="1107"/>
      <c r="CH337" s="1107"/>
      <c r="CI337" s="1107"/>
      <c r="CJ337" s="1107"/>
      <c r="CK337" s="1107"/>
    </row>
    <row r="338" spans="1:89" x14ac:dyDescent="0.25">
      <c r="A338" s="1107"/>
      <c r="B338" s="1107"/>
      <c r="C338" s="1107"/>
      <c r="D338" s="1107"/>
      <c r="E338" s="1107"/>
      <c r="F338" s="1107"/>
      <c r="G338" s="1107"/>
      <c r="H338" s="1107"/>
      <c r="I338" s="1107"/>
      <c r="J338" s="1107"/>
      <c r="K338" s="1107"/>
      <c r="L338" s="1107"/>
      <c r="M338" s="1107"/>
      <c r="N338" s="1107"/>
      <c r="O338" s="1107"/>
      <c r="P338" s="1107"/>
      <c r="Q338" s="1107"/>
      <c r="R338" s="1107"/>
      <c r="S338" s="1107"/>
      <c r="T338" s="1107"/>
      <c r="U338" s="1107"/>
      <c r="V338" s="1107"/>
      <c r="W338" s="1107"/>
      <c r="X338" s="1107"/>
      <c r="Y338" s="1107"/>
      <c r="Z338" s="1107"/>
      <c r="AA338" s="1107"/>
      <c r="AB338" s="1107"/>
      <c r="AC338" s="1107"/>
      <c r="AD338" s="1107"/>
      <c r="AE338" s="1107"/>
      <c r="AF338" s="1107"/>
      <c r="AG338" s="1107"/>
      <c r="AH338" s="1107"/>
      <c r="AI338" s="1107"/>
      <c r="AJ338" s="1107"/>
      <c r="AK338" s="1107"/>
      <c r="AL338" s="1107"/>
      <c r="AM338" s="1107"/>
      <c r="AN338" s="1107"/>
      <c r="AO338" s="1107"/>
      <c r="AP338" s="1107"/>
      <c r="AQ338" s="1107"/>
      <c r="AR338" s="1107"/>
      <c r="AS338" s="1107"/>
      <c r="AT338" s="1107"/>
      <c r="AU338" s="1107"/>
      <c r="AV338" s="1107"/>
      <c r="AW338" s="1107"/>
      <c r="AX338" s="1107"/>
      <c r="AY338" s="1107"/>
      <c r="AZ338" s="1107"/>
      <c r="BA338" s="1107"/>
      <c r="BB338" s="1107"/>
      <c r="BC338" s="1107"/>
      <c r="BD338" s="1107"/>
      <c r="BE338" s="1107"/>
      <c r="BF338" s="1107"/>
      <c r="BG338" s="1107"/>
      <c r="BH338" s="1107"/>
      <c r="BI338" s="1107"/>
      <c r="BJ338" s="1107"/>
      <c r="BK338" s="1107"/>
      <c r="BL338" s="1107"/>
      <c r="BM338" s="1107"/>
      <c r="BN338" s="1107"/>
      <c r="BO338" s="1107"/>
      <c r="BP338" s="1107"/>
      <c r="BQ338" s="1107"/>
      <c r="BR338" s="1107"/>
      <c r="BS338" s="1107"/>
      <c r="BT338" s="1107"/>
      <c r="BU338" s="1107"/>
      <c r="BV338" s="1107"/>
      <c r="BW338" s="1107"/>
      <c r="BX338" s="1107"/>
      <c r="BY338" s="1107"/>
      <c r="BZ338" s="1107"/>
      <c r="CA338" s="1107"/>
      <c r="CB338" s="1107"/>
      <c r="CC338" s="1107"/>
      <c r="CD338" s="1107"/>
      <c r="CE338" s="1107"/>
      <c r="CF338" s="1107"/>
      <c r="CG338" s="1107"/>
      <c r="CH338" s="1107"/>
      <c r="CI338" s="1107"/>
      <c r="CJ338" s="1107"/>
      <c r="CK338" s="1107"/>
    </row>
    <row r="339" spans="1:89" ht="15.75" thickBot="1" x14ac:dyDescent="0.3">
      <c r="A339" s="1107"/>
      <c r="B339" s="1107"/>
      <c r="C339" s="1107"/>
      <c r="D339" s="1107"/>
      <c r="E339" s="1107"/>
      <c r="F339" s="1107"/>
      <c r="G339" s="1107"/>
      <c r="H339" s="1107"/>
      <c r="I339" s="1107"/>
      <c r="J339" s="1107"/>
      <c r="K339" s="1107"/>
      <c r="L339" s="1107"/>
      <c r="M339" s="1107"/>
      <c r="N339" s="1107"/>
      <c r="O339" s="1107"/>
      <c r="P339" s="1107"/>
      <c r="Q339" s="1107"/>
      <c r="R339" s="1107"/>
      <c r="S339" s="1107"/>
      <c r="T339" s="1107"/>
      <c r="U339" s="1107"/>
      <c r="V339" s="1107"/>
      <c r="W339" s="1107"/>
      <c r="X339" s="1107"/>
      <c r="Y339" s="1107"/>
      <c r="Z339" s="1107"/>
      <c r="AA339" s="1107"/>
      <c r="AB339" s="1107"/>
      <c r="AC339" s="1107"/>
      <c r="AD339" s="1107"/>
      <c r="AE339" s="1107"/>
      <c r="AF339" s="1107"/>
      <c r="AG339" s="1107"/>
      <c r="AH339" s="1107"/>
      <c r="AI339" s="1107"/>
      <c r="AJ339" s="1107"/>
      <c r="AK339" s="1107"/>
      <c r="AL339" s="1107"/>
      <c r="AM339" s="1107"/>
      <c r="AN339" s="1107"/>
      <c r="AO339" s="1107"/>
      <c r="AP339" s="1107"/>
      <c r="AQ339" s="1107"/>
      <c r="AR339" s="1107"/>
      <c r="AS339" s="1107"/>
      <c r="AT339" s="1107"/>
      <c r="AU339" s="1107"/>
      <c r="AV339" s="1107"/>
      <c r="AW339" s="1107"/>
      <c r="AX339" s="1107"/>
      <c r="AY339" s="1107"/>
      <c r="AZ339" s="1107"/>
      <c r="BA339" s="1107"/>
      <c r="BB339" s="1107"/>
      <c r="BC339" s="1107"/>
      <c r="BD339" s="1107"/>
      <c r="BE339" s="1107"/>
      <c r="BF339" s="1107"/>
      <c r="BG339" s="1107"/>
      <c r="BH339" s="1107"/>
      <c r="BI339" s="1107"/>
      <c r="BJ339" s="1107"/>
      <c r="BK339" s="1107"/>
      <c r="BL339" s="1107"/>
      <c r="BM339" s="1107"/>
      <c r="BN339" s="1107"/>
      <c r="BO339" s="1107"/>
      <c r="BP339" s="1107"/>
      <c r="BQ339" s="1107"/>
      <c r="BR339" s="1107"/>
      <c r="BS339" s="1107"/>
      <c r="BT339" s="1107"/>
      <c r="BU339" s="1107"/>
      <c r="BV339" s="1107"/>
      <c r="BW339" s="1107"/>
      <c r="BX339" s="1107"/>
      <c r="BY339" s="1107"/>
      <c r="BZ339" s="1107"/>
      <c r="CA339" s="1107"/>
      <c r="CB339" s="1107"/>
      <c r="CC339" s="1107"/>
      <c r="CD339" s="1107"/>
      <c r="CE339" s="1107"/>
      <c r="CF339" s="1107"/>
      <c r="CG339" s="1107"/>
      <c r="CH339" s="1107"/>
      <c r="CI339" s="1107"/>
      <c r="CJ339" s="1107"/>
      <c r="CK339" s="1107"/>
    </row>
    <row r="340" spans="1:89" ht="60.75" customHeight="1" thickBot="1" x14ac:dyDescent="0.3">
      <c r="A340" s="1107"/>
      <c r="B340" s="1303"/>
      <c r="C340" s="1100" t="s">
        <v>1383</v>
      </c>
      <c r="D340" s="1100" t="s">
        <v>1491</v>
      </c>
      <c r="E340" s="1100" t="s">
        <v>766</v>
      </c>
      <c r="F340" s="1100" t="s">
        <v>1496</v>
      </c>
      <c r="G340" s="1101" t="s">
        <v>1850</v>
      </c>
      <c r="H340" s="1101" t="s">
        <v>1851</v>
      </c>
      <c r="I340" s="1101" t="s">
        <v>1397</v>
      </c>
      <c r="J340" s="1101" t="s">
        <v>1381</v>
      </c>
      <c r="K340" s="1100" t="s">
        <v>1382</v>
      </c>
      <c r="L340" s="1100" t="s">
        <v>721</v>
      </c>
      <c r="M340" s="1100" t="s">
        <v>722</v>
      </c>
      <c r="N340" s="1101" t="s">
        <v>1495</v>
      </c>
      <c r="O340" s="1101" t="s">
        <v>1841</v>
      </c>
      <c r="P340" s="1107"/>
      <c r="Q340" s="1107"/>
      <c r="R340" s="1107"/>
      <c r="S340" s="1107"/>
      <c r="T340" s="1107"/>
      <c r="U340" s="1107"/>
      <c r="V340" s="1107"/>
      <c r="W340" s="1107"/>
      <c r="X340" s="1107"/>
      <c r="Y340" s="1107"/>
      <c r="Z340" s="1107"/>
      <c r="AA340" s="1107"/>
      <c r="AB340" s="1107"/>
      <c r="AC340" s="1107"/>
      <c r="AD340" s="1107"/>
      <c r="AE340" s="1107"/>
      <c r="AF340" s="1107"/>
      <c r="AG340" s="1107"/>
      <c r="AH340" s="1107"/>
      <c r="AI340" s="1107"/>
      <c r="AJ340" s="1107"/>
      <c r="AK340" s="1107"/>
      <c r="AL340" s="1107"/>
      <c r="AM340" s="1107"/>
      <c r="AN340" s="1107"/>
      <c r="AO340" s="1107"/>
      <c r="AP340" s="1107"/>
      <c r="AQ340" s="1107"/>
      <c r="AR340" s="1107"/>
      <c r="AS340" s="1107"/>
      <c r="AT340" s="1107"/>
      <c r="AU340" s="1107"/>
      <c r="AV340" s="1107"/>
      <c r="AW340" s="1107"/>
      <c r="AX340" s="1107"/>
      <c r="AY340" s="1107"/>
      <c r="AZ340" s="1107"/>
      <c r="BA340" s="1107"/>
      <c r="BB340" s="1107"/>
      <c r="BC340" s="1107"/>
      <c r="BD340" s="1107"/>
      <c r="BE340" s="1107"/>
      <c r="BF340" s="1107"/>
      <c r="BG340" s="1107"/>
      <c r="BH340" s="1107"/>
      <c r="BI340" s="1107"/>
      <c r="BJ340" s="1107"/>
      <c r="BK340" s="1107"/>
      <c r="BL340" s="1107"/>
      <c r="BM340" s="1107"/>
      <c r="BN340" s="1107"/>
      <c r="BO340" s="1107"/>
      <c r="BP340" s="1107"/>
      <c r="BQ340" s="1107"/>
      <c r="BR340" s="1107"/>
      <c r="BS340" s="1107"/>
      <c r="BT340" s="1107"/>
      <c r="BU340" s="1107"/>
      <c r="BV340" s="1107"/>
      <c r="BW340" s="1107"/>
      <c r="BX340" s="1107"/>
      <c r="BY340" s="1107"/>
      <c r="BZ340" s="1107"/>
      <c r="CA340" s="1107"/>
      <c r="CB340" s="1107"/>
      <c r="CC340" s="1107"/>
      <c r="CD340" s="1107"/>
      <c r="CE340" s="1107"/>
      <c r="CF340" s="1107"/>
      <c r="CG340" s="1107"/>
      <c r="CH340" s="1107"/>
      <c r="CI340" s="1107"/>
      <c r="CJ340" s="1107"/>
      <c r="CK340" s="1107"/>
    </row>
    <row r="341" spans="1:89" ht="75.75" customHeight="1" thickBot="1" x14ac:dyDescent="0.3">
      <c r="A341" s="1107"/>
      <c r="B341" s="1241" t="s">
        <v>1853</v>
      </c>
      <c r="C341" s="1133" t="s">
        <v>1612</v>
      </c>
      <c r="D341" s="1112">
        <v>901</v>
      </c>
      <c r="E341" s="1230" t="s">
        <v>1612</v>
      </c>
      <c r="F341" s="1230" t="s">
        <v>1606</v>
      </c>
      <c r="G341" s="1104" t="str" cm="1">
        <f t="array" aca="1" ref="G341" ca="1">IF(ISBLANK(INDIRECT("'Incentives Worksheet'!H"&amp;'Configurable Tab'!H30+3)),"",INDIRECT("'Incentives Worksheet'!H"&amp;'Configurable Tab'!H30+3))</f>
        <v/>
      </c>
      <c r="H341" s="1104" t="str" cm="1">
        <f t="array" aca="1" ref="H341" ca="1">IF(INDIRECT("'Incentives Worksheet'!R"&amp;'Configurable Tab'!H30+3)="USF Calendar","Fiscal",INDIRECT("'Incentives Worksheet'!R"&amp;'Configurable Tab'!H30+3))</f>
        <v>Calendar</v>
      </c>
      <c r="I341" s="1104" t="str" cm="1">
        <f t="array" aca="1" ref="I341" ca="1">IF(ISBLANK(INDIRECT("'Incentives Worksheet'!L"&amp;'Configurable Tab'!H30+3)),"",INDIRECT("'Incentives Worksheet'!L"&amp;'Configurable Tab'!H30+3))</f>
        <v/>
      </c>
      <c r="J341" s="1104" t="str" cm="1">
        <f t="array" aca="1" ref="J341" ca="1">IF(ISBLANK(INDIRECT("'Incentives Worksheet'!J"&amp;'Configurable Tab'!H30+3)),"",INDIRECT("'Incentives Worksheet'!J"&amp;'Configurable Tab'!H30+3))</f>
        <v/>
      </c>
      <c r="K341" s="1104" t="str" cm="1">
        <f t="array" aca="1" ref="K341" ca="1">IF(ISBLANK(INDIRECT("'Incentives Worksheet'!N"&amp;'Configurable Tab'!H30+3)),"",INDIRECT("'Incentives Worksheet'!N"&amp;'Configurable Tab'!H30+3))</f>
        <v/>
      </c>
      <c r="L341" s="1231" t="str" cm="1">
        <f t="array" aca="1" ref="L341" ca="1">INDIRECT("'Incentives Worksheet'!D"&amp;'Configurable Tab'!H30+6)</f>
        <v/>
      </c>
      <c r="M341" s="1231" t="str" cm="1">
        <f t="array" aca="1" ref="M341" ca="1">INDIRECT("'Incentives Worksheet'!D"&amp;'Configurable Tab'!H30+8)</f>
        <v/>
      </c>
      <c r="N341" s="1104" t="str" cm="1">
        <f t="array" aca="1" ref="N341" ca="1">INDIRECT("'Incentives Worksheet'!D"&amp;'Configurable Tab'!H30+10)</f>
        <v>Yes</v>
      </c>
      <c r="O341" s="1265" t="s">
        <v>1907</v>
      </c>
      <c r="P341" s="1107"/>
      <c r="Q341" s="1107"/>
      <c r="R341" s="1107"/>
      <c r="S341" s="1107"/>
      <c r="T341" s="1107"/>
      <c r="U341" s="1107"/>
      <c r="V341" s="1107"/>
      <c r="W341" s="1107"/>
      <c r="X341" s="1107"/>
      <c r="Y341" s="1107"/>
      <c r="Z341" s="1107"/>
      <c r="AA341" s="1107"/>
      <c r="AB341" s="1107"/>
      <c r="AC341" s="1107"/>
      <c r="AD341" s="1107"/>
      <c r="AE341" s="1107"/>
      <c r="AF341" s="1107"/>
      <c r="AG341" s="1107"/>
      <c r="AH341" s="1107"/>
      <c r="AI341" s="1107"/>
      <c r="AJ341" s="1107"/>
      <c r="AK341" s="1107"/>
      <c r="AL341" s="1107"/>
      <c r="AM341" s="1107"/>
      <c r="AN341" s="1107"/>
      <c r="AO341" s="1107"/>
      <c r="AP341" s="1107"/>
      <c r="AQ341" s="1107"/>
      <c r="AR341" s="1107"/>
      <c r="AS341" s="1107"/>
      <c r="AT341" s="1107"/>
      <c r="AU341" s="1107"/>
      <c r="AV341" s="1107"/>
      <c r="AW341" s="1107"/>
      <c r="AX341" s="1107"/>
      <c r="AY341" s="1107"/>
      <c r="AZ341" s="1107"/>
      <c r="BA341" s="1107"/>
      <c r="BB341" s="1107"/>
      <c r="BC341" s="1107"/>
      <c r="BD341" s="1107"/>
      <c r="BE341" s="1107"/>
      <c r="BF341" s="1107"/>
      <c r="BG341" s="1107"/>
      <c r="BH341" s="1107"/>
      <c r="BI341" s="1107"/>
      <c r="BJ341" s="1107"/>
      <c r="BK341" s="1107"/>
      <c r="BL341" s="1107"/>
      <c r="BM341" s="1107"/>
      <c r="BN341" s="1107"/>
      <c r="BO341" s="1107"/>
      <c r="BP341" s="1107"/>
      <c r="BQ341" s="1107"/>
      <c r="BR341" s="1107"/>
      <c r="BS341" s="1107"/>
      <c r="BT341" s="1107"/>
      <c r="BU341" s="1107"/>
      <c r="BV341" s="1107"/>
      <c r="BW341" s="1107"/>
      <c r="BX341" s="1107"/>
      <c r="BY341" s="1107"/>
      <c r="BZ341" s="1107"/>
      <c r="CA341" s="1107"/>
      <c r="CB341" s="1107"/>
      <c r="CC341" s="1107"/>
      <c r="CD341" s="1107"/>
      <c r="CE341" s="1107"/>
      <c r="CF341" s="1107"/>
      <c r="CG341" s="1107"/>
      <c r="CH341" s="1107"/>
      <c r="CI341" s="1107"/>
      <c r="CJ341" s="1107"/>
      <c r="CK341" s="1107"/>
    </row>
    <row r="342" spans="1:89" ht="30.75" thickBot="1" x14ac:dyDescent="0.3">
      <c r="A342" s="1107"/>
      <c r="B342" s="2006" t="s">
        <v>1901</v>
      </c>
      <c r="C342" s="1160" t="s">
        <v>1902</v>
      </c>
      <c r="D342" s="1100" t="s">
        <v>1903</v>
      </c>
      <c r="E342" s="1101" t="s">
        <v>727</v>
      </c>
      <c r="F342" s="1100" t="s">
        <v>1904</v>
      </c>
      <c r="G342" s="1100" t="s">
        <v>1908</v>
      </c>
      <c r="H342" s="1107"/>
      <c r="I342" s="1107"/>
      <c r="J342" s="1107"/>
      <c r="K342" s="1107"/>
      <c r="L342" s="1107"/>
      <c r="M342" s="1107"/>
      <c r="N342" s="1107"/>
      <c r="O342" s="1108"/>
      <c r="P342" s="1107"/>
      <c r="Q342" s="1107"/>
      <c r="R342" s="1107"/>
      <c r="S342" s="1107"/>
      <c r="T342" s="1107"/>
      <c r="U342" s="1107"/>
      <c r="V342" s="1107"/>
      <c r="W342" s="1107"/>
      <c r="X342" s="1107"/>
      <c r="Y342" s="1107"/>
      <c r="Z342" s="1107"/>
      <c r="AA342" s="1107"/>
      <c r="AB342" s="1107"/>
      <c r="AC342" s="1107"/>
      <c r="AD342" s="1107"/>
      <c r="AE342" s="1107"/>
      <c r="AF342" s="1107"/>
      <c r="AG342" s="1107"/>
      <c r="AH342" s="1107"/>
      <c r="AI342" s="1107"/>
      <c r="AJ342" s="1107"/>
      <c r="AK342" s="1107"/>
      <c r="AL342" s="1107"/>
      <c r="AM342" s="1107"/>
      <c r="AN342" s="1107"/>
      <c r="AO342" s="1107"/>
      <c r="AP342" s="1107"/>
      <c r="AQ342" s="1107"/>
      <c r="AR342" s="1107"/>
      <c r="AS342" s="1107"/>
      <c r="AT342" s="1107"/>
      <c r="AU342" s="1107"/>
      <c r="AV342" s="1107"/>
      <c r="AW342" s="1107"/>
      <c r="AX342" s="1107"/>
      <c r="AY342" s="1107"/>
      <c r="AZ342" s="1107"/>
      <c r="BA342" s="1107"/>
      <c r="BB342" s="1107"/>
      <c r="BC342" s="1107"/>
      <c r="BD342" s="1107"/>
      <c r="BE342" s="1107"/>
      <c r="BF342" s="1107"/>
      <c r="BG342" s="1107"/>
      <c r="BH342" s="1107"/>
      <c r="BI342" s="1107"/>
      <c r="BJ342" s="1107"/>
      <c r="BK342" s="1107"/>
      <c r="BL342" s="1107"/>
      <c r="BM342" s="1107"/>
      <c r="BN342" s="1107"/>
      <c r="BO342" s="1107"/>
      <c r="BP342" s="1107"/>
      <c r="BQ342" s="1107"/>
      <c r="BR342" s="1107"/>
      <c r="BS342" s="1107"/>
      <c r="BT342" s="1107"/>
      <c r="BU342" s="1107"/>
      <c r="BV342" s="1107"/>
      <c r="BW342" s="1107"/>
      <c r="BX342" s="1107"/>
      <c r="BY342" s="1107"/>
      <c r="BZ342" s="1107"/>
      <c r="CA342" s="1107"/>
      <c r="CB342" s="1107"/>
      <c r="CC342" s="1107"/>
      <c r="CD342" s="1107"/>
      <c r="CE342" s="1107"/>
      <c r="CF342" s="1107"/>
      <c r="CG342" s="1107"/>
      <c r="CH342" s="1107"/>
      <c r="CI342" s="1107"/>
      <c r="CJ342" s="1107"/>
      <c r="CK342" s="1107"/>
    </row>
    <row r="343" spans="1:89" ht="15.75" thickBot="1" x14ac:dyDescent="0.3">
      <c r="A343" s="1107"/>
      <c r="B343" s="2010"/>
      <c r="C343" s="1196" t="str" cm="1">
        <f t="array" aca="1" ref="C343" ca="1">INDIRECT("'Incentives Worksheet'!R"&amp;'Configurable Tab'!H30+6)</f>
        <v>Pre Pay</v>
      </c>
      <c r="D343" s="1196" t="str" cm="1">
        <f t="array" aca="1" ref="D343" ca="1">INDIRECT("'Incentives Worksheet'!T"&amp;'Configurable Tab'!H30+6)</f>
        <v>Sales</v>
      </c>
      <c r="E343" s="1226" t="str" cm="1">
        <f t="array" aca="1" ref="E343" ca="1">IF(INDIRECT("'Incentives Worksheet'!H"&amp;'Configurable Tab'!H30+6)=0,"",INDIRECT("'Incentives Worksheet'!H"&amp;'Configurable Tab'!H30+6))</f>
        <v/>
      </c>
      <c r="F343" s="1196" t="s">
        <v>1132</v>
      </c>
      <c r="G343" s="1226" t="str">
        <f>IFERROR(IF('Tracking &amp; Profitability'!E6*'Tracking &amp; Profitability'!E5=0,"",'Tracking &amp; Profitability'!E6*'Tracking &amp; Profitability'!E5),"")</f>
        <v/>
      </c>
      <c r="H343" s="1107"/>
      <c r="I343" s="1107"/>
      <c r="J343" s="1107"/>
      <c r="K343" s="1107"/>
      <c r="L343" s="1107"/>
      <c r="M343" s="1107"/>
      <c r="N343" s="1107"/>
      <c r="O343" s="1108"/>
      <c r="P343" s="1107"/>
      <c r="Q343" s="1107"/>
      <c r="R343" s="1107"/>
      <c r="S343" s="1107"/>
      <c r="T343" s="1107"/>
      <c r="U343" s="1107"/>
      <c r="V343" s="1107"/>
      <c r="W343" s="1107"/>
      <c r="X343" s="1107"/>
      <c r="Y343" s="1107"/>
      <c r="Z343" s="1107"/>
      <c r="AA343" s="1107"/>
      <c r="AB343" s="1107"/>
      <c r="AC343" s="1107"/>
      <c r="AD343" s="1107"/>
      <c r="AE343" s="1107"/>
      <c r="AF343" s="1107"/>
      <c r="AG343" s="1107"/>
      <c r="AH343" s="1107"/>
      <c r="AI343" s="1107"/>
      <c r="AJ343" s="1107"/>
      <c r="AK343" s="1107"/>
      <c r="AL343" s="1107"/>
      <c r="AM343" s="1107"/>
      <c r="AN343" s="1107"/>
      <c r="AO343" s="1107"/>
      <c r="AP343" s="1107"/>
      <c r="AQ343" s="1107"/>
      <c r="AR343" s="1107"/>
      <c r="AS343" s="1107"/>
      <c r="AT343" s="1107"/>
      <c r="AU343" s="1107"/>
      <c r="AV343" s="1107"/>
      <c r="AW343" s="1107"/>
      <c r="AX343" s="1107"/>
      <c r="AY343" s="1107"/>
      <c r="AZ343" s="1107"/>
      <c r="BA343" s="1107"/>
      <c r="BB343" s="1107"/>
      <c r="BC343" s="1107"/>
      <c r="BD343" s="1107"/>
      <c r="BE343" s="1107"/>
      <c r="BF343" s="1107"/>
      <c r="BG343" s="1107"/>
      <c r="BH343" s="1107"/>
      <c r="BI343" s="1107"/>
      <c r="BJ343" s="1107"/>
      <c r="BK343" s="1107"/>
      <c r="BL343" s="1107"/>
      <c r="BM343" s="1107"/>
      <c r="BN343" s="1107"/>
      <c r="BO343" s="1107"/>
      <c r="BP343" s="1107"/>
      <c r="BQ343" s="1107"/>
      <c r="BR343" s="1107"/>
      <c r="BS343" s="1107"/>
      <c r="BT343" s="1107"/>
      <c r="BU343" s="1107"/>
      <c r="BV343" s="1107"/>
      <c r="BW343" s="1107"/>
      <c r="BX343" s="1107"/>
      <c r="BY343" s="1107"/>
      <c r="BZ343" s="1107"/>
      <c r="CA343" s="1107"/>
      <c r="CB343" s="1107"/>
      <c r="CC343" s="1107"/>
      <c r="CD343" s="1107"/>
      <c r="CE343" s="1107"/>
      <c r="CF343" s="1107"/>
      <c r="CG343" s="1107"/>
      <c r="CH343" s="1107"/>
      <c r="CI343" s="1107"/>
      <c r="CJ343" s="1107"/>
      <c r="CK343" s="1107"/>
    </row>
    <row r="344" spans="1:89" ht="15.75" customHeight="1" thickBot="1" x14ac:dyDescent="0.3">
      <c r="A344" s="1107"/>
      <c r="B344" s="2006" t="s">
        <v>1868</v>
      </c>
      <c r="C344" s="1147" t="s">
        <v>1869</v>
      </c>
      <c r="D344" s="1148" t="s">
        <v>1859</v>
      </c>
      <c r="E344" s="1148" t="s">
        <v>131</v>
      </c>
      <c r="F344" s="1148" t="s">
        <v>1860</v>
      </c>
      <c r="G344" s="1148" t="s">
        <v>1870</v>
      </c>
      <c r="H344" s="1149" t="s">
        <v>1871</v>
      </c>
      <c r="I344" s="1150" t="s">
        <v>766</v>
      </c>
      <c r="J344" s="1150" t="s">
        <v>767</v>
      </c>
      <c r="K344" s="1150" t="s">
        <v>768</v>
      </c>
      <c r="L344" s="1150" t="s">
        <v>769</v>
      </c>
      <c r="M344" s="1150" t="s">
        <v>204</v>
      </c>
      <c r="N344" s="1107"/>
      <c r="O344" s="1108"/>
      <c r="P344" s="1107"/>
      <c r="Q344" s="1107"/>
      <c r="R344" s="1107"/>
      <c r="S344" s="1107"/>
      <c r="T344" s="1107"/>
      <c r="U344" s="1107"/>
      <c r="V344" s="1107"/>
      <c r="W344" s="1107"/>
      <c r="X344" s="1107"/>
      <c r="Y344" s="1107"/>
      <c r="Z344" s="1107"/>
      <c r="AA344" s="1107"/>
      <c r="AB344" s="1107"/>
      <c r="AC344" s="1107"/>
      <c r="AD344" s="1107"/>
      <c r="AE344" s="1107"/>
      <c r="AF344" s="1107"/>
      <c r="AG344" s="1107"/>
      <c r="AH344" s="1107"/>
      <c r="AI344" s="1107"/>
      <c r="AJ344" s="1107"/>
      <c r="AK344" s="1107"/>
      <c r="AL344" s="1107"/>
      <c r="AM344" s="1107"/>
      <c r="AN344" s="1107"/>
      <c r="AO344" s="1107"/>
      <c r="AP344" s="1107"/>
      <c r="AQ344" s="1107"/>
      <c r="AR344" s="1107"/>
      <c r="AS344" s="1107"/>
      <c r="AT344" s="1107"/>
      <c r="AU344" s="1107"/>
      <c r="AV344" s="1107"/>
      <c r="AW344" s="1107"/>
      <c r="AX344" s="1107"/>
      <c r="AY344" s="1107"/>
      <c r="AZ344" s="1107"/>
      <c r="BA344" s="1107"/>
      <c r="BB344" s="1107"/>
      <c r="BC344" s="1107"/>
      <c r="BD344" s="1107"/>
      <c r="BE344" s="1107"/>
      <c r="BF344" s="1107"/>
      <c r="BG344" s="1107"/>
      <c r="BH344" s="1107"/>
      <c r="BI344" s="1107"/>
      <c r="BJ344" s="1107"/>
      <c r="BK344" s="1107"/>
      <c r="BL344" s="1107"/>
      <c r="BM344" s="1107"/>
      <c r="BN344" s="1107"/>
      <c r="BO344" s="1107"/>
      <c r="BP344" s="1107"/>
      <c r="BQ344" s="1107"/>
      <c r="BR344" s="1107"/>
      <c r="BS344" s="1107"/>
      <c r="BT344" s="1107"/>
      <c r="BU344" s="1107"/>
      <c r="BV344" s="1107"/>
      <c r="BW344" s="1107"/>
      <c r="BX344" s="1107"/>
      <c r="BY344" s="1107"/>
      <c r="BZ344" s="1107"/>
      <c r="CA344" s="1107"/>
      <c r="CB344" s="1107"/>
      <c r="CC344" s="1107"/>
      <c r="CD344" s="1107"/>
      <c r="CE344" s="1107"/>
      <c r="CF344" s="1107"/>
      <c r="CG344" s="1107"/>
      <c r="CH344" s="1107"/>
      <c r="CI344" s="1107"/>
      <c r="CJ344" s="1107"/>
      <c r="CK344" s="1107"/>
    </row>
    <row r="345" spans="1:89" x14ac:dyDescent="0.25">
      <c r="A345" s="1107"/>
      <c r="B345" s="2008"/>
      <c r="C345" s="1151">
        <v>1</v>
      </c>
      <c r="D345" s="1144" t="s">
        <v>1872</v>
      </c>
      <c r="E345" s="1144" t="s">
        <v>1426</v>
      </c>
      <c r="F345" s="1228" t="str">
        <f>'Required Info to Submit'!E23</f>
        <v/>
      </c>
      <c r="G345" s="1425" t="str">
        <f>IF(F345="","",'Required Info to Submit'!K23)</f>
        <v/>
      </c>
      <c r="H345" s="1426" t="str">
        <f>IF(F345="","",'Required Info to Submit'!L23)</f>
        <v/>
      </c>
      <c r="I345" s="1228" t="str">
        <f>'Required Info to Submit'!F23</f>
        <v/>
      </c>
      <c r="J345" s="1228" t="str">
        <f>'Required Info to Submit'!G23</f>
        <v/>
      </c>
      <c r="K345" s="1228" t="str">
        <f>'Required Info to Submit'!H23</f>
        <v/>
      </c>
      <c r="L345" s="1228" t="str">
        <f>'Required Info to Submit'!I23</f>
        <v/>
      </c>
      <c r="M345" s="1228" t="str">
        <f>'Required Info to Submit'!J23</f>
        <v/>
      </c>
      <c r="N345" s="1107"/>
      <c r="O345" s="1108"/>
      <c r="P345" s="1107"/>
      <c r="Q345" s="1107"/>
      <c r="R345" s="1107"/>
      <c r="S345" s="1107"/>
      <c r="T345" s="1107"/>
      <c r="U345" s="1107"/>
      <c r="V345" s="1107"/>
      <c r="W345" s="1107"/>
      <c r="X345" s="1107"/>
      <c r="Y345" s="1107"/>
      <c r="Z345" s="1107"/>
      <c r="AA345" s="1107"/>
      <c r="AB345" s="1107"/>
      <c r="AC345" s="1107"/>
      <c r="AD345" s="1107"/>
      <c r="AE345" s="1107"/>
      <c r="AF345" s="1107"/>
      <c r="AG345" s="1107"/>
      <c r="AH345" s="1107"/>
      <c r="AI345" s="1107"/>
      <c r="AJ345" s="1107"/>
      <c r="AK345" s="1107"/>
      <c r="AL345" s="1107"/>
      <c r="AM345" s="1107"/>
      <c r="AN345" s="1107"/>
      <c r="AO345" s="1107"/>
      <c r="AP345" s="1107"/>
      <c r="AQ345" s="1107"/>
      <c r="AR345" s="1107"/>
      <c r="AS345" s="1107"/>
      <c r="AT345" s="1107"/>
      <c r="AU345" s="1107"/>
      <c r="AV345" s="1107"/>
      <c r="AW345" s="1107"/>
      <c r="AX345" s="1107"/>
      <c r="AY345" s="1107"/>
      <c r="AZ345" s="1107"/>
      <c r="BA345" s="1107"/>
      <c r="BB345" s="1107"/>
      <c r="BC345" s="1107"/>
      <c r="BD345" s="1107"/>
      <c r="BE345" s="1107"/>
      <c r="BF345" s="1107"/>
      <c r="BG345" s="1107"/>
      <c r="BH345" s="1107"/>
      <c r="BI345" s="1107"/>
      <c r="BJ345" s="1107"/>
      <c r="BK345" s="1107"/>
      <c r="BL345" s="1107"/>
      <c r="BM345" s="1107"/>
      <c r="BN345" s="1107"/>
      <c r="BO345" s="1107"/>
      <c r="BP345" s="1107"/>
      <c r="BQ345" s="1107"/>
      <c r="BR345" s="1107"/>
      <c r="BS345" s="1107"/>
      <c r="BT345" s="1107"/>
      <c r="BU345" s="1107"/>
      <c r="BV345" s="1107"/>
      <c r="BW345" s="1107"/>
      <c r="BX345" s="1107"/>
      <c r="BY345" s="1107"/>
      <c r="BZ345" s="1107"/>
      <c r="CA345" s="1107"/>
      <c r="CB345" s="1107"/>
      <c r="CC345" s="1107"/>
      <c r="CD345" s="1107"/>
      <c r="CE345" s="1107"/>
      <c r="CF345" s="1107"/>
      <c r="CG345" s="1107"/>
      <c r="CH345" s="1107"/>
      <c r="CI345" s="1107"/>
      <c r="CJ345" s="1107"/>
      <c r="CK345" s="1107"/>
    </row>
    <row r="346" spans="1:89" x14ac:dyDescent="0.25">
      <c r="A346" s="1107"/>
      <c r="B346" s="2008"/>
      <c r="C346" s="1154">
        <v>2</v>
      </c>
      <c r="D346" s="1144" t="s">
        <v>1872</v>
      </c>
      <c r="E346" s="1144" t="s">
        <v>1426</v>
      </c>
      <c r="F346" s="1228" t="str">
        <f>'Required Info to Submit'!E24</f>
        <v/>
      </c>
      <c r="G346" s="1425" t="str">
        <f>IF(F346="","",'Required Info to Submit'!K24)</f>
        <v/>
      </c>
      <c r="H346" s="1426" t="str">
        <f>IF(F346="","",'Required Info to Submit'!L24)</f>
        <v/>
      </c>
      <c r="I346" s="1228" t="str">
        <f>'Required Info to Submit'!F24</f>
        <v/>
      </c>
      <c r="J346" s="1228" t="str">
        <f>'Required Info to Submit'!G24</f>
        <v/>
      </c>
      <c r="K346" s="1228" t="str">
        <f>'Required Info to Submit'!H24</f>
        <v/>
      </c>
      <c r="L346" s="1228" t="str">
        <f>'Required Info to Submit'!I24</f>
        <v/>
      </c>
      <c r="M346" s="1228" t="str">
        <f>'Required Info to Submit'!J24</f>
        <v/>
      </c>
      <c r="N346" s="1107"/>
      <c r="O346" s="1108"/>
      <c r="P346" s="1107"/>
      <c r="Q346" s="1107"/>
      <c r="R346" s="1107"/>
      <c r="S346" s="1107"/>
      <c r="T346" s="1107"/>
      <c r="U346" s="1107"/>
      <c r="V346" s="1107"/>
      <c r="W346" s="1107"/>
      <c r="X346" s="1107"/>
      <c r="Y346" s="1107"/>
      <c r="Z346" s="1107"/>
      <c r="AA346" s="1107"/>
      <c r="AB346" s="1107"/>
      <c r="AC346" s="1107"/>
      <c r="AD346" s="1107"/>
      <c r="AE346" s="1107"/>
      <c r="AF346" s="1107"/>
      <c r="AG346" s="1107"/>
      <c r="AH346" s="1107"/>
      <c r="AI346" s="1107"/>
      <c r="AJ346" s="1107"/>
      <c r="AK346" s="1107"/>
      <c r="AL346" s="1107"/>
      <c r="AM346" s="1107"/>
      <c r="AN346" s="1107"/>
      <c r="AO346" s="1107"/>
      <c r="AP346" s="1107"/>
      <c r="AQ346" s="1107"/>
      <c r="AR346" s="1107"/>
      <c r="AS346" s="1107"/>
      <c r="AT346" s="1107"/>
      <c r="AU346" s="1107"/>
      <c r="AV346" s="1107"/>
      <c r="AW346" s="1107"/>
      <c r="AX346" s="1107"/>
      <c r="AY346" s="1107"/>
      <c r="AZ346" s="1107"/>
      <c r="BA346" s="1107"/>
      <c r="BB346" s="1107"/>
      <c r="BC346" s="1107"/>
      <c r="BD346" s="1107"/>
      <c r="BE346" s="1107"/>
      <c r="BF346" s="1107"/>
      <c r="BG346" s="1107"/>
      <c r="BH346" s="1107"/>
      <c r="BI346" s="1107"/>
      <c r="BJ346" s="1107"/>
      <c r="BK346" s="1107"/>
      <c r="BL346" s="1107"/>
      <c r="BM346" s="1107"/>
      <c r="BN346" s="1107"/>
      <c r="BO346" s="1107"/>
      <c r="BP346" s="1107"/>
      <c r="BQ346" s="1107"/>
      <c r="BR346" s="1107"/>
      <c r="BS346" s="1107"/>
      <c r="BT346" s="1107"/>
      <c r="BU346" s="1107"/>
      <c r="BV346" s="1107"/>
      <c r="BW346" s="1107"/>
      <c r="BX346" s="1107"/>
      <c r="BY346" s="1107"/>
      <c r="BZ346" s="1107"/>
      <c r="CA346" s="1107"/>
      <c r="CB346" s="1107"/>
      <c r="CC346" s="1107"/>
      <c r="CD346" s="1107"/>
      <c r="CE346" s="1107"/>
      <c r="CF346" s="1107"/>
      <c r="CG346" s="1107"/>
      <c r="CH346" s="1107"/>
      <c r="CI346" s="1107"/>
      <c r="CJ346" s="1107"/>
      <c r="CK346" s="1107"/>
    </row>
    <row r="347" spans="1:89" x14ac:dyDescent="0.25">
      <c r="A347" s="1107"/>
      <c r="B347" s="2008"/>
      <c r="C347" s="1154">
        <v>3</v>
      </c>
      <c r="D347" s="1144" t="s">
        <v>1872</v>
      </c>
      <c r="E347" s="1144" t="s">
        <v>1426</v>
      </c>
      <c r="F347" s="1228" t="str">
        <f>'Required Info to Submit'!E25</f>
        <v/>
      </c>
      <c r="G347" s="1425" t="str">
        <f>IF(F347="","",'Required Info to Submit'!K25)</f>
        <v/>
      </c>
      <c r="H347" s="1426" t="str">
        <f>IF(F347="","",'Required Info to Submit'!L25)</f>
        <v/>
      </c>
      <c r="I347" s="1228" t="str">
        <f>'Required Info to Submit'!F25</f>
        <v/>
      </c>
      <c r="J347" s="1228" t="str">
        <f>'Required Info to Submit'!G25</f>
        <v/>
      </c>
      <c r="K347" s="1228" t="str">
        <f>'Required Info to Submit'!H25</f>
        <v/>
      </c>
      <c r="L347" s="1228" t="str">
        <f>'Required Info to Submit'!I25</f>
        <v/>
      </c>
      <c r="M347" s="1228" t="str">
        <f>'Required Info to Submit'!J25</f>
        <v/>
      </c>
      <c r="N347" s="1107"/>
      <c r="O347" s="1108"/>
      <c r="P347" s="1107"/>
      <c r="Q347" s="1107"/>
      <c r="R347" s="1107"/>
      <c r="S347" s="1107"/>
      <c r="T347" s="1107"/>
      <c r="U347" s="1107"/>
      <c r="V347" s="1107"/>
      <c r="W347" s="1107"/>
      <c r="X347" s="1107"/>
      <c r="Y347" s="1107"/>
      <c r="Z347" s="1107"/>
      <c r="AA347" s="1107"/>
      <c r="AB347" s="1107"/>
      <c r="AC347" s="1107"/>
      <c r="AD347" s="1107"/>
      <c r="AE347" s="1107"/>
      <c r="AF347" s="1107"/>
      <c r="AG347" s="1107"/>
      <c r="AH347" s="1107"/>
      <c r="AI347" s="1107"/>
      <c r="AJ347" s="1107"/>
      <c r="AK347" s="1107"/>
      <c r="AL347" s="1107"/>
      <c r="AM347" s="1107"/>
      <c r="AN347" s="1107"/>
      <c r="AO347" s="1107"/>
      <c r="AP347" s="1107"/>
      <c r="AQ347" s="1107"/>
      <c r="AR347" s="1107"/>
      <c r="AS347" s="1107"/>
      <c r="AT347" s="1107"/>
      <c r="AU347" s="1107"/>
      <c r="AV347" s="1107"/>
      <c r="AW347" s="1107"/>
      <c r="AX347" s="1107"/>
      <c r="AY347" s="1107"/>
      <c r="AZ347" s="1107"/>
      <c r="BA347" s="1107"/>
      <c r="BB347" s="1107"/>
      <c r="BC347" s="1107"/>
      <c r="BD347" s="1107"/>
      <c r="BE347" s="1107"/>
      <c r="BF347" s="1107"/>
      <c r="BG347" s="1107"/>
      <c r="BH347" s="1107"/>
      <c r="BI347" s="1107"/>
      <c r="BJ347" s="1107"/>
      <c r="BK347" s="1107"/>
      <c r="BL347" s="1107"/>
      <c r="BM347" s="1107"/>
      <c r="BN347" s="1107"/>
      <c r="BO347" s="1107"/>
      <c r="BP347" s="1107"/>
      <c r="BQ347" s="1107"/>
      <c r="BR347" s="1107"/>
      <c r="BS347" s="1107"/>
      <c r="BT347" s="1107"/>
      <c r="BU347" s="1107"/>
      <c r="BV347" s="1107"/>
      <c r="BW347" s="1107"/>
      <c r="BX347" s="1107"/>
      <c r="BY347" s="1107"/>
      <c r="BZ347" s="1107"/>
      <c r="CA347" s="1107"/>
      <c r="CB347" s="1107"/>
      <c r="CC347" s="1107"/>
      <c r="CD347" s="1107"/>
      <c r="CE347" s="1107"/>
      <c r="CF347" s="1107"/>
      <c r="CG347" s="1107"/>
      <c r="CH347" s="1107"/>
      <c r="CI347" s="1107"/>
      <c r="CJ347" s="1107"/>
      <c r="CK347" s="1107"/>
    </row>
    <row r="348" spans="1:89" x14ac:dyDescent="0.25">
      <c r="A348" s="1107"/>
      <c r="B348" s="2008"/>
      <c r="C348" s="1154">
        <v>4</v>
      </c>
      <c r="D348" s="1144" t="s">
        <v>1872</v>
      </c>
      <c r="E348" s="1144" t="s">
        <v>1426</v>
      </c>
      <c r="F348" s="1228" t="str">
        <f>'Required Info to Submit'!E26</f>
        <v/>
      </c>
      <c r="G348" s="1425" t="str">
        <f>IF(F348="","",'Required Info to Submit'!K26)</f>
        <v/>
      </c>
      <c r="H348" s="1426" t="str">
        <f>IF(F348="","",'Required Info to Submit'!L26)</f>
        <v/>
      </c>
      <c r="I348" s="1228" t="str">
        <f>'Required Info to Submit'!F26</f>
        <v/>
      </c>
      <c r="J348" s="1228" t="str">
        <f>'Required Info to Submit'!G26</f>
        <v/>
      </c>
      <c r="K348" s="1228" t="str">
        <f>'Required Info to Submit'!H26</f>
        <v/>
      </c>
      <c r="L348" s="1228" t="str">
        <f>'Required Info to Submit'!I26</f>
        <v/>
      </c>
      <c r="M348" s="1228" t="str">
        <f>'Required Info to Submit'!J26</f>
        <v/>
      </c>
      <c r="N348" s="1107"/>
      <c r="O348" s="1108"/>
      <c r="P348" s="1107"/>
      <c r="Q348" s="1107"/>
      <c r="R348" s="1107"/>
      <c r="S348" s="1107"/>
      <c r="T348" s="1107"/>
      <c r="U348" s="1107"/>
      <c r="V348" s="1107"/>
      <c r="W348" s="1107"/>
      <c r="X348" s="1107"/>
      <c r="Y348" s="1107"/>
      <c r="Z348" s="1107"/>
      <c r="AA348" s="1107"/>
      <c r="AB348" s="1107"/>
      <c r="AC348" s="1107"/>
      <c r="AD348" s="1107"/>
      <c r="AE348" s="1107"/>
      <c r="AF348" s="1107"/>
      <c r="AG348" s="1107"/>
      <c r="AH348" s="1107"/>
      <c r="AI348" s="1107"/>
      <c r="AJ348" s="1107"/>
      <c r="AK348" s="1107"/>
      <c r="AL348" s="1107"/>
      <c r="AM348" s="1107"/>
      <c r="AN348" s="1107"/>
      <c r="AO348" s="1107"/>
      <c r="AP348" s="1107"/>
      <c r="AQ348" s="1107"/>
      <c r="AR348" s="1107"/>
      <c r="AS348" s="1107"/>
      <c r="AT348" s="1107"/>
      <c r="AU348" s="1107"/>
      <c r="AV348" s="1107"/>
      <c r="AW348" s="1107"/>
      <c r="AX348" s="1107"/>
      <c r="AY348" s="1107"/>
      <c r="AZ348" s="1107"/>
      <c r="BA348" s="1107"/>
      <c r="BB348" s="1107"/>
      <c r="BC348" s="1107"/>
      <c r="BD348" s="1107"/>
      <c r="BE348" s="1107"/>
      <c r="BF348" s="1107"/>
      <c r="BG348" s="1107"/>
      <c r="BH348" s="1107"/>
      <c r="BI348" s="1107"/>
      <c r="BJ348" s="1107"/>
      <c r="BK348" s="1107"/>
      <c r="BL348" s="1107"/>
      <c r="BM348" s="1107"/>
      <c r="BN348" s="1107"/>
      <c r="BO348" s="1107"/>
      <c r="BP348" s="1107"/>
      <c r="BQ348" s="1107"/>
      <c r="BR348" s="1107"/>
      <c r="BS348" s="1107"/>
      <c r="BT348" s="1107"/>
      <c r="BU348" s="1107"/>
      <c r="BV348" s="1107"/>
      <c r="BW348" s="1107"/>
      <c r="BX348" s="1107"/>
      <c r="BY348" s="1107"/>
      <c r="BZ348" s="1107"/>
      <c r="CA348" s="1107"/>
      <c r="CB348" s="1107"/>
      <c r="CC348" s="1107"/>
      <c r="CD348" s="1107"/>
      <c r="CE348" s="1107"/>
      <c r="CF348" s="1107"/>
      <c r="CG348" s="1107"/>
      <c r="CH348" s="1107"/>
      <c r="CI348" s="1107"/>
      <c r="CJ348" s="1107"/>
      <c r="CK348" s="1107"/>
    </row>
    <row r="349" spans="1:89" x14ac:dyDescent="0.25">
      <c r="A349" s="1107"/>
      <c r="B349" s="2008"/>
      <c r="C349" s="1154">
        <v>5</v>
      </c>
      <c r="D349" s="1144" t="s">
        <v>1872</v>
      </c>
      <c r="E349" s="1144" t="s">
        <v>1426</v>
      </c>
      <c r="F349" s="1228" t="str">
        <f>'Required Info to Submit'!E27</f>
        <v/>
      </c>
      <c r="G349" s="1425" t="str">
        <f>IF(F349="","",'Required Info to Submit'!K27)</f>
        <v/>
      </c>
      <c r="H349" s="1426" t="str">
        <f>IF(F349="","",'Required Info to Submit'!L27)</f>
        <v/>
      </c>
      <c r="I349" s="1228" t="str">
        <f>'Required Info to Submit'!F27</f>
        <v/>
      </c>
      <c r="J349" s="1228" t="str">
        <f>'Required Info to Submit'!G27</f>
        <v/>
      </c>
      <c r="K349" s="1228" t="str">
        <f>'Required Info to Submit'!H27</f>
        <v/>
      </c>
      <c r="L349" s="1228" t="str">
        <f>'Required Info to Submit'!I27</f>
        <v/>
      </c>
      <c r="M349" s="1228" t="str">
        <f>'Required Info to Submit'!J27</f>
        <v/>
      </c>
      <c r="N349" s="1107"/>
      <c r="O349" s="1108"/>
      <c r="P349" s="1107"/>
      <c r="Q349" s="1107"/>
      <c r="R349" s="1107"/>
      <c r="S349" s="1107"/>
      <c r="T349" s="1107"/>
      <c r="U349" s="1107"/>
      <c r="V349" s="1107"/>
      <c r="W349" s="1107"/>
      <c r="X349" s="1107"/>
      <c r="Y349" s="1107"/>
      <c r="Z349" s="1107"/>
      <c r="AA349" s="1107"/>
      <c r="AB349" s="1107"/>
      <c r="AC349" s="1107"/>
      <c r="AD349" s="1107"/>
      <c r="AE349" s="1107"/>
      <c r="AF349" s="1107"/>
      <c r="AG349" s="1107"/>
      <c r="AH349" s="1107"/>
      <c r="AI349" s="1107"/>
      <c r="AJ349" s="1107"/>
      <c r="AK349" s="1107"/>
      <c r="AL349" s="1107"/>
      <c r="AM349" s="1107"/>
      <c r="AN349" s="1107"/>
      <c r="AO349" s="1107"/>
      <c r="AP349" s="1107"/>
      <c r="AQ349" s="1107"/>
      <c r="AR349" s="1107"/>
      <c r="AS349" s="1107"/>
      <c r="AT349" s="1107"/>
      <c r="AU349" s="1107"/>
      <c r="AV349" s="1107"/>
      <c r="AW349" s="1107"/>
      <c r="AX349" s="1107"/>
      <c r="AY349" s="1107"/>
      <c r="AZ349" s="1107"/>
      <c r="BA349" s="1107"/>
      <c r="BB349" s="1107"/>
      <c r="BC349" s="1107"/>
      <c r="BD349" s="1107"/>
      <c r="BE349" s="1107"/>
      <c r="BF349" s="1107"/>
      <c r="BG349" s="1107"/>
      <c r="BH349" s="1107"/>
      <c r="BI349" s="1107"/>
      <c r="BJ349" s="1107"/>
      <c r="BK349" s="1107"/>
      <c r="BL349" s="1107"/>
      <c r="BM349" s="1107"/>
      <c r="BN349" s="1107"/>
      <c r="BO349" s="1107"/>
      <c r="BP349" s="1107"/>
      <c r="BQ349" s="1107"/>
      <c r="BR349" s="1107"/>
      <c r="BS349" s="1107"/>
      <c r="BT349" s="1107"/>
      <c r="BU349" s="1107"/>
      <c r="BV349" s="1107"/>
      <c r="BW349" s="1107"/>
      <c r="BX349" s="1107"/>
      <c r="BY349" s="1107"/>
      <c r="BZ349" s="1107"/>
      <c r="CA349" s="1107"/>
      <c r="CB349" s="1107"/>
      <c r="CC349" s="1107"/>
      <c r="CD349" s="1107"/>
      <c r="CE349" s="1107"/>
      <c r="CF349" s="1107"/>
      <c r="CG349" s="1107"/>
      <c r="CH349" s="1107"/>
      <c r="CI349" s="1107"/>
      <c r="CJ349" s="1107"/>
      <c r="CK349" s="1107"/>
    </row>
    <row r="350" spans="1:89" x14ac:dyDescent="0.25">
      <c r="A350" s="1107"/>
      <c r="B350" s="2008"/>
      <c r="C350" s="1154">
        <v>6</v>
      </c>
      <c r="D350" s="1144" t="s">
        <v>1872</v>
      </c>
      <c r="E350" s="1144" t="s">
        <v>1426</v>
      </c>
      <c r="F350" s="1228" t="str">
        <f>'Required Info to Submit'!E28</f>
        <v/>
      </c>
      <c r="G350" s="1425" t="str">
        <f>IF(F350="","",'Required Info to Submit'!K28)</f>
        <v/>
      </c>
      <c r="H350" s="1426" t="str">
        <f>IF(F350="","",'Required Info to Submit'!L28)</f>
        <v/>
      </c>
      <c r="I350" s="1228" t="str">
        <f>'Required Info to Submit'!F28</f>
        <v/>
      </c>
      <c r="J350" s="1228" t="str">
        <f>'Required Info to Submit'!G28</f>
        <v/>
      </c>
      <c r="K350" s="1228" t="str">
        <f>'Required Info to Submit'!H28</f>
        <v/>
      </c>
      <c r="L350" s="1228" t="str">
        <f>'Required Info to Submit'!I28</f>
        <v/>
      </c>
      <c r="M350" s="1228" t="str">
        <f>'Required Info to Submit'!J28</f>
        <v/>
      </c>
      <c r="N350" s="1107"/>
      <c r="O350" s="1108"/>
      <c r="P350" s="1107"/>
      <c r="Q350" s="1107"/>
      <c r="R350" s="1107"/>
      <c r="S350" s="1107"/>
      <c r="T350" s="1107"/>
      <c r="U350" s="1107"/>
      <c r="V350" s="1107"/>
      <c r="W350" s="1107"/>
      <c r="X350" s="1107"/>
      <c r="Y350" s="1107"/>
      <c r="Z350" s="1107"/>
      <c r="AA350" s="1107"/>
      <c r="AB350" s="1107"/>
      <c r="AC350" s="1107"/>
      <c r="AD350" s="1107"/>
      <c r="AE350" s="1107"/>
      <c r="AF350" s="1107"/>
      <c r="AG350" s="1107"/>
      <c r="AH350" s="1107"/>
      <c r="AI350" s="1107"/>
      <c r="AJ350" s="1107"/>
      <c r="AK350" s="1107"/>
      <c r="AL350" s="1107"/>
      <c r="AM350" s="1107"/>
      <c r="AN350" s="1107"/>
      <c r="AO350" s="1107"/>
      <c r="AP350" s="1107"/>
      <c r="AQ350" s="1107"/>
      <c r="AR350" s="1107"/>
      <c r="AS350" s="1107"/>
      <c r="AT350" s="1107"/>
      <c r="AU350" s="1107"/>
      <c r="AV350" s="1107"/>
      <c r="AW350" s="1107"/>
      <c r="AX350" s="1107"/>
      <c r="AY350" s="1107"/>
      <c r="AZ350" s="1107"/>
      <c r="BA350" s="1107"/>
      <c r="BB350" s="1107"/>
      <c r="BC350" s="1107"/>
      <c r="BD350" s="1107"/>
      <c r="BE350" s="1107"/>
      <c r="BF350" s="1107"/>
      <c r="BG350" s="1107"/>
      <c r="BH350" s="1107"/>
      <c r="BI350" s="1107"/>
      <c r="BJ350" s="1107"/>
      <c r="BK350" s="1107"/>
      <c r="BL350" s="1107"/>
      <c r="BM350" s="1107"/>
      <c r="BN350" s="1107"/>
      <c r="BO350" s="1107"/>
      <c r="BP350" s="1107"/>
      <c r="BQ350" s="1107"/>
      <c r="BR350" s="1107"/>
      <c r="BS350" s="1107"/>
      <c r="BT350" s="1107"/>
      <c r="BU350" s="1107"/>
      <c r="BV350" s="1107"/>
      <c r="BW350" s="1107"/>
      <c r="BX350" s="1107"/>
      <c r="BY350" s="1107"/>
      <c r="BZ350" s="1107"/>
      <c r="CA350" s="1107"/>
      <c r="CB350" s="1107"/>
      <c r="CC350" s="1107"/>
      <c r="CD350" s="1107"/>
      <c r="CE350" s="1107"/>
      <c r="CF350" s="1107"/>
      <c r="CG350" s="1107"/>
      <c r="CH350" s="1107"/>
      <c r="CI350" s="1107"/>
      <c r="CJ350" s="1107"/>
      <c r="CK350" s="1107"/>
    </row>
    <row r="351" spans="1:89" x14ac:dyDescent="0.25">
      <c r="A351" s="1107"/>
      <c r="B351" s="2008"/>
      <c r="C351" s="1154">
        <v>7</v>
      </c>
      <c r="D351" s="1144" t="s">
        <v>1872</v>
      </c>
      <c r="E351" s="1144" t="s">
        <v>1426</v>
      </c>
      <c r="F351" s="1228" t="str">
        <f>'Required Info to Submit'!E29</f>
        <v/>
      </c>
      <c r="G351" s="1425" t="str">
        <f>IF(F351="","",'Required Info to Submit'!K29)</f>
        <v/>
      </c>
      <c r="H351" s="1426" t="str">
        <f>IF(F351="","",'Required Info to Submit'!L29)</f>
        <v/>
      </c>
      <c r="I351" s="1228" t="str">
        <f>'Required Info to Submit'!F29</f>
        <v/>
      </c>
      <c r="J351" s="1228" t="str">
        <f>'Required Info to Submit'!G29</f>
        <v/>
      </c>
      <c r="K351" s="1228" t="str">
        <f>'Required Info to Submit'!H29</f>
        <v/>
      </c>
      <c r="L351" s="1228" t="str">
        <f>'Required Info to Submit'!I29</f>
        <v/>
      </c>
      <c r="M351" s="1228" t="str">
        <f>'Required Info to Submit'!J29</f>
        <v/>
      </c>
      <c r="N351" s="1107"/>
      <c r="O351" s="1108"/>
      <c r="P351" s="1107"/>
      <c r="Q351" s="1107"/>
      <c r="R351" s="1107"/>
      <c r="S351" s="1107"/>
      <c r="T351" s="1107"/>
      <c r="U351" s="1107"/>
      <c r="V351" s="1107"/>
      <c r="W351" s="1107"/>
      <c r="X351" s="1107"/>
      <c r="Y351" s="1107"/>
      <c r="Z351" s="1107"/>
      <c r="AA351" s="1107"/>
      <c r="AB351" s="1107"/>
      <c r="AC351" s="1107"/>
      <c r="AD351" s="1107"/>
      <c r="AE351" s="1107"/>
      <c r="AF351" s="1107"/>
      <c r="AG351" s="1107"/>
      <c r="AH351" s="1107"/>
      <c r="AI351" s="1107"/>
      <c r="AJ351" s="1107"/>
      <c r="AK351" s="1107"/>
      <c r="AL351" s="1107"/>
      <c r="AM351" s="1107"/>
      <c r="AN351" s="1107"/>
      <c r="AO351" s="1107"/>
      <c r="AP351" s="1107"/>
      <c r="AQ351" s="1107"/>
      <c r="AR351" s="1107"/>
      <c r="AS351" s="1107"/>
      <c r="AT351" s="1107"/>
      <c r="AU351" s="1107"/>
      <c r="AV351" s="1107"/>
      <c r="AW351" s="1107"/>
      <c r="AX351" s="1107"/>
      <c r="AY351" s="1107"/>
      <c r="AZ351" s="1107"/>
      <c r="BA351" s="1107"/>
      <c r="BB351" s="1107"/>
      <c r="BC351" s="1107"/>
      <c r="BD351" s="1107"/>
      <c r="BE351" s="1107"/>
      <c r="BF351" s="1107"/>
      <c r="BG351" s="1107"/>
      <c r="BH351" s="1107"/>
      <c r="BI351" s="1107"/>
      <c r="BJ351" s="1107"/>
      <c r="BK351" s="1107"/>
      <c r="BL351" s="1107"/>
      <c r="BM351" s="1107"/>
      <c r="BN351" s="1107"/>
      <c r="BO351" s="1107"/>
      <c r="BP351" s="1107"/>
      <c r="BQ351" s="1107"/>
      <c r="BR351" s="1107"/>
      <c r="BS351" s="1107"/>
      <c r="BT351" s="1107"/>
      <c r="BU351" s="1107"/>
      <c r="BV351" s="1107"/>
      <c r="BW351" s="1107"/>
      <c r="BX351" s="1107"/>
      <c r="BY351" s="1107"/>
      <c r="BZ351" s="1107"/>
      <c r="CA351" s="1107"/>
      <c r="CB351" s="1107"/>
      <c r="CC351" s="1107"/>
      <c r="CD351" s="1107"/>
      <c r="CE351" s="1107"/>
      <c r="CF351" s="1107"/>
      <c r="CG351" s="1107"/>
      <c r="CH351" s="1107"/>
      <c r="CI351" s="1107"/>
      <c r="CJ351" s="1107"/>
      <c r="CK351" s="1107"/>
    </row>
    <row r="352" spans="1:89" x14ac:dyDescent="0.25">
      <c r="A352" s="1107"/>
      <c r="B352" s="2008"/>
      <c r="C352" s="1154">
        <v>8</v>
      </c>
      <c r="D352" s="1144" t="s">
        <v>1872</v>
      </c>
      <c r="E352" s="1144" t="s">
        <v>1426</v>
      </c>
      <c r="F352" s="1228" t="str">
        <f>'Required Info to Submit'!E30</f>
        <v/>
      </c>
      <c r="G352" s="1425" t="str">
        <f>IF(F352="","",'Required Info to Submit'!K30)</f>
        <v/>
      </c>
      <c r="H352" s="1426" t="str">
        <f>IF(F352="","",'Required Info to Submit'!L30)</f>
        <v/>
      </c>
      <c r="I352" s="1228" t="str">
        <f>'Required Info to Submit'!F30</f>
        <v/>
      </c>
      <c r="J352" s="1228" t="str">
        <f>'Required Info to Submit'!G30</f>
        <v/>
      </c>
      <c r="K352" s="1228" t="str">
        <f>'Required Info to Submit'!H30</f>
        <v/>
      </c>
      <c r="L352" s="1228" t="str">
        <f>'Required Info to Submit'!I30</f>
        <v/>
      </c>
      <c r="M352" s="1228" t="str">
        <f>'Required Info to Submit'!J30</f>
        <v/>
      </c>
      <c r="N352" s="1107"/>
      <c r="O352" s="1108"/>
      <c r="P352" s="1107"/>
      <c r="Q352" s="1107"/>
      <c r="R352" s="1107"/>
      <c r="S352" s="1107"/>
      <c r="T352" s="1107"/>
      <c r="U352" s="1107"/>
      <c r="V352" s="1107"/>
      <c r="W352" s="1107"/>
      <c r="X352" s="1107"/>
      <c r="Y352" s="1107"/>
      <c r="Z352" s="1107"/>
      <c r="AA352" s="1107"/>
      <c r="AB352" s="1107"/>
      <c r="AC352" s="1107"/>
      <c r="AD352" s="1107"/>
      <c r="AE352" s="1107"/>
      <c r="AF352" s="1107"/>
      <c r="AG352" s="1107"/>
      <c r="AH352" s="1107"/>
      <c r="AI352" s="1107"/>
      <c r="AJ352" s="1107"/>
      <c r="AK352" s="1107"/>
      <c r="AL352" s="1107"/>
      <c r="AM352" s="1107"/>
      <c r="AN352" s="1107"/>
      <c r="AO352" s="1107"/>
      <c r="AP352" s="1107"/>
      <c r="AQ352" s="1107"/>
      <c r="AR352" s="1107"/>
      <c r="AS352" s="1107"/>
      <c r="AT352" s="1107"/>
      <c r="AU352" s="1107"/>
      <c r="AV352" s="1107"/>
      <c r="AW352" s="1107"/>
      <c r="AX352" s="1107"/>
      <c r="AY352" s="1107"/>
      <c r="AZ352" s="1107"/>
      <c r="BA352" s="1107"/>
      <c r="BB352" s="1107"/>
      <c r="BC352" s="1107"/>
      <c r="BD352" s="1107"/>
      <c r="BE352" s="1107"/>
      <c r="BF352" s="1107"/>
      <c r="BG352" s="1107"/>
      <c r="BH352" s="1107"/>
      <c r="BI352" s="1107"/>
      <c r="BJ352" s="1107"/>
      <c r="BK352" s="1107"/>
      <c r="BL352" s="1107"/>
      <c r="BM352" s="1107"/>
      <c r="BN352" s="1107"/>
      <c r="BO352" s="1107"/>
      <c r="BP352" s="1107"/>
      <c r="BQ352" s="1107"/>
      <c r="BR352" s="1107"/>
      <c r="BS352" s="1107"/>
      <c r="BT352" s="1107"/>
      <c r="BU352" s="1107"/>
      <c r="BV352" s="1107"/>
      <c r="BW352" s="1107"/>
      <c r="BX352" s="1107"/>
      <c r="BY352" s="1107"/>
      <c r="BZ352" s="1107"/>
      <c r="CA352" s="1107"/>
      <c r="CB352" s="1107"/>
      <c r="CC352" s="1107"/>
      <c r="CD352" s="1107"/>
      <c r="CE352" s="1107"/>
      <c r="CF352" s="1107"/>
      <c r="CG352" s="1107"/>
      <c r="CH352" s="1107"/>
      <c r="CI352" s="1107"/>
      <c r="CJ352" s="1107"/>
      <c r="CK352" s="1107"/>
    </row>
    <row r="353" spans="1:89" x14ac:dyDescent="0.25">
      <c r="A353" s="1107"/>
      <c r="B353" s="2008"/>
      <c r="C353" s="1154">
        <v>9</v>
      </c>
      <c r="D353" s="1144" t="s">
        <v>1872</v>
      </c>
      <c r="E353" s="1144" t="s">
        <v>1426</v>
      </c>
      <c r="F353" s="1228" t="str">
        <f>'Required Info to Submit'!E31</f>
        <v/>
      </c>
      <c r="G353" s="1425" t="str">
        <f>IF(F353="","",'Required Info to Submit'!K31)</f>
        <v/>
      </c>
      <c r="H353" s="1426" t="str">
        <f>IF(F353="","",'Required Info to Submit'!L31)</f>
        <v/>
      </c>
      <c r="I353" s="1228" t="str">
        <f>'Required Info to Submit'!F31</f>
        <v/>
      </c>
      <c r="J353" s="1228" t="str">
        <f>'Required Info to Submit'!G31</f>
        <v/>
      </c>
      <c r="K353" s="1228" t="str">
        <f>'Required Info to Submit'!H31</f>
        <v/>
      </c>
      <c r="L353" s="1228" t="str">
        <f>'Required Info to Submit'!I31</f>
        <v/>
      </c>
      <c r="M353" s="1228" t="str">
        <f>'Required Info to Submit'!J31</f>
        <v/>
      </c>
      <c r="N353" s="1107"/>
      <c r="O353" s="1108"/>
      <c r="P353" s="1107"/>
      <c r="Q353" s="1107"/>
      <c r="R353" s="1107"/>
      <c r="S353" s="1107"/>
      <c r="T353" s="1107"/>
      <c r="U353" s="1107"/>
      <c r="V353" s="1107"/>
      <c r="W353" s="1107"/>
      <c r="X353" s="1107"/>
      <c r="Y353" s="1107"/>
      <c r="Z353" s="1107"/>
      <c r="AA353" s="1107"/>
      <c r="AB353" s="1107"/>
      <c r="AC353" s="1107"/>
      <c r="AD353" s="1107"/>
      <c r="AE353" s="1107"/>
      <c r="AF353" s="1107"/>
      <c r="AG353" s="1107"/>
      <c r="AH353" s="1107"/>
      <c r="AI353" s="1107"/>
      <c r="AJ353" s="1107"/>
      <c r="AK353" s="1107"/>
      <c r="AL353" s="1107"/>
      <c r="AM353" s="1107"/>
      <c r="AN353" s="1107"/>
      <c r="AO353" s="1107"/>
      <c r="AP353" s="1107"/>
      <c r="AQ353" s="1107"/>
      <c r="AR353" s="1107"/>
      <c r="AS353" s="1107"/>
      <c r="AT353" s="1107"/>
      <c r="AU353" s="1107"/>
      <c r="AV353" s="1107"/>
      <c r="AW353" s="1107"/>
      <c r="AX353" s="1107"/>
      <c r="AY353" s="1107"/>
      <c r="AZ353" s="1107"/>
      <c r="BA353" s="1107"/>
      <c r="BB353" s="1107"/>
      <c r="BC353" s="1107"/>
      <c r="BD353" s="1107"/>
      <c r="BE353" s="1107"/>
      <c r="BF353" s="1107"/>
      <c r="BG353" s="1107"/>
      <c r="BH353" s="1107"/>
      <c r="BI353" s="1107"/>
      <c r="BJ353" s="1107"/>
      <c r="BK353" s="1107"/>
      <c r="BL353" s="1107"/>
      <c r="BM353" s="1107"/>
      <c r="BN353" s="1107"/>
      <c r="BO353" s="1107"/>
      <c r="BP353" s="1107"/>
      <c r="BQ353" s="1107"/>
      <c r="BR353" s="1107"/>
      <c r="BS353" s="1107"/>
      <c r="BT353" s="1107"/>
      <c r="BU353" s="1107"/>
      <c r="BV353" s="1107"/>
      <c r="BW353" s="1107"/>
      <c r="BX353" s="1107"/>
      <c r="BY353" s="1107"/>
      <c r="BZ353" s="1107"/>
      <c r="CA353" s="1107"/>
      <c r="CB353" s="1107"/>
      <c r="CC353" s="1107"/>
      <c r="CD353" s="1107"/>
      <c r="CE353" s="1107"/>
      <c r="CF353" s="1107"/>
      <c r="CG353" s="1107"/>
      <c r="CH353" s="1107"/>
      <c r="CI353" s="1107"/>
      <c r="CJ353" s="1107"/>
      <c r="CK353" s="1107"/>
    </row>
    <row r="354" spans="1:89" ht="15.75" thickBot="1" x14ac:dyDescent="0.3">
      <c r="A354" s="1107"/>
      <c r="B354" s="2009"/>
      <c r="C354" s="1242">
        <v>10</v>
      </c>
      <c r="D354" s="1243" t="s">
        <v>1872</v>
      </c>
      <c r="E354" s="1243" t="s">
        <v>1426</v>
      </c>
      <c r="F354" s="1228" t="str">
        <f>'Required Info to Submit'!E32</f>
        <v/>
      </c>
      <c r="G354" s="1425" t="str">
        <f>IF(F354="","",'Required Info to Submit'!K32)</f>
        <v/>
      </c>
      <c r="H354" s="1426" t="str">
        <f>IF(F354="","",'Required Info to Submit'!L32)</f>
        <v/>
      </c>
      <c r="I354" s="1229" t="str">
        <f>'Required Info to Submit'!F32</f>
        <v/>
      </c>
      <c r="J354" s="1229" t="str">
        <f>'Required Info to Submit'!G32</f>
        <v/>
      </c>
      <c r="K354" s="1229" t="str">
        <f>'Required Info to Submit'!H32</f>
        <v/>
      </c>
      <c r="L354" s="1229" t="str">
        <f>'Required Info to Submit'!I32</f>
        <v/>
      </c>
      <c r="M354" s="1229" t="str">
        <f>'Required Info to Submit'!J32</f>
        <v/>
      </c>
      <c r="N354" s="1107"/>
      <c r="O354" s="1108"/>
      <c r="P354" s="1107"/>
      <c r="Q354" s="1107"/>
      <c r="R354" s="1107"/>
      <c r="S354" s="1107"/>
      <c r="T354" s="1107"/>
      <c r="U354" s="1107"/>
      <c r="V354" s="1107"/>
      <c r="W354" s="1107"/>
      <c r="X354" s="1107"/>
      <c r="Y354" s="1107"/>
      <c r="Z354" s="1107"/>
      <c r="AA354" s="1107"/>
      <c r="AB354" s="1107"/>
      <c r="AC354" s="1107"/>
      <c r="AD354" s="1107"/>
      <c r="AE354" s="1107"/>
      <c r="AF354" s="1107"/>
      <c r="AG354" s="1107"/>
      <c r="AH354" s="1107"/>
      <c r="AI354" s="1107"/>
      <c r="AJ354" s="1107"/>
      <c r="AK354" s="1107"/>
      <c r="AL354" s="1107"/>
      <c r="AM354" s="1107"/>
      <c r="AN354" s="1107"/>
      <c r="AO354" s="1107"/>
      <c r="AP354" s="1107"/>
      <c r="AQ354" s="1107"/>
      <c r="AR354" s="1107"/>
      <c r="AS354" s="1107"/>
      <c r="AT354" s="1107"/>
      <c r="AU354" s="1107"/>
      <c r="AV354" s="1107"/>
      <c r="AW354" s="1107"/>
      <c r="AX354" s="1107"/>
      <c r="AY354" s="1107"/>
      <c r="AZ354" s="1107"/>
      <c r="BA354" s="1107"/>
      <c r="BB354" s="1107"/>
      <c r="BC354" s="1107"/>
      <c r="BD354" s="1107"/>
      <c r="BE354" s="1107"/>
      <c r="BF354" s="1107"/>
      <c r="BG354" s="1107"/>
      <c r="BH354" s="1107"/>
      <c r="BI354" s="1107"/>
      <c r="BJ354" s="1107"/>
      <c r="BK354" s="1107"/>
      <c r="BL354" s="1107"/>
      <c r="BM354" s="1107"/>
      <c r="BN354" s="1107"/>
      <c r="BO354" s="1107"/>
      <c r="BP354" s="1107"/>
      <c r="BQ354" s="1107"/>
      <c r="BR354" s="1107"/>
      <c r="BS354" s="1107"/>
      <c r="BT354" s="1107"/>
      <c r="BU354" s="1107"/>
      <c r="BV354" s="1107"/>
      <c r="BW354" s="1107"/>
      <c r="BX354" s="1107"/>
      <c r="BY354" s="1107"/>
      <c r="BZ354" s="1107"/>
      <c r="CA354" s="1107"/>
      <c r="CB354" s="1107"/>
      <c r="CC354" s="1107"/>
      <c r="CD354" s="1107"/>
      <c r="CE354" s="1107"/>
      <c r="CF354" s="1107"/>
      <c r="CG354" s="1107"/>
      <c r="CH354" s="1107"/>
      <c r="CI354" s="1107"/>
      <c r="CJ354" s="1107"/>
      <c r="CK354" s="1107"/>
    </row>
    <row r="355" spans="1:89" ht="30" x14ac:dyDescent="0.25">
      <c r="A355" s="1107"/>
      <c r="B355" s="2006" t="s">
        <v>1909</v>
      </c>
      <c r="C355" s="1244" t="s">
        <v>1475</v>
      </c>
      <c r="D355" s="1245" t="s">
        <v>1402</v>
      </c>
      <c r="E355" s="1244" t="s">
        <v>1478</v>
      </c>
      <c r="F355" s="1246" t="s">
        <v>1135</v>
      </c>
      <c r="G355" s="1244" t="s">
        <v>1134</v>
      </c>
      <c r="H355" s="1244" t="s">
        <v>1672</v>
      </c>
      <c r="I355" s="1107"/>
      <c r="J355" s="1107"/>
      <c r="K355" s="1107"/>
      <c r="L355" s="1107"/>
      <c r="M355" s="1107"/>
      <c r="N355" s="1107"/>
      <c r="O355" s="1108"/>
      <c r="P355" s="1107"/>
      <c r="Q355" s="1107"/>
      <c r="R355" s="1107"/>
      <c r="S355" s="1107"/>
      <c r="T355" s="1107"/>
      <c r="U355" s="1107"/>
      <c r="V355" s="1107"/>
      <c r="W355" s="1107"/>
      <c r="X355" s="1107"/>
      <c r="Y355" s="1107"/>
      <c r="Z355" s="1107"/>
      <c r="AA355" s="1107"/>
      <c r="AB355" s="1107"/>
      <c r="AC355" s="1107"/>
      <c r="AD355" s="1107"/>
      <c r="AE355" s="1107"/>
      <c r="AF355" s="1107"/>
      <c r="AG355" s="1107"/>
      <c r="AH355" s="1107"/>
      <c r="AI355" s="1107"/>
      <c r="AJ355" s="1107"/>
      <c r="AK355" s="1107"/>
      <c r="AL355" s="1107"/>
      <c r="AM355" s="1107"/>
      <c r="AN355" s="1107"/>
      <c r="AO355" s="1107"/>
      <c r="AP355" s="1107"/>
      <c r="AQ355" s="1107"/>
      <c r="AR355" s="1107"/>
      <c r="AS355" s="1107"/>
      <c r="AT355" s="1107"/>
      <c r="AU355" s="1107"/>
      <c r="AV355" s="1107"/>
      <c r="AW355" s="1107"/>
      <c r="AX355" s="1107"/>
      <c r="AY355" s="1107"/>
      <c r="AZ355" s="1107"/>
      <c r="BA355" s="1107"/>
      <c r="BB355" s="1107"/>
      <c r="BC355" s="1107"/>
      <c r="BD355" s="1107"/>
      <c r="BE355" s="1107"/>
      <c r="BF355" s="1107"/>
      <c r="BG355" s="1107"/>
      <c r="BH355" s="1107"/>
      <c r="BI355" s="1107"/>
      <c r="BJ355" s="1107"/>
      <c r="BK355" s="1107"/>
      <c r="BL355" s="1107"/>
      <c r="BM355" s="1107"/>
      <c r="BN355" s="1107"/>
      <c r="BO355" s="1107"/>
      <c r="BP355" s="1107"/>
      <c r="BQ355" s="1107"/>
      <c r="BR355" s="1107"/>
      <c r="BS355" s="1107"/>
      <c r="BT355" s="1107"/>
      <c r="BU355" s="1107"/>
      <c r="BV355" s="1107"/>
      <c r="BW355" s="1107"/>
      <c r="BX355" s="1107"/>
      <c r="BY355" s="1107"/>
      <c r="BZ355" s="1107"/>
      <c r="CA355" s="1107"/>
      <c r="CB355" s="1107"/>
      <c r="CC355" s="1107"/>
      <c r="CD355" s="1107"/>
      <c r="CE355" s="1107"/>
      <c r="CF355" s="1107"/>
      <c r="CG355" s="1107"/>
      <c r="CH355" s="1107"/>
      <c r="CI355" s="1107"/>
      <c r="CJ355" s="1107"/>
      <c r="CK355" s="1107"/>
    </row>
    <row r="356" spans="1:89" ht="15.75" thickBot="1" x14ac:dyDescent="0.3">
      <c r="A356" s="1107"/>
      <c r="B356" s="2010"/>
      <c r="C356" s="1250" t="str" cm="1">
        <f t="array" aca="1" ref="C356" ca="1">IF(ISBLANK(INDIRECT("'Incentives Worksheet'!L"&amp;'Configurable Tab'!H30+6)),"",INDIRECT("'Incentives Worksheet'!L"&amp;'Configurable Tab'!H30+6))</f>
        <v/>
      </c>
      <c r="D356" s="1249" t="str" cm="1">
        <f t="array" aca="1" ref="D356" ca="1">IF(ISBLANK(INDIRECT("'Incentives Worksheet'!R"&amp;'Configurable Tab'!H30+9)),"",INDIRECT("'Incentives Worksheet'!R"&amp;'Configurable Tab'!H30+9))</f>
        <v/>
      </c>
      <c r="E356" s="1250" t="str" cm="1">
        <f t="array" aca="1" ref="E356" ca="1">IF(ISBLANK(INDIRECT("'Incentives Worksheet'!H"&amp;'Configurable Tab'!H30+9)),"",INDIRECT("'Incentives Worksheet'!H"&amp;'Configurable Tab'!H30+9))</f>
        <v/>
      </c>
      <c r="F356" s="1251" t="str" cm="1">
        <f t="array" aca="1" ref="F356" ca="1">IF(ISBLANK(INDIRECT("'Incentives Worksheet'!L"&amp;'Configurable Tab'!H30+9)),"",INDIRECT("'Incentives Worksheet'!L"&amp;'Configurable Tab'!H30+9))</f>
        <v/>
      </c>
      <c r="G356" s="1250" t="str" cm="1">
        <f t="array" aca="1" ref="G356" ca="1">IF(ISBLANK(INDIRECT("'Incentives Worksheet'!P"&amp;'Configurable Tab'!H30+9)),"",INDIRECT("'Incentives Worksheet'!P"&amp;'Configurable Tab'!H30+9))</f>
        <v/>
      </c>
      <c r="H356" s="1250" t="str" cm="1">
        <f t="array" aca="1" ref="H356" ca="1">IF(ISBLANK(INDIRECT("'Incentives Worksheet'!J"&amp;'Configurable Tab'!H30+6)),"",INDIRECT("'Incentives Worksheet'!J"&amp;'Configurable Tab'!H30+6))</f>
        <v/>
      </c>
      <c r="I356" s="1157"/>
      <c r="J356" s="1157"/>
      <c r="K356" s="1157"/>
      <c r="L356" s="1157"/>
      <c r="M356" s="1157"/>
      <c r="N356" s="1157"/>
      <c r="O356" s="1110"/>
      <c r="P356" s="1107"/>
      <c r="Q356" s="1107"/>
      <c r="R356" s="1107"/>
      <c r="S356" s="1107"/>
      <c r="T356" s="1107"/>
      <c r="U356" s="1107"/>
      <c r="V356" s="1107"/>
      <c r="W356" s="1107"/>
      <c r="X356" s="1107"/>
      <c r="Y356" s="1107"/>
      <c r="Z356" s="1107"/>
      <c r="AA356" s="1107"/>
      <c r="AB356" s="1107"/>
      <c r="AC356" s="1107"/>
      <c r="AD356" s="1107"/>
      <c r="AE356" s="1107"/>
      <c r="AF356" s="1107"/>
      <c r="AG356" s="1107"/>
      <c r="AH356" s="1107"/>
      <c r="AI356" s="1107"/>
      <c r="AJ356" s="1107"/>
      <c r="AK356" s="1107"/>
      <c r="AL356" s="1107"/>
      <c r="AM356" s="1107"/>
      <c r="AN356" s="1107"/>
      <c r="AO356" s="1107"/>
      <c r="AP356" s="1107"/>
      <c r="AQ356" s="1107"/>
      <c r="AR356" s="1107"/>
      <c r="AS356" s="1107"/>
      <c r="AT356" s="1107"/>
      <c r="AU356" s="1107"/>
      <c r="AV356" s="1107"/>
      <c r="AW356" s="1107"/>
      <c r="AX356" s="1107"/>
      <c r="AY356" s="1107"/>
      <c r="AZ356" s="1107"/>
      <c r="BA356" s="1107"/>
      <c r="BB356" s="1107"/>
      <c r="BC356" s="1107"/>
      <c r="BD356" s="1107"/>
      <c r="BE356" s="1107"/>
      <c r="BF356" s="1107"/>
      <c r="BG356" s="1107"/>
      <c r="BH356" s="1107"/>
      <c r="BI356" s="1107"/>
      <c r="BJ356" s="1107"/>
      <c r="BK356" s="1107"/>
      <c r="BL356" s="1107"/>
      <c r="BM356" s="1107"/>
      <c r="BN356" s="1107"/>
      <c r="BO356" s="1107"/>
      <c r="BP356" s="1107"/>
      <c r="BQ356" s="1107"/>
      <c r="BR356" s="1107"/>
      <c r="BS356" s="1107"/>
      <c r="BT356" s="1107"/>
      <c r="BU356" s="1107"/>
      <c r="BV356" s="1107"/>
      <c r="BW356" s="1107"/>
      <c r="BX356" s="1107"/>
      <c r="BY356" s="1107"/>
      <c r="BZ356" s="1107"/>
      <c r="CA356" s="1107"/>
      <c r="CB356" s="1107"/>
      <c r="CC356" s="1107"/>
      <c r="CD356" s="1107"/>
      <c r="CE356" s="1107"/>
      <c r="CF356" s="1107"/>
      <c r="CG356" s="1107"/>
      <c r="CH356" s="1107"/>
      <c r="CI356" s="1107"/>
      <c r="CJ356" s="1107"/>
      <c r="CK356" s="1107"/>
    </row>
    <row r="357" spans="1:89" x14ac:dyDescent="0.25">
      <c r="A357" s="1107"/>
      <c r="B357" s="1107"/>
      <c r="C357" s="1107"/>
      <c r="D357" s="1107"/>
      <c r="E357" s="1107"/>
      <c r="F357" s="1107"/>
      <c r="G357" s="1107"/>
      <c r="H357" s="1107"/>
      <c r="I357" s="1107"/>
      <c r="J357" s="1107"/>
      <c r="K357" s="1107"/>
      <c r="L357" s="1107"/>
      <c r="M357" s="1107"/>
      <c r="N357" s="1107"/>
      <c r="O357" s="1107"/>
      <c r="P357" s="1107"/>
      <c r="Q357" s="1107"/>
      <c r="R357" s="1107"/>
      <c r="S357" s="1107"/>
      <c r="T357" s="1107"/>
      <c r="U357" s="1107"/>
      <c r="V357" s="1107"/>
      <c r="W357" s="1107"/>
      <c r="X357" s="1107"/>
      <c r="Y357" s="1107"/>
      <c r="Z357" s="1107"/>
      <c r="AA357" s="1107"/>
      <c r="AB357" s="1107"/>
      <c r="AC357" s="1107"/>
      <c r="AD357" s="1107"/>
      <c r="AE357" s="1107"/>
      <c r="AF357" s="1107"/>
      <c r="AG357" s="1107"/>
      <c r="AH357" s="1107"/>
      <c r="AI357" s="1107"/>
      <c r="AJ357" s="1107"/>
      <c r="AK357" s="1107"/>
      <c r="AL357" s="1107"/>
      <c r="AM357" s="1107"/>
      <c r="AN357" s="1107"/>
      <c r="AO357" s="1107"/>
      <c r="AP357" s="1107"/>
      <c r="AQ357" s="1107"/>
      <c r="AR357" s="1107"/>
      <c r="AS357" s="1107"/>
      <c r="AT357" s="1107"/>
      <c r="AU357" s="1107"/>
      <c r="AV357" s="1107"/>
      <c r="AW357" s="1107"/>
      <c r="AX357" s="1107"/>
      <c r="AY357" s="1107"/>
      <c r="AZ357" s="1107"/>
      <c r="BA357" s="1107"/>
      <c r="BB357" s="1107"/>
      <c r="BC357" s="1107"/>
      <c r="BD357" s="1107"/>
      <c r="BE357" s="1107"/>
      <c r="BF357" s="1107"/>
      <c r="BG357" s="1107"/>
      <c r="BH357" s="1107"/>
      <c r="BI357" s="1107"/>
      <c r="BJ357" s="1107"/>
      <c r="BK357" s="1107"/>
      <c r="BL357" s="1107"/>
      <c r="BM357" s="1107"/>
      <c r="BN357" s="1107"/>
      <c r="BO357" s="1107"/>
      <c r="BP357" s="1107"/>
      <c r="BQ357" s="1107"/>
      <c r="BR357" s="1107"/>
      <c r="BS357" s="1107"/>
      <c r="BT357" s="1107"/>
      <c r="BU357" s="1107"/>
      <c r="BV357" s="1107"/>
      <c r="BW357" s="1107"/>
      <c r="BX357" s="1107"/>
      <c r="BY357" s="1107"/>
      <c r="BZ357" s="1107"/>
      <c r="CA357" s="1107"/>
      <c r="CB357" s="1107"/>
      <c r="CC357" s="1107"/>
      <c r="CD357" s="1107"/>
      <c r="CE357" s="1107"/>
      <c r="CF357" s="1107"/>
      <c r="CG357" s="1107"/>
      <c r="CH357" s="1107"/>
      <c r="CI357" s="1107"/>
      <c r="CJ357" s="1107"/>
      <c r="CK357" s="1107"/>
    </row>
    <row r="358" spans="1:89" ht="15.75" thickBot="1" x14ac:dyDescent="0.3">
      <c r="A358" s="1107"/>
      <c r="B358" s="1107"/>
      <c r="C358" s="1107"/>
      <c r="D358" s="1107"/>
      <c r="E358" s="1107"/>
      <c r="F358" s="1107"/>
      <c r="G358" s="1107"/>
      <c r="H358" s="1107"/>
      <c r="I358" s="1107"/>
      <c r="J358" s="1107"/>
      <c r="K358" s="1107"/>
      <c r="L358" s="1107"/>
      <c r="M358" s="1107"/>
      <c r="N358" s="1107"/>
      <c r="O358" s="1107"/>
      <c r="P358" s="1107"/>
      <c r="Q358" s="1107"/>
      <c r="R358" s="1107"/>
      <c r="S358" s="1107"/>
      <c r="T358" s="1107"/>
      <c r="U358" s="1107"/>
      <c r="V358" s="1107"/>
      <c r="W358" s="1107"/>
      <c r="X358" s="1107"/>
      <c r="Y358" s="1107"/>
      <c r="Z358" s="1107"/>
      <c r="AA358" s="1107"/>
      <c r="AB358" s="1107"/>
      <c r="AC358" s="1107"/>
      <c r="AD358" s="1107"/>
      <c r="AE358" s="1107"/>
      <c r="AF358" s="1107"/>
      <c r="AG358" s="1107"/>
      <c r="AH358" s="1107"/>
      <c r="AI358" s="1107"/>
      <c r="AJ358" s="1107"/>
      <c r="AK358" s="1107"/>
      <c r="AL358" s="1107"/>
      <c r="AM358" s="1107"/>
      <c r="AN358" s="1107"/>
      <c r="AO358" s="1107"/>
      <c r="AP358" s="1107"/>
      <c r="AQ358" s="1107"/>
      <c r="AR358" s="1107"/>
      <c r="AS358" s="1107"/>
      <c r="AT358" s="1107"/>
      <c r="AU358" s="1107"/>
      <c r="AV358" s="1107"/>
      <c r="AW358" s="1107"/>
      <c r="AX358" s="1107"/>
      <c r="AY358" s="1107"/>
      <c r="AZ358" s="1107"/>
      <c r="BA358" s="1107"/>
      <c r="BB358" s="1107"/>
      <c r="BC358" s="1107"/>
      <c r="BD358" s="1107"/>
      <c r="BE358" s="1107"/>
      <c r="BF358" s="1107"/>
      <c r="BG358" s="1107"/>
      <c r="BH358" s="1107"/>
      <c r="BI358" s="1107"/>
      <c r="BJ358" s="1107"/>
      <c r="BK358" s="1107"/>
      <c r="BL358" s="1107"/>
      <c r="BM358" s="1107"/>
      <c r="BN358" s="1107"/>
      <c r="BO358" s="1107"/>
      <c r="BP358" s="1107"/>
      <c r="BQ358" s="1107"/>
      <c r="BR358" s="1107"/>
      <c r="BS358" s="1107"/>
      <c r="BT358" s="1107"/>
      <c r="BU358" s="1107"/>
      <c r="BV358" s="1107"/>
      <c r="BW358" s="1107"/>
      <c r="BX358" s="1107"/>
      <c r="BY358" s="1107"/>
      <c r="BZ358" s="1107"/>
      <c r="CA358" s="1107"/>
      <c r="CB358" s="1107"/>
      <c r="CC358" s="1107"/>
      <c r="CD358" s="1107"/>
      <c r="CE358" s="1107"/>
      <c r="CF358" s="1107"/>
      <c r="CG358" s="1107"/>
      <c r="CH358" s="1107"/>
      <c r="CI358" s="1107"/>
      <c r="CJ358" s="1107"/>
      <c r="CK358" s="1107"/>
    </row>
    <row r="359" spans="1:89" ht="60.75" customHeight="1" thickBot="1" x14ac:dyDescent="0.3">
      <c r="A359" s="1107"/>
      <c r="B359" s="1303"/>
      <c r="C359" s="1100" t="s">
        <v>1383</v>
      </c>
      <c r="D359" s="1100" t="s">
        <v>1491</v>
      </c>
      <c r="E359" s="1100" t="s">
        <v>766</v>
      </c>
      <c r="F359" s="1100" t="s">
        <v>1496</v>
      </c>
      <c r="G359" s="1101" t="s">
        <v>1851</v>
      </c>
      <c r="H359" s="1101" t="s">
        <v>1397</v>
      </c>
      <c r="I359" s="1101" t="s">
        <v>1381</v>
      </c>
      <c r="J359" s="1100" t="s">
        <v>1382</v>
      </c>
      <c r="K359" s="1100" t="s">
        <v>721</v>
      </c>
      <c r="L359" s="1100" t="s">
        <v>722</v>
      </c>
      <c r="M359" s="1101" t="s">
        <v>1495</v>
      </c>
      <c r="N359" s="1107"/>
      <c r="O359" s="1107"/>
      <c r="P359" s="1107"/>
      <c r="Q359" s="1107"/>
      <c r="R359" s="1107"/>
      <c r="S359" s="1107"/>
      <c r="T359" s="1303"/>
      <c r="U359" s="1100" t="s">
        <v>1383</v>
      </c>
      <c r="V359" s="1100" t="s">
        <v>1491</v>
      </c>
      <c r="W359" s="1100" t="s">
        <v>766</v>
      </c>
      <c r="X359" s="1100" t="s">
        <v>1496</v>
      </c>
      <c r="Y359" s="1101" t="s">
        <v>1851</v>
      </c>
      <c r="Z359" s="1101" t="s">
        <v>1397</v>
      </c>
      <c r="AA359" s="1101" t="s">
        <v>1381</v>
      </c>
      <c r="AB359" s="1100" t="s">
        <v>1382</v>
      </c>
      <c r="AC359" s="1100" t="s">
        <v>721</v>
      </c>
      <c r="AD359" s="1100" t="s">
        <v>722</v>
      </c>
      <c r="AE359" s="1101" t="s">
        <v>1495</v>
      </c>
      <c r="AF359" s="1107"/>
      <c r="AG359" s="1107"/>
      <c r="AH359" s="1107"/>
      <c r="AI359" s="1107"/>
      <c r="AJ359" s="1107"/>
      <c r="AK359" s="1107"/>
      <c r="AL359" s="1107"/>
      <c r="AM359" s="1107"/>
      <c r="AN359" s="1107"/>
      <c r="AO359" s="1107"/>
      <c r="AP359" s="1107"/>
      <c r="AQ359" s="1107"/>
      <c r="AR359" s="1107"/>
      <c r="AS359" s="1107"/>
      <c r="AT359" s="1107"/>
      <c r="AU359" s="1107"/>
      <c r="AV359" s="1107"/>
      <c r="AW359" s="1107"/>
      <c r="AX359" s="1107"/>
      <c r="AY359" s="1107"/>
      <c r="AZ359" s="1107"/>
      <c r="BA359" s="1107"/>
      <c r="BB359" s="1107"/>
      <c r="BC359" s="1107"/>
      <c r="BD359" s="1107"/>
      <c r="BE359" s="1107"/>
      <c r="BF359" s="1107"/>
      <c r="BG359" s="1107"/>
      <c r="BH359" s="1107"/>
      <c r="BI359" s="1107"/>
      <c r="BJ359" s="1107"/>
      <c r="BK359" s="1107"/>
      <c r="BL359" s="1107"/>
      <c r="BM359" s="1107"/>
      <c r="BN359" s="1107"/>
      <c r="BO359" s="1107"/>
      <c r="BP359" s="1107"/>
      <c r="BQ359" s="1107"/>
      <c r="BR359" s="1107"/>
      <c r="BS359" s="1107"/>
      <c r="BT359" s="1107"/>
      <c r="BU359" s="1107"/>
      <c r="BV359" s="1107"/>
      <c r="BW359" s="1107"/>
      <c r="BX359" s="1107"/>
      <c r="BY359" s="1107"/>
      <c r="BZ359" s="1107"/>
      <c r="CA359" s="1107"/>
      <c r="CB359" s="1107"/>
      <c r="CC359" s="1107"/>
      <c r="CD359" s="1107"/>
      <c r="CE359" s="1107"/>
      <c r="CF359" s="1107"/>
      <c r="CG359" s="1107"/>
      <c r="CH359" s="1107"/>
      <c r="CI359" s="1107"/>
    </row>
    <row r="360" spans="1:89" ht="60.75" thickBot="1" x14ac:dyDescent="0.3">
      <c r="A360" s="1107"/>
      <c r="B360" s="1241" t="s">
        <v>1853</v>
      </c>
      <c r="C360" s="1133" t="s">
        <v>1614</v>
      </c>
      <c r="D360" s="1112">
        <v>501</v>
      </c>
      <c r="E360" s="1230" t="s">
        <v>1910</v>
      </c>
      <c r="F360" s="1230" t="s">
        <v>1606</v>
      </c>
      <c r="G360" s="1104" t="str" cm="1">
        <f t="array" aca="1" ref="G360" ca="1">IF(INDIRECT("'Incentives Worksheet'!R"&amp;'Configurable Tab'!H31+3)="USF Calendar","Fiscal",INDIRECT("'Incentives Worksheet'!R"&amp;'Configurable Tab'!H31+3))</f>
        <v>Calendar</v>
      </c>
      <c r="H360" s="1104" t="str" cm="1">
        <f t="array" aca="1" ref="H360" ca="1">IF(ISBLANK(INDIRECT("'Incentives Worksheet'!L"&amp;'Configurable Tab'!H31+3)),"",INDIRECT("'Incentives Worksheet'!L"&amp;'Configurable Tab'!H31+3))</f>
        <v/>
      </c>
      <c r="I360" s="1104" t="str" cm="1">
        <f t="array" aca="1" ref="I360" ca="1">IF(ISBLANK(INDIRECT("'Incentives Worksheet'!J"&amp;'Configurable Tab'!H31+3)),"",INDIRECT("'Incentives Worksheet'!J"&amp;'Configurable Tab'!H31+3))</f>
        <v/>
      </c>
      <c r="J360" s="1104" t="str" cm="1">
        <f t="array" aca="1" ref="J360" ca="1">IF(ISBLANK(INDIRECT("'Incentives Worksheet'!N"&amp;'Configurable Tab'!H31+3)),"",INDIRECT("'Incentives Worksheet'!N"&amp;'Configurable Tab'!H31+3))</f>
        <v/>
      </c>
      <c r="K360" s="1231" t="str" cm="1">
        <f t="array" aca="1" ref="K360" ca="1">INDIRECT("'Incentives Worksheet'!D"&amp;'Configurable Tab'!H31+6)</f>
        <v/>
      </c>
      <c r="L360" s="1231" t="str" cm="1">
        <f t="array" aca="1" ref="L360" ca="1">INDIRECT("'Incentives Worksheet'!D"&amp;'Configurable Tab'!H31+8)</f>
        <v/>
      </c>
      <c r="M360" s="1104" t="str" cm="1">
        <f t="array" aca="1" ref="M360" ca="1">INDIRECT("'Incentives Worksheet'!D"&amp;'Configurable Tab'!H31+10)</f>
        <v>Yes</v>
      </c>
      <c r="N360" s="1107"/>
      <c r="O360" s="1107"/>
      <c r="P360" s="1107"/>
      <c r="Q360" s="1107"/>
      <c r="R360" s="1107"/>
      <c r="S360" s="1107"/>
      <c r="T360" s="1241" t="s">
        <v>1853</v>
      </c>
      <c r="U360" s="1133" t="s">
        <v>1614</v>
      </c>
      <c r="V360" s="1112">
        <v>502</v>
      </c>
      <c r="W360" s="1230" t="s">
        <v>1910</v>
      </c>
      <c r="X360" s="1230" t="s">
        <v>1606</v>
      </c>
      <c r="Y360" s="1104" t="str" cm="1">
        <f t="array" aca="1" ref="Y360" ca="1">IF(INDIRECT("'Incentives Worksheet'!R"&amp;'Configurable Tab'!H32+3)="USF Calendar","Fiscal",INDIRECT("'Incentives Worksheet'!R"&amp;'Configurable Tab'!H32+3))</f>
        <v>Calendar</v>
      </c>
      <c r="Z360" s="1104" t="str" cm="1">
        <f t="array" aca="1" ref="Z360" ca="1">IF(ISBLANK(INDIRECT("'Incentives Worksheet'!L"&amp;'Configurable Tab'!H32+3)),"",INDIRECT("'Incentives Worksheet'!L"&amp;'Configurable Tab'!H32+3))</f>
        <v/>
      </c>
      <c r="AA360" s="1104" t="str" cm="1">
        <f t="array" aca="1" ref="AA360" ca="1">IF(ISBLANK(INDIRECT("'Incentives Worksheet'!J"&amp;'Configurable Tab'!H32+3)),"",INDIRECT("'Incentives Worksheet'!J"&amp;'Configurable Tab'!H32+3))</f>
        <v/>
      </c>
      <c r="AB360" s="1104" t="str" cm="1">
        <f t="array" aca="1" ref="AB360" ca="1">IF(ISBLANK(INDIRECT("'Incentives Worksheet'!N"&amp;'Configurable Tab'!H32+3)),"",INDIRECT("'Incentives Worksheet'!N"&amp;'Configurable Tab'!H32+3))</f>
        <v/>
      </c>
      <c r="AC360" s="1231" t="str" cm="1">
        <f t="array" aca="1" ref="AC360" ca="1">INDIRECT("'Incentives Worksheet'!D"&amp;'Configurable Tab'!H32+6)</f>
        <v/>
      </c>
      <c r="AD360" s="1231" t="str" cm="1">
        <f t="array" aca="1" ref="AD360" ca="1">INDIRECT("'Incentives Worksheet'!D"&amp;'Configurable Tab'!H32+8)</f>
        <v/>
      </c>
      <c r="AE360" s="1104" t="str" cm="1">
        <f t="array" aca="1" ref="AE360" ca="1">INDIRECT("'Incentives Worksheet'!D"&amp;'Configurable Tab'!H32+10)</f>
        <v>Yes</v>
      </c>
      <c r="AF360" s="1107"/>
      <c r="AG360" s="1107"/>
      <c r="AH360" s="1107"/>
      <c r="AI360" s="1107"/>
      <c r="AJ360" s="1107"/>
      <c r="AK360" s="1107"/>
      <c r="AL360" s="1107"/>
      <c r="AM360" s="1107"/>
      <c r="AN360" s="1107"/>
      <c r="AO360" s="1107"/>
      <c r="AP360" s="1107"/>
      <c r="AQ360" s="1107"/>
      <c r="AR360" s="1107"/>
      <c r="AS360" s="1107"/>
      <c r="AT360" s="1107"/>
      <c r="AU360" s="1107"/>
      <c r="AV360" s="1107"/>
      <c r="AW360" s="1107"/>
      <c r="AX360" s="1107"/>
      <c r="AY360" s="1107"/>
      <c r="AZ360" s="1107"/>
      <c r="BA360" s="1107"/>
      <c r="BB360" s="1107"/>
      <c r="BC360" s="1107"/>
      <c r="BD360" s="1107"/>
      <c r="BE360" s="1107"/>
      <c r="BF360" s="1107"/>
      <c r="BG360" s="1107"/>
      <c r="BH360" s="1107"/>
      <c r="BI360" s="1107"/>
      <c r="BJ360" s="1107"/>
      <c r="BK360" s="1107"/>
      <c r="BL360" s="1107"/>
      <c r="BM360" s="1107"/>
      <c r="BN360" s="1107"/>
      <c r="BO360" s="1107"/>
      <c r="BP360" s="1107"/>
      <c r="BQ360" s="1107"/>
      <c r="BR360" s="1107"/>
      <c r="BS360" s="1107"/>
      <c r="BT360" s="1107"/>
      <c r="BU360" s="1107"/>
      <c r="BV360" s="1107"/>
      <c r="BW360" s="1107"/>
      <c r="BX360" s="1107"/>
      <c r="BY360" s="1107"/>
      <c r="BZ360" s="1107"/>
      <c r="CA360" s="1107"/>
      <c r="CB360" s="1107"/>
      <c r="CC360" s="1107"/>
      <c r="CD360" s="1107"/>
      <c r="CE360" s="1107"/>
      <c r="CF360" s="1107"/>
      <c r="CG360" s="1107"/>
      <c r="CH360" s="1107"/>
      <c r="CI360" s="1107"/>
    </row>
    <row r="361" spans="1:89" ht="30.75" thickBot="1" x14ac:dyDescent="0.3">
      <c r="A361" s="1107"/>
      <c r="B361" s="2006" t="s">
        <v>1901</v>
      </c>
      <c r="C361" s="1160" t="s">
        <v>1902</v>
      </c>
      <c r="D361" s="1100" t="s">
        <v>1903</v>
      </c>
      <c r="E361" s="1101" t="s">
        <v>727</v>
      </c>
      <c r="F361" s="1100" t="s">
        <v>1904</v>
      </c>
      <c r="G361" s="1100" t="s">
        <v>1908</v>
      </c>
      <c r="H361" s="1107"/>
      <c r="I361" s="1107"/>
      <c r="J361" s="1107"/>
      <c r="K361" s="1107"/>
      <c r="L361" s="1107"/>
      <c r="M361" s="1108"/>
      <c r="N361" s="1107"/>
      <c r="O361" s="1107"/>
      <c r="P361" s="1107"/>
      <c r="Q361" s="1107"/>
      <c r="R361" s="1107"/>
      <c r="S361" s="1107"/>
      <c r="T361" s="2006" t="s">
        <v>1901</v>
      </c>
      <c r="U361" s="1160" t="s">
        <v>1902</v>
      </c>
      <c r="V361" s="1100" t="s">
        <v>1903</v>
      </c>
      <c r="W361" s="1101" t="s">
        <v>727</v>
      </c>
      <c r="X361" s="1100" t="s">
        <v>1904</v>
      </c>
      <c r="Y361" s="1100" t="s">
        <v>1841</v>
      </c>
      <c r="Z361" s="1100" t="s">
        <v>1908</v>
      </c>
      <c r="AA361" s="1107"/>
      <c r="AB361" s="1107"/>
      <c r="AC361" s="1107"/>
      <c r="AD361" s="1107"/>
      <c r="AE361" s="1108"/>
      <c r="AF361" s="1107"/>
      <c r="AG361" s="1107"/>
      <c r="AH361" s="1107"/>
      <c r="AI361" s="1107"/>
      <c r="AJ361" s="1107"/>
      <c r="AK361" s="1107"/>
      <c r="AL361" s="1107"/>
      <c r="AM361" s="1107"/>
      <c r="AN361" s="1107"/>
      <c r="AO361" s="1107"/>
      <c r="AP361" s="1107"/>
      <c r="AQ361" s="1107"/>
      <c r="AR361" s="1107"/>
      <c r="AS361" s="1107"/>
      <c r="AT361" s="1107"/>
      <c r="AU361" s="1107"/>
      <c r="AV361" s="1107"/>
      <c r="AW361" s="1107"/>
      <c r="AX361" s="1107"/>
      <c r="AY361" s="1107"/>
      <c r="AZ361" s="1107"/>
      <c r="BA361" s="1107"/>
      <c r="BB361" s="1107"/>
      <c r="BC361" s="1107"/>
      <c r="BD361" s="1107"/>
      <c r="BE361" s="1107"/>
      <c r="BF361" s="1107"/>
      <c r="BG361" s="1107"/>
      <c r="BH361" s="1107"/>
      <c r="BI361" s="1107"/>
      <c r="BJ361" s="1107"/>
      <c r="BK361" s="1107"/>
      <c r="BL361" s="1107"/>
      <c r="BM361" s="1107"/>
      <c r="BN361" s="1107"/>
      <c r="BO361" s="1107"/>
      <c r="BP361" s="1107"/>
      <c r="BQ361" s="1107"/>
      <c r="BR361" s="1107"/>
      <c r="BS361" s="1107"/>
      <c r="BT361" s="1107"/>
      <c r="BU361" s="1107"/>
      <c r="BV361" s="1107"/>
      <c r="BW361" s="1107"/>
      <c r="BX361" s="1107"/>
      <c r="BY361" s="1107"/>
      <c r="BZ361" s="1107"/>
      <c r="CA361" s="1107"/>
      <c r="CB361" s="1107"/>
      <c r="CC361" s="1107"/>
      <c r="CD361" s="1107"/>
      <c r="CE361" s="1107"/>
      <c r="CF361" s="1107"/>
      <c r="CG361" s="1107"/>
      <c r="CH361" s="1107"/>
      <c r="CI361" s="1107"/>
    </row>
    <row r="362" spans="1:89" ht="15.75" thickBot="1" x14ac:dyDescent="0.3">
      <c r="A362" s="1107"/>
      <c r="B362" s="2010"/>
      <c r="C362" s="1196" t="str" cm="1">
        <f t="array" aca="1" ref="C362" ca="1">INDIRECT("'Incentives Worksheet'!R"&amp;'Configurable Tab'!H31+6)</f>
        <v>Pre Pay</v>
      </c>
      <c r="D362" s="1196" t="str" cm="1">
        <f t="array" aca="1" ref="D362" ca="1">INDIRECT("'Incentives Worksheet'!T"&amp;'Configurable Tab'!H31+6)</f>
        <v>Sales</v>
      </c>
      <c r="E362" s="1226" t="str" cm="1">
        <f t="array" aca="1" ref="E362" ca="1">IF(INDIRECT("'Incentives Worksheet'!H"&amp;'Configurable Tab'!H31+6)=0,"",INDIRECT("'Incentives Worksheet'!H"&amp;'Configurable Tab'!H31+6))</f>
        <v/>
      </c>
      <c r="F362" s="1196" t="s">
        <v>1132</v>
      </c>
      <c r="G362" s="1226" t="str">
        <f>IFERROR(IF('Tracking &amp; Profitability'!E6*'Tracking &amp; Profitability'!E5=0,"",'Tracking &amp; Profitability'!E6*'Tracking &amp; Profitability'!E5),"")</f>
        <v/>
      </c>
      <c r="H362" s="1107"/>
      <c r="I362" s="1107"/>
      <c r="J362" s="1107"/>
      <c r="K362" s="1107"/>
      <c r="L362" s="1107"/>
      <c r="M362" s="1108"/>
      <c r="N362" s="1107"/>
      <c r="O362" s="1107"/>
      <c r="P362" s="1107"/>
      <c r="Q362" s="1107"/>
      <c r="R362" s="1107"/>
      <c r="S362" s="1107"/>
      <c r="T362" s="2010"/>
      <c r="U362" s="1196" t="str" cm="1">
        <f t="array" aca="1" ref="U362" ca="1">INDIRECT("'Incentives Worksheet'!R"&amp;'Configurable Tab'!H32+6)</f>
        <v>Pre Pay</v>
      </c>
      <c r="V362" s="1196" t="str" cm="1">
        <f t="array" aca="1" ref="V362" ca="1">INDIRECT("'Incentives Worksheet'!T"&amp;'Configurable Tab'!H32+6)</f>
        <v>Sales</v>
      </c>
      <c r="W362" s="1226" t="str" cm="1">
        <f t="array" aca="1" ref="W362" ca="1">IF(INDIRECT("'Incentives Worksheet'!H"&amp;'Configurable Tab'!H32+6)=0,"",INDIRECT("'Incentives Worksheet'!H"&amp;'Configurable Tab'!H32+6))</f>
        <v/>
      </c>
      <c r="X362" s="1196" t="s">
        <v>1132</v>
      </c>
      <c r="Y362" s="1196"/>
      <c r="Z362" s="1226">
        <f>IFERROR('Tracking &amp; Profitability'!E6*'Tracking &amp; Profitability'!E5,0)</f>
        <v>0</v>
      </c>
      <c r="AA362" s="1107"/>
      <c r="AB362" s="1107"/>
      <c r="AC362" s="1107"/>
      <c r="AD362" s="1107"/>
      <c r="AE362" s="1108"/>
      <c r="AF362" s="1107"/>
      <c r="AG362" s="1107"/>
      <c r="AH362" s="1107"/>
      <c r="AI362" s="1107"/>
      <c r="AJ362" s="1107"/>
      <c r="AK362" s="1107"/>
      <c r="AL362" s="1107"/>
      <c r="AM362" s="1107"/>
      <c r="AN362" s="1107"/>
      <c r="AO362" s="1107"/>
      <c r="AP362" s="1107"/>
      <c r="AQ362" s="1107"/>
      <c r="AR362" s="1107"/>
      <c r="AS362" s="1107"/>
      <c r="AT362" s="1107"/>
      <c r="AU362" s="1107"/>
      <c r="AV362" s="1107"/>
      <c r="AW362" s="1107"/>
      <c r="AX362" s="1107"/>
      <c r="AY362" s="1107"/>
      <c r="AZ362" s="1107"/>
      <c r="BA362" s="1107"/>
      <c r="BB362" s="1107"/>
      <c r="BC362" s="1107"/>
      <c r="BD362" s="1107"/>
      <c r="BE362" s="1107"/>
      <c r="BF362" s="1107"/>
      <c r="BG362" s="1107"/>
      <c r="BH362" s="1107"/>
      <c r="BI362" s="1107"/>
      <c r="BJ362" s="1107"/>
      <c r="BK362" s="1107"/>
      <c r="BL362" s="1107"/>
      <c r="BM362" s="1107"/>
      <c r="BN362" s="1107"/>
      <c r="BO362" s="1107"/>
      <c r="BP362" s="1107"/>
      <c r="BQ362" s="1107"/>
      <c r="BR362" s="1107"/>
      <c r="BS362" s="1107"/>
      <c r="BT362" s="1107"/>
      <c r="BU362" s="1107"/>
      <c r="BV362" s="1107"/>
      <c r="BW362" s="1107"/>
      <c r="BX362" s="1107"/>
      <c r="BY362" s="1107"/>
      <c r="BZ362" s="1107"/>
      <c r="CA362" s="1107"/>
      <c r="CB362" s="1107"/>
      <c r="CC362" s="1107"/>
      <c r="CD362" s="1107"/>
      <c r="CE362" s="1107"/>
      <c r="CF362" s="1107"/>
      <c r="CG362" s="1107"/>
      <c r="CH362" s="1107"/>
      <c r="CI362" s="1107"/>
    </row>
    <row r="363" spans="1:89" ht="15.75" customHeight="1" thickBot="1" x14ac:dyDescent="0.3">
      <c r="A363" s="1107"/>
      <c r="B363" s="2006" t="s">
        <v>1868</v>
      </c>
      <c r="C363" s="1147" t="s">
        <v>1869</v>
      </c>
      <c r="D363" s="1148" t="s">
        <v>1859</v>
      </c>
      <c r="E363" s="1148" t="s">
        <v>131</v>
      </c>
      <c r="F363" s="1148" t="s">
        <v>1860</v>
      </c>
      <c r="G363" s="1148" t="s">
        <v>1870</v>
      </c>
      <c r="H363" s="1149" t="s">
        <v>1871</v>
      </c>
      <c r="I363" s="1150" t="s">
        <v>766</v>
      </c>
      <c r="J363" s="1150" t="s">
        <v>767</v>
      </c>
      <c r="K363" s="1150" t="s">
        <v>768</v>
      </c>
      <c r="L363" s="1150" t="s">
        <v>769</v>
      </c>
      <c r="M363" s="1150" t="s">
        <v>204</v>
      </c>
      <c r="N363" s="1107"/>
      <c r="O363" s="1107"/>
      <c r="P363" s="1107"/>
      <c r="Q363" s="1107"/>
      <c r="R363" s="1107"/>
      <c r="S363" s="1107"/>
      <c r="T363" s="2006" t="s">
        <v>1868</v>
      </c>
      <c r="U363" s="1147" t="s">
        <v>1869</v>
      </c>
      <c r="V363" s="1148" t="s">
        <v>1859</v>
      </c>
      <c r="W363" s="1148" t="s">
        <v>131</v>
      </c>
      <c r="X363" s="1148" t="s">
        <v>1860</v>
      </c>
      <c r="Y363" s="1148" t="s">
        <v>1870</v>
      </c>
      <c r="Z363" s="1149" t="s">
        <v>1871</v>
      </c>
      <c r="AA363" s="1150" t="s">
        <v>766</v>
      </c>
      <c r="AB363" s="1150" t="s">
        <v>767</v>
      </c>
      <c r="AC363" s="1150" t="s">
        <v>768</v>
      </c>
      <c r="AD363" s="1150" t="s">
        <v>769</v>
      </c>
      <c r="AE363" s="1150" t="s">
        <v>204</v>
      </c>
      <c r="AF363" s="1107"/>
      <c r="AG363" s="1107"/>
      <c r="AH363" s="1107"/>
      <c r="AI363" s="1107"/>
      <c r="AJ363" s="1107"/>
      <c r="AK363" s="1107"/>
      <c r="AL363" s="1107"/>
      <c r="AM363" s="1107"/>
      <c r="AN363" s="1107"/>
      <c r="AO363" s="1107"/>
      <c r="AP363" s="1107"/>
      <c r="AQ363" s="1107"/>
      <c r="AR363" s="1107"/>
      <c r="AS363" s="1107"/>
      <c r="AT363" s="1107"/>
      <c r="AU363" s="1107"/>
      <c r="AV363" s="1107"/>
      <c r="AW363" s="1107"/>
      <c r="AX363" s="1107"/>
      <c r="AY363" s="1107"/>
      <c r="AZ363" s="1107"/>
      <c r="BA363" s="1107"/>
      <c r="BB363" s="1107"/>
      <c r="BC363" s="1107"/>
      <c r="BD363" s="1107"/>
      <c r="BE363" s="1107"/>
      <c r="BF363" s="1107"/>
      <c r="BG363" s="1107"/>
      <c r="BH363" s="1107"/>
      <c r="BI363" s="1107"/>
      <c r="BJ363" s="1107"/>
      <c r="BK363" s="1107"/>
      <c r="BL363" s="1107"/>
      <c r="BM363" s="1107"/>
      <c r="BN363" s="1107"/>
      <c r="BO363" s="1107"/>
      <c r="BP363" s="1107"/>
      <c r="BQ363" s="1107"/>
      <c r="BR363" s="1107"/>
      <c r="BS363" s="1107"/>
      <c r="BT363" s="1107"/>
      <c r="BU363" s="1107"/>
      <c r="BV363" s="1107"/>
      <c r="BW363" s="1107"/>
      <c r="BX363" s="1107"/>
      <c r="BY363" s="1107"/>
      <c r="BZ363" s="1107"/>
      <c r="CA363" s="1107"/>
      <c r="CB363" s="1107"/>
      <c r="CC363" s="1107"/>
      <c r="CD363" s="1107"/>
      <c r="CE363" s="1107"/>
      <c r="CF363" s="1107"/>
      <c r="CG363" s="1107"/>
      <c r="CH363" s="1107"/>
    </row>
    <row r="364" spans="1:89" x14ac:dyDescent="0.25">
      <c r="A364" s="1107"/>
      <c r="B364" s="2008"/>
      <c r="C364" s="1151">
        <v>1</v>
      </c>
      <c r="D364" s="1144" t="s">
        <v>1872</v>
      </c>
      <c r="E364" s="1144" t="s">
        <v>1426</v>
      </c>
      <c r="F364" s="1144" t="str">
        <f>'Required Info to Submit'!E23</f>
        <v/>
      </c>
      <c r="G364" s="1414" t="str">
        <f>IF(F364="","",'Required Info to Submit'!K23)</f>
        <v/>
      </c>
      <c r="H364" s="1415" t="str">
        <f>IF(F364="","",'Required Info to Submit'!L23)</f>
        <v/>
      </c>
      <c r="I364" s="1144" t="str">
        <f>'Required Info to Submit'!F23</f>
        <v/>
      </c>
      <c r="J364" s="1144" t="str">
        <f>'Required Info to Submit'!G23</f>
        <v/>
      </c>
      <c r="K364" s="1144" t="str">
        <f>'Required Info to Submit'!H23</f>
        <v/>
      </c>
      <c r="L364" s="1144" t="str">
        <f>'Required Info to Submit'!I23</f>
        <v/>
      </c>
      <c r="M364" s="1144" t="str">
        <f>'Required Info to Submit'!J23</f>
        <v/>
      </c>
      <c r="N364" s="1107"/>
      <c r="O364" s="1107"/>
      <c r="P364" s="1107"/>
      <c r="Q364" s="1107"/>
      <c r="R364" s="1107"/>
      <c r="S364" s="1107"/>
      <c r="T364" s="2008"/>
      <c r="U364" s="1151">
        <v>1</v>
      </c>
      <c r="V364" s="1144" t="s">
        <v>1872</v>
      </c>
      <c r="W364" s="1144" t="s">
        <v>1426</v>
      </c>
      <c r="X364" s="1144" t="str">
        <f>'Required Info to Submit'!E23</f>
        <v/>
      </c>
      <c r="Y364" s="1414" t="str">
        <f>IF(X364="","",'Required Info to Submit'!K23)</f>
        <v/>
      </c>
      <c r="Z364" s="1415" t="str">
        <f>IF(X364="","",'Required Info to Submit'!L23)</f>
        <v/>
      </c>
      <c r="AA364" s="1144" t="str">
        <f>'Required Info to Submit'!F23</f>
        <v/>
      </c>
      <c r="AB364" s="1144" t="str">
        <f>'Required Info to Submit'!G23</f>
        <v/>
      </c>
      <c r="AC364" s="1144" t="str">
        <f>'Required Info to Submit'!H23</f>
        <v/>
      </c>
      <c r="AD364" s="1144" t="str">
        <f>'Required Info to Submit'!I23</f>
        <v/>
      </c>
      <c r="AE364" s="1144" t="str">
        <f>'Required Info to Submit'!J23</f>
        <v/>
      </c>
      <c r="AF364" s="1107"/>
      <c r="AG364" s="1107"/>
      <c r="AH364" s="1107"/>
      <c r="AI364" s="1107"/>
      <c r="AJ364" s="1107"/>
      <c r="AK364" s="1107"/>
      <c r="AL364" s="1107"/>
      <c r="AM364" s="1107"/>
      <c r="AN364" s="1107"/>
      <c r="AO364" s="1107"/>
      <c r="AP364" s="1107"/>
      <c r="AQ364" s="1107"/>
      <c r="AR364" s="1107"/>
      <c r="AS364" s="1107"/>
      <c r="AT364" s="1107"/>
      <c r="AU364" s="1107"/>
      <c r="AV364" s="1107"/>
      <c r="AW364" s="1107"/>
      <c r="AX364" s="1107"/>
      <c r="AY364" s="1107"/>
      <c r="AZ364" s="1107"/>
      <c r="BA364" s="1107"/>
      <c r="BB364" s="1107"/>
      <c r="BC364" s="1107"/>
      <c r="BD364" s="1107"/>
      <c r="BE364" s="1107"/>
      <c r="BF364" s="1107"/>
      <c r="BG364" s="1107"/>
      <c r="BH364" s="1107"/>
      <c r="BI364" s="1107"/>
      <c r="BJ364" s="1107"/>
      <c r="BK364" s="1107"/>
      <c r="BL364" s="1107"/>
      <c r="BM364" s="1107"/>
      <c r="BN364" s="1107"/>
      <c r="BO364" s="1107"/>
      <c r="BP364" s="1107"/>
      <c r="BQ364" s="1107"/>
      <c r="BR364" s="1107"/>
      <c r="BS364" s="1107"/>
      <c r="BT364" s="1107"/>
      <c r="BU364" s="1107"/>
      <c r="BV364" s="1107"/>
      <c r="BW364" s="1107"/>
      <c r="BX364" s="1107"/>
      <c r="BY364" s="1107"/>
      <c r="BZ364" s="1107"/>
      <c r="CA364" s="1107"/>
      <c r="CB364" s="1107"/>
      <c r="CC364" s="1107"/>
      <c r="CD364" s="1107"/>
      <c r="CE364" s="1107"/>
      <c r="CF364" s="1107"/>
      <c r="CG364" s="1107"/>
      <c r="CH364" s="1107"/>
    </row>
    <row r="365" spans="1:89" x14ac:dyDescent="0.25">
      <c r="A365" s="1107"/>
      <c r="B365" s="2008"/>
      <c r="C365" s="1154">
        <v>2</v>
      </c>
      <c r="D365" s="1144" t="s">
        <v>1872</v>
      </c>
      <c r="E365" s="1144" t="s">
        <v>1426</v>
      </c>
      <c r="F365" s="1144" t="str">
        <f>'Required Info to Submit'!E24</f>
        <v/>
      </c>
      <c r="G365" s="1414" t="str">
        <f>IF(F365="","",'Required Info to Submit'!K24)</f>
        <v/>
      </c>
      <c r="H365" s="1415" t="str">
        <f>IF(F365="","",'Required Info to Submit'!L24)</f>
        <v/>
      </c>
      <c r="I365" s="1144" t="str">
        <f>'Required Info to Submit'!F24</f>
        <v/>
      </c>
      <c r="J365" s="1144" t="str">
        <f>'Required Info to Submit'!G24</f>
        <v/>
      </c>
      <c r="K365" s="1144" t="str">
        <f>'Required Info to Submit'!H24</f>
        <v/>
      </c>
      <c r="L365" s="1144" t="str">
        <f>'Required Info to Submit'!I24</f>
        <v/>
      </c>
      <c r="M365" s="1144" t="str">
        <f>'Required Info to Submit'!J24</f>
        <v/>
      </c>
      <c r="N365" s="1107"/>
      <c r="O365" s="1107"/>
      <c r="P365" s="1107"/>
      <c r="Q365" s="1107"/>
      <c r="R365" s="1107"/>
      <c r="S365" s="1107"/>
      <c r="T365" s="2008"/>
      <c r="U365" s="1154">
        <v>2</v>
      </c>
      <c r="V365" s="1144" t="s">
        <v>1872</v>
      </c>
      <c r="W365" s="1144" t="s">
        <v>1426</v>
      </c>
      <c r="X365" s="1144" t="str">
        <f>'Required Info to Submit'!E24</f>
        <v/>
      </c>
      <c r="Y365" s="1414" t="str">
        <f>IF(X365="","",'Required Info to Submit'!K24)</f>
        <v/>
      </c>
      <c r="Z365" s="1415" t="str">
        <f>IF(X365="","",'Required Info to Submit'!L24)</f>
        <v/>
      </c>
      <c r="AA365" s="1144" t="str">
        <f>'Required Info to Submit'!F24</f>
        <v/>
      </c>
      <c r="AB365" s="1144" t="str">
        <f>'Required Info to Submit'!G24</f>
        <v/>
      </c>
      <c r="AC365" s="1144" t="str">
        <f>'Required Info to Submit'!H24</f>
        <v/>
      </c>
      <c r="AD365" s="1144" t="str">
        <f>'Required Info to Submit'!I24</f>
        <v/>
      </c>
      <c r="AE365" s="1144" t="str">
        <f>'Required Info to Submit'!J24</f>
        <v/>
      </c>
      <c r="AF365" s="1107"/>
      <c r="AG365" s="1107"/>
      <c r="AH365" s="1107"/>
      <c r="AI365" s="1107"/>
      <c r="AJ365" s="1107"/>
      <c r="AK365" s="1107"/>
      <c r="AL365" s="1107"/>
      <c r="AM365" s="1107"/>
      <c r="AN365" s="1107"/>
      <c r="AO365" s="1107"/>
      <c r="AP365" s="1107"/>
      <c r="AQ365" s="1107"/>
      <c r="AR365" s="1107"/>
      <c r="AS365" s="1107"/>
      <c r="AT365" s="1107"/>
      <c r="AU365" s="1107"/>
      <c r="AV365" s="1107"/>
      <c r="AW365" s="1107"/>
      <c r="AX365" s="1107"/>
      <c r="AY365" s="1107"/>
      <c r="AZ365" s="1107"/>
      <c r="BA365" s="1107"/>
      <c r="BB365" s="1107"/>
      <c r="BC365" s="1107"/>
      <c r="BD365" s="1107"/>
      <c r="BE365" s="1107"/>
      <c r="BF365" s="1107"/>
      <c r="BG365" s="1107"/>
      <c r="BH365" s="1107"/>
      <c r="BI365" s="1107"/>
      <c r="BJ365" s="1107"/>
      <c r="BK365" s="1107"/>
      <c r="BL365" s="1107"/>
      <c r="BM365" s="1107"/>
      <c r="BN365" s="1107"/>
      <c r="BO365" s="1107"/>
      <c r="BP365" s="1107"/>
      <c r="BQ365" s="1107"/>
      <c r="BR365" s="1107"/>
      <c r="BS365" s="1107"/>
      <c r="BT365" s="1107"/>
      <c r="BU365" s="1107"/>
      <c r="BV365" s="1107"/>
      <c r="BW365" s="1107"/>
      <c r="BX365" s="1107"/>
      <c r="BY365" s="1107"/>
      <c r="BZ365" s="1107"/>
      <c r="CA365" s="1107"/>
      <c r="CB365" s="1107"/>
      <c r="CC365" s="1107"/>
      <c r="CD365" s="1107"/>
      <c r="CE365" s="1107"/>
      <c r="CF365" s="1107"/>
      <c r="CG365" s="1107"/>
      <c r="CH365" s="1107"/>
    </row>
    <row r="366" spans="1:89" x14ac:dyDescent="0.25">
      <c r="A366" s="1107"/>
      <c r="B366" s="2008"/>
      <c r="C366" s="1154">
        <v>3</v>
      </c>
      <c r="D366" s="1144" t="s">
        <v>1872</v>
      </c>
      <c r="E366" s="1144" t="s">
        <v>1426</v>
      </c>
      <c r="F366" s="1144" t="str">
        <f>'Required Info to Submit'!E25</f>
        <v/>
      </c>
      <c r="G366" s="1414" t="str">
        <f>IF(F366="","",'Required Info to Submit'!K25)</f>
        <v/>
      </c>
      <c r="H366" s="1415" t="str">
        <f>IF(F366="","",'Required Info to Submit'!L25)</f>
        <v/>
      </c>
      <c r="I366" s="1144" t="str">
        <f>'Required Info to Submit'!F25</f>
        <v/>
      </c>
      <c r="J366" s="1144" t="str">
        <f>'Required Info to Submit'!G25</f>
        <v/>
      </c>
      <c r="K366" s="1144" t="str">
        <f>'Required Info to Submit'!H25</f>
        <v/>
      </c>
      <c r="L366" s="1144" t="str">
        <f>'Required Info to Submit'!I25</f>
        <v/>
      </c>
      <c r="M366" s="1144" t="str">
        <f>'Required Info to Submit'!J25</f>
        <v/>
      </c>
      <c r="N366" s="1107"/>
      <c r="O366" s="1107"/>
      <c r="P366" s="1107"/>
      <c r="Q366" s="1107"/>
      <c r="R366" s="1107"/>
      <c r="S366" s="1107"/>
      <c r="T366" s="2008"/>
      <c r="U366" s="1154">
        <v>3</v>
      </c>
      <c r="V366" s="1144" t="s">
        <v>1872</v>
      </c>
      <c r="W366" s="1144" t="s">
        <v>1426</v>
      </c>
      <c r="X366" s="1144" t="str">
        <f>'Required Info to Submit'!E25</f>
        <v/>
      </c>
      <c r="Y366" s="1414" t="str">
        <f>IF(X366="","",'Required Info to Submit'!K25)</f>
        <v/>
      </c>
      <c r="Z366" s="1415" t="str">
        <f>IF(X366="","",'Required Info to Submit'!L25)</f>
        <v/>
      </c>
      <c r="AA366" s="1144" t="str">
        <f>'Required Info to Submit'!F25</f>
        <v/>
      </c>
      <c r="AB366" s="1144" t="str">
        <f>'Required Info to Submit'!G25</f>
        <v/>
      </c>
      <c r="AC366" s="1144" t="str">
        <f>'Required Info to Submit'!H25</f>
        <v/>
      </c>
      <c r="AD366" s="1144" t="str">
        <f>'Required Info to Submit'!I25</f>
        <v/>
      </c>
      <c r="AE366" s="1144" t="str">
        <f>'Required Info to Submit'!J25</f>
        <v/>
      </c>
      <c r="AF366" s="1107"/>
      <c r="AG366" s="1107"/>
      <c r="AH366" s="1107"/>
      <c r="AI366" s="1107"/>
      <c r="AJ366" s="1107"/>
      <c r="AK366" s="1107"/>
      <c r="AL366" s="1107"/>
      <c r="AM366" s="1107"/>
      <c r="AN366" s="1107"/>
      <c r="AO366" s="1107"/>
      <c r="AP366" s="1107"/>
      <c r="AQ366" s="1107"/>
      <c r="AR366" s="1107"/>
      <c r="AS366" s="1107"/>
      <c r="AT366" s="1107"/>
      <c r="AU366" s="1107"/>
      <c r="AV366" s="1107"/>
      <c r="AW366" s="1107"/>
      <c r="AX366" s="1107"/>
      <c r="AY366" s="1107"/>
      <c r="AZ366" s="1107"/>
      <c r="BA366" s="1107"/>
      <c r="BB366" s="1107"/>
      <c r="BC366" s="1107"/>
      <c r="BD366" s="1107"/>
      <c r="BE366" s="1107"/>
      <c r="BF366" s="1107"/>
      <c r="BG366" s="1107"/>
      <c r="BH366" s="1107"/>
      <c r="BI366" s="1107"/>
      <c r="BJ366" s="1107"/>
      <c r="BK366" s="1107"/>
      <c r="BL366" s="1107"/>
      <c r="BM366" s="1107"/>
      <c r="BN366" s="1107"/>
      <c r="BO366" s="1107"/>
      <c r="BP366" s="1107"/>
      <c r="BQ366" s="1107"/>
      <c r="BR366" s="1107"/>
      <c r="BS366" s="1107"/>
      <c r="BT366" s="1107"/>
      <c r="BU366" s="1107"/>
      <c r="BV366" s="1107"/>
      <c r="BW366" s="1107"/>
      <c r="BX366" s="1107"/>
      <c r="BY366" s="1107"/>
      <c r="BZ366" s="1107"/>
      <c r="CA366" s="1107"/>
      <c r="CB366" s="1107"/>
      <c r="CC366" s="1107"/>
      <c r="CD366" s="1107"/>
      <c r="CE366" s="1107"/>
      <c r="CF366" s="1107"/>
      <c r="CG366" s="1107"/>
      <c r="CH366" s="1107"/>
    </row>
    <row r="367" spans="1:89" x14ac:dyDescent="0.25">
      <c r="A367" s="1107"/>
      <c r="B367" s="2008"/>
      <c r="C367" s="1154">
        <v>4</v>
      </c>
      <c r="D367" s="1144" t="s">
        <v>1872</v>
      </c>
      <c r="E367" s="1144" t="s">
        <v>1426</v>
      </c>
      <c r="F367" s="1144" t="str">
        <f>'Required Info to Submit'!E26</f>
        <v/>
      </c>
      <c r="G367" s="1414" t="str">
        <f>IF(F367="","",'Required Info to Submit'!K26)</f>
        <v/>
      </c>
      <c r="H367" s="1415" t="str">
        <f>IF(F367="","",'Required Info to Submit'!L26)</f>
        <v/>
      </c>
      <c r="I367" s="1144" t="str">
        <f>'Required Info to Submit'!F26</f>
        <v/>
      </c>
      <c r="J367" s="1144" t="str">
        <f>'Required Info to Submit'!G26</f>
        <v/>
      </c>
      <c r="K367" s="1144" t="str">
        <f>'Required Info to Submit'!H26</f>
        <v/>
      </c>
      <c r="L367" s="1144" t="str">
        <f>'Required Info to Submit'!I26</f>
        <v/>
      </c>
      <c r="M367" s="1144" t="str">
        <f>'Required Info to Submit'!J26</f>
        <v/>
      </c>
      <c r="N367" s="1107"/>
      <c r="O367" s="1107"/>
      <c r="P367" s="1107"/>
      <c r="Q367" s="1107"/>
      <c r="R367" s="1107"/>
      <c r="S367" s="1107"/>
      <c r="T367" s="2008"/>
      <c r="U367" s="1154">
        <v>4</v>
      </c>
      <c r="V367" s="1144" t="s">
        <v>1872</v>
      </c>
      <c r="W367" s="1144" t="s">
        <v>1426</v>
      </c>
      <c r="X367" s="1144" t="str">
        <f>'Required Info to Submit'!E26</f>
        <v/>
      </c>
      <c r="Y367" s="1414" t="str">
        <f>IF(X367="","",'Required Info to Submit'!K26)</f>
        <v/>
      </c>
      <c r="Z367" s="1415" t="str">
        <f>IF(X367="","",'Required Info to Submit'!L26)</f>
        <v/>
      </c>
      <c r="AA367" s="1144" t="str">
        <f>'Required Info to Submit'!F26</f>
        <v/>
      </c>
      <c r="AB367" s="1144" t="str">
        <f>'Required Info to Submit'!G26</f>
        <v/>
      </c>
      <c r="AC367" s="1144" t="str">
        <f>'Required Info to Submit'!H26</f>
        <v/>
      </c>
      <c r="AD367" s="1144" t="str">
        <f>'Required Info to Submit'!I26</f>
        <v/>
      </c>
      <c r="AE367" s="1144" t="str">
        <f>'Required Info to Submit'!J26</f>
        <v/>
      </c>
      <c r="AF367" s="1107"/>
      <c r="AG367" s="1107"/>
      <c r="AH367" s="1107"/>
      <c r="AI367" s="1107"/>
      <c r="AJ367" s="1107"/>
      <c r="AK367" s="1107"/>
      <c r="AL367" s="1107"/>
      <c r="AM367" s="1107"/>
      <c r="AN367" s="1107"/>
      <c r="AO367" s="1107"/>
      <c r="AP367" s="1107"/>
      <c r="AQ367" s="1107"/>
      <c r="AR367" s="1107"/>
      <c r="AS367" s="1107"/>
      <c r="AT367" s="1107"/>
      <c r="AU367" s="1107"/>
      <c r="AV367" s="1107"/>
      <c r="AW367" s="1107"/>
      <c r="AX367" s="1107"/>
      <c r="AY367" s="1107"/>
      <c r="AZ367" s="1107"/>
      <c r="BA367" s="1107"/>
      <c r="BB367" s="1107"/>
      <c r="BC367" s="1107"/>
      <c r="BD367" s="1107"/>
      <c r="BE367" s="1107"/>
      <c r="BF367" s="1107"/>
      <c r="BG367" s="1107"/>
      <c r="BH367" s="1107"/>
      <c r="BI367" s="1107"/>
      <c r="BJ367" s="1107"/>
      <c r="BK367" s="1107"/>
      <c r="BL367" s="1107"/>
      <c r="BM367" s="1107"/>
      <c r="BN367" s="1107"/>
      <c r="BO367" s="1107"/>
      <c r="BP367" s="1107"/>
      <c r="BQ367" s="1107"/>
      <c r="BR367" s="1107"/>
      <c r="BS367" s="1107"/>
      <c r="BT367" s="1107"/>
      <c r="BU367" s="1107"/>
      <c r="BV367" s="1107"/>
      <c r="BW367" s="1107"/>
      <c r="BX367" s="1107"/>
      <c r="BY367" s="1107"/>
      <c r="BZ367" s="1107"/>
      <c r="CA367" s="1107"/>
      <c r="CB367" s="1107"/>
      <c r="CC367" s="1107"/>
      <c r="CD367" s="1107"/>
      <c r="CE367" s="1107"/>
      <c r="CF367" s="1107"/>
      <c r="CG367" s="1107"/>
      <c r="CH367" s="1107"/>
    </row>
    <row r="368" spans="1:89" x14ac:dyDescent="0.25">
      <c r="A368" s="1107"/>
      <c r="B368" s="2008"/>
      <c r="C368" s="1154">
        <v>5</v>
      </c>
      <c r="D368" s="1144" t="s">
        <v>1872</v>
      </c>
      <c r="E368" s="1144" t="s">
        <v>1426</v>
      </c>
      <c r="F368" s="1144" t="str">
        <f>'Required Info to Submit'!E27</f>
        <v/>
      </c>
      <c r="G368" s="1414" t="str">
        <f>IF(F368="","",'Required Info to Submit'!K27)</f>
        <v/>
      </c>
      <c r="H368" s="1415" t="str">
        <f>IF(F368="","",'Required Info to Submit'!L27)</f>
        <v/>
      </c>
      <c r="I368" s="1144" t="str">
        <f>'Required Info to Submit'!F27</f>
        <v/>
      </c>
      <c r="J368" s="1144" t="str">
        <f>'Required Info to Submit'!G27</f>
        <v/>
      </c>
      <c r="K368" s="1144" t="str">
        <f>'Required Info to Submit'!H27</f>
        <v/>
      </c>
      <c r="L368" s="1144" t="str">
        <f>'Required Info to Submit'!I27</f>
        <v/>
      </c>
      <c r="M368" s="1144" t="str">
        <f>'Required Info to Submit'!J27</f>
        <v/>
      </c>
      <c r="N368" s="1107"/>
      <c r="O368" s="1107"/>
      <c r="P368" s="1107"/>
      <c r="Q368" s="1107"/>
      <c r="R368" s="1107"/>
      <c r="S368" s="1107"/>
      <c r="T368" s="2008"/>
      <c r="U368" s="1154">
        <v>5</v>
      </c>
      <c r="V368" s="1144" t="s">
        <v>1872</v>
      </c>
      <c r="W368" s="1144" t="s">
        <v>1426</v>
      </c>
      <c r="X368" s="1144" t="str">
        <f>'Required Info to Submit'!E27</f>
        <v/>
      </c>
      <c r="Y368" s="1414" t="str">
        <f>IF(X368="","",'Required Info to Submit'!K27)</f>
        <v/>
      </c>
      <c r="Z368" s="1415" t="str">
        <f>IF(X368="","",'Required Info to Submit'!L27)</f>
        <v/>
      </c>
      <c r="AA368" s="1144" t="str">
        <f>'Required Info to Submit'!F27</f>
        <v/>
      </c>
      <c r="AB368" s="1144" t="str">
        <f>'Required Info to Submit'!G27</f>
        <v/>
      </c>
      <c r="AC368" s="1144" t="str">
        <f>'Required Info to Submit'!H27</f>
        <v/>
      </c>
      <c r="AD368" s="1144" t="str">
        <f>'Required Info to Submit'!I27</f>
        <v/>
      </c>
      <c r="AE368" s="1144" t="str">
        <f>'Required Info to Submit'!J27</f>
        <v/>
      </c>
      <c r="AF368" s="1107"/>
      <c r="AG368" s="1107"/>
      <c r="AH368" s="1107"/>
      <c r="AI368" s="1107"/>
      <c r="AJ368" s="1107"/>
      <c r="AK368" s="1107"/>
      <c r="AL368" s="1107"/>
      <c r="AM368" s="1107"/>
      <c r="AN368" s="1107"/>
      <c r="AO368" s="1107"/>
      <c r="AP368" s="1107"/>
      <c r="AQ368" s="1107"/>
      <c r="AR368" s="1107"/>
      <c r="AS368" s="1107"/>
      <c r="AT368" s="1107"/>
      <c r="AU368" s="1107"/>
      <c r="AV368" s="1107"/>
      <c r="AW368" s="1107"/>
      <c r="AX368" s="1107"/>
      <c r="AY368" s="1107"/>
      <c r="AZ368" s="1107"/>
      <c r="BA368" s="1107"/>
      <c r="BB368" s="1107"/>
      <c r="BC368" s="1107"/>
      <c r="BD368" s="1107"/>
      <c r="BE368" s="1107"/>
      <c r="BF368" s="1107"/>
      <c r="BG368" s="1107"/>
      <c r="BH368" s="1107"/>
      <c r="BI368" s="1107"/>
      <c r="BJ368" s="1107"/>
      <c r="BK368" s="1107"/>
      <c r="BL368" s="1107"/>
      <c r="BM368" s="1107"/>
      <c r="BN368" s="1107"/>
      <c r="BO368" s="1107"/>
      <c r="BP368" s="1107"/>
      <c r="BQ368" s="1107"/>
      <c r="BR368" s="1107"/>
      <c r="BS368" s="1107"/>
      <c r="BT368" s="1107"/>
      <c r="BU368" s="1107"/>
      <c r="BV368" s="1107"/>
      <c r="BW368" s="1107"/>
      <c r="BX368" s="1107"/>
      <c r="BY368" s="1107"/>
      <c r="BZ368" s="1107"/>
      <c r="CA368" s="1107"/>
      <c r="CB368" s="1107"/>
      <c r="CC368" s="1107"/>
      <c r="CD368" s="1107"/>
      <c r="CE368" s="1107"/>
      <c r="CF368" s="1107"/>
      <c r="CG368" s="1107"/>
      <c r="CH368" s="1107"/>
    </row>
    <row r="369" spans="1:89" x14ac:dyDescent="0.25">
      <c r="A369" s="1107"/>
      <c r="B369" s="2008"/>
      <c r="C369" s="1154">
        <v>6</v>
      </c>
      <c r="D369" s="1144" t="s">
        <v>1872</v>
      </c>
      <c r="E369" s="1144" t="s">
        <v>1426</v>
      </c>
      <c r="F369" s="1144" t="str">
        <f>'Required Info to Submit'!E28</f>
        <v/>
      </c>
      <c r="G369" s="1414" t="str">
        <f>IF(F369="","",'Required Info to Submit'!K28)</f>
        <v/>
      </c>
      <c r="H369" s="1415" t="str">
        <f>IF(F369="","",'Required Info to Submit'!L28)</f>
        <v/>
      </c>
      <c r="I369" s="1144" t="str">
        <f>'Required Info to Submit'!F28</f>
        <v/>
      </c>
      <c r="J369" s="1144" t="str">
        <f>'Required Info to Submit'!G28</f>
        <v/>
      </c>
      <c r="K369" s="1144" t="str">
        <f>'Required Info to Submit'!H28</f>
        <v/>
      </c>
      <c r="L369" s="1144" t="str">
        <f>'Required Info to Submit'!I28</f>
        <v/>
      </c>
      <c r="M369" s="1144" t="str">
        <f>'Required Info to Submit'!J28</f>
        <v/>
      </c>
      <c r="N369" s="1107"/>
      <c r="O369" s="1107"/>
      <c r="P369" s="1107"/>
      <c r="Q369" s="1107"/>
      <c r="R369" s="1107"/>
      <c r="S369" s="1107"/>
      <c r="T369" s="2008"/>
      <c r="U369" s="1154">
        <v>6</v>
      </c>
      <c r="V369" s="1144" t="s">
        <v>1872</v>
      </c>
      <c r="W369" s="1144" t="s">
        <v>1426</v>
      </c>
      <c r="X369" s="1144" t="str">
        <f>'Required Info to Submit'!E28</f>
        <v/>
      </c>
      <c r="Y369" s="1414" t="str">
        <f>IF(X369="","",'Required Info to Submit'!K28)</f>
        <v/>
      </c>
      <c r="Z369" s="1415" t="str">
        <f>IF(X369="","",'Required Info to Submit'!L28)</f>
        <v/>
      </c>
      <c r="AA369" s="1144" t="str">
        <f>'Required Info to Submit'!F28</f>
        <v/>
      </c>
      <c r="AB369" s="1144" t="str">
        <f>'Required Info to Submit'!G28</f>
        <v/>
      </c>
      <c r="AC369" s="1144" t="str">
        <f>'Required Info to Submit'!H28</f>
        <v/>
      </c>
      <c r="AD369" s="1144" t="str">
        <f>'Required Info to Submit'!I28</f>
        <v/>
      </c>
      <c r="AE369" s="1144" t="str">
        <f>'Required Info to Submit'!J28</f>
        <v/>
      </c>
      <c r="AF369" s="1107"/>
      <c r="AG369" s="1107"/>
      <c r="AH369" s="1107"/>
      <c r="AI369" s="1107"/>
      <c r="AJ369" s="1107"/>
      <c r="AK369" s="1107"/>
      <c r="AL369" s="1107"/>
      <c r="AM369" s="1107"/>
      <c r="AN369" s="1107"/>
      <c r="AO369" s="1107"/>
      <c r="AP369" s="1107"/>
      <c r="AQ369" s="1107"/>
      <c r="AR369" s="1107"/>
      <c r="AS369" s="1107"/>
      <c r="AT369" s="1107"/>
      <c r="AU369" s="1107"/>
      <c r="AV369" s="1107"/>
      <c r="AW369" s="1107"/>
      <c r="AX369" s="1107"/>
      <c r="AY369" s="1107"/>
      <c r="AZ369" s="1107"/>
      <c r="BA369" s="1107"/>
      <c r="BB369" s="1107"/>
      <c r="BC369" s="1107"/>
      <c r="BD369" s="1107"/>
      <c r="BE369" s="1107"/>
      <c r="BF369" s="1107"/>
      <c r="BG369" s="1107"/>
      <c r="BH369" s="1107"/>
      <c r="BI369" s="1107"/>
      <c r="BJ369" s="1107"/>
      <c r="BK369" s="1107"/>
      <c r="BL369" s="1107"/>
      <c r="BM369" s="1107"/>
      <c r="BN369" s="1107"/>
      <c r="BO369" s="1107"/>
      <c r="BP369" s="1107"/>
      <c r="BQ369" s="1107"/>
      <c r="BR369" s="1107"/>
      <c r="BS369" s="1107"/>
      <c r="BT369" s="1107"/>
      <c r="BU369" s="1107"/>
      <c r="BV369" s="1107"/>
      <c r="BW369" s="1107"/>
      <c r="BX369" s="1107"/>
      <c r="BY369" s="1107"/>
      <c r="BZ369" s="1107"/>
      <c r="CA369" s="1107"/>
      <c r="CB369" s="1107"/>
      <c r="CC369" s="1107"/>
      <c r="CD369" s="1107"/>
      <c r="CE369" s="1107"/>
      <c r="CF369" s="1107"/>
      <c r="CG369" s="1107"/>
      <c r="CH369" s="1107"/>
    </row>
    <row r="370" spans="1:89" x14ac:dyDescent="0.25">
      <c r="A370" s="1107"/>
      <c r="B370" s="2008"/>
      <c r="C370" s="1154">
        <v>7</v>
      </c>
      <c r="D370" s="1144" t="s">
        <v>1872</v>
      </c>
      <c r="E370" s="1144" t="s">
        <v>1426</v>
      </c>
      <c r="F370" s="1144" t="str">
        <f>'Required Info to Submit'!E29</f>
        <v/>
      </c>
      <c r="G370" s="1414" t="str">
        <f>IF(F370="","",'Required Info to Submit'!K29)</f>
        <v/>
      </c>
      <c r="H370" s="1415" t="str">
        <f>IF(F370="","",'Required Info to Submit'!L29)</f>
        <v/>
      </c>
      <c r="I370" s="1144" t="str">
        <f>'Required Info to Submit'!F29</f>
        <v/>
      </c>
      <c r="J370" s="1144" t="str">
        <f>'Required Info to Submit'!G29</f>
        <v/>
      </c>
      <c r="K370" s="1144" t="str">
        <f>'Required Info to Submit'!H29</f>
        <v/>
      </c>
      <c r="L370" s="1144" t="str">
        <f>'Required Info to Submit'!I29</f>
        <v/>
      </c>
      <c r="M370" s="1144" t="str">
        <f>'Required Info to Submit'!J29</f>
        <v/>
      </c>
      <c r="N370" s="1107"/>
      <c r="O370" s="1107"/>
      <c r="P370" s="1107"/>
      <c r="Q370" s="1107"/>
      <c r="R370" s="1107"/>
      <c r="S370" s="1107"/>
      <c r="T370" s="2008"/>
      <c r="U370" s="1154">
        <v>7</v>
      </c>
      <c r="V370" s="1144" t="s">
        <v>1872</v>
      </c>
      <c r="W370" s="1144" t="s">
        <v>1426</v>
      </c>
      <c r="X370" s="1144" t="str">
        <f>'Required Info to Submit'!E29</f>
        <v/>
      </c>
      <c r="Y370" s="1414" t="str">
        <f>IF(X370="","",'Required Info to Submit'!K29)</f>
        <v/>
      </c>
      <c r="Z370" s="1415" t="str">
        <f>IF(X370="","",'Required Info to Submit'!L29)</f>
        <v/>
      </c>
      <c r="AA370" s="1144" t="str">
        <f>'Required Info to Submit'!F29</f>
        <v/>
      </c>
      <c r="AB370" s="1144" t="str">
        <f>'Required Info to Submit'!G29</f>
        <v/>
      </c>
      <c r="AC370" s="1144" t="str">
        <f>'Required Info to Submit'!H29</f>
        <v/>
      </c>
      <c r="AD370" s="1144" t="str">
        <f>'Required Info to Submit'!I29</f>
        <v/>
      </c>
      <c r="AE370" s="1144" t="str">
        <f>'Required Info to Submit'!J29</f>
        <v/>
      </c>
      <c r="AF370" s="1107"/>
      <c r="AG370" s="1107"/>
      <c r="AH370" s="1107"/>
      <c r="AI370" s="1107"/>
      <c r="AJ370" s="1107"/>
      <c r="AK370" s="1107"/>
      <c r="AL370" s="1107"/>
      <c r="AM370" s="1107"/>
      <c r="AN370" s="1107"/>
      <c r="AO370" s="1107"/>
      <c r="AP370" s="1107"/>
      <c r="AQ370" s="1107"/>
      <c r="AR370" s="1107"/>
      <c r="AS370" s="1107"/>
      <c r="AT370" s="1107"/>
      <c r="AU370" s="1107"/>
      <c r="AV370" s="1107"/>
      <c r="AW370" s="1107"/>
      <c r="AX370" s="1107"/>
      <c r="AY370" s="1107"/>
      <c r="AZ370" s="1107"/>
      <c r="BA370" s="1107"/>
      <c r="BB370" s="1107"/>
      <c r="BC370" s="1107"/>
      <c r="BD370" s="1107"/>
      <c r="BE370" s="1107"/>
      <c r="BF370" s="1107"/>
      <c r="BG370" s="1107"/>
      <c r="BH370" s="1107"/>
      <c r="BI370" s="1107"/>
      <c r="BJ370" s="1107"/>
      <c r="BK370" s="1107"/>
      <c r="BL370" s="1107"/>
      <c r="BM370" s="1107"/>
      <c r="BN370" s="1107"/>
      <c r="BO370" s="1107"/>
      <c r="BP370" s="1107"/>
      <c r="BQ370" s="1107"/>
      <c r="BR370" s="1107"/>
      <c r="BS370" s="1107"/>
      <c r="BT370" s="1107"/>
      <c r="BU370" s="1107"/>
      <c r="BV370" s="1107"/>
      <c r="BW370" s="1107"/>
      <c r="BX370" s="1107"/>
      <c r="BY370" s="1107"/>
      <c r="BZ370" s="1107"/>
      <c r="CA370" s="1107"/>
      <c r="CB370" s="1107"/>
      <c r="CC370" s="1107"/>
      <c r="CD370" s="1107"/>
      <c r="CE370" s="1107"/>
      <c r="CF370" s="1107"/>
      <c r="CG370" s="1107"/>
      <c r="CH370" s="1107"/>
    </row>
    <row r="371" spans="1:89" x14ac:dyDescent="0.25">
      <c r="A371" s="1107"/>
      <c r="B371" s="2008"/>
      <c r="C371" s="1154">
        <v>8</v>
      </c>
      <c r="D371" s="1144" t="s">
        <v>1872</v>
      </c>
      <c r="E371" s="1144" t="s">
        <v>1426</v>
      </c>
      <c r="F371" s="1144" t="str">
        <f>'Required Info to Submit'!E30</f>
        <v/>
      </c>
      <c r="G371" s="1414" t="str">
        <f>IF(F371="","",'Required Info to Submit'!K30)</f>
        <v/>
      </c>
      <c r="H371" s="1415" t="str">
        <f>IF(F371="","",'Required Info to Submit'!L30)</f>
        <v/>
      </c>
      <c r="I371" s="1144" t="str">
        <f>'Required Info to Submit'!F30</f>
        <v/>
      </c>
      <c r="J371" s="1144" t="str">
        <f>'Required Info to Submit'!G30</f>
        <v/>
      </c>
      <c r="K371" s="1144" t="str">
        <f>'Required Info to Submit'!H30</f>
        <v/>
      </c>
      <c r="L371" s="1144" t="str">
        <f>'Required Info to Submit'!I30</f>
        <v/>
      </c>
      <c r="M371" s="1144" t="str">
        <f>'Required Info to Submit'!J30</f>
        <v/>
      </c>
      <c r="N371" s="1107"/>
      <c r="O371" s="1107"/>
      <c r="P371" s="1107"/>
      <c r="Q371" s="1107"/>
      <c r="R371" s="1107"/>
      <c r="S371" s="1107"/>
      <c r="T371" s="2008"/>
      <c r="U371" s="1154">
        <v>8</v>
      </c>
      <c r="V371" s="1144" t="s">
        <v>1872</v>
      </c>
      <c r="W371" s="1144" t="s">
        <v>1426</v>
      </c>
      <c r="X371" s="1144" t="str">
        <f>'Required Info to Submit'!E30</f>
        <v/>
      </c>
      <c r="Y371" s="1414" t="str">
        <f>IF(X371="","",'Required Info to Submit'!K30)</f>
        <v/>
      </c>
      <c r="Z371" s="1415" t="str">
        <f>IF(X371="","",'Required Info to Submit'!L30)</f>
        <v/>
      </c>
      <c r="AA371" s="1144" t="str">
        <f>'Required Info to Submit'!F30</f>
        <v/>
      </c>
      <c r="AB371" s="1144" t="str">
        <f>'Required Info to Submit'!G30</f>
        <v/>
      </c>
      <c r="AC371" s="1144" t="str">
        <f>'Required Info to Submit'!H30</f>
        <v/>
      </c>
      <c r="AD371" s="1144" t="str">
        <f>'Required Info to Submit'!I30</f>
        <v/>
      </c>
      <c r="AE371" s="1144" t="str">
        <f>'Required Info to Submit'!J30</f>
        <v/>
      </c>
      <c r="AF371" s="1107"/>
      <c r="AG371" s="1107"/>
      <c r="AH371" s="1107"/>
      <c r="AI371" s="1107"/>
      <c r="AJ371" s="1107"/>
      <c r="AK371" s="1107"/>
      <c r="AL371" s="1107"/>
      <c r="AM371" s="1107"/>
      <c r="AN371" s="1107"/>
      <c r="AO371" s="1107"/>
      <c r="AP371" s="1107"/>
      <c r="AQ371" s="1107"/>
      <c r="AR371" s="1107"/>
      <c r="AS371" s="1107"/>
      <c r="AT371" s="1107"/>
      <c r="AU371" s="1107"/>
      <c r="AV371" s="1107"/>
      <c r="AW371" s="1107"/>
      <c r="AX371" s="1107"/>
      <c r="AY371" s="1107"/>
      <c r="AZ371" s="1107"/>
      <c r="BA371" s="1107"/>
      <c r="BB371" s="1107"/>
      <c r="BC371" s="1107"/>
      <c r="BD371" s="1107"/>
      <c r="BE371" s="1107"/>
      <c r="BF371" s="1107"/>
      <c r="BG371" s="1107"/>
      <c r="BH371" s="1107"/>
      <c r="BI371" s="1107"/>
      <c r="BJ371" s="1107"/>
      <c r="BK371" s="1107"/>
      <c r="BL371" s="1107"/>
      <c r="BM371" s="1107"/>
      <c r="BN371" s="1107"/>
      <c r="BO371" s="1107"/>
      <c r="BP371" s="1107"/>
      <c r="BQ371" s="1107"/>
      <c r="BR371" s="1107"/>
      <c r="BS371" s="1107"/>
      <c r="BT371" s="1107"/>
      <c r="BU371" s="1107"/>
      <c r="BV371" s="1107"/>
      <c r="BW371" s="1107"/>
      <c r="BX371" s="1107"/>
      <c r="BY371" s="1107"/>
      <c r="BZ371" s="1107"/>
      <c r="CA371" s="1107"/>
      <c r="CB371" s="1107"/>
      <c r="CC371" s="1107"/>
      <c r="CD371" s="1107"/>
      <c r="CE371" s="1107"/>
      <c r="CF371" s="1107"/>
      <c r="CG371" s="1107"/>
      <c r="CH371" s="1107"/>
    </row>
    <row r="372" spans="1:89" x14ac:dyDescent="0.25">
      <c r="A372" s="1107"/>
      <c r="B372" s="2008"/>
      <c r="C372" s="1154">
        <v>9</v>
      </c>
      <c r="D372" s="1144" t="s">
        <v>1872</v>
      </c>
      <c r="E372" s="1144" t="s">
        <v>1426</v>
      </c>
      <c r="F372" s="1144" t="str">
        <f>'Required Info to Submit'!E31</f>
        <v/>
      </c>
      <c r="G372" s="1414" t="str">
        <f>IF(F372="","",'Required Info to Submit'!K31)</f>
        <v/>
      </c>
      <c r="H372" s="1415" t="str">
        <f>IF(F372="","",'Required Info to Submit'!L31)</f>
        <v/>
      </c>
      <c r="I372" s="1144" t="str">
        <f>'Required Info to Submit'!F31</f>
        <v/>
      </c>
      <c r="J372" s="1144" t="str">
        <f>'Required Info to Submit'!G31</f>
        <v/>
      </c>
      <c r="K372" s="1144" t="str">
        <f>'Required Info to Submit'!H31</f>
        <v/>
      </c>
      <c r="L372" s="1144" t="str">
        <f>'Required Info to Submit'!I31</f>
        <v/>
      </c>
      <c r="M372" s="1144" t="str">
        <f>'Required Info to Submit'!J31</f>
        <v/>
      </c>
      <c r="N372" s="1107"/>
      <c r="O372" s="1107"/>
      <c r="P372" s="1107"/>
      <c r="Q372" s="1107"/>
      <c r="R372" s="1107"/>
      <c r="S372" s="1107"/>
      <c r="T372" s="2008"/>
      <c r="U372" s="1154">
        <v>9</v>
      </c>
      <c r="V372" s="1144" t="s">
        <v>1872</v>
      </c>
      <c r="W372" s="1144" t="s">
        <v>1426</v>
      </c>
      <c r="X372" s="1144" t="str">
        <f>'Required Info to Submit'!E31</f>
        <v/>
      </c>
      <c r="Y372" s="1414" t="str">
        <f>IF(X372="","",'Required Info to Submit'!K31)</f>
        <v/>
      </c>
      <c r="Z372" s="1415" t="str">
        <f>IF(X372="","",'Required Info to Submit'!L31)</f>
        <v/>
      </c>
      <c r="AA372" s="1144" t="str">
        <f>'Required Info to Submit'!F31</f>
        <v/>
      </c>
      <c r="AB372" s="1144" t="str">
        <f>'Required Info to Submit'!G31</f>
        <v/>
      </c>
      <c r="AC372" s="1144" t="str">
        <f>'Required Info to Submit'!H31</f>
        <v/>
      </c>
      <c r="AD372" s="1144" t="str">
        <f>'Required Info to Submit'!I31</f>
        <v/>
      </c>
      <c r="AE372" s="1144" t="str">
        <f>'Required Info to Submit'!J31</f>
        <v/>
      </c>
      <c r="AF372" s="1107"/>
      <c r="AG372" s="1107"/>
      <c r="AH372" s="1107"/>
      <c r="AI372" s="1107"/>
      <c r="AJ372" s="1107"/>
      <c r="AK372" s="1107"/>
      <c r="AL372" s="1107"/>
      <c r="AM372" s="1107"/>
      <c r="AN372" s="1107"/>
      <c r="AO372" s="1107"/>
      <c r="AP372" s="1107"/>
      <c r="AQ372" s="1107"/>
      <c r="AR372" s="1107"/>
      <c r="AS372" s="1107"/>
      <c r="AT372" s="1107"/>
      <c r="AU372" s="1107"/>
      <c r="AV372" s="1107"/>
      <c r="AW372" s="1107"/>
      <c r="AX372" s="1107"/>
      <c r="AY372" s="1107"/>
      <c r="AZ372" s="1107"/>
      <c r="BA372" s="1107"/>
      <c r="BB372" s="1107"/>
      <c r="BC372" s="1107"/>
      <c r="BD372" s="1107"/>
      <c r="BE372" s="1107"/>
      <c r="BF372" s="1107"/>
      <c r="BG372" s="1107"/>
      <c r="BH372" s="1107"/>
      <c r="BI372" s="1107"/>
      <c r="BJ372" s="1107"/>
      <c r="BK372" s="1107"/>
      <c r="BL372" s="1107"/>
      <c r="BM372" s="1107"/>
      <c r="BN372" s="1107"/>
      <c r="BO372" s="1107"/>
      <c r="BP372" s="1107"/>
      <c r="BQ372" s="1107"/>
      <c r="BR372" s="1107"/>
      <c r="BS372" s="1107"/>
      <c r="BT372" s="1107"/>
      <c r="BU372" s="1107"/>
      <c r="BV372" s="1107"/>
      <c r="BW372" s="1107"/>
      <c r="BX372" s="1107"/>
      <c r="BY372" s="1107"/>
      <c r="BZ372" s="1107"/>
      <c r="CA372" s="1107"/>
      <c r="CB372" s="1107"/>
      <c r="CC372" s="1107"/>
      <c r="CD372" s="1107"/>
      <c r="CE372" s="1107"/>
      <c r="CF372" s="1107"/>
      <c r="CG372" s="1107"/>
      <c r="CH372" s="1107"/>
    </row>
    <row r="373" spans="1:89" ht="15.75" thickBot="1" x14ac:dyDescent="0.3">
      <c r="A373" s="1107"/>
      <c r="B373" s="2009"/>
      <c r="C373" s="1156">
        <v>10</v>
      </c>
      <c r="D373" s="1146" t="s">
        <v>1872</v>
      </c>
      <c r="E373" s="1146" t="s">
        <v>1426</v>
      </c>
      <c r="F373" s="1146" t="str">
        <f>'Required Info to Submit'!E32</f>
        <v/>
      </c>
      <c r="G373" s="1416" t="str">
        <f>IF(F373="","",'Required Info to Submit'!K32)</f>
        <v/>
      </c>
      <c r="H373" s="1416" t="str">
        <f>IF(F373="","",'Required Info to Submit'!L32)</f>
        <v/>
      </c>
      <c r="I373" s="1146" t="str">
        <f>'Required Info to Submit'!F32</f>
        <v/>
      </c>
      <c r="J373" s="1146" t="str">
        <f>'Required Info to Submit'!G32</f>
        <v/>
      </c>
      <c r="K373" s="1146" t="str">
        <f>'Required Info to Submit'!H32</f>
        <v/>
      </c>
      <c r="L373" s="1146" t="str">
        <f>'Required Info to Submit'!I32</f>
        <v/>
      </c>
      <c r="M373" s="1146" t="str">
        <f>'Required Info to Submit'!J32</f>
        <v/>
      </c>
      <c r="N373" s="1107"/>
      <c r="O373" s="1107"/>
      <c r="P373" s="1107"/>
      <c r="Q373" s="1107"/>
      <c r="R373" s="1107"/>
      <c r="S373" s="1107"/>
      <c r="T373" s="2009"/>
      <c r="U373" s="1156">
        <v>10</v>
      </c>
      <c r="V373" s="1146" t="s">
        <v>1872</v>
      </c>
      <c r="W373" s="1146" t="s">
        <v>1426</v>
      </c>
      <c r="X373" s="1146" t="str">
        <f>'Required Info to Submit'!E32</f>
        <v/>
      </c>
      <c r="Y373" s="1416" t="str">
        <f>IF(X373="","",'Required Info to Submit'!K32)</f>
        <v/>
      </c>
      <c r="Z373" s="1416" t="str">
        <f>IF(X373="","",'Required Info to Submit'!L32)</f>
        <v/>
      </c>
      <c r="AA373" s="1146" t="str">
        <f>'Required Info to Submit'!F32</f>
        <v/>
      </c>
      <c r="AB373" s="1146" t="str">
        <f>'Required Info to Submit'!G32</f>
        <v/>
      </c>
      <c r="AC373" s="1146" t="str">
        <f>'Required Info to Submit'!H32</f>
        <v/>
      </c>
      <c r="AD373" s="1146" t="str">
        <f>'Required Info to Submit'!I32</f>
        <v/>
      </c>
      <c r="AE373" s="1146" t="str">
        <f>'Required Info to Submit'!J32</f>
        <v/>
      </c>
      <c r="AF373" s="1107"/>
      <c r="AG373" s="1107"/>
      <c r="AH373" s="1107"/>
      <c r="AI373" s="1107"/>
      <c r="AJ373" s="1107"/>
      <c r="AK373" s="1107"/>
      <c r="AL373" s="1107"/>
      <c r="AM373" s="1107"/>
      <c r="AN373" s="1107"/>
      <c r="AO373" s="1107"/>
      <c r="AP373" s="1107"/>
      <c r="AQ373" s="1107"/>
      <c r="AR373" s="1107"/>
      <c r="AS373" s="1107"/>
      <c r="AT373" s="1107"/>
      <c r="AU373" s="1107"/>
      <c r="AV373" s="1107"/>
      <c r="AW373" s="1107"/>
      <c r="AX373" s="1107"/>
      <c r="AY373" s="1107"/>
      <c r="AZ373" s="1107"/>
      <c r="BA373" s="1107"/>
      <c r="BB373" s="1107"/>
      <c r="BC373" s="1107"/>
      <c r="BD373" s="1107"/>
      <c r="BE373" s="1107"/>
      <c r="BF373" s="1107"/>
      <c r="BG373" s="1107"/>
      <c r="BH373" s="1107"/>
      <c r="BI373" s="1107"/>
      <c r="BJ373" s="1107"/>
      <c r="BK373" s="1107"/>
      <c r="BL373" s="1107"/>
      <c r="BM373" s="1107"/>
      <c r="BN373" s="1107"/>
      <c r="BO373" s="1107"/>
      <c r="BP373" s="1107"/>
      <c r="BQ373" s="1107"/>
      <c r="BR373" s="1107"/>
      <c r="BS373" s="1107"/>
      <c r="BT373" s="1107"/>
      <c r="BU373" s="1107"/>
      <c r="BV373" s="1107"/>
      <c r="BW373" s="1107"/>
      <c r="BX373" s="1107"/>
      <c r="BY373" s="1107"/>
      <c r="BZ373" s="1107"/>
      <c r="CA373" s="1107"/>
      <c r="CB373" s="1107"/>
      <c r="CC373" s="1107"/>
      <c r="CD373" s="1107"/>
      <c r="CE373" s="1107"/>
      <c r="CF373" s="1107"/>
      <c r="CG373" s="1107"/>
      <c r="CH373" s="1107"/>
    </row>
    <row r="374" spans="1:89" x14ac:dyDescent="0.25">
      <c r="A374" s="1107"/>
      <c r="B374" s="1107"/>
      <c r="C374" s="1107"/>
      <c r="D374" s="1107"/>
      <c r="E374" s="1107"/>
      <c r="F374" s="1107"/>
      <c r="G374" s="1107"/>
      <c r="H374" s="1107"/>
      <c r="I374" s="1107"/>
      <c r="J374" s="1107"/>
      <c r="K374" s="1107"/>
      <c r="L374" s="1107"/>
      <c r="M374" s="1107"/>
      <c r="N374" s="1107"/>
      <c r="O374" s="1107"/>
      <c r="P374" s="1107"/>
      <c r="Q374" s="1107"/>
      <c r="R374" s="1107"/>
      <c r="S374" s="1107"/>
      <c r="T374" s="1107"/>
      <c r="U374" s="1107"/>
      <c r="V374" s="1107"/>
      <c r="W374" s="1107"/>
      <c r="X374" s="1107"/>
      <c r="Y374" s="1107"/>
      <c r="Z374" s="1107"/>
      <c r="AA374" s="1107"/>
      <c r="AB374" s="1107"/>
      <c r="AC374" s="1107"/>
      <c r="AD374" s="1107"/>
      <c r="AE374" s="1107"/>
      <c r="AF374" s="1107"/>
      <c r="AG374" s="1107"/>
      <c r="AH374" s="1107"/>
      <c r="AI374" s="1107"/>
      <c r="AJ374" s="1107"/>
      <c r="AK374" s="1107"/>
      <c r="AL374" s="1107"/>
      <c r="AM374" s="1107"/>
      <c r="AN374" s="1107"/>
      <c r="AO374" s="1107"/>
      <c r="AP374" s="1107"/>
      <c r="AQ374" s="1107"/>
      <c r="AR374" s="1107"/>
      <c r="AS374" s="1107"/>
      <c r="AT374" s="1107"/>
      <c r="AU374" s="1107"/>
      <c r="AV374" s="1107"/>
      <c r="AW374" s="1107"/>
      <c r="AX374" s="1107"/>
      <c r="AY374" s="1107"/>
      <c r="AZ374" s="1107"/>
      <c r="BA374" s="1107"/>
      <c r="BB374" s="1107"/>
      <c r="BC374" s="1107"/>
      <c r="BD374" s="1107"/>
      <c r="BE374" s="1107"/>
      <c r="BF374" s="1107"/>
      <c r="BG374" s="1107"/>
      <c r="BH374" s="1107"/>
      <c r="BI374" s="1107"/>
      <c r="BJ374" s="1107"/>
      <c r="BK374" s="1107"/>
      <c r="BL374" s="1107"/>
      <c r="BM374" s="1107"/>
      <c r="BN374" s="1107"/>
      <c r="BO374" s="1107"/>
      <c r="BP374" s="1107"/>
      <c r="BQ374" s="1107"/>
      <c r="BR374" s="1107"/>
      <c r="BS374" s="1107"/>
      <c r="BT374" s="1107"/>
      <c r="BU374" s="1107"/>
      <c r="BV374" s="1107"/>
      <c r="BW374" s="1107"/>
      <c r="BX374" s="1107"/>
      <c r="BY374" s="1107"/>
      <c r="BZ374" s="1107"/>
      <c r="CA374" s="1107"/>
      <c r="CB374" s="1107"/>
      <c r="CC374" s="1107"/>
      <c r="CD374" s="1107"/>
      <c r="CE374" s="1107"/>
      <c r="CF374" s="1107"/>
      <c r="CG374" s="1107"/>
      <c r="CH374" s="1107"/>
      <c r="CI374" s="1107"/>
      <c r="CJ374" s="1107"/>
      <c r="CK374" s="1107"/>
    </row>
    <row r="375" spans="1:89" ht="15.75" thickBot="1" x14ac:dyDescent="0.3">
      <c r="A375" s="1107"/>
      <c r="B375" s="1107"/>
      <c r="C375" s="1107"/>
      <c r="D375" s="1107"/>
      <c r="E375" s="1107"/>
      <c r="F375" s="1107"/>
      <c r="G375" s="1107"/>
      <c r="H375" s="1107"/>
      <c r="I375" s="1107"/>
      <c r="J375" s="1107"/>
      <c r="K375" s="1107"/>
      <c r="L375" s="1107"/>
      <c r="M375" s="1107"/>
      <c r="N375" s="1107"/>
      <c r="O375" s="1107"/>
      <c r="P375" s="1107"/>
      <c r="Q375" s="1107"/>
      <c r="R375" s="1107"/>
      <c r="S375" s="1107"/>
      <c r="T375" s="1107"/>
      <c r="U375" s="1107"/>
      <c r="V375" s="1107"/>
      <c r="W375" s="1107"/>
      <c r="X375" s="1107"/>
      <c r="Y375" s="1107"/>
      <c r="Z375" s="1107"/>
      <c r="AA375" s="1107"/>
      <c r="AB375" s="1107"/>
      <c r="AC375" s="1107"/>
      <c r="AD375" s="1107"/>
      <c r="AE375" s="1107"/>
      <c r="AF375" s="1107"/>
      <c r="AG375" s="1107"/>
      <c r="AH375" s="1107"/>
      <c r="AI375" s="1107"/>
      <c r="AJ375" s="1107"/>
      <c r="AK375" s="1107"/>
      <c r="AL375" s="1107"/>
      <c r="AM375" s="1107"/>
      <c r="AN375" s="1107"/>
      <c r="AO375" s="1107"/>
      <c r="AP375" s="1107"/>
      <c r="AQ375" s="1107"/>
      <c r="AR375" s="1107"/>
      <c r="AS375" s="1107"/>
      <c r="AT375" s="1107"/>
      <c r="AU375" s="1107"/>
      <c r="AV375" s="1107"/>
      <c r="AW375" s="1107"/>
      <c r="AX375" s="1107"/>
      <c r="AY375" s="1107"/>
      <c r="AZ375" s="1107"/>
      <c r="BA375" s="1107"/>
      <c r="BB375" s="1107"/>
      <c r="BC375" s="1107"/>
      <c r="BD375" s="1107"/>
      <c r="BE375" s="1107"/>
      <c r="BF375" s="1107"/>
      <c r="BG375" s="1107"/>
      <c r="BH375" s="1107"/>
      <c r="BI375" s="1107"/>
      <c r="BJ375" s="1107"/>
      <c r="BK375" s="1107"/>
      <c r="BL375" s="1107"/>
      <c r="BM375" s="1107"/>
      <c r="BN375" s="1107"/>
      <c r="BO375" s="1107"/>
      <c r="BP375" s="1107"/>
      <c r="BQ375" s="1107"/>
      <c r="BR375" s="1107"/>
      <c r="BS375" s="1107"/>
      <c r="BT375" s="1107"/>
      <c r="BU375" s="1107"/>
      <c r="BV375" s="1107"/>
      <c r="BW375" s="1107"/>
      <c r="BX375" s="1107"/>
      <c r="BY375" s="1107"/>
      <c r="BZ375" s="1107"/>
      <c r="CA375" s="1107"/>
      <c r="CB375" s="1107"/>
      <c r="CC375" s="1107"/>
      <c r="CD375" s="1107"/>
      <c r="CE375" s="1107"/>
      <c r="CF375" s="1107"/>
      <c r="CG375" s="1107"/>
      <c r="CH375" s="1107"/>
      <c r="CI375" s="1107"/>
      <c r="CJ375" s="1107"/>
      <c r="CK375" s="1107"/>
    </row>
    <row r="376" spans="1:89" ht="60.75" customHeight="1" thickBot="1" x14ac:dyDescent="0.3">
      <c r="A376" s="1107"/>
      <c r="B376" s="1303"/>
      <c r="C376" s="1100" t="s">
        <v>1383</v>
      </c>
      <c r="D376" s="1100" t="s">
        <v>1491</v>
      </c>
      <c r="E376" s="1100" t="s">
        <v>765</v>
      </c>
      <c r="F376" s="1100" t="s">
        <v>1179</v>
      </c>
      <c r="G376" s="1101" t="s">
        <v>1911</v>
      </c>
      <c r="H376" s="1101" t="s">
        <v>1381</v>
      </c>
      <c r="I376" s="1101" t="s">
        <v>1397</v>
      </c>
      <c r="J376" s="1100" t="s">
        <v>1382</v>
      </c>
      <c r="K376" s="1101" t="s">
        <v>1912</v>
      </c>
      <c r="L376" s="1100" t="s">
        <v>1850</v>
      </c>
      <c r="M376" s="1100" t="s">
        <v>1851</v>
      </c>
      <c r="N376" s="1101" t="s">
        <v>1495</v>
      </c>
      <c r="O376" s="1107"/>
      <c r="P376" s="1107"/>
      <c r="Q376" s="1107"/>
      <c r="R376" s="1107"/>
      <c r="S376" s="1107"/>
      <c r="T376" s="1303"/>
      <c r="U376" s="1100" t="s">
        <v>1383</v>
      </c>
      <c r="V376" s="1100" t="s">
        <v>1491</v>
      </c>
      <c r="W376" s="1100" t="s">
        <v>765</v>
      </c>
      <c r="X376" s="1100" t="s">
        <v>1179</v>
      </c>
      <c r="Y376" s="1101" t="s">
        <v>1911</v>
      </c>
      <c r="Z376" s="1101" t="s">
        <v>1381</v>
      </c>
      <c r="AA376" s="1101" t="s">
        <v>1397</v>
      </c>
      <c r="AB376" s="1100" t="s">
        <v>1382</v>
      </c>
      <c r="AC376" s="1101" t="s">
        <v>1912</v>
      </c>
      <c r="AD376" s="1100" t="s">
        <v>1850</v>
      </c>
      <c r="AE376" s="1100" t="s">
        <v>1851</v>
      </c>
      <c r="AF376" s="1101" t="s">
        <v>1495</v>
      </c>
      <c r="AG376" s="1107"/>
      <c r="AH376" s="1107"/>
      <c r="AI376" s="1107"/>
      <c r="AJ376" s="1107"/>
      <c r="AK376" s="1107"/>
      <c r="AL376" s="1107"/>
      <c r="AM376" s="1107"/>
      <c r="AN376" s="1107"/>
      <c r="AO376" s="1107"/>
      <c r="AP376" s="1107"/>
      <c r="AQ376" s="1107"/>
      <c r="AR376" s="1107"/>
      <c r="AS376" s="1107"/>
      <c r="AT376" s="1107"/>
      <c r="AU376" s="1107"/>
      <c r="AV376" s="1107"/>
      <c r="AW376" s="1107"/>
      <c r="AX376" s="1107"/>
      <c r="AY376" s="1107"/>
      <c r="AZ376" s="1107"/>
      <c r="BA376" s="1107"/>
      <c r="BB376" s="1107"/>
      <c r="BC376" s="1107"/>
      <c r="BD376" s="1107"/>
      <c r="BE376" s="1107"/>
      <c r="BF376" s="1107"/>
      <c r="BG376" s="1107"/>
      <c r="BH376" s="1107"/>
      <c r="BI376" s="1107"/>
      <c r="BJ376" s="1107"/>
      <c r="BK376" s="1107"/>
      <c r="BL376" s="1107"/>
      <c r="BM376" s="1107"/>
      <c r="BN376" s="1107"/>
      <c r="BO376" s="1107"/>
      <c r="BP376" s="1107"/>
      <c r="BQ376" s="1107"/>
      <c r="BR376" s="1107"/>
      <c r="BS376" s="1107"/>
      <c r="BT376" s="1107"/>
      <c r="BU376" s="1107"/>
      <c r="BV376" s="1107"/>
      <c r="BW376" s="1107"/>
      <c r="BX376" s="1107"/>
      <c r="BY376" s="1107"/>
      <c r="BZ376" s="1107"/>
      <c r="CA376" s="1107"/>
      <c r="CB376" s="1107"/>
      <c r="CC376" s="1107"/>
      <c r="CD376" s="1107"/>
      <c r="CE376" s="1107"/>
      <c r="CF376" s="1107"/>
      <c r="CG376" s="1107"/>
      <c r="CH376" s="1107"/>
      <c r="CI376" s="1107"/>
      <c r="CJ376" s="1107"/>
      <c r="CK376" s="1107"/>
    </row>
    <row r="377" spans="1:89" ht="30.75" thickBot="1" x14ac:dyDescent="0.3">
      <c r="A377" s="1107"/>
      <c r="B377" s="1241" t="s">
        <v>1913</v>
      </c>
      <c r="C377" s="1133" t="s">
        <v>1617</v>
      </c>
      <c r="D377" s="1112">
        <v>5601</v>
      </c>
      <c r="E377" s="1252" t="str" cm="1">
        <f t="array" aca="1" ref="E377" ca="1">INDIRECT("'Incentives Worksheet'!D"&amp;'Configurable Tab'!H33+6)</f>
        <v/>
      </c>
      <c r="F377" s="1253" t="str" cm="1">
        <f t="array" aca="1" ref="F377" ca="1">INDIRECT("'Incentives Worksheet'!D"&amp;'Configurable Tab'!H33+8)</f>
        <v/>
      </c>
      <c r="G377" s="1230" t="str" cm="1">
        <f t="array" aca="1" ref="G377" ca="1">IF(ISBLANK(INDIRECT("'Incentives Worksheet'!H"&amp;'Configurable Tab'!H33+6)),"",INDIRECT("'Incentives Worksheet'!H"&amp;'Configurable Tab'!H33+6))</f>
        <v/>
      </c>
      <c r="H377" s="1104" t="str" cm="1">
        <f t="array" aca="1" ref="H377" ca="1">IF(ISBLANK(INDIRECT("'Incentives Worksheet'!J"&amp;'Configurable Tab'!H33+3)),"",INDIRECT("'Incentives Worksheet'!J"&amp;'Configurable Tab'!H33+3))</f>
        <v/>
      </c>
      <c r="I377" s="1104" t="str" cm="1">
        <f t="array" aca="1" ref="I377" ca="1">IF(ISBLANK(INDIRECT("'Incentives Worksheet'!L"&amp;'Configurable Tab'!H33+3)),"",INDIRECT("'Incentives Worksheet'!L"&amp;'Configurable Tab'!H33+3))</f>
        <v/>
      </c>
      <c r="J377" s="1104" t="str" cm="1">
        <f t="array" aca="1" ref="J377" ca="1">IF(ISBLANK(INDIRECT("'Incentives Worksheet'!N"&amp;'Configurable Tab'!H33+3)),"",INDIRECT("'Incentives Worksheet'!N"&amp;'Configurable Tab'!H33+3))</f>
        <v/>
      </c>
      <c r="K377" s="1254" cm="1">
        <f t="array" aca="1" ref="K377" ca="1">IF(INDIRECT("'Incentives Worksheet'!H"&amp;'Configurable Tab'!H33+12)=0,"",INDIRECT("'Incentives Worksheet'!H"&amp;'Configurable Tab'!H33+12))</f>
        <v>1</v>
      </c>
      <c r="L377" s="1104" t="str" cm="1">
        <f t="array" aca="1" ref="L377" ca="1">IF(ISBLANK(INDIRECT("'Incentives Worksheet'!H"&amp;'Configurable Tab'!H33+3)),"",INDIRECT("'Incentives Worksheet'!H"&amp;'Configurable Tab'!H33+3))</f>
        <v/>
      </c>
      <c r="M377" s="1104" t="str" cm="1">
        <f t="array" aca="1" ref="M377" ca="1">IF(INDIRECT("'Incentives Worksheet'!R"&amp;'Configurable Tab'!H33+3)="USF Calendar","Fiscal",INDIRECT("'Incentives Worksheet'!R"&amp;'Configurable Tab'!H33+3))</f>
        <v>Calendar</v>
      </c>
      <c r="N377" s="1104" t="str" cm="1">
        <f t="array" aca="1" ref="N377" ca="1">INDIRECT("'Incentives Worksheet'!D"&amp;'Configurable Tab'!H33+10)</f>
        <v>Yes</v>
      </c>
      <c r="O377" s="1107"/>
      <c r="P377" s="1107"/>
      <c r="Q377" s="1107"/>
      <c r="R377" s="1107"/>
      <c r="S377" s="1107"/>
      <c r="T377" s="1241" t="s">
        <v>1913</v>
      </c>
      <c r="U377" s="1133" t="s">
        <v>1617</v>
      </c>
      <c r="V377" s="1112">
        <v>5602</v>
      </c>
      <c r="W377" s="1252" t="str" cm="1">
        <f t="array" aca="1" ref="W377" ca="1">INDIRECT("'Incentives Worksheet'!D"&amp;'Configurable Tab'!H34+6)</f>
        <v/>
      </c>
      <c r="X377" s="1253" t="str" cm="1">
        <f t="array" aca="1" ref="X377" ca="1">INDIRECT("'Incentives Worksheet'!D"&amp;'Configurable Tab'!H34+8)</f>
        <v/>
      </c>
      <c r="Y377" s="1230" t="str" cm="1">
        <f t="array" aca="1" ref="Y377" ca="1">IF(ISBLANK(INDIRECT("'Incentives Worksheet'!H"&amp;'Configurable Tab'!H34+6)),"",INDIRECT("'Incentives Worksheet'!H"&amp;'Configurable Tab'!H34+6))</f>
        <v/>
      </c>
      <c r="Z377" s="1104" t="str" cm="1">
        <f t="array" aca="1" ref="Z377" ca="1">IF(ISBLANK(INDIRECT("'Incentives Worksheet'!J"&amp;'Configurable Tab'!H34+3)),"",INDIRECT("'Incentives Worksheet'!J"&amp;'Configurable Tab'!H34+3))</f>
        <v/>
      </c>
      <c r="AA377" s="1104" t="str" cm="1">
        <f t="array" aca="1" ref="AA377" ca="1">IF(ISBLANK(INDIRECT("'Incentives Worksheet'!L"&amp;'Configurable Tab'!H34+3)),"",INDIRECT("'Incentives Worksheet'!L"&amp;'Configurable Tab'!H34+3))</f>
        <v/>
      </c>
      <c r="AB377" s="1104" t="str" cm="1">
        <f t="array" aca="1" ref="AB377" ca="1">IF(ISBLANK(INDIRECT("'Incentives Worksheet'!N"&amp;'Configurable Tab'!H34+3)),"",INDIRECT("'Incentives Worksheet'!N"&amp;'Configurable Tab'!H34+3))</f>
        <v/>
      </c>
      <c r="AC377" s="1104" t="str" cm="1">
        <f t="array" aca="1" ref="AC377" ca="1">IF(INDIRECT("'Incentives Worksheet'!H"&amp;'Configurable Tab'!H34+12)=0,"",INDIRECT("'Incentives Worksheet'!H"&amp;'Configurable Tab'!H34+12))</f>
        <v/>
      </c>
      <c r="AD377" s="1104" t="str" cm="1">
        <f t="array" aca="1" ref="AD377" ca="1">IF(ISBLANK(INDIRECT("'Incentives Worksheet'!H"&amp;'Configurable Tab'!H34+3)),"",INDIRECT("'Incentives Worksheet'!H"&amp;'Configurable Tab'!H34+3))</f>
        <v/>
      </c>
      <c r="AE377" s="1104" t="str" cm="1">
        <f t="array" aca="1" ref="AE377" ca="1">IF(INDIRECT("'Incentives Worksheet'!R"&amp;'Configurable Tab'!H34+3)="USF Calendar","Fiscal",INDIRECT("'Incentives Worksheet'!R"&amp;'Configurable Tab'!H34+3))</f>
        <v>Calendar</v>
      </c>
      <c r="AF377" s="1104" t="str" cm="1">
        <f t="array" aca="1" ref="AF377" ca="1">INDIRECT("'Incentives Worksheet'!D"&amp;'Configurable Tab'!H34+10)</f>
        <v>Yes</v>
      </c>
      <c r="AG377" s="1107"/>
      <c r="AH377" s="1107"/>
      <c r="AI377" s="1107"/>
      <c r="AJ377" s="1107"/>
      <c r="AK377" s="1107"/>
      <c r="AL377" s="1107"/>
      <c r="AM377" s="1107"/>
      <c r="AN377" s="1107"/>
      <c r="AO377" s="1107"/>
      <c r="AP377" s="1107"/>
      <c r="AQ377" s="1107"/>
      <c r="AR377" s="1107"/>
      <c r="AS377" s="1107"/>
      <c r="AT377" s="1107"/>
      <c r="AU377" s="1107"/>
      <c r="AV377" s="1107"/>
      <c r="AW377" s="1107"/>
      <c r="AX377" s="1107"/>
      <c r="AY377" s="1107"/>
      <c r="AZ377" s="1107"/>
      <c r="BA377" s="1107"/>
      <c r="BB377" s="1107"/>
      <c r="BC377" s="1107"/>
      <c r="BD377" s="1107"/>
      <c r="BE377" s="1107"/>
      <c r="BF377" s="1107"/>
      <c r="BG377" s="1107"/>
      <c r="BH377" s="1107"/>
      <c r="BI377" s="1107"/>
      <c r="BJ377" s="1107"/>
      <c r="BK377" s="1107"/>
      <c r="BL377" s="1107"/>
      <c r="BM377" s="1107"/>
      <c r="BN377" s="1107"/>
      <c r="BO377" s="1107"/>
      <c r="BP377" s="1107"/>
      <c r="BQ377" s="1107"/>
      <c r="BR377" s="1107"/>
      <c r="BS377" s="1107"/>
      <c r="BT377" s="1107"/>
      <c r="BU377" s="1107"/>
      <c r="BV377" s="1107"/>
      <c r="BW377" s="1107"/>
      <c r="BX377" s="1107"/>
      <c r="BY377" s="1107"/>
      <c r="BZ377" s="1107"/>
      <c r="CA377" s="1107"/>
      <c r="CB377" s="1107"/>
      <c r="CC377" s="1107"/>
      <c r="CD377" s="1107"/>
      <c r="CE377" s="1107"/>
      <c r="CF377" s="1107"/>
      <c r="CG377" s="1107"/>
      <c r="CH377" s="1107"/>
      <c r="CI377" s="1107"/>
      <c r="CJ377" s="1107"/>
      <c r="CK377" s="1107"/>
    </row>
    <row r="378" spans="1:89" ht="30.75" customHeight="1" thickBot="1" x14ac:dyDescent="0.3">
      <c r="A378" s="1107"/>
      <c r="B378" s="2006" t="s">
        <v>1914</v>
      </c>
      <c r="C378" s="1109" t="s">
        <v>1481</v>
      </c>
      <c r="D378" s="1109" t="s">
        <v>727</v>
      </c>
      <c r="E378" s="1109" t="s">
        <v>1482</v>
      </c>
      <c r="F378" s="1107"/>
      <c r="G378" s="1131" t="s">
        <v>1841</v>
      </c>
      <c r="H378" s="1131" t="s">
        <v>1908</v>
      </c>
      <c r="I378" s="1107"/>
      <c r="J378" s="1107"/>
      <c r="K378" s="1107"/>
      <c r="L378" s="1107"/>
      <c r="M378" s="1107"/>
      <c r="N378" s="1108"/>
      <c r="O378" s="1107"/>
      <c r="P378" s="1107"/>
      <c r="Q378" s="1107"/>
      <c r="R378" s="1107"/>
      <c r="S378" s="1107"/>
      <c r="T378" s="2006" t="s">
        <v>1914</v>
      </c>
      <c r="U378" s="1109" t="s">
        <v>1481</v>
      </c>
      <c r="V378" s="1109" t="s">
        <v>727</v>
      </c>
      <c r="W378" s="1109" t="s">
        <v>1482</v>
      </c>
      <c r="X378" s="1107"/>
      <c r="Y378" s="1131" t="s">
        <v>1841</v>
      </c>
      <c r="Z378" s="1131" t="s">
        <v>1908</v>
      </c>
      <c r="AA378" s="1107"/>
      <c r="AB378" s="1107"/>
      <c r="AC378" s="1107"/>
      <c r="AD378" s="1107"/>
      <c r="AE378" s="1107"/>
      <c r="AF378" s="1108"/>
      <c r="AG378" s="1107"/>
      <c r="AH378" s="1107"/>
      <c r="AI378" s="1107"/>
      <c r="AJ378" s="1107"/>
      <c r="AK378" s="1107"/>
      <c r="AL378" s="1107"/>
      <c r="AM378" s="1107"/>
      <c r="AN378" s="1107"/>
      <c r="AO378" s="1107"/>
      <c r="AP378" s="1107"/>
      <c r="AQ378" s="1107"/>
      <c r="AR378" s="1107"/>
      <c r="AS378" s="1107"/>
      <c r="AT378" s="1107"/>
      <c r="AU378" s="1107"/>
      <c r="AV378" s="1107"/>
      <c r="AW378" s="1107"/>
      <c r="AX378" s="1107"/>
      <c r="AY378" s="1107"/>
      <c r="AZ378" s="1107"/>
      <c r="BA378" s="1107"/>
      <c r="BB378" s="1107"/>
      <c r="BC378" s="1107"/>
      <c r="BD378" s="1107"/>
      <c r="BE378" s="1107"/>
      <c r="BF378" s="1107"/>
      <c r="BG378" s="1107"/>
      <c r="BH378" s="1107"/>
      <c r="BI378" s="1107"/>
      <c r="BJ378" s="1107"/>
      <c r="BK378" s="1107"/>
      <c r="BL378" s="1107"/>
      <c r="BM378" s="1107"/>
      <c r="BN378" s="1107"/>
      <c r="BO378" s="1107"/>
      <c r="BP378" s="1107"/>
      <c r="BQ378" s="1107"/>
      <c r="BR378" s="1107"/>
      <c r="BS378" s="1107"/>
      <c r="BT378" s="1107"/>
      <c r="BU378" s="1107"/>
      <c r="BV378" s="1107"/>
      <c r="BW378" s="1107"/>
      <c r="BX378" s="1107"/>
      <c r="BY378" s="1107"/>
      <c r="BZ378" s="1107"/>
      <c r="CA378" s="1107"/>
      <c r="CB378" s="1107"/>
      <c r="CC378" s="1107"/>
      <c r="CD378" s="1107"/>
      <c r="CE378" s="1107"/>
      <c r="CF378" s="1107"/>
      <c r="CG378" s="1107"/>
      <c r="CH378" s="1107"/>
      <c r="CI378" s="1107"/>
      <c r="CJ378" s="1107"/>
      <c r="CK378" s="1107"/>
    </row>
    <row r="379" spans="1:89" x14ac:dyDescent="0.25">
      <c r="A379" s="1107"/>
      <c r="B379" s="2007"/>
      <c r="C379" s="1255" cm="1">
        <f t="array" aca="1" ref="C379" ca="1">INDIRECT("'Incentives Worksheet'!J"&amp;'Configurable Tab'!H33+6)</f>
        <v>1</v>
      </c>
      <c r="D379" s="1256" t="str" cm="1">
        <f t="array" aca="1" ref="D379" ca="1">IF(INDIRECT("'Incentives Worksheet'!L"&amp;'Configurable Tab'!H33+6)=0,"",INDIRECT("'Incentives Worksheet'!L"&amp;'Configurable Tab'!H33+6))</f>
        <v/>
      </c>
      <c r="E379" s="1256" t="str" cm="1">
        <f t="array" aca="1" ref="E379" ca="1">IF(INDIRECT("'Incentives Worksheet'!N"&amp;'Configurable Tab'!H33+6)=0,"",INDIRECT("'Incentives Worksheet'!N"&amp;'Configurable Tab'!H33+6))</f>
        <v/>
      </c>
      <c r="F379" s="1107"/>
      <c r="G379" s="1131"/>
      <c r="H379" s="1131"/>
      <c r="I379" s="1107"/>
      <c r="J379" s="1107"/>
      <c r="K379" s="1107"/>
      <c r="L379" s="1107"/>
      <c r="M379" s="1107"/>
      <c r="N379" s="1108"/>
      <c r="O379" s="1107"/>
      <c r="P379" s="1107"/>
      <c r="Q379" s="1107"/>
      <c r="R379" s="1107"/>
      <c r="S379" s="1107"/>
      <c r="T379" s="2007"/>
      <c r="U379" s="1257" cm="1">
        <f t="array" aca="1" ref="U379" ca="1">INDIRECT("'Incentives Worksheet'!J"&amp;'Configurable Tab'!H34+6)</f>
        <v>1</v>
      </c>
      <c r="V379" s="1256" t="str" cm="1">
        <f t="array" aca="1" ref="V379" ca="1">IF(INDIRECT("'Incentives Worksheet'!L"&amp;'Configurable Tab'!H34+6)=0,"",INDIRECT("'Incentives Worksheet'!L"&amp;'Configurable Tab'!H34+6))</f>
        <v/>
      </c>
      <c r="W379" s="1256" t="str" cm="1">
        <f t="array" aca="1" ref="W379" ca="1">IF(INDIRECT("'Incentives Worksheet'!N"&amp;'Configurable Tab'!H34+6)=0,"",INDIRECT("'Incentives Worksheet'!N"&amp;'Configurable Tab'!H34+6))</f>
        <v/>
      </c>
      <c r="X379" s="1107"/>
      <c r="Y379" s="1131"/>
      <c r="Z379" s="1131"/>
      <c r="AA379" s="1107"/>
      <c r="AB379" s="1107"/>
      <c r="AC379" s="1107"/>
      <c r="AD379" s="1107"/>
      <c r="AE379" s="1107"/>
      <c r="AF379" s="1108"/>
      <c r="AG379" s="1107"/>
      <c r="AH379" s="1107"/>
      <c r="AI379" s="1107"/>
      <c r="AJ379" s="1107"/>
      <c r="AK379" s="1107"/>
      <c r="AL379" s="1107"/>
      <c r="AM379" s="1107"/>
      <c r="AN379" s="1107"/>
      <c r="AO379" s="1107"/>
      <c r="AP379" s="1107"/>
      <c r="AQ379" s="1107"/>
      <c r="AR379" s="1107"/>
      <c r="AS379" s="1107"/>
      <c r="AT379" s="1107"/>
      <c r="AU379" s="1107"/>
      <c r="AV379" s="1107"/>
      <c r="AW379" s="1107"/>
      <c r="AX379" s="1107"/>
      <c r="AY379" s="1107"/>
      <c r="AZ379" s="1107"/>
      <c r="BA379" s="1107"/>
      <c r="BB379" s="1107"/>
      <c r="BC379" s="1107"/>
      <c r="BD379" s="1107"/>
      <c r="BE379" s="1107"/>
      <c r="BF379" s="1107"/>
      <c r="BG379" s="1107"/>
      <c r="BH379" s="1107"/>
      <c r="BI379" s="1107"/>
      <c r="BJ379" s="1107"/>
      <c r="BK379" s="1107"/>
      <c r="BL379" s="1107"/>
      <c r="BM379" s="1107"/>
      <c r="BN379" s="1107"/>
      <c r="BO379" s="1107"/>
      <c r="BP379" s="1107"/>
      <c r="BQ379" s="1107"/>
      <c r="BR379" s="1107"/>
      <c r="BS379" s="1107"/>
      <c r="BT379" s="1107"/>
      <c r="BU379" s="1107"/>
      <c r="BV379" s="1107"/>
      <c r="BW379" s="1107"/>
      <c r="BX379" s="1107"/>
      <c r="BY379" s="1107"/>
      <c r="BZ379" s="1107"/>
      <c r="CA379" s="1107"/>
      <c r="CB379" s="1107"/>
      <c r="CC379" s="1107"/>
      <c r="CD379" s="1107"/>
      <c r="CE379" s="1107"/>
      <c r="CF379" s="1107"/>
      <c r="CG379" s="1107"/>
      <c r="CH379" s="1107"/>
      <c r="CI379" s="1107"/>
      <c r="CJ379" s="1107"/>
      <c r="CK379" s="1107"/>
    </row>
    <row r="380" spans="1:89" x14ac:dyDescent="0.25">
      <c r="A380" s="1107"/>
      <c r="B380" s="2007"/>
      <c r="C380" s="1225" cm="1">
        <f t="array" aca="1" ref="C380" ca="1">INDIRECT("'Incentives Worksheet'!J"&amp;'Configurable Tab'!H33+7)</f>
        <v>2</v>
      </c>
      <c r="D380" s="1307" t="str" cm="1">
        <f t="array" aca="1" ref="D380" ca="1">IF(INDIRECT("'Incentives Worksheet'!L"&amp;'Configurable Tab'!H33+7)=0,"",INDIRECT("'Incentives Worksheet'!L"&amp;'Configurable Tab'!H33+7))</f>
        <v/>
      </c>
      <c r="E380" s="1307" t="str" cm="1">
        <f t="array" aca="1" ref="E380" ca="1">IF(INDIRECT("'Incentives Worksheet'!N"&amp;'Configurable Tab'!H33+7)=0,"",INDIRECT("'Incentives Worksheet'!N"&amp;'Configurable Tab'!H33+7))</f>
        <v/>
      </c>
      <c r="F380" s="1107"/>
      <c r="G380" s="1131"/>
      <c r="H380" s="1131"/>
      <c r="I380" s="1107"/>
      <c r="J380" s="1107"/>
      <c r="K380" s="1107"/>
      <c r="L380" s="1107"/>
      <c r="M380" s="1107"/>
      <c r="N380" s="1108"/>
      <c r="O380" s="1107"/>
      <c r="P380" s="1107"/>
      <c r="Q380" s="1107"/>
      <c r="R380" s="1107"/>
      <c r="S380" s="1107"/>
      <c r="T380" s="2007"/>
      <c r="U380" s="1182" cm="1">
        <f t="array" aca="1" ref="U380" ca="1">INDIRECT("'Incentives Worksheet'!J"&amp;'Configurable Tab'!H34+7)</f>
        <v>2</v>
      </c>
      <c r="V380" s="1307" t="str" cm="1">
        <f t="array" aca="1" ref="V380" ca="1">IF(INDIRECT("'Incentives Worksheet'!L"&amp;'Configurable Tab'!H34+7)=0,"",INDIRECT("'Incentives Worksheet'!L"&amp;'Configurable Tab'!H34+7))</f>
        <v/>
      </c>
      <c r="W380" s="1307" t="str" cm="1">
        <f t="array" aca="1" ref="W380" ca="1">IF(INDIRECT("'Incentives Worksheet'!N"&amp;'Configurable Tab'!H34+7)=0,"",INDIRECT("'Incentives Worksheet'!N"&amp;'Configurable Tab'!H34+7))</f>
        <v/>
      </c>
      <c r="X380" s="1107"/>
      <c r="Y380" s="1131"/>
      <c r="Z380" s="1131"/>
      <c r="AA380" s="1107"/>
      <c r="AB380" s="1107"/>
      <c r="AC380" s="1107"/>
      <c r="AD380" s="1107"/>
      <c r="AE380" s="1107"/>
      <c r="AF380" s="1108"/>
      <c r="AG380" s="1107"/>
      <c r="AH380" s="1107"/>
      <c r="AI380" s="1107"/>
      <c r="AJ380" s="1107"/>
      <c r="AK380" s="1107"/>
      <c r="AL380" s="1107"/>
      <c r="AM380" s="1107"/>
      <c r="AN380" s="1107"/>
      <c r="AO380" s="1107"/>
      <c r="AP380" s="1107"/>
      <c r="AQ380" s="1107"/>
      <c r="AR380" s="1107"/>
      <c r="AS380" s="1107"/>
      <c r="AT380" s="1107"/>
      <c r="AU380" s="1107"/>
      <c r="AV380" s="1107"/>
      <c r="AW380" s="1107"/>
      <c r="AX380" s="1107"/>
      <c r="AY380" s="1107"/>
      <c r="AZ380" s="1107"/>
      <c r="BA380" s="1107"/>
      <c r="BB380" s="1107"/>
      <c r="BC380" s="1107"/>
      <c r="BD380" s="1107"/>
      <c r="BE380" s="1107"/>
      <c r="BF380" s="1107"/>
      <c r="BG380" s="1107"/>
      <c r="BH380" s="1107"/>
      <c r="BI380" s="1107"/>
      <c r="BJ380" s="1107"/>
      <c r="BK380" s="1107"/>
      <c r="BL380" s="1107"/>
      <c r="BM380" s="1107"/>
      <c r="BN380" s="1107"/>
      <c r="BO380" s="1107"/>
      <c r="BP380" s="1107"/>
      <c r="BQ380" s="1107"/>
      <c r="BR380" s="1107"/>
      <c r="BS380" s="1107"/>
      <c r="BT380" s="1107"/>
      <c r="BU380" s="1107"/>
      <c r="BV380" s="1107"/>
      <c r="BW380" s="1107"/>
      <c r="BX380" s="1107"/>
      <c r="BY380" s="1107"/>
      <c r="BZ380" s="1107"/>
      <c r="CA380" s="1107"/>
      <c r="CB380" s="1107"/>
      <c r="CC380" s="1107"/>
      <c r="CD380" s="1107"/>
      <c r="CE380" s="1107"/>
      <c r="CF380" s="1107"/>
      <c r="CG380" s="1107"/>
      <c r="CH380" s="1107"/>
      <c r="CI380" s="1107"/>
      <c r="CJ380" s="1107"/>
      <c r="CK380" s="1107"/>
    </row>
    <row r="381" spans="1:89" x14ac:dyDescent="0.25">
      <c r="A381" s="1107"/>
      <c r="B381" s="2007"/>
      <c r="C381" s="1225" cm="1">
        <f t="array" aca="1" ref="C381" ca="1">INDIRECT("'Incentives Worksheet'!J"&amp;'Configurable Tab'!H33+8)</f>
        <v>3</v>
      </c>
      <c r="D381" s="1307" t="str" cm="1">
        <f t="array" aca="1" ref="D381" ca="1">IF(INDIRECT("'Incentives Worksheet'!L"&amp;'Configurable Tab'!H33+8)=0,"",INDIRECT("'Incentives Worksheet'!L"&amp;'Configurable Tab'!H33+8))</f>
        <v/>
      </c>
      <c r="E381" s="1307" t="str" cm="1">
        <f t="array" aca="1" ref="E381" ca="1">IF(INDIRECT("'Incentives Worksheet'!N"&amp;'Configurable Tab'!H33+8)=0,"",INDIRECT("'Incentives Worksheet'!N"&amp;'Configurable Tab'!H33+8))</f>
        <v/>
      </c>
      <c r="F381" s="1107"/>
      <c r="G381" s="1131"/>
      <c r="H381" s="1131"/>
      <c r="I381" s="1107"/>
      <c r="J381" s="1107"/>
      <c r="K381" s="1107"/>
      <c r="L381" s="1107"/>
      <c r="M381" s="1107"/>
      <c r="N381" s="1108"/>
      <c r="O381" s="1107"/>
      <c r="P381" s="1107"/>
      <c r="Q381" s="1107"/>
      <c r="R381" s="1107"/>
      <c r="S381" s="1107"/>
      <c r="T381" s="2007"/>
      <c r="U381" s="1182" cm="1">
        <f t="array" aca="1" ref="U381" ca="1">INDIRECT("'Incentives Worksheet'!J"&amp;'Configurable Tab'!H34+8)</f>
        <v>3</v>
      </c>
      <c r="V381" s="1307" t="str" cm="1">
        <f t="array" aca="1" ref="V381" ca="1">IF(INDIRECT("'Incentives Worksheet'!L"&amp;'Configurable Tab'!H34+8)=0,"",INDIRECT("'Incentives Worksheet'!L"&amp;'Configurable Tab'!H34+8))</f>
        <v/>
      </c>
      <c r="W381" s="1307" t="str" cm="1">
        <f t="array" aca="1" ref="W381" ca="1">IF(INDIRECT("'Incentives Worksheet'!N"&amp;'Configurable Tab'!H34+8)=0,"",INDIRECT("'Incentives Worksheet'!N"&amp;'Configurable Tab'!H34+8))</f>
        <v/>
      </c>
      <c r="X381" s="1107"/>
      <c r="Y381" s="1131"/>
      <c r="Z381" s="1131"/>
      <c r="AA381" s="1107"/>
      <c r="AB381" s="1107"/>
      <c r="AC381" s="1107"/>
      <c r="AD381" s="1107"/>
      <c r="AE381" s="1107"/>
      <c r="AF381" s="1108"/>
      <c r="AG381" s="1107"/>
      <c r="AH381" s="1107"/>
      <c r="AI381" s="1107"/>
      <c r="AJ381" s="1107"/>
      <c r="AK381" s="1107"/>
      <c r="AL381" s="1107"/>
      <c r="AM381" s="1107"/>
      <c r="AN381" s="1107"/>
      <c r="AO381" s="1107"/>
      <c r="AP381" s="1107"/>
      <c r="AQ381" s="1107"/>
      <c r="AR381" s="1107"/>
      <c r="AS381" s="1107"/>
      <c r="AT381" s="1107"/>
      <c r="AU381" s="1107"/>
      <c r="AV381" s="1107"/>
      <c r="AW381" s="1107"/>
      <c r="AX381" s="1107"/>
      <c r="AY381" s="1107"/>
      <c r="AZ381" s="1107"/>
      <c r="BA381" s="1107"/>
      <c r="BB381" s="1107"/>
      <c r="BC381" s="1107"/>
      <c r="BD381" s="1107"/>
      <c r="BE381" s="1107"/>
      <c r="BF381" s="1107"/>
      <c r="BG381" s="1107"/>
      <c r="BH381" s="1107"/>
      <c r="BI381" s="1107"/>
      <c r="BJ381" s="1107"/>
      <c r="BK381" s="1107"/>
      <c r="BL381" s="1107"/>
      <c r="BM381" s="1107"/>
      <c r="BN381" s="1107"/>
      <c r="BO381" s="1107"/>
      <c r="BP381" s="1107"/>
      <c r="BQ381" s="1107"/>
      <c r="BR381" s="1107"/>
      <c r="BS381" s="1107"/>
      <c r="BT381" s="1107"/>
      <c r="BU381" s="1107"/>
      <c r="BV381" s="1107"/>
      <c r="BW381" s="1107"/>
      <c r="BX381" s="1107"/>
      <c r="BY381" s="1107"/>
      <c r="BZ381" s="1107"/>
      <c r="CA381" s="1107"/>
      <c r="CB381" s="1107"/>
      <c r="CC381" s="1107"/>
      <c r="CD381" s="1107"/>
      <c r="CE381" s="1107"/>
      <c r="CF381" s="1107"/>
      <c r="CG381" s="1107"/>
      <c r="CH381" s="1107"/>
      <c r="CI381" s="1107"/>
      <c r="CJ381" s="1107"/>
      <c r="CK381" s="1107"/>
    </row>
    <row r="382" spans="1:89" x14ac:dyDescent="0.25">
      <c r="A382" s="1107"/>
      <c r="B382" s="2007"/>
      <c r="C382" s="1225" cm="1">
        <f t="array" aca="1" ref="C382" ca="1">INDIRECT("'Incentives Worksheet'!J"&amp;'Configurable Tab'!H33+9)</f>
        <v>4</v>
      </c>
      <c r="D382" s="1307" t="str" cm="1">
        <f t="array" aca="1" ref="D382" ca="1">IF(INDIRECT("'Incentives Worksheet'!L"&amp;'Configurable Tab'!H33+9)=0,"",INDIRECT("'Incentives Worksheet'!L"&amp;'Configurable Tab'!H33+9))</f>
        <v/>
      </c>
      <c r="E382" s="1307" t="str" cm="1">
        <f t="array" aca="1" ref="E382" ca="1">IF(INDIRECT("'Incentives Worksheet'!N"&amp;'Configurable Tab'!H33+9)=0,"",INDIRECT("'Incentives Worksheet'!N"&amp;'Configurable Tab'!H33+9))</f>
        <v/>
      </c>
      <c r="F382" s="1107"/>
      <c r="G382" s="1131"/>
      <c r="H382" s="1131"/>
      <c r="I382" s="1107"/>
      <c r="J382" s="1107"/>
      <c r="K382" s="1107"/>
      <c r="L382" s="1107"/>
      <c r="M382" s="1107"/>
      <c r="N382" s="1108"/>
      <c r="O382" s="1107"/>
      <c r="P382" s="1107"/>
      <c r="Q382" s="1107"/>
      <c r="R382" s="1107"/>
      <c r="S382" s="1107"/>
      <c r="T382" s="2007"/>
      <c r="U382" s="1182" cm="1">
        <f t="array" aca="1" ref="U382" ca="1">INDIRECT("'Incentives Worksheet'!J"&amp;'Configurable Tab'!H34+9)</f>
        <v>4</v>
      </c>
      <c r="V382" s="1307" t="str" cm="1">
        <f t="array" aca="1" ref="V382" ca="1">IF(INDIRECT("'Incentives Worksheet'!L"&amp;'Configurable Tab'!H34+9)=0,"",INDIRECT("'Incentives Worksheet'!L"&amp;'Configurable Tab'!H34+9))</f>
        <v/>
      </c>
      <c r="W382" s="1307" t="str" cm="1">
        <f t="array" aca="1" ref="W382" ca="1">IF(INDIRECT("'Incentives Worksheet'!N"&amp;'Configurable Tab'!H34+9)=0,"",INDIRECT("'Incentives Worksheet'!N"&amp;'Configurable Tab'!H34+9))</f>
        <v/>
      </c>
      <c r="X382" s="1107"/>
      <c r="Y382" s="1131"/>
      <c r="Z382" s="1131"/>
      <c r="AA382" s="1107"/>
      <c r="AB382" s="1107"/>
      <c r="AC382" s="1107"/>
      <c r="AD382" s="1107"/>
      <c r="AE382" s="1107"/>
      <c r="AF382" s="1108"/>
      <c r="AG382" s="1107"/>
      <c r="AH382" s="1107"/>
      <c r="AI382" s="1107"/>
      <c r="AJ382" s="1107"/>
      <c r="AK382" s="1107"/>
      <c r="AL382" s="1107"/>
      <c r="AM382" s="1107"/>
      <c r="AN382" s="1107"/>
      <c r="AO382" s="1107"/>
      <c r="AP382" s="1107"/>
      <c r="AQ382" s="1107"/>
      <c r="AR382" s="1107"/>
      <c r="AS382" s="1107"/>
      <c r="AT382" s="1107"/>
      <c r="AU382" s="1107"/>
      <c r="AV382" s="1107"/>
      <c r="AW382" s="1107"/>
      <c r="AX382" s="1107"/>
      <c r="AY382" s="1107"/>
      <c r="AZ382" s="1107"/>
      <c r="BA382" s="1107"/>
      <c r="BB382" s="1107"/>
      <c r="BC382" s="1107"/>
      <c r="BD382" s="1107"/>
      <c r="BE382" s="1107"/>
      <c r="BF382" s="1107"/>
      <c r="BG382" s="1107"/>
      <c r="BH382" s="1107"/>
      <c r="BI382" s="1107"/>
      <c r="BJ382" s="1107"/>
      <c r="BK382" s="1107"/>
      <c r="BL382" s="1107"/>
      <c r="BM382" s="1107"/>
      <c r="BN382" s="1107"/>
      <c r="BO382" s="1107"/>
      <c r="BP382" s="1107"/>
      <c r="BQ382" s="1107"/>
      <c r="BR382" s="1107"/>
      <c r="BS382" s="1107"/>
      <c r="BT382" s="1107"/>
      <c r="BU382" s="1107"/>
      <c r="BV382" s="1107"/>
      <c r="BW382" s="1107"/>
      <c r="BX382" s="1107"/>
      <c r="BY382" s="1107"/>
      <c r="BZ382" s="1107"/>
      <c r="CA382" s="1107"/>
      <c r="CB382" s="1107"/>
      <c r="CC382" s="1107"/>
      <c r="CD382" s="1107"/>
      <c r="CE382" s="1107"/>
      <c r="CF382" s="1107"/>
      <c r="CG382" s="1107"/>
      <c r="CH382" s="1107"/>
      <c r="CI382" s="1107"/>
      <c r="CJ382" s="1107"/>
      <c r="CK382" s="1107"/>
    </row>
    <row r="383" spans="1:89" ht="15.75" thickBot="1" x14ac:dyDescent="0.3">
      <c r="A383" s="1107"/>
      <c r="B383" s="2008"/>
      <c r="C383" s="1146" cm="1">
        <f t="array" aca="1" ref="C383" ca="1">INDIRECT("'Incentives Worksheet'!J"&amp;'Configurable Tab'!H33+10)</f>
        <v>5</v>
      </c>
      <c r="D383" s="1222" t="str" cm="1">
        <f t="array" aca="1" ref="D383" ca="1">IF(INDIRECT("'Incentives Worksheet'!L"&amp;'Configurable Tab'!H33+10)=0,"",INDIRECT("'Incentives Worksheet'!L"&amp;'Configurable Tab'!H33+10))</f>
        <v/>
      </c>
      <c r="E383" s="1222" t="str" cm="1">
        <f t="array" aca="1" ref="E383" ca="1">IF(INDIRECT("'Incentives Worksheet'!N"&amp;'Configurable Tab'!H33+10)=0,"",INDIRECT("'Incentives Worksheet'!N"&amp;'Configurable Tab'!H33+10))</f>
        <v/>
      </c>
      <c r="F383" s="1258"/>
      <c r="G383" s="1258"/>
      <c r="H383" s="1258"/>
      <c r="I383" s="1107"/>
      <c r="J383" s="1107"/>
      <c r="K383" s="1107"/>
      <c r="L383" s="1107"/>
      <c r="M383" s="1107"/>
      <c r="N383" s="1108"/>
      <c r="O383" s="1107"/>
      <c r="P383" s="1107"/>
      <c r="Q383" s="1107"/>
      <c r="R383" s="1107"/>
      <c r="S383" s="1107"/>
      <c r="T383" s="2008"/>
      <c r="U383" s="1159" cm="1">
        <f t="array" aca="1" ref="U383" ca="1">INDIRECT("'Incentives Worksheet'!J"&amp;'Configurable Tab'!H34+10)</f>
        <v>5</v>
      </c>
      <c r="V383" s="1222" t="str" cm="1">
        <f t="array" aca="1" ref="V383" ca="1">IF(INDIRECT("'Incentives Worksheet'!L"&amp;'Configurable Tab'!H34+10)=0,"",INDIRECT("'Incentives Worksheet'!L"&amp;'Configurable Tab'!H34+10))</f>
        <v/>
      </c>
      <c r="W383" s="1222" t="str" cm="1">
        <f t="array" aca="1" ref="W383" ca="1">IF(INDIRECT("'Incentives Worksheet'!N"&amp;'Configurable Tab'!H34+10)=0,"",INDIRECT("'Incentives Worksheet'!N"&amp;'Configurable Tab'!H34+10))</f>
        <v/>
      </c>
      <c r="X383" s="1258"/>
      <c r="Y383" s="1258"/>
      <c r="Z383" s="1258"/>
      <c r="AA383" s="1107"/>
      <c r="AB383" s="1107"/>
      <c r="AC383" s="1107"/>
      <c r="AD383" s="1107"/>
      <c r="AE383" s="1107"/>
      <c r="AF383" s="1108"/>
      <c r="AG383" s="1107"/>
      <c r="AH383" s="1107"/>
      <c r="AI383" s="1107"/>
      <c r="AJ383" s="1107"/>
      <c r="AK383" s="1107"/>
      <c r="AL383" s="1107"/>
      <c r="AM383" s="1107"/>
      <c r="AN383" s="1107"/>
      <c r="AO383" s="1107"/>
      <c r="AP383" s="1107"/>
      <c r="AQ383" s="1107"/>
      <c r="AR383" s="1107"/>
      <c r="AS383" s="1107"/>
      <c r="AT383" s="1107"/>
      <c r="AU383" s="1107"/>
      <c r="AV383" s="1107"/>
      <c r="AW383" s="1107"/>
      <c r="AX383" s="1107"/>
      <c r="AY383" s="1107"/>
      <c r="AZ383" s="1107"/>
      <c r="BA383" s="1107"/>
      <c r="BB383" s="1107"/>
      <c r="BC383" s="1107"/>
      <c r="BD383" s="1107"/>
      <c r="BE383" s="1107"/>
      <c r="BF383" s="1107"/>
      <c r="BG383" s="1107"/>
      <c r="BH383" s="1107"/>
      <c r="BI383" s="1107"/>
      <c r="BJ383" s="1107"/>
      <c r="BK383" s="1107"/>
      <c r="BL383" s="1107"/>
      <c r="BM383" s="1107"/>
      <c r="BN383" s="1107"/>
      <c r="BO383" s="1107"/>
      <c r="BP383" s="1107"/>
      <c r="BQ383" s="1107"/>
      <c r="BR383" s="1107"/>
      <c r="BS383" s="1107"/>
      <c r="BT383" s="1107"/>
      <c r="BU383" s="1107"/>
      <c r="BV383" s="1107"/>
      <c r="BW383" s="1107"/>
      <c r="BX383" s="1107"/>
      <c r="BY383" s="1107"/>
      <c r="BZ383" s="1107"/>
      <c r="CA383" s="1107"/>
      <c r="CB383" s="1107"/>
      <c r="CC383" s="1107"/>
      <c r="CD383" s="1107"/>
      <c r="CE383" s="1107"/>
      <c r="CF383" s="1107"/>
      <c r="CG383" s="1107"/>
      <c r="CH383" s="1107"/>
      <c r="CI383" s="1107"/>
      <c r="CJ383" s="1107"/>
      <c r="CK383" s="1107"/>
    </row>
    <row r="384" spans="1:89" ht="15.75" customHeight="1" thickBot="1" x14ac:dyDescent="0.3">
      <c r="A384" s="1107"/>
      <c r="B384" s="2006" t="s">
        <v>1915</v>
      </c>
      <c r="C384" s="1147" t="s">
        <v>1869</v>
      </c>
      <c r="D384" s="1259" t="s">
        <v>1859</v>
      </c>
      <c r="E384" s="1259" t="s">
        <v>131</v>
      </c>
      <c r="F384" s="1148" t="s">
        <v>1860</v>
      </c>
      <c r="G384" s="1148" t="s">
        <v>1870</v>
      </c>
      <c r="H384" s="1149" t="s">
        <v>1871</v>
      </c>
      <c r="I384" s="1150" t="s">
        <v>766</v>
      </c>
      <c r="J384" s="1260" t="s">
        <v>767</v>
      </c>
      <c r="K384" s="1150" t="s">
        <v>768</v>
      </c>
      <c r="L384" s="1150" t="s">
        <v>769</v>
      </c>
      <c r="M384" s="1150" t="s">
        <v>204</v>
      </c>
      <c r="N384" s="1108"/>
      <c r="O384" s="1107"/>
      <c r="P384" s="1107"/>
      <c r="Q384" s="1107"/>
      <c r="R384" s="1107"/>
      <c r="S384" s="1107"/>
      <c r="T384" s="2006" t="s">
        <v>1915</v>
      </c>
      <c r="U384" s="1147" t="s">
        <v>1869</v>
      </c>
      <c r="V384" s="1259" t="s">
        <v>1859</v>
      </c>
      <c r="W384" s="1259" t="s">
        <v>131</v>
      </c>
      <c r="X384" s="1148" t="s">
        <v>1860</v>
      </c>
      <c r="Y384" s="1148" t="s">
        <v>1870</v>
      </c>
      <c r="Z384" s="1149" t="s">
        <v>1871</v>
      </c>
      <c r="AA384" s="1150" t="s">
        <v>766</v>
      </c>
      <c r="AB384" s="1260" t="s">
        <v>767</v>
      </c>
      <c r="AC384" s="1150" t="s">
        <v>768</v>
      </c>
      <c r="AD384" s="1150" t="s">
        <v>769</v>
      </c>
      <c r="AE384" s="1150" t="s">
        <v>204</v>
      </c>
      <c r="AF384" s="1108"/>
      <c r="AG384" s="1107"/>
      <c r="AH384" s="1107"/>
      <c r="AI384" s="1107"/>
      <c r="AJ384" s="1107"/>
      <c r="AK384" s="1107"/>
      <c r="AL384" s="1107"/>
      <c r="AM384" s="1107"/>
      <c r="AN384" s="1107"/>
      <c r="AO384" s="1107"/>
      <c r="AP384" s="1107"/>
      <c r="AQ384" s="1107"/>
      <c r="AR384" s="1107"/>
      <c r="AS384" s="1107"/>
      <c r="AT384" s="1107"/>
      <c r="AU384" s="1107"/>
      <c r="AV384" s="1107"/>
      <c r="AW384" s="1107"/>
      <c r="AX384" s="1107"/>
      <c r="AY384" s="1107"/>
      <c r="AZ384" s="1107"/>
      <c r="BA384" s="1107"/>
      <c r="BB384" s="1107"/>
      <c r="BC384" s="1107"/>
      <c r="BD384" s="1107"/>
      <c r="BE384" s="1107"/>
      <c r="BF384" s="1107"/>
      <c r="BG384" s="1107"/>
      <c r="BH384" s="1107"/>
      <c r="BI384" s="1107"/>
      <c r="BJ384" s="1107"/>
      <c r="BK384" s="1107"/>
      <c r="BL384" s="1107"/>
      <c r="BM384" s="1107"/>
      <c r="BN384" s="1107"/>
      <c r="BO384" s="1107"/>
      <c r="BP384" s="1107"/>
      <c r="BQ384" s="1107"/>
      <c r="BR384" s="1107"/>
      <c r="BS384" s="1107"/>
      <c r="BT384" s="1107"/>
      <c r="BU384" s="1107"/>
      <c r="BV384" s="1107"/>
      <c r="BW384" s="1107"/>
      <c r="BX384" s="1107"/>
      <c r="BY384" s="1107"/>
      <c r="BZ384" s="1107"/>
      <c r="CA384" s="1107"/>
      <c r="CB384" s="1107"/>
      <c r="CC384" s="1107"/>
      <c r="CD384" s="1107"/>
      <c r="CE384" s="1107"/>
      <c r="CF384" s="1107"/>
      <c r="CG384" s="1107"/>
      <c r="CH384" s="1107"/>
      <c r="CI384" s="1107"/>
      <c r="CJ384" s="1107"/>
      <c r="CK384" s="1107"/>
    </row>
    <row r="385" spans="1:89" x14ac:dyDescent="0.25">
      <c r="A385" s="1107"/>
      <c r="B385" s="2008"/>
      <c r="C385" s="1151">
        <v>1</v>
      </c>
      <c r="D385" s="1144" t="s">
        <v>1872</v>
      </c>
      <c r="E385" s="1144" t="s">
        <v>1426</v>
      </c>
      <c r="F385" s="1144" t="str">
        <f>'Required Info to Submit'!E23</f>
        <v/>
      </c>
      <c r="G385" s="1414" t="str">
        <f>IF(F385="","",'Required Info to Submit'!K23)</f>
        <v/>
      </c>
      <c r="H385" s="1415" t="str">
        <f>IF(F385="","",'Required Info to Submit'!L23)</f>
        <v/>
      </c>
      <c r="I385" s="1144" t="str">
        <f>'Required Info to Submit'!F23</f>
        <v/>
      </c>
      <c r="J385" s="1261" t="str">
        <f>'Required Info to Submit'!G23</f>
        <v/>
      </c>
      <c r="K385" s="1144" t="str">
        <f>'Required Info to Submit'!H23</f>
        <v/>
      </c>
      <c r="L385" s="1144" t="str">
        <f>'Required Info to Submit'!I23</f>
        <v/>
      </c>
      <c r="M385" s="1144" t="str">
        <f>'Required Info to Submit'!J23</f>
        <v/>
      </c>
      <c r="N385" s="1108"/>
      <c r="O385" s="1107"/>
      <c r="P385" s="1107"/>
      <c r="Q385" s="1107"/>
      <c r="R385" s="1107"/>
      <c r="S385" s="1107"/>
      <c r="T385" s="2008"/>
      <c r="U385" s="1151">
        <v>1</v>
      </c>
      <c r="V385" s="1144" t="s">
        <v>1872</v>
      </c>
      <c r="W385" s="1144" t="s">
        <v>1426</v>
      </c>
      <c r="X385" s="1144" t="str">
        <f>'Required Info to Submit'!E23</f>
        <v/>
      </c>
      <c r="Y385" s="1414" t="str">
        <f>IF(X385="","",'Required Info to Submit'!K23)</f>
        <v/>
      </c>
      <c r="Z385" s="1415" t="str">
        <f>IF(X385="","",'Required Info to Submit'!L23)</f>
        <v/>
      </c>
      <c r="AA385" s="1144" t="str">
        <f>'Required Info to Submit'!F23</f>
        <v/>
      </c>
      <c r="AB385" s="1261" t="str">
        <f>'Required Info to Submit'!G23</f>
        <v/>
      </c>
      <c r="AC385" s="1144" t="str">
        <f>'Required Info to Submit'!H23</f>
        <v/>
      </c>
      <c r="AD385" s="1144" t="str">
        <f>'Required Info to Submit'!I23</f>
        <v/>
      </c>
      <c r="AE385" s="1144" t="str">
        <f>'Required Info to Submit'!J23</f>
        <v/>
      </c>
      <c r="AF385" s="1108"/>
      <c r="AG385" s="1107"/>
      <c r="AH385" s="1107"/>
      <c r="AI385" s="1107"/>
      <c r="AJ385" s="1107"/>
      <c r="AK385" s="1107"/>
      <c r="AL385" s="1107"/>
      <c r="AM385" s="1107"/>
      <c r="AN385" s="1107"/>
      <c r="AO385" s="1107"/>
      <c r="AP385" s="1107"/>
      <c r="AQ385" s="1107"/>
      <c r="AR385" s="1107"/>
      <c r="AS385" s="1107"/>
      <c r="AT385" s="1107"/>
      <c r="AU385" s="1107"/>
      <c r="AV385" s="1107"/>
      <c r="AW385" s="1107"/>
      <c r="AX385" s="1107"/>
      <c r="AY385" s="1107"/>
      <c r="AZ385" s="1107"/>
      <c r="BA385" s="1107"/>
      <c r="BB385" s="1107"/>
      <c r="BC385" s="1107"/>
      <c r="BD385" s="1107"/>
      <c r="BE385" s="1107"/>
      <c r="BF385" s="1107"/>
      <c r="BG385" s="1107"/>
      <c r="BH385" s="1107"/>
      <c r="BI385" s="1107"/>
      <c r="BJ385" s="1107"/>
      <c r="BK385" s="1107"/>
      <c r="BL385" s="1107"/>
      <c r="BM385" s="1107"/>
      <c r="BN385" s="1107"/>
      <c r="BO385" s="1107"/>
      <c r="BP385" s="1107"/>
      <c r="BQ385" s="1107"/>
      <c r="BR385" s="1107"/>
      <c r="BS385" s="1107"/>
      <c r="BT385" s="1107"/>
      <c r="BU385" s="1107"/>
      <c r="BV385" s="1107"/>
      <c r="BW385" s="1107"/>
      <c r="BX385" s="1107"/>
      <c r="BY385" s="1107"/>
      <c r="BZ385" s="1107"/>
      <c r="CA385" s="1107"/>
      <c r="CB385" s="1107"/>
      <c r="CC385" s="1107"/>
      <c r="CD385" s="1107"/>
      <c r="CE385" s="1107"/>
      <c r="CF385" s="1107"/>
      <c r="CG385" s="1107"/>
      <c r="CH385" s="1107"/>
      <c r="CI385" s="1107"/>
      <c r="CJ385" s="1107"/>
      <c r="CK385" s="1107"/>
    </row>
    <row r="386" spans="1:89" x14ac:dyDescent="0.25">
      <c r="A386" s="1107"/>
      <c r="B386" s="2008"/>
      <c r="C386" s="1154">
        <v>2</v>
      </c>
      <c r="D386" s="1144" t="s">
        <v>1872</v>
      </c>
      <c r="E386" s="1144" t="s">
        <v>1426</v>
      </c>
      <c r="F386" s="1144" t="str">
        <f>'Required Info to Submit'!E24</f>
        <v/>
      </c>
      <c r="G386" s="1414" t="str">
        <f>IF(F386="","",'Required Info to Submit'!K24)</f>
        <v/>
      </c>
      <c r="H386" s="1415" t="str">
        <f>IF(F386="","",'Required Info to Submit'!L24)</f>
        <v/>
      </c>
      <c r="I386" s="1144" t="str">
        <f>'Required Info to Submit'!F24</f>
        <v/>
      </c>
      <c r="J386" s="1261" t="str">
        <f>'Required Info to Submit'!G24</f>
        <v/>
      </c>
      <c r="K386" s="1144" t="str">
        <f>'Required Info to Submit'!H24</f>
        <v/>
      </c>
      <c r="L386" s="1144" t="str">
        <f>'Required Info to Submit'!I24</f>
        <v/>
      </c>
      <c r="M386" s="1144" t="str">
        <f>'Required Info to Submit'!J24</f>
        <v/>
      </c>
      <c r="N386" s="1108"/>
      <c r="O386" s="1107"/>
      <c r="P386" s="1107"/>
      <c r="Q386" s="1107"/>
      <c r="R386" s="1107"/>
      <c r="S386" s="1107"/>
      <c r="T386" s="2008"/>
      <c r="U386" s="1154">
        <v>2</v>
      </c>
      <c r="V386" s="1144" t="s">
        <v>1872</v>
      </c>
      <c r="W386" s="1144" t="s">
        <v>1426</v>
      </c>
      <c r="X386" s="1144" t="str">
        <f>'Required Info to Submit'!E24</f>
        <v/>
      </c>
      <c r="Y386" s="1414" t="str">
        <f>IF(X386="","",'Required Info to Submit'!K24)</f>
        <v/>
      </c>
      <c r="Z386" s="1415" t="str">
        <f>IF(X386="","",'Required Info to Submit'!L24)</f>
        <v/>
      </c>
      <c r="AA386" s="1144" t="str">
        <f>'Required Info to Submit'!F24</f>
        <v/>
      </c>
      <c r="AB386" s="1261" t="str">
        <f>'Required Info to Submit'!G24</f>
        <v/>
      </c>
      <c r="AC386" s="1144" t="str">
        <f>'Required Info to Submit'!H24</f>
        <v/>
      </c>
      <c r="AD386" s="1144" t="str">
        <f>'Required Info to Submit'!I24</f>
        <v/>
      </c>
      <c r="AE386" s="1144" t="str">
        <f>'Required Info to Submit'!J24</f>
        <v/>
      </c>
      <c r="AF386" s="1108"/>
      <c r="AG386" s="1107"/>
      <c r="AH386" s="1107"/>
      <c r="AI386" s="1107"/>
      <c r="AJ386" s="1107"/>
      <c r="AK386" s="1107"/>
      <c r="AL386" s="1107"/>
      <c r="AM386" s="1107"/>
      <c r="AN386" s="1107"/>
      <c r="AO386" s="1107"/>
      <c r="AP386" s="1107"/>
      <c r="AQ386" s="1107"/>
      <c r="AR386" s="1107"/>
      <c r="AS386" s="1107"/>
      <c r="AT386" s="1107"/>
      <c r="AU386" s="1107"/>
      <c r="AV386" s="1107"/>
      <c r="AW386" s="1107"/>
      <c r="AX386" s="1107"/>
      <c r="AY386" s="1107"/>
      <c r="AZ386" s="1107"/>
      <c r="BA386" s="1107"/>
      <c r="BB386" s="1107"/>
      <c r="BC386" s="1107"/>
      <c r="BD386" s="1107"/>
      <c r="BE386" s="1107"/>
      <c r="BF386" s="1107"/>
      <c r="BG386" s="1107"/>
      <c r="BH386" s="1107"/>
      <c r="BI386" s="1107"/>
      <c r="BJ386" s="1107"/>
      <c r="BK386" s="1107"/>
      <c r="BL386" s="1107"/>
      <c r="BM386" s="1107"/>
      <c r="BN386" s="1107"/>
      <c r="BO386" s="1107"/>
      <c r="BP386" s="1107"/>
      <c r="BQ386" s="1107"/>
      <c r="BR386" s="1107"/>
      <c r="BS386" s="1107"/>
      <c r="BT386" s="1107"/>
      <c r="BU386" s="1107"/>
      <c r="BV386" s="1107"/>
      <c r="BW386" s="1107"/>
      <c r="BX386" s="1107"/>
      <c r="BY386" s="1107"/>
      <c r="BZ386" s="1107"/>
      <c r="CA386" s="1107"/>
      <c r="CB386" s="1107"/>
      <c r="CC386" s="1107"/>
      <c r="CD386" s="1107"/>
      <c r="CE386" s="1107"/>
      <c r="CF386" s="1107"/>
      <c r="CG386" s="1107"/>
      <c r="CH386" s="1107"/>
      <c r="CI386" s="1107"/>
      <c r="CJ386" s="1107"/>
      <c r="CK386" s="1107"/>
    </row>
    <row r="387" spans="1:89" x14ac:dyDescent="0.25">
      <c r="A387" s="1107"/>
      <c r="B387" s="2008"/>
      <c r="C387" s="1154">
        <v>3</v>
      </c>
      <c r="D387" s="1144" t="s">
        <v>1872</v>
      </c>
      <c r="E387" s="1144" t="s">
        <v>1426</v>
      </c>
      <c r="F387" s="1144" t="str">
        <f>'Required Info to Submit'!E25</f>
        <v/>
      </c>
      <c r="G387" s="1414" t="str">
        <f>IF(F387="","",'Required Info to Submit'!K25)</f>
        <v/>
      </c>
      <c r="H387" s="1415" t="str">
        <f>IF(F387="","",'Required Info to Submit'!L25)</f>
        <v/>
      </c>
      <c r="I387" s="1144" t="str">
        <f>'Required Info to Submit'!F25</f>
        <v/>
      </c>
      <c r="J387" s="1261" t="str">
        <f>'Required Info to Submit'!G25</f>
        <v/>
      </c>
      <c r="K387" s="1144" t="str">
        <f>'Required Info to Submit'!H25</f>
        <v/>
      </c>
      <c r="L387" s="1144" t="str">
        <f>'Required Info to Submit'!I25</f>
        <v/>
      </c>
      <c r="M387" s="1144" t="str">
        <f>'Required Info to Submit'!J25</f>
        <v/>
      </c>
      <c r="N387" s="1108"/>
      <c r="O387" s="1107"/>
      <c r="P387" s="1107"/>
      <c r="Q387" s="1107"/>
      <c r="R387" s="1107"/>
      <c r="S387" s="1107"/>
      <c r="T387" s="2008"/>
      <c r="U387" s="1154">
        <v>3</v>
      </c>
      <c r="V387" s="1144" t="s">
        <v>1872</v>
      </c>
      <c r="W387" s="1144" t="s">
        <v>1426</v>
      </c>
      <c r="X387" s="1144" t="str">
        <f>'Required Info to Submit'!E25</f>
        <v/>
      </c>
      <c r="Y387" s="1414" t="str">
        <f>IF(X387="","",'Required Info to Submit'!K25)</f>
        <v/>
      </c>
      <c r="Z387" s="1415" t="str">
        <f>IF(X387="","",'Required Info to Submit'!L25)</f>
        <v/>
      </c>
      <c r="AA387" s="1144" t="str">
        <f>'Required Info to Submit'!F25</f>
        <v/>
      </c>
      <c r="AB387" s="1261" t="str">
        <f>'Required Info to Submit'!G25</f>
        <v/>
      </c>
      <c r="AC387" s="1144" t="str">
        <f>'Required Info to Submit'!H25</f>
        <v/>
      </c>
      <c r="AD387" s="1144" t="str">
        <f>'Required Info to Submit'!I25</f>
        <v/>
      </c>
      <c r="AE387" s="1144" t="str">
        <f>'Required Info to Submit'!J25</f>
        <v/>
      </c>
      <c r="AF387" s="1108"/>
      <c r="AG387" s="1107"/>
      <c r="AH387" s="1107"/>
      <c r="AI387" s="1107"/>
      <c r="AJ387" s="1107"/>
      <c r="AK387" s="1107"/>
      <c r="AL387" s="1107"/>
      <c r="AM387" s="1107"/>
      <c r="AN387" s="1107"/>
      <c r="AO387" s="1107"/>
      <c r="AP387" s="1107"/>
      <c r="AQ387" s="1107"/>
      <c r="AR387" s="1107"/>
      <c r="AS387" s="1107"/>
      <c r="AT387" s="1107"/>
      <c r="AU387" s="1107"/>
      <c r="AV387" s="1107"/>
      <c r="AW387" s="1107"/>
      <c r="AX387" s="1107"/>
      <c r="AY387" s="1107"/>
      <c r="AZ387" s="1107"/>
      <c r="BA387" s="1107"/>
      <c r="BB387" s="1107"/>
      <c r="BC387" s="1107"/>
      <c r="BD387" s="1107"/>
      <c r="BE387" s="1107"/>
      <c r="BF387" s="1107"/>
      <c r="BG387" s="1107"/>
      <c r="BH387" s="1107"/>
      <c r="BI387" s="1107"/>
      <c r="BJ387" s="1107"/>
      <c r="BK387" s="1107"/>
      <c r="BL387" s="1107"/>
      <c r="BM387" s="1107"/>
      <c r="BN387" s="1107"/>
      <c r="BO387" s="1107"/>
      <c r="BP387" s="1107"/>
      <c r="BQ387" s="1107"/>
      <c r="BR387" s="1107"/>
      <c r="BS387" s="1107"/>
      <c r="BT387" s="1107"/>
      <c r="BU387" s="1107"/>
      <c r="BV387" s="1107"/>
      <c r="BW387" s="1107"/>
      <c r="BX387" s="1107"/>
      <c r="BY387" s="1107"/>
      <c r="BZ387" s="1107"/>
      <c r="CA387" s="1107"/>
      <c r="CB387" s="1107"/>
      <c r="CC387" s="1107"/>
      <c r="CD387" s="1107"/>
      <c r="CE387" s="1107"/>
      <c r="CF387" s="1107"/>
      <c r="CG387" s="1107"/>
      <c r="CH387" s="1107"/>
      <c r="CI387" s="1107"/>
      <c r="CJ387" s="1107"/>
      <c r="CK387" s="1107"/>
    </row>
    <row r="388" spans="1:89" x14ac:dyDescent="0.25">
      <c r="A388" s="1107"/>
      <c r="B388" s="2008"/>
      <c r="C388" s="1154">
        <v>4</v>
      </c>
      <c r="D388" s="1144" t="s">
        <v>1872</v>
      </c>
      <c r="E388" s="1144" t="s">
        <v>1426</v>
      </c>
      <c r="F388" s="1144" t="str">
        <f>'Required Info to Submit'!E26</f>
        <v/>
      </c>
      <c r="G388" s="1414" t="str">
        <f>IF(F388="","",'Required Info to Submit'!K26)</f>
        <v/>
      </c>
      <c r="H388" s="1415" t="str">
        <f>IF(F388="","",'Required Info to Submit'!L26)</f>
        <v/>
      </c>
      <c r="I388" s="1144" t="str">
        <f>'Required Info to Submit'!F26</f>
        <v/>
      </c>
      <c r="J388" s="1261" t="str">
        <f>'Required Info to Submit'!G26</f>
        <v/>
      </c>
      <c r="K388" s="1144" t="str">
        <f>'Required Info to Submit'!H26</f>
        <v/>
      </c>
      <c r="L388" s="1144" t="str">
        <f>'Required Info to Submit'!I26</f>
        <v/>
      </c>
      <c r="M388" s="1144" t="str">
        <f>'Required Info to Submit'!J26</f>
        <v/>
      </c>
      <c r="N388" s="1108"/>
      <c r="O388" s="1107"/>
      <c r="P388" s="1107"/>
      <c r="Q388" s="1107"/>
      <c r="R388" s="1107"/>
      <c r="S388" s="1107"/>
      <c r="T388" s="2008"/>
      <c r="U388" s="1154">
        <v>4</v>
      </c>
      <c r="V388" s="1144" t="s">
        <v>1872</v>
      </c>
      <c r="W388" s="1144" t="s">
        <v>1426</v>
      </c>
      <c r="X388" s="1144" t="str">
        <f>'Required Info to Submit'!E26</f>
        <v/>
      </c>
      <c r="Y388" s="1414" t="str">
        <f>IF(X388="","",'Required Info to Submit'!K26)</f>
        <v/>
      </c>
      <c r="Z388" s="1415" t="str">
        <f>IF(X388="","",'Required Info to Submit'!L26)</f>
        <v/>
      </c>
      <c r="AA388" s="1144" t="str">
        <f>'Required Info to Submit'!F26</f>
        <v/>
      </c>
      <c r="AB388" s="1261" t="str">
        <f>'Required Info to Submit'!G26</f>
        <v/>
      </c>
      <c r="AC388" s="1144" t="str">
        <f>'Required Info to Submit'!H26</f>
        <v/>
      </c>
      <c r="AD388" s="1144" t="str">
        <f>'Required Info to Submit'!I26</f>
        <v/>
      </c>
      <c r="AE388" s="1144" t="str">
        <f>'Required Info to Submit'!J26</f>
        <v/>
      </c>
      <c r="AF388" s="1108"/>
      <c r="AG388" s="1107"/>
      <c r="AH388" s="1107"/>
      <c r="AI388" s="1107"/>
      <c r="AJ388" s="1107"/>
      <c r="AK388" s="1107"/>
      <c r="AL388" s="1107"/>
      <c r="AM388" s="1107"/>
      <c r="AN388" s="1107"/>
      <c r="AO388" s="1107"/>
      <c r="AP388" s="1107"/>
      <c r="AQ388" s="1107"/>
      <c r="AR388" s="1107"/>
      <c r="AS388" s="1107"/>
      <c r="AT388" s="1107"/>
      <c r="AU388" s="1107"/>
      <c r="AV388" s="1107"/>
      <c r="AW388" s="1107"/>
      <c r="AX388" s="1107"/>
      <c r="AY388" s="1107"/>
      <c r="AZ388" s="1107"/>
      <c r="BA388" s="1107"/>
      <c r="BB388" s="1107"/>
      <c r="BC388" s="1107"/>
      <c r="BD388" s="1107"/>
      <c r="BE388" s="1107"/>
      <c r="BF388" s="1107"/>
      <c r="BG388" s="1107"/>
      <c r="BH388" s="1107"/>
      <c r="BI388" s="1107"/>
      <c r="BJ388" s="1107"/>
      <c r="BK388" s="1107"/>
      <c r="BL388" s="1107"/>
      <c r="BM388" s="1107"/>
      <c r="BN388" s="1107"/>
      <c r="BO388" s="1107"/>
      <c r="BP388" s="1107"/>
      <c r="BQ388" s="1107"/>
      <c r="BR388" s="1107"/>
      <c r="BS388" s="1107"/>
      <c r="BT388" s="1107"/>
      <c r="BU388" s="1107"/>
      <c r="BV388" s="1107"/>
      <c r="BW388" s="1107"/>
      <c r="BX388" s="1107"/>
      <c r="BY388" s="1107"/>
      <c r="BZ388" s="1107"/>
      <c r="CA388" s="1107"/>
      <c r="CB388" s="1107"/>
      <c r="CC388" s="1107"/>
      <c r="CD388" s="1107"/>
      <c r="CE388" s="1107"/>
      <c r="CF388" s="1107"/>
      <c r="CG388" s="1107"/>
      <c r="CH388" s="1107"/>
      <c r="CI388" s="1107"/>
      <c r="CJ388" s="1107"/>
      <c r="CK388" s="1107"/>
    </row>
    <row r="389" spans="1:89" x14ac:dyDescent="0.25">
      <c r="A389" s="1107"/>
      <c r="B389" s="2008"/>
      <c r="C389" s="1154">
        <v>5</v>
      </c>
      <c r="D389" s="1144" t="s">
        <v>1872</v>
      </c>
      <c r="E389" s="1144" t="s">
        <v>1426</v>
      </c>
      <c r="F389" s="1144" t="str">
        <f>'Required Info to Submit'!E27</f>
        <v/>
      </c>
      <c r="G389" s="1414" t="str">
        <f>IF(F389="","",'Required Info to Submit'!K27)</f>
        <v/>
      </c>
      <c r="H389" s="1415" t="str">
        <f>IF(F389="","",'Required Info to Submit'!L27)</f>
        <v/>
      </c>
      <c r="I389" s="1144" t="str">
        <f>'Required Info to Submit'!F27</f>
        <v/>
      </c>
      <c r="J389" s="1261" t="str">
        <f>'Required Info to Submit'!G27</f>
        <v/>
      </c>
      <c r="K389" s="1144" t="str">
        <f>'Required Info to Submit'!H27</f>
        <v/>
      </c>
      <c r="L389" s="1144" t="str">
        <f>'Required Info to Submit'!I27</f>
        <v/>
      </c>
      <c r="M389" s="1144" t="str">
        <f>'Required Info to Submit'!J27</f>
        <v/>
      </c>
      <c r="N389" s="1108"/>
      <c r="O389" s="1107"/>
      <c r="P389" s="1107"/>
      <c r="Q389" s="1107"/>
      <c r="R389" s="1107"/>
      <c r="S389" s="1107"/>
      <c r="T389" s="2008"/>
      <c r="U389" s="1154">
        <v>5</v>
      </c>
      <c r="V389" s="1144" t="s">
        <v>1872</v>
      </c>
      <c r="W389" s="1144" t="s">
        <v>1426</v>
      </c>
      <c r="X389" s="1144" t="str">
        <f>'Required Info to Submit'!E27</f>
        <v/>
      </c>
      <c r="Y389" s="1414" t="str">
        <f>IF(X389="","",'Required Info to Submit'!K27)</f>
        <v/>
      </c>
      <c r="Z389" s="1415" t="str">
        <f>IF(X389="","",'Required Info to Submit'!L27)</f>
        <v/>
      </c>
      <c r="AA389" s="1144" t="str">
        <f>'Required Info to Submit'!F27</f>
        <v/>
      </c>
      <c r="AB389" s="1261" t="str">
        <f>'Required Info to Submit'!G27</f>
        <v/>
      </c>
      <c r="AC389" s="1144" t="str">
        <f>'Required Info to Submit'!H27</f>
        <v/>
      </c>
      <c r="AD389" s="1144" t="str">
        <f>'Required Info to Submit'!I27</f>
        <v/>
      </c>
      <c r="AE389" s="1144" t="str">
        <f>'Required Info to Submit'!J27</f>
        <v/>
      </c>
      <c r="AF389" s="1108"/>
      <c r="AG389" s="1107"/>
      <c r="AH389" s="1107"/>
      <c r="AI389" s="1107"/>
      <c r="AJ389" s="1107"/>
      <c r="AK389" s="1107"/>
      <c r="AL389" s="1107"/>
      <c r="AM389" s="1107"/>
      <c r="AN389" s="1107"/>
      <c r="AO389" s="1107"/>
      <c r="AP389" s="1107"/>
      <c r="AQ389" s="1107"/>
      <c r="AR389" s="1107"/>
      <c r="AS389" s="1107"/>
      <c r="AT389" s="1107"/>
      <c r="AU389" s="1107"/>
      <c r="AV389" s="1107"/>
      <c r="AW389" s="1107"/>
      <c r="AX389" s="1107"/>
      <c r="AY389" s="1107"/>
      <c r="AZ389" s="1107"/>
      <c r="BA389" s="1107"/>
      <c r="BB389" s="1107"/>
      <c r="BC389" s="1107"/>
      <c r="BD389" s="1107"/>
      <c r="BE389" s="1107"/>
      <c r="BF389" s="1107"/>
      <c r="BG389" s="1107"/>
      <c r="BH389" s="1107"/>
      <c r="BI389" s="1107"/>
      <c r="BJ389" s="1107"/>
      <c r="BK389" s="1107"/>
      <c r="BL389" s="1107"/>
      <c r="BM389" s="1107"/>
      <c r="BN389" s="1107"/>
      <c r="BO389" s="1107"/>
      <c r="BP389" s="1107"/>
      <c r="BQ389" s="1107"/>
      <c r="BR389" s="1107"/>
      <c r="BS389" s="1107"/>
      <c r="BT389" s="1107"/>
      <c r="BU389" s="1107"/>
      <c r="BV389" s="1107"/>
      <c r="BW389" s="1107"/>
      <c r="BX389" s="1107"/>
      <c r="BY389" s="1107"/>
      <c r="BZ389" s="1107"/>
      <c r="CA389" s="1107"/>
      <c r="CB389" s="1107"/>
      <c r="CC389" s="1107"/>
      <c r="CD389" s="1107"/>
      <c r="CE389" s="1107"/>
      <c r="CF389" s="1107"/>
      <c r="CG389" s="1107"/>
      <c r="CH389" s="1107"/>
      <c r="CI389" s="1107"/>
      <c r="CJ389" s="1107"/>
      <c r="CK389" s="1107"/>
    </row>
    <row r="390" spans="1:89" x14ac:dyDescent="0.25">
      <c r="A390" s="1107"/>
      <c r="B390" s="2008"/>
      <c r="C390" s="1154">
        <v>6</v>
      </c>
      <c r="D390" s="1144" t="s">
        <v>1872</v>
      </c>
      <c r="E390" s="1144" t="s">
        <v>1426</v>
      </c>
      <c r="F390" s="1144" t="str">
        <f>'Required Info to Submit'!E28</f>
        <v/>
      </c>
      <c r="G390" s="1414" t="str">
        <f>IF(F390="","",'Required Info to Submit'!K28)</f>
        <v/>
      </c>
      <c r="H390" s="1415" t="str">
        <f>IF(F390="","",'Required Info to Submit'!L28)</f>
        <v/>
      </c>
      <c r="I390" s="1144" t="str">
        <f>'Required Info to Submit'!F28</f>
        <v/>
      </c>
      <c r="J390" s="1261" t="str">
        <f>'Required Info to Submit'!G28</f>
        <v/>
      </c>
      <c r="K390" s="1144" t="str">
        <f>'Required Info to Submit'!H28</f>
        <v/>
      </c>
      <c r="L390" s="1144" t="str">
        <f>'Required Info to Submit'!I28</f>
        <v/>
      </c>
      <c r="M390" s="1144" t="str">
        <f>'Required Info to Submit'!J28</f>
        <v/>
      </c>
      <c r="N390" s="1108"/>
      <c r="O390" s="1107"/>
      <c r="P390" s="1107"/>
      <c r="Q390" s="1107"/>
      <c r="R390" s="1107"/>
      <c r="S390" s="1107"/>
      <c r="T390" s="2008"/>
      <c r="U390" s="1154">
        <v>6</v>
      </c>
      <c r="V390" s="1144" t="s">
        <v>1872</v>
      </c>
      <c r="W390" s="1144" t="s">
        <v>1426</v>
      </c>
      <c r="X390" s="1144" t="str">
        <f>'Required Info to Submit'!E28</f>
        <v/>
      </c>
      <c r="Y390" s="1414" t="str">
        <f>IF(X390="","",'Required Info to Submit'!K28)</f>
        <v/>
      </c>
      <c r="Z390" s="1415" t="str">
        <f>IF(X390="","",'Required Info to Submit'!L28)</f>
        <v/>
      </c>
      <c r="AA390" s="1144" t="str">
        <f>'Required Info to Submit'!F28</f>
        <v/>
      </c>
      <c r="AB390" s="1261" t="str">
        <f>'Required Info to Submit'!G28</f>
        <v/>
      </c>
      <c r="AC390" s="1144" t="str">
        <f>'Required Info to Submit'!H28</f>
        <v/>
      </c>
      <c r="AD390" s="1144" t="str">
        <f>'Required Info to Submit'!I28</f>
        <v/>
      </c>
      <c r="AE390" s="1144" t="str">
        <f>'Required Info to Submit'!J28</f>
        <v/>
      </c>
      <c r="AF390" s="1108"/>
      <c r="AG390" s="1107"/>
      <c r="AH390" s="1107"/>
      <c r="AI390" s="1107"/>
      <c r="AJ390" s="1107"/>
      <c r="AK390" s="1107"/>
      <c r="AL390" s="1107"/>
      <c r="AM390" s="1107"/>
      <c r="AN390" s="1107"/>
      <c r="AO390" s="1107"/>
      <c r="AP390" s="1107"/>
      <c r="AQ390" s="1107"/>
      <c r="AR390" s="1107"/>
      <c r="AS390" s="1107"/>
      <c r="AT390" s="1107"/>
      <c r="AU390" s="1107"/>
      <c r="AV390" s="1107"/>
      <c r="AW390" s="1107"/>
      <c r="AX390" s="1107"/>
      <c r="AY390" s="1107"/>
      <c r="AZ390" s="1107"/>
      <c r="BA390" s="1107"/>
      <c r="BB390" s="1107"/>
      <c r="BC390" s="1107"/>
      <c r="BD390" s="1107"/>
      <c r="BE390" s="1107"/>
      <c r="BF390" s="1107"/>
      <c r="BG390" s="1107"/>
      <c r="BH390" s="1107"/>
      <c r="BI390" s="1107"/>
      <c r="BJ390" s="1107"/>
      <c r="BK390" s="1107"/>
      <c r="BL390" s="1107"/>
      <c r="BM390" s="1107"/>
      <c r="BN390" s="1107"/>
      <c r="BO390" s="1107"/>
      <c r="BP390" s="1107"/>
      <c r="BQ390" s="1107"/>
      <c r="BR390" s="1107"/>
      <c r="BS390" s="1107"/>
      <c r="BT390" s="1107"/>
      <c r="BU390" s="1107"/>
      <c r="BV390" s="1107"/>
      <c r="BW390" s="1107"/>
      <c r="BX390" s="1107"/>
      <c r="BY390" s="1107"/>
      <c r="BZ390" s="1107"/>
      <c r="CA390" s="1107"/>
      <c r="CB390" s="1107"/>
      <c r="CC390" s="1107"/>
      <c r="CD390" s="1107"/>
      <c r="CE390" s="1107"/>
      <c r="CF390" s="1107"/>
      <c r="CG390" s="1107"/>
      <c r="CH390" s="1107"/>
      <c r="CI390" s="1107"/>
      <c r="CJ390" s="1107"/>
      <c r="CK390" s="1107"/>
    </row>
    <row r="391" spans="1:89" x14ac:dyDescent="0.25">
      <c r="A391" s="1107"/>
      <c r="B391" s="2008"/>
      <c r="C391" s="1154">
        <v>7</v>
      </c>
      <c r="D391" s="1144" t="s">
        <v>1872</v>
      </c>
      <c r="E391" s="1144" t="s">
        <v>1426</v>
      </c>
      <c r="F391" s="1144" t="str">
        <f>'Required Info to Submit'!E29</f>
        <v/>
      </c>
      <c r="G391" s="1414" t="str">
        <f>IF(F391="","",'Required Info to Submit'!K29)</f>
        <v/>
      </c>
      <c r="H391" s="1415" t="str">
        <f>IF(F391="","",'Required Info to Submit'!L29)</f>
        <v/>
      </c>
      <c r="I391" s="1144" t="str">
        <f>'Required Info to Submit'!F29</f>
        <v/>
      </c>
      <c r="J391" s="1261" t="str">
        <f>'Required Info to Submit'!G29</f>
        <v/>
      </c>
      <c r="K391" s="1144" t="str">
        <f>'Required Info to Submit'!H29</f>
        <v/>
      </c>
      <c r="L391" s="1144" t="str">
        <f>'Required Info to Submit'!I29</f>
        <v/>
      </c>
      <c r="M391" s="1144" t="str">
        <f>'Required Info to Submit'!J29</f>
        <v/>
      </c>
      <c r="N391" s="1108"/>
      <c r="O391" s="1107"/>
      <c r="P391" s="1107"/>
      <c r="Q391" s="1107"/>
      <c r="R391" s="1107"/>
      <c r="S391" s="1107"/>
      <c r="T391" s="2008"/>
      <c r="U391" s="1154">
        <v>7</v>
      </c>
      <c r="V391" s="1144" t="s">
        <v>1872</v>
      </c>
      <c r="W391" s="1144" t="s">
        <v>1426</v>
      </c>
      <c r="X391" s="1144" t="str">
        <f>'Required Info to Submit'!E29</f>
        <v/>
      </c>
      <c r="Y391" s="1414" t="str">
        <f>IF(X391="","",'Required Info to Submit'!K29)</f>
        <v/>
      </c>
      <c r="Z391" s="1415" t="str">
        <f>IF(X391="","",'Required Info to Submit'!L29)</f>
        <v/>
      </c>
      <c r="AA391" s="1144" t="str">
        <f>'Required Info to Submit'!F29</f>
        <v/>
      </c>
      <c r="AB391" s="1261" t="str">
        <f>'Required Info to Submit'!G29</f>
        <v/>
      </c>
      <c r="AC391" s="1144" t="str">
        <f>'Required Info to Submit'!H29</f>
        <v/>
      </c>
      <c r="AD391" s="1144" t="str">
        <f>'Required Info to Submit'!I29</f>
        <v/>
      </c>
      <c r="AE391" s="1144" t="str">
        <f>'Required Info to Submit'!J29</f>
        <v/>
      </c>
      <c r="AF391" s="1108"/>
      <c r="AG391" s="1107"/>
      <c r="AH391" s="1107"/>
      <c r="AI391" s="1107"/>
      <c r="AJ391" s="1107"/>
      <c r="AK391" s="1107"/>
      <c r="AL391" s="1107"/>
      <c r="AM391" s="1107"/>
      <c r="AN391" s="1107"/>
      <c r="AO391" s="1107"/>
      <c r="AP391" s="1107"/>
      <c r="AQ391" s="1107"/>
      <c r="AR391" s="1107"/>
      <c r="AS391" s="1107"/>
      <c r="AT391" s="1107"/>
      <c r="AU391" s="1107"/>
      <c r="AV391" s="1107"/>
      <c r="AW391" s="1107"/>
      <c r="AX391" s="1107"/>
      <c r="AY391" s="1107"/>
      <c r="AZ391" s="1107"/>
      <c r="BA391" s="1107"/>
      <c r="BB391" s="1107"/>
      <c r="BC391" s="1107"/>
      <c r="BD391" s="1107"/>
      <c r="BE391" s="1107"/>
      <c r="BF391" s="1107"/>
      <c r="BG391" s="1107"/>
      <c r="BH391" s="1107"/>
      <c r="BI391" s="1107"/>
      <c r="BJ391" s="1107"/>
      <c r="BK391" s="1107"/>
      <c r="BL391" s="1107"/>
      <c r="BM391" s="1107"/>
      <c r="BN391" s="1107"/>
      <c r="BO391" s="1107"/>
      <c r="BP391" s="1107"/>
      <c r="BQ391" s="1107"/>
      <c r="BR391" s="1107"/>
      <c r="BS391" s="1107"/>
      <c r="BT391" s="1107"/>
      <c r="BU391" s="1107"/>
      <c r="BV391" s="1107"/>
      <c r="BW391" s="1107"/>
      <c r="BX391" s="1107"/>
      <c r="BY391" s="1107"/>
      <c r="BZ391" s="1107"/>
      <c r="CA391" s="1107"/>
      <c r="CB391" s="1107"/>
      <c r="CC391" s="1107"/>
      <c r="CD391" s="1107"/>
      <c r="CE391" s="1107"/>
      <c r="CF391" s="1107"/>
      <c r="CG391" s="1107"/>
      <c r="CH391" s="1107"/>
      <c r="CI391" s="1107"/>
      <c r="CJ391" s="1107"/>
      <c r="CK391" s="1107"/>
    </row>
    <row r="392" spans="1:89" x14ac:dyDescent="0.25">
      <c r="A392" s="1107"/>
      <c r="B392" s="2008"/>
      <c r="C392" s="1154">
        <v>8</v>
      </c>
      <c r="D392" s="1144" t="s">
        <v>1872</v>
      </c>
      <c r="E392" s="1144" t="s">
        <v>1426</v>
      </c>
      <c r="F392" s="1144" t="str">
        <f>'Required Info to Submit'!E30</f>
        <v/>
      </c>
      <c r="G392" s="1414" t="str">
        <f>IF(F392="","",'Required Info to Submit'!K30)</f>
        <v/>
      </c>
      <c r="H392" s="1415" t="str">
        <f>IF(F392="","",'Required Info to Submit'!L30)</f>
        <v/>
      </c>
      <c r="I392" s="1144" t="str">
        <f>'Required Info to Submit'!F30</f>
        <v/>
      </c>
      <c r="J392" s="1261" t="str">
        <f>'Required Info to Submit'!G30</f>
        <v/>
      </c>
      <c r="K392" s="1144" t="str">
        <f>'Required Info to Submit'!H30</f>
        <v/>
      </c>
      <c r="L392" s="1144" t="str">
        <f>'Required Info to Submit'!I30</f>
        <v/>
      </c>
      <c r="M392" s="1144" t="str">
        <f>'Required Info to Submit'!J30</f>
        <v/>
      </c>
      <c r="N392" s="1108"/>
      <c r="O392" s="1107"/>
      <c r="P392" s="1107"/>
      <c r="Q392" s="1107"/>
      <c r="R392" s="1107"/>
      <c r="S392" s="1107"/>
      <c r="T392" s="2008"/>
      <c r="U392" s="1154">
        <v>8</v>
      </c>
      <c r="V392" s="1144" t="s">
        <v>1872</v>
      </c>
      <c r="W392" s="1144" t="s">
        <v>1426</v>
      </c>
      <c r="X392" s="1144" t="str">
        <f>'Required Info to Submit'!E30</f>
        <v/>
      </c>
      <c r="Y392" s="1414" t="str">
        <f>IF(X392="","",'Required Info to Submit'!K30)</f>
        <v/>
      </c>
      <c r="Z392" s="1415" t="str">
        <f>IF(X392="","",'Required Info to Submit'!L30)</f>
        <v/>
      </c>
      <c r="AA392" s="1144" t="str">
        <f>'Required Info to Submit'!F30</f>
        <v/>
      </c>
      <c r="AB392" s="1261" t="str">
        <f>'Required Info to Submit'!G30</f>
        <v/>
      </c>
      <c r="AC392" s="1144" t="str">
        <f>'Required Info to Submit'!H30</f>
        <v/>
      </c>
      <c r="AD392" s="1144" t="str">
        <f>'Required Info to Submit'!I30</f>
        <v/>
      </c>
      <c r="AE392" s="1144" t="str">
        <f>'Required Info to Submit'!J30</f>
        <v/>
      </c>
      <c r="AF392" s="1108"/>
      <c r="AG392" s="1107"/>
      <c r="AH392" s="1107"/>
      <c r="AI392" s="1107"/>
      <c r="AJ392" s="1107"/>
      <c r="AK392" s="1107"/>
      <c r="AL392" s="1107"/>
      <c r="AM392" s="1107"/>
      <c r="AN392" s="1107"/>
      <c r="AO392" s="1107"/>
      <c r="AP392" s="1107"/>
      <c r="AQ392" s="1107"/>
      <c r="AR392" s="1107"/>
      <c r="AS392" s="1107"/>
      <c r="AT392" s="1107"/>
      <c r="AU392" s="1107"/>
      <c r="AV392" s="1107"/>
      <c r="AW392" s="1107"/>
      <c r="AX392" s="1107"/>
      <c r="AY392" s="1107"/>
      <c r="AZ392" s="1107"/>
      <c r="BA392" s="1107"/>
      <c r="BB392" s="1107"/>
      <c r="BC392" s="1107"/>
      <c r="BD392" s="1107"/>
      <c r="BE392" s="1107"/>
      <c r="BF392" s="1107"/>
      <c r="BG392" s="1107"/>
      <c r="BH392" s="1107"/>
      <c r="BI392" s="1107"/>
      <c r="BJ392" s="1107"/>
      <c r="BK392" s="1107"/>
      <c r="BL392" s="1107"/>
      <c r="BM392" s="1107"/>
      <c r="BN392" s="1107"/>
      <c r="BO392" s="1107"/>
      <c r="BP392" s="1107"/>
      <c r="BQ392" s="1107"/>
      <c r="BR392" s="1107"/>
      <c r="BS392" s="1107"/>
      <c r="BT392" s="1107"/>
      <c r="BU392" s="1107"/>
      <c r="BV392" s="1107"/>
      <c r="BW392" s="1107"/>
      <c r="BX392" s="1107"/>
      <c r="BY392" s="1107"/>
      <c r="BZ392" s="1107"/>
      <c r="CA392" s="1107"/>
      <c r="CB392" s="1107"/>
      <c r="CC392" s="1107"/>
      <c r="CD392" s="1107"/>
      <c r="CE392" s="1107"/>
      <c r="CF392" s="1107"/>
      <c r="CG392" s="1107"/>
      <c r="CH392" s="1107"/>
      <c r="CI392" s="1107"/>
      <c r="CJ392" s="1107"/>
      <c r="CK392" s="1107"/>
    </row>
    <row r="393" spans="1:89" x14ac:dyDescent="0.25">
      <c r="A393" s="1107"/>
      <c r="B393" s="2008"/>
      <c r="C393" s="1154">
        <v>9</v>
      </c>
      <c r="D393" s="1144" t="s">
        <v>1872</v>
      </c>
      <c r="E393" s="1144" t="s">
        <v>1426</v>
      </c>
      <c r="F393" s="1144" t="str">
        <f>'Required Info to Submit'!E31</f>
        <v/>
      </c>
      <c r="G393" s="1414" t="str">
        <f>IF(F393="","",'Required Info to Submit'!K31)</f>
        <v/>
      </c>
      <c r="H393" s="1415" t="str">
        <f>IF(F393="","",'Required Info to Submit'!L31)</f>
        <v/>
      </c>
      <c r="I393" s="1144" t="str">
        <f>'Required Info to Submit'!F31</f>
        <v/>
      </c>
      <c r="J393" s="1261" t="str">
        <f>'Required Info to Submit'!G31</f>
        <v/>
      </c>
      <c r="K393" s="1144" t="str">
        <f>'Required Info to Submit'!H31</f>
        <v/>
      </c>
      <c r="L393" s="1144" t="str">
        <f>'Required Info to Submit'!I31</f>
        <v/>
      </c>
      <c r="M393" s="1144" t="str">
        <f>'Required Info to Submit'!J31</f>
        <v/>
      </c>
      <c r="N393" s="1108"/>
      <c r="O393" s="1107"/>
      <c r="P393" s="1107"/>
      <c r="Q393" s="1107"/>
      <c r="R393" s="1107"/>
      <c r="S393" s="1107"/>
      <c r="T393" s="2008"/>
      <c r="U393" s="1154">
        <v>9</v>
      </c>
      <c r="V393" s="1144" t="s">
        <v>1872</v>
      </c>
      <c r="W393" s="1144" t="s">
        <v>1426</v>
      </c>
      <c r="X393" s="1144" t="str">
        <f>'Required Info to Submit'!E31</f>
        <v/>
      </c>
      <c r="Y393" s="1414" t="str">
        <f>IF(X393="","",'Required Info to Submit'!K31)</f>
        <v/>
      </c>
      <c r="Z393" s="1415" t="str">
        <f>IF(X393="","",'Required Info to Submit'!L31)</f>
        <v/>
      </c>
      <c r="AA393" s="1144" t="str">
        <f>'Required Info to Submit'!F31</f>
        <v/>
      </c>
      <c r="AB393" s="1261" t="str">
        <f>'Required Info to Submit'!G31</f>
        <v/>
      </c>
      <c r="AC393" s="1144" t="str">
        <f>'Required Info to Submit'!H31</f>
        <v/>
      </c>
      <c r="AD393" s="1144" t="str">
        <f>'Required Info to Submit'!I31</f>
        <v/>
      </c>
      <c r="AE393" s="1144" t="str">
        <f>'Required Info to Submit'!J31</f>
        <v/>
      </c>
      <c r="AF393" s="1108"/>
      <c r="AG393" s="1107"/>
      <c r="AH393" s="1107"/>
      <c r="AI393" s="1107"/>
      <c r="AJ393" s="1107"/>
      <c r="AK393" s="1107"/>
      <c r="AL393" s="1107"/>
      <c r="AM393" s="1107"/>
      <c r="AN393" s="1107"/>
      <c r="AO393" s="1107"/>
      <c r="AP393" s="1107"/>
      <c r="AQ393" s="1107"/>
      <c r="AR393" s="1107"/>
      <c r="AS393" s="1107"/>
      <c r="AT393" s="1107"/>
      <c r="AU393" s="1107"/>
      <c r="AV393" s="1107"/>
      <c r="AW393" s="1107"/>
      <c r="AX393" s="1107"/>
      <c r="AY393" s="1107"/>
      <c r="AZ393" s="1107"/>
      <c r="BA393" s="1107"/>
      <c r="BB393" s="1107"/>
      <c r="BC393" s="1107"/>
      <c r="BD393" s="1107"/>
      <c r="BE393" s="1107"/>
      <c r="BF393" s="1107"/>
      <c r="BG393" s="1107"/>
      <c r="BH393" s="1107"/>
      <c r="BI393" s="1107"/>
      <c r="BJ393" s="1107"/>
      <c r="BK393" s="1107"/>
      <c r="BL393" s="1107"/>
      <c r="BM393" s="1107"/>
      <c r="BN393" s="1107"/>
      <c r="BO393" s="1107"/>
      <c r="BP393" s="1107"/>
      <c r="BQ393" s="1107"/>
      <c r="BR393" s="1107"/>
      <c r="BS393" s="1107"/>
      <c r="BT393" s="1107"/>
      <c r="BU393" s="1107"/>
      <c r="BV393" s="1107"/>
      <c r="BW393" s="1107"/>
      <c r="BX393" s="1107"/>
      <c r="BY393" s="1107"/>
      <c r="BZ393" s="1107"/>
      <c r="CA393" s="1107"/>
      <c r="CB393" s="1107"/>
      <c r="CC393" s="1107"/>
      <c r="CD393" s="1107"/>
      <c r="CE393" s="1107"/>
      <c r="CF393" s="1107"/>
      <c r="CG393" s="1107"/>
      <c r="CH393" s="1107"/>
      <c r="CI393" s="1107"/>
      <c r="CJ393" s="1107"/>
      <c r="CK393" s="1107"/>
    </row>
    <row r="394" spans="1:89" ht="15.75" thickBot="1" x14ac:dyDescent="0.3">
      <c r="A394" s="1107"/>
      <c r="B394" s="2009"/>
      <c r="C394" s="1156">
        <v>10</v>
      </c>
      <c r="D394" s="1146" t="s">
        <v>1872</v>
      </c>
      <c r="E394" s="1146" t="s">
        <v>1426</v>
      </c>
      <c r="F394" s="1146" t="str">
        <f>'Required Info to Submit'!E32</f>
        <v/>
      </c>
      <c r="G394" s="1416" t="str">
        <f>IF(F394="","",'Required Info to Submit'!K32)</f>
        <v/>
      </c>
      <c r="H394" s="1416" t="str">
        <f>IF(F394="","",'Required Info to Submit'!L32)</f>
        <v/>
      </c>
      <c r="I394" s="1146" t="str">
        <f>'Required Info to Submit'!F32</f>
        <v/>
      </c>
      <c r="J394" s="1262" t="str">
        <f>'Required Info to Submit'!G32</f>
        <v/>
      </c>
      <c r="K394" s="1146" t="str">
        <f>'Required Info to Submit'!H32</f>
        <v/>
      </c>
      <c r="L394" s="1146" t="str">
        <f>'Required Info to Submit'!I32</f>
        <v/>
      </c>
      <c r="M394" s="1146" t="str">
        <f>'Required Info to Submit'!J32</f>
        <v/>
      </c>
      <c r="N394" s="1110"/>
      <c r="O394" s="1107"/>
      <c r="P394" s="1107"/>
      <c r="Q394" s="1107"/>
      <c r="R394" s="1107"/>
      <c r="S394" s="1107"/>
      <c r="T394" s="2009"/>
      <c r="U394" s="1156">
        <v>10</v>
      </c>
      <c r="V394" s="1146" t="s">
        <v>1872</v>
      </c>
      <c r="W394" s="1146" t="s">
        <v>1426</v>
      </c>
      <c r="X394" s="1146" t="str">
        <f>'Required Info to Submit'!E32</f>
        <v/>
      </c>
      <c r="Y394" s="1416" t="str">
        <f>IF(X394="","",'Required Info to Submit'!K32)</f>
        <v/>
      </c>
      <c r="Z394" s="1416" t="str">
        <f>IF(X394="","",'Required Info to Submit'!L32)</f>
        <v/>
      </c>
      <c r="AA394" s="1146" t="str">
        <f>'Required Info to Submit'!F32</f>
        <v/>
      </c>
      <c r="AB394" s="1262" t="str">
        <f>'Required Info to Submit'!G32</f>
        <v/>
      </c>
      <c r="AC394" s="1146" t="str">
        <f>'Required Info to Submit'!H32</f>
        <v/>
      </c>
      <c r="AD394" s="1146" t="str">
        <f>'Required Info to Submit'!I32</f>
        <v/>
      </c>
      <c r="AE394" s="1146" t="str">
        <f>'Required Info to Submit'!J32</f>
        <v/>
      </c>
      <c r="AF394" s="1110"/>
      <c r="AG394" s="1107"/>
      <c r="AH394" s="1107"/>
      <c r="AI394" s="1107"/>
      <c r="AJ394" s="1107"/>
      <c r="AK394" s="1107"/>
      <c r="AL394" s="1107"/>
      <c r="AM394" s="1107"/>
      <c r="AN394" s="1107"/>
      <c r="AO394" s="1107"/>
      <c r="AP394" s="1107"/>
      <c r="AQ394" s="1107"/>
      <c r="AR394" s="1107"/>
      <c r="AS394" s="1107"/>
      <c r="AT394" s="1107"/>
      <c r="AU394" s="1107"/>
      <c r="AV394" s="1107"/>
      <c r="AW394" s="1107"/>
      <c r="AX394" s="1107"/>
      <c r="AY394" s="1107"/>
      <c r="AZ394" s="1107"/>
      <c r="BA394" s="1107"/>
      <c r="BB394" s="1107"/>
      <c r="BC394" s="1107"/>
      <c r="BD394" s="1107"/>
      <c r="BE394" s="1107"/>
      <c r="BF394" s="1107"/>
      <c r="BG394" s="1107"/>
      <c r="BH394" s="1107"/>
      <c r="BI394" s="1107"/>
      <c r="BJ394" s="1107"/>
      <c r="BK394" s="1107"/>
      <c r="BL394" s="1107"/>
      <c r="BM394" s="1107"/>
      <c r="BN394" s="1107"/>
      <c r="BO394" s="1107"/>
      <c r="BP394" s="1107"/>
      <c r="BQ394" s="1107"/>
      <c r="BR394" s="1107"/>
      <c r="BS394" s="1107"/>
      <c r="BT394" s="1107"/>
      <c r="BU394" s="1107"/>
      <c r="BV394" s="1107"/>
      <c r="BW394" s="1107"/>
      <c r="BX394" s="1107"/>
      <c r="BY394" s="1107"/>
      <c r="BZ394" s="1107"/>
      <c r="CA394" s="1107"/>
      <c r="CB394" s="1107"/>
      <c r="CC394" s="1107"/>
      <c r="CD394" s="1107"/>
      <c r="CE394" s="1107"/>
      <c r="CF394" s="1107"/>
      <c r="CG394" s="1107"/>
      <c r="CH394" s="1107"/>
      <c r="CI394" s="1107"/>
      <c r="CJ394" s="1107"/>
      <c r="CK394" s="1107"/>
    </row>
    <row r="395" spans="1:89" x14ac:dyDescent="0.25">
      <c r="A395" s="1107"/>
      <c r="B395" s="1223"/>
      <c r="C395" s="1107"/>
      <c r="D395" s="1107"/>
      <c r="E395" s="1107"/>
      <c r="F395" s="1107"/>
      <c r="G395" s="1107"/>
      <c r="H395" s="1107"/>
      <c r="I395" s="1107"/>
      <c r="J395" s="1107"/>
      <c r="K395" s="1107"/>
      <c r="L395" s="1107"/>
      <c r="M395" s="1107"/>
      <c r="N395" s="1107"/>
      <c r="O395" s="1107"/>
      <c r="P395" s="1107"/>
      <c r="Q395" s="1107"/>
      <c r="R395" s="1107"/>
      <c r="S395" s="1107"/>
      <c r="T395" s="1223"/>
      <c r="U395" s="1107"/>
      <c r="V395" s="1107"/>
      <c r="W395" s="1107"/>
      <c r="X395" s="1107"/>
      <c r="Y395" s="1107"/>
      <c r="Z395" s="1107"/>
      <c r="AA395" s="1107"/>
      <c r="AB395" s="1107"/>
      <c r="AC395" s="1107"/>
      <c r="AD395" s="1107"/>
      <c r="AE395" s="1107"/>
      <c r="AF395" s="1107"/>
      <c r="AG395" s="1107"/>
      <c r="AH395" s="1107"/>
      <c r="AI395" s="1107"/>
      <c r="AJ395" s="1107"/>
      <c r="AK395" s="1107"/>
      <c r="AL395" s="1107"/>
      <c r="AM395" s="1107"/>
      <c r="AN395" s="1107"/>
      <c r="AO395" s="1107"/>
      <c r="AP395" s="1107"/>
      <c r="AQ395" s="1107"/>
      <c r="AR395" s="1107"/>
      <c r="AS395" s="1107"/>
      <c r="AT395" s="1107"/>
      <c r="AU395" s="1107"/>
      <c r="AV395" s="1107"/>
      <c r="AW395" s="1107"/>
      <c r="AX395" s="1107"/>
      <c r="AY395" s="1107"/>
      <c r="AZ395" s="1107"/>
      <c r="BA395" s="1107"/>
      <c r="BB395" s="1107"/>
      <c r="BC395" s="1107"/>
      <c r="BD395" s="1107"/>
      <c r="BE395" s="1107"/>
      <c r="BF395" s="1107"/>
      <c r="BG395" s="1107"/>
      <c r="BH395" s="1107"/>
      <c r="BI395" s="1107"/>
      <c r="BJ395" s="1107"/>
      <c r="BK395" s="1107"/>
      <c r="BL395" s="1107"/>
      <c r="BM395" s="1107"/>
      <c r="BN395" s="1107"/>
      <c r="BO395" s="1107"/>
      <c r="BP395" s="1107"/>
      <c r="BQ395" s="1107"/>
      <c r="BR395" s="1107"/>
      <c r="BS395" s="1107"/>
      <c r="BT395" s="1107"/>
      <c r="BU395" s="1107"/>
      <c r="BV395" s="1107"/>
      <c r="BW395" s="1107"/>
      <c r="BX395" s="1107"/>
      <c r="BY395" s="1107"/>
      <c r="BZ395" s="1107"/>
      <c r="CA395" s="1107"/>
      <c r="CB395" s="1107"/>
      <c r="CC395" s="1107"/>
      <c r="CD395" s="1107"/>
      <c r="CE395" s="1107"/>
      <c r="CF395" s="1107"/>
      <c r="CG395" s="1107"/>
      <c r="CH395" s="1107"/>
      <c r="CI395" s="1107"/>
      <c r="CJ395" s="1107"/>
      <c r="CK395" s="1107"/>
    </row>
    <row r="396" spans="1:89" ht="15.75" thickBot="1" x14ac:dyDescent="0.3">
      <c r="A396" s="1107"/>
      <c r="B396" s="1223"/>
      <c r="C396" s="1107"/>
      <c r="D396" s="1107"/>
      <c r="E396" s="1107"/>
      <c r="F396" s="1107"/>
      <c r="G396" s="1107"/>
      <c r="H396" s="1107"/>
      <c r="I396" s="1107"/>
      <c r="J396" s="1107"/>
      <c r="K396" s="1107"/>
      <c r="L396" s="1107"/>
      <c r="M396" s="1107"/>
      <c r="N396" s="1107"/>
      <c r="O396" s="1107"/>
      <c r="P396" s="1107"/>
      <c r="Q396" s="1107"/>
      <c r="R396" s="1107"/>
      <c r="S396" s="1107"/>
      <c r="T396" s="1223"/>
      <c r="U396" s="1107"/>
      <c r="V396" s="1107"/>
      <c r="W396" s="1107"/>
      <c r="X396" s="1107"/>
      <c r="Y396" s="1107"/>
      <c r="Z396" s="1107"/>
      <c r="AA396" s="1107"/>
      <c r="AB396" s="1107"/>
      <c r="AC396" s="1107"/>
      <c r="AD396" s="1107"/>
      <c r="AE396" s="1107"/>
      <c r="AF396" s="1107"/>
      <c r="AG396" s="1107"/>
      <c r="AH396" s="1107"/>
      <c r="AI396" s="1107"/>
      <c r="AJ396" s="1107"/>
      <c r="AK396" s="1107"/>
      <c r="AL396" s="1107"/>
      <c r="AM396" s="1107"/>
      <c r="AN396" s="1107"/>
      <c r="AO396" s="1107"/>
      <c r="AP396" s="1107"/>
      <c r="AQ396" s="1107"/>
      <c r="AR396" s="1107"/>
      <c r="AS396" s="1107"/>
      <c r="AT396" s="1107"/>
      <c r="AU396" s="1107"/>
      <c r="AV396" s="1107"/>
      <c r="AW396" s="1107"/>
      <c r="AX396" s="1107"/>
      <c r="AY396" s="1107"/>
      <c r="AZ396" s="1107"/>
      <c r="BA396" s="1107"/>
      <c r="BB396" s="1107"/>
      <c r="BC396" s="1107"/>
      <c r="BD396" s="1107"/>
      <c r="BE396" s="1107"/>
      <c r="BF396" s="1107"/>
      <c r="BG396" s="1107"/>
      <c r="BH396" s="1107"/>
      <c r="BI396" s="1107"/>
      <c r="BJ396" s="1107"/>
      <c r="BK396" s="1107"/>
      <c r="BL396" s="1107"/>
      <c r="BM396" s="1107"/>
      <c r="BN396" s="1107"/>
      <c r="BO396" s="1107"/>
      <c r="BP396" s="1107"/>
      <c r="BQ396" s="1107"/>
      <c r="BR396" s="1107"/>
      <c r="BS396" s="1107"/>
      <c r="BT396" s="1107"/>
      <c r="BU396" s="1107"/>
      <c r="BV396" s="1107"/>
      <c r="BW396" s="1107"/>
      <c r="BX396" s="1107"/>
      <c r="BY396" s="1107"/>
      <c r="BZ396" s="1107"/>
      <c r="CA396" s="1107"/>
      <c r="CB396" s="1107"/>
      <c r="CC396" s="1107"/>
      <c r="CD396" s="1107"/>
      <c r="CE396" s="1107"/>
      <c r="CF396" s="1107"/>
      <c r="CG396" s="1107"/>
      <c r="CH396" s="1107"/>
      <c r="CI396" s="1107"/>
      <c r="CJ396" s="1107"/>
      <c r="CK396" s="1107"/>
    </row>
    <row r="397" spans="1:89" ht="45.75" thickBot="1" x14ac:dyDescent="0.3">
      <c r="A397" s="1107"/>
      <c r="B397" s="1303"/>
      <c r="C397" s="1100" t="s">
        <v>1383</v>
      </c>
      <c r="D397" s="1100" t="s">
        <v>1491</v>
      </c>
      <c r="E397" s="1100" t="s">
        <v>765</v>
      </c>
      <c r="F397" s="1100" t="s">
        <v>1179</v>
      </c>
      <c r="G397" s="1101" t="s">
        <v>1911</v>
      </c>
      <c r="H397" s="1101" t="s">
        <v>1381</v>
      </c>
      <c r="I397" s="1101" t="s">
        <v>1397</v>
      </c>
      <c r="J397" s="1100" t="s">
        <v>1382</v>
      </c>
      <c r="K397" s="1100" t="s">
        <v>1850</v>
      </c>
      <c r="L397" s="1100" t="s">
        <v>1851</v>
      </c>
      <c r="M397" s="1101" t="s">
        <v>1495</v>
      </c>
      <c r="N397" s="1107"/>
      <c r="O397" s="1107"/>
      <c r="P397" s="1107"/>
      <c r="Q397" s="1107"/>
      <c r="R397" s="1107"/>
      <c r="S397" s="1107"/>
      <c r="T397" s="1303"/>
      <c r="U397" s="1100" t="s">
        <v>1383</v>
      </c>
      <c r="V397" s="1100" t="s">
        <v>1491</v>
      </c>
      <c r="W397" s="1100" t="s">
        <v>765</v>
      </c>
      <c r="X397" s="1100" t="s">
        <v>1179</v>
      </c>
      <c r="Y397" s="1101" t="s">
        <v>1911</v>
      </c>
      <c r="Z397" s="1101" t="s">
        <v>1381</v>
      </c>
      <c r="AA397" s="1101" t="s">
        <v>1397</v>
      </c>
      <c r="AB397" s="1100" t="s">
        <v>1382</v>
      </c>
      <c r="AC397" s="1100" t="s">
        <v>1850</v>
      </c>
      <c r="AD397" s="1100" t="s">
        <v>1851</v>
      </c>
      <c r="AE397" s="1101" t="s">
        <v>1495</v>
      </c>
      <c r="AF397" s="1107"/>
      <c r="AG397" s="1107"/>
      <c r="AH397" s="1107"/>
      <c r="AI397" s="1107"/>
      <c r="AJ397" s="1107"/>
      <c r="AK397" s="1107"/>
      <c r="AL397" s="1107"/>
      <c r="AM397" s="1107"/>
      <c r="AN397" s="1107"/>
      <c r="AO397" s="1107"/>
      <c r="AP397" s="1107"/>
      <c r="AQ397" s="1107"/>
      <c r="AR397" s="1107"/>
      <c r="AS397" s="1107"/>
      <c r="AT397" s="1107"/>
      <c r="AU397" s="1107"/>
      <c r="AV397" s="1107"/>
      <c r="AW397" s="1107"/>
      <c r="AX397" s="1107"/>
      <c r="AY397" s="1107"/>
      <c r="AZ397" s="1107"/>
      <c r="BA397" s="1107"/>
      <c r="BB397" s="1107"/>
      <c r="BC397" s="1107"/>
      <c r="BD397" s="1107"/>
      <c r="BE397" s="1107"/>
      <c r="BF397" s="1107"/>
      <c r="BG397" s="1107"/>
      <c r="BH397" s="1107"/>
      <c r="BI397" s="1107"/>
      <c r="BJ397" s="1107"/>
      <c r="BK397" s="1107"/>
      <c r="BL397" s="1107"/>
      <c r="BM397" s="1107"/>
      <c r="BN397" s="1107"/>
      <c r="BO397" s="1107"/>
      <c r="BP397" s="1107"/>
      <c r="BQ397" s="1107"/>
      <c r="BR397" s="1107"/>
      <c r="BS397" s="1107"/>
      <c r="BT397" s="1107"/>
      <c r="BU397" s="1107"/>
      <c r="BV397" s="1107"/>
      <c r="BW397" s="1107"/>
      <c r="BX397" s="1107"/>
      <c r="BY397" s="1107"/>
      <c r="BZ397" s="1107"/>
      <c r="CA397" s="1107"/>
      <c r="CB397" s="1107"/>
      <c r="CC397" s="1107"/>
      <c r="CD397" s="1107"/>
      <c r="CE397" s="1107"/>
      <c r="CF397" s="1107"/>
      <c r="CG397" s="1107"/>
      <c r="CH397" s="1107"/>
      <c r="CI397" s="1107"/>
      <c r="CJ397" s="1107"/>
      <c r="CK397" s="1107"/>
    </row>
    <row r="398" spans="1:89" ht="30.75" thickBot="1" x14ac:dyDescent="0.3">
      <c r="A398" s="1107"/>
      <c r="B398" s="1241" t="s">
        <v>1913</v>
      </c>
      <c r="C398" s="1133" t="s">
        <v>1620</v>
      </c>
      <c r="D398" s="1112">
        <v>601</v>
      </c>
      <c r="E398" s="1252" t="str" cm="1">
        <f t="array" aca="1" ref="E398" ca="1">INDIRECT("'Incentives Worksheet'!D"&amp;'Configurable Tab'!H35+6)</f>
        <v/>
      </c>
      <c r="F398" s="1253" t="str" cm="1">
        <f t="array" aca="1" ref="F398" ca="1">INDIRECT("'Incentives Worksheet'!D"&amp;'Configurable Tab'!H35+8)</f>
        <v/>
      </c>
      <c r="G398" s="1230" t="str" cm="1">
        <f t="array" aca="1" ref="G398" ca="1">IF(INDIRECT("'Incentives Worksheet'!H"&amp;'Configurable Tab'!H35+6)=0,"",INDIRECT("'Incentives Worksheet'!H"&amp;'Configurable Tab'!H35+6))</f>
        <v/>
      </c>
      <c r="H398" s="1104" t="str" cm="1">
        <f t="array" aca="1" ref="H398" ca="1">IF(ISBLANK(INDIRECT("'Incentives Worksheet'!J"&amp;'Configurable Tab'!H35+3)),"",INDIRECT("'Incentives Worksheet'!J"&amp;'Configurable Tab'!H35+3))</f>
        <v/>
      </c>
      <c r="I398" s="1104" t="str" cm="1">
        <f t="array" aca="1" ref="I398" ca="1">IF(ISBLANK(INDIRECT("'Incentives Worksheet'!L"&amp;'Configurable Tab'!H35+3)),"",INDIRECT("'Incentives Worksheet'!L"&amp;'Configurable Tab'!H35+3))</f>
        <v/>
      </c>
      <c r="J398" s="1104" t="str" cm="1">
        <f t="array" aca="1" ref="J398" ca="1">IF(ISBLANK(INDIRECT("'Incentives Worksheet'!N"&amp;'Configurable Tab'!H35+3)),"",INDIRECT("'Incentives Worksheet'!N"&amp;'Configurable Tab'!H35+3))</f>
        <v/>
      </c>
      <c r="K398" s="1104" t="str" cm="1">
        <f t="array" aca="1" ref="K398" ca="1">IF(ISBLANK(INDIRECT("'Incentives Worksheet'!H"&amp;'Configurable Tab'!H35+3)),"",INDIRECT("'Incentives Worksheet'!H"&amp;'Configurable Tab'!H35+3))</f>
        <v/>
      </c>
      <c r="L398" s="1104" t="str" cm="1">
        <f t="array" aca="1" ref="L398" ca="1">IF(INDIRECT("'Incentives Worksheet'!R"&amp;'Configurable Tab'!H35+3)="USF Calendar","Fiscal",INDIRECT("'Incentives Worksheet'!R"&amp;'Configurable Tab'!H35+3))</f>
        <v>Calendar</v>
      </c>
      <c r="M398" s="1104" t="str" cm="1">
        <f t="array" aca="1" ref="M398" ca="1">INDIRECT("'Incentives Worksheet'!D"&amp;'Configurable Tab'!H35+10)</f>
        <v>Yes</v>
      </c>
      <c r="N398" s="1107"/>
      <c r="O398" s="1107"/>
      <c r="P398" s="1107"/>
      <c r="Q398" s="1107"/>
      <c r="R398" s="1107"/>
      <c r="S398" s="1107"/>
      <c r="T398" s="1241" t="s">
        <v>1913</v>
      </c>
      <c r="U398" s="1133" t="s">
        <v>1620</v>
      </c>
      <c r="V398" s="1112">
        <v>602</v>
      </c>
      <c r="W398" s="1252" t="str" cm="1">
        <f t="array" aca="1" ref="W398" ca="1">INDIRECT("'Incentives Worksheet'!D"&amp;'Configurable Tab'!H36+6)</f>
        <v/>
      </c>
      <c r="X398" s="1253" t="str" cm="1">
        <f t="array" aca="1" ref="X398" ca="1">INDIRECT("'Incentives Worksheet'!D"&amp;'Configurable Tab'!H36+8)</f>
        <v/>
      </c>
      <c r="Y398" s="1230" t="str" cm="1">
        <f t="array" aca="1" ref="Y398" ca="1">IF(INDIRECT("'Incentives Worksheet'!H"&amp;'Configurable Tab'!H36+6)=0,"",INDIRECT("'Incentives Worksheet'!H"&amp;'Configurable Tab'!H36+6))</f>
        <v/>
      </c>
      <c r="Z398" s="1104" t="str" cm="1">
        <f t="array" aca="1" ref="Z398" ca="1">IF(ISBLANK(INDIRECT("'Incentives Worksheet'!J"&amp;'Configurable Tab'!H36+3)),"",INDIRECT("'Incentives Worksheet'!J"&amp;'Configurable Tab'!H36+3))</f>
        <v/>
      </c>
      <c r="AA398" s="1104" t="str" cm="1">
        <f t="array" aca="1" ref="AA398" ca="1">IF(ISBLANK(INDIRECT("'Incentives Worksheet'!L"&amp;'Configurable Tab'!H36+3)),"",INDIRECT("'Incentives Worksheet'!L"&amp;'Configurable Tab'!H36+3))</f>
        <v/>
      </c>
      <c r="AB398" s="1104" t="str" cm="1">
        <f t="array" aca="1" ref="AB398" ca="1">IF(ISBLANK(INDIRECT("'Incentives Worksheet'!N"&amp;'Configurable Tab'!H36+3)),"",INDIRECT("'Incentives Worksheet'!N"&amp;'Configurable Tab'!H36+3))</f>
        <v/>
      </c>
      <c r="AC398" s="1104" t="str" cm="1">
        <f t="array" aca="1" ref="AC398" ca="1">IF(ISBLANK(INDIRECT("'Incentives Worksheet'!H"&amp;'Configurable Tab'!H36+3)),"",INDIRECT("'Incentives Worksheet'!H"&amp;'Configurable Tab'!H36+3))</f>
        <v/>
      </c>
      <c r="AD398" s="1104" t="str" cm="1">
        <f t="array" aca="1" ref="AD398" ca="1">IF(INDIRECT("'Incentives Worksheet'!R"&amp;'Configurable Tab'!H36+3)="USF Calendar","Fiscal",INDIRECT("'Incentives Worksheet'!R"&amp;'Configurable Tab'!H36+3))</f>
        <v>Calendar</v>
      </c>
      <c r="AE398" s="1104" t="str" cm="1">
        <f t="array" aca="1" ref="AE398" ca="1">INDIRECT("'Incentives Worksheet'!D"&amp;'Configurable Tab'!H36+10)</f>
        <v>Yes</v>
      </c>
      <c r="AF398" s="1107"/>
      <c r="AG398" s="1107"/>
      <c r="AH398" s="1107"/>
      <c r="AI398" s="1107"/>
      <c r="AJ398" s="1107"/>
      <c r="AK398" s="1107"/>
      <c r="AL398" s="1107"/>
      <c r="AM398" s="1107"/>
      <c r="AN398" s="1107"/>
      <c r="AO398" s="1107"/>
      <c r="AP398" s="1107"/>
      <c r="AQ398" s="1107"/>
      <c r="AR398" s="1107"/>
      <c r="AS398" s="1107"/>
      <c r="AT398" s="1107"/>
      <c r="AU398" s="1107"/>
      <c r="AV398" s="1107"/>
      <c r="AW398" s="1107"/>
      <c r="AX398" s="1107"/>
      <c r="AY398" s="1107"/>
      <c r="AZ398" s="1107"/>
      <c r="BA398" s="1107"/>
      <c r="BB398" s="1107"/>
      <c r="BC398" s="1107"/>
      <c r="BD398" s="1107"/>
      <c r="BE398" s="1107"/>
      <c r="BF398" s="1107"/>
      <c r="BG398" s="1107"/>
      <c r="BH398" s="1107"/>
      <c r="BI398" s="1107"/>
      <c r="BJ398" s="1107"/>
      <c r="BK398" s="1107"/>
      <c r="BL398" s="1107"/>
      <c r="BM398" s="1107"/>
      <c r="BN398" s="1107"/>
      <c r="BO398" s="1107"/>
      <c r="BP398" s="1107"/>
      <c r="BQ398" s="1107"/>
      <c r="BR398" s="1107"/>
      <c r="BS398" s="1107"/>
      <c r="BT398" s="1107"/>
      <c r="BU398" s="1107"/>
      <c r="BV398" s="1107"/>
      <c r="BW398" s="1107"/>
      <c r="BX398" s="1107"/>
      <c r="BY398" s="1107"/>
      <c r="BZ398" s="1107"/>
      <c r="CA398" s="1107"/>
      <c r="CB398" s="1107"/>
      <c r="CC398" s="1107"/>
      <c r="CD398" s="1107"/>
      <c r="CE398" s="1107"/>
      <c r="CF398" s="1107"/>
      <c r="CG398" s="1107"/>
      <c r="CH398" s="1107"/>
      <c r="CI398" s="1107"/>
      <c r="CJ398" s="1107"/>
      <c r="CK398" s="1107"/>
    </row>
    <row r="399" spans="1:89" ht="30.75" customHeight="1" thickBot="1" x14ac:dyDescent="0.3">
      <c r="A399" s="1107"/>
      <c r="B399" s="2006" t="s">
        <v>1914</v>
      </c>
      <c r="C399" s="1109" t="s">
        <v>1481</v>
      </c>
      <c r="D399" s="1109" t="s">
        <v>727</v>
      </c>
      <c r="E399" s="1109" t="s">
        <v>1482</v>
      </c>
      <c r="F399" s="1107"/>
      <c r="G399" s="1131" t="s">
        <v>1841</v>
      </c>
      <c r="H399" s="1131" t="s">
        <v>1908</v>
      </c>
      <c r="I399" s="1107"/>
      <c r="J399" s="1107"/>
      <c r="K399" s="1107"/>
      <c r="L399" s="1107"/>
      <c r="M399" s="1108"/>
      <c r="N399" s="1107"/>
      <c r="O399" s="1107"/>
      <c r="P399" s="1107"/>
      <c r="Q399" s="1107"/>
      <c r="R399" s="1107"/>
      <c r="S399" s="1107"/>
      <c r="T399" s="2006" t="s">
        <v>1914</v>
      </c>
      <c r="U399" s="1109" t="s">
        <v>1481</v>
      </c>
      <c r="V399" s="1109" t="s">
        <v>727</v>
      </c>
      <c r="W399" s="1109" t="s">
        <v>1482</v>
      </c>
      <c r="X399" s="1107"/>
      <c r="Y399" s="1131" t="s">
        <v>1841</v>
      </c>
      <c r="Z399" s="1131" t="s">
        <v>1908</v>
      </c>
      <c r="AA399" s="1107"/>
      <c r="AB399" s="1107"/>
      <c r="AC399" s="1107"/>
      <c r="AD399" s="1107"/>
      <c r="AE399" s="1108"/>
      <c r="AF399" s="1107"/>
      <c r="AG399" s="1107"/>
      <c r="AH399" s="1107"/>
      <c r="AI399" s="1107"/>
      <c r="AJ399" s="1107"/>
      <c r="AK399" s="1107"/>
      <c r="AL399" s="1107"/>
      <c r="AM399" s="1107"/>
      <c r="AN399" s="1107"/>
      <c r="AO399" s="1107"/>
      <c r="AP399" s="1107"/>
      <c r="AQ399" s="1107"/>
      <c r="AR399" s="1107"/>
      <c r="AS399" s="1107"/>
      <c r="AT399" s="1107"/>
      <c r="AU399" s="1107"/>
      <c r="AV399" s="1107"/>
      <c r="AW399" s="1107"/>
      <c r="AX399" s="1107"/>
      <c r="AY399" s="1107"/>
      <c r="AZ399" s="1107"/>
      <c r="BA399" s="1107"/>
      <c r="BB399" s="1107"/>
      <c r="BC399" s="1107"/>
      <c r="BD399" s="1107"/>
      <c r="BE399" s="1107"/>
      <c r="BF399" s="1107"/>
      <c r="BG399" s="1107"/>
      <c r="BH399" s="1107"/>
      <c r="BI399" s="1107"/>
      <c r="BJ399" s="1107"/>
      <c r="BK399" s="1107"/>
      <c r="BL399" s="1107"/>
      <c r="BM399" s="1107"/>
      <c r="BN399" s="1107"/>
      <c r="BO399" s="1107"/>
      <c r="BP399" s="1107"/>
      <c r="BQ399" s="1107"/>
      <c r="BR399" s="1107"/>
      <c r="BS399" s="1107"/>
      <c r="BT399" s="1107"/>
      <c r="BU399" s="1107"/>
      <c r="BV399" s="1107"/>
      <c r="BW399" s="1107"/>
      <c r="BX399" s="1107"/>
      <c r="BY399" s="1107"/>
      <c r="BZ399" s="1107"/>
      <c r="CA399" s="1107"/>
      <c r="CB399" s="1107"/>
      <c r="CC399" s="1107"/>
      <c r="CD399" s="1107"/>
      <c r="CE399" s="1107"/>
      <c r="CF399" s="1107"/>
      <c r="CG399" s="1107"/>
      <c r="CH399" s="1107"/>
      <c r="CI399" s="1107"/>
      <c r="CJ399" s="1107"/>
      <c r="CK399" s="1107"/>
    </row>
    <row r="400" spans="1:89" ht="15.75" thickBot="1" x14ac:dyDescent="0.3">
      <c r="A400" s="1107"/>
      <c r="B400" s="2007"/>
      <c r="C400" s="1257" cm="1">
        <f t="array" aca="1" ref="C400" ca="1">INDIRECT("'Incentives Worksheet'!J"&amp;'Configurable Tab'!$H$35+6)</f>
        <v>1</v>
      </c>
      <c r="D400" s="1256" t="str" cm="1">
        <f t="array" aca="1" ref="D400" ca="1">IF(INDIRECT("'Incentives Worksheet'!L"&amp;'Configurable Tab'!H35+6)=0,"",INDIRECT("'Incentives Worksheet'!L"&amp;'Configurable Tab'!H35+6))</f>
        <v/>
      </c>
      <c r="E400" s="1256" t="str">
        <f ca="1">IF($D400&lt;&gt;"",'Agreement Worksheet'!$H$18,"")</f>
        <v/>
      </c>
      <c r="F400" s="1107"/>
      <c r="G400" s="1131"/>
      <c r="H400" s="1131"/>
      <c r="I400" s="1107"/>
      <c r="J400" s="1107"/>
      <c r="K400" s="1107"/>
      <c r="L400" s="1107"/>
      <c r="M400" s="1108"/>
      <c r="N400" s="1107"/>
      <c r="O400" s="1107"/>
      <c r="P400" s="1107"/>
      <c r="Q400" s="1107"/>
      <c r="R400" s="1107"/>
      <c r="S400" s="1107"/>
      <c r="T400" s="2007"/>
      <c r="U400" s="1257" cm="1">
        <f t="array" aca="1" ref="U400" ca="1">INDIRECT("'Incentives Worksheet'!J"&amp;'Configurable Tab'!$H$36+6)</f>
        <v>1</v>
      </c>
      <c r="V400" s="1256" t="str" cm="1">
        <f t="array" aca="1" ref="V400" ca="1">IF(INDIRECT("'Incentives Worksheet'!L"&amp;'Configurable Tab'!H36+6)=0,"",INDIRECT("'Incentives Worksheet'!L"&amp;'Configurable Tab'!H36+6))</f>
        <v/>
      </c>
      <c r="W400" s="1256" t="str">
        <f ca="1">IF($V400&lt;&gt;"",'Agreement Worksheet'!$H$18,"")</f>
        <v/>
      </c>
      <c r="X400" s="1107"/>
      <c r="Y400" s="1131"/>
      <c r="Z400" s="1131"/>
      <c r="AA400" s="1107"/>
      <c r="AB400" s="1107"/>
      <c r="AC400" s="1107"/>
      <c r="AD400" s="1107"/>
      <c r="AE400" s="1108"/>
      <c r="AF400" s="1107"/>
      <c r="AG400" s="1107"/>
      <c r="AH400" s="1107"/>
      <c r="AI400" s="1107"/>
      <c r="AJ400" s="1107"/>
      <c r="AK400" s="1107"/>
      <c r="AL400" s="1107"/>
      <c r="AM400" s="1107"/>
      <c r="AN400" s="1107"/>
      <c r="AO400" s="1107"/>
      <c r="AP400" s="1107"/>
      <c r="AQ400" s="1107"/>
      <c r="AR400" s="1107"/>
      <c r="AS400" s="1107"/>
      <c r="AT400" s="1107"/>
      <c r="AU400" s="1107"/>
      <c r="AV400" s="1107"/>
      <c r="AW400" s="1107"/>
      <c r="AX400" s="1107"/>
      <c r="AY400" s="1107"/>
      <c r="AZ400" s="1107"/>
      <c r="BA400" s="1107"/>
      <c r="BB400" s="1107"/>
      <c r="BC400" s="1107"/>
      <c r="BD400" s="1107"/>
      <c r="BE400" s="1107"/>
      <c r="BF400" s="1107"/>
      <c r="BG400" s="1107"/>
      <c r="BH400" s="1107"/>
      <c r="BI400" s="1107"/>
      <c r="BJ400" s="1107"/>
      <c r="BK400" s="1107"/>
      <c r="BL400" s="1107"/>
      <c r="BM400" s="1107"/>
      <c r="BN400" s="1107"/>
      <c r="BO400" s="1107"/>
      <c r="BP400" s="1107"/>
      <c r="BQ400" s="1107"/>
      <c r="BR400" s="1107"/>
      <c r="BS400" s="1107"/>
      <c r="BT400" s="1107"/>
      <c r="BU400" s="1107"/>
      <c r="BV400" s="1107"/>
      <c r="BW400" s="1107"/>
      <c r="BX400" s="1107"/>
      <c r="BY400" s="1107"/>
      <c r="BZ400" s="1107"/>
      <c r="CA400" s="1107"/>
      <c r="CB400" s="1107"/>
      <c r="CC400" s="1107"/>
      <c r="CD400" s="1107"/>
      <c r="CE400" s="1107"/>
      <c r="CF400" s="1107"/>
      <c r="CG400" s="1107"/>
      <c r="CH400" s="1107"/>
      <c r="CI400" s="1107"/>
      <c r="CJ400" s="1107"/>
      <c r="CK400" s="1107"/>
    </row>
    <row r="401" spans="1:89" ht="15.75" thickBot="1" x14ac:dyDescent="0.3">
      <c r="A401" s="1107"/>
      <c r="B401" s="2007"/>
      <c r="C401" s="1257" cm="1">
        <f t="array" aca="1" ref="C401" ca="1">INDIRECT("'Incentives Worksheet'!J"&amp;'Configurable Tab'!$H$35+7)</f>
        <v>2</v>
      </c>
      <c r="D401" s="1307" t="str" cm="1">
        <f t="array" aca="1" ref="D401" ca="1">IF(INDIRECT("'Incentives Worksheet'!L"&amp;'Configurable Tab'!H35+7)=0,"",INDIRECT("'Incentives Worksheet'!L"&amp;'Configurable Tab'!H35+7))</f>
        <v/>
      </c>
      <c r="E401" s="1307" t="str">
        <f ca="1">IF($D401&lt;&gt;"",'Agreement Worksheet'!$H$18,"")</f>
        <v/>
      </c>
      <c r="F401" s="1107"/>
      <c r="G401" s="1131"/>
      <c r="H401" s="1131"/>
      <c r="I401" s="1107"/>
      <c r="J401" s="1107"/>
      <c r="K401" s="1107"/>
      <c r="L401" s="1107"/>
      <c r="M401" s="1108"/>
      <c r="N401" s="1107"/>
      <c r="O401" s="1107"/>
      <c r="P401" s="1107"/>
      <c r="Q401" s="1107"/>
      <c r="R401" s="1107"/>
      <c r="S401" s="1107"/>
      <c r="T401" s="2007"/>
      <c r="U401" s="1257" cm="1">
        <f t="array" aca="1" ref="U401" ca="1">INDIRECT("'Incentives Worksheet'!J"&amp;'Configurable Tab'!$H$36+7)</f>
        <v>2</v>
      </c>
      <c r="V401" s="1307" t="str" cm="1">
        <f t="array" aca="1" ref="V401" ca="1">IF(INDIRECT("'Incentives Worksheet'!L"&amp;'Configurable Tab'!H36+7)=0,"",INDIRECT("'Incentives Worksheet'!L"&amp;'Configurable Tab'!H36+7))</f>
        <v/>
      </c>
      <c r="W401" s="1307" t="str">
        <f ca="1">IF($V401&lt;&gt;"",'Agreement Worksheet'!$H$18,"")</f>
        <v/>
      </c>
      <c r="X401" s="1107"/>
      <c r="Y401" s="1131"/>
      <c r="Z401" s="1131"/>
      <c r="AA401" s="1107"/>
      <c r="AB401" s="1107"/>
      <c r="AC401" s="1107"/>
      <c r="AD401" s="1107"/>
      <c r="AE401" s="1108"/>
      <c r="AF401" s="1107"/>
      <c r="AG401" s="1107"/>
      <c r="AH401" s="1107"/>
      <c r="AI401" s="1107"/>
      <c r="AJ401" s="1107"/>
      <c r="AK401" s="1107"/>
      <c r="AL401" s="1107"/>
      <c r="AM401" s="1107"/>
      <c r="AN401" s="1107"/>
      <c r="AO401" s="1107"/>
      <c r="AP401" s="1107"/>
      <c r="AQ401" s="1107"/>
      <c r="AR401" s="1107"/>
      <c r="AS401" s="1107"/>
      <c r="AT401" s="1107"/>
      <c r="AU401" s="1107"/>
      <c r="AV401" s="1107"/>
      <c r="AW401" s="1107"/>
      <c r="AX401" s="1107"/>
      <c r="AY401" s="1107"/>
      <c r="AZ401" s="1107"/>
      <c r="BA401" s="1107"/>
      <c r="BB401" s="1107"/>
      <c r="BC401" s="1107"/>
      <c r="BD401" s="1107"/>
      <c r="BE401" s="1107"/>
      <c r="BF401" s="1107"/>
      <c r="BG401" s="1107"/>
      <c r="BH401" s="1107"/>
      <c r="BI401" s="1107"/>
      <c r="BJ401" s="1107"/>
      <c r="BK401" s="1107"/>
      <c r="BL401" s="1107"/>
      <c r="BM401" s="1107"/>
      <c r="BN401" s="1107"/>
      <c r="BO401" s="1107"/>
      <c r="BP401" s="1107"/>
      <c r="BQ401" s="1107"/>
      <c r="BR401" s="1107"/>
      <c r="BS401" s="1107"/>
      <c r="BT401" s="1107"/>
      <c r="BU401" s="1107"/>
      <c r="BV401" s="1107"/>
      <c r="BW401" s="1107"/>
      <c r="BX401" s="1107"/>
      <c r="BY401" s="1107"/>
      <c r="BZ401" s="1107"/>
      <c r="CA401" s="1107"/>
      <c r="CB401" s="1107"/>
      <c r="CC401" s="1107"/>
      <c r="CD401" s="1107"/>
      <c r="CE401" s="1107"/>
      <c r="CF401" s="1107"/>
      <c r="CG401" s="1107"/>
      <c r="CH401" s="1107"/>
      <c r="CI401" s="1107"/>
      <c r="CJ401" s="1107"/>
      <c r="CK401" s="1107"/>
    </row>
    <row r="402" spans="1:89" ht="15.75" thickBot="1" x14ac:dyDescent="0.3">
      <c r="A402" s="1107"/>
      <c r="B402" s="2007"/>
      <c r="C402" s="1257" cm="1">
        <f t="array" aca="1" ref="C402" ca="1">INDIRECT("'Incentives Worksheet'!J"&amp;'Configurable Tab'!$H$35+8)</f>
        <v>3</v>
      </c>
      <c r="D402" s="1307" t="str" cm="1">
        <f t="array" aca="1" ref="D402" ca="1">IF(INDIRECT("'Incentives Worksheet'!L"&amp;'Configurable Tab'!H35+8)=0,"",INDIRECT("'Incentives Worksheet'!L"&amp;'Configurable Tab'!H35+8))</f>
        <v/>
      </c>
      <c r="E402" s="1307" t="str">
        <f ca="1">IF($D402&lt;&gt;"",'Agreement Worksheet'!$H$18,"")</f>
        <v/>
      </c>
      <c r="F402" s="1107"/>
      <c r="G402" s="1131"/>
      <c r="H402" s="1131"/>
      <c r="I402" s="1107"/>
      <c r="J402" s="1107"/>
      <c r="K402" s="1107"/>
      <c r="L402" s="1107"/>
      <c r="M402" s="1108"/>
      <c r="N402" s="1107"/>
      <c r="O402" s="1107"/>
      <c r="P402" s="1107"/>
      <c r="Q402" s="1107"/>
      <c r="R402" s="1107"/>
      <c r="S402" s="1107"/>
      <c r="T402" s="2007"/>
      <c r="U402" s="1257" cm="1">
        <f t="array" aca="1" ref="U402" ca="1">INDIRECT("'Incentives Worksheet'!J"&amp;'Configurable Tab'!$H$36+8)</f>
        <v>3</v>
      </c>
      <c r="V402" s="1307" t="str" cm="1">
        <f t="array" aca="1" ref="V402" ca="1">IF(INDIRECT("'Incentives Worksheet'!L"&amp;'Configurable Tab'!H36+8)=0,"",INDIRECT("'Incentives Worksheet'!L"&amp;'Configurable Tab'!H36+8))</f>
        <v/>
      </c>
      <c r="W402" s="1307" t="str">
        <f ca="1">IF($V402&lt;&gt;"",'Agreement Worksheet'!$H$18,"")</f>
        <v/>
      </c>
      <c r="X402" s="1107"/>
      <c r="Y402" s="1131"/>
      <c r="Z402" s="1131"/>
      <c r="AA402" s="1107"/>
      <c r="AB402" s="1107"/>
      <c r="AC402" s="1107"/>
      <c r="AD402" s="1107"/>
      <c r="AE402" s="1108"/>
      <c r="AF402" s="1107"/>
      <c r="AG402" s="1107"/>
      <c r="AH402" s="1107"/>
      <c r="AI402" s="1107"/>
      <c r="AJ402" s="1107"/>
      <c r="AK402" s="1107"/>
      <c r="AL402" s="1107"/>
      <c r="AM402" s="1107"/>
      <c r="AN402" s="1107"/>
      <c r="AO402" s="1107"/>
      <c r="AP402" s="1107"/>
      <c r="AQ402" s="1107"/>
      <c r="AR402" s="1107"/>
      <c r="AS402" s="1107"/>
      <c r="AT402" s="1107"/>
      <c r="AU402" s="1107"/>
      <c r="AV402" s="1107"/>
      <c r="AW402" s="1107"/>
      <c r="AX402" s="1107"/>
      <c r="AY402" s="1107"/>
      <c r="AZ402" s="1107"/>
      <c r="BA402" s="1107"/>
      <c r="BB402" s="1107"/>
      <c r="BC402" s="1107"/>
      <c r="BD402" s="1107"/>
      <c r="BE402" s="1107"/>
      <c r="BF402" s="1107"/>
      <c r="BG402" s="1107"/>
      <c r="BH402" s="1107"/>
      <c r="BI402" s="1107"/>
      <c r="BJ402" s="1107"/>
      <c r="BK402" s="1107"/>
      <c r="BL402" s="1107"/>
      <c r="BM402" s="1107"/>
      <c r="BN402" s="1107"/>
      <c r="BO402" s="1107"/>
      <c r="BP402" s="1107"/>
      <c r="BQ402" s="1107"/>
      <c r="BR402" s="1107"/>
      <c r="BS402" s="1107"/>
      <c r="BT402" s="1107"/>
      <c r="BU402" s="1107"/>
      <c r="BV402" s="1107"/>
      <c r="BW402" s="1107"/>
      <c r="BX402" s="1107"/>
      <c r="BY402" s="1107"/>
      <c r="BZ402" s="1107"/>
      <c r="CA402" s="1107"/>
      <c r="CB402" s="1107"/>
      <c r="CC402" s="1107"/>
      <c r="CD402" s="1107"/>
      <c r="CE402" s="1107"/>
      <c r="CF402" s="1107"/>
      <c r="CG402" s="1107"/>
      <c r="CH402" s="1107"/>
      <c r="CI402" s="1107"/>
      <c r="CJ402" s="1107"/>
      <c r="CK402" s="1107"/>
    </row>
    <row r="403" spans="1:89" ht="15.75" thickBot="1" x14ac:dyDescent="0.3">
      <c r="A403" s="1107"/>
      <c r="B403" s="2007"/>
      <c r="C403" s="1257" cm="1">
        <f t="array" aca="1" ref="C403" ca="1">INDIRECT("'Incentives Worksheet'!J"&amp;'Configurable Tab'!$H$35+9)</f>
        <v>4</v>
      </c>
      <c r="D403" s="1307" t="str" cm="1">
        <f t="array" aca="1" ref="D403" ca="1">IF(INDIRECT("'Incentives Worksheet'!L"&amp;'Configurable Tab'!H35+9)=0,"",INDIRECT("'Incentives Worksheet'!L"&amp;'Configurable Tab'!H35+9))</f>
        <v/>
      </c>
      <c r="E403" s="1307" t="str">
        <f ca="1">IF($D403&lt;&gt;"",'Agreement Worksheet'!$H$18,"")</f>
        <v/>
      </c>
      <c r="F403" s="1107"/>
      <c r="G403" s="1131"/>
      <c r="H403" s="1131"/>
      <c r="I403" s="1107"/>
      <c r="J403" s="1107"/>
      <c r="K403" s="1107"/>
      <c r="L403" s="1107"/>
      <c r="M403" s="1108"/>
      <c r="N403" s="1107"/>
      <c r="O403" s="1107"/>
      <c r="P403" s="1107"/>
      <c r="Q403" s="1107"/>
      <c r="R403" s="1107"/>
      <c r="S403" s="1107"/>
      <c r="T403" s="2007"/>
      <c r="U403" s="1257" cm="1">
        <f t="array" aca="1" ref="U403" ca="1">INDIRECT("'Incentives Worksheet'!J"&amp;'Configurable Tab'!$H$36+9)</f>
        <v>4</v>
      </c>
      <c r="V403" s="1307" t="str" cm="1">
        <f t="array" aca="1" ref="V403" ca="1">IF(INDIRECT("'Incentives Worksheet'!L"&amp;'Configurable Tab'!H36+9)=0,"",INDIRECT("'Incentives Worksheet'!L"&amp;'Configurable Tab'!H36+9))</f>
        <v/>
      </c>
      <c r="W403" s="1307" t="str">
        <f ca="1">IF($V403&lt;&gt;"",'Agreement Worksheet'!$H$18,"")</f>
        <v/>
      </c>
      <c r="X403" s="1107"/>
      <c r="Y403" s="1131"/>
      <c r="Z403" s="1131"/>
      <c r="AA403" s="1107"/>
      <c r="AB403" s="1107"/>
      <c r="AC403" s="1107"/>
      <c r="AD403" s="1107"/>
      <c r="AE403" s="1108"/>
      <c r="AF403" s="1107"/>
      <c r="AG403" s="1107"/>
      <c r="AH403" s="1107"/>
      <c r="AI403" s="1107"/>
      <c r="AJ403" s="1107"/>
      <c r="AK403" s="1107"/>
      <c r="AL403" s="1107"/>
      <c r="AM403" s="1107"/>
      <c r="AN403" s="1107"/>
      <c r="AO403" s="1107"/>
      <c r="AP403" s="1107"/>
      <c r="AQ403" s="1107"/>
      <c r="AR403" s="1107"/>
      <c r="AS403" s="1107"/>
      <c r="AT403" s="1107"/>
      <c r="AU403" s="1107"/>
      <c r="AV403" s="1107"/>
      <c r="AW403" s="1107"/>
      <c r="AX403" s="1107"/>
      <c r="AY403" s="1107"/>
      <c r="AZ403" s="1107"/>
      <c r="BA403" s="1107"/>
      <c r="BB403" s="1107"/>
      <c r="BC403" s="1107"/>
      <c r="BD403" s="1107"/>
      <c r="BE403" s="1107"/>
      <c r="BF403" s="1107"/>
      <c r="BG403" s="1107"/>
      <c r="BH403" s="1107"/>
      <c r="BI403" s="1107"/>
      <c r="BJ403" s="1107"/>
      <c r="BK403" s="1107"/>
      <c r="BL403" s="1107"/>
      <c r="BM403" s="1107"/>
      <c r="BN403" s="1107"/>
      <c r="BO403" s="1107"/>
      <c r="BP403" s="1107"/>
      <c r="BQ403" s="1107"/>
      <c r="BR403" s="1107"/>
      <c r="BS403" s="1107"/>
      <c r="BT403" s="1107"/>
      <c r="BU403" s="1107"/>
      <c r="BV403" s="1107"/>
      <c r="BW403" s="1107"/>
      <c r="BX403" s="1107"/>
      <c r="BY403" s="1107"/>
      <c r="BZ403" s="1107"/>
      <c r="CA403" s="1107"/>
      <c r="CB403" s="1107"/>
      <c r="CC403" s="1107"/>
      <c r="CD403" s="1107"/>
      <c r="CE403" s="1107"/>
      <c r="CF403" s="1107"/>
      <c r="CG403" s="1107"/>
      <c r="CH403" s="1107"/>
      <c r="CI403" s="1107"/>
      <c r="CJ403" s="1107"/>
      <c r="CK403" s="1107"/>
    </row>
    <row r="404" spans="1:89" ht="15.75" thickBot="1" x14ac:dyDescent="0.3">
      <c r="A404" s="1107"/>
      <c r="B404" s="2008"/>
      <c r="C404" s="1257" cm="1">
        <f t="array" aca="1" ref="C404" ca="1">INDIRECT("'Incentives Worksheet'!J"&amp;'Configurable Tab'!$H$35+10)</f>
        <v>5</v>
      </c>
      <c r="D404" s="1222" t="str" cm="1">
        <f t="array" aca="1" ref="D404" ca="1">IF(INDIRECT("'Incentives Worksheet'!L"&amp;'Configurable Tab'!H35+10)=0,"",INDIRECT("'Incentives Worksheet'!L"&amp;'Configurable Tab'!H35+10))</f>
        <v/>
      </c>
      <c r="E404" s="1222" t="str">
        <f ca="1">IF($D404&lt;&gt;"",'Agreement Worksheet'!$H$18,"")</f>
        <v/>
      </c>
      <c r="F404" s="1258"/>
      <c r="G404" s="1258"/>
      <c r="H404" s="1258"/>
      <c r="I404" s="1107"/>
      <c r="J404" s="1107"/>
      <c r="K404" s="1107"/>
      <c r="L404" s="1107"/>
      <c r="M404" s="1108"/>
      <c r="N404" s="1107"/>
      <c r="O404" s="1107"/>
      <c r="P404" s="1107"/>
      <c r="Q404" s="1107"/>
      <c r="R404" s="1107"/>
      <c r="S404" s="1107"/>
      <c r="T404" s="2008"/>
      <c r="U404" s="1257" cm="1">
        <f t="array" aca="1" ref="U404" ca="1">INDIRECT("'Incentives Worksheet'!J"&amp;'Configurable Tab'!$H$36+10)</f>
        <v>5</v>
      </c>
      <c r="V404" s="1222" t="str" cm="1">
        <f t="array" aca="1" ref="V404" ca="1">IF(INDIRECT("'Incentives Worksheet'!L"&amp;'Configurable Tab'!H36+10)=0,"",INDIRECT("'Incentives Worksheet'!L"&amp;'Configurable Tab'!H36+10))</f>
        <v/>
      </c>
      <c r="W404" s="1222" t="str">
        <f ca="1">IF($V404&lt;&gt;"",'Agreement Worksheet'!$H$18,"")</f>
        <v/>
      </c>
      <c r="X404" s="1258"/>
      <c r="Y404" s="1258"/>
      <c r="Z404" s="1258"/>
      <c r="AA404" s="1107"/>
      <c r="AB404" s="1107"/>
      <c r="AC404" s="1107"/>
      <c r="AD404" s="1107"/>
      <c r="AE404" s="1108"/>
      <c r="AF404" s="1107"/>
      <c r="AG404" s="1107"/>
      <c r="AH404" s="1107"/>
      <c r="AI404" s="1107"/>
      <c r="AJ404" s="1107"/>
      <c r="AK404" s="1107"/>
      <c r="AL404" s="1107"/>
      <c r="AM404" s="1107"/>
      <c r="AN404" s="1107"/>
      <c r="AO404" s="1107"/>
      <c r="AP404" s="1107"/>
      <c r="AQ404" s="1107"/>
      <c r="AR404" s="1107"/>
      <c r="AS404" s="1107"/>
      <c r="AT404" s="1107"/>
      <c r="AU404" s="1107"/>
      <c r="AV404" s="1107"/>
      <c r="AW404" s="1107"/>
      <c r="AX404" s="1107"/>
      <c r="AY404" s="1107"/>
      <c r="AZ404" s="1107"/>
      <c r="BA404" s="1107"/>
      <c r="BB404" s="1107"/>
      <c r="BC404" s="1107"/>
      <c r="BD404" s="1107"/>
      <c r="BE404" s="1107"/>
      <c r="BF404" s="1107"/>
      <c r="BG404" s="1107"/>
      <c r="BH404" s="1107"/>
      <c r="BI404" s="1107"/>
      <c r="BJ404" s="1107"/>
      <c r="BK404" s="1107"/>
      <c r="BL404" s="1107"/>
      <c r="BM404" s="1107"/>
      <c r="BN404" s="1107"/>
      <c r="BO404" s="1107"/>
      <c r="BP404" s="1107"/>
      <c r="BQ404" s="1107"/>
      <c r="BR404" s="1107"/>
      <c r="BS404" s="1107"/>
      <c r="BT404" s="1107"/>
      <c r="BU404" s="1107"/>
      <c r="BV404" s="1107"/>
      <c r="BW404" s="1107"/>
      <c r="BX404" s="1107"/>
      <c r="BY404" s="1107"/>
      <c r="BZ404" s="1107"/>
      <c r="CA404" s="1107"/>
      <c r="CB404" s="1107"/>
      <c r="CC404" s="1107"/>
      <c r="CD404" s="1107"/>
      <c r="CE404" s="1107"/>
      <c r="CF404" s="1107"/>
      <c r="CG404" s="1107"/>
      <c r="CH404" s="1107"/>
      <c r="CI404" s="1107"/>
      <c r="CJ404" s="1107"/>
      <c r="CK404" s="1107"/>
    </row>
    <row r="405" spans="1:89" ht="15.75" customHeight="1" thickBot="1" x14ac:dyDescent="0.3">
      <c r="A405" s="1107"/>
      <c r="B405" s="2006" t="s">
        <v>1915</v>
      </c>
      <c r="C405" s="1147" t="s">
        <v>1869</v>
      </c>
      <c r="D405" s="1259" t="s">
        <v>1859</v>
      </c>
      <c r="E405" s="1259" t="s">
        <v>131</v>
      </c>
      <c r="F405" s="1148" t="s">
        <v>1860</v>
      </c>
      <c r="G405" s="1148" t="s">
        <v>1870</v>
      </c>
      <c r="H405" s="1149" t="s">
        <v>1871</v>
      </c>
      <c r="I405" s="1150" t="s">
        <v>766</v>
      </c>
      <c r="J405" s="1260" t="s">
        <v>767</v>
      </c>
      <c r="K405" s="1150" t="s">
        <v>768</v>
      </c>
      <c r="L405" s="1150" t="s">
        <v>769</v>
      </c>
      <c r="M405" s="1150" t="s">
        <v>204</v>
      </c>
      <c r="N405" s="1107"/>
      <c r="O405" s="1107"/>
      <c r="P405" s="1107"/>
      <c r="Q405" s="1107"/>
      <c r="R405" s="1107"/>
      <c r="S405" s="1107"/>
      <c r="T405" s="2006" t="s">
        <v>1915</v>
      </c>
      <c r="U405" s="1147" t="s">
        <v>1869</v>
      </c>
      <c r="V405" s="1259" t="s">
        <v>1859</v>
      </c>
      <c r="W405" s="1259" t="s">
        <v>131</v>
      </c>
      <c r="X405" s="1148" t="s">
        <v>1860</v>
      </c>
      <c r="Y405" s="1148" t="s">
        <v>1870</v>
      </c>
      <c r="Z405" s="1149" t="s">
        <v>1871</v>
      </c>
      <c r="AA405" s="1150" t="s">
        <v>766</v>
      </c>
      <c r="AB405" s="1260" t="s">
        <v>767</v>
      </c>
      <c r="AC405" s="1150" t="s">
        <v>768</v>
      </c>
      <c r="AD405" s="1150" t="s">
        <v>769</v>
      </c>
      <c r="AE405" s="1150" t="s">
        <v>204</v>
      </c>
      <c r="AF405" s="1107"/>
      <c r="AG405" s="1107"/>
      <c r="AH405" s="1107"/>
      <c r="AI405" s="1107"/>
      <c r="AJ405" s="1107"/>
      <c r="AK405" s="1107"/>
      <c r="AL405" s="1107"/>
      <c r="AM405" s="1107"/>
      <c r="AN405" s="1107"/>
      <c r="AO405" s="1107"/>
      <c r="AP405" s="1107"/>
      <c r="AQ405" s="1107"/>
      <c r="AR405" s="1107"/>
      <c r="AS405" s="1107"/>
      <c r="AT405" s="1107"/>
      <c r="AU405" s="1107"/>
      <c r="AV405" s="1107"/>
      <c r="AW405" s="1107"/>
      <c r="AX405" s="1107"/>
      <c r="AY405" s="1107"/>
      <c r="AZ405" s="1107"/>
      <c r="BA405" s="1107"/>
      <c r="BB405" s="1107"/>
      <c r="BC405" s="1107"/>
      <c r="BD405" s="1107"/>
      <c r="BE405" s="1107"/>
      <c r="BF405" s="1107"/>
      <c r="BG405" s="1107"/>
      <c r="BH405" s="1107"/>
      <c r="BI405" s="1107"/>
      <c r="BJ405" s="1107"/>
      <c r="BK405" s="1107"/>
      <c r="BL405" s="1107"/>
      <c r="BM405" s="1107"/>
      <c r="BN405" s="1107"/>
      <c r="BO405" s="1107"/>
      <c r="BP405" s="1107"/>
      <c r="BQ405" s="1107"/>
      <c r="BR405" s="1107"/>
      <c r="BS405" s="1107"/>
      <c r="BT405" s="1107"/>
      <c r="BU405" s="1107"/>
      <c r="BV405" s="1107"/>
      <c r="BW405" s="1107"/>
      <c r="BX405" s="1107"/>
      <c r="BY405" s="1107"/>
      <c r="BZ405" s="1107"/>
      <c r="CA405" s="1107"/>
      <c r="CB405" s="1107"/>
      <c r="CC405" s="1107"/>
      <c r="CD405" s="1107"/>
      <c r="CE405" s="1107"/>
      <c r="CF405" s="1107"/>
      <c r="CG405" s="1107"/>
      <c r="CH405" s="1107"/>
      <c r="CI405" s="1107"/>
      <c r="CJ405" s="1107"/>
      <c r="CK405" s="1107"/>
    </row>
    <row r="406" spans="1:89" x14ac:dyDescent="0.25">
      <c r="A406" s="1107"/>
      <c r="B406" s="2008"/>
      <c r="C406" s="1151">
        <v>1</v>
      </c>
      <c r="D406" s="1144" t="s">
        <v>1872</v>
      </c>
      <c r="E406" s="1144" t="s">
        <v>1426</v>
      </c>
      <c r="F406" s="1153" t="str">
        <f>'Required Info to Submit'!E23</f>
        <v/>
      </c>
      <c r="G406" s="1417" t="str">
        <f>IF(F406="","",'Required Info to Submit'!K23)</f>
        <v/>
      </c>
      <c r="H406" s="1418" t="str">
        <f>IF(F406="","",'Required Info to Submit'!K23)</f>
        <v/>
      </c>
      <c r="I406" s="1153" t="str">
        <f>'Required Info to Submit'!F23</f>
        <v/>
      </c>
      <c r="J406" s="1263" t="str">
        <f>'Required Info to Submit'!G23</f>
        <v/>
      </c>
      <c r="K406" s="1153" t="str">
        <f>'Required Info to Submit'!H23</f>
        <v/>
      </c>
      <c r="L406" s="1153" t="str">
        <f>'Required Info to Submit'!I23</f>
        <v/>
      </c>
      <c r="M406" s="1153" t="str">
        <f>'Required Info to Submit'!J23</f>
        <v/>
      </c>
      <c r="N406" s="1107"/>
      <c r="O406" s="1107"/>
      <c r="P406" s="1107"/>
      <c r="Q406" s="1107"/>
      <c r="R406" s="1107"/>
      <c r="S406" s="1107"/>
      <c r="T406" s="2008"/>
      <c r="U406" s="1151">
        <v>1</v>
      </c>
      <c r="V406" s="1144" t="s">
        <v>1872</v>
      </c>
      <c r="W406" s="1144" t="s">
        <v>1426</v>
      </c>
      <c r="X406" s="1144" t="str">
        <f>'Required Info to Submit'!E23</f>
        <v/>
      </c>
      <c r="Y406" s="1414" t="str">
        <f>IF(X406="","",'Required Info to Submit'!K23)</f>
        <v/>
      </c>
      <c r="Z406" s="1415" t="str">
        <f>IF(X406="","",'Required Info to Submit'!L23)</f>
        <v/>
      </c>
      <c r="AA406" s="1144" t="str">
        <f>'Required Info to Submit'!F23</f>
        <v/>
      </c>
      <c r="AB406" s="1261" t="str">
        <f>'Required Info to Submit'!G23</f>
        <v/>
      </c>
      <c r="AC406" s="1144" t="str">
        <f>'Required Info to Submit'!H23</f>
        <v/>
      </c>
      <c r="AD406" s="1144" t="str">
        <f>'Required Info to Submit'!I23</f>
        <v/>
      </c>
      <c r="AE406" s="1144" t="str">
        <f>'Required Info to Submit'!J23</f>
        <v/>
      </c>
      <c r="AF406" s="1107"/>
      <c r="AG406" s="1107"/>
      <c r="AH406" s="1107"/>
      <c r="AI406" s="1107"/>
      <c r="AJ406" s="1107"/>
      <c r="AK406" s="1107"/>
      <c r="AL406" s="1107"/>
      <c r="AM406" s="1107"/>
      <c r="AN406" s="1107"/>
      <c r="AO406" s="1107"/>
      <c r="AP406" s="1107"/>
      <c r="AQ406" s="1107"/>
      <c r="AR406" s="1107"/>
      <c r="AS406" s="1107"/>
      <c r="AT406" s="1107"/>
      <c r="AU406" s="1107"/>
      <c r="AV406" s="1107"/>
      <c r="AW406" s="1107"/>
      <c r="AX406" s="1107"/>
      <c r="AY406" s="1107"/>
      <c r="AZ406" s="1107"/>
      <c r="BA406" s="1107"/>
      <c r="BB406" s="1107"/>
      <c r="BC406" s="1107"/>
      <c r="BD406" s="1107"/>
      <c r="BE406" s="1107"/>
      <c r="BF406" s="1107"/>
      <c r="BG406" s="1107"/>
      <c r="BH406" s="1107"/>
      <c r="BI406" s="1107"/>
      <c r="BJ406" s="1107"/>
      <c r="BK406" s="1107"/>
      <c r="BL406" s="1107"/>
      <c r="BM406" s="1107"/>
      <c r="BN406" s="1107"/>
      <c r="BO406" s="1107"/>
      <c r="BP406" s="1107"/>
      <c r="BQ406" s="1107"/>
      <c r="BR406" s="1107"/>
      <c r="BS406" s="1107"/>
      <c r="BT406" s="1107"/>
      <c r="BU406" s="1107"/>
      <c r="BV406" s="1107"/>
      <c r="BW406" s="1107"/>
      <c r="BX406" s="1107"/>
      <c r="BY406" s="1107"/>
      <c r="BZ406" s="1107"/>
      <c r="CA406" s="1107"/>
      <c r="CB406" s="1107"/>
      <c r="CC406" s="1107"/>
      <c r="CD406" s="1107"/>
      <c r="CE406" s="1107"/>
      <c r="CF406" s="1107"/>
      <c r="CG406" s="1107"/>
      <c r="CH406" s="1107"/>
      <c r="CI406" s="1107"/>
      <c r="CJ406" s="1107"/>
      <c r="CK406" s="1107"/>
    </row>
    <row r="407" spans="1:89" x14ac:dyDescent="0.25">
      <c r="A407" s="1107"/>
      <c r="B407" s="2008"/>
      <c r="C407" s="1154">
        <v>2</v>
      </c>
      <c r="D407" s="1144" t="s">
        <v>1872</v>
      </c>
      <c r="E407" s="1144" t="s">
        <v>1426</v>
      </c>
      <c r="F407" s="1153" t="str">
        <f>'Required Info to Submit'!E24</f>
        <v/>
      </c>
      <c r="G407" s="1417" t="str">
        <f>IF(F407="","",'Required Info to Submit'!K24)</f>
        <v/>
      </c>
      <c r="H407" s="1418" t="str">
        <f>IF(F407="","",'Required Info to Submit'!K24)</f>
        <v/>
      </c>
      <c r="I407" s="1153" t="str">
        <f>'Required Info to Submit'!F24</f>
        <v/>
      </c>
      <c r="J407" s="1263" t="str">
        <f>'Required Info to Submit'!G24</f>
        <v/>
      </c>
      <c r="K407" s="1153" t="str">
        <f>'Required Info to Submit'!H24</f>
        <v/>
      </c>
      <c r="L407" s="1153" t="str">
        <f>'Required Info to Submit'!I24</f>
        <v/>
      </c>
      <c r="M407" s="1153" t="str">
        <f>'Required Info to Submit'!J24</f>
        <v/>
      </c>
      <c r="N407" s="1107"/>
      <c r="O407" s="1107"/>
      <c r="P407" s="1107"/>
      <c r="Q407" s="1107"/>
      <c r="R407" s="1107"/>
      <c r="S407" s="1107"/>
      <c r="T407" s="2008"/>
      <c r="U407" s="1154">
        <v>2</v>
      </c>
      <c r="V407" s="1144" t="s">
        <v>1872</v>
      </c>
      <c r="W407" s="1144" t="s">
        <v>1426</v>
      </c>
      <c r="X407" s="1144" t="str">
        <f>'Required Info to Submit'!E24</f>
        <v/>
      </c>
      <c r="Y407" s="1414" t="str">
        <f>IF(X407="","",'Required Info to Submit'!K24)</f>
        <v/>
      </c>
      <c r="Z407" s="1415" t="str">
        <f>IF(X407="","",'Required Info to Submit'!L24)</f>
        <v/>
      </c>
      <c r="AA407" s="1144" t="str">
        <f>'Required Info to Submit'!F24</f>
        <v/>
      </c>
      <c r="AB407" s="1261" t="str">
        <f>'Required Info to Submit'!G24</f>
        <v/>
      </c>
      <c r="AC407" s="1144" t="str">
        <f>'Required Info to Submit'!H24</f>
        <v/>
      </c>
      <c r="AD407" s="1144" t="str">
        <f>'Required Info to Submit'!I24</f>
        <v/>
      </c>
      <c r="AE407" s="1144" t="str">
        <f>'Required Info to Submit'!J24</f>
        <v/>
      </c>
      <c r="AF407" s="1107"/>
      <c r="AG407" s="1107"/>
      <c r="AH407" s="1107"/>
      <c r="AI407" s="1107"/>
      <c r="AJ407" s="1107"/>
      <c r="AK407" s="1107"/>
      <c r="AL407" s="1107"/>
      <c r="AM407" s="1107"/>
      <c r="AN407" s="1107"/>
      <c r="AO407" s="1107"/>
      <c r="AP407" s="1107"/>
      <c r="AQ407" s="1107"/>
      <c r="AR407" s="1107"/>
      <c r="AS407" s="1107"/>
      <c r="AT407" s="1107"/>
      <c r="AU407" s="1107"/>
      <c r="AV407" s="1107"/>
      <c r="AW407" s="1107"/>
      <c r="AX407" s="1107"/>
      <c r="AY407" s="1107"/>
      <c r="AZ407" s="1107"/>
      <c r="BA407" s="1107"/>
      <c r="BB407" s="1107"/>
      <c r="BC407" s="1107"/>
      <c r="BD407" s="1107"/>
      <c r="BE407" s="1107"/>
      <c r="BF407" s="1107"/>
      <c r="BG407" s="1107"/>
      <c r="BH407" s="1107"/>
      <c r="BI407" s="1107"/>
      <c r="BJ407" s="1107"/>
      <c r="BK407" s="1107"/>
      <c r="BL407" s="1107"/>
      <c r="BM407" s="1107"/>
      <c r="BN407" s="1107"/>
      <c r="BO407" s="1107"/>
      <c r="BP407" s="1107"/>
      <c r="BQ407" s="1107"/>
      <c r="BR407" s="1107"/>
      <c r="BS407" s="1107"/>
      <c r="BT407" s="1107"/>
      <c r="BU407" s="1107"/>
      <c r="BV407" s="1107"/>
      <c r="BW407" s="1107"/>
      <c r="BX407" s="1107"/>
      <c r="BY407" s="1107"/>
      <c r="BZ407" s="1107"/>
      <c r="CA407" s="1107"/>
      <c r="CB407" s="1107"/>
      <c r="CC407" s="1107"/>
      <c r="CD407" s="1107"/>
      <c r="CE407" s="1107"/>
      <c r="CF407" s="1107"/>
      <c r="CG407" s="1107"/>
      <c r="CH407" s="1107"/>
      <c r="CI407" s="1107"/>
      <c r="CJ407" s="1107"/>
      <c r="CK407" s="1107"/>
    </row>
    <row r="408" spans="1:89" x14ac:dyDescent="0.25">
      <c r="A408" s="1107"/>
      <c r="B408" s="2008"/>
      <c r="C408" s="1154">
        <v>3</v>
      </c>
      <c r="D408" s="1144" t="s">
        <v>1872</v>
      </c>
      <c r="E408" s="1144" t="s">
        <v>1426</v>
      </c>
      <c r="F408" s="1153" t="str">
        <f>'Required Info to Submit'!E25</f>
        <v/>
      </c>
      <c r="G408" s="1417" t="str">
        <f>IF(F408="","",'Required Info to Submit'!K25)</f>
        <v/>
      </c>
      <c r="H408" s="1418" t="str">
        <f>IF(F408="","",'Required Info to Submit'!K25)</f>
        <v/>
      </c>
      <c r="I408" s="1153" t="str">
        <f>'Required Info to Submit'!F25</f>
        <v/>
      </c>
      <c r="J408" s="1263" t="str">
        <f>'Required Info to Submit'!G25</f>
        <v/>
      </c>
      <c r="K408" s="1153" t="str">
        <f>'Required Info to Submit'!H25</f>
        <v/>
      </c>
      <c r="L408" s="1153" t="str">
        <f>'Required Info to Submit'!I25</f>
        <v/>
      </c>
      <c r="M408" s="1153" t="str">
        <f>'Required Info to Submit'!J25</f>
        <v/>
      </c>
      <c r="N408" s="1107"/>
      <c r="O408" s="1107"/>
      <c r="P408" s="1107"/>
      <c r="Q408" s="1107"/>
      <c r="R408" s="1107"/>
      <c r="S408" s="1107"/>
      <c r="T408" s="2008"/>
      <c r="U408" s="1154">
        <v>3</v>
      </c>
      <c r="V408" s="1144" t="s">
        <v>1872</v>
      </c>
      <c r="W408" s="1144" t="s">
        <v>1426</v>
      </c>
      <c r="X408" s="1144" t="str">
        <f>'Required Info to Submit'!E25</f>
        <v/>
      </c>
      <c r="Y408" s="1414" t="str">
        <f>IF(X408="","",'Required Info to Submit'!K25)</f>
        <v/>
      </c>
      <c r="Z408" s="1415" t="str">
        <f>IF(X408="","",'Required Info to Submit'!L25)</f>
        <v/>
      </c>
      <c r="AA408" s="1144" t="str">
        <f>'Required Info to Submit'!F25</f>
        <v/>
      </c>
      <c r="AB408" s="1261" t="str">
        <f>'Required Info to Submit'!G25</f>
        <v/>
      </c>
      <c r="AC408" s="1144" t="str">
        <f>'Required Info to Submit'!H25</f>
        <v/>
      </c>
      <c r="AD408" s="1144" t="str">
        <f>'Required Info to Submit'!I25</f>
        <v/>
      </c>
      <c r="AE408" s="1144" t="str">
        <f>'Required Info to Submit'!J25</f>
        <v/>
      </c>
      <c r="AF408" s="1107"/>
      <c r="AG408" s="1107"/>
      <c r="AH408" s="1107"/>
      <c r="AI408" s="1107"/>
      <c r="AJ408" s="1107"/>
      <c r="AK408" s="1107"/>
      <c r="AL408" s="1107"/>
      <c r="AM408" s="1107"/>
      <c r="AN408" s="1107"/>
      <c r="AO408" s="1107"/>
      <c r="AP408" s="1107"/>
      <c r="AQ408" s="1107"/>
      <c r="AR408" s="1107"/>
      <c r="AS408" s="1107"/>
      <c r="AT408" s="1107"/>
      <c r="AU408" s="1107"/>
      <c r="AV408" s="1107"/>
      <c r="AW408" s="1107"/>
      <c r="AX408" s="1107"/>
      <c r="AY408" s="1107"/>
      <c r="AZ408" s="1107"/>
      <c r="BA408" s="1107"/>
      <c r="BB408" s="1107"/>
      <c r="BC408" s="1107"/>
      <c r="BD408" s="1107"/>
      <c r="BE408" s="1107"/>
      <c r="BF408" s="1107"/>
      <c r="BG408" s="1107"/>
      <c r="BH408" s="1107"/>
      <c r="BI408" s="1107"/>
      <c r="BJ408" s="1107"/>
      <c r="BK408" s="1107"/>
      <c r="BL408" s="1107"/>
      <c r="BM408" s="1107"/>
      <c r="BN408" s="1107"/>
      <c r="BO408" s="1107"/>
      <c r="BP408" s="1107"/>
      <c r="BQ408" s="1107"/>
      <c r="BR408" s="1107"/>
      <c r="BS408" s="1107"/>
      <c r="BT408" s="1107"/>
      <c r="BU408" s="1107"/>
      <c r="BV408" s="1107"/>
      <c r="BW408" s="1107"/>
      <c r="BX408" s="1107"/>
      <c r="BY408" s="1107"/>
      <c r="BZ408" s="1107"/>
      <c r="CA408" s="1107"/>
      <c r="CB408" s="1107"/>
      <c r="CC408" s="1107"/>
      <c r="CD408" s="1107"/>
      <c r="CE408" s="1107"/>
      <c r="CF408" s="1107"/>
      <c r="CG408" s="1107"/>
      <c r="CH408" s="1107"/>
      <c r="CI408" s="1107"/>
      <c r="CJ408" s="1107"/>
      <c r="CK408" s="1107"/>
    </row>
    <row r="409" spans="1:89" x14ac:dyDescent="0.25">
      <c r="A409" s="1107"/>
      <c r="B409" s="2008"/>
      <c r="C409" s="1154">
        <v>4</v>
      </c>
      <c r="D409" s="1144" t="s">
        <v>1872</v>
      </c>
      <c r="E409" s="1144" t="s">
        <v>1426</v>
      </c>
      <c r="F409" s="1153" t="str">
        <f>'Required Info to Submit'!E26</f>
        <v/>
      </c>
      <c r="G409" s="1417" t="str">
        <f>IF(F409="","",'Required Info to Submit'!K26)</f>
        <v/>
      </c>
      <c r="H409" s="1418" t="str">
        <f>IF(F409="","",'Required Info to Submit'!K26)</f>
        <v/>
      </c>
      <c r="I409" s="1153" t="str">
        <f>'Required Info to Submit'!F26</f>
        <v/>
      </c>
      <c r="J409" s="1263" t="str">
        <f>'Required Info to Submit'!G26</f>
        <v/>
      </c>
      <c r="K409" s="1153" t="str">
        <f>'Required Info to Submit'!H26</f>
        <v/>
      </c>
      <c r="L409" s="1153" t="str">
        <f>'Required Info to Submit'!I26</f>
        <v/>
      </c>
      <c r="M409" s="1153" t="str">
        <f>'Required Info to Submit'!J26</f>
        <v/>
      </c>
      <c r="N409" s="1107"/>
      <c r="O409" s="1107"/>
      <c r="P409" s="1107"/>
      <c r="Q409" s="1107"/>
      <c r="R409" s="1107"/>
      <c r="S409" s="1107"/>
      <c r="T409" s="2008"/>
      <c r="U409" s="1154">
        <v>4</v>
      </c>
      <c r="V409" s="1144" t="s">
        <v>1872</v>
      </c>
      <c r="W409" s="1144" t="s">
        <v>1426</v>
      </c>
      <c r="X409" s="1144" t="str">
        <f>'Required Info to Submit'!E26</f>
        <v/>
      </c>
      <c r="Y409" s="1414" t="str">
        <f>IF(X409="","",'Required Info to Submit'!K26)</f>
        <v/>
      </c>
      <c r="Z409" s="1415" t="str">
        <f>IF(X409="","",'Required Info to Submit'!L26)</f>
        <v/>
      </c>
      <c r="AA409" s="1144" t="str">
        <f>'Required Info to Submit'!F26</f>
        <v/>
      </c>
      <c r="AB409" s="1261" t="str">
        <f>'Required Info to Submit'!G26</f>
        <v/>
      </c>
      <c r="AC409" s="1144" t="str">
        <f>'Required Info to Submit'!H26</f>
        <v/>
      </c>
      <c r="AD409" s="1144" t="str">
        <f>'Required Info to Submit'!I26</f>
        <v/>
      </c>
      <c r="AE409" s="1144" t="str">
        <f>'Required Info to Submit'!J26</f>
        <v/>
      </c>
      <c r="AF409" s="1107"/>
      <c r="AG409" s="1107"/>
      <c r="AH409" s="1107"/>
      <c r="AI409" s="1107"/>
      <c r="AJ409" s="1107"/>
      <c r="AK409" s="1107"/>
      <c r="AL409" s="1107"/>
      <c r="AM409" s="1107"/>
      <c r="AN409" s="1107"/>
      <c r="AO409" s="1107"/>
      <c r="AP409" s="1107"/>
      <c r="AQ409" s="1107"/>
      <c r="AR409" s="1107"/>
      <c r="AS409" s="1107"/>
      <c r="AT409" s="1107"/>
      <c r="AU409" s="1107"/>
      <c r="AV409" s="1107"/>
      <c r="AW409" s="1107"/>
      <c r="AX409" s="1107"/>
      <c r="AY409" s="1107"/>
      <c r="AZ409" s="1107"/>
      <c r="BA409" s="1107"/>
      <c r="BB409" s="1107"/>
      <c r="BC409" s="1107"/>
      <c r="BD409" s="1107"/>
      <c r="BE409" s="1107"/>
      <c r="BF409" s="1107"/>
      <c r="BG409" s="1107"/>
      <c r="BH409" s="1107"/>
      <c r="BI409" s="1107"/>
      <c r="BJ409" s="1107"/>
      <c r="BK409" s="1107"/>
      <c r="BL409" s="1107"/>
      <c r="BM409" s="1107"/>
      <c r="BN409" s="1107"/>
      <c r="BO409" s="1107"/>
      <c r="BP409" s="1107"/>
      <c r="BQ409" s="1107"/>
      <c r="BR409" s="1107"/>
      <c r="BS409" s="1107"/>
      <c r="BT409" s="1107"/>
      <c r="BU409" s="1107"/>
      <c r="BV409" s="1107"/>
      <c r="BW409" s="1107"/>
      <c r="BX409" s="1107"/>
      <c r="BY409" s="1107"/>
      <c r="BZ409" s="1107"/>
      <c r="CA409" s="1107"/>
      <c r="CB409" s="1107"/>
      <c r="CC409" s="1107"/>
      <c r="CD409" s="1107"/>
      <c r="CE409" s="1107"/>
      <c r="CF409" s="1107"/>
      <c r="CG409" s="1107"/>
      <c r="CH409" s="1107"/>
      <c r="CI409" s="1107"/>
      <c r="CJ409" s="1107"/>
      <c r="CK409" s="1107"/>
    </row>
    <row r="410" spans="1:89" x14ac:dyDescent="0.25">
      <c r="A410" s="1107"/>
      <c r="B410" s="2008"/>
      <c r="C410" s="1154">
        <v>5</v>
      </c>
      <c r="D410" s="1144" t="s">
        <v>1872</v>
      </c>
      <c r="E410" s="1144" t="s">
        <v>1426</v>
      </c>
      <c r="F410" s="1153" t="str">
        <f>'Required Info to Submit'!E27</f>
        <v/>
      </c>
      <c r="G410" s="1417" t="str">
        <f>IF(F410="","",'Required Info to Submit'!K27)</f>
        <v/>
      </c>
      <c r="H410" s="1418" t="str">
        <f>IF(F410="","",'Required Info to Submit'!K27)</f>
        <v/>
      </c>
      <c r="I410" s="1153" t="str">
        <f>'Required Info to Submit'!F27</f>
        <v/>
      </c>
      <c r="J410" s="1263" t="str">
        <f>'Required Info to Submit'!G27</f>
        <v/>
      </c>
      <c r="K410" s="1153" t="str">
        <f>'Required Info to Submit'!H27</f>
        <v/>
      </c>
      <c r="L410" s="1153" t="str">
        <f>'Required Info to Submit'!I27</f>
        <v/>
      </c>
      <c r="M410" s="1153" t="str">
        <f>'Required Info to Submit'!J27</f>
        <v/>
      </c>
      <c r="N410" s="1107"/>
      <c r="O410" s="1107"/>
      <c r="P410" s="1107"/>
      <c r="Q410" s="1107"/>
      <c r="R410" s="1107"/>
      <c r="S410" s="1107"/>
      <c r="T410" s="2008"/>
      <c r="U410" s="1154">
        <v>5</v>
      </c>
      <c r="V410" s="1144" t="s">
        <v>1872</v>
      </c>
      <c r="W410" s="1144" t="s">
        <v>1426</v>
      </c>
      <c r="X410" s="1144" t="str">
        <f>'Required Info to Submit'!E27</f>
        <v/>
      </c>
      <c r="Y410" s="1414" t="str">
        <f>IF(X410="","",'Required Info to Submit'!K27)</f>
        <v/>
      </c>
      <c r="Z410" s="1415" t="str">
        <f>IF(X410="","",'Required Info to Submit'!L27)</f>
        <v/>
      </c>
      <c r="AA410" s="1144" t="str">
        <f>'Required Info to Submit'!F27</f>
        <v/>
      </c>
      <c r="AB410" s="1261" t="str">
        <f>'Required Info to Submit'!G27</f>
        <v/>
      </c>
      <c r="AC410" s="1144" t="str">
        <f>'Required Info to Submit'!H27</f>
        <v/>
      </c>
      <c r="AD410" s="1144" t="str">
        <f>'Required Info to Submit'!I27</f>
        <v/>
      </c>
      <c r="AE410" s="1144" t="str">
        <f>'Required Info to Submit'!J27</f>
        <v/>
      </c>
      <c r="AF410" s="1107"/>
      <c r="AG410" s="1107"/>
      <c r="AH410" s="1107"/>
      <c r="AI410" s="1107"/>
      <c r="AJ410" s="1107"/>
      <c r="AK410" s="1107"/>
      <c r="AL410" s="1107"/>
      <c r="AM410" s="1107"/>
      <c r="AN410" s="1107"/>
      <c r="AO410" s="1107"/>
      <c r="AP410" s="1107"/>
      <c r="AQ410" s="1107"/>
      <c r="AR410" s="1107"/>
      <c r="AS410" s="1107"/>
      <c r="AT410" s="1107"/>
      <c r="AU410" s="1107"/>
      <c r="AV410" s="1107"/>
      <c r="AW410" s="1107"/>
      <c r="AX410" s="1107"/>
      <c r="AY410" s="1107"/>
      <c r="AZ410" s="1107"/>
      <c r="BA410" s="1107"/>
      <c r="BB410" s="1107"/>
      <c r="BC410" s="1107"/>
      <c r="BD410" s="1107"/>
      <c r="BE410" s="1107"/>
      <c r="BF410" s="1107"/>
      <c r="BG410" s="1107"/>
      <c r="BH410" s="1107"/>
      <c r="BI410" s="1107"/>
      <c r="BJ410" s="1107"/>
      <c r="BK410" s="1107"/>
      <c r="BL410" s="1107"/>
      <c r="BM410" s="1107"/>
      <c r="BN410" s="1107"/>
      <c r="BO410" s="1107"/>
      <c r="BP410" s="1107"/>
      <c r="BQ410" s="1107"/>
      <c r="BR410" s="1107"/>
      <c r="BS410" s="1107"/>
      <c r="BT410" s="1107"/>
      <c r="BU410" s="1107"/>
      <c r="BV410" s="1107"/>
      <c r="BW410" s="1107"/>
      <c r="BX410" s="1107"/>
      <c r="BY410" s="1107"/>
      <c r="BZ410" s="1107"/>
      <c r="CA410" s="1107"/>
      <c r="CB410" s="1107"/>
      <c r="CC410" s="1107"/>
      <c r="CD410" s="1107"/>
      <c r="CE410" s="1107"/>
      <c r="CF410" s="1107"/>
      <c r="CG410" s="1107"/>
      <c r="CH410" s="1107"/>
      <c r="CI410" s="1107"/>
      <c r="CJ410" s="1107"/>
      <c r="CK410" s="1107"/>
    </row>
    <row r="411" spans="1:89" x14ac:dyDescent="0.25">
      <c r="A411" s="1107"/>
      <c r="B411" s="2008"/>
      <c r="C411" s="1154">
        <v>6</v>
      </c>
      <c r="D411" s="1144" t="s">
        <v>1872</v>
      </c>
      <c r="E411" s="1144" t="s">
        <v>1426</v>
      </c>
      <c r="F411" s="1153" t="str">
        <f>'Required Info to Submit'!E28</f>
        <v/>
      </c>
      <c r="G411" s="1417" t="str">
        <f>IF(F411="","",'Required Info to Submit'!K28)</f>
        <v/>
      </c>
      <c r="H411" s="1418" t="str">
        <f>IF(F411="","",'Required Info to Submit'!K28)</f>
        <v/>
      </c>
      <c r="I411" s="1153" t="str">
        <f>'Required Info to Submit'!F28</f>
        <v/>
      </c>
      <c r="J411" s="1263" t="str">
        <f>'Required Info to Submit'!G28</f>
        <v/>
      </c>
      <c r="K411" s="1153" t="str">
        <f>'Required Info to Submit'!H28</f>
        <v/>
      </c>
      <c r="L411" s="1153" t="str">
        <f>'Required Info to Submit'!I28</f>
        <v/>
      </c>
      <c r="M411" s="1153" t="str">
        <f>'Required Info to Submit'!J28</f>
        <v/>
      </c>
      <c r="N411" s="1107"/>
      <c r="O411" s="1107"/>
      <c r="P411" s="1107"/>
      <c r="Q411" s="1107"/>
      <c r="R411" s="1107"/>
      <c r="S411" s="1107"/>
      <c r="T411" s="2008"/>
      <c r="U411" s="1154">
        <v>6</v>
      </c>
      <c r="V411" s="1144" t="s">
        <v>1872</v>
      </c>
      <c r="W411" s="1144" t="s">
        <v>1426</v>
      </c>
      <c r="X411" s="1144" t="str">
        <f>'Required Info to Submit'!E28</f>
        <v/>
      </c>
      <c r="Y411" s="1414" t="str">
        <f>IF(X411="","",'Required Info to Submit'!K28)</f>
        <v/>
      </c>
      <c r="Z411" s="1415" t="str">
        <f>IF(X411="","",'Required Info to Submit'!L28)</f>
        <v/>
      </c>
      <c r="AA411" s="1144" t="str">
        <f>'Required Info to Submit'!F28</f>
        <v/>
      </c>
      <c r="AB411" s="1261" t="str">
        <f>'Required Info to Submit'!G28</f>
        <v/>
      </c>
      <c r="AC411" s="1144" t="str">
        <f>'Required Info to Submit'!H28</f>
        <v/>
      </c>
      <c r="AD411" s="1144" t="str">
        <f>'Required Info to Submit'!I28</f>
        <v/>
      </c>
      <c r="AE411" s="1144" t="str">
        <f>'Required Info to Submit'!J28</f>
        <v/>
      </c>
      <c r="AF411" s="1107"/>
      <c r="AG411" s="1107"/>
      <c r="AH411" s="1107"/>
      <c r="AI411" s="1107"/>
      <c r="AJ411" s="1107"/>
      <c r="AK411" s="1107"/>
      <c r="AL411" s="1107"/>
      <c r="AM411" s="1107"/>
      <c r="AN411" s="1107"/>
      <c r="AO411" s="1107"/>
      <c r="AP411" s="1107"/>
      <c r="AQ411" s="1107"/>
      <c r="AR411" s="1107"/>
      <c r="AS411" s="1107"/>
      <c r="AT411" s="1107"/>
      <c r="AU411" s="1107"/>
      <c r="AV411" s="1107"/>
      <c r="AW411" s="1107"/>
      <c r="AX411" s="1107"/>
      <c r="AY411" s="1107"/>
      <c r="AZ411" s="1107"/>
      <c r="BA411" s="1107"/>
      <c r="BB411" s="1107"/>
      <c r="BC411" s="1107"/>
      <c r="BD411" s="1107"/>
      <c r="BE411" s="1107"/>
      <c r="BF411" s="1107"/>
      <c r="BG411" s="1107"/>
      <c r="BH411" s="1107"/>
      <c r="BI411" s="1107"/>
      <c r="BJ411" s="1107"/>
      <c r="BK411" s="1107"/>
      <c r="BL411" s="1107"/>
      <c r="BM411" s="1107"/>
      <c r="BN411" s="1107"/>
      <c r="BO411" s="1107"/>
      <c r="BP411" s="1107"/>
      <c r="BQ411" s="1107"/>
      <c r="BR411" s="1107"/>
      <c r="BS411" s="1107"/>
      <c r="BT411" s="1107"/>
      <c r="BU411" s="1107"/>
      <c r="BV411" s="1107"/>
      <c r="BW411" s="1107"/>
      <c r="BX411" s="1107"/>
      <c r="BY411" s="1107"/>
      <c r="BZ411" s="1107"/>
      <c r="CA411" s="1107"/>
      <c r="CB411" s="1107"/>
      <c r="CC411" s="1107"/>
      <c r="CD411" s="1107"/>
      <c r="CE411" s="1107"/>
      <c r="CF411" s="1107"/>
      <c r="CG411" s="1107"/>
      <c r="CH411" s="1107"/>
      <c r="CI411" s="1107"/>
      <c r="CJ411" s="1107"/>
      <c r="CK411" s="1107"/>
    </row>
    <row r="412" spans="1:89" x14ac:dyDescent="0.25">
      <c r="A412" s="1107"/>
      <c r="B412" s="2008"/>
      <c r="C412" s="1154">
        <v>7</v>
      </c>
      <c r="D412" s="1144" t="s">
        <v>1872</v>
      </c>
      <c r="E412" s="1144" t="s">
        <v>1426</v>
      </c>
      <c r="F412" s="1153" t="str">
        <f>'Required Info to Submit'!E29</f>
        <v/>
      </c>
      <c r="G412" s="1417" t="str">
        <f>IF(F412="","",'Required Info to Submit'!K29)</f>
        <v/>
      </c>
      <c r="H412" s="1418" t="str">
        <f>IF(F412="","",'Required Info to Submit'!K29)</f>
        <v/>
      </c>
      <c r="I412" s="1153" t="str">
        <f>'Required Info to Submit'!F29</f>
        <v/>
      </c>
      <c r="J412" s="1263" t="str">
        <f>'Required Info to Submit'!G29</f>
        <v/>
      </c>
      <c r="K412" s="1153" t="str">
        <f>'Required Info to Submit'!H29</f>
        <v/>
      </c>
      <c r="L412" s="1153" t="str">
        <f>'Required Info to Submit'!I29</f>
        <v/>
      </c>
      <c r="M412" s="1153" t="str">
        <f>'Required Info to Submit'!J29</f>
        <v/>
      </c>
      <c r="N412" s="1107"/>
      <c r="O412" s="1107"/>
      <c r="P412" s="1107"/>
      <c r="Q412" s="1107"/>
      <c r="R412" s="1107"/>
      <c r="S412" s="1107"/>
      <c r="T412" s="2008"/>
      <c r="U412" s="1154">
        <v>7</v>
      </c>
      <c r="V412" s="1144" t="s">
        <v>1872</v>
      </c>
      <c r="W412" s="1144" t="s">
        <v>1426</v>
      </c>
      <c r="X412" s="1144" t="str">
        <f>'Required Info to Submit'!E29</f>
        <v/>
      </c>
      <c r="Y412" s="1414" t="str">
        <f>IF(X412="","",'Required Info to Submit'!K29)</f>
        <v/>
      </c>
      <c r="Z412" s="1415" t="str">
        <f>IF(X412="","",'Required Info to Submit'!L29)</f>
        <v/>
      </c>
      <c r="AA412" s="1144" t="str">
        <f>'Required Info to Submit'!F29</f>
        <v/>
      </c>
      <c r="AB412" s="1261" t="str">
        <f>'Required Info to Submit'!G29</f>
        <v/>
      </c>
      <c r="AC412" s="1144" t="str">
        <f>'Required Info to Submit'!H29</f>
        <v/>
      </c>
      <c r="AD412" s="1144" t="str">
        <f>'Required Info to Submit'!I29</f>
        <v/>
      </c>
      <c r="AE412" s="1144" t="str">
        <f>'Required Info to Submit'!J29</f>
        <v/>
      </c>
      <c r="AF412" s="1107"/>
      <c r="AG412" s="1107"/>
      <c r="AH412" s="1107"/>
      <c r="AI412" s="1107"/>
      <c r="AJ412" s="1107"/>
      <c r="AK412" s="1107"/>
      <c r="AL412" s="1107"/>
      <c r="AM412" s="1107"/>
      <c r="AN412" s="1107"/>
      <c r="AO412" s="1107"/>
      <c r="AP412" s="1107"/>
      <c r="AQ412" s="1107"/>
      <c r="AR412" s="1107"/>
      <c r="AS412" s="1107"/>
      <c r="AT412" s="1107"/>
      <c r="AU412" s="1107"/>
      <c r="AV412" s="1107"/>
      <c r="AW412" s="1107"/>
      <c r="AX412" s="1107"/>
      <c r="AY412" s="1107"/>
      <c r="AZ412" s="1107"/>
      <c r="BA412" s="1107"/>
      <c r="BB412" s="1107"/>
      <c r="BC412" s="1107"/>
      <c r="BD412" s="1107"/>
      <c r="BE412" s="1107"/>
      <c r="BF412" s="1107"/>
      <c r="BG412" s="1107"/>
      <c r="BH412" s="1107"/>
      <c r="BI412" s="1107"/>
      <c r="BJ412" s="1107"/>
      <c r="BK412" s="1107"/>
      <c r="BL412" s="1107"/>
      <c r="BM412" s="1107"/>
      <c r="BN412" s="1107"/>
      <c r="BO412" s="1107"/>
      <c r="BP412" s="1107"/>
      <c r="BQ412" s="1107"/>
      <c r="BR412" s="1107"/>
      <c r="BS412" s="1107"/>
      <c r="BT412" s="1107"/>
      <c r="BU412" s="1107"/>
      <c r="BV412" s="1107"/>
      <c r="BW412" s="1107"/>
      <c r="BX412" s="1107"/>
      <c r="BY412" s="1107"/>
      <c r="BZ412" s="1107"/>
      <c r="CA412" s="1107"/>
      <c r="CB412" s="1107"/>
      <c r="CC412" s="1107"/>
      <c r="CD412" s="1107"/>
      <c r="CE412" s="1107"/>
      <c r="CF412" s="1107"/>
      <c r="CG412" s="1107"/>
      <c r="CH412" s="1107"/>
      <c r="CI412" s="1107"/>
      <c r="CJ412" s="1107"/>
      <c r="CK412" s="1107"/>
    </row>
    <row r="413" spans="1:89" x14ac:dyDescent="0.25">
      <c r="A413" s="1107"/>
      <c r="B413" s="2008"/>
      <c r="C413" s="1154">
        <v>8</v>
      </c>
      <c r="D413" s="1144" t="s">
        <v>1872</v>
      </c>
      <c r="E413" s="1144" t="s">
        <v>1426</v>
      </c>
      <c r="F413" s="1153" t="str">
        <f>'Required Info to Submit'!E30</f>
        <v/>
      </c>
      <c r="G413" s="1417" t="str">
        <f>IF(F413="","",'Required Info to Submit'!K30)</f>
        <v/>
      </c>
      <c r="H413" s="1418" t="str">
        <f>IF(F413="","",'Required Info to Submit'!K30)</f>
        <v/>
      </c>
      <c r="I413" s="1153" t="str">
        <f>'Required Info to Submit'!F30</f>
        <v/>
      </c>
      <c r="J413" s="1263" t="str">
        <f>'Required Info to Submit'!G30</f>
        <v/>
      </c>
      <c r="K413" s="1153" t="str">
        <f>'Required Info to Submit'!H30</f>
        <v/>
      </c>
      <c r="L413" s="1153" t="str">
        <f>'Required Info to Submit'!I30</f>
        <v/>
      </c>
      <c r="M413" s="1153" t="str">
        <f>'Required Info to Submit'!J30</f>
        <v/>
      </c>
      <c r="N413" s="1107"/>
      <c r="O413" s="1107"/>
      <c r="P413" s="1107"/>
      <c r="Q413" s="1107"/>
      <c r="R413" s="1107"/>
      <c r="S413" s="1107"/>
      <c r="T413" s="2008"/>
      <c r="U413" s="1154">
        <v>8</v>
      </c>
      <c r="V413" s="1144" t="s">
        <v>1872</v>
      </c>
      <c r="W413" s="1144" t="s">
        <v>1426</v>
      </c>
      <c r="X413" s="1144" t="str">
        <f>'Required Info to Submit'!E30</f>
        <v/>
      </c>
      <c r="Y413" s="1414" t="str">
        <f>IF(X413="","",'Required Info to Submit'!K30)</f>
        <v/>
      </c>
      <c r="Z413" s="1415" t="str">
        <f>IF(X413="","",'Required Info to Submit'!L30)</f>
        <v/>
      </c>
      <c r="AA413" s="1144" t="str">
        <f>'Required Info to Submit'!F30</f>
        <v/>
      </c>
      <c r="AB413" s="1261" t="str">
        <f>'Required Info to Submit'!G30</f>
        <v/>
      </c>
      <c r="AC413" s="1144" t="str">
        <f>'Required Info to Submit'!H30</f>
        <v/>
      </c>
      <c r="AD413" s="1144" t="str">
        <f>'Required Info to Submit'!I30</f>
        <v/>
      </c>
      <c r="AE413" s="1144" t="str">
        <f>'Required Info to Submit'!J30</f>
        <v/>
      </c>
      <c r="AF413" s="1107"/>
      <c r="AG413" s="1107"/>
      <c r="AH413" s="1107"/>
      <c r="AI413" s="1107"/>
      <c r="AJ413" s="1107"/>
      <c r="AK413" s="1107"/>
      <c r="AL413" s="1107"/>
      <c r="AM413" s="1107"/>
      <c r="AN413" s="1107"/>
      <c r="AO413" s="1107"/>
      <c r="AP413" s="1107"/>
      <c r="AQ413" s="1107"/>
      <c r="AR413" s="1107"/>
      <c r="AS413" s="1107"/>
      <c r="AT413" s="1107"/>
      <c r="AU413" s="1107"/>
      <c r="AV413" s="1107"/>
      <c r="AW413" s="1107"/>
      <c r="AX413" s="1107"/>
      <c r="AY413" s="1107"/>
      <c r="AZ413" s="1107"/>
      <c r="BA413" s="1107"/>
      <c r="BB413" s="1107"/>
      <c r="BC413" s="1107"/>
      <c r="BD413" s="1107"/>
      <c r="BE413" s="1107"/>
      <c r="BF413" s="1107"/>
      <c r="BG413" s="1107"/>
      <c r="BH413" s="1107"/>
      <c r="BI413" s="1107"/>
      <c r="BJ413" s="1107"/>
      <c r="BK413" s="1107"/>
      <c r="BL413" s="1107"/>
      <c r="BM413" s="1107"/>
      <c r="BN413" s="1107"/>
      <c r="BO413" s="1107"/>
      <c r="BP413" s="1107"/>
      <c r="BQ413" s="1107"/>
      <c r="BR413" s="1107"/>
      <c r="BS413" s="1107"/>
      <c r="BT413" s="1107"/>
      <c r="BU413" s="1107"/>
      <c r="BV413" s="1107"/>
      <c r="BW413" s="1107"/>
      <c r="BX413" s="1107"/>
      <c r="BY413" s="1107"/>
      <c r="BZ413" s="1107"/>
      <c r="CA413" s="1107"/>
      <c r="CB413" s="1107"/>
      <c r="CC413" s="1107"/>
      <c r="CD413" s="1107"/>
      <c r="CE413" s="1107"/>
      <c r="CF413" s="1107"/>
      <c r="CG413" s="1107"/>
      <c r="CH413" s="1107"/>
      <c r="CI413" s="1107"/>
      <c r="CJ413" s="1107"/>
      <c r="CK413" s="1107"/>
    </row>
    <row r="414" spans="1:89" x14ac:dyDescent="0.25">
      <c r="A414" s="1107"/>
      <c r="B414" s="2008"/>
      <c r="C414" s="1154">
        <v>9</v>
      </c>
      <c r="D414" s="1144" t="s">
        <v>1872</v>
      </c>
      <c r="E414" s="1144" t="s">
        <v>1426</v>
      </c>
      <c r="F414" s="1153" t="str">
        <f>'Required Info to Submit'!E31</f>
        <v/>
      </c>
      <c r="G414" s="1417" t="str">
        <f>IF(F414="","",'Required Info to Submit'!K31)</f>
        <v/>
      </c>
      <c r="H414" s="1418" t="str">
        <f>IF(F414="","",'Required Info to Submit'!K31)</f>
        <v/>
      </c>
      <c r="I414" s="1153" t="str">
        <f>'Required Info to Submit'!F31</f>
        <v/>
      </c>
      <c r="J414" s="1263" t="str">
        <f>'Required Info to Submit'!G31</f>
        <v/>
      </c>
      <c r="K414" s="1153" t="str">
        <f>'Required Info to Submit'!H31</f>
        <v/>
      </c>
      <c r="L414" s="1153" t="str">
        <f>'Required Info to Submit'!I31</f>
        <v/>
      </c>
      <c r="M414" s="1153" t="str">
        <f>'Required Info to Submit'!J31</f>
        <v/>
      </c>
      <c r="N414" s="1107"/>
      <c r="O414" s="1107"/>
      <c r="P414" s="1107"/>
      <c r="Q414" s="1107"/>
      <c r="R414" s="1107"/>
      <c r="S414" s="1107"/>
      <c r="T414" s="2008"/>
      <c r="U414" s="1154">
        <v>9</v>
      </c>
      <c r="V414" s="1144" t="s">
        <v>1872</v>
      </c>
      <c r="W414" s="1144" t="s">
        <v>1426</v>
      </c>
      <c r="X414" s="1144" t="str">
        <f>'Required Info to Submit'!E31</f>
        <v/>
      </c>
      <c r="Y414" s="1414" t="str">
        <f>IF(X414="","",'Required Info to Submit'!K31)</f>
        <v/>
      </c>
      <c r="Z414" s="1415" t="str">
        <f>IF(X414="","",'Required Info to Submit'!L31)</f>
        <v/>
      </c>
      <c r="AA414" s="1144" t="str">
        <f>'Required Info to Submit'!F31</f>
        <v/>
      </c>
      <c r="AB414" s="1261" t="str">
        <f>'Required Info to Submit'!G31</f>
        <v/>
      </c>
      <c r="AC414" s="1144" t="str">
        <f>'Required Info to Submit'!H31</f>
        <v/>
      </c>
      <c r="AD414" s="1144" t="str">
        <f>'Required Info to Submit'!I31</f>
        <v/>
      </c>
      <c r="AE414" s="1144" t="str">
        <f>'Required Info to Submit'!J31</f>
        <v/>
      </c>
      <c r="AF414" s="1107"/>
      <c r="AG414" s="1107"/>
      <c r="AH414" s="1107"/>
      <c r="AI414" s="1107"/>
      <c r="AJ414" s="1107"/>
      <c r="AK414" s="1107"/>
      <c r="AL414" s="1107"/>
      <c r="AM414" s="1107"/>
      <c r="AN414" s="1107"/>
      <c r="AO414" s="1107"/>
      <c r="AP414" s="1107"/>
      <c r="AQ414" s="1107"/>
      <c r="AR414" s="1107"/>
      <c r="AS414" s="1107"/>
      <c r="AT414" s="1107"/>
      <c r="AU414" s="1107"/>
      <c r="AV414" s="1107"/>
      <c r="AW414" s="1107"/>
      <c r="AX414" s="1107"/>
      <c r="AY414" s="1107"/>
      <c r="AZ414" s="1107"/>
      <c r="BA414" s="1107"/>
      <c r="BB414" s="1107"/>
      <c r="BC414" s="1107"/>
      <c r="BD414" s="1107"/>
      <c r="BE414" s="1107"/>
      <c r="BF414" s="1107"/>
      <c r="BG414" s="1107"/>
      <c r="BH414" s="1107"/>
      <c r="BI414" s="1107"/>
      <c r="BJ414" s="1107"/>
      <c r="BK414" s="1107"/>
      <c r="BL414" s="1107"/>
      <c r="BM414" s="1107"/>
      <c r="BN414" s="1107"/>
      <c r="BO414" s="1107"/>
      <c r="BP414" s="1107"/>
      <c r="BQ414" s="1107"/>
      <c r="BR414" s="1107"/>
      <c r="BS414" s="1107"/>
      <c r="BT414" s="1107"/>
      <c r="BU414" s="1107"/>
      <c r="BV414" s="1107"/>
      <c r="BW414" s="1107"/>
      <c r="BX414" s="1107"/>
      <c r="BY414" s="1107"/>
      <c r="BZ414" s="1107"/>
      <c r="CA414" s="1107"/>
      <c r="CB414" s="1107"/>
      <c r="CC414" s="1107"/>
      <c r="CD414" s="1107"/>
      <c r="CE414" s="1107"/>
      <c r="CF414" s="1107"/>
      <c r="CG414" s="1107"/>
      <c r="CH414" s="1107"/>
      <c r="CI414" s="1107"/>
      <c r="CJ414" s="1107"/>
      <c r="CK414" s="1107"/>
    </row>
    <row r="415" spans="1:89" ht="15.75" thickBot="1" x14ac:dyDescent="0.3">
      <c r="A415" s="1107"/>
      <c r="B415" s="2009"/>
      <c r="C415" s="1156">
        <v>10</v>
      </c>
      <c r="D415" s="1146" t="s">
        <v>1872</v>
      </c>
      <c r="E415" s="1146" t="s">
        <v>1426</v>
      </c>
      <c r="F415" s="1159" t="str">
        <f>'Required Info to Submit'!E32</f>
        <v/>
      </c>
      <c r="G415" s="1419" t="str">
        <f>IF(F415="","",'Required Info to Submit'!K32)</f>
        <v/>
      </c>
      <c r="H415" s="1419" t="str">
        <f>IF(F415="","",'Required Info to Submit'!K32)</f>
        <v/>
      </c>
      <c r="I415" s="1159" t="str">
        <f>'Required Info to Submit'!F32</f>
        <v/>
      </c>
      <c r="J415" s="1221" t="str">
        <f>'Required Info to Submit'!G32</f>
        <v/>
      </c>
      <c r="K415" s="1159" t="str">
        <f>'Required Info to Submit'!H32</f>
        <v/>
      </c>
      <c r="L415" s="1159" t="str">
        <f>'Required Info to Submit'!I32</f>
        <v/>
      </c>
      <c r="M415" s="1159" t="str">
        <f>'Required Info to Submit'!J32</f>
        <v/>
      </c>
      <c r="N415" s="1107"/>
      <c r="O415" s="1107"/>
      <c r="P415" s="1107"/>
      <c r="Q415" s="1107"/>
      <c r="R415" s="1107"/>
      <c r="S415" s="1107"/>
      <c r="T415" s="2009"/>
      <c r="U415" s="1156">
        <v>10</v>
      </c>
      <c r="V415" s="1146" t="s">
        <v>1872</v>
      </c>
      <c r="W415" s="1146" t="s">
        <v>1426</v>
      </c>
      <c r="X415" s="1146" t="str">
        <f>'Required Info to Submit'!E32</f>
        <v/>
      </c>
      <c r="Y415" s="1416" t="str">
        <f>IF(X415="","",'Required Info to Submit'!K32)</f>
        <v/>
      </c>
      <c r="Z415" s="1424" t="str">
        <f>IF(X415="","",'Required Info to Submit'!L32)</f>
        <v/>
      </c>
      <c r="AA415" s="1146" t="str">
        <f>'Required Info to Submit'!F32</f>
        <v/>
      </c>
      <c r="AB415" s="1262" t="str">
        <f>'Required Info to Submit'!G32</f>
        <v/>
      </c>
      <c r="AC415" s="1146" t="str">
        <f>'Required Info to Submit'!H32</f>
        <v/>
      </c>
      <c r="AD415" s="1146" t="str">
        <f>'Required Info to Submit'!I32</f>
        <v/>
      </c>
      <c r="AE415" s="1146" t="str">
        <f>'Required Info to Submit'!J32</f>
        <v/>
      </c>
      <c r="AF415" s="1107"/>
      <c r="AG415" s="1107"/>
      <c r="AH415" s="1107"/>
      <c r="AI415" s="1107"/>
      <c r="AJ415" s="1107"/>
      <c r="AK415" s="1107"/>
      <c r="AL415" s="1107"/>
      <c r="AM415" s="1107"/>
      <c r="AN415" s="1107"/>
      <c r="AO415" s="1107"/>
      <c r="AP415" s="1107"/>
      <c r="AQ415" s="1107"/>
      <c r="AR415" s="1107"/>
      <c r="AS415" s="1107"/>
      <c r="AT415" s="1107"/>
      <c r="AU415" s="1107"/>
      <c r="AV415" s="1107"/>
      <c r="AW415" s="1107"/>
      <c r="AX415" s="1107"/>
      <c r="AY415" s="1107"/>
      <c r="AZ415" s="1107"/>
      <c r="BA415" s="1107"/>
      <c r="BB415" s="1107"/>
      <c r="BC415" s="1107"/>
      <c r="BD415" s="1107"/>
      <c r="BE415" s="1107"/>
      <c r="BF415" s="1107"/>
      <c r="BG415" s="1107"/>
      <c r="BH415" s="1107"/>
      <c r="BI415" s="1107"/>
      <c r="BJ415" s="1107"/>
      <c r="BK415" s="1107"/>
      <c r="BL415" s="1107"/>
      <c r="BM415" s="1107"/>
      <c r="BN415" s="1107"/>
      <c r="BO415" s="1107"/>
      <c r="BP415" s="1107"/>
      <c r="BQ415" s="1107"/>
      <c r="BR415" s="1107"/>
      <c r="BS415" s="1107"/>
      <c r="BT415" s="1107"/>
      <c r="BU415" s="1107"/>
      <c r="BV415" s="1107"/>
      <c r="BW415" s="1107"/>
      <c r="BX415" s="1107"/>
      <c r="BY415" s="1107"/>
      <c r="BZ415" s="1107"/>
      <c r="CA415" s="1107"/>
      <c r="CB415" s="1107"/>
      <c r="CC415" s="1107"/>
      <c r="CD415" s="1107"/>
      <c r="CE415" s="1107"/>
      <c r="CF415" s="1107"/>
      <c r="CG415" s="1107"/>
      <c r="CH415" s="1107"/>
      <c r="CI415" s="1107"/>
      <c r="CJ415" s="1107"/>
      <c r="CK415" s="1107"/>
    </row>
    <row r="416" spans="1:89" x14ac:dyDescent="0.25">
      <c r="A416" s="1107"/>
      <c r="B416" s="1107"/>
      <c r="C416" s="1107"/>
      <c r="D416" s="1107"/>
      <c r="E416" s="1107"/>
      <c r="F416" s="1107"/>
      <c r="G416" s="1107"/>
      <c r="H416" s="1107"/>
      <c r="I416" s="1107"/>
      <c r="J416" s="1107"/>
      <c r="K416" s="1107"/>
      <c r="L416" s="1107"/>
      <c r="M416" s="1107"/>
      <c r="N416" s="1107"/>
      <c r="O416" s="1107"/>
      <c r="P416" s="1107"/>
      <c r="Q416" s="1107"/>
      <c r="R416" s="1107"/>
      <c r="S416" s="1107"/>
      <c r="T416" s="1107"/>
      <c r="U416" s="1107"/>
      <c r="V416" s="1107"/>
      <c r="W416" s="1107"/>
      <c r="X416" s="1107"/>
      <c r="Y416" s="1107"/>
      <c r="Z416" s="1107"/>
      <c r="AA416" s="1107"/>
      <c r="AB416" s="1107"/>
      <c r="AC416" s="1107"/>
      <c r="AD416" s="1107"/>
      <c r="AE416" s="1107"/>
      <c r="AF416" s="1107"/>
      <c r="AG416" s="1107"/>
      <c r="AH416" s="1107"/>
      <c r="AI416" s="1107"/>
      <c r="AJ416" s="1107"/>
      <c r="AK416" s="1107"/>
      <c r="AL416" s="1107"/>
      <c r="AM416" s="1107"/>
      <c r="AN416" s="1107"/>
      <c r="AO416" s="1107"/>
      <c r="AP416" s="1107"/>
      <c r="AQ416" s="1107"/>
      <c r="AR416" s="1107"/>
      <c r="AS416" s="1107"/>
      <c r="AT416" s="1107"/>
      <c r="AU416" s="1107"/>
      <c r="AV416" s="1107"/>
      <c r="AW416" s="1107"/>
      <c r="AX416" s="1107"/>
      <c r="AY416" s="1107"/>
      <c r="AZ416" s="1107"/>
      <c r="BA416" s="1107"/>
      <c r="BB416" s="1107"/>
      <c r="BC416" s="1107"/>
      <c r="BD416" s="1107"/>
      <c r="BE416" s="1107"/>
      <c r="BF416" s="1107"/>
      <c r="BG416" s="1107"/>
      <c r="BH416" s="1107"/>
      <c r="BI416" s="1107"/>
      <c r="BJ416" s="1107"/>
      <c r="BK416" s="1107"/>
      <c r="BL416" s="1107"/>
      <c r="BM416" s="1107"/>
      <c r="BN416" s="1107"/>
      <c r="BO416" s="1107"/>
      <c r="BP416" s="1107"/>
      <c r="BQ416" s="1107"/>
      <c r="BR416" s="1107"/>
      <c r="BS416" s="1107"/>
      <c r="BT416" s="1107"/>
      <c r="BU416" s="1107"/>
      <c r="BV416" s="1107"/>
      <c r="BW416" s="1107"/>
      <c r="BX416" s="1107"/>
      <c r="BY416" s="1107"/>
      <c r="BZ416" s="1107"/>
      <c r="CA416" s="1107"/>
      <c r="CB416" s="1107"/>
      <c r="CC416" s="1107"/>
      <c r="CD416" s="1107"/>
      <c r="CE416" s="1107"/>
      <c r="CF416" s="1107"/>
      <c r="CG416" s="1107"/>
      <c r="CH416" s="1107"/>
      <c r="CI416" s="1107"/>
      <c r="CJ416" s="1107"/>
      <c r="CK416" s="1107"/>
    </row>
    <row r="417" spans="1:89" ht="15.75" thickBot="1" x14ac:dyDescent="0.3">
      <c r="A417" s="1107"/>
      <c r="B417" s="1107"/>
      <c r="C417" s="1107"/>
      <c r="D417" s="1107"/>
      <c r="E417" s="1107"/>
      <c r="F417" s="1107"/>
      <c r="G417" s="1107"/>
      <c r="H417" s="1107"/>
      <c r="I417" s="1107"/>
      <c r="J417" s="1107"/>
      <c r="K417" s="1107"/>
      <c r="L417" s="1107"/>
      <c r="M417" s="1107"/>
      <c r="N417" s="1107"/>
      <c r="O417" s="1107"/>
      <c r="P417" s="1107"/>
      <c r="Q417" s="1107"/>
      <c r="R417" s="1107"/>
      <c r="S417" s="1107"/>
      <c r="T417" s="1107"/>
      <c r="U417" s="1107"/>
      <c r="V417" s="1107"/>
      <c r="W417" s="1107"/>
      <c r="X417" s="1107"/>
      <c r="Y417" s="1107"/>
      <c r="Z417" s="1107"/>
      <c r="AA417" s="1107"/>
      <c r="AB417" s="1107"/>
      <c r="AC417" s="1107"/>
      <c r="AD417" s="1107"/>
      <c r="AE417" s="1107"/>
      <c r="AF417" s="1107"/>
      <c r="AG417" s="1107"/>
      <c r="AH417" s="1107"/>
      <c r="AI417" s="1107"/>
      <c r="AJ417" s="1107"/>
      <c r="AK417" s="1107"/>
      <c r="AL417" s="1107"/>
      <c r="AM417" s="1107"/>
      <c r="AN417" s="1107"/>
      <c r="AO417" s="1107"/>
      <c r="AP417" s="1107"/>
      <c r="AQ417" s="1107"/>
      <c r="AR417" s="1107"/>
      <c r="AS417" s="1107"/>
      <c r="AT417" s="1107"/>
      <c r="AU417" s="1107"/>
      <c r="AV417" s="1107"/>
      <c r="AW417" s="1107"/>
      <c r="AX417" s="1107"/>
      <c r="AY417" s="1107"/>
      <c r="AZ417" s="1107"/>
      <c r="BA417" s="1107"/>
      <c r="BB417" s="1107"/>
      <c r="BC417" s="1107"/>
      <c r="BD417" s="1107"/>
      <c r="BE417" s="1107"/>
      <c r="BF417" s="1107"/>
      <c r="BG417" s="1107"/>
      <c r="BH417" s="1107"/>
      <c r="BI417" s="1107"/>
      <c r="BJ417" s="1107"/>
      <c r="BK417" s="1107"/>
      <c r="BL417" s="1107"/>
      <c r="BM417" s="1107"/>
      <c r="BN417" s="1107"/>
      <c r="BO417" s="1107"/>
      <c r="BP417" s="1107"/>
      <c r="BQ417" s="1107"/>
      <c r="BR417" s="1107"/>
      <c r="BS417" s="1107"/>
      <c r="BT417" s="1107"/>
      <c r="BU417" s="1107"/>
      <c r="BV417" s="1107"/>
      <c r="BW417" s="1107"/>
      <c r="BX417" s="1107"/>
      <c r="BY417" s="1107"/>
      <c r="BZ417" s="1107"/>
      <c r="CA417" s="1107"/>
      <c r="CB417" s="1107"/>
      <c r="CC417" s="1107"/>
      <c r="CD417" s="1107"/>
      <c r="CE417" s="1107"/>
      <c r="CF417" s="1107"/>
      <c r="CG417" s="1107"/>
      <c r="CH417" s="1107"/>
      <c r="CI417" s="1107"/>
      <c r="CJ417" s="1107"/>
      <c r="CK417" s="1107"/>
    </row>
    <row r="418" spans="1:89" ht="30.75" thickBot="1" x14ac:dyDescent="0.3">
      <c r="A418" s="1107"/>
      <c r="B418" s="1303"/>
      <c r="C418" s="1100" t="s">
        <v>1383</v>
      </c>
      <c r="D418" s="1100" t="s">
        <v>1491</v>
      </c>
      <c r="E418" s="1101" t="s">
        <v>1389</v>
      </c>
      <c r="F418" s="1101" t="s">
        <v>1397</v>
      </c>
      <c r="G418" s="1101" t="s">
        <v>1381</v>
      </c>
      <c r="H418" s="1101" t="s">
        <v>721</v>
      </c>
      <c r="I418" s="1101" t="s">
        <v>722</v>
      </c>
      <c r="J418" s="1101" t="s">
        <v>1495</v>
      </c>
      <c r="K418" s="1107"/>
      <c r="L418" s="1107"/>
      <c r="M418" s="1107"/>
      <c r="N418" s="1107"/>
      <c r="O418" s="1107"/>
      <c r="P418" s="1107"/>
      <c r="Q418" s="1107"/>
      <c r="R418" s="1107"/>
      <c r="S418" s="1107"/>
      <c r="T418" s="1107"/>
      <c r="U418" s="1107"/>
      <c r="V418" s="1107"/>
      <c r="W418" s="1107"/>
      <c r="X418" s="1107"/>
      <c r="Y418" s="1107"/>
      <c r="Z418" s="1107"/>
      <c r="AA418" s="1107"/>
      <c r="AB418" s="1107"/>
      <c r="AC418" s="1107"/>
      <c r="AD418" s="1107"/>
      <c r="AE418" s="1107"/>
      <c r="AF418" s="1107"/>
      <c r="AG418" s="1107"/>
      <c r="AH418" s="1107"/>
      <c r="AI418" s="1107"/>
      <c r="AJ418" s="1107"/>
      <c r="AK418" s="1107"/>
      <c r="AL418" s="1107"/>
      <c r="AM418" s="1107"/>
      <c r="AN418" s="1107"/>
      <c r="AO418" s="1107"/>
      <c r="AP418" s="1107"/>
      <c r="AQ418" s="1107"/>
      <c r="AR418" s="1107"/>
      <c r="AS418" s="1107"/>
      <c r="AT418" s="1107"/>
      <c r="AU418" s="1107"/>
      <c r="AV418" s="1107"/>
      <c r="AW418" s="1107"/>
      <c r="AX418" s="1107"/>
      <c r="AY418" s="1107"/>
      <c r="AZ418" s="1107"/>
      <c r="BA418" s="1107"/>
      <c r="BB418" s="1107"/>
      <c r="BC418" s="1107"/>
      <c r="BD418" s="1107"/>
      <c r="BE418" s="1107"/>
      <c r="BF418" s="1107"/>
      <c r="BG418" s="1107"/>
      <c r="BH418" s="1107"/>
      <c r="BI418" s="1107"/>
      <c r="BJ418" s="1107"/>
      <c r="BK418" s="1107"/>
      <c r="BL418" s="1107"/>
      <c r="BM418" s="1107"/>
      <c r="BN418" s="1107"/>
      <c r="BO418" s="1107"/>
      <c r="BP418" s="1107"/>
      <c r="BQ418" s="1107"/>
      <c r="BR418" s="1107"/>
      <c r="BS418" s="1107"/>
      <c r="BT418" s="1107"/>
      <c r="BU418" s="1107"/>
      <c r="BV418" s="1107"/>
      <c r="BW418" s="1107"/>
      <c r="BX418" s="1107"/>
      <c r="BY418" s="1107"/>
      <c r="BZ418" s="1107"/>
      <c r="CA418" s="1107"/>
      <c r="CB418" s="1107"/>
      <c r="CC418" s="1107"/>
      <c r="CD418" s="1107"/>
      <c r="CE418" s="1107"/>
      <c r="CF418" s="1107"/>
      <c r="CG418" s="1107"/>
      <c r="CH418" s="1107"/>
      <c r="CI418" s="1107"/>
      <c r="CJ418" s="1107"/>
      <c r="CK418" s="1107"/>
    </row>
    <row r="419" spans="1:89" ht="60.75" thickBot="1" x14ac:dyDescent="0.3">
      <c r="A419" s="1107"/>
      <c r="B419" s="1241" t="s">
        <v>1916</v>
      </c>
      <c r="C419" s="1133" t="s">
        <v>1629</v>
      </c>
      <c r="D419" s="1230">
        <v>1001</v>
      </c>
      <c r="E419" s="1254" t="str" cm="1">
        <f t="array" aca="1" ref="E419" ca="1">IF(INDIRECT("'Incentives Worksheet'!L"&amp;'Configurable Tab'!H37+6)=0,"",INDIRECT("'Incentives Worksheet'!L"&amp;'Configurable Tab'!H37+6))</f>
        <v/>
      </c>
      <c r="F419" s="1104" t="str" cm="1">
        <f t="array" aca="1" ref="F419" ca="1">IF(ISBLANK(INDIRECT("'Incentives Worksheet'!L"&amp;'Configurable Tab'!H37+3)),"",INDIRECT("'Incentives Worksheet'!L"&amp;'Configurable Tab'!H37+3))</f>
        <v/>
      </c>
      <c r="G419" s="1104" t="str" cm="1">
        <f t="array" aca="1" ref="G419" ca="1">IF(ISBLANK(INDIRECT("'Incentives Worksheet'!J"&amp;'Configurable Tab'!H37+3)),"",INDIRECT("'Incentives Worksheet'!J"&amp;'Configurable Tab'!H37+3))</f>
        <v/>
      </c>
      <c r="H419" s="1231" t="str" cm="1">
        <f t="array" aca="1" ref="H419" ca="1">INDIRECT("'Incentives Worksheet'!D"&amp;'Configurable Tab'!H37+6)</f>
        <v/>
      </c>
      <c r="I419" s="1231" t="str" cm="1">
        <f t="array" aca="1" ref="I419" ca="1">INDIRECT("'Incentives Worksheet'!D"&amp;'Configurable Tab'!H37+8)</f>
        <v/>
      </c>
      <c r="J419" s="1104" t="str" cm="1">
        <f t="array" aca="1" ref="J419" ca="1">INDIRECT("'Incentives Worksheet'!D"&amp;'Configurable Tab'!H37+10)</f>
        <v>Yes</v>
      </c>
      <c r="K419" s="1107"/>
      <c r="L419" s="1107"/>
      <c r="M419" s="1107"/>
      <c r="N419" s="1107"/>
      <c r="O419" s="1107"/>
      <c r="P419" s="1107"/>
      <c r="Q419" s="1107"/>
      <c r="R419" s="1107"/>
      <c r="S419" s="1107"/>
      <c r="T419" s="1107"/>
      <c r="U419" s="1107"/>
      <c r="V419" s="1107"/>
      <c r="W419" s="1107"/>
      <c r="X419" s="1107"/>
      <c r="Y419" s="1107"/>
      <c r="Z419" s="1107"/>
      <c r="AA419" s="1107"/>
      <c r="AB419" s="1107"/>
      <c r="AC419" s="1107"/>
      <c r="AD419" s="1107"/>
      <c r="AE419" s="1107"/>
      <c r="AF419" s="1107"/>
      <c r="AG419" s="1107"/>
      <c r="AH419" s="1107"/>
      <c r="AI419" s="1107"/>
      <c r="AJ419" s="1107"/>
      <c r="AK419" s="1107"/>
      <c r="AL419" s="1107"/>
      <c r="AM419" s="1107"/>
      <c r="AN419" s="1107"/>
      <c r="AO419" s="1107"/>
      <c r="AP419" s="1107"/>
      <c r="AQ419" s="1107"/>
      <c r="AR419" s="1107"/>
      <c r="AS419" s="1107"/>
      <c r="AT419" s="1107"/>
      <c r="AU419" s="1107"/>
      <c r="AV419" s="1107"/>
      <c r="AW419" s="1107"/>
      <c r="AX419" s="1107"/>
      <c r="AY419" s="1107"/>
      <c r="AZ419" s="1107"/>
      <c r="BA419" s="1107"/>
      <c r="BB419" s="1107"/>
      <c r="BC419" s="1107"/>
      <c r="BD419" s="1107"/>
      <c r="BE419" s="1107"/>
      <c r="BF419" s="1107"/>
      <c r="BG419" s="1107"/>
      <c r="BH419" s="1107"/>
      <c r="BI419" s="1107"/>
      <c r="BJ419" s="1107"/>
      <c r="BK419" s="1107"/>
      <c r="BL419" s="1107"/>
      <c r="BM419" s="1107"/>
      <c r="BN419" s="1107"/>
      <c r="BO419" s="1107"/>
      <c r="BP419" s="1107"/>
      <c r="BQ419" s="1107"/>
      <c r="BR419" s="1107"/>
      <c r="BS419" s="1107"/>
      <c r="BT419" s="1107"/>
      <c r="BU419" s="1107"/>
      <c r="BV419" s="1107"/>
      <c r="BW419" s="1107"/>
      <c r="BX419" s="1107"/>
      <c r="BY419" s="1107"/>
      <c r="BZ419" s="1107"/>
      <c r="CA419" s="1107"/>
      <c r="CB419" s="1107"/>
      <c r="CC419" s="1107"/>
      <c r="CD419" s="1107"/>
      <c r="CE419" s="1107"/>
      <c r="CF419" s="1107"/>
      <c r="CG419" s="1107"/>
      <c r="CH419" s="1107"/>
      <c r="CI419" s="1107"/>
      <c r="CJ419" s="1107"/>
      <c r="CK419" s="1107"/>
    </row>
    <row r="420" spans="1:89" x14ac:dyDescent="0.25">
      <c r="A420" s="1107"/>
      <c r="B420" s="1107"/>
      <c r="C420" s="1107"/>
      <c r="D420" s="1107"/>
      <c r="E420" s="1107"/>
      <c r="F420" s="1107"/>
      <c r="G420" s="1107"/>
      <c r="H420" s="1107"/>
      <c r="I420" s="1107"/>
      <c r="J420" s="1107"/>
      <c r="K420" s="1107"/>
      <c r="L420" s="1107"/>
      <c r="M420" s="1107"/>
      <c r="N420" s="1107"/>
      <c r="O420" s="1107"/>
      <c r="P420" s="1107"/>
      <c r="Q420" s="1107"/>
      <c r="R420" s="1107"/>
      <c r="S420" s="1107"/>
      <c r="T420" s="1107"/>
      <c r="U420" s="1107"/>
      <c r="V420" s="1107"/>
      <c r="W420" s="1107"/>
      <c r="X420" s="1107"/>
      <c r="Y420" s="1107"/>
      <c r="Z420" s="1107"/>
      <c r="AA420" s="1107"/>
      <c r="AB420" s="1107"/>
      <c r="AC420" s="1107"/>
      <c r="AD420" s="1107"/>
      <c r="AE420" s="1107"/>
      <c r="AF420" s="1107"/>
      <c r="AG420" s="1107"/>
      <c r="AH420" s="1107"/>
      <c r="AI420" s="1107"/>
      <c r="AJ420" s="1107"/>
      <c r="AK420" s="1107"/>
      <c r="AL420" s="1107"/>
      <c r="AM420" s="1107"/>
      <c r="AN420" s="1107"/>
      <c r="AO420" s="1107"/>
      <c r="AP420" s="1107"/>
      <c r="AQ420" s="1107"/>
      <c r="AR420" s="1107"/>
      <c r="AS420" s="1107"/>
      <c r="AT420" s="1107"/>
      <c r="AU420" s="1107"/>
      <c r="AV420" s="1107"/>
      <c r="AW420" s="1107"/>
      <c r="AX420" s="1107"/>
      <c r="AY420" s="1107"/>
      <c r="AZ420" s="1107"/>
      <c r="BA420" s="1107"/>
      <c r="BB420" s="1107"/>
      <c r="BC420" s="1107"/>
      <c r="BD420" s="1107"/>
      <c r="BE420" s="1107"/>
      <c r="BF420" s="1107"/>
      <c r="BG420" s="1107"/>
      <c r="BH420" s="1107"/>
      <c r="BI420" s="1107"/>
      <c r="BJ420" s="1107"/>
      <c r="BK420" s="1107"/>
      <c r="BL420" s="1107"/>
      <c r="BM420" s="1107"/>
      <c r="BN420" s="1107"/>
      <c r="BO420" s="1107"/>
      <c r="BP420" s="1107"/>
      <c r="BQ420" s="1107"/>
      <c r="BR420" s="1107"/>
      <c r="BS420" s="1107"/>
      <c r="BT420" s="1107"/>
      <c r="BU420" s="1107"/>
      <c r="BV420" s="1107"/>
      <c r="BW420" s="1107"/>
      <c r="BX420" s="1107"/>
      <c r="BY420" s="1107"/>
      <c r="BZ420" s="1107"/>
      <c r="CA420" s="1107"/>
      <c r="CB420" s="1107"/>
      <c r="CC420" s="1107"/>
      <c r="CD420" s="1107"/>
      <c r="CE420" s="1107"/>
      <c r="CF420" s="1107"/>
      <c r="CG420" s="1107"/>
      <c r="CH420" s="1107"/>
      <c r="CI420" s="1107"/>
      <c r="CJ420" s="1107"/>
      <c r="CK420" s="1107"/>
    </row>
    <row r="421" spans="1:89" ht="15.75" thickBot="1" x14ac:dyDescent="0.3">
      <c r="A421" s="1107"/>
      <c r="B421" s="1107"/>
      <c r="C421" s="1107"/>
      <c r="D421" s="1107"/>
      <c r="E421" s="1107"/>
      <c r="F421" s="1107"/>
      <c r="G421" s="1107"/>
      <c r="H421" s="1107"/>
      <c r="I421" s="1107"/>
      <c r="J421" s="1107"/>
      <c r="K421" s="1107"/>
      <c r="L421" s="1107"/>
      <c r="M421" s="1107"/>
      <c r="N421" s="1107"/>
      <c r="O421" s="1107"/>
      <c r="P421" s="1107"/>
      <c r="Q421" s="1107"/>
      <c r="R421" s="1107"/>
      <c r="S421" s="1107"/>
      <c r="T421" s="1107"/>
      <c r="U421" s="1107"/>
      <c r="V421" s="1107"/>
      <c r="W421" s="1107"/>
      <c r="X421" s="1107"/>
      <c r="Y421" s="1107"/>
      <c r="Z421" s="1107"/>
      <c r="AA421" s="1107"/>
      <c r="AB421" s="1107"/>
      <c r="AC421" s="1107"/>
      <c r="AD421" s="1107"/>
      <c r="AE421" s="1107"/>
      <c r="AF421" s="1107"/>
      <c r="AG421" s="1107"/>
      <c r="AH421" s="1107"/>
      <c r="AI421" s="1107"/>
      <c r="AJ421" s="1107"/>
      <c r="AK421" s="1107"/>
      <c r="AL421" s="1107"/>
      <c r="AM421" s="1107"/>
      <c r="AN421" s="1107"/>
      <c r="AO421" s="1107"/>
      <c r="AP421" s="1107"/>
      <c r="AQ421" s="1107"/>
      <c r="AR421" s="1107"/>
      <c r="AS421" s="1107"/>
      <c r="AT421" s="1107"/>
      <c r="AU421" s="1107"/>
      <c r="AV421" s="1107"/>
      <c r="AW421" s="1107"/>
      <c r="AX421" s="1107"/>
      <c r="AY421" s="1107"/>
      <c r="AZ421" s="1107"/>
      <c r="BA421" s="1107"/>
      <c r="BB421" s="1107"/>
      <c r="BC421" s="1107"/>
      <c r="BD421" s="1107"/>
      <c r="BE421" s="1107"/>
      <c r="BF421" s="1107"/>
      <c r="BG421" s="1107"/>
      <c r="BH421" s="1107"/>
      <c r="BI421" s="1107"/>
      <c r="BJ421" s="1107"/>
      <c r="BK421" s="1107"/>
      <c r="BL421" s="1107"/>
      <c r="BM421" s="1107"/>
      <c r="BN421" s="1107"/>
      <c r="BO421" s="1107"/>
      <c r="BP421" s="1107"/>
      <c r="BQ421" s="1107"/>
      <c r="BR421" s="1107"/>
      <c r="BS421" s="1107"/>
      <c r="BT421" s="1107"/>
      <c r="BU421" s="1107"/>
      <c r="BV421" s="1107"/>
      <c r="BW421" s="1107"/>
      <c r="BX421" s="1107"/>
      <c r="BY421" s="1107"/>
      <c r="BZ421" s="1107"/>
      <c r="CA421" s="1107"/>
      <c r="CB421" s="1107"/>
      <c r="CC421" s="1107"/>
      <c r="CD421" s="1107"/>
      <c r="CE421" s="1107"/>
      <c r="CF421" s="1107"/>
      <c r="CG421" s="1107"/>
      <c r="CH421" s="1107"/>
      <c r="CI421" s="1107"/>
      <c r="CJ421" s="1107"/>
      <c r="CK421" s="1107"/>
    </row>
    <row r="422" spans="1:89" ht="30.75" thickBot="1" x14ac:dyDescent="0.3">
      <c r="A422" s="1107"/>
      <c r="B422" s="1443"/>
      <c r="C422" s="1444" t="s">
        <v>1383</v>
      </c>
      <c r="D422" s="1444" t="s">
        <v>1491</v>
      </c>
      <c r="E422" s="1445" t="s">
        <v>1396</v>
      </c>
      <c r="F422" s="1445" t="s">
        <v>1397</v>
      </c>
      <c r="G422" s="1445" t="s">
        <v>1381</v>
      </c>
      <c r="H422" s="1107"/>
      <c r="I422" s="1443"/>
      <c r="J422" s="1444" t="s">
        <v>1383</v>
      </c>
      <c r="K422" s="1444" t="s">
        <v>1491</v>
      </c>
      <c r="L422" s="1445" t="s">
        <v>1396</v>
      </c>
      <c r="M422" s="1445" t="s">
        <v>1397</v>
      </c>
      <c r="N422" s="1445" t="s">
        <v>1381</v>
      </c>
      <c r="O422" s="1107"/>
      <c r="P422" s="1443"/>
      <c r="Q422" s="1444" t="s">
        <v>1383</v>
      </c>
      <c r="R422" s="1444" t="s">
        <v>1491</v>
      </c>
      <c r="S422" s="1445" t="s">
        <v>1396</v>
      </c>
      <c r="T422" s="1445" t="s">
        <v>1397</v>
      </c>
      <c r="U422" s="1445" t="s">
        <v>1381</v>
      </c>
      <c r="V422" s="1107"/>
      <c r="W422" s="1443"/>
      <c r="X422" s="1444" t="s">
        <v>1383</v>
      </c>
      <c r="Y422" s="1444" t="s">
        <v>1491</v>
      </c>
      <c r="Z422" s="1445" t="s">
        <v>1396</v>
      </c>
      <c r="AA422" s="1445" t="s">
        <v>1397</v>
      </c>
      <c r="AB422" s="1445" t="s">
        <v>1381</v>
      </c>
      <c r="AC422" s="1107"/>
      <c r="AD422" s="1443"/>
      <c r="AE422" s="1444" t="s">
        <v>1383</v>
      </c>
      <c r="AF422" s="1444" t="s">
        <v>1491</v>
      </c>
      <c r="AG422" s="1445" t="s">
        <v>1396</v>
      </c>
      <c r="AH422" s="1445" t="s">
        <v>1397</v>
      </c>
      <c r="AI422" s="1445" t="s">
        <v>1381</v>
      </c>
      <c r="AJ422" s="1107"/>
      <c r="AK422" s="1443"/>
      <c r="AL422" s="1444" t="s">
        <v>1383</v>
      </c>
      <c r="AM422" s="1444" t="s">
        <v>1491</v>
      </c>
      <c r="AN422" s="1445" t="s">
        <v>1396</v>
      </c>
      <c r="AO422" s="1445" t="s">
        <v>1397</v>
      </c>
      <c r="AP422" s="1445" t="s">
        <v>1381</v>
      </c>
      <c r="AQ422" s="1107"/>
      <c r="AR422" s="1443"/>
      <c r="AS422" s="1444" t="s">
        <v>1383</v>
      </c>
      <c r="AT422" s="1444" t="s">
        <v>1491</v>
      </c>
      <c r="AU422" s="1445" t="s">
        <v>1396</v>
      </c>
      <c r="AV422" s="1445" t="s">
        <v>1397</v>
      </c>
      <c r="AW422" s="1445" t="s">
        <v>1381</v>
      </c>
      <c r="AX422" s="1107"/>
      <c r="AY422" s="1443"/>
      <c r="AZ422" s="1444" t="s">
        <v>1383</v>
      </c>
      <c r="BA422" s="1444" t="s">
        <v>1491</v>
      </c>
      <c r="BB422" s="1445" t="s">
        <v>1396</v>
      </c>
      <c r="BC422" s="1445" t="s">
        <v>1397</v>
      </c>
      <c r="BD422" s="1445" t="s">
        <v>1381</v>
      </c>
      <c r="BE422" s="1107"/>
      <c r="BF422" s="1443"/>
      <c r="BG422" s="1444" t="s">
        <v>1383</v>
      </c>
      <c r="BH422" s="1444" t="s">
        <v>1491</v>
      </c>
      <c r="BI422" s="1445" t="s">
        <v>1396</v>
      </c>
      <c r="BJ422" s="1445" t="s">
        <v>1397</v>
      </c>
      <c r="BK422" s="1445" t="s">
        <v>1381</v>
      </c>
      <c r="BL422" s="1107"/>
      <c r="BM422" s="1107"/>
      <c r="BN422" s="1107"/>
      <c r="BO422" s="1107"/>
      <c r="BP422" s="1107"/>
      <c r="BQ422" s="1107"/>
      <c r="BR422" s="1107"/>
      <c r="BS422" s="1107"/>
      <c r="BT422" s="1107"/>
      <c r="BU422" s="1107"/>
      <c r="BV422" s="1107"/>
      <c r="BW422" s="1107"/>
      <c r="BX422" s="1107"/>
      <c r="BY422" s="1107"/>
      <c r="BZ422" s="1107"/>
      <c r="CA422" s="1107"/>
      <c r="CB422" s="1107"/>
      <c r="CC422" s="1107"/>
      <c r="CD422" s="1107"/>
      <c r="CE422" s="1107"/>
      <c r="CF422" s="1107"/>
      <c r="CG422" s="1107"/>
      <c r="CH422" s="1107"/>
      <c r="CI422" s="1107"/>
      <c r="CJ422" s="1107"/>
      <c r="CK422" s="1107"/>
    </row>
    <row r="423" spans="1:89" ht="57.75" customHeight="1" thickBot="1" x14ac:dyDescent="0.3">
      <c r="B423" s="1446" t="s">
        <v>2076</v>
      </c>
      <c r="C423" s="1444" t="s">
        <v>1775</v>
      </c>
      <c r="D423" s="1447">
        <v>5301</v>
      </c>
      <c r="E423" s="1448" t="str">
        <f>IF(Incentives!G230&lt;&gt;"",Incentives!G230,"")</f>
        <v/>
      </c>
      <c r="F423" s="1449" t="s">
        <v>2075</v>
      </c>
      <c r="G423" s="1449" t="str">
        <f>IF(Incentives!I227&lt;&gt;"",Incentives!I227,"")</f>
        <v/>
      </c>
      <c r="I423" s="1446" t="s">
        <v>2076</v>
      </c>
      <c r="J423" s="1444" t="s">
        <v>1775</v>
      </c>
      <c r="K423" s="1447">
        <v>5302</v>
      </c>
      <c r="L423" s="1448" t="str">
        <f>IF(Incentives!G241&lt;&gt;"",Incentives!G241,"")</f>
        <v/>
      </c>
      <c r="M423" s="1449" t="s">
        <v>2075</v>
      </c>
      <c r="N423" s="1449" t="str">
        <f>IF(Incentives!I238&lt;&gt;"",Incentives!I238,"")</f>
        <v/>
      </c>
      <c r="P423" s="1446" t="s">
        <v>2076</v>
      </c>
      <c r="Q423" s="1444" t="s">
        <v>1775</v>
      </c>
      <c r="R423" s="1447">
        <v>5303</v>
      </c>
      <c r="S423" s="1448" t="str">
        <f>IF(Incentives!G252&lt;&gt;"",Incentives!G252,"")</f>
        <v/>
      </c>
      <c r="T423" s="1449" t="s">
        <v>2075</v>
      </c>
      <c r="U423" s="1449" t="str">
        <f>IF(Incentives!I249&lt;&gt;"",Incentives!I249,"")</f>
        <v/>
      </c>
      <c r="W423" s="1446" t="s">
        <v>2076</v>
      </c>
      <c r="X423" s="1444" t="s">
        <v>1775</v>
      </c>
      <c r="Y423" s="1447">
        <v>5304</v>
      </c>
      <c r="Z423" s="1448" t="str">
        <f>IF(Incentives!G263&lt;&gt;"",Incentives!G263,"")</f>
        <v/>
      </c>
      <c r="AA423" s="1449" t="s">
        <v>2075</v>
      </c>
      <c r="AB423" s="1449" t="str">
        <f>IF(Incentives!I260&lt;&gt;"",Incentives!I260,"")</f>
        <v/>
      </c>
      <c r="AD423" s="1446" t="s">
        <v>2076</v>
      </c>
      <c r="AE423" s="1444" t="s">
        <v>1775</v>
      </c>
      <c r="AF423" s="1447">
        <v>5305</v>
      </c>
      <c r="AG423" s="1448" t="str">
        <f>IF(Incentives!G274&lt;&gt;"",Incentives!G274,"")</f>
        <v/>
      </c>
      <c r="AH423" s="1449" t="s">
        <v>2075</v>
      </c>
      <c r="AI423" s="1449" t="str">
        <f>IF(Incentives!I271&lt;&gt;"",Incentives!I271,"")</f>
        <v/>
      </c>
      <c r="AK423" s="1446" t="s">
        <v>2076</v>
      </c>
      <c r="AL423" s="1444" t="s">
        <v>1775</v>
      </c>
      <c r="AM423" s="1447">
        <v>5306</v>
      </c>
      <c r="AN423" s="1448" t="str">
        <f>IF(Incentives!G285&lt;&gt;"",Incentives!G285,"")</f>
        <v/>
      </c>
      <c r="AO423" s="1449" t="s">
        <v>2075</v>
      </c>
      <c r="AP423" s="1449" t="str">
        <f>IF(Incentives!I282&lt;&gt;"",Incentives!I282,"")</f>
        <v/>
      </c>
      <c r="AR423" s="1446" t="s">
        <v>2076</v>
      </c>
      <c r="AS423" s="1444" t="s">
        <v>1775</v>
      </c>
      <c r="AT423" s="1447">
        <v>5307</v>
      </c>
      <c r="AU423" s="1448" t="str">
        <f>IF(Incentives!G296&lt;&gt;"",Incentives!G296,"")</f>
        <v/>
      </c>
      <c r="AV423" s="1449" t="s">
        <v>2075</v>
      </c>
      <c r="AW423" s="1449" t="str">
        <f>IF(Incentives!I293&lt;&gt;"",Incentives!I293,"")</f>
        <v/>
      </c>
      <c r="AY423" s="1446" t="s">
        <v>2076</v>
      </c>
      <c r="AZ423" s="1444" t="s">
        <v>1775</v>
      </c>
      <c r="BA423" s="1447">
        <v>5308</v>
      </c>
      <c r="BB423" s="1448" t="str">
        <f>IF(Incentives!G307&lt;&gt;"",Incentives!G307,"")</f>
        <v/>
      </c>
      <c r="BC423" s="1449" t="s">
        <v>2075</v>
      </c>
      <c r="BD423" s="1449" t="str">
        <f>IF(Incentives!I304&lt;&gt;"",Incentives!I304,"")</f>
        <v/>
      </c>
      <c r="BF423" s="1446" t="s">
        <v>2076</v>
      </c>
      <c r="BG423" s="1444" t="s">
        <v>1775</v>
      </c>
      <c r="BH423" s="1447">
        <v>5309</v>
      </c>
      <c r="BI423" s="1448" t="str">
        <f>IF(Incentives!G318&lt;&gt;"",Incentives!G318,"")</f>
        <v/>
      </c>
      <c r="BJ423" s="1449" t="s">
        <v>2075</v>
      </c>
      <c r="BK423" s="1449" t="str">
        <f>IF(Incentives!I315&lt;&gt;"",Incentives!I315,"")</f>
        <v/>
      </c>
    </row>
  </sheetData>
  <sheetProtection algorithmName="SHA-512" hashValue="bjY+zgJ3hX2i2jCblqqYHBOLRtSJ6dF2k9OlSuH5yDoNzfPk3woAW/Ce7Hx45hMo5AeZpxF8G4T/8+WcA+Zrfg==" saltValue="570+2Y4XpwMauZKVvYPRGw==" spinCount="100000" sheet="1" objects="1" scenarios="1"/>
  <mergeCells count="98">
    <mergeCell ref="B230:B240"/>
    <mergeCell ref="T230:T240"/>
    <mergeCell ref="AL230:AL240"/>
    <mergeCell ref="BC230:BC240"/>
    <mergeCell ref="BT230:BT240"/>
    <mergeCell ref="BC220:BC224"/>
    <mergeCell ref="BT220:BT224"/>
    <mergeCell ref="B225:B229"/>
    <mergeCell ref="T225:T229"/>
    <mergeCell ref="AL225:AL229"/>
    <mergeCell ref="BC225:BC229"/>
    <mergeCell ref="BT225:BT229"/>
    <mergeCell ref="B205:B215"/>
    <mergeCell ref="T205:T215"/>
    <mergeCell ref="B220:B224"/>
    <mergeCell ref="T220:T224"/>
    <mergeCell ref="AL220:AL224"/>
    <mergeCell ref="B176:B186"/>
    <mergeCell ref="T176:T186"/>
    <mergeCell ref="B191:B199"/>
    <mergeCell ref="T191:T199"/>
    <mergeCell ref="B200:B204"/>
    <mergeCell ref="T200:T204"/>
    <mergeCell ref="B151:B161"/>
    <mergeCell ref="T151:T161"/>
    <mergeCell ref="B166:B170"/>
    <mergeCell ref="T166:T170"/>
    <mergeCell ref="B171:B175"/>
    <mergeCell ref="T171:T175"/>
    <mergeCell ref="B129:B139"/>
    <mergeCell ref="T129:T139"/>
    <mergeCell ref="B144:B145"/>
    <mergeCell ref="T144:T145"/>
    <mergeCell ref="B146:B150"/>
    <mergeCell ref="T146:T150"/>
    <mergeCell ref="B100:B110"/>
    <mergeCell ref="T100:T110"/>
    <mergeCell ref="B115:B123"/>
    <mergeCell ref="T115:T123"/>
    <mergeCell ref="B124:B128"/>
    <mergeCell ref="T124:T128"/>
    <mergeCell ref="B75:B85"/>
    <mergeCell ref="T75:T85"/>
    <mergeCell ref="B90:B94"/>
    <mergeCell ref="T90:T94"/>
    <mergeCell ref="B95:B99"/>
    <mergeCell ref="T95:T99"/>
    <mergeCell ref="B46:B56"/>
    <mergeCell ref="T46:T56"/>
    <mergeCell ref="B61:B69"/>
    <mergeCell ref="T61:T69"/>
    <mergeCell ref="B70:B74"/>
    <mergeCell ref="T70:T74"/>
    <mergeCell ref="B21:B31"/>
    <mergeCell ref="T21:T31"/>
    <mergeCell ref="B36:B40"/>
    <mergeCell ref="T36:T40"/>
    <mergeCell ref="B41:B45"/>
    <mergeCell ref="T41:T45"/>
    <mergeCell ref="O9:P9"/>
    <mergeCell ref="B14:B15"/>
    <mergeCell ref="T14:T15"/>
    <mergeCell ref="B16:B20"/>
    <mergeCell ref="T16:T20"/>
    <mergeCell ref="B2:J2"/>
    <mergeCell ref="B3:B4"/>
    <mergeCell ref="B5:B6"/>
    <mergeCell ref="B7:B8"/>
    <mergeCell ref="M2:P2"/>
    <mergeCell ref="B245:B249"/>
    <mergeCell ref="B250:B256"/>
    <mergeCell ref="B257:B267"/>
    <mergeCell ref="B272:B273"/>
    <mergeCell ref="T272:T273"/>
    <mergeCell ref="B274:B284"/>
    <mergeCell ref="T274:T284"/>
    <mergeCell ref="B289:B290"/>
    <mergeCell ref="B291:B301"/>
    <mergeCell ref="B306:B307"/>
    <mergeCell ref="B308:B318"/>
    <mergeCell ref="B323:B324"/>
    <mergeCell ref="B325:B335"/>
    <mergeCell ref="B336:B337"/>
    <mergeCell ref="B342:B343"/>
    <mergeCell ref="B344:B354"/>
    <mergeCell ref="B355:B356"/>
    <mergeCell ref="B361:B362"/>
    <mergeCell ref="T361:T362"/>
    <mergeCell ref="B363:B373"/>
    <mergeCell ref="B399:B404"/>
    <mergeCell ref="T399:T404"/>
    <mergeCell ref="B405:B415"/>
    <mergeCell ref="T405:T415"/>
    <mergeCell ref="T363:T373"/>
    <mergeCell ref="B378:B383"/>
    <mergeCell ref="T378:T383"/>
    <mergeCell ref="B384:B394"/>
    <mergeCell ref="T384:T394"/>
  </mergeCells>
  <conditionalFormatting sqref="H4">
    <cfRule type="expression" dxfId="473" priority="373">
      <formula>$H$4="Select Non-Std"</formula>
    </cfRule>
  </conditionalFormatting>
  <conditionalFormatting sqref="I4">
    <cfRule type="expression" dxfId="472" priority="372">
      <formula>$I$4="Select Local MDA"</formula>
    </cfRule>
  </conditionalFormatting>
  <conditionalFormatting sqref="N4">
    <cfRule type="expression" dxfId="471" priority="371">
      <formula>$N$4="Yes"</formula>
    </cfRule>
  </conditionalFormatting>
  <conditionalFormatting sqref="N5">
    <cfRule type="expression" dxfId="470" priority="370">
      <formula>$N$5="Yes"</formula>
    </cfRule>
  </conditionalFormatting>
  <conditionalFormatting sqref="N6">
    <cfRule type="expression" dxfId="469" priority="369">
      <formula>$N$6="Yes"</formula>
    </cfRule>
  </conditionalFormatting>
  <conditionalFormatting sqref="N7">
    <cfRule type="expression" dxfId="468" priority="368">
      <formula>$N$7="Yes"</formula>
    </cfRule>
  </conditionalFormatting>
  <conditionalFormatting sqref="N8">
    <cfRule type="expression" dxfId="467" priority="367">
      <formula>$N$8="Yes"</formula>
    </cfRule>
  </conditionalFormatting>
  <conditionalFormatting sqref="N9">
    <cfRule type="expression" dxfId="466" priority="366">
      <formula>$N$9="Yes"</formula>
    </cfRule>
  </conditionalFormatting>
  <conditionalFormatting sqref="P4">
    <cfRule type="expression" dxfId="465" priority="365">
      <formula>$P$4="Yes"</formula>
    </cfRule>
  </conditionalFormatting>
  <conditionalFormatting sqref="P5">
    <cfRule type="expression" dxfId="464" priority="364">
      <formula>$P$5="Yes"</formula>
    </cfRule>
  </conditionalFormatting>
  <conditionalFormatting sqref="P6">
    <cfRule type="expression" dxfId="463" priority="363">
      <formula>$P$6="Yes"</formula>
    </cfRule>
  </conditionalFormatting>
  <conditionalFormatting sqref="P7">
    <cfRule type="expression" dxfId="462" priority="362">
      <formula>$P$7="Yes"</formula>
    </cfRule>
  </conditionalFormatting>
  <conditionalFormatting sqref="P8">
    <cfRule type="expression" dxfId="461" priority="361">
      <formula>$P$8="Yes"</formula>
    </cfRule>
  </conditionalFormatting>
  <conditionalFormatting sqref="G13">
    <cfRule type="expression" dxfId="460" priority="360">
      <formula>$G$13&lt;&gt;"Same as Payout Cycle"</formula>
    </cfRule>
  </conditionalFormatting>
  <conditionalFormatting sqref="H13">
    <cfRule type="expression" dxfId="459" priority="359">
      <formula>AND($H$13&lt;&gt;"",$H$13&lt;&gt;"Quarterly")</formula>
    </cfRule>
  </conditionalFormatting>
  <conditionalFormatting sqref="I13">
    <cfRule type="expression" dxfId="458" priority="358">
      <formula>$I$13&lt;&gt;"Fiscal"</formula>
    </cfRule>
  </conditionalFormatting>
  <conditionalFormatting sqref="J13">
    <cfRule type="expression" dxfId="457" priority="357">
      <formula>$J$13="Post to GL"</formula>
    </cfRule>
  </conditionalFormatting>
  <conditionalFormatting sqref="K13">
    <cfRule type="expression" dxfId="456" priority="356">
      <formula>$K$13="Corporate Office"</formula>
    </cfRule>
  </conditionalFormatting>
  <conditionalFormatting sqref="L13">
    <cfRule type="expression" dxfId="455" priority="355">
      <formula>$L$13="Check"</formula>
    </cfRule>
  </conditionalFormatting>
  <conditionalFormatting sqref="M13">
    <cfRule type="notContainsBlanks" dxfId="454" priority="353">
      <formula>LEN(TRIM(M13))&gt;0</formula>
    </cfRule>
    <cfRule type="expression" dxfId="453" priority="354">
      <formula>AND($K$13="Corporate Office",$L$13="Check")</formula>
    </cfRule>
  </conditionalFormatting>
  <conditionalFormatting sqref="P13">
    <cfRule type="expression" dxfId="452" priority="352">
      <formula>$P$13="Update tracking dates"</formula>
    </cfRule>
  </conditionalFormatting>
  <conditionalFormatting sqref="Y13">
    <cfRule type="expression" dxfId="451" priority="351">
      <formula>$Y$13&lt;&gt;"Same as Payout Cycle"</formula>
    </cfRule>
  </conditionalFormatting>
  <conditionalFormatting sqref="Z13">
    <cfRule type="expression" dxfId="450" priority="350">
      <formula>AND($Z$13&lt;&gt;"",$Z$13&lt;&gt;"Quarterly")</formula>
    </cfRule>
  </conditionalFormatting>
  <conditionalFormatting sqref="AA13">
    <cfRule type="expression" dxfId="449" priority="349">
      <formula>$AA$13&lt;&gt;"Fiscal"</formula>
    </cfRule>
  </conditionalFormatting>
  <conditionalFormatting sqref="AB13">
    <cfRule type="expression" dxfId="448" priority="348">
      <formula>$AB$13="Post to GL"</formula>
    </cfRule>
  </conditionalFormatting>
  <conditionalFormatting sqref="AC13">
    <cfRule type="expression" dxfId="447" priority="347">
      <formula>$AC$13="Corporate Office"</formula>
    </cfRule>
  </conditionalFormatting>
  <conditionalFormatting sqref="AD13">
    <cfRule type="expression" dxfId="446" priority="346">
      <formula>$AD$13="Check"</formula>
    </cfRule>
  </conditionalFormatting>
  <conditionalFormatting sqref="AE13">
    <cfRule type="notContainsBlanks" dxfId="445" priority="344">
      <formula>LEN(TRIM(AE13))&gt;0</formula>
    </cfRule>
    <cfRule type="expression" dxfId="444" priority="345">
      <formula>AND($AC$13="Corporate Office",$AD$13="Check")</formula>
    </cfRule>
  </conditionalFormatting>
  <conditionalFormatting sqref="AH13">
    <cfRule type="expression" dxfId="443" priority="343">
      <formula>$AH$13="Update tracking dates"</formula>
    </cfRule>
  </conditionalFormatting>
  <conditionalFormatting sqref="G35">
    <cfRule type="expression" dxfId="442" priority="342">
      <formula>$G$35&lt;&gt;"Same as Payout Cycle"</formula>
    </cfRule>
  </conditionalFormatting>
  <conditionalFormatting sqref="Y35">
    <cfRule type="expression" dxfId="441" priority="341">
      <formula>$Y$35&lt;&gt;"Same as Payout Cycle"</formula>
    </cfRule>
  </conditionalFormatting>
  <conditionalFormatting sqref="H35">
    <cfRule type="expression" dxfId="440" priority="340">
      <formula>AND($H$35&lt;&gt;"",$H$35&lt;&gt;"Quarterly")</formula>
    </cfRule>
  </conditionalFormatting>
  <conditionalFormatting sqref="Z35">
    <cfRule type="expression" dxfId="439" priority="339">
      <formula>AND($Z$35&lt;&gt;"",$Z$35&lt;&gt;"Quarterly")</formula>
    </cfRule>
  </conditionalFormatting>
  <conditionalFormatting sqref="I35">
    <cfRule type="expression" dxfId="438" priority="338">
      <formula>$I$35&lt;&gt;"Fiscal"</formula>
    </cfRule>
  </conditionalFormatting>
  <conditionalFormatting sqref="AA35">
    <cfRule type="expression" dxfId="437" priority="337">
      <formula>$AA$35&lt;&gt;"Fiscal"</formula>
    </cfRule>
  </conditionalFormatting>
  <conditionalFormatting sqref="K35">
    <cfRule type="expression" dxfId="436" priority="336">
      <formula>$K$35="Post to GL"</formula>
    </cfRule>
  </conditionalFormatting>
  <conditionalFormatting sqref="AC35">
    <cfRule type="expression" dxfId="435" priority="335">
      <formula>$AC$35="Post to GL"</formula>
    </cfRule>
  </conditionalFormatting>
  <conditionalFormatting sqref="L35">
    <cfRule type="expression" dxfId="434" priority="334">
      <formula>$L$35="Corporate Office"</formula>
    </cfRule>
  </conditionalFormatting>
  <conditionalFormatting sqref="AD35">
    <cfRule type="expression" dxfId="433" priority="333">
      <formula>$AD$35="Corporate Office"</formula>
    </cfRule>
  </conditionalFormatting>
  <conditionalFormatting sqref="M35">
    <cfRule type="expression" dxfId="432" priority="332">
      <formula>$M$35="Check"</formula>
    </cfRule>
  </conditionalFormatting>
  <conditionalFormatting sqref="AE35">
    <cfRule type="expression" dxfId="431" priority="331">
      <formula>$M$35="Check"</formula>
    </cfRule>
  </conditionalFormatting>
  <conditionalFormatting sqref="N35">
    <cfRule type="expression" dxfId="430" priority="329">
      <formula>AND($L$35="Corporate Office",$M$35="Check")</formula>
    </cfRule>
    <cfRule type="notContainsBlanks" dxfId="429" priority="330">
      <formula>LEN(TRIM(N35))&gt;0</formula>
    </cfRule>
  </conditionalFormatting>
  <conditionalFormatting sqref="AF35">
    <cfRule type="expression" dxfId="428" priority="327">
      <formula>AND($AD$35="Corporate Office",$AE$35="Check")</formula>
    </cfRule>
    <cfRule type="notContainsBlanks" dxfId="427" priority="328">
      <formula>LEN(TRIM(AF35))&gt;0</formula>
    </cfRule>
  </conditionalFormatting>
  <conditionalFormatting sqref="Q35">
    <cfRule type="expression" dxfId="426" priority="326">
      <formula>$Q$35="Update tracking dates"</formula>
    </cfRule>
  </conditionalFormatting>
  <conditionalFormatting sqref="AI35">
    <cfRule type="expression" dxfId="425" priority="325">
      <formula>$AI$35="Update tracking dates"</formula>
    </cfRule>
  </conditionalFormatting>
  <conditionalFormatting sqref="G60">
    <cfRule type="expression" dxfId="424" priority="324">
      <formula>$G$60&lt;&gt;"Same as Payout Cycle"</formula>
    </cfRule>
  </conditionalFormatting>
  <conditionalFormatting sqref="Y60">
    <cfRule type="expression" dxfId="423" priority="323">
      <formula>$Y$60&lt;&gt;"Same as Payout Cycle"</formula>
    </cfRule>
  </conditionalFormatting>
  <conditionalFormatting sqref="H60">
    <cfRule type="expression" dxfId="422" priority="322">
      <formula>AND($H$60&lt;&gt;"",$H$60&lt;&gt;"Quarterly")</formula>
    </cfRule>
  </conditionalFormatting>
  <conditionalFormatting sqref="Z60">
    <cfRule type="expression" dxfId="421" priority="321">
      <formula>AND($Z$60&lt;&gt;"",$Z$60&lt;&gt;"Quarterly")</formula>
    </cfRule>
  </conditionalFormatting>
  <conditionalFormatting sqref="I60">
    <cfRule type="expression" dxfId="420" priority="320">
      <formula>$I$60&lt;&gt;"Fiscal"</formula>
    </cfRule>
  </conditionalFormatting>
  <conditionalFormatting sqref="AA60">
    <cfRule type="expression" dxfId="419" priority="319">
      <formula>$AA$60&lt;&gt;"Fiscal"</formula>
    </cfRule>
  </conditionalFormatting>
  <conditionalFormatting sqref="K60">
    <cfRule type="expression" dxfId="418" priority="318">
      <formula>$K$60="Post to GL"</formula>
    </cfRule>
  </conditionalFormatting>
  <conditionalFormatting sqref="AC60">
    <cfRule type="expression" dxfId="417" priority="317">
      <formula>$AC$60="Post to GL"</formula>
    </cfRule>
  </conditionalFormatting>
  <conditionalFormatting sqref="L60">
    <cfRule type="expression" dxfId="416" priority="316">
      <formula>$L$60="Corporate Office"</formula>
    </cfRule>
  </conditionalFormatting>
  <conditionalFormatting sqref="AD60">
    <cfRule type="expression" dxfId="415" priority="315">
      <formula>$AD$60="Corporate Office"</formula>
    </cfRule>
  </conditionalFormatting>
  <conditionalFormatting sqref="M60">
    <cfRule type="expression" dxfId="414" priority="314">
      <formula>$M$60="Check"</formula>
    </cfRule>
  </conditionalFormatting>
  <conditionalFormatting sqref="AE60">
    <cfRule type="expression" dxfId="413" priority="313">
      <formula>$AE$60="Check"</formula>
    </cfRule>
  </conditionalFormatting>
  <conditionalFormatting sqref="N60">
    <cfRule type="notContainsBlanks" dxfId="412" priority="310">
      <formula>LEN(TRIM(N60))&gt;0</formula>
    </cfRule>
    <cfRule type="expression" dxfId="411" priority="312">
      <formula>AND($L$60="Corporate Office",$M$60="Check")</formula>
    </cfRule>
  </conditionalFormatting>
  <conditionalFormatting sqref="AF60">
    <cfRule type="notContainsBlanks" dxfId="410" priority="309">
      <formula>LEN(TRIM(AF60))&gt;0</formula>
    </cfRule>
    <cfRule type="expression" dxfId="409" priority="311">
      <formula>AND($AD$60="Corporate Office",$AE$60="Check")</formula>
    </cfRule>
  </conditionalFormatting>
  <conditionalFormatting sqref="Q60">
    <cfRule type="expression" dxfId="408" priority="308">
      <formula>$Q$60="Update tracking dates"</formula>
    </cfRule>
  </conditionalFormatting>
  <conditionalFormatting sqref="AI60">
    <cfRule type="expression" dxfId="407" priority="307">
      <formula>$AI$60="Update tracking dates"</formula>
    </cfRule>
  </conditionalFormatting>
  <conditionalFormatting sqref="G89">
    <cfRule type="expression" dxfId="406" priority="306">
      <formula>$G$89&lt;&gt;"Same as Payout Cycle"</formula>
    </cfRule>
  </conditionalFormatting>
  <conditionalFormatting sqref="Y89">
    <cfRule type="expression" dxfId="405" priority="305">
      <formula>$Y$89&lt;&gt;"Same as Payout Cycle"</formula>
    </cfRule>
  </conditionalFormatting>
  <conditionalFormatting sqref="H89">
    <cfRule type="expression" dxfId="404" priority="304">
      <formula>AND($H$89&lt;&gt;"",$H$89&lt;&gt;"Quarterly")</formula>
    </cfRule>
  </conditionalFormatting>
  <conditionalFormatting sqref="Z89">
    <cfRule type="expression" dxfId="403" priority="303">
      <formula>AND($Z$89&lt;&gt;"",$Z$89&lt;&gt;"Quarterly")</formula>
    </cfRule>
  </conditionalFormatting>
  <conditionalFormatting sqref="I89">
    <cfRule type="expression" dxfId="402" priority="302">
      <formula>$I$89&lt;&gt;"Fiscal"</formula>
    </cfRule>
  </conditionalFormatting>
  <conditionalFormatting sqref="AA89">
    <cfRule type="expression" dxfId="401" priority="301">
      <formula>$AA$89&lt;&gt;"Fiscal"</formula>
    </cfRule>
  </conditionalFormatting>
  <conditionalFormatting sqref="K89">
    <cfRule type="expression" dxfId="400" priority="300">
      <formula>$K$89="Post to GL"</formula>
    </cfRule>
  </conditionalFormatting>
  <conditionalFormatting sqref="AC89">
    <cfRule type="expression" dxfId="399" priority="299">
      <formula>$AC$89="Post to GL"</formula>
    </cfRule>
  </conditionalFormatting>
  <conditionalFormatting sqref="L89">
    <cfRule type="expression" dxfId="398" priority="298">
      <formula>$L$89="Corporate Office"</formula>
    </cfRule>
  </conditionalFormatting>
  <conditionalFormatting sqref="AD89">
    <cfRule type="expression" dxfId="397" priority="297">
      <formula>$AD$89="Corporate Office"</formula>
    </cfRule>
  </conditionalFormatting>
  <conditionalFormatting sqref="M89">
    <cfRule type="expression" dxfId="396" priority="296">
      <formula>$M$89="Check"</formula>
    </cfRule>
  </conditionalFormatting>
  <conditionalFormatting sqref="AE89">
    <cfRule type="expression" dxfId="395" priority="295">
      <formula>$AE$89="Check"</formula>
    </cfRule>
  </conditionalFormatting>
  <conditionalFormatting sqref="AF89">
    <cfRule type="notContainsBlanks" dxfId="394" priority="291">
      <formula>LEN(TRIM(AF89))&gt;0</formula>
    </cfRule>
    <cfRule type="expression" dxfId="393" priority="292">
      <formula>AND($AD$89="Corporate Office",$AE$89="Check")</formula>
    </cfRule>
  </conditionalFormatting>
  <conditionalFormatting sqref="Q89">
    <cfRule type="expression" dxfId="392" priority="290">
      <formula>$Q$89="Update tracking dates"</formula>
    </cfRule>
  </conditionalFormatting>
  <conditionalFormatting sqref="AI89">
    <cfRule type="expression" dxfId="391" priority="289">
      <formula>$AI$89="Update tracking dates"</formula>
    </cfRule>
  </conditionalFormatting>
  <conditionalFormatting sqref="G114">
    <cfRule type="expression" dxfId="390" priority="288">
      <formula>$G$114&lt;&gt;"Same as Payout Cycle"</formula>
    </cfRule>
  </conditionalFormatting>
  <conditionalFormatting sqref="Y114">
    <cfRule type="expression" dxfId="389" priority="287">
      <formula>$Y$114&lt;&gt;"Same as Payout Cycle"</formula>
    </cfRule>
  </conditionalFormatting>
  <conditionalFormatting sqref="H114">
    <cfRule type="expression" dxfId="388" priority="286">
      <formula>AND($H$114&lt;&gt;"",$H$114&lt;&gt;"Quarterly")</formula>
    </cfRule>
  </conditionalFormatting>
  <conditionalFormatting sqref="Z114">
    <cfRule type="expression" dxfId="387" priority="285">
      <formula>AND($Z$114&lt;&gt;"",$Z$114&lt;&gt;"Quarterly")</formula>
    </cfRule>
  </conditionalFormatting>
  <conditionalFormatting sqref="I114">
    <cfRule type="expression" dxfId="386" priority="284">
      <formula>$I$114&lt;&gt;"Fiscal"</formula>
    </cfRule>
  </conditionalFormatting>
  <conditionalFormatting sqref="AA114">
    <cfRule type="expression" dxfId="385" priority="283">
      <formula>$AA$114&lt;&gt;"Fiscal"</formula>
    </cfRule>
  </conditionalFormatting>
  <conditionalFormatting sqref="K114">
    <cfRule type="expression" dxfId="384" priority="282">
      <formula>$K$114="Post to GL"</formula>
    </cfRule>
  </conditionalFormatting>
  <conditionalFormatting sqref="AC114">
    <cfRule type="expression" dxfId="383" priority="281">
      <formula>$AC$114="Post to GL"</formula>
    </cfRule>
  </conditionalFormatting>
  <conditionalFormatting sqref="L114">
    <cfRule type="expression" dxfId="382" priority="280">
      <formula>$L$114="Corporate Office"</formula>
    </cfRule>
  </conditionalFormatting>
  <conditionalFormatting sqref="AD114">
    <cfRule type="expression" dxfId="381" priority="279">
      <formula>$AD$114="Corporate Office"</formula>
    </cfRule>
  </conditionalFormatting>
  <conditionalFormatting sqref="M114">
    <cfRule type="expression" dxfId="380" priority="278">
      <formula>$M$114="Check"</formula>
    </cfRule>
  </conditionalFormatting>
  <conditionalFormatting sqref="AE114">
    <cfRule type="expression" dxfId="379" priority="277">
      <formula>$AE$114="Check"</formula>
    </cfRule>
  </conditionalFormatting>
  <conditionalFormatting sqref="N114">
    <cfRule type="notContainsBlanks" dxfId="378" priority="275">
      <formula>LEN(TRIM(N114))&gt;0</formula>
    </cfRule>
    <cfRule type="expression" dxfId="377" priority="276">
      <formula>AND($L$114="Corporate Office",$M$114="Check")</formula>
    </cfRule>
  </conditionalFormatting>
  <conditionalFormatting sqref="AF114">
    <cfRule type="notContainsBlanks" dxfId="376" priority="273">
      <formula>LEN(TRIM(AF114))&gt;0</formula>
    </cfRule>
    <cfRule type="expression" dxfId="375" priority="274">
      <formula>AND($AD$114="Corporate Office",$AE$114="Check")</formula>
    </cfRule>
  </conditionalFormatting>
  <conditionalFormatting sqref="Q114">
    <cfRule type="expression" dxfId="374" priority="272">
      <formula>$Q$114="Update tracking dates"</formula>
    </cfRule>
  </conditionalFormatting>
  <conditionalFormatting sqref="AI114">
    <cfRule type="expression" dxfId="373" priority="271">
      <formula>$AI$114="Update tracking dates"</formula>
    </cfRule>
  </conditionalFormatting>
  <conditionalFormatting sqref="G143">
    <cfRule type="expression" dxfId="372" priority="270">
      <formula>$G$143&lt;&gt;"Same as Payout Cycle"</formula>
    </cfRule>
  </conditionalFormatting>
  <conditionalFormatting sqref="Y143">
    <cfRule type="expression" dxfId="371" priority="269">
      <formula>$Y$143&lt;&gt;"Same as Payout Cycle"</formula>
    </cfRule>
  </conditionalFormatting>
  <conditionalFormatting sqref="H143">
    <cfRule type="expression" dxfId="370" priority="268">
      <formula>AND($H$143&lt;&gt;"",$H$143&lt;&gt;"Quarterly")</formula>
    </cfRule>
  </conditionalFormatting>
  <conditionalFormatting sqref="Z143">
    <cfRule type="expression" dxfId="369" priority="267">
      <formula>AND($Z$143&lt;&gt;"",$Z$143&lt;&gt;"Quarterly")</formula>
    </cfRule>
  </conditionalFormatting>
  <conditionalFormatting sqref="I143">
    <cfRule type="expression" dxfId="368" priority="266">
      <formula>$I$143&lt;&gt;"Fiscal"</formula>
    </cfRule>
  </conditionalFormatting>
  <conditionalFormatting sqref="AA143">
    <cfRule type="expression" dxfId="367" priority="265">
      <formula>$AA$143&lt;&gt;"Fiscal"</formula>
    </cfRule>
  </conditionalFormatting>
  <conditionalFormatting sqref="J143">
    <cfRule type="expression" dxfId="366" priority="264">
      <formula>$J$143="Post to GL"</formula>
    </cfRule>
  </conditionalFormatting>
  <conditionalFormatting sqref="AB143">
    <cfRule type="expression" dxfId="365" priority="263">
      <formula>$AB$143="Post to GL"</formula>
    </cfRule>
  </conditionalFormatting>
  <conditionalFormatting sqref="K143">
    <cfRule type="expression" dxfId="364" priority="262">
      <formula>$K$143="Corporate Office"</formula>
    </cfRule>
  </conditionalFormatting>
  <conditionalFormatting sqref="AC143">
    <cfRule type="expression" dxfId="363" priority="261">
      <formula>$AC$143="Corporate Office"</formula>
    </cfRule>
  </conditionalFormatting>
  <conditionalFormatting sqref="L143">
    <cfRule type="expression" dxfId="362" priority="260">
      <formula>$L$143="Check"</formula>
    </cfRule>
  </conditionalFormatting>
  <conditionalFormatting sqref="AD143">
    <cfRule type="expression" dxfId="361" priority="259">
      <formula>$AD$143="Check"</formula>
    </cfRule>
  </conditionalFormatting>
  <conditionalFormatting sqref="M143">
    <cfRule type="notContainsBlanks" dxfId="360" priority="257">
      <formula>LEN(TRIM(M143))&gt;0</formula>
    </cfRule>
    <cfRule type="expression" dxfId="359" priority="258">
      <formula>AND($K$143="Corporate Office",$L$143="Check")</formula>
    </cfRule>
  </conditionalFormatting>
  <conditionalFormatting sqref="AE143">
    <cfRule type="notContainsBlanks" dxfId="358" priority="255">
      <formula>LEN(TRIM(AE143))&gt;0</formula>
    </cfRule>
    <cfRule type="expression" dxfId="357" priority="256">
      <formula>AND($AC$143="Corporate Office",$AD$143="Check")</formula>
    </cfRule>
  </conditionalFormatting>
  <conditionalFormatting sqref="P143">
    <cfRule type="expression" dxfId="356" priority="254">
      <formula>$P$143="Update tracking dates"</formula>
    </cfRule>
  </conditionalFormatting>
  <conditionalFormatting sqref="AH143">
    <cfRule type="expression" dxfId="355" priority="253">
      <formula>$AH$143="Update tracking dates"</formula>
    </cfRule>
  </conditionalFormatting>
  <conditionalFormatting sqref="G165">
    <cfRule type="expression" dxfId="354" priority="252">
      <formula>$G$165&lt;&gt;"Same as Payout Cycle"</formula>
    </cfRule>
  </conditionalFormatting>
  <conditionalFormatting sqref="G190">
    <cfRule type="expression" dxfId="353" priority="251">
      <formula>$G$190&lt;&gt;"Same as Payout Cycle"</formula>
    </cfRule>
  </conditionalFormatting>
  <conditionalFormatting sqref="Y190">
    <cfRule type="expression" dxfId="352" priority="250">
      <formula>$Y$190&lt;&gt;"Same as Payout Cycle"</formula>
    </cfRule>
  </conditionalFormatting>
  <conditionalFormatting sqref="H165">
    <cfRule type="expression" dxfId="351" priority="249">
      <formula>AND($H$165&lt;&gt;"",$H$165&lt;&gt;"Quarterly")</formula>
    </cfRule>
  </conditionalFormatting>
  <conditionalFormatting sqref="Z165">
    <cfRule type="expression" dxfId="350" priority="248">
      <formula>AND($Z$165&lt;&gt;"",$Z$165&lt;&gt;"Quarterly")</formula>
    </cfRule>
  </conditionalFormatting>
  <conditionalFormatting sqref="H190">
    <cfRule type="expression" dxfId="349" priority="247">
      <formula>AND($H$190&lt;&gt;"",$H$190&lt;&gt;"Quarterly")</formula>
    </cfRule>
  </conditionalFormatting>
  <conditionalFormatting sqref="Z190">
    <cfRule type="expression" dxfId="348" priority="246">
      <formula>AND($Z$190&lt;&gt;"",$Z$190&lt;&gt;"Quarterly")</formula>
    </cfRule>
  </conditionalFormatting>
  <conditionalFormatting sqref="I165">
    <cfRule type="expression" dxfId="347" priority="245">
      <formula>$I$165&lt;&gt;"Fiscal"</formula>
    </cfRule>
  </conditionalFormatting>
  <conditionalFormatting sqref="AA165">
    <cfRule type="expression" dxfId="346" priority="244">
      <formula>$AA$165&lt;&gt;"Fiscal"</formula>
    </cfRule>
  </conditionalFormatting>
  <conditionalFormatting sqref="I190">
    <cfRule type="expression" dxfId="345" priority="243">
      <formula>$I$190&lt;&gt;"Fiscal"</formula>
    </cfRule>
  </conditionalFormatting>
  <conditionalFormatting sqref="AA190">
    <cfRule type="expression" dxfId="344" priority="242">
      <formula>$AA$190&lt;&gt;"Fiscal"</formula>
    </cfRule>
  </conditionalFormatting>
  <conditionalFormatting sqref="K165">
    <cfRule type="expression" dxfId="343" priority="241">
      <formula>$K$165="Post to GL"</formula>
    </cfRule>
  </conditionalFormatting>
  <conditionalFormatting sqref="AC165">
    <cfRule type="expression" dxfId="342" priority="240">
      <formula>$AC$165="Post to GL"</formula>
    </cfRule>
  </conditionalFormatting>
  <conditionalFormatting sqref="K190">
    <cfRule type="expression" dxfId="341" priority="239">
      <formula>$K$190="Post to GL"</formula>
    </cfRule>
  </conditionalFormatting>
  <conditionalFormatting sqref="AC190">
    <cfRule type="expression" dxfId="340" priority="238">
      <formula>$AC$190="Post to GL"</formula>
    </cfRule>
  </conditionalFormatting>
  <conditionalFormatting sqref="L165">
    <cfRule type="expression" dxfId="339" priority="237">
      <formula>$L$165="Corporate Office"</formula>
    </cfRule>
  </conditionalFormatting>
  <conditionalFormatting sqref="AD165">
    <cfRule type="expression" dxfId="338" priority="236">
      <formula>$AD$165="Corporate Office"</formula>
    </cfRule>
  </conditionalFormatting>
  <conditionalFormatting sqref="L190">
    <cfRule type="expression" dxfId="337" priority="235">
      <formula>$L$190="Corporate Office"</formula>
    </cfRule>
  </conditionalFormatting>
  <conditionalFormatting sqref="AD190">
    <cfRule type="expression" dxfId="336" priority="234">
      <formula>$AD$190="Corporate Office"</formula>
    </cfRule>
  </conditionalFormatting>
  <conditionalFormatting sqref="M165">
    <cfRule type="expression" dxfId="335" priority="233">
      <formula>$M$165="Check"</formula>
    </cfRule>
  </conditionalFormatting>
  <conditionalFormatting sqref="AE165">
    <cfRule type="expression" dxfId="334" priority="232">
      <formula>$AE$165="Check"</formula>
    </cfRule>
  </conditionalFormatting>
  <conditionalFormatting sqref="M190">
    <cfRule type="expression" dxfId="333" priority="231">
      <formula>$M$190="Check"</formula>
    </cfRule>
  </conditionalFormatting>
  <conditionalFormatting sqref="AE190">
    <cfRule type="expression" dxfId="332" priority="230">
      <formula>$AE$190="Check"</formula>
    </cfRule>
  </conditionalFormatting>
  <conditionalFormatting sqref="N165">
    <cfRule type="notContainsBlanks" dxfId="331" priority="228">
      <formula>LEN(TRIM(N165))&gt;0</formula>
    </cfRule>
    <cfRule type="expression" dxfId="330" priority="229">
      <formula>AND($L$165="Corporate Office",$M$165="Check")</formula>
    </cfRule>
  </conditionalFormatting>
  <conditionalFormatting sqref="AF165">
    <cfRule type="notContainsBlanks" dxfId="329" priority="226">
      <formula>LEN(TRIM(AF165))&gt;0</formula>
    </cfRule>
    <cfRule type="expression" dxfId="328" priority="227">
      <formula>AND($AD$165="Corporate Office",$AE$165="Check")</formula>
    </cfRule>
  </conditionalFormatting>
  <conditionalFormatting sqref="N190">
    <cfRule type="notContainsBlanks" dxfId="327" priority="224">
      <formula>LEN(TRIM(N190))&gt;0</formula>
    </cfRule>
    <cfRule type="expression" dxfId="326" priority="225">
      <formula>AND($L$190="Corporate Office",$M$190="Check")</formula>
    </cfRule>
  </conditionalFormatting>
  <conditionalFormatting sqref="AF190">
    <cfRule type="notContainsBlanks" dxfId="325" priority="222">
      <formula>LEN(TRIM(AF190))&gt;0</formula>
    </cfRule>
    <cfRule type="expression" dxfId="324" priority="223">
      <formula>AND($AD$190="Corporate Office",$AE$190="Check")</formula>
    </cfRule>
  </conditionalFormatting>
  <conditionalFormatting sqref="Q165">
    <cfRule type="expression" dxfId="323" priority="221">
      <formula>$Q$165="Update tracking dates"</formula>
    </cfRule>
  </conditionalFormatting>
  <conditionalFormatting sqref="AI165">
    <cfRule type="expression" dxfId="322" priority="220">
      <formula>$AI$165="Update tracking dates"</formula>
    </cfRule>
  </conditionalFormatting>
  <conditionalFormatting sqref="Q190">
    <cfRule type="expression" dxfId="321" priority="219">
      <formula>$Q$190="Update tracking dates"</formula>
    </cfRule>
  </conditionalFormatting>
  <conditionalFormatting sqref="AI190">
    <cfRule type="expression" dxfId="320" priority="218">
      <formula>$AI$190="Update tracking dates"</formula>
    </cfRule>
  </conditionalFormatting>
  <conditionalFormatting sqref="G219">
    <cfRule type="expression" dxfId="319" priority="217">
      <formula>$G$219&lt;&gt;"Same as Payout Cycle"</formula>
    </cfRule>
  </conditionalFormatting>
  <conditionalFormatting sqref="Y219">
    <cfRule type="expression" dxfId="318" priority="216">
      <formula>$Y$219&lt;&gt;"Same as Payout Cycle"</formula>
    </cfRule>
  </conditionalFormatting>
  <conditionalFormatting sqref="AQ219">
    <cfRule type="expression" dxfId="317" priority="215">
      <formula>$AQ$219&lt;&gt;"Same as Payout Cycle"</formula>
    </cfRule>
  </conditionalFormatting>
  <conditionalFormatting sqref="BH219">
    <cfRule type="expression" dxfId="316" priority="214">
      <formula>$BH$219&lt;&gt;"Same as Payout Cycle"</formula>
    </cfRule>
  </conditionalFormatting>
  <conditionalFormatting sqref="BY219">
    <cfRule type="expression" dxfId="315" priority="213">
      <formula>$BY$219&lt;&gt;"Same as Payout Cycle"</formula>
    </cfRule>
  </conditionalFormatting>
  <conditionalFormatting sqref="H219">
    <cfRule type="expression" dxfId="314" priority="212">
      <formula>AND($H$219&lt;&gt;"",$H$219&lt;&gt;"Quarterly")</formula>
    </cfRule>
  </conditionalFormatting>
  <conditionalFormatting sqref="Z219">
    <cfRule type="expression" dxfId="313" priority="211">
      <formula>AND($Z$219&lt;&gt;"",$Z$219&lt;&gt;"Quarterly")</formula>
    </cfRule>
  </conditionalFormatting>
  <conditionalFormatting sqref="AR219">
    <cfRule type="expression" dxfId="312" priority="210">
      <formula>AND($AR$219&lt;&gt;"",$AR$219&lt;&gt;"Quarterly")</formula>
    </cfRule>
  </conditionalFormatting>
  <conditionalFormatting sqref="BI219">
    <cfRule type="expression" dxfId="311" priority="209">
      <formula>AND($BI$219&lt;&gt;"",$BI$219&lt;&gt;"Quarterly")</formula>
    </cfRule>
  </conditionalFormatting>
  <conditionalFormatting sqref="BZ219">
    <cfRule type="expression" dxfId="310" priority="208">
      <formula>AND($BZ$219&lt;&gt;"",$BZ$219&lt;&gt;"Quarterly")</formula>
    </cfRule>
  </conditionalFormatting>
  <conditionalFormatting sqref="I219">
    <cfRule type="expression" dxfId="309" priority="207">
      <formula>$I$219&lt;&gt;"Fiscal"</formula>
    </cfRule>
  </conditionalFormatting>
  <conditionalFormatting sqref="AA219">
    <cfRule type="expression" dxfId="308" priority="206">
      <formula>$AA$219&lt;&gt;"Fiscal"</formula>
    </cfRule>
  </conditionalFormatting>
  <conditionalFormatting sqref="AS219">
    <cfRule type="expression" dxfId="307" priority="205">
      <formula>$AS$219&lt;&gt;"Fiscal"</formula>
    </cfRule>
  </conditionalFormatting>
  <conditionalFormatting sqref="BJ219">
    <cfRule type="expression" dxfId="306" priority="204">
      <formula>$BJ$219&lt;&gt;"Fiscal"</formula>
    </cfRule>
  </conditionalFormatting>
  <conditionalFormatting sqref="CA219">
    <cfRule type="expression" dxfId="305" priority="203">
      <formula>$CA$219&lt;&gt;"Fiscal"</formula>
    </cfRule>
  </conditionalFormatting>
  <conditionalFormatting sqref="K219">
    <cfRule type="expression" dxfId="304" priority="202">
      <formula>$K$219="Post to GL"</formula>
    </cfRule>
  </conditionalFormatting>
  <conditionalFormatting sqref="AC219">
    <cfRule type="expression" dxfId="303" priority="201">
      <formula>$AC$219="Post to GL"</formula>
    </cfRule>
  </conditionalFormatting>
  <conditionalFormatting sqref="AU219">
    <cfRule type="expression" dxfId="302" priority="200">
      <formula>$AU$219="Post to GL"</formula>
    </cfRule>
  </conditionalFormatting>
  <conditionalFormatting sqref="BL219">
    <cfRule type="expression" dxfId="301" priority="199">
      <formula>$BL$219="Post to GL"</formula>
    </cfRule>
  </conditionalFormatting>
  <conditionalFormatting sqref="CC219">
    <cfRule type="expression" dxfId="300" priority="198">
      <formula>$CC$219="Post to GL"</formula>
    </cfRule>
  </conditionalFormatting>
  <conditionalFormatting sqref="L219">
    <cfRule type="expression" dxfId="299" priority="197">
      <formula>$L$219="Corporate Office"</formula>
    </cfRule>
  </conditionalFormatting>
  <conditionalFormatting sqref="AD219">
    <cfRule type="expression" dxfId="298" priority="196">
      <formula>$AD$219="Corporate Office"</formula>
    </cfRule>
  </conditionalFormatting>
  <conditionalFormatting sqref="AV219">
    <cfRule type="expression" dxfId="297" priority="195">
      <formula>$AV$219="Corporate Office"</formula>
    </cfRule>
  </conditionalFormatting>
  <conditionalFormatting sqref="BM219">
    <cfRule type="expression" dxfId="296" priority="194">
      <formula>$BM$219="Corporate Office"</formula>
    </cfRule>
  </conditionalFormatting>
  <conditionalFormatting sqref="CD219">
    <cfRule type="expression" dxfId="295" priority="193">
      <formula>$CD$219="Corporate Office"</formula>
    </cfRule>
  </conditionalFormatting>
  <conditionalFormatting sqref="M219">
    <cfRule type="expression" dxfId="294" priority="192">
      <formula>$M$219="Check"</formula>
    </cfRule>
  </conditionalFormatting>
  <conditionalFormatting sqref="AE219">
    <cfRule type="expression" dxfId="293" priority="191">
      <formula>$AE$219="Check"</formula>
    </cfRule>
  </conditionalFormatting>
  <conditionalFormatting sqref="AW219">
    <cfRule type="expression" dxfId="292" priority="190">
      <formula>$AW$219="Check"</formula>
    </cfRule>
  </conditionalFormatting>
  <conditionalFormatting sqref="BN219">
    <cfRule type="expression" dxfId="291" priority="189">
      <formula>$BN$219="Check"</formula>
    </cfRule>
  </conditionalFormatting>
  <conditionalFormatting sqref="CE219">
    <cfRule type="expression" dxfId="290" priority="188">
      <formula>$CE$219="Check"</formula>
    </cfRule>
  </conditionalFormatting>
  <conditionalFormatting sqref="N219">
    <cfRule type="notContainsBlanks" dxfId="289" priority="186">
      <formula>LEN(TRIM(N219))&gt;0</formula>
    </cfRule>
    <cfRule type="expression" dxfId="288" priority="187">
      <formula>AND($L$219="Corporate Office",$M$219="Check")</formula>
    </cfRule>
  </conditionalFormatting>
  <conditionalFormatting sqref="AF219">
    <cfRule type="notContainsBlanks" dxfId="287" priority="184">
      <formula>LEN(TRIM(AF219))&gt;0</formula>
    </cfRule>
    <cfRule type="expression" dxfId="286" priority="185">
      <formula>AND($AD$219="Corporate Office",$AE$219="Check")</formula>
    </cfRule>
  </conditionalFormatting>
  <conditionalFormatting sqref="AX219">
    <cfRule type="notContainsBlanks" dxfId="285" priority="182">
      <formula>LEN(TRIM(AX219))&gt;0</formula>
    </cfRule>
    <cfRule type="expression" dxfId="284" priority="183">
      <formula>AND($AV$219="Corporate Office",$AW$219="Check")</formula>
    </cfRule>
  </conditionalFormatting>
  <conditionalFormatting sqref="BO219">
    <cfRule type="notContainsBlanks" dxfId="283" priority="180">
      <formula>LEN(TRIM(BO219))&gt;0</formula>
    </cfRule>
    <cfRule type="expression" dxfId="282" priority="181">
      <formula>AND($BM$219="Corporate Office",$BN$219="Check")</formula>
    </cfRule>
  </conditionalFormatting>
  <conditionalFormatting sqref="Q219">
    <cfRule type="expression" dxfId="281" priority="177">
      <formula>$Q$219="Update tracking dates"</formula>
    </cfRule>
  </conditionalFormatting>
  <conditionalFormatting sqref="AI219">
    <cfRule type="expression" dxfId="280" priority="176">
      <formula>$AI$219="Update tracking dates"</formula>
    </cfRule>
  </conditionalFormatting>
  <conditionalFormatting sqref="BA219">
    <cfRule type="expression" dxfId="279" priority="175">
      <formula>$BA$219="Update tracking dates"</formula>
    </cfRule>
  </conditionalFormatting>
  <conditionalFormatting sqref="BR219">
    <cfRule type="expression" dxfId="278" priority="174">
      <formula>$BR$219="Update tracking dates"</formula>
    </cfRule>
  </conditionalFormatting>
  <conditionalFormatting sqref="CI219">
    <cfRule type="expression" dxfId="277" priority="173">
      <formula>$CI$219="Update tracking dates"</formula>
    </cfRule>
  </conditionalFormatting>
  <conditionalFormatting sqref="G244">
    <cfRule type="expression" dxfId="276" priority="172">
      <formula>$G$244&lt;&gt;"Same as Payout Cycle"</formula>
    </cfRule>
  </conditionalFormatting>
  <conditionalFormatting sqref="H244">
    <cfRule type="expression" dxfId="275" priority="171">
      <formula>AND($H$244&lt;&gt;"",$H$244&lt;&gt;"Quarterly")</formula>
    </cfRule>
  </conditionalFormatting>
  <conditionalFormatting sqref="I244">
    <cfRule type="expression" dxfId="274" priority="170">
      <formula>$I$244&lt;&gt;"Fiscal"</formula>
    </cfRule>
  </conditionalFormatting>
  <conditionalFormatting sqref="K244">
    <cfRule type="expression" dxfId="273" priority="169">
      <formula>$K$244="Post to GL"</formula>
    </cfRule>
  </conditionalFormatting>
  <conditionalFormatting sqref="L244">
    <cfRule type="expression" dxfId="272" priority="168">
      <formula>$L$244="Corporate Office"</formula>
    </cfRule>
  </conditionalFormatting>
  <conditionalFormatting sqref="M244">
    <cfRule type="expression" dxfId="271" priority="167">
      <formula>$M$244="Check"</formula>
    </cfRule>
  </conditionalFormatting>
  <conditionalFormatting sqref="N244">
    <cfRule type="notContainsBlanks" dxfId="270" priority="165">
      <formula>LEN(TRIM(N244))&gt;0</formula>
    </cfRule>
    <cfRule type="expression" dxfId="269" priority="166">
      <formula>AND($L$244="Corporate Office",$M$244="Check")</formula>
    </cfRule>
  </conditionalFormatting>
  <conditionalFormatting sqref="Q244">
    <cfRule type="expression" dxfId="268" priority="164">
      <formula>$Q$244="Update tracking dates"</formula>
    </cfRule>
  </conditionalFormatting>
  <conditionalFormatting sqref="G271">
    <cfRule type="expression" dxfId="267" priority="163">
      <formula>AND($G$271&lt;&gt;"",$G$271&lt;&gt;"Quarterly")</formula>
    </cfRule>
  </conditionalFormatting>
  <conditionalFormatting sqref="Y271">
    <cfRule type="expression" dxfId="266" priority="162">
      <formula>AND($Y$271&lt;&gt;"",$Y$271&lt;&gt;"Quarterly")</formula>
    </cfRule>
  </conditionalFormatting>
  <conditionalFormatting sqref="H271">
    <cfRule type="expression" dxfId="265" priority="161">
      <formula>$H$271&lt;&gt;"Fiscal"</formula>
    </cfRule>
  </conditionalFormatting>
  <conditionalFormatting sqref="Z271">
    <cfRule type="expression" dxfId="264" priority="160">
      <formula>$Z$271&lt;&gt;"Fiscal"</formula>
    </cfRule>
  </conditionalFormatting>
  <conditionalFormatting sqref="I271">
    <cfRule type="expression" dxfId="263" priority="159">
      <formula>$I$271="Post to GL"</formula>
    </cfRule>
  </conditionalFormatting>
  <conditionalFormatting sqref="AA271">
    <cfRule type="expression" dxfId="262" priority="158">
      <formula>$AA$271="Post to GL"</formula>
    </cfRule>
  </conditionalFormatting>
  <conditionalFormatting sqref="J271">
    <cfRule type="expression" dxfId="261" priority="157">
      <formula>$J$271="Corporate Office"</formula>
    </cfRule>
  </conditionalFormatting>
  <conditionalFormatting sqref="AB271">
    <cfRule type="expression" dxfId="260" priority="156">
      <formula>$AB$271="Corporate Office"</formula>
    </cfRule>
  </conditionalFormatting>
  <conditionalFormatting sqref="K271">
    <cfRule type="expression" dxfId="259" priority="155">
      <formula>$K$271="Check"</formula>
    </cfRule>
  </conditionalFormatting>
  <conditionalFormatting sqref="AC271">
    <cfRule type="expression" dxfId="258" priority="154">
      <formula>$AC$271="Check"</formula>
    </cfRule>
  </conditionalFormatting>
  <conditionalFormatting sqref="L271">
    <cfRule type="notContainsBlanks" dxfId="257" priority="152">
      <formula>LEN(TRIM(L271))&gt;0</formula>
    </cfRule>
    <cfRule type="expression" dxfId="256" priority="153">
      <formula>AND($J$271="Corporate Office",$K$271="Check")</formula>
    </cfRule>
  </conditionalFormatting>
  <conditionalFormatting sqref="AD271">
    <cfRule type="notContainsBlanks" dxfId="255" priority="150">
      <formula>LEN(TRIM(AD271))&gt;0</formula>
    </cfRule>
    <cfRule type="expression" dxfId="254" priority="151">
      <formula>AND($AB$271="Corporate Office",$AC$271="Check")</formula>
    </cfRule>
  </conditionalFormatting>
  <conditionalFormatting sqref="O271">
    <cfRule type="expression" dxfId="253" priority="149">
      <formula>$O$271="Update tracking dates"</formula>
    </cfRule>
  </conditionalFormatting>
  <conditionalFormatting sqref="AG271">
    <cfRule type="expression" dxfId="252" priority="148">
      <formula>$AG$271="Update tracking dates"</formula>
    </cfRule>
  </conditionalFormatting>
  <conditionalFormatting sqref="C273">
    <cfRule type="expression" dxfId="251" priority="147">
      <formula>$C$273="Pre Pay"</formula>
    </cfRule>
  </conditionalFormatting>
  <conditionalFormatting sqref="U273">
    <cfRule type="expression" dxfId="250" priority="146">
      <formula>$U$273="Pre Pay"</formula>
    </cfRule>
  </conditionalFormatting>
  <conditionalFormatting sqref="G288">
    <cfRule type="expression" dxfId="249" priority="145">
      <formula>AND($G$288&lt;&gt;"",$G$288&lt;&gt;"Quarterly")</formula>
    </cfRule>
  </conditionalFormatting>
  <conditionalFormatting sqref="H288">
    <cfRule type="expression" dxfId="248" priority="144">
      <formula>$H$288&lt;&gt;"Fiscal"</formula>
    </cfRule>
  </conditionalFormatting>
  <conditionalFormatting sqref="I288">
    <cfRule type="expression" dxfId="247" priority="143">
      <formula>$I$288="Post to GL"</formula>
    </cfRule>
  </conditionalFormatting>
  <conditionalFormatting sqref="J288">
    <cfRule type="expression" dxfId="246" priority="142">
      <formula>$J$288="Corporate Office"</formula>
    </cfRule>
  </conditionalFormatting>
  <conditionalFormatting sqref="K288">
    <cfRule type="expression" dxfId="245" priority="141">
      <formula>$K$288="Check"</formula>
    </cfRule>
  </conditionalFormatting>
  <conditionalFormatting sqref="L288">
    <cfRule type="notContainsBlanks" dxfId="244" priority="139">
      <formula>LEN(TRIM(L288))&gt;0</formula>
    </cfRule>
    <cfRule type="expression" dxfId="243" priority="140">
      <formula>AND($J$288="Corporate Office",$K$288="Check")</formula>
    </cfRule>
  </conditionalFormatting>
  <conditionalFormatting sqref="O288">
    <cfRule type="expression" dxfId="242" priority="138">
      <formula>$O$288="Update tracking dates"</formula>
    </cfRule>
  </conditionalFormatting>
  <conditionalFormatting sqref="C290">
    <cfRule type="expression" dxfId="241" priority="137">
      <formula>$C$290="Pre Pay"</formula>
    </cfRule>
  </conditionalFormatting>
  <conditionalFormatting sqref="G305">
    <cfRule type="expression" dxfId="240" priority="136">
      <formula>$G$305&lt;&gt;"Same as Payout Cycle"</formula>
    </cfRule>
  </conditionalFormatting>
  <conditionalFormatting sqref="H305">
    <cfRule type="expression" dxfId="239" priority="135">
      <formula>AND($H$305&lt;&gt;"",$H$305&lt;&gt;"Quarterly")</formula>
    </cfRule>
  </conditionalFormatting>
  <conditionalFormatting sqref="I305">
    <cfRule type="expression" dxfId="238" priority="134">
      <formula>$I$305&lt;&gt;"Fiscal"</formula>
    </cfRule>
  </conditionalFormatting>
  <conditionalFormatting sqref="J305">
    <cfRule type="expression" dxfId="237" priority="133">
      <formula>$J$305="Post to GL"</formula>
    </cfRule>
  </conditionalFormatting>
  <conditionalFormatting sqref="K305">
    <cfRule type="expression" dxfId="236" priority="132">
      <formula>$K$305="Corporate Office"</formula>
    </cfRule>
  </conditionalFormatting>
  <conditionalFormatting sqref="L305">
    <cfRule type="expression" dxfId="235" priority="131">
      <formula>$L$305="Check"</formula>
    </cfRule>
  </conditionalFormatting>
  <conditionalFormatting sqref="P305">
    <cfRule type="expression" dxfId="234" priority="129">
      <formula>$P$305="Update tracking dates"</formula>
    </cfRule>
  </conditionalFormatting>
  <conditionalFormatting sqref="G322">
    <cfRule type="expression" dxfId="233" priority="128">
      <formula>AND($G$322&lt;&gt;"",$G$322&lt;&gt;"Quarterly")</formula>
    </cfRule>
  </conditionalFormatting>
  <conditionalFormatting sqref="H322">
    <cfRule type="expression" dxfId="232" priority="127">
      <formula>$H$322&lt;&gt;"Fiscal"</formula>
    </cfRule>
  </conditionalFormatting>
  <conditionalFormatting sqref="I322">
    <cfRule type="expression" dxfId="231" priority="126">
      <formula>$I$322="Corporate Office"</formula>
    </cfRule>
  </conditionalFormatting>
  <conditionalFormatting sqref="J322">
    <cfRule type="expression" dxfId="230" priority="125">
      <formula>$J$322="Check"</formula>
    </cfRule>
  </conditionalFormatting>
  <conditionalFormatting sqref="K322">
    <cfRule type="notContainsBlanks" dxfId="229" priority="122">
      <formula>LEN(TRIM(K322))&gt;0</formula>
    </cfRule>
    <cfRule type="expression" dxfId="228" priority="123">
      <formula>AND($I$322="Corporate Office",$J$322="Check")</formula>
    </cfRule>
  </conditionalFormatting>
  <conditionalFormatting sqref="N322">
    <cfRule type="expression" dxfId="227" priority="121">
      <formula>$N$322="Update tracking dates"</formula>
    </cfRule>
  </conditionalFormatting>
  <conditionalFormatting sqref="C324">
    <cfRule type="expression" dxfId="226" priority="120">
      <formula>$C$324="Pre Pay"</formula>
    </cfRule>
  </conditionalFormatting>
  <conditionalFormatting sqref="G341">
    <cfRule type="expression" dxfId="225" priority="119">
      <formula>AND($G$341&lt;&gt;"",$G$341&lt;&gt;"Quarterly")</formula>
    </cfRule>
  </conditionalFormatting>
  <conditionalFormatting sqref="H341">
    <cfRule type="expression" dxfId="224" priority="118">
      <formula>$H$341&lt;&gt;"Fiscal"</formula>
    </cfRule>
  </conditionalFormatting>
  <conditionalFormatting sqref="I341">
    <cfRule type="expression" dxfId="223" priority="117">
      <formula>$I$341="Corporate Office"</formula>
    </cfRule>
  </conditionalFormatting>
  <conditionalFormatting sqref="J341">
    <cfRule type="expression" dxfId="222" priority="116">
      <formula>$J$341="Check"</formula>
    </cfRule>
  </conditionalFormatting>
  <conditionalFormatting sqref="K341">
    <cfRule type="notContainsBlanks" dxfId="221" priority="114">
      <formula>LEN(TRIM(K341))&gt;0</formula>
    </cfRule>
    <cfRule type="expression" dxfId="220" priority="115">
      <formula>AND($I$341="Corporate Office",$J$341="Check")</formula>
    </cfRule>
  </conditionalFormatting>
  <conditionalFormatting sqref="N341">
    <cfRule type="expression" dxfId="219" priority="113">
      <formula>$N$341="Update tracking dates"</formula>
    </cfRule>
  </conditionalFormatting>
  <conditionalFormatting sqref="C343">
    <cfRule type="expression" dxfId="218" priority="112">
      <formula>$C$343="Pre Pay"</formula>
    </cfRule>
  </conditionalFormatting>
  <conditionalFormatting sqref="G360">
    <cfRule type="expression" dxfId="217" priority="110">
      <formula>$G$360&lt;&gt;"Fiscal"</formula>
    </cfRule>
  </conditionalFormatting>
  <conditionalFormatting sqref="Y360">
    <cfRule type="expression" dxfId="216" priority="109">
      <formula>$Y$360&lt;&gt;"Fiscal"</formula>
    </cfRule>
  </conditionalFormatting>
  <conditionalFormatting sqref="H360">
    <cfRule type="expression" dxfId="215" priority="107">
      <formula>$H$360="Corporate Office"</formula>
    </cfRule>
  </conditionalFormatting>
  <conditionalFormatting sqref="Z360">
    <cfRule type="expression" dxfId="214" priority="106">
      <formula>$Z$360="Corporate Office"</formula>
    </cfRule>
  </conditionalFormatting>
  <conditionalFormatting sqref="I360">
    <cfRule type="expression" dxfId="213" priority="105">
      <formula>$I$360="Check"</formula>
    </cfRule>
  </conditionalFormatting>
  <conditionalFormatting sqref="AA360">
    <cfRule type="expression" dxfId="212" priority="104">
      <formula>$AA$360="Check"</formula>
    </cfRule>
  </conditionalFormatting>
  <conditionalFormatting sqref="J360">
    <cfRule type="notContainsBlanks" dxfId="211" priority="102">
      <formula>LEN(TRIM(J360))&gt;0</formula>
    </cfRule>
    <cfRule type="expression" dxfId="210" priority="103">
      <formula>AND($H$360="Corporate Office",$I$360="Check")</formula>
    </cfRule>
  </conditionalFormatting>
  <conditionalFormatting sqref="AB360">
    <cfRule type="notContainsBlanks" dxfId="209" priority="100">
      <formula>LEN(TRIM(AB360))&gt;0</formula>
    </cfRule>
    <cfRule type="expression" dxfId="208" priority="101">
      <formula>AND($Z$360="Corporate Office",$AA$360="Check")</formula>
    </cfRule>
  </conditionalFormatting>
  <conditionalFormatting sqref="M360">
    <cfRule type="expression" dxfId="207" priority="99">
      <formula>$M$360="Update tracking dates"</formula>
    </cfRule>
  </conditionalFormatting>
  <conditionalFormatting sqref="AE360">
    <cfRule type="expression" dxfId="206" priority="98">
      <formula>$AE$360="Update tracking dates"</formula>
    </cfRule>
  </conditionalFormatting>
  <conditionalFormatting sqref="C362">
    <cfRule type="expression" dxfId="205" priority="97">
      <formula>$C$362="Pre Pay"</formula>
    </cfRule>
  </conditionalFormatting>
  <conditionalFormatting sqref="U362">
    <cfRule type="expression" dxfId="204" priority="96">
      <formula>$U$362="Pre Pay"</formula>
    </cfRule>
  </conditionalFormatting>
  <conditionalFormatting sqref="H377">
    <cfRule type="expression" dxfId="203" priority="95">
      <formula>$H$377="Check"</formula>
    </cfRule>
  </conditionalFormatting>
  <conditionalFormatting sqref="Z377">
    <cfRule type="expression" dxfId="202" priority="94">
      <formula>$Z$377="Check"</formula>
    </cfRule>
  </conditionalFormatting>
  <conditionalFormatting sqref="H398">
    <cfRule type="expression" dxfId="201" priority="93">
      <formula>$H$398="Check"</formula>
    </cfRule>
  </conditionalFormatting>
  <conditionalFormatting sqref="Z398">
    <cfRule type="expression" dxfId="200" priority="92">
      <formula>$Z$398="Check"</formula>
    </cfRule>
  </conditionalFormatting>
  <conditionalFormatting sqref="I377">
    <cfRule type="expression" dxfId="199" priority="91">
      <formula>$I$377="Corporate Office"</formula>
    </cfRule>
  </conditionalFormatting>
  <conditionalFormatting sqref="AA377">
    <cfRule type="expression" dxfId="198" priority="90">
      <formula>$AA$377="Corporate Office"</formula>
    </cfRule>
  </conditionalFormatting>
  <conditionalFormatting sqref="I398">
    <cfRule type="expression" dxfId="197" priority="89">
      <formula>$I$398="Corporate Office"</formula>
    </cfRule>
  </conditionalFormatting>
  <conditionalFormatting sqref="AA398">
    <cfRule type="expression" dxfId="196" priority="88">
      <formula>$AA$398="Corporate Office"</formula>
    </cfRule>
  </conditionalFormatting>
  <conditionalFormatting sqref="J377">
    <cfRule type="notContainsBlanks" dxfId="195" priority="86">
      <formula>LEN(TRIM(J377))&gt;0</formula>
    </cfRule>
    <cfRule type="expression" dxfId="194" priority="87">
      <formula>AND($I$377="Corporate Office",$H$377="Check")</formula>
    </cfRule>
  </conditionalFormatting>
  <conditionalFormatting sqref="AB377">
    <cfRule type="notContainsBlanks" dxfId="193" priority="84">
      <formula>LEN(TRIM(AB377))&gt;0</formula>
    </cfRule>
    <cfRule type="expression" dxfId="192" priority="85">
      <formula>AND($AA$377="Corporate Office",$Z$377="Check")</formula>
    </cfRule>
  </conditionalFormatting>
  <conditionalFormatting sqref="J398">
    <cfRule type="notContainsBlanks" dxfId="191" priority="82">
      <formula>LEN(TRIM(J398))&gt;0</formula>
    </cfRule>
    <cfRule type="expression" dxfId="190" priority="83">
      <formula>AND($I$398="Corporate Office",$H$398="Check")</formula>
    </cfRule>
  </conditionalFormatting>
  <conditionalFormatting sqref="AB398">
    <cfRule type="notContainsBlanks" dxfId="189" priority="80">
      <formula>LEN(TRIM(AB398))&gt;0</formula>
    </cfRule>
    <cfRule type="expression" dxfId="188" priority="81">
      <formula>AND($AA$398="Corporate Office",$Z$398="Check")</formula>
    </cfRule>
  </conditionalFormatting>
  <conditionalFormatting sqref="L377">
    <cfRule type="expression" dxfId="187" priority="79">
      <formula>AND($L$377&lt;&gt;"",$L$377&lt;&gt;"Quarterly")</formula>
    </cfRule>
  </conditionalFormatting>
  <conditionalFormatting sqref="AD377">
    <cfRule type="expression" dxfId="186" priority="78">
      <formula>AND($AD$377&lt;&gt;"",$AD$377&lt;&gt;"Quarterly")</formula>
    </cfRule>
  </conditionalFormatting>
  <conditionalFormatting sqref="K398">
    <cfRule type="expression" dxfId="185" priority="77">
      <formula>AND($K$398&lt;&gt;"",$K$398&lt;&gt;"Quarterly")</formula>
    </cfRule>
  </conditionalFormatting>
  <conditionalFormatting sqref="AC398">
    <cfRule type="expression" dxfId="184" priority="76">
      <formula>AND($AC$398&lt;&gt;"",$AC$398&lt;&gt;"Quarterly")</formula>
    </cfRule>
  </conditionalFormatting>
  <conditionalFormatting sqref="M377">
    <cfRule type="expression" dxfId="183" priority="75">
      <formula>$M$377&lt;&gt;"Fiscal"</formula>
    </cfRule>
  </conditionalFormatting>
  <conditionalFormatting sqref="AE377">
    <cfRule type="expression" dxfId="182" priority="74">
      <formula>$AE$377&lt;&gt;"Fiscal"</formula>
    </cfRule>
  </conditionalFormatting>
  <conditionalFormatting sqref="L398">
    <cfRule type="expression" dxfId="181" priority="73">
      <formula>$L$398&lt;&gt;"Fiscal"</formula>
    </cfRule>
  </conditionalFormatting>
  <conditionalFormatting sqref="AD398">
    <cfRule type="expression" dxfId="180" priority="72">
      <formula>$AD$398&lt;&gt;"Fiscal"</formula>
    </cfRule>
  </conditionalFormatting>
  <conditionalFormatting sqref="N377">
    <cfRule type="expression" dxfId="179" priority="71">
      <formula>$N$377="Update tracking dates"</formula>
    </cfRule>
  </conditionalFormatting>
  <conditionalFormatting sqref="AF377">
    <cfRule type="expression" dxfId="178" priority="70">
      <formula>$AF$377="Update tracking dates"</formula>
    </cfRule>
  </conditionalFormatting>
  <conditionalFormatting sqref="M398">
    <cfRule type="expression" dxfId="177" priority="69">
      <formula>$M$398="Update tracking dates"</formula>
    </cfRule>
  </conditionalFormatting>
  <conditionalFormatting sqref="AE398">
    <cfRule type="expression" dxfId="176" priority="68">
      <formula>$AE$398="Update tracking dates"</formula>
    </cfRule>
  </conditionalFormatting>
  <conditionalFormatting sqref="F419">
    <cfRule type="expression" dxfId="175" priority="67">
      <formula>$F$419="Corporate Office"</formula>
    </cfRule>
  </conditionalFormatting>
  <conditionalFormatting sqref="G419">
    <cfRule type="expression" dxfId="174" priority="66">
      <formula>$G$419="Check"</formula>
    </cfRule>
  </conditionalFormatting>
  <conditionalFormatting sqref="J419">
    <cfRule type="expression" dxfId="173" priority="65">
      <formula>$J$419="Update tracking dates"</formula>
    </cfRule>
  </conditionalFormatting>
  <conditionalFormatting sqref="N89">
    <cfRule type="notContainsBlanks" dxfId="172" priority="293">
      <formula>LEN(TRIM(N89))&gt;0</formula>
    </cfRule>
    <cfRule type="expression" dxfId="171" priority="294">
      <formula>AND($L$89="Corporate Office",$M$89="Check")</formula>
    </cfRule>
  </conditionalFormatting>
  <conditionalFormatting sqref="CF219">
    <cfRule type="notContainsBlanks" dxfId="170" priority="178">
      <formula>LEN(TRIM(CF219))&gt;0</formula>
    </cfRule>
    <cfRule type="expression" dxfId="169" priority="179">
      <formula>AND($CD$219="Corporate Office",$CE$219="Check")</formula>
    </cfRule>
  </conditionalFormatting>
  <conditionalFormatting sqref="M305">
    <cfRule type="notContainsBlanks" dxfId="168" priority="124">
      <formula>LEN(TRIM(M305))&gt;0</formula>
    </cfRule>
    <cfRule type="expression" dxfId="167" priority="130">
      <formula>AND($K$305="Corporate Office",$L$305="Check")</formula>
    </cfRule>
  </conditionalFormatting>
  <conditionalFormatting sqref="Y165">
    <cfRule type="expression" dxfId="166" priority="64">
      <formula>$Y$165&lt;&gt;"Same as Payout Cycle"</formula>
    </cfRule>
  </conditionalFormatting>
  <conditionalFormatting sqref="K4">
    <cfRule type="notContainsBlanks" dxfId="165" priority="374">
      <formula>LEN(TRIM(K4))&gt;0</formula>
    </cfRule>
  </conditionalFormatting>
  <conditionalFormatting sqref="F423">
    <cfRule type="expression" dxfId="164" priority="27">
      <formula>F$423="Corporate Office"</formula>
    </cfRule>
  </conditionalFormatting>
  <conditionalFormatting sqref="M423">
    <cfRule type="expression" dxfId="163" priority="26">
      <formula>M$423="Corporate Office"</formula>
    </cfRule>
  </conditionalFormatting>
  <conditionalFormatting sqref="T423">
    <cfRule type="expression" dxfId="162" priority="25">
      <formula>T$423="Corporate Office"</formula>
    </cfRule>
  </conditionalFormatting>
  <conditionalFormatting sqref="AA423">
    <cfRule type="expression" dxfId="161" priority="24">
      <formula>AA$423="Corporate Office"</formula>
    </cfRule>
  </conditionalFormatting>
  <conditionalFormatting sqref="AH423">
    <cfRule type="expression" dxfId="160" priority="23">
      <formula>AH$423="Corporate Office"</formula>
    </cfRule>
  </conditionalFormatting>
  <conditionalFormatting sqref="AO423">
    <cfRule type="expression" dxfId="159" priority="22">
      <formula>AO$423="Corporate Office"</formula>
    </cfRule>
  </conditionalFormatting>
  <conditionalFormatting sqref="AV423">
    <cfRule type="expression" dxfId="158" priority="21">
      <formula>AV$423="Corporate Office"</formula>
    </cfRule>
  </conditionalFormatting>
  <conditionalFormatting sqref="BC423">
    <cfRule type="expression" dxfId="157" priority="20">
      <formula>BC$423="Corporate Office"</formula>
    </cfRule>
  </conditionalFormatting>
  <conditionalFormatting sqref="BJ423">
    <cfRule type="expression" dxfId="156" priority="19">
      <formula>BJ$423="Corporate Office"</formula>
    </cfRule>
  </conditionalFormatting>
  <conditionalFormatting sqref="G423">
    <cfRule type="expression" dxfId="155" priority="18">
      <formula>G$423="Check"</formula>
    </cfRule>
  </conditionalFormatting>
  <conditionalFormatting sqref="N423">
    <cfRule type="expression" dxfId="154" priority="17">
      <formula>N$423="Check"</formula>
    </cfRule>
  </conditionalFormatting>
  <conditionalFormatting sqref="U423">
    <cfRule type="expression" dxfId="153" priority="16">
      <formula>U$423="Check"</formula>
    </cfRule>
  </conditionalFormatting>
  <conditionalFormatting sqref="AB423">
    <cfRule type="expression" dxfId="152" priority="15">
      <formula>AB$423="Check"</formula>
    </cfRule>
  </conditionalFormatting>
  <conditionalFormatting sqref="AI423">
    <cfRule type="expression" dxfId="151" priority="14">
      <formula>AI$423="Check"</formula>
    </cfRule>
  </conditionalFormatting>
  <conditionalFormatting sqref="AP423">
    <cfRule type="expression" dxfId="150" priority="13">
      <formula>AP$423="Check"</formula>
    </cfRule>
  </conditionalFormatting>
  <conditionalFormatting sqref="AW423">
    <cfRule type="expression" dxfId="149" priority="12">
      <formula>AW$423="Check"</formula>
    </cfRule>
  </conditionalFormatting>
  <conditionalFormatting sqref="BD423">
    <cfRule type="expression" dxfId="148" priority="11">
      <formula>BD$423="Check"</formula>
    </cfRule>
  </conditionalFormatting>
  <conditionalFormatting sqref="BK423">
    <cfRule type="expression" dxfId="147" priority="10">
      <formula>BK$423="Check"</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extLst>
    <ext xmlns:x14="http://schemas.microsoft.com/office/spreadsheetml/2009/9/main" uri="{78C0D931-6437-407d-A8EE-F0AAD7539E65}">
      <x14:conditionalFormattings>
        <x14:conditionalFormatting xmlns:xm="http://schemas.microsoft.com/office/excel/2006/main">
          <x14:cfRule type="expression" priority="62" id="{D27EACE0-FA77-4ADB-90D2-495DEA01DB37}">
            <xm:f>INDIRECT("'Incentives Worksheet'!T"&amp;'Configurable Tab'!H3+12)="Yes"</xm:f>
            <x14:dxf>
              <fill>
                <patternFill>
                  <bgColor rgb="FFFFFF00"/>
                </patternFill>
              </fill>
            </x14:dxf>
          </x14:cfRule>
          <xm:sqref>B12</xm:sqref>
        </x14:conditionalFormatting>
        <x14:conditionalFormatting xmlns:xm="http://schemas.microsoft.com/office/excel/2006/main">
          <x14:cfRule type="expression" priority="61" id="{21C11A56-6476-46A3-A537-B91BDBC94219}">
            <xm:f>INDIRECT("'Incentives Worksheet'!T"&amp;'Configurable Tab'!H4+12)="Yes"</xm:f>
            <x14:dxf>
              <fill>
                <patternFill>
                  <bgColor rgb="FFFFFF00"/>
                </patternFill>
              </fill>
            </x14:dxf>
          </x14:cfRule>
          <xm:sqref>T12</xm:sqref>
        </x14:conditionalFormatting>
        <x14:conditionalFormatting xmlns:xm="http://schemas.microsoft.com/office/excel/2006/main">
          <x14:cfRule type="expression" priority="60" id="{12B5FDB6-928A-4730-977C-3EACCFCD75A7}">
            <xm:f>INDIRECT("'Incentives Worksheet'!T"&amp;'Configurable Tab'!H5+12)="Yes"</xm:f>
            <x14:dxf>
              <fill>
                <patternFill>
                  <bgColor rgb="FFFFFF00"/>
                </patternFill>
              </fill>
            </x14:dxf>
          </x14:cfRule>
          <xm:sqref>B34</xm:sqref>
        </x14:conditionalFormatting>
        <x14:conditionalFormatting xmlns:xm="http://schemas.microsoft.com/office/excel/2006/main">
          <x14:cfRule type="expression" priority="59" id="{0D64EA48-A8F7-487D-9F6B-474A6CC9AADE}">
            <xm:f>INDIRECT("'Incentives Worksheet'!T"&amp;'Configurable Tab'!H6+12)="Yes"</xm:f>
            <x14:dxf>
              <fill>
                <patternFill>
                  <bgColor rgb="FFFFFF00"/>
                </patternFill>
              </fill>
            </x14:dxf>
          </x14:cfRule>
          <xm:sqref>T34</xm:sqref>
        </x14:conditionalFormatting>
        <x14:conditionalFormatting xmlns:xm="http://schemas.microsoft.com/office/excel/2006/main">
          <x14:cfRule type="expression" priority="58" id="{06AF8074-9551-40DA-8DDA-82B243D3BA75}">
            <xm:f>INDIRECT("'Incentives Worksheet'!T"&amp;'Configurable Tab'!H7+13)="Yes"</xm:f>
            <x14:dxf>
              <fill>
                <patternFill>
                  <bgColor rgb="FFFFFF00"/>
                </patternFill>
              </fill>
            </x14:dxf>
          </x14:cfRule>
          <xm:sqref>B59</xm:sqref>
        </x14:conditionalFormatting>
        <x14:conditionalFormatting xmlns:xm="http://schemas.microsoft.com/office/excel/2006/main">
          <x14:cfRule type="expression" priority="57" id="{15ED017E-93E3-47D9-A200-183696BF73B1}">
            <xm:f>INDIRECT("'Incentives Worksheet'!T"&amp;'Configurable Tab'!H8+13)="Yes"</xm:f>
            <x14:dxf>
              <fill>
                <patternFill>
                  <bgColor rgb="FFFFFF00"/>
                </patternFill>
              </fill>
            </x14:dxf>
          </x14:cfRule>
          <xm:sqref>T59</xm:sqref>
        </x14:conditionalFormatting>
        <x14:conditionalFormatting xmlns:xm="http://schemas.microsoft.com/office/excel/2006/main">
          <x14:cfRule type="expression" priority="56" id="{12E414E3-27A7-44D7-8E39-29B062DF5529}">
            <xm:f>INDIRECT("'Incentives Worksheet'!T"&amp;'Configurable Tab'!H9+12)="Yes"</xm:f>
            <x14:dxf>
              <fill>
                <patternFill>
                  <bgColor rgb="FFFFFF00"/>
                </patternFill>
              </fill>
            </x14:dxf>
          </x14:cfRule>
          <xm:sqref>B88</xm:sqref>
        </x14:conditionalFormatting>
        <x14:conditionalFormatting xmlns:xm="http://schemas.microsoft.com/office/excel/2006/main">
          <x14:cfRule type="expression" priority="55" id="{E9AA6E72-C02E-41CC-BC10-28B64A0BFCD9}">
            <xm:f>INDIRECT("'Incentives Worksheet'!T"&amp;'Configurable Tab'!H10+12)="Yes"</xm:f>
            <x14:dxf>
              <fill>
                <patternFill>
                  <bgColor rgb="FFFFFF00"/>
                </patternFill>
              </fill>
            </x14:dxf>
          </x14:cfRule>
          <xm:sqref>T88</xm:sqref>
        </x14:conditionalFormatting>
        <x14:conditionalFormatting xmlns:xm="http://schemas.microsoft.com/office/excel/2006/main">
          <x14:cfRule type="expression" priority="54" id="{21050FE3-0332-4BF1-A746-5ECEDFF99209}">
            <xm:f>INDIRECT("'Incentives Worksheet'!T"&amp;'Configurable Tab'!H11+13)="Yes"</xm:f>
            <x14:dxf>
              <fill>
                <patternFill>
                  <bgColor rgb="FFFFFF00"/>
                </patternFill>
              </fill>
            </x14:dxf>
          </x14:cfRule>
          <xm:sqref>B113</xm:sqref>
        </x14:conditionalFormatting>
        <x14:conditionalFormatting xmlns:xm="http://schemas.microsoft.com/office/excel/2006/main">
          <x14:cfRule type="expression" priority="53" id="{DE66FD45-A2CC-46BD-A735-4D3AA642D8D8}">
            <xm:f>INDIRECT("'Incentives Worksheet'!T"&amp;'Configurable Tab'!H12+13)="Yes"</xm:f>
            <x14:dxf>
              <fill>
                <patternFill>
                  <bgColor rgb="FFFFFF00"/>
                </patternFill>
              </fill>
            </x14:dxf>
          </x14:cfRule>
          <xm:sqref>T113</xm:sqref>
        </x14:conditionalFormatting>
        <x14:conditionalFormatting xmlns:xm="http://schemas.microsoft.com/office/excel/2006/main">
          <x14:cfRule type="expression" priority="52" id="{1AA6C528-F4AB-4D0C-93A9-942022D23F12}">
            <xm:f>INDIRECT("'Incentives Worksheet'!T"&amp;'Configurable Tab'!H13+12)="Yes"</xm:f>
            <x14:dxf>
              <fill>
                <patternFill>
                  <bgColor rgb="FFFFFF00"/>
                </patternFill>
              </fill>
            </x14:dxf>
          </x14:cfRule>
          <xm:sqref>B142</xm:sqref>
        </x14:conditionalFormatting>
        <x14:conditionalFormatting xmlns:xm="http://schemas.microsoft.com/office/excel/2006/main">
          <x14:cfRule type="expression" priority="51" id="{3317CC7D-9323-4015-A62E-34C317BE8B3D}">
            <xm:f>INDIRECT("'Incentives Worksheet'!T"&amp;'Configurable Tab'!H14+12)="Yes"</xm:f>
            <x14:dxf>
              <fill>
                <patternFill>
                  <bgColor rgb="FFFFFF00"/>
                </patternFill>
              </fill>
            </x14:dxf>
          </x14:cfRule>
          <xm:sqref>T142</xm:sqref>
        </x14:conditionalFormatting>
        <x14:conditionalFormatting xmlns:xm="http://schemas.microsoft.com/office/excel/2006/main">
          <x14:cfRule type="expression" priority="50" id="{360CD5A3-4969-46A2-9675-2F3BE8751616}">
            <xm:f>INDIRECT("'Incentives Worksheet'!T"&amp;'Configurable Tab'!H15+12)="Yes"</xm:f>
            <x14:dxf>
              <fill>
                <patternFill>
                  <bgColor rgb="FFFFFF00"/>
                </patternFill>
              </fill>
            </x14:dxf>
          </x14:cfRule>
          <xm:sqref>B164</xm:sqref>
        </x14:conditionalFormatting>
        <x14:conditionalFormatting xmlns:xm="http://schemas.microsoft.com/office/excel/2006/main">
          <x14:cfRule type="expression" priority="49" id="{E8E1EEBF-4173-4D97-93F4-9CFD54451AF4}">
            <xm:f>INDIRECT("'Incentives Worksheet'!T"&amp;'Configurable Tab'!H16+12)="Yes"</xm:f>
            <x14:dxf>
              <fill>
                <patternFill>
                  <bgColor rgb="FFFFFF00"/>
                </patternFill>
              </fill>
            </x14:dxf>
          </x14:cfRule>
          <xm:sqref>T164</xm:sqref>
        </x14:conditionalFormatting>
        <x14:conditionalFormatting xmlns:xm="http://schemas.microsoft.com/office/excel/2006/main">
          <x14:cfRule type="expression" priority="48" id="{28DCCEF6-90FC-4CCD-8C7E-79783C826F47}">
            <xm:f>INDIRECT("'Incentives Worksheet'!T"&amp;'Configurable Tab'!H17+13)="Yes"</xm:f>
            <x14:dxf>
              <fill>
                <patternFill>
                  <bgColor rgb="FFFFFF00"/>
                </patternFill>
              </fill>
            </x14:dxf>
          </x14:cfRule>
          <xm:sqref>B189</xm:sqref>
        </x14:conditionalFormatting>
        <x14:conditionalFormatting xmlns:xm="http://schemas.microsoft.com/office/excel/2006/main">
          <x14:cfRule type="expression" priority="47" id="{25C1014C-61CD-41AA-A465-BF2C555F17E6}">
            <xm:f>INDIRECT("'Incentives Worksheet'!T"&amp;'Configurable Tab'!H18+13)="Yes"</xm:f>
            <x14:dxf>
              <fill>
                <patternFill>
                  <bgColor rgb="FFFFFF00"/>
                </patternFill>
              </fill>
            </x14:dxf>
          </x14:cfRule>
          <xm:sqref>T189</xm:sqref>
        </x14:conditionalFormatting>
        <x14:conditionalFormatting xmlns:xm="http://schemas.microsoft.com/office/excel/2006/main">
          <x14:cfRule type="expression" priority="46" id="{A2A74247-027D-4589-B2A2-A073EE5326FC}">
            <xm:f>INDIRECT("'Incentives Worksheet'!T"&amp;'Configurable Tab'!H19+12)="Yes"</xm:f>
            <x14:dxf>
              <fill>
                <patternFill>
                  <bgColor rgb="FFFFFF00"/>
                </patternFill>
              </fill>
            </x14:dxf>
          </x14:cfRule>
          <xm:sqref>B218</xm:sqref>
        </x14:conditionalFormatting>
        <x14:conditionalFormatting xmlns:xm="http://schemas.microsoft.com/office/excel/2006/main">
          <x14:cfRule type="expression" priority="45" id="{18DD6472-8031-4357-8E86-77258356571D}">
            <xm:f>INDIRECT("'Incentives Worksheet'!T"&amp;'Configurable Tab'!H20+12)="Yes"</xm:f>
            <x14:dxf>
              <fill>
                <patternFill>
                  <bgColor rgb="FFFFFF00"/>
                </patternFill>
              </fill>
            </x14:dxf>
          </x14:cfRule>
          <xm:sqref>T218</xm:sqref>
        </x14:conditionalFormatting>
        <x14:conditionalFormatting xmlns:xm="http://schemas.microsoft.com/office/excel/2006/main">
          <x14:cfRule type="expression" priority="44" id="{64464FE7-1D6D-43C4-9836-8F8824D480E9}">
            <xm:f>INDIRECT("'Incentives Worksheet'!T"&amp;'Configurable Tab'!H21+12)="Yes"</xm:f>
            <x14:dxf>
              <fill>
                <patternFill>
                  <bgColor rgb="FFFFFF00"/>
                </patternFill>
              </fill>
            </x14:dxf>
          </x14:cfRule>
          <xm:sqref>AL218</xm:sqref>
        </x14:conditionalFormatting>
        <x14:conditionalFormatting xmlns:xm="http://schemas.microsoft.com/office/excel/2006/main">
          <x14:cfRule type="expression" priority="43" id="{554F6BA8-0C80-46C2-827C-DD4EE08EDC35}">
            <xm:f>INDIRECT("'Incentives Worksheet'!T"&amp;'Configurable Tab'!H22+12)="Yes"</xm:f>
            <x14:dxf>
              <fill>
                <patternFill>
                  <bgColor rgb="FFFFFF00"/>
                </patternFill>
              </fill>
            </x14:dxf>
          </x14:cfRule>
          <xm:sqref>BC218</xm:sqref>
        </x14:conditionalFormatting>
        <x14:conditionalFormatting xmlns:xm="http://schemas.microsoft.com/office/excel/2006/main">
          <x14:cfRule type="expression" priority="42" id="{E5D78B77-44E0-411E-B607-797E3F2C8FB1}">
            <xm:f>INDIRECT("'Incentives Worksheet'!T"&amp;'Configurable Tab'!H23+12)="Yes"</xm:f>
            <x14:dxf>
              <fill>
                <patternFill>
                  <bgColor rgb="FFFFFF00"/>
                </patternFill>
              </fill>
            </x14:dxf>
          </x14:cfRule>
          <xm:sqref>BT218</xm:sqref>
        </x14:conditionalFormatting>
        <x14:conditionalFormatting xmlns:xm="http://schemas.microsoft.com/office/excel/2006/main">
          <x14:cfRule type="expression" priority="41" id="{EFFCB656-6FEF-4EB2-85C8-3A06A74E08D7}">
            <xm:f>INDIRECT("'Incentives Worksheet'!T"&amp;'Configurable Tab'!H24+12)="Yes"</xm:f>
            <x14:dxf>
              <fill>
                <patternFill>
                  <bgColor rgb="FFFFFF00"/>
                </patternFill>
              </fill>
            </x14:dxf>
          </x14:cfRule>
          <xm:sqref>B243</xm:sqref>
        </x14:conditionalFormatting>
        <x14:conditionalFormatting xmlns:xm="http://schemas.microsoft.com/office/excel/2006/main">
          <x14:cfRule type="expression" priority="40" id="{D3D2C2F2-3C3F-4E0C-92E9-3ACFF5646A95}">
            <xm:f>INDIRECT("'Incentives Worksheet'!T"&amp;'Configurable Tab'!H25+12)="Yes"</xm:f>
            <x14:dxf>
              <fill>
                <patternFill>
                  <bgColor rgb="FFFFFF00"/>
                </patternFill>
              </fill>
            </x14:dxf>
          </x14:cfRule>
          <xm:sqref>B270</xm:sqref>
        </x14:conditionalFormatting>
        <x14:conditionalFormatting xmlns:xm="http://schemas.microsoft.com/office/excel/2006/main">
          <x14:cfRule type="expression" priority="39" id="{3CFF7058-2C14-40BC-9E5F-EBBFFD87B6AD}">
            <xm:f>INDIRECT("'Incentives Worksheet'!T"&amp;'Configurable Tab'!H26+12)="Yes"</xm:f>
            <x14:dxf>
              <fill>
                <patternFill>
                  <bgColor rgb="FFFFFF00"/>
                </patternFill>
              </fill>
            </x14:dxf>
          </x14:cfRule>
          <xm:sqref>T270</xm:sqref>
        </x14:conditionalFormatting>
        <x14:conditionalFormatting xmlns:xm="http://schemas.microsoft.com/office/excel/2006/main">
          <x14:cfRule type="expression" priority="38" id="{5444266E-9B46-4B72-A846-BC948E1F4FDB}">
            <xm:f>INDIRECT("'Incentives Worksheet'!T"&amp;'Configurable Tab'!H27+12)="Yes"</xm:f>
            <x14:dxf>
              <fill>
                <patternFill>
                  <bgColor rgb="FFFFFF00"/>
                </patternFill>
              </fill>
            </x14:dxf>
          </x14:cfRule>
          <xm:sqref>B287</xm:sqref>
        </x14:conditionalFormatting>
        <x14:conditionalFormatting xmlns:xm="http://schemas.microsoft.com/office/excel/2006/main">
          <x14:cfRule type="expression" priority="37" id="{A308094D-C61F-4C3E-8DC6-4F12500C1603}">
            <xm:f>INDIRECT("'Incentives Worksheet'!T"&amp;'Configurable Tab'!H28+12)="Yes"</xm:f>
            <x14:dxf>
              <fill>
                <patternFill>
                  <bgColor rgb="FFFFFF00"/>
                </patternFill>
              </fill>
            </x14:dxf>
          </x14:cfRule>
          <xm:sqref>B304</xm:sqref>
        </x14:conditionalFormatting>
        <x14:conditionalFormatting xmlns:xm="http://schemas.microsoft.com/office/excel/2006/main">
          <x14:cfRule type="expression" priority="36" id="{4F1BE5A3-3963-4B79-8250-F2F8EDFD0B4B}">
            <xm:f>INDIRECT("'Incentives Worksheet'!T"&amp;'Configurable Tab'!H29+12)="Yes"</xm:f>
            <x14:dxf>
              <fill>
                <patternFill>
                  <bgColor rgb="FFFFFF00"/>
                </patternFill>
              </fill>
            </x14:dxf>
          </x14:cfRule>
          <xm:sqref>B321</xm:sqref>
        </x14:conditionalFormatting>
        <x14:conditionalFormatting xmlns:xm="http://schemas.microsoft.com/office/excel/2006/main">
          <x14:cfRule type="expression" priority="35" id="{FF79445A-65DD-49EA-ADE5-33AB21352EEF}">
            <xm:f>INDIRECT("'Incentives Worksheet'!T"&amp;'Configurable Tab'!H30+12)="Yes"</xm:f>
            <x14:dxf>
              <fill>
                <patternFill>
                  <bgColor rgb="FFFFFF00"/>
                </patternFill>
              </fill>
            </x14:dxf>
          </x14:cfRule>
          <xm:sqref>B340</xm:sqref>
        </x14:conditionalFormatting>
        <x14:conditionalFormatting xmlns:xm="http://schemas.microsoft.com/office/excel/2006/main">
          <x14:cfRule type="expression" priority="34" id="{3993D780-7A1E-4E5D-BA42-62732E8CBD6C}">
            <xm:f>INDIRECT("'Incentives Worksheet'!T"&amp;'Configurable Tab'!H31+12)="Yes"</xm:f>
            <x14:dxf>
              <fill>
                <patternFill>
                  <bgColor rgb="FFFFFF00"/>
                </patternFill>
              </fill>
            </x14:dxf>
          </x14:cfRule>
          <xm:sqref>B359</xm:sqref>
        </x14:conditionalFormatting>
        <x14:conditionalFormatting xmlns:xm="http://schemas.microsoft.com/office/excel/2006/main">
          <x14:cfRule type="expression" priority="33" id="{82427FC6-95D8-41DA-A1D9-6958AF1276E6}">
            <xm:f>INDIRECT("'Incentives Worksheet'!T"&amp;'Configurable Tab'!H32+12)="Yes"</xm:f>
            <x14:dxf>
              <fill>
                <patternFill>
                  <bgColor rgb="FFFFFF00"/>
                </patternFill>
              </fill>
            </x14:dxf>
          </x14:cfRule>
          <xm:sqref>T359</xm:sqref>
        </x14:conditionalFormatting>
        <x14:conditionalFormatting xmlns:xm="http://schemas.microsoft.com/office/excel/2006/main">
          <x14:cfRule type="expression" priority="32" id="{5AE01C20-977F-4596-9AC8-F4B7D6E0D0BF}">
            <xm:f>INDIRECT("'Incentives Worksheet'!T"&amp;'Configurable Tab'!H33+12)="Yes"</xm:f>
            <x14:dxf>
              <fill>
                <patternFill>
                  <bgColor rgb="FFFFFF00"/>
                </patternFill>
              </fill>
            </x14:dxf>
          </x14:cfRule>
          <xm:sqref>B376</xm:sqref>
        </x14:conditionalFormatting>
        <x14:conditionalFormatting xmlns:xm="http://schemas.microsoft.com/office/excel/2006/main">
          <x14:cfRule type="expression" priority="31" id="{131FFD70-7551-4C41-8A26-0A525E5A2DE5}">
            <xm:f>INDIRECT("'Incentives Worksheet'!T"&amp;'Configurable Tab'!H34+12)="Yes"</xm:f>
            <x14:dxf>
              <fill>
                <patternFill>
                  <bgColor rgb="FFFFFF00"/>
                </patternFill>
              </fill>
            </x14:dxf>
          </x14:cfRule>
          <xm:sqref>T376</xm:sqref>
        </x14:conditionalFormatting>
        <x14:conditionalFormatting xmlns:xm="http://schemas.microsoft.com/office/excel/2006/main">
          <x14:cfRule type="expression" priority="30" id="{C0FE4D78-07A2-469D-A5DB-A81444FCE4E3}">
            <xm:f>INDIRECT("'Incentives Worksheet'!T"&amp;'Configurable Tab'!H35+12)="Yes"</xm:f>
            <x14:dxf>
              <fill>
                <patternFill>
                  <bgColor rgb="FFFFFF00"/>
                </patternFill>
              </fill>
            </x14:dxf>
          </x14:cfRule>
          <xm:sqref>B397</xm:sqref>
        </x14:conditionalFormatting>
        <x14:conditionalFormatting xmlns:xm="http://schemas.microsoft.com/office/excel/2006/main">
          <x14:cfRule type="expression" priority="29" id="{F4FC5C29-618A-497F-A387-E921E43481DF}">
            <xm:f>INDIRECT("'Incentives Worksheet'!T"&amp;'Configurable Tab'!H36+12)="Yes"</xm:f>
            <x14:dxf>
              <fill>
                <patternFill>
                  <bgColor rgb="FFFFFF00"/>
                </patternFill>
              </fill>
            </x14:dxf>
          </x14:cfRule>
          <xm:sqref>T397</xm:sqref>
        </x14:conditionalFormatting>
        <x14:conditionalFormatting xmlns:xm="http://schemas.microsoft.com/office/excel/2006/main">
          <x14:cfRule type="expression" priority="28" id="{16FFCEE3-FD76-453E-98A0-39AEDEF2BA48}">
            <xm:f>INDIRECT("'Incentives Worksheet'!T"&amp;'Configurable Tab'!H37+10)="Yes"</xm:f>
            <x14:dxf>
              <fill>
                <patternFill>
                  <bgColor rgb="FFFFFF00"/>
                </patternFill>
              </fill>
            </x14:dxf>
          </x14:cfRule>
          <xm:sqref>B418</xm:sqref>
        </x14:conditionalFormatting>
        <x14:conditionalFormatting xmlns:xm="http://schemas.microsoft.com/office/excel/2006/main">
          <x14:cfRule type="expression" priority="9" id="{FFE9F8C9-20D4-4A54-8DEF-DC68925E13AF}">
            <xm:f>Incentives!E226="Yes"</xm:f>
            <x14:dxf>
              <fill>
                <patternFill>
                  <bgColor rgb="FFFFFF00"/>
                </patternFill>
              </fill>
            </x14:dxf>
          </x14:cfRule>
          <xm:sqref>B422</xm:sqref>
        </x14:conditionalFormatting>
        <x14:conditionalFormatting xmlns:xm="http://schemas.microsoft.com/office/excel/2006/main">
          <x14:cfRule type="expression" priority="8" id="{785EDEFB-F2BF-47B4-BD6D-AAE084F778B3}">
            <xm:f>Incentives!E237="Yes"</xm:f>
            <x14:dxf>
              <fill>
                <patternFill>
                  <bgColor rgb="FFFFFF00"/>
                </patternFill>
              </fill>
            </x14:dxf>
          </x14:cfRule>
          <xm:sqref>I422</xm:sqref>
        </x14:conditionalFormatting>
        <x14:conditionalFormatting xmlns:xm="http://schemas.microsoft.com/office/excel/2006/main">
          <x14:cfRule type="expression" priority="7" id="{30B67DB7-DF46-481C-9D20-50FEEFA84891}">
            <xm:f>Incentives!E248="Yes"</xm:f>
            <x14:dxf>
              <fill>
                <patternFill>
                  <bgColor rgb="FFFFFF00"/>
                </patternFill>
              </fill>
            </x14:dxf>
          </x14:cfRule>
          <xm:sqref>P422</xm:sqref>
        </x14:conditionalFormatting>
        <x14:conditionalFormatting xmlns:xm="http://schemas.microsoft.com/office/excel/2006/main">
          <x14:cfRule type="expression" priority="6" id="{F44C0CF4-DDDB-4DC5-BED9-94AC250525A7}">
            <xm:f>Incentives!E259="Yes"</xm:f>
            <x14:dxf>
              <fill>
                <patternFill>
                  <bgColor rgb="FFFFFF00"/>
                </patternFill>
              </fill>
            </x14:dxf>
          </x14:cfRule>
          <xm:sqref>W422</xm:sqref>
        </x14:conditionalFormatting>
        <x14:conditionalFormatting xmlns:xm="http://schemas.microsoft.com/office/excel/2006/main">
          <x14:cfRule type="expression" priority="5" id="{E886301B-99F2-4F7C-B315-8FFA5F6264E1}">
            <xm:f>Incentives!E271="Yes"</xm:f>
            <x14:dxf>
              <fill>
                <patternFill>
                  <bgColor rgb="FFFFFF00"/>
                </patternFill>
              </fill>
            </x14:dxf>
          </x14:cfRule>
          <xm:sqref>AD422</xm:sqref>
        </x14:conditionalFormatting>
        <x14:conditionalFormatting xmlns:xm="http://schemas.microsoft.com/office/excel/2006/main">
          <x14:cfRule type="expression" priority="4" id="{D8FFD787-83C1-4213-8C4F-9B87A3A42CD1}">
            <xm:f>Incentives!E281="Yes"</xm:f>
            <x14:dxf>
              <fill>
                <patternFill>
                  <bgColor rgb="FFFFFF00"/>
                </patternFill>
              </fill>
            </x14:dxf>
          </x14:cfRule>
          <xm:sqref>AK422</xm:sqref>
        </x14:conditionalFormatting>
        <x14:conditionalFormatting xmlns:xm="http://schemas.microsoft.com/office/excel/2006/main">
          <x14:cfRule type="expression" priority="3" id="{122F51C9-F208-4C6A-8351-E741A933AFF7}">
            <xm:f>Incentives!E292="Yes"</xm:f>
            <x14:dxf>
              <fill>
                <patternFill>
                  <bgColor rgb="FFFFFF00"/>
                </patternFill>
              </fill>
            </x14:dxf>
          </x14:cfRule>
          <xm:sqref>AR422</xm:sqref>
        </x14:conditionalFormatting>
        <x14:conditionalFormatting xmlns:xm="http://schemas.microsoft.com/office/excel/2006/main">
          <x14:cfRule type="expression" priority="2" id="{AFF7B001-1A2B-44F9-AF11-09F85ECC487A}">
            <xm:f>Incentives!E303="Yes"</xm:f>
            <x14:dxf>
              <fill>
                <patternFill>
                  <bgColor rgb="FFFFFF00"/>
                </patternFill>
              </fill>
            </x14:dxf>
          </x14:cfRule>
          <xm:sqref>AY422</xm:sqref>
        </x14:conditionalFormatting>
        <x14:conditionalFormatting xmlns:xm="http://schemas.microsoft.com/office/excel/2006/main">
          <x14:cfRule type="expression" priority="1" id="{F08957AD-5CE9-4A1A-986A-AD7636926856}">
            <xm:f>Incentives!E314="Yes"</xm:f>
            <x14:dxf>
              <fill>
                <patternFill>
                  <bgColor rgb="FFFFFF00"/>
                </patternFill>
              </fill>
            </x14:dxf>
          </x14:cfRule>
          <xm:sqref>BF422</xm:sqref>
        </x14:conditionalFormatting>
      </x14:conditionalFormatting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42"/>
  <sheetViews>
    <sheetView showGridLines="0" zoomScaleNormal="100" workbookViewId="0">
      <selection activeCell="B20" sqref="B20:Q20"/>
    </sheetView>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275"/>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276"/>
    </row>
    <row r="2" spans="2:68" ht="36" x14ac:dyDescent="0.55000000000000004">
      <c r="B2" s="2115" t="s">
        <v>715</v>
      </c>
      <c r="C2" s="2116"/>
      <c r="D2" s="2116"/>
      <c r="E2" s="2116"/>
      <c r="F2" s="2116"/>
      <c r="G2" s="2116"/>
      <c r="H2" s="2116"/>
      <c r="I2" s="2116"/>
      <c r="J2" s="2116"/>
      <c r="K2" s="2116"/>
      <c r="L2" s="2116"/>
      <c r="M2" s="2116"/>
      <c r="N2" s="2116"/>
      <c r="O2" s="2116"/>
      <c r="P2" s="2116"/>
      <c r="Q2" s="2116"/>
      <c r="R2" s="2116"/>
      <c r="S2" s="2116"/>
      <c r="T2" s="2116"/>
      <c r="U2" s="2116"/>
      <c r="V2" s="2116"/>
      <c r="W2" s="2116"/>
      <c r="X2" s="2116"/>
      <c r="Y2" s="2116"/>
      <c r="Z2" s="2116"/>
      <c r="AA2" s="2116"/>
      <c r="AB2" s="2116"/>
      <c r="AC2" s="2116"/>
      <c r="AD2" s="2116"/>
      <c r="AE2" s="2116"/>
      <c r="AF2" s="2116"/>
      <c r="AG2" s="2116"/>
      <c r="AH2" s="2116"/>
      <c r="AI2" s="2116"/>
      <c r="AJ2" s="2116"/>
      <c r="AK2" s="2116"/>
      <c r="AL2" s="2116"/>
      <c r="AM2" s="2116"/>
      <c r="AN2" s="2116"/>
      <c r="AO2" s="2116"/>
      <c r="AP2" s="2116"/>
      <c r="AQ2" s="2116"/>
      <c r="AR2" s="2116"/>
      <c r="AS2" s="2116"/>
      <c r="AT2" s="2116"/>
      <c r="AU2" s="2116"/>
      <c r="AV2" s="2116"/>
      <c r="AW2" s="2116"/>
      <c r="AX2" s="2116"/>
      <c r="AY2" s="2116"/>
      <c r="AZ2" s="2116"/>
      <c r="BA2" s="2116"/>
      <c r="BB2" s="2116"/>
      <c r="BC2" s="2116"/>
      <c r="BD2" s="2116"/>
      <c r="BE2" s="2116"/>
      <c r="BF2" s="2117"/>
    </row>
    <row r="3" spans="2:68" x14ac:dyDescent="0.25">
      <c r="B3" s="2118"/>
      <c r="C3" s="2082"/>
      <c r="D3" s="2082"/>
      <c r="E3" s="2082"/>
      <c r="F3" s="2082"/>
      <c r="G3" s="2082"/>
      <c r="H3" s="2082"/>
      <c r="I3" s="2082"/>
      <c r="J3" s="2082"/>
      <c r="K3" s="2082"/>
      <c r="L3" s="2082"/>
      <c r="M3" s="2082"/>
      <c r="N3" s="2082"/>
      <c r="O3" s="2082"/>
      <c r="P3" s="2082"/>
      <c r="Q3" s="2082"/>
      <c r="R3" s="2082"/>
      <c r="S3" s="2082"/>
      <c r="T3" s="2082"/>
      <c r="U3" s="2082"/>
      <c r="V3" s="2082"/>
      <c r="W3" s="2082"/>
      <c r="X3" s="2082"/>
      <c r="Y3" s="2082"/>
      <c r="Z3" s="2082"/>
      <c r="AA3" s="2082"/>
      <c r="AB3" s="2082"/>
      <c r="AC3" s="2082"/>
      <c r="AD3" s="2082"/>
      <c r="AE3" s="2082"/>
      <c r="AF3" s="2082"/>
      <c r="AG3" s="2082"/>
      <c r="AH3" s="2082"/>
      <c r="AI3" s="2082"/>
      <c r="AJ3" s="2082"/>
      <c r="AK3" s="2082"/>
      <c r="AL3" s="2082"/>
      <c r="AM3" s="2082"/>
      <c r="AN3" s="2082"/>
      <c r="AO3" s="2082"/>
      <c r="AP3" s="2082"/>
      <c r="AQ3" s="2082"/>
      <c r="AR3" s="2082"/>
      <c r="AS3" s="2082"/>
      <c r="AT3" s="2082"/>
      <c r="AU3" s="2082"/>
      <c r="AV3" s="2082"/>
      <c r="AW3" s="2082"/>
      <c r="AX3" s="2082"/>
      <c r="AY3" s="2082"/>
      <c r="AZ3" s="2082"/>
      <c r="BA3" s="2082"/>
      <c r="BB3" s="2082"/>
      <c r="BC3" s="2082"/>
      <c r="BD3" s="2082"/>
      <c r="BE3" s="2082"/>
      <c r="BF3" s="2119"/>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2099" t="s">
        <v>644</v>
      </c>
      <c r="C8" s="2100"/>
      <c r="D8" s="2100"/>
      <c r="E8" s="2100"/>
      <c r="F8" s="2100"/>
      <c r="G8" s="2100"/>
      <c r="H8" s="2100"/>
      <c r="I8" s="2100"/>
      <c r="J8" s="2100"/>
      <c r="K8" s="2100"/>
      <c r="L8" s="2100"/>
      <c r="M8" s="2100"/>
      <c r="N8" s="2100"/>
      <c r="O8" s="2100"/>
      <c r="P8" s="2100"/>
      <c r="Q8" s="2100"/>
      <c r="R8" s="2100"/>
      <c r="S8" s="2100"/>
      <c r="T8" s="2100"/>
      <c r="U8" s="2100"/>
      <c r="V8" s="2100"/>
      <c r="W8" s="2100"/>
      <c r="X8" s="2100"/>
      <c r="Y8" s="2100"/>
      <c r="Z8" s="2100"/>
      <c r="AA8" s="2100"/>
      <c r="AB8" s="2100"/>
      <c r="AC8" s="2100"/>
      <c r="AD8" s="2100"/>
      <c r="AE8" s="2100"/>
      <c r="AF8" s="2100"/>
      <c r="AG8" s="2100"/>
      <c r="AH8" s="2100"/>
      <c r="AI8" s="2100"/>
      <c r="AJ8" s="2100"/>
      <c r="AK8" s="2100"/>
      <c r="AL8" s="2100"/>
      <c r="AM8" s="2100"/>
      <c r="AN8" s="2100"/>
      <c r="AO8" s="2100"/>
      <c r="AP8" s="2100"/>
      <c r="AQ8" s="2100"/>
      <c r="AR8" s="2100"/>
      <c r="AS8" s="2100"/>
      <c r="AT8" s="2100"/>
      <c r="AU8" s="2100"/>
      <c r="AV8" s="2100"/>
      <c r="AW8" s="2100"/>
      <c r="AX8" s="2100"/>
      <c r="AY8" s="2100"/>
      <c r="AZ8" s="2100"/>
      <c r="BA8" s="2100"/>
      <c r="BB8" s="2100"/>
      <c r="BC8" s="2100"/>
      <c r="BD8" s="2100"/>
      <c r="BE8" s="2100"/>
      <c r="BF8" s="2101"/>
    </row>
    <row r="9" spans="2:68" x14ac:dyDescent="0.25">
      <c r="B9" s="553"/>
      <c r="C9" s="261"/>
      <c r="D9" s="261"/>
      <c r="E9" s="261"/>
      <c r="F9" s="261"/>
      <c r="G9" s="261"/>
      <c r="H9" s="261"/>
      <c r="I9" s="261"/>
      <c r="J9" s="261"/>
      <c r="K9" s="261"/>
      <c r="L9" s="261"/>
      <c r="M9" s="261"/>
      <c r="N9" s="261"/>
      <c r="O9" s="261"/>
      <c r="P9" s="261"/>
      <c r="Q9" s="261"/>
      <c r="R9" s="261"/>
      <c r="S9" s="261"/>
      <c r="T9" s="261"/>
      <c r="U9" s="261"/>
      <c r="V9" s="261"/>
      <c r="W9" s="261"/>
      <c r="X9" s="261"/>
      <c r="Y9" s="261"/>
      <c r="Z9" s="261"/>
      <c r="AA9" s="261"/>
      <c r="AB9" s="261"/>
      <c r="AC9" s="261"/>
      <c r="AD9" s="261"/>
      <c r="AE9" s="261"/>
      <c r="AF9" s="261"/>
      <c r="AG9" s="261"/>
      <c r="AH9" s="261"/>
      <c r="AI9" s="261"/>
      <c r="AJ9" s="261"/>
      <c r="AK9" s="261"/>
      <c r="AL9" s="260"/>
      <c r="AM9" s="260"/>
      <c r="AN9" s="260"/>
      <c r="AO9" s="260"/>
      <c r="AP9" s="260"/>
      <c r="AQ9" s="260"/>
      <c r="AR9" s="260"/>
      <c r="AS9" s="260"/>
      <c r="AT9" s="260"/>
      <c r="AU9" s="260"/>
      <c r="AV9" s="260"/>
      <c r="AW9" s="260"/>
      <c r="AX9" s="260"/>
      <c r="AY9" s="260"/>
      <c r="AZ9" s="260"/>
      <c r="BA9" s="260"/>
      <c r="BB9" s="260"/>
      <c r="BC9" s="261"/>
      <c r="BD9" s="261"/>
      <c r="BE9" s="261"/>
      <c r="BF9" s="554"/>
    </row>
    <row r="10" spans="2:68" x14ac:dyDescent="0.25">
      <c r="B10" s="2095" t="s">
        <v>840</v>
      </c>
      <c r="C10" s="2000"/>
      <c r="D10" s="2000"/>
      <c r="E10" s="2000"/>
      <c r="F10" s="2000"/>
      <c r="G10" s="2000"/>
      <c r="H10" s="2000"/>
      <c r="I10" s="2000"/>
      <c r="J10" s="2000"/>
      <c r="K10" s="2091">
        <f>'Tracking &amp; Profitability'!$H$5</f>
        <v>0</v>
      </c>
      <c r="L10" s="2091"/>
      <c r="M10" s="2091"/>
      <c r="N10" s="2091"/>
      <c r="O10" s="2091"/>
      <c r="P10" s="2091"/>
      <c r="Q10" s="2091"/>
      <c r="R10" s="2091"/>
      <c r="S10" s="2091"/>
      <c r="T10" s="2091"/>
      <c r="U10" s="2091"/>
      <c r="V10" s="2091"/>
      <c r="W10" s="2091"/>
      <c r="X10" s="2091"/>
      <c r="Y10" s="2091"/>
      <c r="Z10" s="2091"/>
      <c r="AA10" s="2091"/>
      <c r="AB10" s="2091"/>
      <c r="AC10" s="2091"/>
      <c r="AD10" s="2091"/>
      <c r="AE10" s="2091"/>
      <c r="AI10" s="2000" t="s">
        <v>714</v>
      </c>
      <c r="AJ10" s="2000"/>
      <c r="AK10" s="2000"/>
      <c r="AL10" s="2000"/>
      <c r="AM10" s="2000"/>
      <c r="AN10" s="2000"/>
      <c r="AO10" s="2000"/>
      <c r="AP10" s="2000"/>
      <c r="AQ10" s="2000"/>
      <c r="AR10" s="2000"/>
      <c r="AT10" s="2110"/>
      <c r="AU10" s="2110"/>
      <c r="AV10" s="2110"/>
      <c r="AW10" s="2110"/>
      <c r="AX10" s="2110"/>
      <c r="AY10" s="2110"/>
      <c r="AZ10" s="2110"/>
      <c r="BA10" s="2110"/>
      <c r="BB10" s="2110"/>
      <c r="BC10" s="2110"/>
      <c r="BD10" s="2110"/>
      <c r="BF10" s="138"/>
    </row>
    <row r="11" spans="2:68" x14ac:dyDescent="0.25">
      <c r="B11" s="137"/>
      <c r="AL11" s="2"/>
      <c r="AM11" s="2"/>
      <c r="AN11" s="2"/>
      <c r="AO11" s="2"/>
      <c r="AP11" s="2"/>
      <c r="AQ11" s="2"/>
      <c r="AR11" s="2"/>
      <c r="AS11" s="2"/>
      <c r="AT11" s="2"/>
      <c r="AU11" s="2"/>
      <c r="AV11" s="2"/>
      <c r="BF11" s="138"/>
    </row>
    <row r="12" spans="2:68" x14ac:dyDescent="0.25">
      <c r="B12" s="2094" t="s">
        <v>841</v>
      </c>
      <c r="C12" s="2086"/>
      <c r="D12" s="2086"/>
      <c r="E12" s="2086"/>
      <c r="F12" s="2086"/>
      <c r="G12" s="2086"/>
      <c r="H12" s="2086"/>
      <c r="I12" s="2086"/>
      <c r="J12" s="2086"/>
      <c r="K12" s="2065">
        <f>'Required Info to Submit'!$F$4</f>
        <v>0</v>
      </c>
      <c r="L12" s="2065"/>
      <c r="M12" s="2065"/>
      <c r="N12" s="2065"/>
      <c r="O12" s="2065"/>
      <c r="P12" s="2065"/>
      <c r="Q12" s="2065"/>
      <c r="R12" s="2065"/>
      <c r="S12" s="2065"/>
      <c r="T12" s="2065"/>
      <c r="U12" s="2065"/>
      <c r="V12" s="2065"/>
      <c r="W12" s="2065"/>
      <c r="X12" s="2065"/>
      <c r="Y12" s="2065"/>
      <c r="Z12" s="2065"/>
      <c r="AA12" s="2065"/>
      <c r="AB12" s="2065"/>
      <c r="AC12" s="2065"/>
      <c r="AD12" s="2065"/>
      <c r="AE12" s="2065"/>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2094" t="s">
        <v>852</v>
      </c>
      <c r="C14" s="2086"/>
      <c r="D14" s="2086"/>
      <c r="E14" s="2086"/>
      <c r="F14" s="2086"/>
      <c r="G14" s="2086"/>
      <c r="H14" s="2086"/>
      <c r="I14" s="2086"/>
      <c r="J14" s="2086"/>
      <c r="K14" s="2086"/>
      <c r="L14" s="2086"/>
      <c r="M14" s="2086"/>
      <c r="N14" s="2086"/>
      <c r="O14" s="2086"/>
      <c r="P14" s="2086"/>
      <c r="Q14" s="2086"/>
      <c r="R14" s="2105">
        <f>'Required Info to Submit'!$F$6</f>
        <v>0</v>
      </c>
      <c r="S14" s="2105"/>
      <c r="T14" s="2105"/>
      <c r="U14" s="2105"/>
      <c r="V14" s="2105"/>
      <c r="W14" s="2105"/>
      <c r="X14" s="2105"/>
      <c r="Y14" s="2105"/>
      <c r="Z14" s="2105"/>
      <c r="AA14" s="2105"/>
      <c r="AB14" s="2105"/>
      <c r="AC14" s="2105"/>
      <c r="AD14" s="2105"/>
      <c r="AE14" s="2105"/>
      <c r="AF14" s="2105"/>
      <c r="AG14" s="2105"/>
      <c r="AH14" s="2105"/>
      <c r="AI14" s="2105"/>
      <c r="AJ14" s="2105"/>
      <c r="AK14" s="2105"/>
      <c r="AL14" s="2105"/>
      <c r="AM14" s="2105"/>
      <c r="AN14" s="2105"/>
      <c r="AO14" s="2105"/>
      <c r="AP14" s="2105"/>
      <c r="AQ14" s="2105"/>
      <c r="AR14" s="2105"/>
      <c r="AS14" s="2105"/>
      <c r="AT14" s="2105"/>
      <c r="AU14" s="2105"/>
      <c r="AV14" s="2105"/>
      <c r="AW14" s="2105"/>
      <c r="AX14" s="2105"/>
      <c r="AY14" s="2105"/>
      <c r="AZ14" s="2105"/>
      <c r="BA14" s="2105"/>
      <c r="BB14" s="2105"/>
      <c r="BC14" s="2105"/>
      <c r="BD14" s="2105"/>
      <c r="BF14" s="138"/>
    </row>
    <row r="15" spans="2:68" x14ac:dyDescent="0.25">
      <c r="B15" s="509"/>
      <c r="C15" s="134"/>
      <c r="D15" s="134"/>
      <c r="E15" s="134"/>
      <c r="F15" s="134"/>
      <c r="G15" s="134"/>
      <c r="H15" s="134"/>
      <c r="I15" s="134"/>
      <c r="J15" s="134"/>
      <c r="K15" s="134"/>
      <c r="L15" s="134"/>
      <c r="M15" s="134"/>
      <c r="N15" s="134"/>
      <c r="O15" s="134"/>
      <c r="P15" s="134"/>
      <c r="Q15" s="134"/>
      <c r="BF15" s="138"/>
    </row>
    <row r="16" spans="2:68" x14ac:dyDescent="0.25">
      <c r="B16" s="2094" t="s">
        <v>713</v>
      </c>
      <c r="C16" s="2086"/>
      <c r="D16" s="2086"/>
      <c r="E16" s="2086"/>
      <c r="F16" s="2086"/>
      <c r="G16" s="2086"/>
      <c r="H16" s="2086"/>
      <c r="I16" s="2086"/>
      <c r="J16" s="2086"/>
      <c r="K16" s="2086"/>
      <c r="L16" s="2086"/>
      <c r="M16" s="2086"/>
      <c r="N16" s="2086"/>
      <c r="O16" s="2086"/>
      <c r="P16" s="2086"/>
      <c r="Q16" s="2086"/>
      <c r="R16" s="2065" t="s">
        <v>239</v>
      </c>
      <c r="S16" s="2065"/>
      <c r="T16" s="2082" t="s">
        <v>645</v>
      </c>
      <c r="U16" s="2082"/>
      <c r="V16" s="2082"/>
      <c r="W16" s="2082"/>
      <c r="X16" s="2082"/>
      <c r="Y16" s="2082"/>
      <c r="Z16" s="2082"/>
      <c r="AA16" s="2082"/>
      <c r="AB16" s="2082"/>
      <c r="AC16" s="2082"/>
      <c r="AD16" s="2082"/>
      <c r="AE16" s="2082"/>
      <c r="AF16" s="2082"/>
      <c r="AG16" s="2082"/>
      <c r="AH16" s="2082"/>
      <c r="AI16" s="2082"/>
      <c r="AJ16" s="2082"/>
      <c r="AK16" s="2082"/>
      <c r="AL16" s="2082"/>
      <c r="AO16" s="2082"/>
      <c r="AP16" s="2082"/>
      <c r="BF16" s="138"/>
      <c r="BP16" s="262"/>
    </row>
    <row r="17" spans="2:68" x14ac:dyDescent="0.25">
      <c r="B17" s="509"/>
      <c r="C17" s="134"/>
      <c r="D17" s="134"/>
      <c r="E17" s="134"/>
      <c r="F17" s="134"/>
      <c r="G17" s="134"/>
      <c r="H17" s="134"/>
      <c r="I17" s="134"/>
      <c r="J17" s="134"/>
      <c r="K17" s="134"/>
      <c r="L17" s="134"/>
      <c r="M17" s="134"/>
      <c r="N17" s="134"/>
      <c r="O17" s="134"/>
      <c r="P17" s="134"/>
      <c r="Q17" s="134"/>
      <c r="BF17" s="138"/>
    </row>
    <row r="18" spans="2:68" x14ac:dyDescent="0.25">
      <c r="B18" s="2106" t="s">
        <v>834</v>
      </c>
      <c r="C18" s="2107"/>
      <c r="D18" s="2107"/>
      <c r="E18" s="2107"/>
      <c r="F18" s="2107"/>
      <c r="G18" s="2107"/>
      <c r="H18" s="2107"/>
      <c r="I18" s="2107"/>
      <c r="J18" s="2107"/>
      <c r="K18" s="2107"/>
      <c r="L18" s="2107"/>
      <c r="M18" s="2107"/>
      <c r="N18" s="2107"/>
      <c r="O18" s="2107"/>
      <c r="P18" s="2107"/>
      <c r="Q18" s="2107"/>
      <c r="R18" s="2091">
        <f>'Required Info to Submit'!$F$8</f>
        <v>0</v>
      </c>
      <c r="S18" s="2091"/>
      <c r="T18" s="2091"/>
      <c r="U18" s="2091"/>
      <c r="V18" s="2091"/>
      <c r="W18" s="2091"/>
      <c r="X18" s="2091"/>
      <c r="Y18" s="2091"/>
      <c r="Z18" s="2091"/>
      <c r="AA18" s="2091"/>
      <c r="AB18" s="2091"/>
      <c r="AC18" s="2091"/>
      <c r="AD18" s="2091"/>
      <c r="AE18" s="2091"/>
      <c r="AF18" s="2091"/>
      <c r="AG18" s="2091"/>
      <c r="AH18" s="2091"/>
      <c r="AI18" s="2091"/>
      <c r="AJ18" s="2091"/>
      <c r="AK18" s="2091"/>
      <c r="AL18" s="2091"/>
      <c r="AN18" s="2086" t="s">
        <v>836</v>
      </c>
      <c r="AO18" s="2086"/>
      <c r="AP18" s="2086"/>
      <c r="AQ18" s="2086"/>
      <c r="AR18" s="2086"/>
      <c r="AS18" s="2086"/>
      <c r="AT18" s="2086"/>
      <c r="AU18" s="2086"/>
      <c r="AV18" s="2091">
        <f>'Required Info to Submit'!F10</f>
        <v>0</v>
      </c>
      <c r="AW18" s="2091"/>
      <c r="AX18" s="2091"/>
      <c r="AY18" s="2091"/>
      <c r="AZ18" s="2091"/>
      <c r="BA18" s="2091"/>
      <c r="BB18" s="2091"/>
      <c r="BC18" s="2091"/>
      <c r="BD18" s="2091"/>
      <c r="BF18" s="138"/>
      <c r="BP18" s="262"/>
    </row>
    <row r="19" spans="2:68" x14ac:dyDescent="0.25">
      <c r="B19" s="509"/>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2094" t="s">
        <v>835</v>
      </c>
      <c r="C20" s="2086"/>
      <c r="D20" s="2086"/>
      <c r="E20" s="2086"/>
      <c r="F20" s="2086"/>
      <c r="G20" s="2086"/>
      <c r="H20" s="2086"/>
      <c r="I20" s="2086"/>
      <c r="J20" s="2086"/>
      <c r="K20" s="2086"/>
      <c r="L20" s="2086"/>
      <c r="M20" s="2086"/>
      <c r="N20" s="2086"/>
      <c r="O20" s="2086"/>
      <c r="P20" s="2086"/>
      <c r="Q20" s="2086"/>
      <c r="R20" s="2091">
        <f>'Required Info to Submit'!F9</f>
        <v>0</v>
      </c>
      <c r="S20" s="2091"/>
      <c r="T20" s="2091"/>
      <c r="U20" s="2091"/>
      <c r="V20" s="2091"/>
      <c r="W20" s="2091"/>
      <c r="X20" s="2091"/>
      <c r="Y20" s="2091"/>
      <c r="Z20" s="2091"/>
      <c r="AA20" s="2091"/>
      <c r="AB20" s="2091"/>
      <c r="AC20" s="2091"/>
      <c r="AD20" s="2091"/>
      <c r="AE20" s="2091"/>
      <c r="AF20" s="2091"/>
      <c r="AG20" s="2091"/>
      <c r="AH20" s="2091"/>
      <c r="AI20" s="2091"/>
      <c r="AJ20" s="2091"/>
      <c r="AK20" s="2091"/>
      <c r="AL20" s="2091"/>
      <c r="AN20" s="2086" t="s">
        <v>798</v>
      </c>
      <c r="AO20" s="2086"/>
      <c r="AP20" s="2086"/>
      <c r="AQ20" s="2086"/>
      <c r="AR20" s="2086"/>
      <c r="AS20" s="2086"/>
      <c r="AT20" s="2086"/>
      <c r="AU20" s="2086"/>
      <c r="AV20" s="2091">
        <f>'Required Info to Submit'!F11</f>
        <v>0</v>
      </c>
      <c r="AW20" s="2091"/>
      <c r="AX20" s="2091"/>
      <c r="AY20" s="2091"/>
      <c r="AZ20" s="2091"/>
      <c r="BA20" s="2091"/>
      <c r="BB20" s="2091"/>
      <c r="BC20" s="2091"/>
      <c r="BD20" s="2091"/>
      <c r="BF20" s="138"/>
      <c r="BP20" s="262"/>
    </row>
    <row r="21" spans="2:68" x14ac:dyDescent="0.25">
      <c r="B21" s="509"/>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2094" t="s">
        <v>837</v>
      </c>
      <c r="C22" s="2086"/>
      <c r="D22" s="2086"/>
      <c r="E22" s="2086"/>
      <c r="F22" s="2086"/>
      <c r="G22" s="2086"/>
      <c r="H22" s="2086"/>
      <c r="I22" s="2086"/>
      <c r="J22" s="2086"/>
      <c r="K22" s="2086"/>
      <c r="L22" s="2086"/>
      <c r="M22" s="2086"/>
      <c r="N22" s="2086"/>
      <c r="O22" s="2086"/>
      <c r="P22" s="2086"/>
      <c r="Q22" s="2086"/>
      <c r="R22" s="2091">
        <f>'Required Info to Submit'!F12</f>
        <v>0</v>
      </c>
      <c r="S22" s="2091"/>
      <c r="T22" s="2091"/>
      <c r="U22" s="2091"/>
      <c r="V22" s="2091"/>
      <c r="W22" s="2091"/>
      <c r="X22" s="2091"/>
      <c r="Y22" s="2091"/>
      <c r="Z22" s="2091"/>
      <c r="AA22" s="2091"/>
      <c r="AB22" s="2091"/>
      <c r="AC22" s="2091"/>
      <c r="AD22" s="2091"/>
      <c r="AE22" s="2091"/>
      <c r="AF22" s="2091"/>
      <c r="AG22" s="2091"/>
      <c r="AH22" s="2091"/>
      <c r="AI22" s="2091"/>
      <c r="AJ22" s="2091"/>
      <c r="AK22" s="2091"/>
      <c r="AL22" s="2091"/>
      <c r="AN22" s="2086"/>
      <c r="AO22" s="2086"/>
      <c r="AP22" s="2086"/>
      <c r="AQ22" s="2086"/>
      <c r="AR22" s="2086"/>
      <c r="AS22" s="2086"/>
      <c r="AT22" s="2086"/>
      <c r="AU22" s="2086"/>
      <c r="AV22" s="2108"/>
      <c r="AW22" s="2108"/>
      <c r="AX22" s="2108"/>
      <c r="AY22" s="2108"/>
      <c r="AZ22" s="2108"/>
      <c r="BA22" s="2108"/>
      <c r="BB22" s="2108"/>
      <c r="BC22" s="2108"/>
      <c r="BD22" s="2108"/>
      <c r="BF22" s="138"/>
      <c r="BP22" s="262"/>
    </row>
    <row r="23" spans="2:68" x14ac:dyDescent="0.25">
      <c r="B23" s="509"/>
      <c r="C23" s="134"/>
      <c r="D23" s="134"/>
      <c r="E23" s="134"/>
      <c r="F23" s="134"/>
      <c r="G23" s="134"/>
      <c r="H23" s="134"/>
      <c r="I23" s="134"/>
      <c r="J23" s="134"/>
      <c r="K23" s="134"/>
      <c r="L23" s="134"/>
      <c r="M23" s="134"/>
      <c r="N23" s="134"/>
      <c r="O23" s="134"/>
      <c r="P23" s="134"/>
      <c r="Q23" s="134"/>
      <c r="BF23" s="138"/>
    </row>
    <row r="24" spans="2:68" x14ac:dyDescent="0.25">
      <c r="B24" s="2094" t="s">
        <v>838</v>
      </c>
      <c r="C24" s="2086"/>
      <c r="D24" s="2086"/>
      <c r="E24" s="2086"/>
      <c r="F24" s="2086"/>
      <c r="G24" s="2086"/>
      <c r="H24" s="2086"/>
      <c r="I24" s="2086"/>
      <c r="J24" s="2086"/>
      <c r="K24" s="2086"/>
      <c r="L24" s="2086"/>
      <c r="M24" s="2086"/>
      <c r="N24" s="2086"/>
      <c r="O24" s="2086"/>
      <c r="P24" s="2086"/>
      <c r="Q24" s="2086"/>
      <c r="R24" s="2103">
        <f>'Required Info to Submit'!$F$14</f>
        <v>0</v>
      </c>
      <c r="S24" s="2103"/>
      <c r="T24" s="2103"/>
      <c r="U24" s="2103"/>
      <c r="V24" s="2103"/>
      <c r="W24" s="2103"/>
      <c r="X24" s="2103"/>
      <c r="Y24" s="2103"/>
      <c r="Z24" s="2103"/>
      <c r="AA24" s="2103"/>
      <c r="AB24" s="2103"/>
      <c r="AC24" s="2103"/>
      <c r="AN24" s="2000" t="s">
        <v>842</v>
      </c>
      <c r="AO24" s="2000"/>
      <c r="AP24" s="2000"/>
      <c r="AQ24" s="2000"/>
      <c r="AR24" s="2000"/>
      <c r="AS24" s="2000"/>
      <c r="AT24" s="2000"/>
      <c r="AU24" s="2000"/>
      <c r="AV24" s="2109" t="str">
        <f>IF('Required Info to Submit'!$F$17&lt;&gt;"",'Required Info to Submit'!$F$17,"")</f>
        <v/>
      </c>
      <c r="AW24" s="2109"/>
      <c r="AX24" s="2109"/>
      <c r="AY24" s="2109"/>
      <c r="AZ24" s="2109"/>
      <c r="BA24" s="2109"/>
      <c r="BB24" s="2109"/>
      <c r="BC24" s="2109"/>
      <c r="BD24" s="2109"/>
      <c r="BF24" s="138"/>
    </row>
    <row r="25" spans="2:68" ht="17.25" x14ac:dyDescent="0.25">
      <c r="B25" s="137"/>
      <c r="C25" s="263"/>
      <c r="D25" s="263"/>
      <c r="E25" s="263"/>
      <c r="F25" s="263"/>
      <c r="G25" s="263"/>
      <c r="H25" s="2102" t="s">
        <v>712</v>
      </c>
      <c r="I25" s="2102"/>
      <c r="J25" s="2102"/>
      <c r="K25" s="2102"/>
      <c r="L25" s="2102"/>
      <c r="M25" s="2102"/>
      <c r="N25" s="2102"/>
      <c r="O25" s="2102"/>
      <c r="P25" s="2102"/>
      <c r="Q25" s="263"/>
      <c r="AN25" s="2102" t="s">
        <v>711</v>
      </c>
      <c r="AO25" s="2102"/>
      <c r="AP25" s="2102"/>
      <c r="AQ25" s="2102"/>
      <c r="AR25" s="2102"/>
      <c r="AS25" s="2102"/>
      <c r="AT25" s="2102"/>
      <c r="BF25" s="138"/>
    </row>
    <row r="26" spans="2:68" ht="18.75" x14ac:dyDescent="0.3">
      <c r="B26" s="2099" t="s">
        <v>649</v>
      </c>
      <c r="C26" s="2100"/>
      <c r="D26" s="2100"/>
      <c r="E26" s="2100"/>
      <c r="F26" s="2100"/>
      <c r="G26" s="2100"/>
      <c r="H26" s="2100"/>
      <c r="I26" s="2100"/>
      <c r="J26" s="2100"/>
      <c r="K26" s="2100"/>
      <c r="L26" s="2100"/>
      <c r="M26" s="2100"/>
      <c r="N26" s="2100"/>
      <c r="O26" s="2100"/>
      <c r="P26" s="2100"/>
      <c r="Q26" s="2100"/>
      <c r="R26" s="2100"/>
      <c r="S26" s="2100"/>
      <c r="T26" s="2100"/>
      <c r="U26" s="2100"/>
      <c r="V26" s="2100"/>
      <c r="W26" s="2100"/>
      <c r="X26" s="2100"/>
      <c r="Y26" s="2100"/>
      <c r="Z26" s="2100"/>
      <c r="AA26" s="2100"/>
      <c r="AB26" s="2100"/>
      <c r="AC26" s="2100"/>
      <c r="AD26" s="2100"/>
      <c r="AE26" s="2100"/>
      <c r="AF26" s="2100"/>
      <c r="AG26" s="2100"/>
      <c r="AH26" s="2100"/>
      <c r="AI26" s="2100"/>
      <c r="AJ26" s="2100"/>
      <c r="AK26" s="2100"/>
      <c r="AL26" s="2100"/>
      <c r="AM26" s="2100"/>
      <c r="AN26" s="2100"/>
      <c r="AO26" s="2100"/>
      <c r="AP26" s="2100"/>
      <c r="AQ26" s="2100"/>
      <c r="AR26" s="2100"/>
      <c r="AS26" s="2100"/>
      <c r="AT26" s="2100"/>
      <c r="AU26" s="2100"/>
      <c r="AV26" s="2100"/>
      <c r="AW26" s="2100"/>
      <c r="AX26" s="2100"/>
      <c r="AY26" s="2100"/>
      <c r="AZ26" s="2100"/>
      <c r="BA26" s="2100"/>
      <c r="BB26" s="2100"/>
      <c r="BC26" s="2100"/>
      <c r="BD26" s="2100"/>
      <c r="BE26" s="2100"/>
      <c r="BF26" s="2101"/>
      <c r="BP26" s="262"/>
    </row>
    <row r="27" spans="2:68" x14ac:dyDescent="0.25">
      <c r="B27" s="502"/>
      <c r="C27" s="260"/>
      <c r="D27" s="260"/>
      <c r="E27" s="260"/>
      <c r="F27" s="260"/>
      <c r="G27" s="260"/>
      <c r="H27" s="260"/>
      <c r="I27" s="260"/>
      <c r="J27" s="260"/>
      <c r="K27" s="260"/>
      <c r="L27" s="260"/>
      <c r="M27" s="260"/>
      <c r="N27" s="260"/>
      <c r="O27" s="260"/>
      <c r="P27" s="260"/>
      <c r="Q27" s="260"/>
      <c r="R27" s="260"/>
      <c r="S27" s="260"/>
      <c r="T27" s="260"/>
      <c r="U27" s="260"/>
      <c r="V27" s="260"/>
      <c r="W27" s="260"/>
      <c r="X27" s="260"/>
      <c r="Y27" s="260"/>
      <c r="Z27" s="260"/>
      <c r="AA27" s="260"/>
      <c r="AB27" s="260"/>
      <c r="AC27" s="260"/>
      <c r="AD27" s="260"/>
      <c r="AE27" s="260"/>
      <c r="AF27" s="260"/>
      <c r="AG27" s="260"/>
      <c r="AH27" s="260"/>
      <c r="AI27" s="260"/>
      <c r="AJ27" s="260"/>
      <c r="AK27" s="260"/>
      <c r="AL27" s="260"/>
      <c r="AM27" s="260"/>
      <c r="AN27" s="260"/>
      <c r="AO27" s="260"/>
      <c r="AP27" s="260"/>
      <c r="AQ27" s="260"/>
      <c r="AR27" s="260"/>
      <c r="AS27" s="260"/>
      <c r="AT27" s="260"/>
      <c r="AU27" s="260"/>
      <c r="AV27" s="260"/>
      <c r="AW27" s="260"/>
      <c r="AX27" s="260"/>
      <c r="AY27" s="260"/>
      <c r="AZ27" s="260"/>
      <c r="BA27" s="260"/>
      <c r="BB27" s="260"/>
      <c r="BC27" s="260"/>
      <c r="BD27" s="260"/>
      <c r="BE27" s="260"/>
      <c r="BF27" s="503"/>
    </row>
    <row r="28" spans="2:68" x14ac:dyDescent="0.25">
      <c r="B28" s="2092" t="s">
        <v>650</v>
      </c>
      <c r="C28" s="2093"/>
      <c r="D28" s="2093"/>
      <c r="E28" s="2093"/>
      <c r="F28" s="2093"/>
      <c r="G28" s="2093"/>
      <c r="H28" s="2093"/>
      <c r="I28" s="2093"/>
      <c r="J28" s="2093"/>
      <c r="K28" s="2093"/>
      <c r="L28" s="2093"/>
      <c r="M28" s="2093"/>
      <c r="N28" s="2093"/>
      <c r="O28" s="2093"/>
      <c r="P28" s="2093"/>
      <c r="Q28" s="2093"/>
      <c r="T28" s="2096">
        <f>'Tracking &amp; Profitability'!$E$6</f>
        <v>0</v>
      </c>
      <c r="U28" s="2096"/>
      <c r="V28" s="2096"/>
      <c r="W28" s="2096"/>
      <c r="X28" s="2096"/>
      <c r="Y28" s="2096"/>
      <c r="Z28" s="2096"/>
      <c r="AA28" s="2096"/>
      <c r="AB28" s="2096"/>
      <c r="AF28" t="s">
        <v>710</v>
      </c>
      <c r="AO28" s="2065">
        <f>Welcome!$D$30</f>
        <v>0</v>
      </c>
      <c r="AP28" s="2065"/>
      <c r="AQ28" s="2065"/>
      <c r="AR28" s="2082" t="s">
        <v>651</v>
      </c>
      <c r="AS28" s="2082"/>
      <c r="AU28" s="2065">
        <f>Welcome!$E$30</f>
        <v>0</v>
      </c>
      <c r="AV28" s="2065"/>
      <c r="AW28" s="2065"/>
      <c r="AX28" s="2082" t="s">
        <v>709</v>
      </c>
      <c r="AY28" s="2082"/>
      <c r="BA28" s="2065">
        <f>Welcome!$F$30</f>
        <v>0</v>
      </c>
      <c r="BB28" s="2065"/>
      <c r="BC28" s="2065"/>
      <c r="BD28" s="2082" t="s">
        <v>652</v>
      </c>
      <c r="BE28" s="2082"/>
      <c r="BF28" s="138"/>
    </row>
    <row r="29" spans="2:68" ht="17.25" x14ac:dyDescent="0.25">
      <c r="B29" s="137"/>
      <c r="T29" s="134"/>
      <c r="U29" s="134"/>
      <c r="V29" s="134"/>
      <c r="W29" s="134"/>
      <c r="X29" s="134"/>
      <c r="Y29" s="134"/>
      <c r="Z29" s="134"/>
      <c r="AA29" s="134"/>
      <c r="AB29" s="134"/>
      <c r="AF29" s="2102" t="s">
        <v>708</v>
      </c>
      <c r="AG29" s="2102"/>
      <c r="AH29" s="2102"/>
      <c r="AI29" s="2102"/>
      <c r="AJ29" s="2102"/>
      <c r="AK29" s="2102"/>
      <c r="AL29" s="2102"/>
      <c r="AM29" s="2102"/>
      <c r="AN29" s="2102"/>
      <c r="AO29" s="2102"/>
      <c r="AP29" s="2102"/>
      <c r="AQ29" s="2102"/>
      <c r="AR29" s="2102"/>
      <c r="AS29" s="2102"/>
      <c r="AT29" s="2102"/>
      <c r="AU29" s="2102"/>
      <c r="AV29" s="2102"/>
      <c r="AW29" s="2102"/>
      <c r="AX29" s="2102"/>
      <c r="AY29" s="2102"/>
      <c r="AZ29" s="2102"/>
      <c r="BA29" s="2102"/>
      <c r="BB29" s="2102"/>
      <c r="BC29" s="2102"/>
      <c r="BD29" s="2102"/>
      <c r="BE29" s="2102"/>
      <c r="BF29" s="138"/>
    </row>
    <row r="30" spans="2:68" x14ac:dyDescent="0.25">
      <c r="B30" s="2095" t="s">
        <v>705</v>
      </c>
      <c r="C30" s="2000"/>
      <c r="D30" s="2000"/>
      <c r="E30" s="2000"/>
      <c r="F30" s="2000"/>
      <c r="G30" s="2000"/>
      <c r="H30" s="2000"/>
      <c r="I30" s="2000"/>
      <c r="J30" s="2000"/>
      <c r="K30" s="2000"/>
      <c r="L30" s="2000"/>
      <c r="M30" s="2000"/>
      <c r="N30" s="2000"/>
      <c r="O30" s="2000"/>
      <c r="P30" s="2000"/>
      <c r="Q30" s="2000"/>
      <c r="T30" s="2098">
        <v>1</v>
      </c>
      <c r="U30" s="2098"/>
      <c r="V30" s="2098"/>
      <c r="W30" s="2098"/>
      <c r="AF30" s="2061" t="s">
        <v>707</v>
      </c>
      <c r="AG30" s="2061"/>
      <c r="AH30" s="2061"/>
      <c r="AI30" s="2061"/>
      <c r="AJ30" s="2061"/>
      <c r="AK30" s="2061"/>
      <c r="AL30" s="2061"/>
      <c r="AM30" s="2061"/>
      <c r="AN30" s="2061"/>
      <c r="AO30" s="2061"/>
      <c r="AP30" s="2065">
        <f>Welcome!$D$24</f>
        <v>0</v>
      </c>
      <c r="AQ30" s="2065"/>
      <c r="AR30" s="2065"/>
      <c r="AT30" s="2061" t="s">
        <v>706</v>
      </c>
      <c r="AU30" s="2061"/>
      <c r="AV30" s="2061"/>
      <c r="AW30" s="2061"/>
      <c r="AX30" s="2061"/>
      <c r="AY30" s="2061"/>
      <c r="AZ30" s="2061"/>
      <c r="BA30" s="2061"/>
      <c r="BB30" s="2061"/>
      <c r="BC30" s="2061"/>
      <c r="BF30" s="138"/>
    </row>
    <row r="31" spans="2:68" x14ac:dyDescent="0.25">
      <c r="B31" s="137"/>
      <c r="BF31" s="138"/>
      <c r="BP31" s="262"/>
    </row>
    <row r="32" spans="2:68" x14ac:dyDescent="0.25">
      <c r="B32" s="2095" t="s">
        <v>702</v>
      </c>
      <c r="C32" s="2000"/>
      <c r="D32" s="2000"/>
      <c r="E32" s="2000"/>
      <c r="F32" s="2000"/>
      <c r="G32" s="2000"/>
      <c r="H32" s="2000"/>
      <c r="I32" s="2000"/>
      <c r="J32" s="2000"/>
      <c r="K32" s="2000"/>
      <c r="L32" s="2000"/>
      <c r="M32" s="2000"/>
      <c r="N32" s="2000"/>
      <c r="O32" s="2000"/>
      <c r="P32" s="2000"/>
      <c r="Q32" s="2000"/>
      <c r="T32" s="2104" t="s">
        <v>968</v>
      </c>
      <c r="U32" s="2104"/>
      <c r="V32" s="2104"/>
      <c r="W32" s="2104"/>
      <c r="X32" s="2104"/>
      <c r="Y32" s="2104"/>
      <c r="Z32" s="2104"/>
      <c r="AA32" s="2104"/>
      <c r="AB32" s="2104"/>
      <c r="AC32" s="2104"/>
      <c r="AD32" s="2104"/>
      <c r="AE32" s="2104"/>
      <c r="AF32" s="2104"/>
      <c r="AG32" s="2104"/>
      <c r="AH32" s="2104"/>
      <c r="AI32" s="2104"/>
      <c r="AJ32" s="2104"/>
      <c r="AK32" s="2104"/>
      <c r="AL32" s="2104"/>
      <c r="AM32" s="2104"/>
      <c r="AN32" s="2104"/>
      <c r="AO32" s="2104"/>
      <c r="BF32" s="138"/>
    </row>
    <row r="33" spans="2:92" x14ac:dyDescent="0.25">
      <c r="B33" s="137"/>
      <c r="BF33" s="138"/>
    </row>
    <row r="34" spans="2:92" x14ac:dyDescent="0.25">
      <c r="B34" s="137"/>
      <c r="C34" s="82"/>
      <c r="D34" s="82"/>
      <c r="E34" s="82"/>
      <c r="F34" s="82"/>
      <c r="G34" s="82"/>
      <c r="H34" s="82"/>
      <c r="I34" s="2065"/>
      <c r="J34" s="2065"/>
      <c r="K34" s="2082" t="s">
        <v>482</v>
      </c>
      <c r="L34" s="2082"/>
      <c r="M34" s="2082"/>
      <c r="N34" s="2082"/>
      <c r="O34" s="2082"/>
      <c r="P34" s="2082"/>
      <c r="Q34" s="2082"/>
      <c r="R34" s="2065" t="s">
        <v>239</v>
      </c>
      <c r="S34" s="2065"/>
      <c r="T34" s="2082" t="s">
        <v>481</v>
      </c>
      <c r="U34" s="2082"/>
      <c r="V34" s="2082"/>
      <c r="W34" s="2082"/>
      <c r="X34" s="2065"/>
      <c r="Y34" s="2065"/>
      <c r="Z34" s="2082" t="s">
        <v>480</v>
      </c>
      <c r="AA34" s="2082"/>
      <c r="AB34" s="2082"/>
      <c r="AF34" t="s">
        <v>704</v>
      </c>
      <c r="AL34" s="2065">
        <f>Welcome!$H$30</f>
        <v>5</v>
      </c>
      <c r="AM34" s="2065"/>
      <c r="AN34" s="2065"/>
      <c r="AO34" t="s">
        <v>703</v>
      </c>
      <c r="BF34" s="138"/>
    </row>
    <row r="35" spans="2:92" x14ac:dyDescent="0.25">
      <c r="B35" s="137"/>
      <c r="BF35" s="138"/>
      <c r="BP35" s="264"/>
      <c r="CN35" s="262"/>
    </row>
    <row r="36" spans="2:92" x14ac:dyDescent="0.25">
      <c r="B36" s="2092" t="s">
        <v>701</v>
      </c>
      <c r="C36" s="2093"/>
      <c r="D36" s="2093"/>
      <c r="E36" s="2093"/>
      <c r="F36" s="2093"/>
      <c r="G36" s="2093"/>
      <c r="H36" s="2093"/>
      <c r="I36" s="2093"/>
      <c r="J36" s="2093"/>
      <c r="K36" s="2093"/>
      <c r="L36" s="2093"/>
      <c r="M36" s="2093"/>
      <c r="N36" s="2093"/>
      <c r="O36" s="2093"/>
      <c r="P36" s="2093"/>
      <c r="Q36" s="2093"/>
      <c r="R36" s="2093"/>
      <c r="T36" s="2073" t="str">
        <f>IFERROR($T$28/('Tracking &amp; Profitability'!$E$7*52*Welcome!$D$18),"Error on A La Carte")</f>
        <v>Error on A La Carte</v>
      </c>
      <c r="U36" s="2073"/>
      <c r="V36" s="2073"/>
      <c r="W36" s="2073"/>
      <c r="X36" s="2073"/>
      <c r="Y36" s="2073"/>
      <c r="Z36" s="2073"/>
      <c r="AA36" s="2073"/>
      <c r="AB36" s="2073"/>
      <c r="AF36" s="2093" t="s">
        <v>477</v>
      </c>
      <c r="AG36" s="2093"/>
      <c r="AH36" s="2093"/>
      <c r="AI36" s="2093"/>
      <c r="AJ36" s="2093"/>
      <c r="AK36" s="2093"/>
      <c r="AL36" s="2093"/>
      <c r="AM36" s="2093"/>
      <c r="AN36" s="2093"/>
      <c r="AO36" s="2093"/>
      <c r="AP36" s="2093"/>
      <c r="AQ36" s="2093"/>
      <c r="AR36" s="2093"/>
      <c r="AS36" s="2093"/>
      <c r="AU36" s="2065" t="e">
        <f>ROUND(((1-(('PIM Model'!$G$15+'PIM Model'!$G$17+'PIM Model'!$G$18)/'PIM Model'!$G$31))*100),0)&amp;"%/"&amp;ROUND((('PIM Model'!$G$15+'PIM Model'!$G$17+'PIM Model'!$G$18)/'PIM Model'!$G$31*100),0)&amp;"%"</f>
        <v>#DIV/0!</v>
      </c>
      <c r="AV36" s="2065"/>
      <c r="AW36" s="2065"/>
      <c r="AX36" s="2065"/>
      <c r="AY36" s="2065"/>
      <c r="AZ36" s="2065"/>
      <c r="BF36" s="138"/>
    </row>
    <row r="37" spans="2:92" x14ac:dyDescent="0.25">
      <c r="B37" s="273"/>
      <c r="C37" s="82"/>
      <c r="D37" s="82"/>
      <c r="E37" s="82"/>
      <c r="F37" s="82"/>
      <c r="G37" s="82"/>
      <c r="H37" s="82"/>
      <c r="I37" s="82"/>
      <c r="J37" s="82"/>
      <c r="K37" s="82"/>
      <c r="L37" s="82"/>
      <c r="M37" s="82"/>
      <c r="N37" s="82"/>
      <c r="O37" s="82"/>
      <c r="P37" s="82"/>
      <c r="Q37" s="82"/>
      <c r="T37" s="265"/>
      <c r="U37" s="265"/>
      <c r="V37" s="265"/>
      <c r="W37" s="265"/>
      <c r="X37" s="265"/>
      <c r="Y37" s="265"/>
      <c r="Z37" s="265"/>
      <c r="AA37" s="265"/>
      <c r="AB37" s="265"/>
      <c r="AC37" s="265"/>
      <c r="AD37" s="265"/>
      <c r="AF37" s="2"/>
      <c r="AG37" s="2"/>
      <c r="AH37" s="2"/>
      <c r="AI37" s="2"/>
      <c r="AJ37" s="2"/>
      <c r="AK37" s="2"/>
      <c r="AL37" s="2"/>
      <c r="AM37" s="2"/>
      <c r="AN37" s="2"/>
      <c r="AO37" s="2"/>
      <c r="AP37" s="2"/>
      <c r="AQ37" s="2"/>
      <c r="AR37" s="2"/>
      <c r="AS37" s="2"/>
      <c r="AT37" s="2"/>
      <c r="AU37" s="2"/>
      <c r="AV37" s="2"/>
      <c r="AW37" s="2"/>
      <c r="AX37" s="2"/>
      <c r="AY37" s="2"/>
      <c r="BF37" s="138"/>
      <c r="BP37" s="264"/>
      <c r="CN37" s="262"/>
    </row>
    <row r="38" spans="2:92" x14ac:dyDescent="0.25">
      <c r="B38" s="2092" t="s">
        <v>699</v>
      </c>
      <c r="C38" s="2093"/>
      <c r="D38" s="2093"/>
      <c r="E38" s="2093"/>
      <c r="F38" s="2093"/>
      <c r="G38" s="2093"/>
      <c r="H38" s="2093"/>
      <c r="I38" s="2093"/>
      <c r="J38" s="2093"/>
      <c r="K38" s="2093"/>
      <c r="L38" s="2093"/>
      <c r="M38" s="2093"/>
      <c r="N38" s="2093"/>
      <c r="O38" s="2093"/>
      <c r="P38" s="2093"/>
      <c r="Q38" s="2093"/>
      <c r="R38" s="2093"/>
      <c r="T38" s="2074" t="str">
        <f>IFERROR('PIM Model'!$H$31/('PIM Model'!$E$6*52*Welcome!$D$18),"Error on A La Carte")</f>
        <v>Error on A La Carte</v>
      </c>
      <c r="U38" s="2074"/>
      <c r="V38" s="2074"/>
      <c r="W38" s="2074"/>
      <c r="X38" s="2074"/>
      <c r="Y38" s="2074"/>
      <c r="Z38" s="2074"/>
      <c r="AA38" s="2074"/>
      <c r="AB38" s="2074"/>
      <c r="AC38" s="265"/>
      <c r="AD38" s="265"/>
      <c r="AF38" s="2000" t="s">
        <v>653</v>
      </c>
      <c r="AG38" s="2000"/>
      <c r="AH38" s="2000"/>
      <c r="AI38" s="2000"/>
      <c r="AJ38" s="2000"/>
      <c r="AK38" s="2000"/>
      <c r="AL38" s="2000"/>
      <c r="AM38" s="2000"/>
      <c r="AN38" s="2000"/>
      <c r="AO38" s="2000"/>
      <c r="AP38" s="2000"/>
      <c r="AQ38" s="2000"/>
      <c r="AR38" s="2000"/>
      <c r="AS38" s="2000"/>
      <c r="AU38" s="2065">
        <f>COUNTIF('PIM Model'!$E$10:$E$30,"Include")</f>
        <v>21</v>
      </c>
      <c r="AV38" s="2065"/>
      <c r="AW38" s="2065"/>
      <c r="AX38" s="2065"/>
      <c r="AY38" s="2065"/>
      <c r="AZ38" s="2065"/>
      <c r="BF38" s="138"/>
    </row>
    <row r="39" spans="2:92" x14ac:dyDescent="0.25">
      <c r="B39" s="137"/>
      <c r="BF39" s="138"/>
    </row>
    <row r="40" spans="2:92" x14ac:dyDescent="0.25">
      <c r="B40" s="2092" t="s">
        <v>697</v>
      </c>
      <c r="C40" s="2093"/>
      <c r="D40" s="2093"/>
      <c r="E40" s="2093"/>
      <c r="F40" s="2093"/>
      <c r="G40" s="2093"/>
      <c r="H40" s="2093"/>
      <c r="I40" s="2093"/>
      <c r="J40" s="2093"/>
      <c r="K40" s="2093"/>
      <c r="L40" s="2093"/>
      <c r="M40" s="2093"/>
      <c r="N40" s="2093"/>
      <c r="O40" s="2093"/>
      <c r="P40" s="2093"/>
      <c r="Q40" s="2093"/>
      <c r="R40" s="2093"/>
      <c r="T40" s="2096">
        <f>IFERROR('PIM Model'!$G$31/'PIM Model'!$H$31,0)</f>
        <v>0</v>
      </c>
      <c r="U40" s="2096"/>
      <c r="V40" s="2096"/>
      <c r="W40" s="2096"/>
      <c r="X40" s="2096"/>
      <c r="Y40" s="2096"/>
      <c r="Z40" s="2096"/>
      <c r="AA40" s="2096"/>
      <c r="AB40" s="2096"/>
      <c r="AF40" s="2000" t="s">
        <v>700</v>
      </c>
      <c r="AG40" s="2000"/>
      <c r="AH40" s="2000"/>
      <c r="AI40" s="2000"/>
      <c r="AJ40" s="2000"/>
      <c r="AK40" s="2000"/>
      <c r="AL40" s="2000"/>
      <c r="AM40" s="2000"/>
      <c r="AN40" s="2000"/>
      <c r="AO40" s="2000"/>
      <c r="AP40" s="2000"/>
      <c r="AQ40" s="2000"/>
      <c r="AR40" s="2000"/>
      <c r="AS40" s="2000"/>
      <c r="AU40" s="2065">
        <f>Welcome!$G$30</f>
        <v>0</v>
      </c>
      <c r="AV40" s="2065"/>
      <c r="AW40" s="2065"/>
      <c r="BC40" s="2082"/>
      <c r="BD40" s="2082"/>
      <c r="BE40" s="2082"/>
      <c r="BF40" s="138"/>
    </row>
    <row r="41" spans="2:92" x14ac:dyDescent="0.25">
      <c r="B41" s="137"/>
      <c r="BF41" s="138"/>
      <c r="BP41" s="262"/>
      <c r="CN41" s="264"/>
    </row>
    <row r="42" spans="2:92" x14ac:dyDescent="0.25">
      <c r="B42" s="2095" t="s">
        <v>695</v>
      </c>
      <c r="C42" s="2000"/>
      <c r="D42" s="2000"/>
      <c r="E42" s="2000"/>
      <c r="F42" s="2000"/>
      <c r="G42" s="2000"/>
      <c r="H42" s="2000"/>
      <c r="I42" s="2000"/>
      <c r="J42" s="2000"/>
      <c r="K42" s="2000"/>
      <c r="L42" s="2000"/>
      <c r="M42" s="2000"/>
      <c r="N42" s="2000"/>
      <c r="O42" s="2000"/>
      <c r="P42" s="2000"/>
      <c r="Q42" s="2000"/>
      <c r="R42" s="2000"/>
      <c r="T42" s="2096" t="s">
        <v>730</v>
      </c>
      <c r="U42" s="2096"/>
      <c r="V42" s="2096"/>
      <c r="W42" s="2096"/>
      <c r="X42" s="2096"/>
      <c r="Y42" s="2096"/>
      <c r="Z42" s="2096"/>
      <c r="AA42" s="2096"/>
      <c r="AB42" s="2096"/>
      <c r="AF42" s="2000" t="s">
        <v>698</v>
      </c>
      <c r="AG42" s="2000"/>
      <c r="AH42" s="2000"/>
      <c r="AI42" s="2000"/>
      <c r="AJ42" s="2000"/>
      <c r="AK42" s="2000"/>
      <c r="AL42" s="2000"/>
      <c r="AM42" s="2000"/>
      <c r="AN42" s="2000"/>
      <c r="AO42" s="2000"/>
      <c r="AP42" s="2000"/>
      <c r="AQ42" s="2000"/>
      <c r="AR42" s="2000"/>
      <c r="AS42" s="2000"/>
      <c r="AU42" s="2065" t="s">
        <v>646</v>
      </c>
      <c r="AV42" s="2065"/>
      <c r="AW42" s="2065"/>
      <c r="BC42" s="2082"/>
      <c r="BD42" s="2082"/>
      <c r="BE42" s="2082"/>
      <c r="BF42" s="138"/>
    </row>
    <row r="43" spans="2:92" x14ac:dyDescent="0.25">
      <c r="B43" s="137"/>
      <c r="BF43" s="138"/>
      <c r="BP43" s="262"/>
      <c r="CN43" s="264"/>
    </row>
    <row r="44" spans="2:92" x14ac:dyDescent="0.25">
      <c r="B44" s="2092" t="s">
        <v>693</v>
      </c>
      <c r="C44" s="2093"/>
      <c r="D44" s="2093"/>
      <c r="E44" s="2093"/>
      <c r="F44" s="2093"/>
      <c r="G44" s="2093"/>
      <c r="H44" s="2093"/>
      <c r="I44" s="2093"/>
      <c r="J44" s="2093"/>
      <c r="K44" s="2093"/>
      <c r="L44" s="2093"/>
      <c r="M44" s="2093"/>
      <c r="N44" s="2093"/>
      <c r="O44" s="2093"/>
      <c r="P44" s="2093"/>
      <c r="Q44" s="2093"/>
      <c r="R44" s="2093"/>
      <c r="T44" s="2097">
        <f>'Tracking &amp; Profitability'!$E$7</f>
        <v>0</v>
      </c>
      <c r="U44" s="2097"/>
      <c r="V44" s="2097"/>
      <c r="W44" s="2097"/>
      <c r="X44" s="2097"/>
      <c r="Y44" s="2097"/>
      <c r="Z44" s="2097"/>
      <c r="AA44" s="2097"/>
      <c r="AB44" s="2097"/>
      <c r="AF44" s="2000" t="s">
        <v>696</v>
      </c>
      <c r="AG44" s="2000"/>
      <c r="AH44" s="2000"/>
      <c r="AI44" s="2000"/>
      <c r="AJ44" s="2000"/>
      <c r="AK44" s="2000"/>
      <c r="AL44" s="2000"/>
      <c r="AM44" s="2000"/>
      <c r="AN44" s="2000"/>
      <c r="AO44" s="2000"/>
      <c r="AP44" s="2000"/>
      <c r="AQ44" s="2000"/>
      <c r="AR44" s="2000"/>
      <c r="AS44" s="2000"/>
      <c r="AU44" s="2065" t="s">
        <v>646</v>
      </c>
      <c r="AV44" s="2065"/>
      <c r="AW44" s="2065"/>
      <c r="BC44" s="2082"/>
      <c r="BD44" s="2082"/>
      <c r="BE44" s="2082"/>
      <c r="BF44" s="138"/>
    </row>
    <row r="45" spans="2:92" x14ac:dyDescent="0.25">
      <c r="B45" s="137"/>
      <c r="BF45" s="138"/>
      <c r="CN45" s="264"/>
    </row>
    <row r="46" spans="2:92" x14ac:dyDescent="0.25">
      <c r="B46" s="2088" t="s">
        <v>654</v>
      </c>
      <c r="C46" s="2089"/>
      <c r="D46" s="2089"/>
      <c r="E46" s="2089"/>
      <c r="F46" s="2089"/>
      <c r="G46" s="2089"/>
      <c r="H46" s="2089"/>
      <c r="I46" s="2089"/>
      <c r="J46" s="2089"/>
      <c r="K46" s="2089"/>
      <c r="L46" s="2089"/>
      <c r="M46" s="2089"/>
      <c r="N46" s="2089"/>
      <c r="O46" s="2089"/>
      <c r="P46" s="2089"/>
      <c r="Q46" s="2089"/>
      <c r="R46" s="2089"/>
      <c r="T46" s="2090">
        <f>'Agreement Worksheet'!$C$10</f>
        <v>500</v>
      </c>
      <c r="U46" s="2091"/>
      <c r="V46" s="2091"/>
      <c r="W46" s="2091"/>
      <c r="X46" s="2091"/>
      <c r="Y46" s="2091"/>
      <c r="Z46" s="2091"/>
      <c r="AA46" s="2091"/>
      <c r="AB46" s="2091"/>
      <c r="AF46" s="2071" t="s">
        <v>694</v>
      </c>
      <c r="AG46" s="2071"/>
      <c r="AH46" s="2071"/>
      <c r="AI46" s="2071"/>
      <c r="AJ46" s="2071"/>
      <c r="AK46" s="2071"/>
      <c r="AL46" s="2071"/>
      <c r="AM46" s="2071"/>
      <c r="AN46" s="2071"/>
      <c r="AO46" s="2071"/>
      <c r="AP46" s="2071"/>
      <c r="AQ46" s="2071"/>
      <c r="AR46" s="2071"/>
      <c r="AS46" s="2071"/>
      <c r="AU46" s="2078">
        <f>'Agreement Worksheet'!$C$13/100</f>
        <v>0.3</v>
      </c>
      <c r="AV46" s="2078"/>
      <c r="AW46" s="2078"/>
      <c r="AX46" s="2078"/>
      <c r="AY46" s="2078"/>
      <c r="AZ46" s="2078"/>
      <c r="BF46" s="138"/>
    </row>
    <row r="47" spans="2:92" x14ac:dyDescent="0.25">
      <c r="B47" s="137"/>
      <c r="BF47" s="138"/>
      <c r="CN47" s="264"/>
    </row>
    <row r="48" spans="2:92" x14ac:dyDescent="0.25">
      <c r="B48" s="2092" t="s">
        <v>478</v>
      </c>
      <c r="C48" s="2093"/>
      <c r="D48" s="2093"/>
      <c r="E48" s="2093"/>
      <c r="F48" s="2093"/>
      <c r="G48" s="2093"/>
      <c r="H48" s="2093"/>
      <c r="I48" s="2093"/>
      <c r="J48" s="2093"/>
      <c r="K48" s="2093"/>
      <c r="L48" s="2093"/>
      <c r="M48" s="2093"/>
      <c r="N48" s="2093"/>
      <c r="O48" s="2093"/>
      <c r="P48" s="2093"/>
      <c r="Q48" s="2093"/>
      <c r="R48" s="2093"/>
      <c r="T48" s="2091">
        <f>$K$10</f>
        <v>0</v>
      </c>
      <c r="U48" s="2091"/>
      <c r="V48" s="2091"/>
      <c r="W48" s="2091"/>
      <c r="X48" s="2091"/>
      <c r="Y48" s="2091"/>
      <c r="Z48" s="2091"/>
      <c r="AA48" s="2091"/>
      <c r="AB48" s="2091"/>
      <c r="AF48" s="2071" t="s">
        <v>692</v>
      </c>
      <c r="AG48" s="2071"/>
      <c r="AH48" s="2071"/>
      <c r="AI48" s="2071"/>
      <c r="AJ48" s="2071"/>
      <c r="AK48" s="2071"/>
      <c r="AL48" s="2071"/>
      <c r="AM48" s="2071"/>
      <c r="AN48" s="2071"/>
      <c r="AO48" s="2071"/>
      <c r="AP48" s="2071"/>
      <c r="AQ48" s="2071"/>
      <c r="AR48" s="2071"/>
      <c r="AS48" s="2071"/>
      <c r="AU48" s="2063">
        <f>'Agreement Worksheet'!$F$13</f>
        <v>2.25</v>
      </c>
      <c r="AV48" s="2064"/>
      <c r="AW48" s="2064"/>
      <c r="AX48" s="2064"/>
      <c r="AY48" s="2064"/>
      <c r="AZ48" s="2064"/>
      <c r="BF48" s="138"/>
    </row>
    <row r="49" spans="2:92" x14ac:dyDescent="0.25">
      <c r="B49" s="137"/>
      <c r="BF49" s="138"/>
      <c r="CN49" s="264"/>
    </row>
    <row r="50" spans="2:92" x14ac:dyDescent="0.25">
      <c r="B50" s="2070" t="s">
        <v>691</v>
      </c>
      <c r="C50" s="2071"/>
      <c r="D50" s="2071"/>
      <c r="E50" s="2071"/>
      <c r="F50" s="2071"/>
      <c r="G50" s="2071"/>
      <c r="H50" s="2071"/>
      <c r="I50" s="2071"/>
      <c r="J50" s="2071"/>
      <c r="K50" s="2071"/>
      <c r="L50" s="2071"/>
      <c r="M50" s="2071"/>
      <c r="N50" s="2071"/>
      <c r="O50" s="2071"/>
      <c r="P50" s="2071"/>
      <c r="Q50" s="2071"/>
      <c r="R50" s="2071"/>
      <c r="T50" s="2072">
        <f>'Agreement Worksheet'!$E$10</f>
        <v>500</v>
      </c>
      <c r="U50" s="2072"/>
      <c r="V50" s="2072"/>
      <c r="W50" s="2072"/>
      <c r="X50" s="2072"/>
      <c r="Y50" s="2072"/>
      <c r="Z50" s="2000" t="s">
        <v>690</v>
      </c>
      <c r="AA50" s="2000"/>
      <c r="AB50" s="2000"/>
      <c r="AC50" s="2072">
        <f>'Agreement Worksheet'!$F$10</f>
        <v>35</v>
      </c>
      <c r="AD50" s="2072"/>
      <c r="AE50" s="2072"/>
      <c r="AF50" s="2072"/>
      <c r="AG50" s="2072"/>
      <c r="BF50" s="138"/>
    </row>
    <row r="51" spans="2:92" x14ac:dyDescent="0.25">
      <c r="B51" s="137"/>
      <c r="BF51" s="138"/>
      <c r="BP51" s="262"/>
      <c r="CN51" s="264"/>
    </row>
    <row r="52" spans="2:92" ht="15.75" thickBot="1" x14ac:dyDescent="0.3">
      <c r="B52" s="255"/>
      <c r="C52" s="256"/>
      <c r="D52" s="256"/>
      <c r="E52" s="256"/>
      <c r="F52" s="256"/>
      <c r="G52" s="256"/>
      <c r="H52" s="256"/>
      <c r="I52" s="256"/>
      <c r="J52" s="256"/>
      <c r="K52" s="256"/>
      <c r="L52" s="256"/>
      <c r="M52" s="256"/>
      <c r="N52" s="256"/>
      <c r="O52" s="256"/>
      <c r="P52" s="256"/>
      <c r="Q52" s="256"/>
      <c r="R52" s="256"/>
      <c r="S52" s="256"/>
      <c r="T52" s="256"/>
      <c r="U52" s="256"/>
      <c r="V52" s="256"/>
      <c r="W52" s="256"/>
      <c r="X52" s="256"/>
      <c r="Y52" s="256"/>
      <c r="Z52" s="256"/>
      <c r="AA52" s="256"/>
      <c r="AB52" s="256"/>
      <c r="AC52" s="256"/>
      <c r="AD52" s="256"/>
      <c r="AE52" s="256"/>
      <c r="AF52" s="256"/>
      <c r="AG52" s="256"/>
      <c r="AH52" s="256"/>
      <c r="AI52" s="256"/>
      <c r="AJ52" s="256"/>
      <c r="AK52" s="256"/>
      <c r="AL52" s="256"/>
      <c r="AM52" s="256"/>
      <c r="AN52" s="256"/>
      <c r="AO52" s="256"/>
      <c r="AP52" s="256"/>
      <c r="AQ52" s="256"/>
      <c r="AR52" s="256"/>
      <c r="AS52" s="256"/>
      <c r="AT52" s="256"/>
      <c r="AU52" s="256"/>
      <c r="AV52" s="256"/>
      <c r="AW52" s="256"/>
      <c r="AX52" s="256"/>
      <c r="AY52" s="256"/>
      <c r="AZ52" s="256"/>
      <c r="BA52" s="256"/>
      <c r="BB52" s="256"/>
      <c r="BC52" s="256"/>
      <c r="BD52" s="256"/>
      <c r="BE52" s="256"/>
      <c r="BF52" s="257"/>
    </row>
    <row r="53" spans="2:92" ht="18.75" x14ac:dyDescent="0.3">
      <c r="B53" s="2075" t="s">
        <v>674</v>
      </c>
      <c r="C53" s="2076"/>
      <c r="D53" s="2076"/>
      <c r="E53" s="2076"/>
      <c r="F53" s="2076"/>
      <c r="G53" s="2076"/>
      <c r="H53" s="2076"/>
      <c r="I53" s="2076"/>
      <c r="J53" s="2076"/>
      <c r="K53" s="2076"/>
      <c r="L53" s="2076"/>
      <c r="M53" s="2076"/>
      <c r="N53" s="2076"/>
      <c r="O53" s="2076"/>
      <c r="P53" s="2076"/>
      <c r="Q53" s="2076"/>
      <c r="R53" s="2076"/>
      <c r="S53" s="2076"/>
      <c r="T53" s="2076"/>
      <c r="U53" s="2076"/>
      <c r="V53" s="2076"/>
      <c r="W53" s="2076"/>
      <c r="X53" s="2076"/>
      <c r="Y53" s="2076"/>
      <c r="Z53" s="2076"/>
      <c r="AA53" s="2076"/>
      <c r="AB53" s="2076"/>
      <c r="AC53" s="2076"/>
      <c r="AD53" s="2076"/>
      <c r="AE53" s="2076"/>
      <c r="AF53" s="2076"/>
      <c r="AG53" s="2076"/>
      <c r="AH53" s="2076"/>
      <c r="AI53" s="2076"/>
      <c r="AJ53" s="2076"/>
      <c r="AK53" s="2076"/>
      <c r="AL53" s="2076"/>
      <c r="AM53" s="2076"/>
      <c r="AN53" s="2076"/>
      <c r="AO53" s="2076"/>
      <c r="AP53" s="2076"/>
      <c r="AQ53" s="2076"/>
      <c r="AR53" s="2076"/>
      <c r="AS53" s="2076"/>
      <c r="AT53" s="2076"/>
      <c r="AU53" s="2076"/>
      <c r="AV53" s="2076"/>
      <c r="AW53" s="2076"/>
      <c r="AX53" s="2076"/>
      <c r="AY53" s="2076"/>
      <c r="AZ53" s="2076"/>
      <c r="BA53" s="2076"/>
      <c r="BB53" s="2076"/>
      <c r="BC53" s="2076"/>
      <c r="BD53" s="2076"/>
      <c r="BE53" s="2076"/>
      <c r="BF53" s="2077"/>
    </row>
    <row r="54" spans="2:92" x14ac:dyDescent="0.25">
      <c r="B54" s="2079" t="s">
        <v>689</v>
      </c>
      <c r="C54" s="2080"/>
      <c r="D54" s="2080"/>
      <c r="E54" s="2080"/>
      <c r="F54" s="2080"/>
      <c r="G54" s="2080"/>
      <c r="H54" s="2080"/>
      <c r="I54" s="2080"/>
      <c r="J54" s="2080"/>
      <c r="K54" s="2080"/>
      <c r="L54" s="2080"/>
      <c r="M54" s="2080"/>
      <c r="N54" s="2080"/>
      <c r="O54" s="2080"/>
      <c r="P54" s="2080"/>
      <c r="Q54" s="2080"/>
      <c r="R54" s="2080"/>
      <c r="S54" s="2080"/>
      <c r="T54" s="2080"/>
      <c r="U54" s="2080"/>
      <c r="V54" s="2080"/>
      <c r="W54" s="2080"/>
      <c r="X54" s="2080"/>
      <c r="Y54" s="2080"/>
      <c r="Z54" s="2080"/>
      <c r="AA54" s="2080"/>
      <c r="AB54" s="2080"/>
      <c r="AC54" s="2080"/>
      <c r="AD54" s="2080"/>
      <c r="AE54" s="2080"/>
      <c r="AF54" s="2080"/>
      <c r="AG54" s="2080"/>
      <c r="AH54" s="2080"/>
      <c r="AI54" s="2080"/>
      <c r="AJ54" s="2080"/>
      <c r="AK54" s="2080"/>
      <c r="AL54" s="2080"/>
      <c r="AM54" s="2080"/>
      <c r="AN54" s="2080"/>
      <c r="AO54" s="2080"/>
      <c r="AP54" s="2080"/>
      <c r="AQ54" s="2080"/>
      <c r="AR54" s="2080"/>
      <c r="AS54" s="2080"/>
      <c r="AT54" s="2080"/>
      <c r="AU54" s="2080"/>
      <c r="AV54" s="2080"/>
      <c r="AW54" s="2080"/>
      <c r="AX54" s="2080"/>
      <c r="AY54" s="2080"/>
      <c r="AZ54" s="2080"/>
      <c r="BA54" s="2080"/>
      <c r="BB54" s="2080"/>
      <c r="BC54" s="2080"/>
      <c r="BD54" s="2080"/>
      <c r="BE54" s="2080"/>
      <c r="BF54" s="2081"/>
      <c r="BP54" s="262"/>
    </row>
    <row r="55" spans="2:92" x14ac:dyDescent="0.25">
      <c r="B55" s="137"/>
      <c r="AC55" s="267"/>
      <c r="AD55" s="267"/>
      <c r="AE55" s="267"/>
      <c r="AF55" s="267"/>
      <c r="AG55" s="267"/>
      <c r="AH55" s="267"/>
      <c r="AK55" s="2086"/>
      <c r="AL55" s="2086"/>
      <c r="AM55" s="2086"/>
      <c r="AN55" s="2086"/>
      <c r="AO55" s="1931"/>
      <c r="AP55" s="1931"/>
      <c r="AQ55" s="1931"/>
      <c r="AR55" s="134"/>
      <c r="AS55" s="134"/>
      <c r="AT55" s="1931"/>
      <c r="AU55" s="1931"/>
      <c r="AV55" s="1931"/>
      <c r="AW55" s="134"/>
      <c r="AX55" s="134"/>
      <c r="AY55" s="1931"/>
      <c r="AZ55" s="1931"/>
      <c r="BA55" s="1931"/>
      <c r="BB55" s="134"/>
      <c r="BC55" s="134"/>
      <c r="BD55" s="1931"/>
      <c r="BE55" s="1931"/>
      <c r="BF55" s="2062"/>
      <c r="BP55" s="268"/>
    </row>
    <row r="56" spans="2:92" x14ac:dyDescent="0.25">
      <c r="B56" s="137"/>
      <c r="C56" s="2061" t="s">
        <v>103</v>
      </c>
      <c r="D56" s="2061"/>
      <c r="E56" s="2061"/>
      <c r="F56" s="2061"/>
      <c r="G56" s="2061"/>
      <c r="H56" s="2061"/>
      <c r="I56" s="2061"/>
      <c r="J56" s="2061"/>
      <c r="K56" s="2061"/>
      <c r="L56" s="2061"/>
      <c r="M56" s="2061"/>
      <c r="N56" s="2061"/>
      <c r="O56" s="2061"/>
      <c r="P56" s="2061"/>
      <c r="Q56" s="2061"/>
      <c r="R56" s="2061"/>
      <c r="S56" s="2061"/>
      <c r="T56" s="2061"/>
      <c r="U56" s="2061"/>
      <c r="V56" s="2061"/>
      <c r="W56" s="2061"/>
      <c r="X56" s="2061"/>
      <c r="Y56" s="2061"/>
      <c r="Z56" s="2061"/>
      <c r="AC56" s="2065" t="str">
        <f>'PIM Model'!$AD$11</f>
        <v/>
      </c>
      <c r="AD56" s="2065"/>
      <c r="AE56" s="2065" t="str">
        <f>'PIM Model'!$D$11</f>
        <v>%</v>
      </c>
      <c r="AF56" s="2065"/>
      <c r="AG56" s="2065" t="str">
        <f>'PIM Model'!$D$11</f>
        <v>%</v>
      </c>
      <c r="AH56" s="2065"/>
      <c r="AI56" s="2082" t="str">
        <f>'PIM Model'!$D$11</f>
        <v>%</v>
      </c>
      <c r="AJ56" s="2082"/>
      <c r="AK56" s="134"/>
      <c r="AL56" s="134"/>
      <c r="AM56" s="134"/>
      <c r="AN56" s="134"/>
      <c r="AO56" s="1931"/>
      <c r="AP56" s="1931"/>
      <c r="AQ56" s="1931"/>
      <c r="AR56" s="134"/>
      <c r="AS56" s="134"/>
      <c r="AT56" s="1931"/>
      <c r="AU56" s="1931"/>
      <c r="AV56" s="1931"/>
      <c r="AW56" s="134"/>
      <c r="AX56" s="134"/>
      <c r="AY56" s="1931"/>
      <c r="AZ56" s="1931"/>
      <c r="BA56" s="1931"/>
      <c r="BB56" s="134"/>
      <c r="BC56" s="134"/>
      <c r="BD56" s="1931"/>
      <c r="BE56" s="1931"/>
      <c r="BF56" s="2062"/>
      <c r="BP56" s="262"/>
    </row>
    <row r="57" spans="2:92" x14ac:dyDescent="0.25">
      <c r="B57" s="137"/>
      <c r="C57" s="2061" t="s">
        <v>102</v>
      </c>
      <c r="D57" s="2061"/>
      <c r="E57" s="2061"/>
      <c r="F57" s="2061"/>
      <c r="G57" s="2061"/>
      <c r="H57" s="2061"/>
      <c r="I57" s="2061"/>
      <c r="J57" s="2061"/>
      <c r="K57" s="2061"/>
      <c r="L57" s="2061"/>
      <c r="M57" s="2061"/>
      <c r="N57" s="2061"/>
      <c r="O57" s="2061"/>
      <c r="P57" s="2061"/>
      <c r="Q57" s="2061"/>
      <c r="R57" s="2061"/>
      <c r="S57" s="2061"/>
      <c r="T57" s="2061"/>
      <c r="U57" s="2061"/>
      <c r="V57" s="2061"/>
      <c r="W57" s="2061"/>
      <c r="X57" s="2061"/>
      <c r="Y57" s="2061"/>
      <c r="Z57" s="2061"/>
      <c r="AC57" s="2085" t="str">
        <f>'PIM Model'!$AD$13</f>
        <v/>
      </c>
      <c r="AD57" s="2085"/>
      <c r="AE57" s="2085" t="str">
        <f>'PIM Model'!$D$13</f>
        <v>%</v>
      </c>
      <c r="AF57" s="2085"/>
      <c r="AG57" s="2085" t="str">
        <f>'PIM Model'!$D$13</f>
        <v>%</v>
      </c>
      <c r="AH57" s="2085"/>
      <c r="AI57" s="2082" t="str">
        <f>'PIM Model'!$D$13</f>
        <v>%</v>
      </c>
      <c r="AJ57" s="2082"/>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510"/>
    </row>
    <row r="58" spans="2:92" x14ac:dyDescent="0.25">
      <c r="B58" s="137"/>
      <c r="C58" s="2061" t="s">
        <v>101</v>
      </c>
      <c r="D58" s="2061"/>
      <c r="E58" s="2061"/>
      <c r="F58" s="2061"/>
      <c r="G58" s="2061"/>
      <c r="H58" s="2061"/>
      <c r="I58" s="2061"/>
      <c r="J58" s="2061"/>
      <c r="K58" s="2061"/>
      <c r="L58" s="2061"/>
      <c r="M58" s="2061"/>
      <c r="N58" s="2061"/>
      <c r="O58" s="2061"/>
      <c r="P58" s="2061"/>
      <c r="Q58" s="2061"/>
      <c r="R58" s="2061"/>
      <c r="S58" s="2061"/>
      <c r="T58" s="2061"/>
      <c r="U58" s="2061"/>
      <c r="V58" s="2061"/>
      <c r="W58" s="2061"/>
      <c r="X58" s="2061"/>
      <c r="Y58" s="2061"/>
      <c r="Z58" s="2061"/>
      <c r="AC58" s="2085" t="str">
        <f>'PIM Model'!$AD$19</f>
        <v/>
      </c>
      <c r="AD58" s="2085"/>
      <c r="AE58" s="2085" t="str">
        <f>'PIM Model'!$D$19</f>
        <v>%</v>
      </c>
      <c r="AF58" s="2085"/>
      <c r="AG58" s="2085" t="str">
        <f>'PIM Model'!$D$19</f>
        <v>%</v>
      </c>
      <c r="AH58" s="2085"/>
      <c r="AI58" s="2082" t="str">
        <f>'PIM Model'!$D$19</f>
        <v>%</v>
      </c>
      <c r="AJ58" s="2082"/>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510"/>
      <c r="BP58" s="262"/>
    </row>
    <row r="59" spans="2:92" x14ac:dyDescent="0.25">
      <c r="B59" s="137"/>
      <c r="C59" s="2061" t="s">
        <v>100</v>
      </c>
      <c r="D59" s="2061"/>
      <c r="E59" s="2061"/>
      <c r="F59" s="2061"/>
      <c r="G59" s="2061"/>
      <c r="H59" s="2061"/>
      <c r="I59" s="2061"/>
      <c r="J59" s="2061"/>
      <c r="K59" s="2061"/>
      <c r="L59" s="2061"/>
      <c r="M59" s="2061"/>
      <c r="N59" s="2061"/>
      <c r="O59" s="2061"/>
      <c r="P59" s="2061"/>
      <c r="Q59" s="2061"/>
      <c r="R59" s="2061"/>
      <c r="S59" s="2061"/>
      <c r="T59" s="2061"/>
      <c r="U59" s="2061"/>
      <c r="V59" s="2061"/>
      <c r="W59" s="2061"/>
      <c r="X59" s="2061"/>
      <c r="Y59" s="2061"/>
      <c r="Z59" s="2061"/>
      <c r="AC59" s="2085" t="str">
        <f>'PIM Model'!$AD$14</f>
        <v/>
      </c>
      <c r="AD59" s="2085"/>
      <c r="AE59" s="2085" t="str">
        <f>'PIM Model'!$D$14</f>
        <v>%</v>
      </c>
      <c r="AF59" s="2085"/>
      <c r="AG59" s="2085" t="str">
        <f>'PIM Model'!$D$14</f>
        <v>%</v>
      </c>
      <c r="AH59" s="2085"/>
      <c r="AI59" s="2082" t="str">
        <f>'PIM Model'!$D$14</f>
        <v>%</v>
      </c>
      <c r="AJ59" s="2082"/>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510"/>
    </row>
    <row r="60" spans="2:92" x14ac:dyDescent="0.25">
      <c r="B60" s="137"/>
      <c r="C60" s="2061" t="s">
        <v>104</v>
      </c>
      <c r="D60" s="2061"/>
      <c r="E60" s="2061"/>
      <c r="F60" s="2061"/>
      <c r="G60" s="2061"/>
      <c r="H60" s="2061"/>
      <c r="I60" s="2061"/>
      <c r="J60" s="2061"/>
      <c r="K60" s="2061"/>
      <c r="L60" s="2061"/>
      <c r="M60" s="2061"/>
      <c r="N60" s="2061"/>
      <c r="O60" s="2061"/>
      <c r="P60" s="2061"/>
      <c r="Q60" s="2061"/>
      <c r="R60" s="2061"/>
      <c r="S60" s="2061"/>
      <c r="T60" s="2061"/>
      <c r="U60" s="2061"/>
      <c r="V60" s="2061"/>
      <c r="W60" s="2061"/>
      <c r="X60" s="2061"/>
      <c r="Y60" s="2061"/>
      <c r="Z60" s="2061"/>
      <c r="AC60" s="2085" t="str">
        <f>'PIM Model'!$AD$15</f>
        <v/>
      </c>
      <c r="AD60" s="2085"/>
      <c r="AE60" s="2085" t="str">
        <f>'PIM Model'!$D$15</f>
        <v>%</v>
      </c>
      <c r="AF60" s="2085"/>
      <c r="AG60" s="2085" t="str">
        <f>'PIM Model'!$D$15</f>
        <v>%</v>
      </c>
      <c r="AH60" s="2085"/>
      <c r="AI60" s="2082" t="str">
        <f>'PIM Model'!$D$15</f>
        <v>%</v>
      </c>
      <c r="AJ60" s="2082"/>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510"/>
    </row>
    <row r="61" spans="2:92" x14ac:dyDescent="0.25">
      <c r="B61" s="137"/>
      <c r="C61" s="2061" t="s">
        <v>99</v>
      </c>
      <c r="D61" s="2061"/>
      <c r="E61" s="2061"/>
      <c r="F61" s="2061"/>
      <c r="G61" s="2061"/>
      <c r="H61" s="2061"/>
      <c r="I61" s="2061"/>
      <c r="J61" s="2061"/>
      <c r="K61" s="2061"/>
      <c r="L61" s="2061"/>
      <c r="M61" s="2061"/>
      <c r="N61" s="2061"/>
      <c r="O61" s="2061"/>
      <c r="P61" s="2061"/>
      <c r="Q61" s="2061"/>
      <c r="R61" s="2061"/>
      <c r="S61" s="2061"/>
      <c r="T61" s="2061"/>
      <c r="U61" s="2061"/>
      <c r="V61" s="2061"/>
      <c r="W61" s="2061"/>
      <c r="X61" s="2061"/>
      <c r="Y61" s="2061"/>
      <c r="Z61" s="2061"/>
      <c r="AC61" s="2085" t="str">
        <f>'PIM Model'!$AD$10</f>
        <v/>
      </c>
      <c r="AD61" s="2085"/>
      <c r="AE61" s="2085" t="str">
        <f>'PIM Model'!$D$10</f>
        <v>%</v>
      </c>
      <c r="AF61" s="2085"/>
      <c r="AG61" s="2085" t="str">
        <f>'PIM Model'!$D$10</f>
        <v>%</v>
      </c>
      <c r="AH61" s="2085"/>
      <c r="AI61" s="2082" t="str">
        <f>'PIM Model'!$D$10</f>
        <v>%</v>
      </c>
      <c r="AJ61" s="2082"/>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510"/>
    </row>
    <row r="62" spans="2:92" x14ac:dyDescent="0.25">
      <c r="B62" s="137"/>
      <c r="C62" s="1849" t="s">
        <v>98</v>
      </c>
      <c r="D62" s="1849"/>
      <c r="E62" s="1849"/>
      <c r="F62" s="1849"/>
      <c r="G62" s="1849"/>
      <c r="H62" s="1849"/>
      <c r="I62" s="1849"/>
      <c r="J62" s="1849"/>
      <c r="K62" s="1849"/>
      <c r="L62" s="1849"/>
      <c r="M62" s="1849"/>
      <c r="N62" s="1849"/>
      <c r="O62" s="1849"/>
      <c r="P62" s="1849"/>
      <c r="Q62" s="1849"/>
      <c r="R62" s="1849"/>
      <c r="S62" s="1849"/>
      <c r="T62" s="1849"/>
      <c r="U62" s="1849"/>
      <c r="V62" s="1849"/>
      <c r="W62" s="1849"/>
      <c r="X62" s="1849"/>
      <c r="Y62" s="1849"/>
      <c r="Z62" s="1849"/>
      <c r="AC62" s="2085" t="str">
        <f>'PIM Model'!$AD$16</f>
        <v/>
      </c>
      <c r="AD62" s="2085"/>
      <c r="AE62" s="2085" t="str">
        <f>'PIM Model'!$D$16</f>
        <v>%</v>
      </c>
      <c r="AF62" s="2085"/>
      <c r="AG62" s="2085" t="str">
        <f>'PIM Model'!$D$16</f>
        <v>%</v>
      </c>
      <c r="AH62" s="2085"/>
      <c r="AI62" s="2082" t="str">
        <f>'PIM Model'!$D$16</f>
        <v>%</v>
      </c>
      <c r="AJ62" s="2082"/>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510"/>
    </row>
    <row r="63" spans="2:92" x14ac:dyDescent="0.25">
      <c r="B63" s="137"/>
      <c r="C63" s="1849" t="s">
        <v>97</v>
      </c>
      <c r="D63" s="1849"/>
      <c r="E63" s="1849"/>
      <c r="F63" s="1849"/>
      <c r="G63" s="1849"/>
      <c r="H63" s="1849"/>
      <c r="I63" s="1849"/>
      <c r="J63" s="1849"/>
      <c r="K63" s="1849"/>
      <c r="L63" s="1849"/>
      <c r="M63" s="1849"/>
      <c r="N63" s="1849"/>
      <c r="O63" s="1849"/>
      <c r="P63" s="1849"/>
      <c r="Q63" s="1849"/>
      <c r="R63" s="1849"/>
      <c r="S63" s="1849"/>
      <c r="T63" s="1849"/>
      <c r="U63" s="1849"/>
      <c r="V63" s="1849"/>
      <c r="W63" s="1849"/>
      <c r="X63" s="1849"/>
      <c r="Y63" s="1849"/>
      <c r="Z63" s="1849"/>
      <c r="AC63" s="2085" t="str">
        <f>'PIM Model'!$AD$20</f>
        <v/>
      </c>
      <c r="AD63" s="2085"/>
      <c r="AE63" s="2085" t="str">
        <f>'PIM Model'!$D$20</f>
        <v>%</v>
      </c>
      <c r="AF63" s="2085"/>
      <c r="AG63" s="2085" t="str">
        <f>'PIM Model'!$D$20</f>
        <v>%</v>
      </c>
      <c r="AH63" s="2085"/>
      <c r="AI63" s="2082" t="str">
        <f>'PIM Model'!$D$20</f>
        <v>%</v>
      </c>
      <c r="AJ63" s="2082"/>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510"/>
    </row>
    <row r="64" spans="2:92" x14ac:dyDescent="0.25">
      <c r="B64" s="137"/>
      <c r="C64" s="1849" t="s">
        <v>96</v>
      </c>
      <c r="D64" s="1849"/>
      <c r="E64" s="1849"/>
      <c r="F64" s="1849"/>
      <c r="G64" s="1849"/>
      <c r="H64" s="1849"/>
      <c r="I64" s="1849"/>
      <c r="J64" s="1849"/>
      <c r="K64" s="1849"/>
      <c r="L64" s="1849"/>
      <c r="M64" s="1849"/>
      <c r="N64" s="1849"/>
      <c r="O64" s="1849"/>
      <c r="P64" s="1849"/>
      <c r="Q64" s="1849"/>
      <c r="R64" s="1849"/>
      <c r="S64" s="1849"/>
      <c r="T64" s="1849"/>
      <c r="U64" s="1849"/>
      <c r="V64" s="1849"/>
      <c r="W64" s="1849"/>
      <c r="X64" s="1849"/>
      <c r="Y64" s="1849"/>
      <c r="Z64" s="1849"/>
      <c r="AC64" s="2085" t="str">
        <f>'PIM Model'!$AD$18</f>
        <v/>
      </c>
      <c r="AD64" s="2085"/>
      <c r="AE64" s="2085" t="str">
        <f>'PIM Model'!$D$18</f>
        <v>%</v>
      </c>
      <c r="AF64" s="2085"/>
      <c r="AG64" s="2085" t="str">
        <f>'PIM Model'!$D$18</f>
        <v>%</v>
      </c>
      <c r="AH64" s="2085"/>
      <c r="AI64" s="2082" t="str">
        <f>'PIM Model'!$D$18</f>
        <v>%</v>
      </c>
      <c r="AJ64" s="2082"/>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510"/>
    </row>
    <row r="65" spans="2:70" x14ac:dyDescent="0.25">
      <c r="B65" s="137"/>
      <c r="C65" s="1849" t="s">
        <v>95</v>
      </c>
      <c r="D65" s="1849"/>
      <c r="E65" s="1849"/>
      <c r="F65" s="1849"/>
      <c r="G65" s="1849"/>
      <c r="H65" s="1849"/>
      <c r="I65" s="1849"/>
      <c r="J65" s="1849"/>
      <c r="K65" s="1849"/>
      <c r="L65" s="1849"/>
      <c r="M65" s="1849"/>
      <c r="N65" s="1849"/>
      <c r="O65" s="1849"/>
      <c r="P65" s="1849"/>
      <c r="Q65" s="1849"/>
      <c r="R65" s="1849"/>
      <c r="S65" s="1849"/>
      <c r="T65" s="1849"/>
      <c r="U65" s="1849"/>
      <c r="V65" s="1849"/>
      <c r="W65" s="1849"/>
      <c r="X65" s="1849"/>
      <c r="Y65" s="1849"/>
      <c r="Z65" s="1849"/>
      <c r="AC65" s="2085" t="str">
        <f>'PIM Model'!$AD$17</f>
        <v/>
      </c>
      <c r="AD65" s="2085"/>
      <c r="AE65" s="2085" t="str">
        <f>'PIM Model'!$D$17</f>
        <v>%</v>
      </c>
      <c r="AF65" s="2085"/>
      <c r="AG65" s="2085" t="str">
        <f>'PIM Model'!$D$17</f>
        <v>%</v>
      </c>
      <c r="AH65" s="2085"/>
      <c r="AI65" s="2082" t="str">
        <f>'PIM Model'!$D$17</f>
        <v>%</v>
      </c>
      <c r="AJ65" s="2082"/>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510"/>
    </row>
    <row r="66" spans="2:70" x14ac:dyDescent="0.25">
      <c r="B66" s="137"/>
      <c r="C66" s="1849" t="s">
        <v>94</v>
      </c>
      <c r="D66" s="1849"/>
      <c r="E66" s="1849"/>
      <c r="F66" s="1849"/>
      <c r="G66" s="1849"/>
      <c r="H66" s="1849"/>
      <c r="I66" s="1849"/>
      <c r="J66" s="1849"/>
      <c r="K66" s="1849"/>
      <c r="L66" s="1849"/>
      <c r="M66" s="1849"/>
      <c r="N66" s="1849"/>
      <c r="O66" s="1849"/>
      <c r="P66" s="1849"/>
      <c r="Q66" s="1849"/>
      <c r="R66" s="1849"/>
      <c r="S66" s="1849"/>
      <c r="T66" s="1849"/>
      <c r="U66" s="1849"/>
      <c r="V66" s="1849"/>
      <c r="W66" s="1849"/>
      <c r="X66" s="1849"/>
      <c r="Y66" s="1849"/>
      <c r="Z66" s="1849"/>
      <c r="AC66" s="2085" t="str">
        <f>'PIM Model'!$AD$27</f>
        <v/>
      </c>
      <c r="AD66" s="2085"/>
      <c r="AE66" s="2085" t="str">
        <f>'PIM Model'!$D$27</f>
        <v>%</v>
      </c>
      <c r="AF66" s="2085"/>
      <c r="AG66" s="2085" t="str">
        <f>'PIM Model'!$D$27</f>
        <v>%</v>
      </c>
      <c r="AH66" s="2085"/>
      <c r="AI66" s="2082" t="str">
        <f>'PIM Model'!$D$27</f>
        <v>%</v>
      </c>
      <c r="AJ66" s="2082"/>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510"/>
    </row>
    <row r="67" spans="2:70" x14ac:dyDescent="0.25">
      <c r="B67" s="137"/>
      <c r="E67" s="2082" t="s">
        <v>688</v>
      </c>
      <c r="F67" s="2082"/>
      <c r="G67" s="2082"/>
      <c r="H67" s="2082"/>
      <c r="I67" s="2082"/>
      <c r="J67" s="2082"/>
      <c r="K67" s="2082"/>
      <c r="M67" s="2083" t="str">
        <f>'Pricing Schedule'!$E$21</f>
        <v>T</v>
      </c>
      <c r="N67" s="2083"/>
      <c r="O67" s="2083"/>
      <c r="P67" t="s">
        <v>646</v>
      </c>
      <c r="S67" s="2084"/>
      <c r="T67" s="2084"/>
      <c r="U67" s="2084"/>
      <c r="V67" s="2082" t="s">
        <v>648</v>
      </c>
      <c r="W67" s="2082"/>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510"/>
    </row>
    <row r="68" spans="2:70" x14ac:dyDescent="0.25">
      <c r="B68" s="137"/>
      <c r="C68" s="1849" t="s">
        <v>93</v>
      </c>
      <c r="D68" s="1849"/>
      <c r="E68" s="1849"/>
      <c r="F68" s="1849"/>
      <c r="G68" s="1849"/>
      <c r="H68" s="1849"/>
      <c r="I68" s="1849"/>
      <c r="J68" s="1849"/>
      <c r="K68" s="1849"/>
      <c r="L68" s="1849"/>
      <c r="M68" s="1849"/>
      <c r="N68" s="1849"/>
      <c r="O68" s="1849"/>
      <c r="P68" s="1849"/>
      <c r="Q68" s="1849"/>
      <c r="R68" s="1849"/>
      <c r="S68" s="1849"/>
      <c r="T68" s="1849"/>
      <c r="U68" s="1849"/>
      <c r="V68" s="1849"/>
      <c r="W68" s="1849"/>
      <c r="X68" s="1849"/>
      <c r="Y68" s="1849"/>
      <c r="Z68" s="1849"/>
      <c r="AC68" s="2085" t="str">
        <f>'PIM Model'!$AD$21</f>
        <v/>
      </c>
      <c r="AD68" s="2085"/>
      <c r="AE68" s="2085" t="str">
        <f>'PIM Model'!$D$21</f>
        <v>%</v>
      </c>
      <c r="AF68" s="2085"/>
      <c r="AG68" s="2085" t="str">
        <f>'PIM Model'!$D$21</f>
        <v>%</v>
      </c>
      <c r="AH68" s="2085"/>
      <c r="AI68" s="2082" t="str">
        <f>'PIM Model'!$D$21</f>
        <v>%</v>
      </c>
      <c r="AJ68" s="2082"/>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510"/>
    </row>
    <row r="69" spans="2:70" x14ac:dyDescent="0.25">
      <c r="B69" s="137"/>
      <c r="C69" s="1849" t="s">
        <v>92</v>
      </c>
      <c r="D69" s="1849"/>
      <c r="E69" s="1849"/>
      <c r="F69" s="1849"/>
      <c r="G69" s="1849"/>
      <c r="H69" s="1849"/>
      <c r="I69" s="1849"/>
      <c r="J69" s="1849"/>
      <c r="K69" s="1849"/>
      <c r="L69" s="1849"/>
      <c r="M69" s="1849"/>
      <c r="N69" s="1849"/>
      <c r="O69" s="1849"/>
      <c r="P69" s="1849"/>
      <c r="Q69" s="1849"/>
      <c r="R69" s="1849"/>
      <c r="S69" s="1849"/>
      <c r="T69" s="1849"/>
      <c r="U69" s="1849"/>
      <c r="V69" s="1849"/>
      <c r="W69" s="1849"/>
      <c r="X69" s="1849"/>
      <c r="Y69" s="1849"/>
      <c r="Z69" s="1849"/>
      <c r="AC69" s="2085" t="str">
        <f>'PIM Model'!$AD$23</f>
        <v/>
      </c>
      <c r="AD69" s="2085"/>
      <c r="AE69" s="2085" t="str">
        <f>'PIM Model'!$D$23</f>
        <v>%</v>
      </c>
      <c r="AF69" s="2085"/>
      <c r="AG69" s="2085" t="str">
        <f>'PIM Model'!$D$23</f>
        <v>%</v>
      </c>
      <c r="AH69" s="2085"/>
      <c r="AI69" s="2082" t="str">
        <f>'PIM Model'!$D$23</f>
        <v>%</v>
      </c>
      <c r="AJ69" s="2082"/>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510"/>
    </row>
    <row r="70" spans="2:70" x14ac:dyDescent="0.25">
      <c r="B70" s="137"/>
      <c r="C70" s="1849" t="s">
        <v>91</v>
      </c>
      <c r="D70" s="1849"/>
      <c r="E70" s="1849"/>
      <c r="F70" s="1849"/>
      <c r="G70" s="1849"/>
      <c r="H70" s="1849"/>
      <c r="I70" s="1849"/>
      <c r="J70" s="1849"/>
      <c r="K70" s="1849"/>
      <c r="L70" s="1849"/>
      <c r="M70" s="1849"/>
      <c r="N70" s="1849"/>
      <c r="O70" s="1849"/>
      <c r="P70" s="1849"/>
      <c r="Q70" s="1849"/>
      <c r="R70" s="1849"/>
      <c r="S70" s="1849"/>
      <c r="T70" s="1849"/>
      <c r="U70" s="1849"/>
      <c r="V70" s="1849"/>
      <c r="W70" s="1849"/>
      <c r="X70" s="1849"/>
      <c r="Y70" s="1849"/>
      <c r="Z70" s="1849"/>
      <c r="AC70" s="2085" t="str">
        <f>'PIM Model'!$AD$24</f>
        <v/>
      </c>
      <c r="AD70" s="2085"/>
      <c r="AE70" s="2085" t="str">
        <f>'PIM Model'!$D$24</f>
        <v>%</v>
      </c>
      <c r="AF70" s="2085"/>
      <c r="AG70" s="2085" t="str">
        <f>'PIM Model'!$D$24</f>
        <v>%</v>
      </c>
      <c r="AH70" s="2085"/>
      <c r="AI70" s="2082" t="str">
        <f>'PIM Model'!$D$24</f>
        <v>%</v>
      </c>
      <c r="AJ70" s="2082"/>
      <c r="AK70" s="134"/>
      <c r="AL70" s="134"/>
      <c r="AM70" s="134"/>
      <c r="AN70" s="134"/>
      <c r="AO70" s="1931"/>
      <c r="AP70" s="1931"/>
      <c r="AQ70" s="1931"/>
      <c r="AR70" s="134"/>
      <c r="AS70" s="134"/>
      <c r="AT70" s="1931"/>
      <c r="AU70" s="1931"/>
      <c r="AV70" s="1931"/>
      <c r="AW70" s="134"/>
      <c r="AX70" s="134"/>
      <c r="AY70" s="1931"/>
      <c r="AZ70" s="1931"/>
      <c r="BA70" s="1931"/>
      <c r="BB70" s="134"/>
      <c r="BC70" s="134"/>
      <c r="BD70" s="1931"/>
      <c r="BE70" s="1931"/>
      <c r="BF70" s="2062"/>
    </row>
    <row r="71" spans="2:70" x14ac:dyDescent="0.25">
      <c r="B71" s="137"/>
      <c r="C71" s="1849" t="s">
        <v>90</v>
      </c>
      <c r="D71" s="1849"/>
      <c r="E71" s="1849"/>
      <c r="F71" s="1849"/>
      <c r="G71" s="1849"/>
      <c r="H71" s="1849"/>
      <c r="I71" s="1849"/>
      <c r="J71" s="1849"/>
      <c r="K71" s="1849"/>
      <c r="L71" s="1849"/>
      <c r="M71" s="1849"/>
      <c r="N71" s="1849"/>
      <c r="O71" s="1849"/>
      <c r="P71" s="1849"/>
      <c r="Q71" s="1849"/>
      <c r="R71" s="1849"/>
      <c r="S71" s="1849"/>
      <c r="T71" s="1849"/>
      <c r="U71" s="1849"/>
      <c r="V71" s="1849"/>
      <c r="W71" s="1849"/>
      <c r="X71" s="1849"/>
      <c r="Y71" s="1849"/>
      <c r="Z71" s="1849"/>
      <c r="AC71" s="2085" t="str">
        <f>'PIM Model'!$AD$25</f>
        <v/>
      </c>
      <c r="AD71" s="2085"/>
      <c r="AE71" s="2085" t="str">
        <f>'PIM Model'!$D$25</f>
        <v>%</v>
      </c>
      <c r="AF71" s="2085"/>
      <c r="AG71" s="2085" t="str">
        <f>'PIM Model'!$D$25</f>
        <v>%</v>
      </c>
      <c r="AH71" s="2085"/>
      <c r="AI71" s="2082" t="str">
        <f>'PIM Model'!$D$25</f>
        <v>%</v>
      </c>
      <c r="AJ71" s="2082"/>
      <c r="AK71" s="134"/>
      <c r="AL71" s="134"/>
      <c r="AM71" s="134"/>
      <c r="AN71" s="134"/>
      <c r="AO71" s="1931"/>
      <c r="AP71" s="1931"/>
      <c r="AQ71" s="1931"/>
      <c r="AR71" s="134"/>
      <c r="AS71" s="134"/>
      <c r="AT71" s="1931"/>
      <c r="AU71" s="1931"/>
      <c r="AV71" s="1931"/>
      <c r="AW71" s="134"/>
      <c r="AX71" s="134"/>
      <c r="AY71" s="1931"/>
      <c r="AZ71" s="1931"/>
      <c r="BA71" s="1931"/>
      <c r="BB71" s="134"/>
      <c r="BC71" s="134"/>
      <c r="BD71" s="1931"/>
      <c r="BE71" s="1931"/>
      <c r="BF71" s="2062"/>
    </row>
    <row r="72" spans="2:70" x14ac:dyDescent="0.25">
      <c r="B72" s="137"/>
      <c r="C72" s="1849" t="s">
        <v>89</v>
      </c>
      <c r="D72" s="1849"/>
      <c r="E72" s="1849"/>
      <c r="F72" s="1849"/>
      <c r="G72" s="1849"/>
      <c r="H72" s="1849"/>
      <c r="I72" s="1849"/>
      <c r="J72" s="1849"/>
      <c r="K72" s="1849"/>
      <c r="L72" s="1849"/>
      <c r="M72" s="1849"/>
      <c r="N72" s="1849"/>
      <c r="O72" s="1849"/>
      <c r="P72" s="1849"/>
      <c r="Q72" s="1849"/>
      <c r="R72" s="1849"/>
      <c r="S72" s="1849"/>
      <c r="T72" s="1849"/>
      <c r="U72" s="1849"/>
      <c r="V72" s="1849"/>
      <c r="W72" s="1849"/>
      <c r="X72" s="1849"/>
      <c r="Y72" s="1849"/>
      <c r="Z72" s="1849"/>
      <c r="AC72" s="2085" t="str">
        <f>'PIM Model'!$AD$26</f>
        <v/>
      </c>
      <c r="AD72" s="2085"/>
      <c r="AE72" s="2085" t="str">
        <f>'PIM Model'!$D$26</f>
        <v>%</v>
      </c>
      <c r="AF72" s="2085"/>
      <c r="AG72" s="2085" t="str">
        <f>'PIM Model'!$D$26</f>
        <v>%</v>
      </c>
      <c r="AH72" s="2085"/>
      <c r="AI72" s="2082" t="str">
        <f>'PIM Model'!$D$26</f>
        <v>%</v>
      </c>
      <c r="AJ72" s="2082"/>
      <c r="AK72" s="134"/>
      <c r="AL72" s="134"/>
      <c r="AM72" s="134"/>
      <c r="AN72" s="134"/>
      <c r="AO72" s="1931"/>
      <c r="AP72" s="1931"/>
      <c r="AQ72" s="1931"/>
      <c r="AR72" s="134"/>
      <c r="AS72" s="134"/>
      <c r="AT72" s="1931"/>
      <c r="AU72" s="1931"/>
      <c r="AV72" s="1931"/>
      <c r="AW72" s="134"/>
      <c r="AX72" s="134"/>
      <c r="AY72" s="1931"/>
      <c r="AZ72" s="1931"/>
      <c r="BA72" s="1931"/>
      <c r="BB72" s="134"/>
      <c r="BC72" s="134"/>
      <c r="BD72" s="1931"/>
      <c r="BE72" s="1931"/>
      <c r="BF72" s="2062"/>
    </row>
    <row r="73" spans="2:70" x14ac:dyDescent="0.25">
      <c r="B73" s="137"/>
      <c r="C73" s="1849" t="s">
        <v>88</v>
      </c>
      <c r="D73" s="1849"/>
      <c r="E73" s="1849"/>
      <c r="F73" s="1849"/>
      <c r="G73" s="1849"/>
      <c r="H73" s="1849"/>
      <c r="I73" s="1849"/>
      <c r="J73" s="1849"/>
      <c r="K73" s="1849"/>
      <c r="L73" s="1849"/>
      <c r="M73" s="1849"/>
      <c r="N73" s="1849"/>
      <c r="O73" s="1849"/>
      <c r="P73" s="1849"/>
      <c r="Q73" s="1849"/>
      <c r="R73" s="1849"/>
      <c r="S73" s="1849"/>
      <c r="T73" s="1849"/>
      <c r="U73" s="1849"/>
      <c r="V73" s="1849"/>
      <c r="W73" s="1849"/>
      <c r="X73" s="1849"/>
      <c r="Y73" s="1849"/>
      <c r="Z73" s="1849"/>
      <c r="AC73" s="2085" t="str">
        <f>'PIM Model'!$AD$29</f>
        <v/>
      </c>
      <c r="AD73" s="2085"/>
      <c r="AE73" s="2085" t="str">
        <f>'PIM Model'!$D$29</f>
        <v>%</v>
      </c>
      <c r="AF73" s="2085"/>
      <c r="AG73" s="2085" t="str">
        <f>'PIM Model'!$D$29</f>
        <v>%</v>
      </c>
      <c r="AH73" s="2085"/>
      <c r="AI73" s="2082" t="str">
        <f>'PIM Model'!$D$29</f>
        <v>%</v>
      </c>
      <c r="AJ73" s="2082"/>
      <c r="AK73" s="134"/>
      <c r="AL73" s="134"/>
      <c r="AM73" s="134"/>
      <c r="AN73" s="134"/>
      <c r="AO73" s="1931"/>
      <c r="AP73" s="1931"/>
      <c r="AQ73" s="1931"/>
      <c r="AR73" s="134"/>
      <c r="AS73" s="134"/>
      <c r="AT73" s="1931"/>
      <c r="AU73" s="1931"/>
      <c r="AV73" s="1931"/>
      <c r="AW73" s="134"/>
      <c r="AX73" s="134"/>
      <c r="AY73" s="1931"/>
      <c r="AZ73" s="1931"/>
      <c r="BA73" s="1931"/>
      <c r="BB73" s="134"/>
      <c r="BC73" s="134"/>
      <c r="BD73" s="1931"/>
      <c r="BE73" s="1931"/>
      <c r="BF73" s="2062"/>
    </row>
    <row r="74" spans="2:70" x14ac:dyDescent="0.25">
      <c r="B74" s="137"/>
      <c r="C74" s="1849" t="s">
        <v>87</v>
      </c>
      <c r="D74" s="1849"/>
      <c r="E74" s="1849"/>
      <c r="F74" s="1849"/>
      <c r="G74" s="1849"/>
      <c r="H74" s="1849"/>
      <c r="I74" s="1849"/>
      <c r="J74" s="1849"/>
      <c r="K74" s="1849"/>
      <c r="L74" s="1849"/>
      <c r="M74" s="1849"/>
      <c r="N74" s="1849"/>
      <c r="O74" s="1849"/>
      <c r="P74" s="1849"/>
      <c r="Q74" s="1849"/>
      <c r="R74" s="1849"/>
      <c r="S74" s="1849"/>
      <c r="T74" s="1849"/>
      <c r="U74" s="1849"/>
      <c r="V74" s="1849"/>
      <c r="W74" s="1849"/>
      <c r="X74" s="1849"/>
      <c r="Y74" s="1849"/>
      <c r="Z74" s="1849"/>
      <c r="AC74" s="2085" t="str">
        <f>'PIM Model'!$AD$30</f>
        <v/>
      </c>
      <c r="AD74" s="2085"/>
      <c r="AE74" s="2085" t="str">
        <f>'PIM Model'!$D$30</f>
        <v>%</v>
      </c>
      <c r="AF74" s="2085"/>
      <c r="AG74" s="2085" t="str">
        <f>'PIM Model'!$D$30</f>
        <v>%</v>
      </c>
      <c r="AH74" s="2085"/>
      <c r="AI74" s="2082" t="str">
        <f>'PIM Model'!$D$30</f>
        <v>%</v>
      </c>
      <c r="AJ74" s="2082"/>
      <c r="AK74" s="134"/>
      <c r="AL74" s="134"/>
      <c r="AM74" s="134"/>
      <c r="AN74" s="134"/>
      <c r="AO74" s="1931"/>
      <c r="AP74" s="1931"/>
      <c r="AQ74" s="1931"/>
      <c r="AR74" s="134"/>
      <c r="AS74" s="134"/>
      <c r="AT74" s="1931"/>
      <c r="AU74" s="1931"/>
      <c r="AV74" s="1931"/>
      <c r="AW74" s="134"/>
      <c r="AX74" s="134"/>
      <c r="AY74" s="1931"/>
      <c r="AZ74" s="1931"/>
      <c r="BA74" s="1931"/>
      <c r="BB74" s="134"/>
      <c r="BC74" s="134"/>
      <c r="BD74" s="1931"/>
      <c r="BE74" s="1931"/>
      <c r="BF74" s="2062"/>
    </row>
    <row r="75" spans="2:70" x14ac:dyDescent="0.25">
      <c r="B75" s="137"/>
      <c r="C75" s="1849" t="s">
        <v>86</v>
      </c>
      <c r="D75" s="1849"/>
      <c r="E75" s="1849"/>
      <c r="F75" s="1849"/>
      <c r="G75" s="1849"/>
      <c r="H75" s="1849"/>
      <c r="I75" s="1849"/>
      <c r="J75" s="1849"/>
      <c r="K75" s="1849"/>
      <c r="L75" s="1849"/>
      <c r="M75" s="1849"/>
      <c r="N75" s="1849"/>
      <c r="O75" s="1849"/>
      <c r="P75" s="1849"/>
      <c r="Q75" s="1849"/>
      <c r="R75" s="1849"/>
      <c r="S75" s="1849"/>
      <c r="T75" s="1849"/>
      <c r="U75" s="1849"/>
      <c r="V75" s="1849"/>
      <c r="W75" s="1849"/>
      <c r="X75" s="1849"/>
      <c r="Y75" s="1849"/>
      <c r="Z75" s="1849"/>
      <c r="AC75" s="2085" t="str">
        <f>'PIM Model'!$AD$28</f>
        <v/>
      </c>
      <c r="AD75" s="2085"/>
      <c r="AE75" s="2085" t="str">
        <f>'PIM Model'!$D$28</f>
        <v>%</v>
      </c>
      <c r="AF75" s="2085"/>
      <c r="AG75" s="2085" t="str">
        <f>'PIM Model'!$D$28</f>
        <v>%</v>
      </c>
      <c r="AH75" s="2085"/>
      <c r="AI75" s="2082" t="str">
        <f>'PIM Model'!$D$28</f>
        <v>%</v>
      </c>
      <c r="AJ75" s="2082"/>
      <c r="BF75" s="138"/>
    </row>
    <row r="76" spans="2:70" x14ac:dyDescent="0.25">
      <c r="B76" s="137"/>
      <c r="C76" s="1849" t="s">
        <v>105</v>
      </c>
      <c r="D76" s="1849"/>
      <c r="E76" s="1849"/>
      <c r="F76" s="1849"/>
      <c r="G76" s="1849"/>
      <c r="H76" s="1849"/>
      <c r="I76" s="1849"/>
      <c r="J76" s="1849"/>
      <c r="K76" s="1849"/>
      <c r="L76" s="1849"/>
      <c r="M76" s="1849"/>
      <c r="N76" s="1849"/>
      <c r="O76" s="1849"/>
      <c r="P76" s="1849"/>
      <c r="Q76" s="1849"/>
      <c r="R76" s="1849"/>
      <c r="S76" s="1849"/>
      <c r="T76" s="1849"/>
      <c r="U76" s="1849"/>
      <c r="V76" s="1849"/>
      <c r="W76" s="1849"/>
      <c r="X76" s="1849"/>
      <c r="Y76" s="1849"/>
      <c r="Z76" s="1849"/>
      <c r="AC76" s="2085" t="str">
        <f>'PIM Model'!$AD$22</f>
        <v/>
      </c>
      <c r="AD76" s="2085"/>
      <c r="AE76" s="2085" t="str">
        <f>'PIM Model'!$D$22</f>
        <v>%</v>
      </c>
      <c r="AF76" s="2085"/>
      <c r="AG76" s="2085" t="str">
        <f>'PIM Model'!$D$22</f>
        <v>%</v>
      </c>
      <c r="AH76" s="2085"/>
      <c r="AI76" s="2082" t="str">
        <f>'PIM Model'!$D$22</f>
        <v>%</v>
      </c>
      <c r="AJ76" s="2082"/>
      <c r="BF76" s="138"/>
    </row>
    <row r="77" spans="2:70" x14ac:dyDescent="0.25">
      <c r="B77" s="555"/>
      <c r="C77" s="2087" t="s">
        <v>719</v>
      </c>
      <c r="D77" s="2087"/>
      <c r="E77" s="2087"/>
      <c r="F77" s="2087"/>
      <c r="G77" s="2087"/>
      <c r="H77" s="2087"/>
      <c r="I77" s="2087"/>
      <c r="J77" s="2087"/>
      <c r="K77" s="2087"/>
      <c r="L77" s="2087"/>
      <c r="M77" s="2087"/>
      <c r="N77" s="2087"/>
      <c r="O77" s="2087"/>
      <c r="P77" s="2087"/>
      <c r="Q77" s="2087"/>
      <c r="R77" s="2087"/>
      <c r="S77" s="2087"/>
      <c r="T77" s="2087"/>
      <c r="U77" s="2087"/>
      <c r="V77" s="2087"/>
      <c r="W77" s="2087"/>
      <c r="X77" s="2087"/>
      <c r="Y77" s="2087"/>
      <c r="Z77" s="2087"/>
      <c r="AC77" s="2085" t="str">
        <f>'PIM Model'!$AD$12</f>
        <v/>
      </c>
      <c r="AD77" s="2085"/>
      <c r="AE77" s="2085" t="str">
        <f>'PIM Model'!$D$12</f>
        <v>%</v>
      </c>
      <c r="AF77" s="2085"/>
      <c r="AG77" s="2085" t="str">
        <f>'PIM Model'!$D$12</f>
        <v>%</v>
      </c>
      <c r="AH77" s="2085"/>
      <c r="AI77" s="2082" t="str">
        <f>'PIM Model'!$D$12</f>
        <v>%</v>
      </c>
      <c r="AJ77" s="2082"/>
      <c r="BF77" s="138"/>
    </row>
    <row r="78" spans="2:70" x14ac:dyDescent="0.25">
      <c r="B78" s="137"/>
      <c r="C78" s="2087" t="s">
        <v>720</v>
      </c>
      <c r="D78" s="2087"/>
      <c r="E78" s="2087"/>
      <c r="F78" s="2087"/>
      <c r="G78" s="2087"/>
      <c r="H78" s="2087"/>
      <c r="I78" s="2087"/>
      <c r="J78" s="2087"/>
      <c r="K78" s="2087"/>
      <c r="L78" s="2087"/>
      <c r="M78" s="2087"/>
      <c r="N78" s="2087"/>
      <c r="O78" s="2087"/>
      <c r="P78" s="2087"/>
      <c r="Q78" s="2087"/>
      <c r="R78" s="2087"/>
      <c r="S78" s="2087"/>
      <c r="T78" s="2087"/>
      <c r="U78" s="2087"/>
      <c r="V78" s="2087"/>
      <c r="W78" s="2087"/>
      <c r="X78" s="2087"/>
      <c r="Y78" s="2087"/>
      <c r="Z78" s="2087"/>
      <c r="AC78" s="540"/>
      <c r="AD78" s="540"/>
      <c r="AE78" s="540"/>
      <c r="AF78" s="540"/>
      <c r="AG78" s="540"/>
      <c r="AH78" s="540"/>
      <c r="BF78" s="138"/>
      <c r="BR78" s="262"/>
    </row>
    <row r="79" spans="2:70" x14ac:dyDescent="0.25">
      <c r="B79" s="137"/>
      <c r="BF79" s="138"/>
    </row>
    <row r="80" spans="2:70" x14ac:dyDescent="0.25">
      <c r="B80" s="137"/>
      <c r="BF80" s="138"/>
    </row>
    <row r="81" spans="1:70" x14ac:dyDescent="0.25">
      <c r="B81" s="137"/>
      <c r="D81" s="2082" t="s">
        <v>687</v>
      </c>
      <c r="E81" s="2082"/>
      <c r="F81" s="2082"/>
      <c r="G81" s="2082"/>
      <c r="H81" s="2082"/>
      <c r="I81" s="2082"/>
      <c r="J81" s="2082"/>
      <c r="K81" s="2082"/>
      <c r="L81" s="2082"/>
      <c r="M81" s="2082"/>
      <c r="N81" s="2082"/>
      <c r="O81" s="2082"/>
      <c r="P81" s="2082"/>
      <c r="Q81" s="2082"/>
      <c r="R81" s="2082"/>
      <c r="S81" s="2082"/>
      <c r="T81" s="2082"/>
      <c r="U81" s="2082"/>
      <c r="V81" s="2082"/>
      <c r="W81" s="2082"/>
      <c r="X81" s="2082"/>
      <c r="Y81" s="2082"/>
      <c r="Z81" s="2082"/>
      <c r="AA81" s="2082"/>
      <c r="AB81" s="2082"/>
      <c r="AC81" s="2082"/>
      <c r="AD81" s="2082"/>
      <c r="AE81" s="2082"/>
      <c r="AF81" s="2082"/>
      <c r="AG81" s="2082"/>
      <c r="AH81" s="2082"/>
      <c r="AI81" s="2082"/>
      <c r="AJ81" s="2082"/>
      <c r="AK81" s="2082"/>
      <c r="AL81" s="2082"/>
      <c r="AM81" s="2082"/>
      <c r="AN81" s="2082"/>
      <c r="AO81" s="2082"/>
      <c r="AP81" s="2082"/>
      <c r="AQ81" s="2082"/>
      <c r="AR81" s="2082"/>
      <c r="AS81" s="2082"/>
      <c r="AT81" s="2082"/>
      <c r="AU81" s="2082"/>
      <c r="AV81" s="2082"/>
      <c r="AW81" s="2082"/>
      <c r="AX81" s="2082"/>
      <c r="AY81" s="2082"/>
      <c r="AZ81" s="2082"/>
      <c r="BA81" s="2082"/>
      <c r="BB81" s="2082"/>
      <c r="BC81" s="2082"/>
      <c r="BD81" s="2082"/>
      <c r="BF81" s="138"/>
    </row>
    <row r="82" spans="1:70" x14ac:dyDescent="0.25">
      <c r="B82" s="137"/>
      <c r="D82" s="2083" t="s">
        <v>239</v>
      </c>
      <c r="E82" s="2083"/>
      <c r="F82" s="2082" t="s">
        <v>686</v>
      </c>
      <c r="G82" s="2082"/>
      <c r="H82" s="2082"/>
      <c r="I82" s="2082"/>
      <c r="J82" s="2082"/>
      <c r="K82" s="2082"/>
      <c r="L82" s="2082"/>
      <c r="M82" s="2082"/>
      <c r="N82" s="2082"/>
      <c r="O82" s="2082"/>
      <c r="P82" s="2082"/>
      <c r="Q82" s="2082"/>
      <c r="R82" s="2082"/>
      <c r="S82" s="2082"/>
      <c r="T82" s="2082"/>
      <c r="U82" s="2082"/>
      <c r="V82" s="2082"/>
      <c r="W82" s="2082"/>
      <c r="X82" s="2082"/>
      <c r="Y82" s="2082"/>
      <c r="Z82" s="2082"/>
      <c r="AA82" s="2082"/>
      <c r="AB82" s="2082"/>
      <c r="AC82" s="2082"/>
      <c r="AD82" s="2082"/>
      <c r="AE82" s="2082"/>
      <c r="AF82" s="2082"/>
      <c r="AG82" s="2082"/>
      <c r="AH82" s="2082"/>
      <c r="AI82" s="2082"/>
      <c r="AJ82" s="2082"/>
      <c r="AK82" s="2082"/>
      <c r="AL82" s="2082"/>
      <c r="AM82" s="2082"/>
      <c r="AN82" s="2082"/>
      <c r="AO82" s="2082"/>
      <c r="AP82" s="2082"/>
      <c r="AQ82" s="2082"/>
      <c r="AR82" s="2082"/>
      <c r="AS82" s="2082"/>
      <c r="AT82" s="2082"/>
      <c r="AU82" s="2082"/>
      <c r="AV82" s="2082"/>
      <c r="AW82" s="2082"/>
      <c r="AX82" s="2082"/>
      <c r="AY82" s="2082"/>
      <c r="AZ82" s="2082"/>
      <c r="BA82" s="2082"/>
      <c r="BB82" s="2082"/>
      <c r="BC82" s="2082"/>
      <c r="BD82" s="2082"/>
      <c r="BF82" s="138"/>
    </row>
    <row r="83" spans="1:70" x14ac:dyDescent="0.25">
      <c r="B83" s="137"/>
      <c r="D83" s="2084"/>
      <c r="E83" s="2084"/>
      <c r="F83" s="2082" t="s">
        <v>685</v>
      </c>
      <c r="G83" s="2082"/>
      <c r="H83" s="2082"/>
      <c r="I83" s="2082"/>
      <c r="J83" s="2082"/>
      <c r="K83" s="2082"/>
      <c r="L83" s="2082"/>
      <c r="M83" s="2082"/>
      <c r="N83" s="2082"/>
      <c r="O83" s="2082"/>
      <c r="P83" s="2082"/>
      <c r="Q83" s="2082"/>
      <c r="R83" s="2082"/>
      <c r="S83" s="2082"/>
      <c r="T83" s="2082"/>
      <c r="U83" s="2082"/>
      <c r="V83" s="2082"/>
      <c r="W83" s="2082"/>
      <c r="X83" s="2082"/>
      <c r="Y83" s="2082"/>
      <c r="Z83" s="2082"/>
      <c r="AA83" s="2082"/>
      <c r="AB83" s="2082"/>
      <c r="AC83" s="2082"/>
      <c r="AD83" s="2082"/>
      <c r="AE83" s="2082"/>
      <c r="AF83" s="2082"/>
      <c r="AG83" s="2082"/>
      <c r="AH83" s="2082"/>
      <c r="AI83" s="2082"/>
      <c r="AJ83" s="2082"/>
      <c r="AK83" s="2082"/>
      <c r="AL83" s="2082"/>
      <c r="AM83" s="2082"/>
      <c r="AN83" s="2082"/>
      <c r="AO83" s="2082"/>
      <c r="AP83" s="2082"/>
      <c r="AQ83" s="2082"/>
      <c r="AR83" s="2082"/>
      <c r="AS83" s="2082"/>
      <c r="AT83" s="2082"/>
      <c r="AU83" s="2082"/>
      <c r="AV83" s="2082"/>
      <c r="AW83" s="2082"/>
      <c r="AX83" s="2082"/>
      <c r="AY83" s="2082"/>
      <c r="AZ83" s="2082"/>
      <c r="BA83" s="2082"/>
      <c r="BB83" s="2082"/>
      <c r="BC83" s="2082"/>
      <c r="BD83" s="2082"/>
      <c r="BF83" s="138"/>
    </row>
    <row r="84" spans="1:70" x14ac:dyDescent="0.25">
      <c r="A84" s="269"/>
      <c r="B84" s="137"/>
      <c r="D84" s="2084"/>
      <c r="E84" s="2084"/>
      <c r="F84" s="2082" t="s">
        <v>684</v>
      </c>
      <c r="G84" s="2082"/>
      <c r="H84" s="2082"/>
      <c r="I84" s="2082"/>
      <c r="J84" s="2082"/>
      <c r="K84" s="2082"/>
      <c r="L84" s="2082"/>
      <c r="M84" s="2082"/>
      <c r="N84" s="2082"/>
      <c r="O84" s="2082"/>
      <c r="P84" s="2082"/>
      <c r="Q84" s="2082"/>
      <c r="R84" s="2082"/>
      <c r="S84" s="2082"/>
      <c r="T84" s="2082"/>
      <c r="U84" s="2082"/>
      <c r="V84" s="2082"/>
      <c r="W84" s="2082"/>
      <c r="X84" s="2082"/>
      <c r="Y84" s="2082"/>
      <c r="Z84" s="2082"/>
      <c r="AA84" s="2082"/>
      <c r="AB84" s="2082"/>
      <c r="AC84" s="2082"/>
      <c r="AD84" s="2082"/>
      <c r="AE84" s="2082"/>
      <c r="AF84" s="2082"/>
      <c r="AG84" s="2082"/>
      <c r="AH84" s="2082"/>
      <c r="AI84" s="2082"/>
      <c r="AJ84" s="2082"/>
      <c r="AK84" s="2082"/>
      <c r="AL84" s="2082"/>
      <c r="AM84" s="2082"/>
      <c r="AN84" s="2082"/>
      <c r="AO84" s="2082"/>
      <c r="AP84" s="2082"/>
      <c r="AQ84" s="2082"/>
      <c r="AR84" s="2082"/>
      <c r="AS84" s="2082"/>
      <c r="AT84" s="2082"/>
      <c r="AU84" s="2082"/>
      <c r="AV84" s="2082"/>
      <c r="AW84" s="2082"/>
      <c r="AX84" s="2082"/>
      <c r="AY84" s="2082"/>
      <c r="AZ84" s="2082"/>
      <c r="BA84" s="2082"/>
      <c r="BB84" s="2082"/>
      <c r="BC84" s="2082"/>
      <c r="BD84" s="2082"/>
      <c r="BF84" s="138"/>
    </row>
    <row r="85" spans="1:70" x14ac:dyDescent="0.25">
      <c r="B85" s="137"/>
      <c r="BF85" s="138"/>
    </row>
    <row r="86" spans="1:70" x14ac:dyDescent="0.25">
      <c r="B86" s="137"/>
      <c r="D86" s="2082" t="s">
        <v>683</v>
      </c>
      <c r="E86" s="2082"/>
      <c r="F86" s="2082"/>
      <c r="G86" s="2082"/>
      <c r="H86" s="2082"/>
      <c r="I86" s="2082"/>
      <c r="J86" s="2082"/>
      <c r="K86" s="2082"/>
      <c r="L86" s="2082"/>
      <c r="M86" s="2082"/>
      <c r="N86" s="2082"/>
      <c r="O86" s="2082"/>
      <c r="P86" s="2082"/>
      <c r="Q86" s="2082"/>
      <c r="R86" s="2082"/>
      <c r="S86" s="2082"/>
      <c r="T86" s="2082"/>
      <c r="U86" s="2082"/>
      <c r="V86" s="2082"/>
      <c r="W86" s="2082"/>
      <c r="X86" s="2082"/>
      <c r="Y86" s="2082"/>
      <c r="Z86" s="2082"/>
      <c r="AA86" s="2082"/>
      <c r="AB86" s="2082"/>
      <c r="AC86" s="2082"/>
      <c r="AD86" s="2082"/>
      <c r="AE86" s="2082"/>
      <c r="AF86" s="2082"/>
      <c r="AG86" s="2082"/>
      <c r="AH86" s="2082"/>
      <c r="AI86" s="2082"/>
      <c r="AJ86" s="2082"/>
      <c r="AK86" s="2082"/>
      <c r="AL86" s="2082"/>
      <c r="AM86" s="2082"/>
      <c r="AN86" s="2082"/>
      <c r="AO86" s="2082"/>
      <c r="AP86" s="2082"/>
      <c r="AQ86" s="2082"/>
      <c r="AR86" s="2082"/>
      <c r="AS86" s="2082"/>
      <c r="AT86" s="2082"/>
      <c r="AU86" s="2082"/>
      <c r="AV86" s="2082"/>
      <c r="AW86" s="2082"/>
      <c r="AX86" s="2082"/>
      <c r="AY86" s="2082"/>
      <c r="AZ86" s="2082"/>
      <c r="BA86" s="2082"/>
      <c r="BB86" s="2082"/>
      <c r="BC86" s="2082"/>
      <c r="BD86" s="2082"/>
      <c r="BF86" s="138"/>
    </row>
    <row r="87" spans="1:70" x14ac:dyDescent="0.25">
      <c r="B87" s="137"/>
      <c r="D87" s="2083" t="s">
        <v>239</v>
      </c>
      <c r="E87" s="2083"/>
      <c r="F87" s="2082" t="s">
        <v>682</v>
      </c>
      <c r="G87" s="2082"/>
      <c r="H87" s="2082"/>
      <c r="I87" s="2082"/>
      <c r="J87" s="2082"/>
      <c r="K87" s="2082"/>
      <c r="L87" s="2082"/>
      <c r="M87" s="2082"/>
      <c r="N87" s="2082"/>
      <c r="O87" s="2082"/>
      <c r="P87" s="2082"/>
      <c r="Q87" s="2082"/>
      <c r="R87" s="2082"/>
      <c r="S87" s="2082"/>
      <c r="T87" s="2082"/>
      <c r="U87" s="2082"/>
      <c r="V87" s="2082"/>
      <c r="W87" s="2082"/>
      <c r="X87" s="2082"/>
      <c r="Y87" s="2082"/>
      <c r="Z87" s="2082"/>
      <c r="AA87" s="2082"/>
      <c r="AB87" s="2082"/>
      <c r="AC87" s="2082"/>
      <c r="AD87" s="2082"/>
      <c r="AE87" s="2082"/>
      <c r="AF87" s="2082"/>
      <c r="AG87" s="2082"/>
      <c r="AH87" s="2082"/>
      <c r="AI87" s="2082"/>
      <c r="AJ87" s="2082"/>
      <c r="AK87" s="2082"/>
      <c r="AL87" s="2082"/>
      <c r="AM87" s="2082"/>
      <c r="AN87" s="2082"/>
      <c r="AO87" s="2082"/>
      <c r="AP87" s="2082"/>
      <c r="AQ87" s="2082"/>
      <c r="AR87" s="2082"/>
      <c r="AS87" s="2082"/>
      <c r="AT87" s="2082"/>
      <c r="AU87" s="2082"/>
      <c r="AV87" s="2082"/>
      <c r="AW87" s="2082"/>
      <c r="AX87" s="2082"/>
      <c r="AY87" s="2082"/>
      <c r="AZ87" s="2082"/>
      <c r="BA87" s="2082"/>
      <c r="BB87" s="2082"/>
      <c r="BC87" s="2082"/>
      <c r="BD87" s="2082"/>
      <c r="BF87" s="138"/>
    </row>
    <row r="88" spans="1:70" x14ac:dyDescent="0.25">
      <c r="B88" s="137"/>
      <c r="D88" s="2084"/>
      <c r="E88" s="2084"/>
      <c r="F88" s="2082" t="s">
        <v>681</v>
      </c>
      <c r="G88" s="2082"/>
      <c r="H88" s="2082"/>
      <c r="I88" s="2082"/>
      <c r="J88" s="2082"/>
      <c r="K88" s="2082"/>
      <c r="L88" s="2082"/>
      <c r="M88" s="2082"/>
      <c r="N88" s="2082"/>
      <c r="O88" s="2082"/>
      <c r="P88" s="2082"/>
      <c r="Q88" s="2082"/>
      <c r="R88" s="2082"/>
      <c r="S88" s="2082"/>
      <c r="T88" s="2082"/>
      <c r="U88" s="2082"/>
      <c r="V88" s="2082"/>
      <c r="W88" s="2082"/>
      <c r="X88" s="2082"/>
      <c r="Y88" s="2082"/>
      <c r="Z88" s="2082"/>
      <c r="AA88" s="2082"/>
      <c r="AB88" s="2082"/>
      <c r="AC88" s="2082"/>
      <c r="AD88" s="2082"/>
      <c r="AE88" s="2082"/>
      <c r="AF88" s="2082"/>
      <c r="AG88" s="2082"/>
      <c r="AH88" s="2082"/>
      <c r="AI88" s="2082"/>
      <c r="AJ88" s="2082"/>
      <c r="AK88" s="2082"/>
      <c r="AL88" s="2082"/>
      <c r="AM88" s="2082"/>
      <c r="AN88" s="2082"/>
      <c r="AO88" s="2082"/>
      <c r="AP88" s="2082"/>
      <c r="AQ88" s="2082"/>
      <c r="AR88" s="2082"/>
      <c r="AS88" s="2082"/>
      <c r="AT88" s="2082"/>
      <c r="AU88" s="2082"/>
      <c r="AV88" s="2082"/>
      <c r="AW88" s="2082"/>
      <c r="AX88" s="2082"/>
      <c r="AY88" s="2082"/>
      <c r="AZ88" s="2082"/>
      <c r="BA88" s="2082"/>
      <c r="BB88" s="2082"/>
      <c r="BC88" s="2082"/>
      <c r="BD88" s="2082"/>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556"/>
      <c r="C90" s="266"/>
      <c r="D90" s="266"/>
      <c r="E90" s="266"/>
      <c r="F90" s="266"/>
      <c r="G90" s="266"/>
      <c r="H90" s="266"/>
      <c r="I90" s="266"/>
      <c r="J90" s="266"/>
      <c r="K90" s="266"/>
      <c r="L90" s="266"/>
      <c r="M90" s="266"/>
      <c r="N90" s="266"/>
      <c r="O90" s="266"/>
      <c r="P90" s="266"/>
      <c r="Q90" s="266"/>
      <c r="R90" s="266"/>
      <c r="S90" s="266"/>
      <c r="T90" s="266"/>
      <c r="U90" s="266"/>
      <c r="V90" s="266"/>
      <c r="W90" s="266"/>
      <c r="X90" s="266"/>
      <c r="Y90" s="266"/>
      <c r="Z90" s="266"/>
      <c r="AA90" s="266"/>
      <c r="AB90" s="266"/>
      <c r="AC90" s="266"/>
      <c r="AD90" s="266"/>
      <c r="AE90" s="266"/>
      <c r="AF90" s="266"/>
      <c r="AG90" s="266"/>
      <c r="AH90" s="266"/>
      <c r="AI90" s="266"/>
      <c r="AJ90" s="266"/>
      <c r="AK90" s="266"/>
      <c r="AL90" s="266"/>
      <c r="AM90" s="266"/>
      <c r="AN90" s="266"/>
      <c r="AO90" s="266"/>
      <c r="AP90" s="266"/>
      <c r="AQ90" s="266"/>
      <c r="AR90" s="266"/>
      <c r="AS90" s="266"/>
      <c r="AT90" s="266"/>
      <c r="AU90" s="266"/>
      <c r="AV90" s="266"/>
      <c r="AW90" s="266"/>
      <c r="AX90" s="266"/>
      <c r="AY90" s="266"/>
      <c r="AZ90" s="266"/>
      <c r="BA90" s="266"/>
      <c r="BB90" s="266"/>
      <c r="BC90" s="266"/>
      <c r="BD90" s="266"/>
      <c r="BE90" s="266"/>
      <c r="BF90" s="539"/>
    </row>
    <row r="91" spans="1:70" x14ac:dyDescent="0.25">
      <c r="B91" s="137"/>
      <c r="BF91" s="138"/>
    </row>
    <row r="92" spans="1:70" ht="18.75" x14ac:dyDescent="0.3">
      <c r="B92" s="2099" t="s">
        <v>957</v>
      </c>
      <c r="C92" s="2100"/>
      <c r="D92" s="2100"/>
      <c r="E92" s="2100"/>
      <c r="F92" s="2100"/>
      <c r="G92" s="2100"/>
      <c r="H92" s="2100"/>
      <c r="I92" s="2100"/>
      <c r="J92" s="2100"/>
      <c r="K92" s="2100"/>
      <c r="L92" s="2100"/>
      <c r="M92" s="2100"/>
      <c r="N92" s="2100"/>
      <c r="O92" s="2100"/>
      <c r="P92" s="2100"/>
      <c r="Q92" s="2100"/>
      <c r="R92" s="2100"/>
      <c r="S92" s="2100"/>
      <c r="T92" s="2100"/>
      <c r="U92" s="2100"/>
      <c r="V92" s="2100"/>
      <c r="W92" s="2100"/>
      <c r="X92" s="2100"/>
      <c r="Y92" s="2100"/>
      <c r="Z92" s="2100"/>
      <c r="AA92" s="2100"/>
      <c r="AB92" s="2100"/>
      <c r="AC92" s="2100"/>
      <c r="AD92" s="2100"/>
      <c r="AE92" s="2100"/>
      <c r="AF92" s="2100"/>
      <c r="AG92" s="2100"/>
      <c r="AH92" s="2100"/>
      <c r="AI92" s="2100"/>
      <c r="AJ92" s="2100"/>
      <c r="AK92" s="2100"/>
      <c r="AL92" s="2100"/>
      <c r="AM92" s="2100"/>
      <c r="AN92" s="2100"/>
      <c r="AO92" s="2100"/>
      <c r="AP92" s="2100"/>
      <c r="AQ92" s="2100"/>
      <c r="AR92" s="2100"/>
      <c r="AS92" s="2100"/>
      <c r="AT92" s="2100"/>
      <c r="AU92" s="2100"/>
      <c r="AV92" s="2100"/>
      <c r="AW92" s="2100"/>
      <c r="AX92" s="2100"/>
      <c r="AY92" s="2100"/>
      <c r="AZ92" s="2100"/>
      <c r="BA92" s="2100"/>
      <c r="BB92" s="2100"/>
      <c r="BC92" s="2100"/>
      <c r="BD92" s="2100"/>
      <c r="BE92" s="2100"/>
      <c r="BF92" s="2101"/>
    </row>
    <row r="93" spans="1:70" ht="15.75" thickBot="1" x14ac:dyDescent="0.3">
      <c r="B93" s="137"/>
      <c r="BF93" s="138"/>
      <c r="BR93" s="262"/>
    </row>
    <row r="94" spans="1:70" ht="15.75" thickBot="1" x14ac:dyDescent="0.3">
      <c r="B94" s="137"/>
      <c r="D94" s="2113" t="s">
        <v>723</v>
      </c>
      <c r="E94" s="2114"/>
      <c r="F94" s="2114"/>
      <c r="G94" s="2114"/>
      <c r="H94" s="2114"/>
      <c r="I94" s="2114"/>
      <c r="J94" s="2114"/>
      <c r="K94" s="2120" t="s">
        <v>724</v>
      </c>
      <c r="L94" s="2114"/>
      <c r="M94" s="2114"/>
      <c r="N94" s="2114"/>
      <c r="O94" s="2114"/>
      <c r="P94" s="2114"/>
      <c r="Q94" s="2114"/>
      <c r="R94" s="2114"/>
      <c r="S94" s="2114"/>
      <c r="T94" s="2114"/>
      <c r="U94" s="2120" t="s">
        <v>767</v>
      </c>
      <c r="V94" s="2114"/>
      <c r="W94" s="2114"/>
      <c r="X94" s="2114"/>
      <c r="Y94" s="2114"/>
      <c r="Z94" s="2114"/>
      <c r="AA94" s="2114"/>
      <c r="AB94" s="2114"/>
      <c r="AC94" s="2114"/>
      <c r="AD94" s="2114"/>
      <c r="AE94" s="2114"/>
      <c r="AF94" s="2114"/>
      <c r="AG94" s="2114"/>
      <c r="AH94" s="2114"/>
      <c r="AI94" s="2114"/>
      <c r="AJ94" s="2120" t="s">
        <v>768</v>
      </c>
      <c r="AK94" s="2114"/>
      <c r="AL94" s="2114"/>
      <c r="AM94" s="2114"/>
      <c r="AN94" s="2114"/>
      <c r="AO94" s="2114"/>
      <c r="AP94" s="2114"/>
      <c r="AQ94" s="2114"/>
      <c r="AR94" s="2114"/>
      <c r="AS94" s="2114"/>
      <c r="AT94" s="2132"/>
      <c r="AU94" s="2120" t="s">
        <v>769</v>
      </c>
      <c r="AV94" s="2114"/>
      <c r="AW94" s="2114"/>
      <c r="AX94" s="2132"/>
      <c r="AY94" s="2120" t="s">
        <v>810</v>
      </c>
      <c r="AZ94" s="2114"/>
      <c r="BA94" s="2114"/>
      <c r="BB94" s="2114"/>
      <c r="BC94" s="2142"/>
      <c r="BF94" s="138"/>
    </row>
    <row r="95" spans="1:70" x14ac:dyDescent="0.25">
      <c r="B95" s="137"/>
      <c r="C95" s="514">
        <v>1</v>
      </c>
      <c r="D95" s="2112">
        <f>'Customer Inputs'!$B$6</f>
        <v>0</v>
      </c>
      <c r="E95" s="2112"/>
      <c r="F95" s="2112"/>
      <c r="G95" s="2112"/>
      <c r="H95" s="2112"/>
      <c r="I95" s="2112"/>
      <c r="J95" s="2112"/>
      <c r="K95" s="2067" t="str">
        <f>IFERROR(IFERROR('Multi-Customer'!$BK$39,VLOOKUP($D95,'Required Info to Submit'!$E$23:$J$32,2,FALSE)),"")</f>
        <v/>
      </c>
      <c r="L95" s="2067"/>
      <c r="M95" s="2067"/>
      <c r="N95" s="2067"/>
      <c r="O95" s="2067"/>
      <c r="P95" s="2067"/>
      <c r="Q95" s="2067"/>
      <c r="R95" s="2067"/>
      <c r="S95" s="2067"/>
      <c r="T95" s="2067"/>
      <c r="U95" s="2067" t="str">
        <f>IFERROR(IFERROR('Multi-Customer'!$BK$41&amp;" "&amp;'Multi-Customer'!$BK$42,VLOOKUP($D95,'Required Info to Submit'!$E$23:$J$32,3,FALSE)),"")</f>
        <v/>
      </c>
      <c r="V95" s="2067"/>
      <c r="W95" s="2067"/>
      <c r="X95" s="2067"/>
      <c r="Y95" s="2067"/>
      <c r="Z95" s="2067"/>
      <c r="AA95" s="2067"/>
      <c r="AB95" s="2067"/>
      <c r="AC95" s="2067"/>
      <c r="AD95" s="2067"/>
      <c r="AE95" s="2067"/>
      <c r="AF95" s="2067"/>
      <c r="AG95" s="2067"/>
      <c r="AH95" s="2067"/>
      <c r="AI95" s="2067"/>
      <c r="AJ95" s="2129" t="str">
        <f>IFERROR(IFERROR('Multi-Customer'!$BK$43,VLOOKUP($D95,'Required Info to Submit'!$E$23:$J$32,4,FALSE)),"")</f>
        <v/>
      </c>
      <c r="AK95" s="2130"/>
      <c r="AL95" s="2130"/>
      <c r="AM95" s="2130"/>
      <c r="AN95" s="2130"/>
      <c r="AO95" s="2130"/>
      <c r="AP95" s="2130"/>
      <c r="AQ95" s="2130"/>
      <c r="AR95" s="2130"/>
      <c r="AS95" s="2130"/>
      <c r="AT95" s="2131"/>
      <c r="AU95" s="2133" t="str">
        <f>IFERROR(IFERROR('Multi-Customer'!$BK$44,VLOOKUP($D95,'Required Info to Submit'!$E$23:$J$32,5,FALSE)),"")</f>
        <v/>
      </c>
      <c r="AV95" s="2134"/>
      <c r="AW95" s="2134"/>
      <c r="AX95" s="2135"/>
      <c r="AY95" s="2139" t="str">
        <f>IFERROR(IFERROR('Multi-Customer'!$BK$45,VLOOKUP($D95,'Required Info to Submit'!$E$23:$J$32,6,FALSE)),"")</f>
        <v/>
      </c>
      <c r="AZ95" s="2140"/>
      <c r="BA95" s="2140"/>
      <c r="BB95" s="2140"/>
      <c r="BC95" s="2141"/>
      <c r="BF95" s="138"/>
    </row>
    <row r="96" spans="1:70" x14ac:dyDescent="0.25">
      <c r="B96" s="137"/>
      <c r="C96" s="515">
        <v>2</v>
      </c>
      <c r="D96" s="2111">
        <f>'Customer Inputs'!$B$7</f>
        <v>0</v>
      </c>
      <c r="E96" s="2111"/>
      <c r="F96" s="2111"/>
      <c r="G96" s="2111"/>
      <c r="H96" s="2111"/>
      <c r="I96" s="2111"/>
      <c r="J96" s="2111"/>
      <c r="K96" s="2053" t="str">
        <f>IFERROR(IFERROR('Multi-Customer'!$CH$39,VLOOKUP($D96,'Required Info to Submit'!$E$23:$J$32,2,FALSE)),"")</f>
        <v/>
      </c>
      <c r="L96" s="2053"/>
      <c r="M96" s="2053"/>
      <c r="N96" s="2053"/>
      <c r="O96" s="2053"/>
      <c r="P96" s="2053"/>
      <c r="Q96" s="2053"/>
      <c r="R96" s="2053"/>
      <c r="S96" s="2053"/>
      <c r="T96" s="2053"/>
      <c r="U96" s="2053" t="str">
        <f>IFERROR(IFERROR('Multi-Customer'!$CH$41&amp;" "&amp;'Multi-Customer'!$CH$42,VLOOKUP($D96,'Required Info to Submit'!$E$23:$J$32,3,FALSE)),"")</f>
        <v/>
      </c>
      <c r="V96" s="2053"/>
      <c r="W96" s="2053"/>
      <c r="X96" s="2053"/>
      <c r="Y96" s="2053"/>
      <c r="Z96" s="2053"/>
      <c r="AA96" s="2053"/>
      <c r="AB96" s="2053"/>
      <c r="AC96" s="2053"/>
      <c r="AD96" s="2053"/>
      <c r="AE96" s="2053"/>
      <c r="AF96" s="2053"/>
      <c r="AG96" s="2053"/>
      <c r="AH96" s="2053"/>
      <c r="AI96" s="2053"/>
      <c r="AJ96" s="2126" t="str">
        <f>IFERROR(IFERROR('Multi-Customer'!$CH$43,VLOOKUP($D96,'Required Info to Submit'!$E$23:$J$32,4,FALSE)),"")</f>
        <v/>
      </c>
      <c r="AK96" s="2127"/>
      <c r="AL96" s="2127"/>
      <c r="AM96" s="2127"/>
      <c r="AN96" s="2127"/>
      <c r="AO96" s="2127"/>
      <c r="AP96" s="2127"/>
      <c r="AQ96" s="2127"/>
      <c r="AR96" s="2127"/>
      <c r="AS96" s="2127"/>
      <c r="AT96" s="2128"/>
      <c r="AU96" s="1997" t="str">
        <f>IFERROR(IFERROR('Multi-Customer'!$CH$44,VLOOKUP($D96,'Required Info to Submit'!$E$23:$J$32,5,FALSE)),"")</f>
        <v/>
      </c>
      <c r="AV96" s="1998"/>
      <c r="AW96" s="1998"/>
      <c r="AX96" s="1999"/>
      <c r="AY96" s="2044" t="str">
        <f>IFERROR(IFERROR('Multi-Customer'!$CH$45,VLOOKUP($D96,'Required Info to Submit'!$E$23:$J$32,6,FALSE)),"")</f>
        <v/>
      </c>
      <c r="AZ96" s="2045"/>
      <c r="BA96" s="2045"/>
      <c r="BB96" s="2045"/>
      <c r="BC96" s="2046"/>
      <c r="BF96" s="138"/>
    </row>
    <row r="97" spans="2:58" x14ac:dyDescent="0.25">
      <c r="B97" s="137"/>
      <c r="C97" s="515">
        <v>3</v>
      </c>
      <c r="D97" s="2111">
        <f>'Customer Inputs'!$B$8</f>
        <v>0</v>
      </c>
      <c r="E97" s="2111"/>
      <c r="F97" s="2111"/>
      <c r="G97" s="2111"/>
      <c r="H97" s="2111"/>
      <c r="I97" s="2111"/>
      <c r="J97" s="2111"/>
      <c r="K97" s="2053" t="str">
        <f>IFERROR(IFERROR('Multi-Customer'!$DE$39,VLOOKUP($D97,'Required Info to Submit'!$E$23:$J$32,2,FALSE)),"")</f>
        <v/>
      </c>
      <c r="L97" s="2053"/>
      <c r="M97" s="2053"/>
      <c r="N97" s="2053"/>
      <c r="O97" s="2053"/>
      <c r="P97" s="2053"/>
      <c r="Q97" s="2053"/>
      <c r="R97" s="2053"/>
      <c r="S97" s="2053"/>
      <c r="T97" s="2053"/>
      <c r="U97" s="2053" t="str">
        <f>IFERROR(IFERROR('Multi-Customer'!$DE$41&amp;" "&amp;'Multi-Customer'!$DE$42,VLOOKUP($D97,'Required Info to Submit'!$E$23:$J$32,3,FALSE)),"")</f>
        <v/>
      </c>
      <c r="V97" s="2053"/>
      <c r="W97" s="2053"/>
      <c r="X97" s="2053"/>
      <c r="Y97" s="2053"/>
      <c r="Z97" s="2053"/>
      <c r="AA97" s="2053"/>
      <c r="AB97" s="2053"/>
      <c r="AC97" s="2053"/>
      <c r="AD97" s="2053"/>
      <c r="AE97" s="2053"/>
      <c r="AF97" s="2053"/>
      <c r="AG97" s="2053"/>
      <c r="AH97" s="2053"/>
      <c r="AI97" s="2053"/>
      <c r="AJ97" s="2126" t="str">
        <f>IFERROR(IFERROR('Multi-Customer'!$DE$43,VLOOKUP($D97,'Required Info to Submit'!$E$23:$J$32,4,FALSE)),"")</f>
        <v/>
      </c>
      <c r="AK97" s="2127"/>
      <c r="AL97" s="2127"/>
      <c r="AM97" s="2127"/>
      <c r="AN97" s="2127"/>
      <c r="AO97" s="2127"/>
      <c r="AP97" s="2127"/>
      <c r="AQ97" s="2127"/>
      <c r="AR97" s="2127"/>
      <c r="AS97" s="2127"/>
      <c r="AT97" s="2128"/>
      <c r="AU97" s="1997" t="str">
        <f>IFERROR(IFERROR('Multi-Customer'!$DE$44,VLOOKUP($D97,'Required Info to Submit'!$E$23:$J$32,5,FALSE)),"")</f>
        <v/>
      </c>
      <c r="AV97" s="1998"/>
      <c r="AW97" s="1998"/>
      <c r="AX97" s="1999"/>
      <c r="AY97" s="2044" t="str">
        <f>IFERROR(IFERROR('Multi-Customer'!$DE$45,VLOOKUP($D97,'Required Info to Submit'!$E$23:$J$32,6,FALSE)),"")</f>
        <v/>
      </c>
      <c r="AZ97" s="2045"/>
      <c r="BA97" s="2045"/>
      <c r="BB97" s="2045"/>
      <c r="BC97" s="2046"/>
      <c r="BF97" s="138"/>
    </row>
    <row r="98" spans="2:58" x14ac:dyDescent="0.25">
      <c r="B98" s="137"/>
      <c r="C98" s="515">
        <v>4</v>
      </c>
      <c r="D98" s="2111">
        <f>'Customer Inputs'!$B$9</f>
        <v>0</v>
      </c>
      <c r="E98" s="2111"/>
      <c r="F98" s="2111"/>
      <c r="G98" s="2111"/>
      <c r="H98" s="2111"/>
      <c r="I98" s="2111"/>
      <c r="J98" s="2111"/>
      <c r="K98" s="2053" t="str">
        <f>IFERROR(IFERROR('Multi-Customer'!$EB$39,VLOOKUP($D98,'Required Info to Submit'!$E$23:$J$32,2,FALSE)),"")</f>
        <v/>
      </c>
      <c r="L98" s="2053"/>
      <c r="M98" s="2053"/>
      <c r="N98" s="2053"/>
      <c r="O98" s="2053"/>
      <c r="P98" s="2053"/>
      <c r="Q98" s="2053"/>
      <c r="R98" s="2053"/>
      <c r="S98" s="2053"/>
      <c r="T98" s="2053"/>
      <c r="U98" s="2053" t="str">
        <f>IFERROR(IFERROR('Multi-Customer'!$EB$41&amp;" "&amp;'Multi-Customer'!$EB$42,VLOOKUP($D98,'Required Info to Submit'!$E$23:$J$32,3,FALSE)),"")</f>
        <v/>
      </c>
      <c r="V98" s="2053"/>
      <c r="W98" s="2053"/>
      <c r="X98" s="2053"/>
      <c r="Y98" s="2053"/>
      <c r="Z98" s="2053"/>
      <c r="AA98" s="2053"/>
      <c r="AB98" s="2053"/>
      <c r="AC98" s="2053"/>
      <c r="AD98" s="2053"/>
      <c r="AE98" s="2053"/>
      <c r="AF98" s="2053"/>
      <c r="AG98" s="2053"/>
      <c r="AH98" s="2053"/>
      <c r="AI98" s="2053"/>
      <c r="AJ98" s="2126" t="str">
        <f>IFERROR(IFERROR('Multi-Customer'!$EB$43,VLOOKUP($D98,'Required Info to Submit'!$E$23:$J$32,4,FALSE)),"")</f>
        <v/>
      </c>
      <c r="AK98" s="2127"/>
      <c r="AL98" s="2127"/>
      <c r="AM98" s="2127"/>
      <c r="AN98" s="2127"/>
      <c r="AO98" s="2127"/>
      <c r="AP98" s="2127"/>
      <c r="AQ98" s="2127"/>
      <c r="AR98" s="2127"/>
      <c r="AS98" s="2127"/>
      <c r="AT98" s="2128"/>
      <c r="AU98" s="1997" t="str">
        <f>IFERROR(IFERROR('Multi-Customer'!$EB$44,VLOOKUP($D98,'Required Info to Submit'!$E$23:$J$32,5,FALSE)),"")</f>
        <v/>
      </c>
      <c r="AV98" s="1998"/>
      <c r="AW98" s="1998"/>
      <c r="AX98" s="1999"/>
      <c r="AY98" s="2044" t="str">
        <f>IFERROR(IFERROR('Multi-Customer'!$EB$45,VLOOKUP($D98,'Required Info to Submit'!$E$23:$J$32,6,FALSE)),"")</f>
        <v/>
      </c>
      <c r="AZ98" s="2045"/>
      <c r="BA98" s="2045"/>
      <c r="BB98" s="2045"/>
      <c r="BC98" s="2046"/>
      <c r="BF98" s="138"/>
    </row>
    <row r="99" spans="2:58" x14ac:dyDescent="0.25">
      <c r="B99" s="137"/>
      <c r="C99" s="515">
        <v>5</v>
      </c>
      <c r="D99" s="2111">
        <f>'Customer Inputs'!$B$10</f>
        <v>0</v>
      </c>
      <c r="E99" s="2111"/>
      <c r="F99" s="2111"/>
      <c r="G99" s="2111"/>
      <c r="H99" s="2111"/>
      <c r="I99" s="2111"/>
      <c r="J99" s="2111"/>
      <c r="K99" s="2053" t="str">
        <f>IFERROR(IFERROR('Multi-Customer'!$EY$39,VLOOKUP($D99,'Required Info to Submit'!$E$23:$J$32,2,FALSE)),"")</f>
        <v/>
      </c>
      <c r="L99" s="2053"/>
      <c r="M99" s="2053"/>
      <c r="N99" s="2053"/>
      <c r="O99" s="2053"/>
      <c r="P99" s="2053"/>
      <c r="Q99" s="2053"/>
      <c r="R99" s="2053"/>
      <c r="S99" s="2053"/>
      <c r="T99" s="2053"/>
      <c r="U99" s="2053" t="str">
        <f>IFERROR(IFERROR('Multi-Customer'!$EY$41&amp;" "&amp;'Multi-Customer'!$EY$42,VLOOKUP($D99,'Required Info to Submit'!$E$23:$J$32,3,FALSE)),"")</f>
        <v/>
      </c>
      <c r="V99" s="2053"/>
      <c r="W99" s="2053"/>
      <c r="X99" s="2053"/>
      <c r="Y99" s="2053"/>
      <c r="Z99" s="2053"/>
      <c r="AA99" s="2053"/>
      <c r="AB99" s="2053"/>
      <c r="AC99" s="2053"/>
      <c r="AD99" s="2053"/>
      <c r="AE99" s="2053"/>
      <c r="AF99" s="2053"/>
      <c r="AG99" s="2053"/>
      <c r="AH99" s="2053"/>
      <c r="AI99" s="2053"/>
      <c r="AJ99" s="2126" t="str">
        <f>IFERROR(IFERROR('Multi-Customer'!$EY$43,VLOOKUP($D99,'Required Info to Submit'!$E$23:$J$32,4,FALSE)),"")</f>
        <v/>
      </c>
      <c r="AK99" s="2127"/>
      <c r="AL99" s="2127"/>
      <c r="AM99" s="2127"/>
      <c r="AN99" s="2127"/>
      <c r="AO99" s="2127"/>
      <c r="AP99" s="2127"/>
      <c r="AQ99" s="2127"/>
      <c r="AR99" s="2127"/>
      <c r="AS99" s="2127"/>
      <c r="AT99" s="2128"/>
      <c r="AU99" s="1997" t="str">
        <f>IFERROR(IFERROR('Multi-Customer'!$EY$44,VLOOKUP($D99,'Required Info to Submit'!$E$23:$J$32,5,FALSE)),"")</f>
        <v/>
      </c>
      <c r="AV99" s="1998"/>
      <c r="AW99" s="1998"/>
      <c r="AX99" s="1999"/>
      <c r="AY99" s="2044" t="str">
        <f>IFERROR(IFERROR('Multi-Customer'!$EY$45,VLOOKUP($D99,'Required Info to Submit'!$E$23:$J$32,6,FALSE)),"")</f>
        <v/>
      </c>
      <c r="AZ99" s="2045"/>
      <c r="BA99" s="2045"/>
      <c r="BB99" s="2045"/>
      <c r="BC99" s="2046"/>
      <c r="BF99" s="138"/>
    </row>
    <row r="100" spans="2:58" x14ac:dyDescent="0.25">
      <c r="B100" s="137"/>
      <c r="C100" s="515">
        <v>6</v>
      </c>
      <c r="D100" s="2111">
        <f>'Customer Inputs'!$B$11</f>
        <v>0</v>
      </c>
      <c r="E100" s="2111"/>
      <c r="F100" s="2111"/>
      <c r="G100" s="2111"/>
      <c r="H100" s="2111"/>
      <c r="I100" s="2111"/>
      <c r="J100" s="2111"/>
      <c r="K100" s="2053" t="str">
        <f>IFERROR(IFERROR('Multi-Customer'!$FV$39,VLOOKUP($D100,'Required Info to Submit'!$E$23:$J$32,2,FALSE)),"")</f>
        <v/>
      </c>
      <c r="L100" s="2053"/>
      <c r="M100" s="2053"/>
      <c r="N100" s="2053"/>
      <c r="O100" s="2053"/>
      <c r="P100" s="2053"/>
      <c r="Q100" s="2053"/>
      <c r="R100" s="2053"/>
      <c r="S100" s="2053"/>
      <c r="T100" s="2053"/>
      <c r="U100" s="2053" t="str">
        <f>IFERROR(IFERROR('Multi-Customer'!$FV$41&amp;" "&amp;'Multi-Customer'!$FV$42,VLOOKUP($D100,'Required Info to Submit'!$E$23:$J$32,3,FALSE)),"")</f>
        <v/>
      </c>
      <c r="V100" s="2053"/>
      <c r="W100" s="2053"/>
      <c r="X100" s="2053"/>
      <c r="Y100" s="2053"/>
      <c r="Z100" s="2053"/>
      <c r="AA100" s="2053"/>
      <c r="AB100" s="2053"/>
      <c r="AC100" s="2053"/>
      <c r="AD100" s="2053"/>
      <c r="AE100" s="2053"/>
      <c r="AF100" s="2053"/>
      <c r="AG100" s="2053"/>
      <c r="AH100" s="2053"/>
      <c r="AI100" s="2053"/>
      <c r="AJ100" s="2126" t="str">
        <f>IFERROR(IFERROR('Multi-Customer'!$FV$43,VLOOKUP($D100,'Required Info to Submit'!$E$23:$J$32,4,FALSE)),"")</f>
        <v/>
      </c>
      <c r="AK100" s="2127"/>
      <c r="AL100" s="2127"/>
      <c r="AM100" s="2127"/>
      <c r="AN100" s="2127"/>
      <c r="AO100" s="2127"/>
      <c r="AP100" s="2127"/>
      <c r="AQ100" s="2127"/>
      <c r="AR100" s="2127"/>
      <c r="AS100" s="2127"/>
      <c r="AT100" s="2128"/>
      <c r="AU100" s="1997" t="str">
        <f>IFERROR(IFERROR('Multi-Customer'!$FV$44,VLOOKUP($D100,'Required Info to Submit'!$E$23:$J$32,5,FALSE)),"")</f>
        <v/>
      </c>
      <c r="AV100" s="1998"/>
      <c r="AW100" s="1998"/>
      <c r="AX100" s="1999"/>
      <c r="AY100" s="2044" t="str">
        <f>IFERROR(IFERROR('Multi-Customer'!$FV$45,VLOOKUP($D100,'Required Info to Submit'!$E$23:$J$32,6,FALSE)),"")</f>
        <v/>
      </c>
      <c r="AZ100" s="2045"/>
      <c r="BA100" s="2045"/>
      <c r="BB100" s="2045"/>
      <c r="BC100" s="2046"/>
      <c r="BF100" s="138"/>
    </row>
    <row r="101" spans="2:58" x14ac:dyDescent="0.25">
      <c r="B101" s="137"/>
      <c r="C101" s="515">
        <v>7</v>
      </c>
      <c r="D101" s="2111">
        <f>'Customer Inputs'!$B$12</f>
        <v>0</v>
      </c>
      <c r="E101" s="2111"/>
      <c r="F101" s="2111"/>
      <c r="G101" s="2111"/>
      <c r="H101" s="2111"/>
      <c r="I101" s="2111"/>
      <c r="J101" s="2111"/>
      <c r="K101" s="2053" t="str">
        <f>IFERROR(IFERROR('Multi-Customer'!$GS$39,VLOOKUP($D101,'Required Info to Submit'!$E$23:$J$32,2,FALSE)),"")</f>
        <v/>
      </c>
      <c r="L101" s="2053"/>
      <c r="M101" s="2053"/>
      <c r="N101" s="2053"/>
      <c r="O101" s="2053"/>
      <c r="P101" s="2053"/>
      <c r="Q101" s="2053"/>
      <c r="R101" s="2053"/>
      <c r="S101" s="2053"/>
      <c r="T101" s="2053"/>
      <c r="U101" s="2053" t="str">
        <f>IFERROR(IFERROR('Multi-Customer'!$GS$41&amp;" "&amp;'Multi-Customer'!$GS$42,VLOOKUP($D101,'Required Info to Submit'!$E$23:$J$32,3,FALSE)),"")</f>
        <v/>
      </c>
      <c r="V101" s="2053"/>
      <c r="W101" s="2053"/>
      <c r="X101" s="2053"/>
      <c r="Y101" s="2053"/>
      <c r="Z101" s="2053"/>
      <c r="AA101" s="2053"/>
      <c r="AB101" s="2053"/>
      <c r="AC101" s="2053"/>
      <c r="AD101" s="2053"/>
      <c r="AE101" s="2053"/>
      <c r="AF101" s="2053"/>
      <c r="AG101" s="2053"/>
      <c r="AH101" s="2053"/>
      <c r="AI101" s="2053"/>
      <c r="AJ101" s="2126" t="str">
        <f>IFERROR(IFERROR('Multi-Customer'!$GS$43,VLOOKUP($D101,'Required Info to Submit'!$E$23:$J$32,4,FALSE)),"")</f>
        <v/>
      </c>
      <c r="AK101" s="2127"/>
      <c r="AL101" s="2127"/>
      <c r="AM101" s="2127"/>
      <c r="AN101" s="2127"/>
      <c r="AO101" s="2127"/>
      <c r="AP101" s="2127"/>
      <c r="AQ101" s="2127"/>
      <c r="AR101" s="2127"/>
      <c r="AS101" s="2127"/>
      <c r="AT101" s="2128"/>
      <c r="AU101" s="1997" t="str">
        <f>IFERROR(IFERROR('Multi-Customer'!$GS$44,VLOOKUP($D101,'Required Info to Submit'!$E$23:$J$32,5,FALSE)),"")</f>
        <v/>
      </c>
      <c r="AV101" s="1998"/>
      <c r="AW101" s="1998"/>
      <c r="AX101" s="1999"/>
      <c r="AY101" s="2044" t="str">
        <f>IFERROR(IFERROR('Multi-Customer'!$GS$45,VLOOKUP($D101,'Required Info to Submit'!$E$23:$J$32,6,FALSE)),"")</f>
        <v/>
      </c>
      <c r="AZ101" s="2045"/>
      <c r="BA101" s="2045"/>
      <c r="BB101" s="2045"/>
      <c r="BC101" s="2046"/>
      <c r="BF101" s="138"/>
    </row>
    <row r="102" spans="2:58" x14ac:dyDescent="0.25">
      <c r="B102" s="137"/>
      <c r="C102" s="515">
        <v>8</v>
      </c>
      <c r="D102" s="2111">
        <f>'Customer Inputs'!$B$13</f>
        <v>0</v>
      </c>
      <c r="E102" s="2111"/>
      <c r="F102" s="2111"/>
      <c r="G102" s="2111"/>
      <c r="H102" s="2111"/>
      <c r="I102" s="2111"/>
      <c r="J102" s="2111"/>
      <c r="K102" s="2053" t="str">
        <f>IFERROR(IFERROR('Multi-Customer'!$HP$39,VLOOKUP($D102,'Required Info to Submit'!$E$23:$J$32,2,FALSE)),"")</f>
        <v/>
      </c>
      <c r="L102" s="2053"/>
      <c r="M102" s="2053"/>
      <c r="N102" s="2053"/>
      <c r="O102" s="2053"/>
      <c r="P102" s="2053"/>
      <c r="Q102" s="2053"/>
      <c r="R102" s="2053"/>
      <c r="S102" s="2053"/>
      <c r="T102" s="2053"/>
      <c r="U102" s="2053" t="str">
        <f>IFERROR(IFERROR('Multi-Customer'!$HP$41&amp;" "&amp;'Multi-Customer'!$HP$42,VLOOKUP($D102,'Required Info to Submit'!$E$23:$J$32,3,FALSE)),"")</f>
        <v/>
      </c>
      <c r="V102" s="2053"/>
      <c r="W102" s="2053"/>
      <c r="X102" s="2053"/>
      <c r="Y102" s="2053"/>
      <c r="Z102" s="2053"/>
      <c r="AA102" s="2053"/>
      <c r="AB102" s="2053"/>
      <c r="AC102" s="2053"/>
      <c r="AD102" s="2053"/>
      <c r="AE102" s="2053"/>
      <c r="AF102" s="2053"/>
      <c r="AG102" s="2053"/>
      <c r="AH102" s="2053"/>
      <c r="AI102" s="2053"/>
      <c r="AJ102" s="2126" t="str">
        <f>IFERROR(IFERROR('Multi-Customer'!$HP$43,VLOOKUP($D102,'Required Info to Submit'!$E$23:$J$32,4,FALSE)),"")</f>
        <v/>
      </c>
      <c r="AK102" s="2127"/>
      <c r="AL102" s="2127"/>
      <c r="AM102" s="2127"/>
      <c r="AN102" s="2127"/>
      <c r="AO102" s="2127"/>
      <c r="AP102" s="2127"/>
      <c r="AQ102" s="2127"/>
      <c r="AR102" s="2127"/>
      <c r="AS102" s="2127"/>
      <c r="AT102" s="2128"/>
      <c r="AU102" s="1997" t="str">
        <f>IFERROR(IFERROR('Multi-Customer'!$HP$44,VLOOKUP($D102,'Required Info to Submit'!$E$23:$J$32,5,FALSE)),"")</f>
        <v/>
      </c>
      <c r="AV102" s="1998"/>
      <c r="AW102" s="1998"/>
      <c r="AX102" s="1999"/>
      <c r="AY102" s="2044" t="str">
        <f>IFERROR(IFERROR('Multi-Customer'!$HP$45,VLOOKUP($D102,'Required Info to Submit'!$E$23:$J$32,6,FALSE)),"")</f>
        <v/>
      </c>
      <c r="AZ102" s="2045"/>
      <c r="BA102" s="2045"/>
      <c r="BB102" s="2045"/>
      <c r="BC102" s="2046"/>
      <c r="BF102" s="138"/>
    </row>
    <row r="103" spans="2:58" x14ac:dyDescent="0.25">
      <c r="B103" s="137"/>
      <c r="C103" s="515">
        <v>9</v>
      </c>
      <c r="D103" s="2111">
        <f>'Customer Inputs'!$B$14</f>
        <v>0</v>
      </c>
      <c r="E103" s="2111"/>
      <c r="F103" s="2111"/>
      <c r="G103" s="2111"/>
      <c r="H103" s="2111"/>
      <c r="I103" s="2111"/>
      <c r="J103" s="2111"/>
      <c r="K103" s="2053" t="str">
        <f>IFERROR(IFERROR('Multi-Customer'!$IM$39,VLOOKUP($D103,'Required Info to Submit'!$E$23:$J$32,2,FALSE)),"")</f>
        <v/>
      </c>
      <c r="L103" s="2053"/>
      <c r="M103" s="2053"/>
      <c r="N103" s="2053"/>
      <c r="O103" s="2053"/>
      <c r="P103" s="2053"/>
      <c r="Q103" s="2053"/>
      <c r="R103" s="2053"/>
      <c r="S103" s="2053"/>
      <c r="T103" s="2053"/>
      <c r="U103" s="2053" t="str">
        <f>IFERROR(IFERROR('Multi-Customer'!$IM$41&amp;" "&amp;'Multi-Customer'!$IM$42,VLOOKUP($D103,'Required Info to Submit'!$E$23:$J$32,3,FALSE)),"")</f>
        <v/>
      </c>
      <c r="V103" s="2053"/>
      <c r="W103" s="2053"/>
      <c r="X103" s="2053"/>
      <c r="Y103" s="2053"/>
      <c r="Z103" s="2053"/>
      <c r="AA103" s="2053"/>
      <c r="AB103" s="2053"/>
      <c r="AC103" s="2053"/>
      <c r="AD103" s="2053"/>
      <c r="AE103" s="2053"/>
      <c r="AF103" s="2053"/>
      <c r="AG103" s="2053"/>
      <c r="AH103" s="2053"/>
      <c r="AI103" s="2053"/>
      <c r="AJ103" s="2126" t="str">
        <f>IFERROR(IFERROR('Multi-Customer'!$IM$43,VLOOKUP($D103,'Required Info to Submit'!$E$23:$J$32,4,FALSE)),"")</f>
        <v/>
      </c>
      <c r="AK103" s="2127"/>
      <c r="AL103" s="2127"/>
      <c r="AM103" s="2127"/>
      <c r="AN103" s="2127"/>
      <c r="AO103" s="2127"/>
      <c r="AP103" s="2127"/>
      <c r="AQ103" s="2127"/>
      <c r="AR103" s="2127"/>
      <c r="AS103" s="2127"/>
      <c r="AT103" s="2128"/>
      <c r="AU103" s="1997" t="str">
        <f>IFERROR(IFERROR('Multi-Customer'!$IM$44,VLOOKUP($D103,'Required Info to Submit'!$E$23:$J$32,5,FALSE)),"")</f>
        <v/>
      </c>
      <c r="AV103" s="1998"/>
      <c r="AW103" s="1998"/>
      <c r="AX103" s="1999"/>
      <c r="AY103" s="2044" t="str">
        <f>IFERROR(IFERROR('Multi-Customer'!$IM$45,VLOOKUP($D103,'Required Info to Submit'!$E$23:$J$32,6,FALSE)),"")</f>
        <v/>
      </c>
      <c r="AZ103" s="2045"/>
      <c r="BA103" s="2045"/>
      <c r="BB103" s="2045"/>
      <c r="BC103" s="2046"/>
      <c r="BF103" s="138"/>
    </row>
    <row r="104" spans="2:58" x14ac:dyDescent="0.25">
      <c r="B104" s="137"/>
      <c r="C104" s="515">
        <v>10</v>
      </c>
      <c r="D104" s="2111">
        <f>'Customer Inputs'!$B$15</f>
        <v>0</v>
      </c>
      <c r="E104" s="2111"/>
      <c r="F104" s="2111"/>
      <c r="G104" s="2111"/>
      <c r="H104" s="2111"/>
      <c r="I104" s="2111"/>
      <c r="J104" s="2111"/>
      <c r="K104" s="2053" t="str">
        <f>IFERROR(IFERROR('Multi-Customer'!$JJ$39,VLOOKUP($D104,'Required Info to Submit'!$E$23:$J$32,2,FALSE)),"")</f>
        <v/>
      </c>
      <c r="L104" s="2053"/>
      <c r="M104" s="2053"/>
      <c r="N104" s="2053"/>
      <c r="O104" s="2053"/>
      <c r="P104" s="2053"/>
      <c r="Q104" s="2053"/>
      <c r="R104" s="2053"/>
      <c r="S104" s="2053"/>
      <c r="T104" s="2053"/>
      <c r="U104" s="2053" t="str">
        <f>IFERROR(IFERROR('Multi-Customer'!$JJ$41&amp;" "&amp;'Multi-Customer'!$JJ$42,VLOOKUP($D104,'Required Info to Submit'!$E$23:$J$32,3,FALSE)),"")</f>
        <v/>
      </c>
      <c r="V104" s="2053"/>
      <c r="W104" s="2053"/>
      <c r="X104" s="2053"/>
      <c r="Y104" s="2053"/>
      <c r="Z104" s="2053"/>
      <c r="AA104" s="2053"/>
      <c r="AB104" s="2053"/>
      <c r="AC104" s="2053"/>
      <c r="AD104" s="2053"/>
      <c r="AE104" s="2053"/>
      <c r="AF104" s="2053"/>
      <c r="AG104" s="2053"/>
      <c r="AH104" s="2053"/>
      <c r="AI104" s="2053"/>
      <c r="AJ104" s="2126" t="str">
        <f>IFERROR(IFERROR('Multi-Customer'!$JJ$43,VLOOKUP($D104,'Required Info to Submit'!$E$23:$J$32,4,FALSE)),"")</f>
        <v/>
      </c>
      <c r="AK104" s="2127"/>
      <c r="AL104" s="2127"/>
      <c r="AM104" s="2127"/>
      <c r="AN104" s="2127"/>
      <c r="AO104" s="2127"/>
      <c r="AP104" s="2127"/>
      <c r="AQ104" s="2127"/>
      <c r="AR104" s="2127"/>
      <c r="AS104" s="2127"/>
      <c r="AT104" s="2128"/>
      <c r="AU104" s="1997" t="str">
        <f>IFERROR(IFERROR('Multi-Customer'!$JJ$44,VLOOKUP($D104,'Required Info to Submit'!$E$23:$J$32,5,FALSE)),"")</f>
        <v/>
      </c>
      <c r="AV104" s="1998"/>
      <c r="AW104" s="1998"/>
      <c r="AX104" s="1999"/>
      <c r="AY104" s="2044" t="str">
        <f>IFERROR(IFERROR('Multi-Customer'!$JJ$45,VLOOKUP($D104,'Required Info to Submit'!$E$23:$J$32,6,FALSE)),"")</f>
        <v/>
      </c>
      <c r="AZ104" s="2045"/>
      <c r="BA104" s="2045"/>
      <c r="BB104" s="2045"/>
      <c r="BC104" s="2046"/>
      <c r="BD104" s="1729"/>
      <c r="BE104" s="1729"/>
      <c r="BF104" s="138"/>
    </row>
    <row r="105" spans="2:58" x14ac:dyDescent="0.25">
      <c r="B105" s="137"/>
      <c r="C105" s="515">
        <v>11</v>
      </c>
      <c r="D105" s="2111">
        <f>'Customer Inputs'!$B$16</f>
        <v>0</v>
      </c>
      <c r="E105" s="2111"/>
      <c r="F105" s="2111"/>
      <c r="G105" s="2111"/>
      <c r="H105" s="2111"/>
      <c r="I105" s="2111"/>
      <c r="J105" s="2111"/>
      <c r="K105" s="2053" t="str">
        <f>IFERROR(IFERROR('Multi-Customer'!$KG$39,VLOOKUP($D105,'Required Info to Submit'!$E$23:$J$32,2,FALSE)),"")</f>
        <v/>
      </c>
      <c r="L105" s="2053"/>
      <c r="M105" s="2053"/>
      <c r="N105" s="2053"/>
      <c r="O105" s="2053"/>
      <c r="P105" s="2053"/>
      <c r="Q105" s="2053"/>
      <c r="R105" s="2053"/>
      <c r="S105" s="2053"/>
      <c r="T105" s="2053"/>
      <c r="U105" s="2053" t="str">
        <f>IFERROR(IFERROR('Multi-Customer'!$KG$41&amp;" "&amp;'Multi-Customer'!$KG$42,VLOOKUP($D105,'Required Info to Submit'!$E$23:$J$32,3,FALSE)),"")</f>
        <v/>
      </c>
      <c r="V105" s="2053"/>
      <c r="W105" s="2053"/>
      <c r="X105" s="2053"/>
      <c r="Y105" s="2053"/>
      <c r="Z105" s="2053"/>
      <c r="AA105" s="2053"/>
      <c r="AB105" s="2053"/>
      <c r="AC105" s="2053"/>
      <c r="AD105" s="2053"/>
      <c r="AE105" s="2053"/>
      <c r="AF105" s="2053"/>
      <c r="AG105" s="2053"/>
      <c r="AH105" s="2053"/>
      <c r="AI105" s="2053"/>
      <c r="AJ105" s="2126" t="str">
        <f>IFERROR(IFERROR('Multi-Customer'!$KG$43,VLOOKUP($D105,'Required Info to Submit'!$E$23:$J$32,4,FALSE)),"")</f>
        <v/>
      </c>
      <c r="AK105" s="2127"/>
      <c r="AL105" s="2127"/>
      <c r="AM105" s="2127"/>
      <c r="AN105" s="2127"/>
      <c r="AO105" s="2127"/>
      <c r="AP105" s="2127"/>
      <c r="AQ105" s="2127"/>
      <c r="AR105" s="2127"/>
      <c r="AS105" s="2127"/>
      <c r="AT105" s="2128"/>
      <c r="AU105" s="1997" t="str">
        <f>IFERROR(IFERROR('Multi-Customer'!$KG$44,VLOOKUP($D105,'Required Info to Submit'!$E$23:$J$32,5,FALSE)),"")</f>
        <v/>
      </c>
      <c r="AV105" s="1998"/>
      <c r="AW105" s="1998"/>
      <c r="AX105" s="1999"/>
      <c r="AY105" s="2044" t="str">
        <f>IFERROR(IFERROR('Multi-Customer'!$KG$45,VLOOKUP($D105,'Required Info to Submit'!$E$23:$J$32,6,FALSE)),"")</f>
        <v/>
      </c>
      <c r="AZ105" s="2045"/>
      <c r="BA105" s="2045"/>
      <c r="BB105" s="2045"/>
      <c r="BC105" s="2046"/>
      <c r="BD105" s="1729"/>
      <c r="BE105" s="1729"/>
      <c r="BF105" s="138"/>
    </row>
    <row r="106" spans="2:58" x14ac:dyDescent="0.25">
      <c r="B106" s="137"/>
      <c r="C106" s="515">
        <v>12</v>
      </c>
      <c r="D106" s="2111">
        <f>'Customer Inputs'!$B$17</f>
        <v>0</v>
      </c>
      <c r="E106" s="2111"/>
      <c r="F106" s="2111"/>
      <c r="G106" s="2111"/>
      <c r="H106" s="2111"/>
      <c r="I106" s="2111"/>
      <c r="J106" s="2111"/>
      <c r="K106" s="2053" t="str">
        <f>IFERROR(IFERROR('Multi-Customer'!$LD$39,VLOOKUP($D106,'Required Info to Submit'!$E$23:$J$32,2,FALSE)),"")</f>
        <v/>
      </c>
      <c r="L106" s="2053"/>
      <c r="M106" s="2053"/>
      <c r="N106" s="2053"/>
      <c r="O106" s="2053"/>
      <c r="P106" s="2053"/>
      <c r="Q106" s="2053"/>
      <c r="R106" s="2053"/>
      <c r="S106" s="2053"/>
      <c r="T106" s="2053"/>
      <c r="U106" s="2053" t="str">
        <f>IFERROR(IFERROR('Multi-Customer'!$LD$41&amp;" "&amp;'Multi-Customer'!$LD$42,VLOOKUP($D106,'Required Info to Submit'!$E$23:$J$32,3,FALSE)),"")</f>
        <v/>
      </c>
      <c r="V106" s="2053"/>
      <c r="W106" s="2053"/>
      <c r="X106" s="2053"/>
      <c r="Y106" s="2053"/>
      <c r="Z106" s="2053"/>
      <c r="AA106" s="2053"/>
      <c r="AB106" s="2053"/>
      <c r="AC106" s="2053"/>
      <c r="AD106" s="2053"/>
      <c r="AE106" s="2053"/>
      <c r="AF106" s="2053"/>
      <c r="AG106" s="2053"/>
      <c r="AH106" s="2053"/>
      <c r="AI106" s="2053"/>
      <c r="AJ106" s="2126" t="str">
        <f>IFERROR(IFERROR('Multi-Customer'!$LD$43,VLOOKUP($D106,'Required Info to Submit'!$E$23:$J$32,4,FALSE)),"")</f>
        <v/>
      </c>
      <c r="AK106" s="2127"/>
      <c r="AL106" s="2127"/>
      <c r="AM106" s="2127"/>
      <c r="AN106" s="2127"/>
      <c r="AO106" s="2127"/>
      <c r="AP106" s="2127"/>
      <c r="AQ106" s="2127"/>
      <c r="AR106" s="2127"/>
      <c r="AS106" s="2127"/>
      <c r="AT106" s="2128"/>
      <c r="AU106" s="1997" t="str">
        <f>IFERROR(IFERROR('Multi-Customer'!$LD$44,VLOOKUP($D106,'Required Info to Submit'!$E$23:$J$32,5,FALSE)),"")</f>
        <v/>
      </c>
      <c r="AV106" s="1998"/>
      <c r="AW106" s="1998"/>
      <c r="AX106" s="1999"/>
      <c r="AY106" s="2044" t="str">
        <f>IFERROR(IFERROR('Multi-Customer'!$LD$45,VLOOKUP($D106,'Required Info to Submit'!$E$23:$J$32,6,FALSE)),"")</f>
        <v/>
      </c>
      <c r="AZ106" s="2045"/>
      <c r="BA106" s="2045"/>
      <c r="BB106" s="2045"/>
      <c r="BC106" s="2046"/>
      <c r="BD106" s="1729"/>
      <c r="BE106" s="1729"/>
      <c r="BF106" s="138"/>
    </row>
    <row r="107" spans="2:58" x14ac:dyDescent="0.25">
      <c r="B107" s="137"/>
      <c r="C107" s="515">
        <v>13</v>
      </c>
      <c r="D107" s="2111">
        <f>'Customer Inputs'!$B$18</f>
        <v>0</v>
      </c>
      <c r="E107" s="2111"/>
      <c r="F107" s="2111"/>
      <c r="G107" s="2111"/>
      <c r="H107" s="2111"/>
      <c r="I107" s="2111"/>
      <c r="J107" s="2111"/>
      <c r="K107" s="2053" t="str">
        <f>IFERROR(IFERROR('Multi-Customer'!$MA$39,VLOOKUP($D107,'Required Info to Submit'!$E$23:$J$32,2,FALSE)),"")</f>
        <v/>
      </c>
      <c r="L107" s="2053"/>
      <c r="M107" s="2053"/>
      <c r="N107" s="2053"/>
      <c r="O107" s="2053"/>
      <c r="P107" s="2053"/>
      <c r="Q107" s="2053"/>
      <c r="R107" s="2053"/>
      <c r="S107" s="2053"/>
      <c r="T107" s="2053"/>
      <c r="U107" s="2053" t="str">
        <f>IFERROR(IFERROR('Multi-Customer'!$MA$41&amp;" "&amp;'Multi-Customer'!$JJ$42,VLOOKUP($D107,'Required Info to Submit'!$E$23:$J$32,3,FALSE)),"")</f>
        <v/>
      </c>
      <c r="V107" s="2053"/>
      <c r="W107" s="2053"/>
      <c r="X107" s="2053"/>
      <c r="Y107" s="2053"/>
      <c r="Z107" s="2053"/>
      <c r="AA107" s="2053"/>
      <c r="AB107" s="2053"/>
      <c r="AC107" s="2053"/>
      <c r="AD107" s="2053"/>
      <c r="AE107" s="2053"/>
      <c r="AF107" s="2053"/>
      <c r="AG107" s="2053"/>
      <c r="AH107" s="2053"/>
      <c r="AI107" s="2053"/>
      <c r="AJ107" s="2126" t="str">
        <f>IFERROR(IFERROR('Multi-Customer'!$MA$43,VLOOKUP($D107,'Required Info to Submit'!$E$23:$J$32,4,FALSE)),"")</f>
        <v/>
      </c>
      <c r="AK107" s="2127"/>
      <c r="AL107" s="2127"/>
      <c r="AM107" s="2127"/>
      <c r="AN107" s="2127"/>
      <c r="AO107" s="2127"/>
      <c r="AP107" s="2127"/>
      <c r="AQ107" s="2127"/>
      <c r="AR107" s="2127"/>
      <c r="AS107" s="2127"/>
      <c r="AT107" s="2128"/>
      <c r="AU107" s="1997" t="str">
        <f>IFERROR(IFERROR('Multi-Customer'!$MA$44,VLOOKUP($D107,'Required Info to Submit'!$E$23:$J$32,5,FALSE)),"")</f>
        <v/>
      </c>
      <c r="AV107" s="1998"/>
      <c r="AW107" s="1998"/>
      <c r="AX107" s="1999"/>
      <c r="AY107" s="2044" t="str">
        <f>IFERROR(IFERROR('Multi-Customer'!$MA$45,VLOOKUP($D107,'Required Info to Submit'!$E$23:$J$32,6,FALSE)),"")</f>
        <v/>
      </c>
      <c r="AZ107" s="2045"/>
      <c r="BA107" s="2045"/>
      <c r="BB107" s="2045"/>
      <c r="BC107" s="2046"/>
      <c r="BD107" s="1729"/>
      <c r="BE107" s="1729"/>
      <c r="BF107" s="138"/>
    </row>
    <row r="108" spans="2:58" x14ac:dyDescent="0.25">
      <c r="B108" s="137"/>
      <c r="C108" s="515">
        <v>14</v>
      </c>
      <c r="D108" s="2111">
        <f>'Customer Inputs'!$B$19</f>
        <v>0</v>
      </c>
      <c r="E108" s="2111"/>
      <c r="F108" s="2111"/>
      <c r="G108" s="2111"/>
      <c r="H108" s="2111"/>
      <c r="I108" s="2111"/>
      <c r="J108" s="2111"/>
      <c r="K108" s="2053" t="str">
        <f>IFERROR(IFERROR('Multi-Customer'!$MX$39,VLOOKUP($D108,'Required Info to Submit'!$E$23:$J$32,2,FALSE)),"")</f>
        <v/>
      </c>
      <c r="L108" s="2053"/>
      <c r="M108" s="2053"/>
      <c r="N108" s="2053"/>
      <c r="O108" s="2053"/>
      <c r="P108" s="2053"/>
      <c r="Q108" s="2053"/>
      <c r="R108" s="2053"/>
      <c r="S108" s="2053"/>
      <c r="T108" s="2053"/>
      <c r="U108" s="2053" t="str">
        <f>IFERROR(IFERROR('Multi-Customer'!$MX$41&amp;" "&amp;'Multi-Customer'!$JJ$42,VLOOKUP($D108,'Required Info to Submit'!$E$23:$J$32,3,FALSE)),"")</f>
        <v/>
      </c>
      <c r="V108" s="2053"/>
      <c r="W108" s="2053"/>
      <c r="X108" s="2053"/>
      <c r="Y108" s="2053"/>
      <c r="Z108" s="2053"/>
      <c r="AA108" s="2053"/>
      <c r="AB108" s="2053"/>
      <c r="AC108" s="2053"/>
      <c r="AD108" s="2053"/>
      <c r="AE108" s="2053"/>
      <c r="AF108" s="2053"/>
      <c r="AG108" s="2053"/>
      <c r="AH108" s="2053"/>
      <c r="AI108" s="2053"/>
      <c r="AJ108" s="2126" t="str">
        <f>IFERROR(IFERROR('Multi-Customer'!$MX$43,VLOOKUP($D108,'Required Info to Submit'!$E$23:$J$32,4,FALSE)),"")</f>
        <v/>
      </c>
      <c r="AK108" s="2127"/>
      <c r="AL108" s="2127"/>
      <c r="AM108" s="2127"/>
      <c r="AN108" s="2127"/>
      <c r="AO108" s="2127"/>
      <c r="AP108" s="2127"/>
      <c r="AQ108" s="2127"/>
      <c r="AR108" s="2127"/>
      <c r="AS108" s="2127"/>
      <c r="AT108" s="2128"/>
      <c r="AU108" s="1997" t="str">
        <f>IFERROR(IFERROR('Multi-Customer'!$MX$44,VLOOKUP($D108,'Required Info to Submit'!$E$23:$J$32,5,FALSE)),"")</f>
        <v/>
      </c>
      <c r="AV108" s="1998"/>
      <c r="AW108" s="1998"/>
      <c r="AX108" s="1999"/>
      <c r="AY108" s="2044" t="str">
        <f>IFERROR(IFERROR('Multi-Customer'!$MX$45,VLOOKUP($D108,'Required Info to Submit'!$E$23:$J$32,6,FALSE)),"")</f>
        <v/>
      </c>
      <c r="AZ108" s="2045"/>
      <c r="BA108" s="2045"/>
      <c r="BB108" s="2045"/>
      <c r="BC108" s="2046"/>
      <c r="BD108" s="1729"/>
      <c r="BE108" s="1729"/>
      <c r="BF108" s="138"/>
    </row>
    <row r="109" spans="2:58" ht="17.25" customHeight="1" x14ac:dyDescent="0.25">
      <c r="B109" s="137"/>
      <c r="C109" s="515">
        <v>15</v>
      </c>
      <c r="D109" s="2111">
        <f>'Customer Inputs'!$B$20</f>
        <v>0</v>
      </c>
      <c r="E109" s="2111"/>
      <c r="F109" s="2111"/>
      <c r="G109" s="2111"/>
      <c r="H109" s="2111"/>
      <c r="I109" s="2111"/>
      <c r="J109" s="2111"/>
      <c r="K109" s="2053" t="str">
        <f>IFERROR(IFERROR('Multi-Customer'!$NU$39,VLOOKUP($D109,'Required Info to Submit'!$E$23:$J$32,2,FALSE)),"")</f>
        <v/>
      </c>
      <c r="L109" s="2053"/>
      <c r="M109" s="2053"/>
      <c r="N109" s="2053"/>
      <c r="O109" s="2053"/>
      <c r="P109" s="2053"/>
      <c r="Q109" s="2053"/>
      <c r="R109" s="2053"/>
      <c r="S109" s="2053"/>
      <c r="T109" s="2053"/>
      <c r="U109" s="2053" t="str">
        <f>IFERROR(IFERROR('Multi-Customer'!$NU$41&amp;" "&amp;'Multi-Customer'!$JJ$42,VLOOKUP($D109,'Required Info to Submit'!$E$23:$J$32,3,FALSE)),"")</f>
        <v/>
      </c>
      <c r="V109" s="2053"/>
      <c r="W109" s="2053"/>
      <c r="X109" s="2053"/>
      <c r="Y109" s="2053"/>
      <c r="Z109" s="2053"/>
      <c r="AA109" s="2053"/>
      <c r="AB109" s="2053"/>
      <c r="AC109" s="2053"/>
      <c r="AD109" s="2053"/>
      <c r="AE109" s="2053"/>
      <c r="AF109" s="2053"/>
      <c r="AG109" s="2053"/>
      <c r="AH109" s="2053"/>
      <c r="AI109" s="2053"/>
      <c r="AJ109" s="2126" t="str">
        <f>IFERROR(IFERROR('Multi-Customer'!$NU$43,VLOOKUP($D109,'Required Info to Submit'!$E$23:$J$32,4,FALSE)),"")</f>
        <v/>
      </c>
      <c r="AK109" s="2127"/>
      <c r="AL109" s="2127"/>
      <c r="AM109" s="2127"/>
      <c r="AN109" s="2127"/>
      <c r="AO109" s="2127"/>
      <c r="AP109" s="2127"/>
      <c r="AQ109" s="2127"/>
      <c r="AR109" s="2127"/>
      <c r="AS109" s="2127"/>
      <c r="AT109" s="2128"/>
      <c r="AU109" s="1997" t="str">
        <f>IFERROR(IFERROR('Multi-Customer'!$NU$44,VLOOKUP($D109,'Required Info to Submit'!$E$23:$J$32,5,FALSE)),"")</f>
        <v/>
      </c>
      <c r="AV109" s="1998"/>
      <c r="AW109" s="1998"/>
      <c r="AX109" s="1999"/>
      <c r="AY109" s="2044" t="str">
        <f>IFERROR(IFERROR('Multi-Customer'!$NU$45,VLOOKUP($D109,'Required Info to Submit'!$E$23:$J$32,6,FALSE)),"")</f>
        <v/>
      </c>
      <c r="AZ109" s="2045"/>
      <c r="BA109" s="2045"/>
      <c r="BB109" s="2045"/>
      <c r="BC109" s="2046"/>
      <c r="BD109" s="1729"/>
      <c r="BE109" s="1729"/>
      <c r="BF109" s="138"/>
    </row>
    <row r="110" spans="2:58" x14ac:dyDescent="0.25">
      <c r="B110" s="137"/>
      <c r="C110" s="515">
        <v>16</v>
      </c>
      <c r="D110" s="2111">
        <f>'Customer Inputs'!$B$21</f>
        <v>0</v>
      </c>
      <c r="E110" s="2111"/>
      <c r="F110" s="2111"/>
      <c r="G110" s="2111"/>
      <c r="H110" s="2111"/>
      <c r="I110" s="2111"/>
      <c r="J110" s="2111"/>
      <c r="K110" s="2053" t="str">
        <f>IFERROR(IFERROR('Multi-Customer'!$OR$39,VLOOKUP($D110,'Required Info to Submit'!$E$23:$J$32,2,FALSE)),"")</f>
        <v/>
      </c>
      <c r="L110" s="2053"/>
      <c r="M110" s="2053"/>
      <c r="N110" s="2053"/>
      <c r="O110" s="2053"/>
      <c r="P110" s="2053"/>
      <c r="Q110" s="2053"/>
      <c r="R110" s="2053"/>
      <c r="S110" s="2053"/>
      <c r="T110" s="2053"/>
      <c r="U110" s="2053" t="str">
        <f>IFERROR(IFERROR('Multi-Customer'!$OR$41&amp;" "&amp;'Multi-Customer'!$JJ$42,VLOOKUP($D110,'Required Info to Submit'!$E$23:$J$32,3,FALSE)),"")</f>
        <v/>
      </c>
      <c r="V110" s="2053"/>
      <c r="W110" s="2053"/>
      <c r="X110" s="2053"/>
      <c r="Y110" s="2053"/>
      <c r="Z110" s="2053"/>
      <c r="AA110" s="2053"/>
      <c r="AB110" s="2053"/>
      <c r="AC110" s="2053"/>
      <c r="AD110" s="2053"/>
      <c r="AE110" s="2053"/>
      <c r="AF110" s="2053"/>
      <c r="AG110" s="2053"/>
      <c r="AH110" s="2053"/>
      <c r="AI110" s="2053"/>
      <c r="AJ110" s="2126" t="str">
        <f>IFERROR(IFERROR('Multi-Customer'!$OR$43,VLOOKUP($D110,'Required Info to Submit'!$E$23:$J$32,4,FALSE)),"")</f>
        <v/>
      </c>
      <c r="AK110" s="2127"/>
      <c r="AL110" s="2127"/>
      <c r="AM110" s="2127"/>
      <c r="AN110" s="2127"/>
      <c r="AO110" s="2127"/>
      <c r="AP110" s="2127"/>
      <c r="AQ110" s="2127"/>
      <c r="AR110" s="2127"/>
      <c r="AS110" s="2127"/>
      <c r="AT110" s="2128"/>
      <c r="AU110" s="1997" t="str">
        <f>IFERROR(IFERROR('Multi-Customer'!$OR$44,VLOOKUP($D110,'Required Info to Submit'!$E$23:$J$32,5,FALSE)),"")</f>
        <v/>
      </c>
      <c r="AV110" s="1998"/>
      <c r="AW110" s="1998"/>
      <c r="AX110" s="1999"/>
      <c r="AY110" s="2044" t="str">
        <f>IFERROR(IFERROR('Multi-Customer'!$OR$45,VLOOKUP($D110,'Required Info to Submit'!$E$23:$J$32,6,FALSE)),"")</f>
        <v/>
      </c>
      <c r="AZ110" s="2045"/>
      <c r="BA110" s="2045"/>
      <c r="BB110" s="2045"/>
      <c r="BC110" s="2046"/>
      <c r="BD110" s="1729"/>
      <c r="BE110" s="1729"/>
      <c r="BF110" s="138"/>
    </row>
    <row r="111" spans="2:58" x14ac:dyDescent="0.25">
      <c r="B111" s="137"/>
      <c r="C111" s="515">
        <v>17</v>
      </c>
      <c r="D111" s="2111">
        <f>'Customer Inputs'!$B$22</f>
        <v>0</v>
      </c>
      <c r="E111" s="2111"/>
      <c r="F111" s="2111"/>
      <c r="G111" s="2111"/>
      <c r="H111" s="2111"/>
      <c r="I111" s="2111"/>
      <c r="J111" s="2111"/>
      <c r="K111" s="2053" t="str">
        <f>IFERROR(IFERROR('Multi-Customer'!$PO$39,VLOOKUP($D111,'Required Info to Submit'!$E$23:$J$32,2,FALSE)),"")</f>
        <v/>
      </c>
      <c r="L111" s="2053"/>
      <c r="M111" s="2053"/>
      <c r="N111" s="2053"/>
      <c r="O111" s="2053"/>
      <c r="P111" s="2053"/>
      <c r="Q111" s="2053"/>
      <c r="R111" s="2053"/>
      <c r="S111" s="2053"/>
      <c r="T111" s="2053"/>
      <c r="U111" s="2053" t="str">
        <f>IFERROR(IFERROR('Multi-Customer'!$PO$41&amp;" "&amp;'Multi-Customer'!$JJ$42,VLOOKUP($D111,'Required Info to Submit'!$E$23:$J$32,3,FALSE)),"")</f>
        <v/>
      </c>
      <c r="V111" s="2053"/>
      <c r="W111" s="2053"/>
      <c r="X111" s="2053"/>
      <c r="Y111" s="2053"/>
      <c r="Z111" s="2053"/>
      <c r="AA111" s="2053"/>
      <c r="AB111" s="2053"/>
      <c r="AC111" s="2053"/>
      <c r="AD111" s="2053"/>
      <c r="AE111" s="2053"/>
      <c r="AF111" s="2053"/>
      <c r="AG111" s="2053"/>
      <c r="AH111" s="2053"/>
      <c r="AI111" s="2053"/>
      <c r="AJ111" s="2126" t="str">
        <f>IFERROR(IFERROR('Multi-Customer'!$PO$43,VLOOKUP($D111,'Required Info to Submit'!$E$23:$J$32,4,FALSE)),"")</f>
        <v/>
      </c>
      <c r="AK111" s="2127"/>
      <c r="AL111" s="2127"/>
      <c r="AM111" s="2127"/>
      <c r="AN111" s="2127"/>
      <c r="AO111" s="2127"/>
      <c r="AP111" s="2127"/>
      <c r="AQ111" s="2127"/>
      <c r="AR111" s="2127"/>
      <c r="AS111" s="2127"/>
      <c r="AT111" s="2128"/>
      <c r="AU111" s="1997" t="str">
        <f>IFERROR(IFERROR('Multi-Customer'!$PO$44,VLOOKUP($D111,'Required Info to Submit'!$E$23:$J$32,5,FALSE)),"")</f>
        <v/>
      </c>
      <c r="AV111" s="1998"/>
      <c r="AW111" s="1998"/>
      <c r="AX111" s="1999"/>
      <c r="AY111" s="2044" t="str">
        <f>IFERROR(IFERROR('Multi-Customer'!$PO$45,VLOOKUP($D111,'Required Info to Submit'!$E$23:$J$32,6,FALSE)),"")</f>
        <v/>
      </c>
      <c r="AZ111" s="2045"/>
      <c r="BA111" s="2045"/>
      <c r="BB111" s="2045"/>
      <c r="BC111" s="2046"/>
      <c r="BD111" s="1729"/>
      <c r="BE111" s="1729"/>
      <c r="BF111" s="138"/>
    </row>
    <row r="112" spans="2:58" x14ac:dyDescent="0.25">
      <c r="B112" s="137"/>
      <c r="C112" s="515">
        <v>18</v>
      </c>
      <c r="D112" s="2111">
        <f>'Customer Inputs'!$B$23</f>
        <v>0</v>
      </c>
      <c r="E112" s="2111"/>
      <c r="F112" s="2111"/>
      <c r="G112" s="2111"/>
      <c r="H112" s="2111"/>
      <c r="I112" s="2111"/>
      <c r="J112" s="2111"/>
      <c r="K112" s="2053" t="str">
        <f>IFERROR(IFERROR('Multi-Customer'!$QL$39,VLOOKUP($D112,'Required Info to Submit'!$E$23:$J$32,2,FALSE)),"")</f>
        <v/>
      </c>
      <c r="L112" s="2053"/>
      <c r="M112" s="2053"/>
      <c r="N112" s="2053"/>
      <c r="O112" s="2053"/>
      <c r="P112" s="2053"/>
      <c r="Q112" s="2053"/>
      <c r="R112" s="2053"/>
      <c r="S112" s="2053"/>
      <c r="T112" s="2053"/>
      <c r="U112" s="2053" t="str">
        <f>IFERROR(IFERROR('Multi-Customer'!$QL$41&amp;" "&amp;'Multi-Customer'!$JJ$42,VLOOKUP($D112,'Required Info to Submit'!$E$23:$J$32,3,FALSE)),"")</f>
        <v/>
      </c>
      <c r="V112" s="2053"/>
      <c r="W112" s="2053"/>
      <c r="X112" s="2053"/>
      <c r="Y112" s="2053"/>
      <c r="Z112" s="2053"/>
      <c r="AA112" s="2053"/>
      <c r="AB112" s="2053"/>
      <c r="AC112" s="2053"/>
      <c r="AD112" s="2053"/>
      <c r="AE112" s="2053"/>
      <c r="AF112" s="2053"/>
      <c r="AG112" s="2053"/>
      <c r="AH112" s="2053"/>
      <c r="AI112" s="2053"/>
      <c r="AJ112" s="2126" t="str">
        <f>IFERROR(IFERROR('Multi-Customer'!$QL$43,VLOOKUP($D112,'Required Info to Submit'!$E$23:$J$32,4,FALSE)),"")</f>
        <v/>
      </c>
      <c r="AK112" s="2127"/>
      <c r="AL112" s="2127"/>
      <c r="AM112" s="2127"/>
      <c r="AN112" s="2127"/>
      <c r="AO112" s="2127"/>
      <c r="AP112" s="2127"/>
      <c r="AQ112" s="2127"/>
      <c r="AR112" s="2127"/>
      <c r="AS112" s="2127"/>
      <c r="AT112" s="2128"/>
      <c r="AU112" s="1997" t="str">
        <f>IFERROR(IFERROR('Multi-Customer'!$QL$44,VLOOKUP($D112,'Required Info to Submit'!$E$23:$J$32,5,FALSE)),"")</f>
        <v/>
      </c>
      <c r="AV112" s="1998"/>
      <c r="AW112" s="1998"/>
      <c r="AX112" s="1999"/>
      <c r="AY112" s="2044" t="str">
        <f>IFERROR(IFERROR('Multi-Customer'!$QL$45,VLOOKUP($D112,'Required Info to Submit'!$E$23:$J$32,6,FALSE)),"")</f>
        <v/>
      </c>
      <c r="AZ112" s="2045"/>
      <c r="BA112" s="2045"/>
      <c r="BB112" s="2045"/>
      <c r="BC112" s="2046"/>
      <c r="BD112" s="1729"/>
      <c r="BE112" s="1729"/>
      <c r="BF112" s="138"/>
    </row>
    <row r="113" spans="2:58" x14ac:dyDescent="0.25">
      <c r="B113" s="137"/>
      <c r="C113" s="515">
        <v>19</v>
      </c>
      <c r="D113" s="2111">
        <f>'Customer Inputs'!$B$24</f>
        <v>0</v>
      </c>
      <c r="E113" s="2111"/>
      <c r="F113" s="2111"/>
      <c r="G113" s="2111"/>
      <c r="H113" s="2111"/>
      <c r="I113" s="2111"/>
      <c r="J113" s="2111"/>
      <c r="K113" s="2053" t="str">
        <f>IFERROR(IFERROR('Multi-Customer'!$RI$39,VLOOKUP($D113,'Required Info to Submit'!$E$23:$J$32,2,FALSE)),"")</f>
        <v/>
      </c>
      <c r="L113" s="2053"/>
      <c r="M113" s="2053"/>
      <c r="N113" s="2053"/>
      <c r="O113" s="2053"/>
      <c r="P113" s="2053"/>
      <c r="Q113" s="2053"/>
      <c r="R113" s="2053"/>
      <c r="S113" s="2053"/>
      <c r="T113" s="2053"/>
      <c r="U113" s="2053" t="str">
        <f>IFERROR(IFERROR('Multi-Customer'!$RI$41&amp;" "&amp;'Multi-Customer'!$JJ$42,VLOOKUP($D113,'Required Info to Submit'!$E$23:$J$32,3,FALSE)),"")</f>
        <v/>
      </c>
      <c r="V113" s="2053"/>
      <c r="W113" s="2053"/>
      <c r="X113" s="2053"/>
      <c r="Y113" s="2053"/>
      <c r="Z113" s="2053"/>
      <c r="AA113" s="2053"/>
      <c r="AB113" s="2053"/>
      <c r="AC113" s="2053"/>
      <c r="AD113" s="2053"/>
      <c r="AE113" s="2053"/>
      <c r="AF113" s="2053"/>
      <c r="AG113" s="2053"/>
      <c r="AH113" s="2053"/>
      <c r="AI113" s="2053"/>
      <c r="AJ113" s="2126" t="str">
        <f>IFERROR(IFERROR('Multi-Customer'!$RI$43,VLOOKUP($D113,'Required Info to Submit'!$E$23:$J$32,4,FALSE)),"")</f>
        <v/>
      </c>
      <c r="AK113" s="2127"/>
      <c r="AL113" s="2127"/>
      <c r="AM113" s="2127"/>
      <c r="AN113" s="2127"/>
      <c r="AO113" s="2127"/>
      <c r="AP113" s="2127"/>
      <c r="AQ113" s="2127"/>
      <c r="AR113" s="2127"/>
      <c r="AS113" s="2127"/>
      <c r="AT113" s="2128"/>
      <c r="AU113" s="1997" t="str">
        <f>IFERROR(IFERROR('Multi-Customer'!$RI$44,VLOOKUP($D113,'Required Info to Submit'!$E$23:$J$32,5,FALSE)),"")</f>
        <v/>
      </c>
      <c r="AV113" s="1998"/>
      <c r="AW113" s="1998"/>
      <c r="AX113" s="1999"/>
      <c r="AY113" s="2044" t="str">
        <f>IFERROR(IFERROR('Multi-Customer'!$RI$45,VLOOKUP($D113,'Required Info to Submit'!$E$23:$J$32,6,FALSE)),"")</f>
        <v/>
      </c>
      <c r="AZ113" s="2045"/>
      <c r="BA113" s="2045"/>
      <c r="BB113" s="2045"/>
      <c r="BC113" s="2046"/>
      <c r="BD113" s="1729"/>
      <c r="BE113" s="1729"/>
      <c r="BF113" s="138"/>
    </row>
    <row r="114" spans="2:58" ht="15.75" thickBot="1" x14ac:dyDescent="0.3">
      <c r="B114" s="137"/>
      <c r="C114" s="516">
        <v>20</v>
      </c>
      <c r="D114" s="2122">
        <f>'Customer Inputs'!$B$25</f>
        <v>0</v>
      </c>
      <c r="E114" s="2122"/>
      <c r="F114" s="2122"/>
      <c r="G114" s="2122"/>
      <c r="H114" s="2122"/>
      <c r="I114" s="2122"/>
      <c r="J114" s="2122"/>
      <c r="K114" s="2121" t="str">
        <f>IFERROR(IFERROR('Multi-Customer'!$SF$39,VLOOKUP($D114,'Required Info to Submit'!$E$23:$J$32,2,FALSE)),"")</f>
        <v/>
      </c>
      <c r="L114" s="2121"/>
      <c r="M114" s="2121"/>
      <c r="N114" s="2121"/>
      <c r="O114" s="2121"/>
      <c r="P114" s="2121"/>
      <c r="Q114" s="2121"/>
      <c r="R114" s="2121"/>
      <c r="S114" s="2121"/>
      <c r="T114" s="2121"/>
      <c r="U114" s="2121" t="str">
        <f>IFERROR(IFERROR('Multi-Customer'!$SF$41&amp;" "&amp;'Multi-Customer'!$JJ$42,VLOOKUP($D114,'Required Info to Submit'!$E$23:$J$32,3,FALSE)),"")</f>
        <v/>
      </c>
      <c r="V114" s="2121"/>
      <c r="W114" s="2121"/>
      <c r="X114" s="2121"/>
      <c r="Y114" s="2121"/>
      <c r="Z114" s="2121"/>
      <c r="AA114" s="2121"/>
      <c r="AB114" s="2121"/>
      <c r="AC114" s="2121"/>
      <c r="AD114" s="2121"/>
      <c r="AE114" s="2121"/>
      <c r="AF114" s="2121"/>
      <c r="AG114" s="2121"/>
      <c r="AH114" s="2121"/>
      <c r="AI114" s="2121"/>
      <c r="AJ114" s="2123" t="str">
        <f>IFERROR(IFERROR('Multi-Customer'!$SF$43,VLOOKUP($D114,'Required Info to Submit'!$E$23:$J$32,4,FALSE)),"")</f>
        <v/>
      </c>
      <c r="AK114" s="2124"/>
      <c r="AL114" s="2124"/>
      <c r="AM114" s="2124"/>
      <c r="AN114" s="2124"/>
      <c r="AO114" s="2124"/>
      <c r="AP114" s="2124"/>
      <c r="AQ114" s="2124"/>
      <c r="AR114" s="2124"/>
      <c r="AS114" s="2124"/>
      <c r="AT114" s="2125"/>
      <c r="AU114" s="2143" t="str">
        <f>IFERROR(IFERROR('Multi-Customer'!$SF$44,VLOOKUP($D114,'Required Info to Submit'!$E$23:$J$32,5,FALSE)),"")</f>
        <v/>
      </c>
      <c r="AV114" s="2144"/>
      <c r="AW114" s="2144"/>
      <c r="AX114" s="2145"/>
      <c r="AY114" s="2136" t="str">
        <f>IFERROR(IFERROR('Multi-Customer'!$SF$45,VLOOKUP($D114,'Required Info to Submit'!$E$23:$J$32,6,FALSE)),"")</f>
        <v/>
      </c>
      <c r="AZ114" s="2137"/>
      <c r="BA114" s="2137"/>
      <c r="BB114" s="2137"/>
      <c r="BC114" s="2138"/>
      <c r="BF114" s="138"/>
    </row>
    <row r="115" spans="2:58" x14ac:dyDescent="0.25">
      <c r="B115" s="137"/>
      <c r="BF115" s="138"/>
    </row>
    <row r="116" spans="2:58" x14ac:dyDescent="0.25">
      <c r="B116" s="137"/>
      <c r="BF116" s="138"/>
    </row>
    <row r="117" spans="2:58" ht="18.75" x14ac:dyDescent="0.3">
      <c r="B117" s="2099" t="s">
        <v>965</v>
      </c>
      <c r="C117" s="2100"/>
      <c r="D117" s="2100"/>
      <c r="E117" s="2100"/>
      <c r="F117" s="2100"/>
      <c r="G117" s="2100"/>
      <c r="H117" s="2100"/>
      <c r="I117" s="2100"/>
      <c r="J117" s="2100"/>
      <c r="K117" s="2100"/>
      <c r="L117" s="2100"/>
      <c r="M117" s="2100"/>
      <c r="N117" s="2100"/>
      <c r="O117" s="2100"/>
      <c r="P117" s="2100"/>
      <c r="Q117" s="2100"/>
      <c r="R117" s="2100"/>
      <c r="S117" s="2100"/>
      <c r="T117" s="2100"/>
      <c r="U117" s="2100"/>
      <c r="V117" s="2100"/>
      <c r="W117" s="2100"/>
      <c r="X117" s="2100"/>
      <c r="Y117" s="2100"/>
      <c r="Z117" s="2100"/>
      <c r="AA117" s="2100"/>
      <c r="AB117" s="2100"/>
      <c r="AC117" s="2100"/>
      <c r="AD117" s="2100"/>
      <c r="AE117" s="2100"/>
      <c r="AF117" s="2100"/>
      <c r="AG117" s="2100"/>
      <c r="AH117" s="2100"/>
      <c r="AI117" s="2100"/>
      <c r="AJ117" s="2100"/>
      <c r="AK117" s="2100"/>
      <c r="AL117" s="2100"/>
      <c r="AM117" s="2100"/>
      <c r="AN117" s="2100"/>
      <c r="AO117" s="2100"/>
      <c r="AP117" s="2100"/>
      <c r="AQ117" s="2100"/>
      <c r="AR117" s="2100"/>
      <c r="AS117" s="2100"/>
      <c r="AT117" s="2100"/>
      <c r="AU117" s="2100"/>
      <c r="AV117" s="2100"/>
      <c r="AW117" s="2100"/>
      <c r="AX117" s="2100"/>
      <c r="AY117" s="2100"/>
      <c r="AZ117" s="2100"/>
      <c r="BA117" s="2100"/>
      <c r="BB117" s="2100"/>
      <c r="BC117" s="2100"/>
      <c r="BD117" s="2100"/>
      <c r="BE117" s="2100"/>
      <c r="BF117" s="2101"/>
    </row>
    <row r="118" spans="2:58" ht="15.75" thickBot="1" x14ac:dyDescent="0.3">
      <c r="B118" s="137"/>
      <c r="BF118" s="138"/>
    </row>
    <row r="119" spans="2:58" ht="15.75" thickBot="1" x14ac:dyDescent="0.3">
      <c r="B119" s="557" t="s">
        <v>958</v>
      </c>
      <c r="D119" s="241"/>
      <c r="E119" s="241"/>
      <c r="F119" s="241"/>
      <c r="G119" s="241"/>
      <c r="H119" s="241"/>
      <c r="I119" s="241"/>
      <c r="J119" s="241"/>
      <c r="K119" s="241"/>
      <c r="L119" s="241"/>
      <c r="M119" s="241"/>
      <c r="N119" s="241"/>
      <c r="O119" s="241"/>
      <c r="P119" s="241"/>
      <c r="Q119" s="241"/>
      <c r="R119" s="241"/>
      <c r="S119" s="241"/>
      <c r="T119" s="241"/>
      <c r="U119" s="2069" t="s">
        <v>966</v>
      </c>
      <c r="V119" s="2039"/>
      <c r="W119" s="2039"/>
      <c r="X119" s="2039"/>
      <c r="Y119" s="2039"/>
      <c r="Z119" s="2039" t="s">
        <v>959</v>
      </c>
      <c r="AA119" s="2039"/>
      <c r="AB119" s="2039"/>
      <c r="AC119" s="2039"/>
      <c r="AD119" s="2039"/>
      <c r="AE119" s="2039"/>
      <c r="AF119" s="2039" t="s">
        <v>960</v>
      </c>
      <c r="AG119" s="2039"/>
      <c r="AH119" s="2039"/>
      <c r="AI119" s="2039"/>
      <c r="AJ119" s="2039"/>
      <c r="AK119" s="2039"/>
      <c r="AL119" s="2039"/>
      <c r="AM119" s="2039" t="s">
        <v>963</v>
      </c>
      <c r="AN119" s="2039"/>
      <c r="AO119" s="2039"/>
      <c r="AP119" s="2039"/>
      <c r="AQ119" s="2039"/>
      <c r="AR119" s="2039"/>
      <c r="AS119" s="2040"/>
      <c r="AT119" s="241"/>
      <c r="AU119" s="241"/>
      <c r="AV119" s="241"/>
      <c r="AW119" s="241"/>
      <c r="AX119" s="241"/>
      <c r="AY119" s="241"/>
      <c r="AZ119" s="241"/>
      <c r="BA119" s="241"/>
      <c r="BB119" s="241"/>
      <c r="BC119" s="241"/>
      <c r="BD119" s="241"/>
      <c r="BE119" s="241"/>
      <c r="BF119" s="518"/>
    </row>
    <row r="120" spans="2:58" x14ac:dyDescent="0.25">
      <c r="B120" s="137"/>
      <c r="D120" s="2066" t="s">
        <v>99</v>
      </c>
      <c r="E120" s="2067"/>
      <c r="F120" s="2067"/>
      <c r="G120" s="2067"/>
      <c r="H120" s="2067"/>
      <c r="I120" s="2067"/>
      <c r="J120" s="2067"/>
      <c r="K120" s="2067"/>
      <c r="L120" s="2067"/>
      <c r="M120" s="2067"/>
      <c r="N120" s="2067"/>
      <c r="O120" s="2067"/>
      <c r="P120" s="2067"/>
      <c r="Q120" s="2067"/>
      <c r="R120" s="2067"/>
      <c r="S120" s="2067"/>
      <c r="T120" s="2068"/>
      <c r="U120" s="2056" t="str">
        <f>IF('PIM Model'!$B$10=0,"",'PIM Model'!$B$10)</f>
        <v/>
      </c>
      <c r="V120" s="2057"/>
      <c r="W120" s="2057"/>
      <c r="X120" s="2057"/>
      <c r="Y120" s="2057"/>
      <c r="Z120" s="2057" t="str">
        <f>'PIM Model'!$AF$10</f>
        <v/>
      </c>
      <c r="AA120" s="2057"/>
      <c r="AB120" s="2057"/>
      <c r="AC120" s="2057"/>
      <c r="AD120" s="2057"/>
      <c r="AE120" s="2057"/>
      <c r="AF120" s="2041" t="str">
        <f>'PIM Model'!$AG$10</f>
        <v/>
      </c>
      <c r="AG120" s="2042"/>
      <c r="AH120" s="2042"/>
      <c r="AI120" s="2042"/>
      <c r="AJ120" s="2042"/>
      <c r="AK120" s="2042"/>
      <c r="AL120" s="2049"/>
      <c r="AM120" s="2041" t="str">
        <f>'PIM Model'!$AH$10</f>
        <v/>
      </c>
      <c r="AN120" s="2042"/>
      <c r="AO120" s="2042"/>
      <c r="AP120" s="2042"/>
      <c r="AQ120" s="2042"/>
      <c r="AR120" s="2042"/>
      <c r="AS120" s="2043"/>
      <c r="BF120" s="138"/>
    </row>
    <row r="121" spans="2:58" x14ac:dyDescent="0.25">
      <c r="B121" s="137"/>
      <c r="D121" s="2052" t="s">
        <v>103</v>
      </c>
      <c r="E121" s="2053"/>
      <c r="F121" s="2053"/>
      <c r="G121" s="2053"/>
      <c r="H121" s="2053"/>
      <c r="I121" s="2053"/>
      <c r="J121" s="2053"/>
      <c r="K121" s="2053"/>
      <c r="L121" s="2053"/>
      <c r="M121" s="2053"/>
      <c r="N121" s="2053"/>
      <c r="O121" s="2053"/>
      <c r="P121" s="2053"/>
      <c r="Q121" s="2053"/>
      <c r="R121" s="2053"/>
      <c r="S121" s="2053"/>
      <c r="T121" s="2054"/>
      <c r="U121" s="2051" t="str">
        <f>IF('PIM Model'!$B$11=0,"",'PIM Model'!$B$11)</f>
        <v/>
      </c>
      <c r="V121" s="1996"/>
      <c r="W121" s="1996"/>
      <c r="X121" s="1996"/>
      <c r="Y121" s="1996"/>
      <c r="Z121" s="1996" t="str">
        <f>'PIM Model'!$AF$11</f>
        <v/>
      </c>
      <c r="AA121" s="1996"/>
      <c r="AB121" s="1996"/>
      <c r="AC121" s="1996"/>
      <c r="AD121" s="1996"/>
      <c r="AE121" s="1996"/>
      <c r="AF121" s="2044" t="str">
        <f>'PIM Model'!$AG$11</f>
        <v/>
      </c>
      <c r="AG121" s="2045"/>
      <c r="AH121" s="2045"/>
      <c r="AI121" s="2045"/>
      <c r="AJ121" s="2045"/>
      <c r="AK121" s="2045"/>
      <c r="AL121" s="2050"/>
      <c r="AM121" s="2044" t="str">
        <f>'PIM Model'!$AH$11</f>
        <v/>
      </c>
      <c r="AN121" s="2045"/>
      <c r="AO121" s="2045"/>
      <c r="AP121" s="2045"/>
      <c r="AQ121" s="2045"/>
      <c r="AR121" s="2045"/>
      <c r="AS121" s="2046"/>
      <c r="BF121" s="138"/>
    </row>
    <row r="122" spans="2:58" x14ac:dyDescent="0.25">
      <c r="B122" s="137"/>
      <c r="D122" s="2052" t="s">
        <v>1296</v>
      </c>
      <c r="E122" s="2053"/>
      <c r="F122" s="2053"/>
      <c r="G122" s="2053"/>
      <c r="H122" s="2053"/>
      <c r="I122" s="2053"/>
      <c r="J122" s="2053"/>
      <c r="K122" s="2053"/>
      <c r="L122" s="2053"/>
      <c r="M122" s="2053"/>
      <c r="N122" s="2053"/>
      <c r="O122" s="2053"/>
      <c r="P122" s="2053"/>
      <c r="Q122" s="2053"/>
      <c r="R122" s="2053"/>
      <c r="S122" s="2053"/>
      <c r="T122" s="2054"/>
      <c r="U122" s="2051" t="str">
        <f>IF('PIM Model'!$B$12=0,"",'PIM Model'!$B$12)</f>
        <v/>
      </c>
      <c r="V122" s="1996"/>
      <c r="W122" s="1996"/>
      <c r="X122" s="1996"/>
      <c r="Y122" s="1996"/>
      <c r="Z122" s="1996" t="str">
        <f>'PIM Model'!$AF$12</f>
        <v/>
      </c>
      <c r="AA122" s="1996"/>
      <c r="AB122" s="1996"/>
      <c r="AC122" s="1996"/>
      <c r="AD122" s="1996"/>
      <c r="AE122" s="1996"/>
      <c r="AF122" s="2044" t="str">
        <f>'PIM Model'!$AG$12</f>
        <v/>
      </c>
      <c r="AG122" s="2045"/>
      <c r="AH122" s="2045"/>
      <c r="AI122" s="2045"/>
      <c r="AJ122" s="2045"/>
      <c r="AK122" s="2045"/>
      <c r="AL122" s="2050"/>
      <c r="AM122" s="2044" t="str">
        <f>'PIM Model'!$AH$12</f>
        <v/>
      </c>
      <c r="AN122" s="2045"/>
      <c r="AO122" s="2045"/>
      <c r="AP122" s="2045"/>
      <c r="AQ122" s="2045"/>
      <c r="AR122" s="2045"/>
      <c r="AS122" s="2046"/>
      <c r="BF122" s="138"/>
    </row>
    <row r="123" spans="2:58" x14ac:dyDescent="0.25">
      <c r="B123" s="137"/>
      <c r="D123" s="2052" t="s">
        <v>102</v>
      </c>
      <c r="E123" s="2053"/>
      <c r="F123" s="2053"/>
      <c r="G123" s="2053"/>
      <c r="H123" s="2053"/>
      <c r="I123" s="2053"/>
      <c r="J123" s="2053"/>
      <c r="K123" s="2053"/>
      <c r="L123" s="2053"/>
      <c r="M123" s="2053"/>
      <c r="N123" s="2053"/>
      <c r="O123" s="2053"/>
      <c r="P123" s="2053"/>
      <c r="Q123" s="2053"/>
      <c r="R123" s="2053"/>
      <c r="S123" s="2053"/>
      <c r="T123" s="2054"/>
      <c r="U123" s="2051" t="str">
        <f>IF('PIM Model'!$B$13=0,"",'PIM Model'!$B$13)</f>
        <v/>
      </c>
      <c r="V123" s="1996"/>
      <c r="W123" s="1996"/>
      <c r="X123" s="1996"/>
      <c r="Y123" s="1996"/>
      <c r="Z123" s="1996" t="str">
        <f>'PIM Model'!$AF$13</f>
        <v/>
      </c>
      <c r="AA123" s="1996"/>
      <c r="AB123" s="1996"/>
      <c r="AC123" s="1996"/>
      <c r="AD123" s="1996"/>
      <c r="AE123" s="1996"/>
      <c r="AF123" s="2044" t="str">
        <f>'PIM Model'!$AG$13</f>
        <v/>
      </c>
      <c r="AG123" s="2045"/>
      <c r="AH123" s="2045"/>
      <c r="AI123" s="2045"/>
      <c r="AJ123" s="2045"/>
      <c r="AK123" s="2045"/>
      <c r="AL123" s="2050"/>
      <c r="AM123" s="2044" t="str">
        <f>'PIM Model'!$AH$13</f>
        <v/>
      </c>
      <c r="AN123" s="2045"/>
      <c r="AO123" s="2045"/>
      <c r="AP123" s="2045"/>
      <c r="AQ123" s="2045"/>
      <c r="AR123" s="2045"/>
      <c r="AS123" s="2046"/>
      <c r="BF123" s="138"/>
    </row>
    <row r="124" spans="2:58" x14ac:dyDescent="0.25">
      <c r="B124" s="137"/>
      <c r="D124" s="2052" t="s">
        <v>100</v>
      </c>
      <c r="E124" s="2053"/>
      <c r="F124" s="2053"/>
      <c r="G124" s="2053"/>
      <c r="H124" s="2053"/>
      <c r="I124" s="2053"/>
      <c r="J124" s="2053"/>
      <c r="K124" s="2053"/>
      <c r="L124" s="2053"/>
      <c r="M124" s="2053"/>
      <c r="N124" s="2053"/>
      <c r="O124" s="2053"/>
      <c r="P124" s="2053"/>
      <c r="Q124" s="2053"/>
      <c r="R124" s="2053"/>
      <c r="S124" s="2053"/>
      <c r="T124" s="2054"/>
      <c r="U124" s="2051" t="str">
        <f>IF('PIM Model'!$B$14=0,"",'PIM Model'!$B$14)</f>
        <v/>
      </c>
      <c r="V124" s="1996"/>
      <c r="W124" s="1996"/>
      <c r="X124" s="1996"/>
      <c r="Y124" s="1996"/>
      <c r="Z124" s="1996" t="str">
        <f>'PIM Model'!$AF$14</f>
        <v/>
      </c>
      <c r="AA124" s="1996"/>
      <c r="AB124" s="1996"/>
      <c r="AC124" s="1996"/>
      <c r="AD124" s="1996"/>
      <c r="AE124" s="1996"/>
      <c r="AF124" s="2044" t="str">
        <f>'PIM Model'!$AG$14</f>
        <v/>
      </c>
      <c r="AG124" s="2045"/>
      <c r="AH124" s="2045"/>
      <c r="AI124" s="2045"/>
      <c r="AJ124" s="2045"/>
      <c r="AK124" s="2045"/>
      <c r="AL124" s="2050"/>
      <c r="AM124" s="2044" t="str">
        <f>'PIM Model'!$AH$14</f>
        <v/>
      </c>
      <c r="AN124" s="2045"/>
      <c r="AO124" s="2045"/>
      <c r="AP124" s="2045"/>
      <c r="AQ124" s="2045"/>
      <c r="AR124" s="2045"/>
      <c r="AS124" s="2046"/>
      <c r="BF124" s="138"/>
    </row>
    <row r="125" spans="2:58" x14ac:dyDescent="0.25">
      <c r="B125" s="137"/>
      <c r="D125" s="2052" t="s">
        <v>104</v>
      </c>
      <c r="E125" s="2053"/>
      <c r="F125" s="2053"/>
      <c r="G125" s="2053"/>
      <c r="H125" s="2053"/>
      <c r="I125" s="2053"/>
      <c r="J125" s="2053"/>
      <c r="K125" s="2053"/>
      <c r="L125" s="2053"/>
      <c r="M125" s="2053"/>
      <c r="N125" s="2053"/>
      <c r="O125" s="2053"/>
      <c r="P125" s="2053"/>
      <c r="Q125" s="2053"/>
      <c r="R125" s="2053"/>
      <c r="S125" s="2053"/>
      <c r="T125" s="2054"/>
      <c r="U125" s="2051" t="str">
        <f>IF('PIM Model'!$B$15=0,"",'PIM Model'!$B$15)</f>
        <v/>
      </c>
      <c r="V125" s="1996"/>
      <c r="W125" s="1996"/>
      <c r="X125" s="1996"/>
      <c r="Y125" s="1996"/>
      <c r="Z125" s="1996" t="str">
        <f>'PIM Model'!$AF$15</f>
        <v/>
      </c>
      <c r="AA125" s="1996"/>
      <c r="AB125" s="1996"/>
      <c r="AC125" s="1996"/>
      <c r="AD125" s="1996"/>
      <c r="AE125" s="1996"/>
      <c r="AF125" s="2044" t="str">
        <f>'PIM Model'!$AG$15</f>
        <v/>
      </c>
      <c r="AG125" s="2045"/>
      <c r="AH125" s="2045"/>
      <c r="AI125" s="2045"/>
      <c r="AJ125" s="2045"/>
      <c r="AK125" s="2045"/>
      <c r="AL125" s="2050"/>
      <c r="AM125" s="2044" t="str">
        <f>'PIM Model'!$AH$15</f>
        <v/>
      </c>
      <c r="AN125" s="2045"/>
      <c r="AO125" s="2045"/>
      <c r="AP125" s="2045"/>
      <c r="AQ125" s="2045"/>
      <c r="AR125" s="2045"/>
      <c r="AS125" s="2046"/>
      <c r="BF125" s="138"/>
    </row>
    <row r="126" spans="2:58" x14ac:dyDescent="0.25">
      <c r="B126" s="137"/>
      <c r="D126" s="2052" t="s">
        <v>98</v>
      </c>
      <c r="E126" s="2053"/>
      <c r="F126" s="2053"/>
      <c r="G126" s="2053"/>
      <c r="H126" s="2053"/>
      <c r="I126" s="2053"/>
      <c r="J126" s="2053"/>
      <c r="K126" s="2053"/>
      <c r="L126" s="2053"/>
      <c r="M126" s="2053"/>
      <c r="N126" s="2053"/>
      <c r="O126" s="2053"/>
      <c r="P126" s="2053"/>
      <c r="Q126" s="2053"/>
      <c r="R126" s="2053"/>
      <c r="S126" s="2053"/>
      <c r="T126" s="2054"/>
      <c r="U126" s="2051" t="str">
        <f>IF('PIM Model'!$B$16=0,"",'PIM Model'!$B$16)</f>
        <v/>
      </c>
      <c r="V126" s="1996"/>
      <c r="W126" s="1996"/>
      <c r="X126" s="1996"/>
      <c r="Y126" s="1996"/>
      <c r="Z126" s="1996" t="str">
        <f>'PIM Model'!$AF$16</f>
        <v/>
      </c>
      <c r="AA126" s="1996"/>
      <c r="AB126" s="1996"/>
      <c r="AC126" s="1996"/>
      <c r="AD126" s="1996"/>
      <c r="AE126" s="1996"/>
      <c r="AF126" s="2044" t="str">
        <f>'PIM Model'!$AG$16</f>
        <v/>
      </c>
      <c r="AG126" s="2045"/>
      <c r="AH126" s="2045"/>
      <c r="AI126" s="2045"/>
      <c r="AJ126" s="2045"/>
      <c r="AK126" s="2045"/>
      <c r="AL126" s="2050"/>
      <c r="AM126" s="2044" t="str">
        <f>'PIM Model'!$AH$16</f>
        <v/>
      </c>
      <c r="AN126" s="2045"/>
      <c r="AO126" s="2045"/>
      <c r="AP126" s="2045"/>
      <c r="AQ126" s="2045"/>
      <c r="AR126" s="2045"/>
      <c r="AS126" s="2046"/>
      <c r="BF126" s="138"/>
    </row>
    <row r="127" spans="2:58" x14ac:dyDescent="0.25">
      <c r="B127" s="137"/>
      <c r="D127" s="2052" t="s">
        <v>95</v>
      </c>
      <c r="E127" s="2053"/>
      <c r="F127" s="2053"/>
      <c r="G127" s="2053"/>
      <c r="H127" s="2053"/>
      <c r="I127" s="2053"/>
      <c r="J127" s="2053"/>
      <c r="K127" s="2053"/>
      <c r="L127" s="2053"/>
      <c r="M127" s="2053"/>
      <c r="N127" s="2053"/>
      <c r="O127" s="2053"/>
      <c r="P127" s="2053"/>
      <c r="Q127" s="2053"/>
      <c r="R127" s="2053"/>
      <c r="S127" s="2053"/>
      <c r="T127" s="2054"/>
      <c r="U127" s="2051" t="str">
        <f>IF('PIM Model'!$B$17=0,"",'PIM Model'!$B$17)</f>
        <v/>
      </c>
      <c r="V127" s="1996"/>
      <c r="W127" s="1996"/>
      <c r="X127" s="1996"/>
      <c r="Y127" s="1996"/>
      <c r="Z127" s="1996" t="str">
        <f>'PIM Model'!$AF$17</f>
        <v/>
      </c>
      <c r="AA127" s="1996"/>
      <c r="AB127" s="1996"/>
      <c r="AC127" s="1996"/>
      <c r="AD127" s="1996"/>
      <c r="AE127" s="1996"/>
      <c r="AF127" s="2044" t="str">
        <f>'PIM Model'!$AG$17</f>
        <v/>
      </c>
      <c r="AG127" s="2045"/>
      <c r="AH127" s="2045"/>
      <c r="AI127" s="2045"/>
      <c r="AJ127" s="2045"/>
      <c r="AK127" s="2045"/>
      <c r="AL127" s="2050"/>
      <c r="AM127" s="2044" t="str">
        <f>'PIM Model'!$AH$17</f>
        <v/>
      </c>
      <c r="AN127" s="2045"/>
      <c r="AO127" s="2045"/>
      <c r="AP127" s="2045"/>
      <c r="AQ127" s="2045"/>
      <c r="AR127" s="2045"/>
      <c r="AS127" s="2046"/>
      <c r="BF127" s="138"/>
    </row>
    <row r="128" spans="2:58" x14ac:dyDescent="0.25">
      <c r="B128" s="137"/>
      <c r="D128" s="2052" t="s">
        <v>96</v>
      </c>
      <c r="E128" s="2053"/>
      <c r="F128" s="2053"/>
      <c r="G128" s="2053"/>
      <c r="H128" s="2053"/>
      <c r="I128" s="2053"/>
      <c r="J128" s="2053"/>
      <c r="K128" s="2053"/>
      <c r="L128" s="2053"/>
      <c r="M128" s="2053"/>
      <c r="N128" s="2053"/>
      <c r="O128" s="2053"/>
      <c r="P128" s="2053"/>
      <c r="Q128" s="2053"/>
      <c r="R128" s="2053"/>
      <c r="S128" s="2053"/>
      <c r="T128" s="2054"/>
      <c r="U128" s="2051" t="str">
        <f>IF('PIM Model'!$B$18=0,"",'PIM Model'!$B$18)</f>
        <v/>
      </c>
      <c r="V128" s="1996"/>
      <c r="W128" s="1996"/>
      <c r="X128" s="1996"/>
      <c r="Y128" s="1996"/>
      <c r="Z128" s="1996" t="str">
        <f>'PIM Model'!$AF$18</f>
        <v/>
      </c>
      <c r="AA128" s="1996"/>
      <c r="AB128" s="1996"/>
      <c r="AC128" s="1996"/>
      <c r="AD128" s="1996"/>
      <c r="AE128" s="1996"/>
      <c r="AF128" s="2044" t="str">
        <f>'PIM Model'!$AG$18</f>
        <v/>
      </c>
      <c r="AG128" s="2045"/>
      <c r="AH128" s="2045"/>
      <c r="AI128" s="2045"/>
      <c r="AJ128" s="2045"/>
      <c r="AK128" s="2045"/>
      <c r="AL128" s="2050"/>
      <c r="AM128" s="2044" t="str">
        <f>'PIM Model'!$AH$18</f>
        <v/>
      </c>
      <c r="AN128" s="2045"/>
      <c r="AO128" s="2045"/>
      <c r="AP128" s="2045"/>
      <c r="AQ128" s="2045"/>
      <c r="AR128" s="2045"/>
      <c r="AS128" s="2046"/>
      <c r="BF128" s="138"/>
    </row>
    <row r="129" spans="2:58" x14ac:dyDescent="0.25">
      <c r="B129" s="137"/>
      <c r="D129" s="2052" t="s">
        <v>101</v>
      </c>
      <c r="E129" s="2053"/>
      <c r="F129" s="2053"/>
      <c r="G129" s="2053"/>
      <c r="H129" s="2053"/>
      <c r="I129" s="2053"/>
      <c r="J129" s="2053"/>
      <c r="K129" s="2053"/>
      <c r="L129" s="2053"/>
      <c r="M129" s="2053"/>
      <c r="N129" s="2053"/>
      <c r="O129" s="2053"/>
      <c r="P129" s="2053"/>
      <c r="Q129" s="2053"/>
      <c r="R129" s="2053"/>
      <c r="S129" s="2053"/>
      <c r="T129" s="2054"/>
      <c r="U129" s="2051" t="str">
        <f>IF('PIM Model'!$B$19=0,"",'PIM Model'!$B$19)</f>
        <v/>
      </c>
      <c r="V129" s="1996"/>
      <c r="W129" s="1996"/>
      <c r="X129" s="1996"/>
      <c r="Y129" s="1996"/>
      <c r="Z129" s="1996" t="str">
        <f>'PIM Model'!$AF$19</f>
        <v/>
      </c>
      <c r="AA129" s="1996"/>
      <c r="AB129" s="1996"/>
      <c r="AC129" s="1996"/>
      <c r="AD129" s="1996"/>
      <c r="AE129" s="1996"/>
      <c r="AF129" s="2044" t="str">
        <f>'PIM Model'!$AG$19</f>
        <v/>
      </c>
      <c r="AG129" s="2045"/>
      <c r="AH129" s="2045"/>
      <c r="AI129" s="2045"/>
      <c r="AJ129" s="2045"/>
      <c r="AK129" s="2045"/>
      <c r="AL129" s="2050"/>
      <c r="AM129" s="2044" t="str">
        <f>'PIM Model'!$AH$19</f>
        <v/>
      </c>
      <c r="AN129" s="2045"/>
      <c r="AO129" s="2045"/>
      <c r="AP129" s="2045"/>
      <c r="AQ129" s="2045"/>
      <c r="AR129" s="2045"/>
      <c r="AS129" s="2046"/>
      <c r="BF129" s="138"/>
    </row>
    <row r="130" spans="2:58" x14ac:dyDescent="0.25">
      <c r="B130" s="137"/>
      <c r="D130" s="2052" t="s">
        <v>97</v>
      </c>
      <c r="E130" s="2053"/>
      <c r="F130" s="2053"/>
      <c r="G130" s="2053"/>
      <c r="H130" s="2053"/>
      <c r="I130" s="2053"/>
      <c r="J130" s="2053"/>
      <c r="K130" s="2053"/>
      <c r="L130" s="2053"/>
      <c r="M130" s="2053"/>
      <c r="N130" s="2053"/>
      <c r="O130" s="2053"/>
      <c r="P130" s="2053"/>
      <c r="Q130" s="2053"/>
      <c r="R130" s="2053"/>
      <c r="S130" s="2053"/>
      <c r="T130" s="2054"/>
      <c r="U130" s="2051" t="str">
        <f>IF('PIM Model'!$B$20=0,"",'PIM Model'!$B$20)</f>
        <v/>
      </c>
      <c r="V130" s="1996"/>
      <c r="W130" s="1996"/>
      <c r="X130" s="1996"/>
      <c r="Y130" s="1996"/>
      <c r="Z130" s="1996" t="str">
        <f>'PIM Model'!$AF$20</f>
        <v/>
      </c>
      <c r="AA130" s="1996"/>
      <c r="AB130" s="1996"/>
      <c r="AC130" s="1996"/>
      <c r="AD130" s="1996"/>
      <c r="AE130" s="1996"/>
      <c r="AF130" s="2044" t="str">
        <f>'PIM Model'!$AG$20</f>
        <v/>
      </c>
      <c r="AG130" s="2045"/>
      <c r="AH130" s="2045"/>
      <c r="AI130" s="2045"/>
      <c r="AJ130" s="2045"/>
      <c r="AK130" s="2045"/>
      <c r="AL130" s="2050"/>
      <c r="AM130" s="2044" t="str">
        <f>'PIM Model'!$AH$20</f>
        <v/>
      </c>
      <c r="AN130" s="2045"/>
      <c r="AO130" s="2045"/>
      <c r="AP130" s="2045"/>
      <c r="AQ130" s="2045"/>
      <c r="AR130" s="2045"/>
      <c r="AS130" s="2046"/>
      <c r="BF130" s="138"/>
    </row>
    <row r="131" spans="2:58" x14ac:dyDescent="0.25">
      <c r="B131" s="137"/>
      <c r="D131" s="2052" t="s">
        <v>93</v>
      </c>
      <c r="E131" s="2053"/>
      <c r="F131" s="2053"/>
      <c r="G131" s="2053"/>
      <c r="H131" s="2053"/>
      <c r="I131" s="2053"/>
      <c r="J131" s="2053"/>
      <c r="K131" s="2053"/>
      <c r="L131" s="2053"/>
      <c r="M131" s="2053"/>
      <c r="N131" s="2053"/>
      <c r="O131" s="2053"/>
      <c r="P131" s="2053"/>
      <c r="Q131" s="2053"/>
      <c r="R131" s="2053"/>
      <c r="S131" s="2053"/>
      <c r="T131" s="2054"/>
      <c r="U131" s="2051" t="str">
        <f>IF('PIM Model'!$B$21=0,"",'PIM Model'!$B$21)</f>
        <v/>
      </c>
      <c r="V131" s="1996"/>
      <c r="W131" s="1996"/>
      <c r="X131" s="1996"/>
      <c r="Y131" s="1996"/>
      <c r="Z131" s="1996" t="str">
        <f>'PIM Model'!$AF$21</f>
        <v/>
      </c>
      <c r="AA131" s="1996"/>
      <c r="AB131" s="1996"/>
      <c r="AC131" s="1996"/>
      <c r="AD131" s="1996"/>
      <c r="AE131" s="1996"/>
      <c r="AF131" s="2044" t="str">
        <f>'PIM Model'!$AG$21</f>
        <v/>
      </c>
      <c r="AG131" s="2045"/>
      <c r="AH131" s="2045"/>
      <c r="AI131" s="2045"/>
      <c r="AJ131" s="2045"/>
      <c r="AK131" s="2045"/>
      <c r="AL131" s="2050"/>
      <c r="AM131" s="2044" t="str">
        <f>'PIM Model'!$AH$21</f>
        <v/>
      </c>
      <c r="AN131" s="2045"/>
      <c r="AO131" s="2045"/>
      <c r="AP131" s="2045"/>
      <c r="AQ131" s="2045"/>
      <c r="AR131" s="2045"/>
      <c r="AS131" s="2046"/>
      <c r="BF131" s="138"/>
    </row>
    <row r="132" spans="2:58" x14ac:dyDescent="0.25">
      <c r="B132" s="137"/>
      <c r="D132" s="2052" t="s">
        <v>105</v>
      </c>
      <c r="E132" s="2053"/>
      <c r="F132" s="2053"/>
      <c r="G132" s="2053"/>
      <c r="H132" s="2053"/>
      <c r="I132" s="2053"/>
      <c r="J132" s="2053"/>
      <c r="K132" s="2053"/>
      <c r="L132" s="2053"/>
      <c r="M132" s="2053"/>
      <c r="N132" s="2053"/>
      <c r="O132" s="2053"/>
      <c r="P132" s="2053"/>
      <c r="Q132" s="2053"/>
      <c r="R132" s="2053"/>
      <c r="S132" s="2053"/>
      <c r="T132" s="2054"/>
      <c r="U132" s="2051" t="str">
        <f>IF('PIM Model'!$B$22=0,"",'PIM Model'!$B$22)</f>
        <v/>
      </c>
      <c r="V132" s="1996"/>
      <c r="W132" s="1996"/>
      <c r="X132" s="1996"/>
      <c r="Y132" s="1996"/>
      <c r="Z132" s="1996" t="str">
        <f>'PIM Model'!$AF$22</f>
        <v/>
      </c>
      <c r="AA132" s="1996"/>
      <c r="AB132" s="1996"/>
      <c r="AC132" s="1996"/>
      <c r="AD132" s="1996"/>
      <c r="AE132" s="1996"/>
      <c r="AF132" s="2044" t="str">
        <f>'PIM Model'!$AG$22</f>
        <v/>
      </c>
      <c r="AG132" s="2045"/>
      <c r="AH132" s="2045"/>
      <c r="AI132" s="2045"/>
      <c r="AJ132" s="2045"/>
      <c r="AK132" s="2045"/>
      <c r="AL132" s="2050"/>
      <c r="AM132" s="2044" t="str">
        <f>'PIM Model'!$AH$22</f>
        <v/>
      </c>
      <c r="AN132" s="2045"/>
      <c r="AO132" s="2045"/>
      <c r="AP132" s="2045"/>
      <c r="AQ132" s="2045"/>
      <c r="AR132" s="2045"/>
      <c r="AS132" s="2046"/>
      <c r="BF132" s="138"/>
    </row>
    <row r="133" spans="2:58" x14ac:dyDescent="0.25">
      <c r="B133" s="137"/>
      <c r="D133" s="2052" t="s">
        <v>92</v>
      </c>
      <c r="E133" s="2053"/>
      <c r="F133" s="2053"/>
      <c r="G133" s="2053"/>
      <c r="H133" s="2053"/>
      <c r="I133" s="2053"/>
      <c r="J133" s="2053"/>
      <c r="K133" s="2053"/>
      <c r="L133" s="2053"/>
      <c r="M133" s="2053"/>
      <c r="N133" s="2053"/>
      <c r="O133" s="2053"/>
      <c r="P133" s="2053"/>
      <c r="Q133" s="2053"/>
      <c r="R133" s="2053"/>
      <c r="S133" s="2053"/>
      <c r="T133" s="2054"/>
      <c r="U133" s="2051" t="str">
        <f>IF('PIM Model'!$B$23=0,"",'PIM Model'!$B$23)</f>
        <v/>
      </c>
      <c r="V133" s="1996"/>
      <c r="W133" s="1996"/>
      <c r="X133" s="1996"/>
      <c r="Y133" s="1996"/>
      <c r="Z133" s="1996" t="str">
        <f>'PIM Model'!$AF$23</f>
        <v/>
      </c>
      <c r="AA133" s="1996"/>
      <c r="AB133" s="1996"/>
      <c r="AC133" s="1996"/>
      <c r="AD133" s="1996"/>
      <c r="AE133" s="1996"/>
      <c r="AF133" s="2044" t="str">
        <f>'PIM Model'!$AG$23</f>
        <v/>
      </c>
      <c r="AG133" s="2045"/>
      <c r="AH133" s="2045"/>
      <c r="AI133" s="2045"/>
      <c r="AJ133" s="2045"/>
      <c r="AK133" s="2045"/>
      <c r="AL133" s="2050"/>
      <c r="AM133" s="2044" t="str">
        <f>'PIM Model'!$AH$23</f>
        <v/>
      </c>
      <c r="AN133" s="2045"/>
      <c r="AO133" s="2045"/>
      <c r="AP133" s="2045"/>
      <c r="AQ133" s="2045"/>
      <c r="AR133" s="2045"/>
      <c r="AS133" s="2046"/>
      <c r="BF133" s="138"/>
    </row>
    <row r="134" spans="2:58" x14ac:dyDescent="0.25">
      <c r="B134" s="137"/>
      <c r="D134" s="2052" t="s">
        <v>91</v>
      </c>
      <c r="E134" s="2053"/>
      <c r="F134" s="2053"/>
      <c r="G134" s="2053"/>
      <c r="H134" s="2053"/>
      <c r="I134" s="2053"/>
      <c r="J134" s="2053"/>
      <c r="K134" s="2053"/>
      <c r="L134" s="2053"/>
      <c r="M134" s="2053"/>
      <c r="N134" s="2053"/>
      <c r="O134" s="2053"/>
      <c r="P134" s="2053"/>
      <c r="Q134" s="2053"/>
      <c r="R134" s="2053"/>
      <c r="S134" s="2053"/>
      <c r="T134" s="2054"/>
      <c r="U134" s="2051" t="str">
        <f>IF('PIM Model'!$B$24=0,"",'PIM Model'!$B$24)</f>
        <v/>
      </c>
      <c r="V134" s="1996"/>
      <c r="W134" s="1996"/>
      <c r="X134" s="1996"/>
      <c r="Y134" s="1996"/>
      <c r="Z134" s="1996" t="str">
        <f>'PIM Model'!$AF$24</f>
        <v/>
      </c>
      <c r="AA134" s="1996"/>
      <c r="AB134" s="1996"/>
      <c r="AC134" s="1996"/>
      <c r="AD134" s="1996"/>
      <c r="AE134" s="1996"/>
      <c r="AF134" s="2044" t="str">
        <f>'PIM Model'!$AG$24</f>
        <v/>
      </c>
      <c r="AG134" s="2045"/>
      <c r="AH134" s="2045"/>
      <c r="AI134" s="2045"/>
      <c r="AJ134" s="2045"/>
      <c r="AK134" s="2045"/>
      <c r="AL134" s="2050"/>
      <c r="AM134" s="2044" t="str">
        <f>'PIM Model'!$AH$24</f>
        <v/>
      </c>
      <c r="AN134" s="2045"/>
      <c r="AO134" s="2045"/>
      <c r="AP134" s="2045"/>
      <c r="AQ134" s="2045"/>
      <c r="AR134" s="2045"/>
      <c r="AS134" s="2046"/>
      <c r="BF134" s="138"/>
    </row>
    <row r="135" spans="2:58" x14ac:dyDescent="0.25">
      <c r="B135" s="137"/>
      <c r="D135" s="2052" t="s">
        <v>90</v>
      </c>
      <c r="E135" s="2053"/>
      <c r="F135" s="2053"/>
      <c r="G135" s="2053"/>
      <c r="H135" s="2053"/>
      <c r="I135" s="2053"/>
      <c r="J135" s="2053"/>
      <c r="K135" s="2053"/>
      <c r="L135" s="2053"/>
      <c r="M135" s="2053"/>
      <c r="N135" s="2053"/>
      <c r="O135" s="2053"/>
      <c r="P135" s="2053"/>
      <c r="Q135" s="2053"/>
      <c r="R135" s="2053"/>
      <c r="S135" s="2053"/>
      <c r="T135" s="2054"/>
      <c r="U135" s="2051" t="str">
        <f>IF('PIM Model'!$B$25=0,"",'PIM Model'!$B$25)</f>
        <v/>
      </c>
      <c r="V135" s="1996"/>
      <c r="W135" s="1996"/>
      <c r="X135" s="1996"/>
      <c r="Y135" s="1996"/>
      <c r="Z135" s="1996" t="str">
        <f>'PIM Model'!$AF$25</f>
        <v/>
      </c>
      <c r="AA135" s="1996"/>
      <c r="AB135" s="1996"/>
      <c r="AC135" s="1996"/>
      <c r="AD135" s="1996"/>
      <c r="AE135" s="1996"/>
      <c r="AF135" s="2044" t="str">
        <f>'PIM Model'!$AG$25</f>
        <v/>
      </c>
      <c r="AG135" s="2045"/>
      <c r="AH135" s="2045"/>
      <c r="AI135" s="2045"/>
      <c r="AJ135" s="2045"/>
      <c r="AK135" s="2045"/>
      <c r="AL135" s="2050"/>
      <c r="AM135" s="2044" t="str">
        <f>'PIM Model'!$AH$25</f>
        <v/>
      </c>
      <c r="AN135" s="2045"/>
      <c r="AO135" s="2045"/>
      <c r="AP135" s="2045"/>
      <c r="AQ135" s="2045"/>
      <c r="AR135" s="2045"/>
      <c r="AS135" s="2046"/>
      <c r="BF135" s="138"/>
    </row>
    <row r="136" spans="2:58" x14ac:dyDescent="0.25">
      <c r="B136" s="137"/>
      <c r="D136" s="2052" t="s">
        <v>89</v>
      </c>
      <c r="E136" s="2053"/>
      <c r="F136" s="2053"/>
      <c r="G136" s="2053"/>
      <c r="H136" s="2053"/>
      <c r="I136" s="2053"/>
      <c r="J136" s="2053"/>
      <c r="K136" s="2053"/>
      <c r="L136" s="2053"/>
      <c r="M136" s="2053"/>
      <c r="N136" s="2053"/>
      <c r="O136" s="2053"/>
      <c r="P136" s="2053"/>
      <c r="Q136" s="2053"/>
      <c r="R136" s="2053"/>
      <c r="S136" s="2053"/>
      <c r="T136" s="2054"/>
      <c r="U136" s="2051" t="str">
        <f>IF('PIM Model'!$B$26=0,"",'PIM Model'!$B$26)</f>
        <v/>
      </c>
      <c r="V136" s="1996"/>
      <c r="W136" s="1996"/>
      <c r="X136" s="1996"/>
      <c r="Y136" s="1996"/>
      <c r="Z136" s="1996" t="str">
        <f>'PIM Model'!$AF$26</f>
        <v/>
      </c>
      <c r="AA136" s="1996"/>
      <c r="AB136" s="1996"/>
      <c r="AC136" s="1996"/>
      <c r="AD136" s="1996"/>
      <c r="AE136" s="1996"/>
      <c r="AF136" s="2044" t="str">
        <f>'PIM Model'!$AG$26</f>
        <v/>
      </c>
      <c r="AG136" s="2045"/>
      <c r="AH136" s="2045"/>
      <c r="AI136" s="2045"/>
      <c r="AJ136" s="2045"/>
      <c r="AK136" s="2045"/>
      <c r="AL136" s="2050"/>
      <c r="AM136" s="2044" t="str">
        <f>'PIM Model'!$AH$26</f>
        <v/>
      </c>
      <c r="AN136" s="2045"/>
      <c r="AO136" s="2045"/>
      <c r="AP136" s="2045"/>
      <c r="AQ136" s="2045"/>
      <c r="AR136" s="2045"/>
      <c r="AS136" s="2046"/>
      <c r="BF136" s="138"/>
    </row>
    <row r="137" spans="2:58" x14ac:dyDescent="0.25">
      <c r="B137" s="137"/>
      <c r="D137" s="2052" t="s">
        <v>94</v>
      </c>
      <c r="E137" s="2053"/>
      <c r="F137" s="2053"/>
      <c r="G137" s="2053"/>
      <c r="H137" s="2053"/>
      <c r="I137" s="2053"/>
      <c r="J137" s="2053"/>
      <c r="K137" s="2053"/>
      <c r="L137" s="2053"/>
      <c r="M137" s="2053"/>
      <c r="N137" s="2053"/>
      <c r="O137" s="2053"/>
      <c r="P137" s="2053"/>
      <c r="Q137" s="2053"/>
      <c r="R137" s="2053"/>
      <c r="S137" s="2053"/>
      <c r="T137" s="2054"/>
      <c r="U137" s="2051" t="str">
        <f>IF('PIM Model'!$B$27=0,"",'PIM Model'!$B$27)</f>
        <v/>
      </c>
      <c r="V137" s="1996"/>
      <c r="W137" s="1996"/>
      <c r="X137" s="1996"/>
      <c r="Y137" s="1996"/>
      <c r="Z137" s="1996" t="str">
        <f>'PIM Model'!$AF$27</f>
        <v/>
      </c>
      <c r="AA137" s="1996"/>
      <c r="AB137" s="1996"/>
      <c r="AC137" s="1996"/>
      <c r="AD137" s="1996"/>
      <c r="AE137" s="1996"/>
      <c r="AF137" s="2044" t="str">
        <f>'PIM Model'!$AG$27</f>
        <v/>
      </c>
      <c r="AG137" s="2045"/>
      <c r="AH137" s="2045"/>
      <c r="AI137" s="2045"/>
      <c r="AJ137" s="2045"/>
      <c r="AK137" s="2045"/>
      <c r="AL137" s="2050"/>
      <c r="AM137" s="2044" t="str">
        <f>'PIM Model'!$AH$27</f>
        <v/>
      </c>
      <c r="AN137" s="2045"/>
      <c r="AO137" s="2045"/>
      <c r="AP137" s="2045"/>
      <c r="AQ137" s="2045"/>
      <c r="AR137" s="2045"/>
      <c r="AS137" s="2046"/>
      <c r="BF137" s="138"/>
    </row>
    <row r="138" spans="2:58" x14ac:dyDescent="0.25">
      <c r="B138" s="137"/>
      <c r="D138" s="2052" t="s">
        <v>86</v>
      </c>
      <c r="E138" s="2053"/>
      <c r="F138" s="2053"/>
      <c r="G138" s="2053"/>
      <c r="H138" s="2053"/>
      <c r="I138" s="2053"/>
      <c r="J138" s="2053"/>
      <c r="K138" s="2053"/>
      <c r="L138" s="2053"/>
      <c r="M138" s="2053"/>
      <c r="N138" s="2053"/>
      <c r="O138" s="2053"/>
      <c r="P138" s="2053"/>
      <c r="Q138" s="2053"/>
      <c r="R138" s="2053"/>
      <c r="S138" s="2053"/>
      <c r="T138" s="2054"/>
      <c r="U138" s="2051" t="str">
        <f>IF('PIM Model'!$B$28=0,"",'PIM Model'!$B$28)</f>
        <v/>
      </c>
      <c r="V138" s="1996"/>
      <c r="W138" s="1996"/>
      <c r="X138" s="1996"/>
      <c r="Y138" s="1996"/>
      <c r="Z138" s="1996" t="str">
        <f>'PIM Model'!$AF$28</f>
        <v/>
      </c>
      <c r="AA138" s="1996"/>
      <c r="AB138" s="1996"/>
      <c r="AC138" s="1996"/>
      <c r="AD138" s="1996"/>
      <c r="AE138" s="1996"/>
      <c r="AF138" s="2044" t="str">
        <f>'PIM Model'!$AG$28</f>
        <v/>
      </c>
      <c r="AG138" s="2045"/>
      <c r="AH138" s="2045"/>
      <c r="AI138" s="2045"/>
      <c r="AJ138" s="2045"/>
      <c r="AK138" s="2045"/>
      <c r="AL138" s="2050"/>
      <c r="AM138" s="2044" t="str">
        <f>'PIM Model'!$AH$28</f>
        <v/>
      </c>
      <c r="AN138" s="2045"/>
      <c r="AO138" s="2045"/>
      <c r="AP138" s="2045"/>
      <c r="AQ138" s="2045"/>
      <c r="AR138" s="2045"/>
      <c r="AS138" s="2046"/>
      <c r="BF138" s="138"/>
    </row>
    <row r="139" spans="2:58" x14ac:dyDescent="0.25">
      <c r="B139" s="137"/>
      <c r="D139" s="2052" t="s">
        <v>88</v>
      </c>
      <c r="E139" s="2053"/>
      <c r="F139" s="2053"/>
      <c r="G139" s="2053"/>
      <c r="H139" s="2053"/>
      <c r="I139" s="2053"/>
      <c r="J139" s="2053"/>
      <c r="K139" s="2053"/>
      <c r="L139" s="2053"/>
      <c r="M139" s="2053"/>
      <c r="N139" s="2053"/>
      <c r="O139" s="2053"/>
      <c r="P139" s="2053"/>
      <c r="Q139" s="2053"/>
      <c r="R139" s="2053"/>
      <c r="S139" s="2053"/>
      <c r="T139" s="2054"/>
      <c r="U139" s="2051" t="str">
        <f>IF('PIM Model'!$B$29=0,"",'PIM Model'!$B$29)</f>
        <v/>
      </c>
      <c r="V139" s="1996"/>
      <c r="W139" s="1996"/>
      <c r="X139" s="1996"/>
      <c r="Y139" s="1996"/>
      <c r="Z139" s="1996" t="str">
        <f>'PIM Model'!$AF$29</f>
        <v/>
      </c>
      <c r="AA139" s="1996"/>
      <c r="AB139" s="1996"/>
      <c r="AC139" s="1996"/>
      <c r="AD139" s="1996"/>
      <c r="AE139" s="1996"/>
      <c r="AF139" s="2044" t="str">
        <f>'PIM Model'!$AG$29</f>
        <v/>
      </c>
      <c r="AG139" s="2045"/>
      <c r="AH139" s="2045"/>
      <c r="AI139" s="2045"/>
      <c r="AJ139" s="2045"/>
      <c r="AK139" s="2045"/>
      <c r="AL139" s="2050"/>
      <c r="AM139" s="2044" t="str">
        <f>'PIM Model'!$AH$29</f>
        <v/>
      </c>
      <c r="AN139" s="2045"/>
      <c r="AO139" s="2045"/>
      <c r="AP139" s="2045"/>
      <c r="AQ139" s="2045"/>
      <c r="AR139" s="2045"/>
      <c r="AS139" s="2046"/>
      <c r="BF139" s="138"/>
    </row>
    <row r="140" spans="2:58" ht="15.75" thickBot="1" x14ac:dyDescent="0.3">
      <c r="B140" s="137"/>
      <c r="D140" s="2058" t="s">
        <v>87</v>
      </c>
      <c r="E140" s="2059"/>
      <c r="F140" s="2059"/>
      <c r="G140" s="2059"/>
      <c r="H140" s="2059"/>
      <c r="I140" s="2059"/>
      <c r="J140" s="2059"/>
      <c r="K140" s="2059"/>
      <c r="L140" s="2059"/>
      <c r="M140" s="2059"/>
      <c r="N140" s="2059"/>
      <c r="O140" s="2059"/>
      <c r="P140" s="2059"/>
      <c r="Q140" s="2059"/>
      <c r="R140" s="2059"/>
      <c r="S140" s="2059"/>
      <c r="T140" s="2060"/>
      <c r="U140" s="2055" t="str">
        <f>IF('PIM Model'!$B$30=0,"",'PIM Model'!$B$30)</f>
        <v/>
      </c>
      <c r="V140" s="2048"/>
      <c r="W140" s="2048"/>
      <c r="X140" s="2048"/>
      <c r="Y140" s="2048"/>
      <c r="Z140" s="2048" t="str">
        <f>'PIM Model'!$AF$30</f>
        <v/>
      </c>
      <c r="AA140" s="2048"/>
      <c r="AB140" s="2048"/>
      <c r="AC140" s="2048"/>
      <c r="AD140" s="2048"/>
      <c r="AE140" s="2048"/>
      <c r="AF140" s="2036" t="str">
        <f>'PIM Model'!$AG$30</f>
        <v/>
      </c>
      <c r="AG140" s="2037"/>
      <c r="AH140" s="2037"/>
      <c r="AI140" s="2037"/>
      <c r="AJ140" s="2037"/>
      <c r="AK140" s="2037"/>
      <c r="AL140" s="2038"/>
      <c r="AM140" s="2036" t="str">
        <f>'PIM Model'!$AH$30</f>
        <v/>
      </c>
      <c r="AN140" s="2037"/>
      <c r="AO140" s="2037"/>
      <c r="AP140" s="2037"/>
      <c r="AQ140" s="2037"/>
      <c r="AR140" s="2037"/>
      <c r="AS140" s="2047"/>
      <c r="BF140" s="138"/>
    </row>
    <row r="141" spans="2:58" ht="16.5" thickTop="1" thickBot="1" x14ac:dyDescent="0.3">
      <c r="B141" s="137"/>
      <c r="D141" s="2027" t="s">
        <v>964</v>
      </c>
      <c r="E141" s="2028"/>
      <c r="F141" s="2028"/>
      <c r="G141" s="2028"/>
      <c r="H141" s="2028"/>
      <c r="I141" s="2028"/>
      <c r="J141" s="2028"/>
      <c r="K141" s="2028"/>
      <c r="L141" s="2028"/>
      <c r="M141" s="2028"/>
      <c r="N141" s="2028"/>
      <c r="O141" s="2028"/>
      <c r="P141" s="2028"/>
      <c r="Q141" s="2028"/>
      <c r="R141" s="2028"/>
      <c r="S141" s="2028"/>
      <c r="T141" s="2029"/>
      <c r="U141" s="2030">
        <f>COUNT($U$120:$Y$140)</f>
        <v>0</v>
      </c>
      <c r="V141" s="2031"/>
      <c r="W141" s="2031"/>
      <c r="X141" s="2031"/>
      <c r="Y141" s="2031"/>
      <c r="Z141" s="2028">
        <f>COUNTIF($Z$120:$AE$140,"ABOVE")+COUNTIF($Z$120:$AE$140,"BELOW")</f>
        <v>0</v>
      </c>
      <c r="AA141" s="2028"/>
      <c r="AB141" s="2028"/>
      <c r="AC141" s="2028"/>
      <c r="AD141" s="2028"/>
      <c r="AE141" s="2028"/>
      <c r="AF141" s="2032"/>
      <c r="AG141" s="2033"/>
      <c r="AH141" s="2033"/>
      <c r="AI141" s="2033"/>
      <c r="AJ141" s="2033"/>
      <c r="AK141" s="2033"/>
      <c r="AL141" s="2034"/>
      <c r="AM141" s="2032"/>
      <c r="AN141" s="2033"/>
      <c r="AO141" s="2033"/>
      <c r="AP141" s="2033"/>
      <c r="AQ141" s="2033"/>
      <c r="AR141" s="2033"/>
      <c r="AS141" s="2035"/>
      <c r="BF141" s="138"/>
    </row>
    <row r="142" spans="2:58" ht="15.75" thickBot="1" x14ac:dyDescent="0.3">
      <c r="B142" s="255"/>
      <c r="C142" s="256"/>
      <c r="D142" s="256"/>
      <c r="E142" s="256"/>
      <c r="F142" s="256"/>
      <c r="G142" s="256"/>
      <c r="H142" s="256"/>
      <c r="I142" s="256"/>
      <c r="J142" s="256"/>
      <c r="K142" s="256"/>
      <c r="L142" s="256"/>
      <c r="M142" s="256"/>
      <c r="N142" s="256"/>
      <c r="O142" s="256"/>
      <c r="P142" s="256"/>
      <c r="Q142" s="256"/>
      <c r="R142" s="256"/>
      <c r="S142" s="256"/>
      <c r="T142" s="256"/>
      <c r="U142" s="256"/>
      <c r="V142" s="256"/>
      <c r="W142" s="256"/>
      <c r="X142" s="256"/>
      <c r="Y142" s="256"/>
      <c r="Z142" s="256"/>
      <c r="AA142" s="256"/>
      <c r="AB142" s="256"/>
      <c r="AC142" s="256"/>
      <c r="AD142" s="256"/>
      <c r="AE142" s="256"/>
      <c r="AF142" s="256"/>
      <c r="AG142" s="256"/>
      <c r="AH142" s="256"/>
      <c r="AI142" s="256"/>
      <c r="AJ142" s="256"/>
      <c r="AK142" s="256"/>
      <c r="AL142" s="256"/>
      <c r="AM142" s="256"/>
      <c r="AN142" s="256"/>
      <c r="AO142" s="256"/>
      <c r="AP142" s="256"/>
      <c r="AQ142" s="256"/>
      <c r="AR142" s="256"/>
      <c r="AS142" s="256"/>
      <c r="AT142" s="256"/>
      <c r="AU142" s="256"/>
      <c r="AV142" s="256"/>
      <c r="AW142" s="256"/>
      <c r="AX142" s="256"/>
      <c r="AY142" s="256"/>
      <c r="AZ142" s="256"/>
      <c r="BA142" s="256"/>
      <c r="BB142" s="256"/>
      <c r="BC142" s="256"/>
      <c r="BD142" s="256"/>
      <c r="BE142" s="256"/>
      <c r="BF142" s="257"/>
    </row>
  </sheetData>
  <mergeCells count="445">
    <mergeCell ref="D112:J112"/>
    <mergeCell ref="K112:T112"/>
    <mergeCell ref="U112:AI112"/>
    <mergeCell ref="AJ112:AT112"/>
    <mergeCell ref="AU112:AX112"/>
    <mergeCell ref="AY112:BC112"/>
    <mergeCell ref="D113:J113"/>
    <mergeCell ref="K113:T113"/>
    <mergeCell ref="U113:AI113"/>
    <mergeCell ref="AJ113:AT113"/>
    <mergeCell ref="AU113:AX113"/>
    <mergeCell ref="AY113:BC113"/>
    <mergeCell ref="D110:J110"/>
    <mergeCell ref="K110:T110"/>
    <mergeCell ref="U110:AI110"/>
    <mergeCell ref="AJ110:AT110"/>
    <mergeCell ref="AU110:AX110"/>
    <mergeCell ref="AY110:BC110"/>
    <mergeCell ref="D111:J111"/>
    <mergeCell ref="K111:T111"/>
    <mergeCell ref="U111:AI111"/>
    <mergeCell ref="AJ111:AT111"/>
    <mergeCell ref="AU111:AX111"/>
    <mergeCell ref="AY111:BC111"/>
    <mergeCell ref="D108:J108"/>
    <mergeCell ref="K108:T108"/>
    <mergeCell ref="U108:AI108"/>
    <mergeCell ref="AJ108:AT108"/>
    <mergeCell ref="AU108:AX108"/>
    <mergeCell ref="AY108:BC108"/>
    <mergeCell ref="D109:J109"/>
    <mergeCell ref="K109:T109"/>
    <mergeCell ref="U109:AI109"/>
    <mergeCell ref="AJ109:AT109"/>
    <mergeCell ref="AU109:AX109"/>
    <mergeCell ref="AY109:BC109"/>
    <mergeCell ref="D106:J106"/>
    <mergeCell ref="K106:T106"/>
    <mergeCell ref="U106:AI106"/>
    <mergeCell ref="AJ106:AT106"/>
    <mergeCell ref="AU106:AX106"/>
    <mergeCell ref="AY106:BC106"/>
    <mergeCell ref="D107:J107"/>
    <mergeCell ref="K107:T107"/>
    <mergeCell ref="U107:AI107"/>
    <mergeCell ref="AJ107:AT107"/>
    <mergeCell ref="AU107:AX107"/>
    <mergeCell ref="AY107:BC107"/>
    <mergeCell ref="D104:J104"/>
    <mergeCell ref="K104:T104"/>
    <mergeCell ref="U104:AI104"/>
    <mergeCell ref="AJ104:AT104"/>
    <mergeCell ref="AU104:AX104"/>
    <mergeCell ref="AY104:BC104"/>
    <mergeCell ref="D105:J105"/>
    <mergeCell ref="K105:T105"/>
    <mergeCell ref="U105:AI105"/>
    <mergeCell ref="AJ105:AT105"/>
    <mergeCell ref="AU105:AX105"/>
    <mergeCell ref="AY105:BC105"/>
    <mergeCell ref="B117:BF117"/>
    <mergeCell ref="AU95:AX95"/>
    <mergeCell ref="AU94:AX94"/>
    <mergeCell ref="AY114:BC114"/>
    <mergeCell ref="AY103:BC103"/>
    <mergeCell ref="AY102:BC102"/>
    <mergeCell ref="AY101:BC101"/>
    <mergeCell ref="AY100:BC100"/>
    <mergeCell ref="AY99:BC99"/>
    <mergeCell ref="AY98:BC98"/>
    <mergeCell ref="AY97:BC97"/>
    <mergeCell ref="AY96:BC96"/>
    <mergeCell ref="AY95:BC95"/>
    <mergeCell ref="AY94:BC94"/>
    <mergeCell ref="AU114:AX114"/>
    <mergeCell ref="AU103:AX103"/>
    <mergeCell ref="AU102:AX102"/>
    <mergeCell ref="AU101:AX101"/>
    <mergeCell ref="AU100:AX100"/>
    <mergeCell ref="AU99:AX99"/>
    <mergeCell ref="AU98:AX98"/>
    <mergeCell ref="AU97:AX97"/>
    <mergeCell ref="AU96:AX96"/>
    <mergeCell ref="U98:AI98"/>
    <mergeCell ref="U97:AI97"/>
    <mergeCell ref="U96:AI96"/>
    <mergeCell ref="U95:AI95"/>
    <mergeCell ref="U94:AI94"/>
    <mergeCell ref="AJ114:AT114"/>
    <mergeCell ref="AJ103:AT103"/>
    <mergeCell ref="AJ102:AT102"/>
    <mergeCell ref="AJ101:AT101"/>
    <mergeCell ref="AJ100:AT100"/>
    <mergeCell ref="AJ99:AT99"/>
    <mergeCell ref="AJ98:AT98"/>
    <mergeCell ref="AJ97:AT97"/>
    <mergeCell ref="AJ96:AT96"/>
    <mergeCell ref="AJ95:AT95"/>
    <mergeCell ref="AJ94:AT94"/>
    <mergeCell ref="K95:T95"/>
    <mergeCell ref="K94:T94"/>
    <mergeCell ref="B92:BF92"/>
    <mergeCell ref="K114:T114"/>
    <mergeCell ref="K103:T103"/>
    <mergeCell ref="K102:T102"/>
    <mergeCell ref="K101:T101"/>
    <mergeCell ref="K100:T100"/>
    <mergeCell ref="K99:T99"/>
    <mergeCell ref="K98:T98"/>
    <mergeCell ref="K97:T97"/>
    <mergeCell ref="K96:T96"/>
    <mergeCell ref="U114:AI114"/>
    <mergeCell ref="U103:AI103"/>
    <mergeCell ref="U102:AI102"/>
    <mergeCell ref="U101:AI101"/>
    <mergeCell ref="U100:AI100"/>
    <mergeCell ref="U99:AI99"/>
    <mergeCell ref="D114:J114"/>
    <mergeCell ref="D103:J103"/>
    <mergeCell ref="D102:J102"/>
    <mergeCell ref="D101:J101"/>
    <mergeCell ref="D100:J100"/>
    <mergeCell ref="D99:J99"/>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C59:Z59"/>
    <mergeCell ref="BD55:BF55"/>
    <mergeCell ref="AU48:AZ48"/>
    <mergeCell ref="C64:Z64"/>
    <mergeCell ref="AL34:AN34"/>
    <mergeCell ref="D120:T120"/>
    <mergeCell ref="D130:T130"/>
    <mergeCell ref="D129:T129"/>
    <mergeCell ref="D128:T128"/>
    <mergeCell ref="D127:T127"/>
    <mergeCell ref="D126:T126"/>
    <mergeCell ref="D125:T125"/>
    <mergeCell ref="D124:T124"/>
    <mergeCell ref="D123:T123"/>
    <mergeCell ref="D122:T122"/>
    <mergeCell ref="D121:T121"/>
    <mergeCell ref="U119:Y119"/>
    <mergeCell ref="Z119:AE119"/>
    <mergeCell ref="Z120:AE120"/>
    <mergeCell ref="Z121:AE121"/>
    <mergeCell ref="Z122:AE122"/>
    <mergeCell ref="Z123:AE123"/>
    <mergeCell ref="Z124:AE124"/>
    <mergeCell ref="Z125:AE125"/>
    <mergeCell ref="Z126:AE126"/>
    <mergeCell ref="Z127:AE127"/>
    <mergeCell ref="Z128:AE128"/>
    <mergeCell ref="U140:Y140"/>
    <mergeCell ref="D131:T131"/>
    <mergeCell ref="U120:Y120"/>
    <mergeCell ref="U121:Y121"/>
    <mergeCell ref="U122:Y122"/>
    <mergeCell ref="U123:Y123"/>
    <mergeCell ref="U124:Y124"/>
    <mergeCell ref="U125:Y125"/>
    <mergeCell ref="U126:Y126"/>
    <mergeCell ref="U127:Y127"/>
    <mergeCell ref="U128:Y128"/>
    <mergeCell ref="U129:Y129"/>
    <mergeCell ref="U130:Y130"/>
    <mergeCell ref="D140:T140"/>
    <mergeCell ref="D139:T139"/>
    <mergeCell ref="D138:T138"/>
    <mergeCell ref="D137:T137"/>
    <mergeCell ref="D136:T136"/>
    <mergeCell ref="D135:T135"/>
    <mergeCell ref="D134:T134"/>
    <mergeCell ref="D133:T133"/>
    <mergeCell ref="D132:T132"/>
    <mergeCell ref="U131:Y131"/>
    <mergeCell ref="U132:Y132"/>
    <mergeCell ref="U133:Y133"/>
    <mergeCell ref="U134:Y134"/>
    <mergeCell ref="U135:Y135"/>
    <mergeCell ref="U136:Y136"/>
    <mergeCell ref="U137:Y137"/>
    <mergeCell ref="U138:Y138"/>
    <mergeCell ref="U139:Y139"/>
    <mergeCell ref="AF136:AL136"/>
    <mergeCell ref="AF137:AL137"/>
    <mergeCell ref="AF138:AL138"/>
    <mergeCell ref="AF139:AL139"/>
    <mergeCell ref="Z129:AE129"/>
    <mergeCell ref="Z130:AE130"/>
    <mergeCell ref="Z131:AE131"/>
    <mergeCell ref="Z132:AE132"/>
    <mergeCell ref="Z133:AE133"/>
    <mergeCell ref="Z134:AE134"/>
    <mergeCell ref="Z135:AE135"/>
    <mergeCell ref="Z136:AE136"/>
    <mergeCell ref="Z137:AE137"/>
    <mergeCell ref="AM137:AS137"/>
    <mergeCell ref="AM138:AS138"/>
    <mergeCell ref="AM139:AS139"/>
    <mergeCell ref="AM140:AS140"/>
    <mergeCell ref="Z138:AE138"/>
    <mergeCell ref="Z139:AE139"/>
    <mergeCell ref="Z140:AE140"/>
    <mergeCell ref="AF119:AL119"/>
    <mergeCell ref="AF120:AL120"/>
    <mergeCell ref="AF121:AL121"/>
    <mergeCell ref="AF122:AL122"/>
    <mergeCell ref="AF123:AL123"/>
    <mergeCell ref="AF124:AL124"/>
    <mergeCell ref="AF125:AL125"/>
    <mergeCell ref="AF126:AL126"/>
    <mergeCell ref="AF127:AL127"/>
    <mergeCell ref="AF128:AL128"/>
    <mergeCell ref="AF129:AL129"/>
    <mergeCell ref="AF130:AL130"/>
    <mergeCell ref="AF131:AL131"/>
    <mergeCell ref="AF132:AL132"/>
    <mergeCell ref="AF133:AL133"/>
    <mergeCell ref="AF134:AL134"/>
    <mergeCell ref="AF135:AL135"/>
    <mergeCell ref="D141:T141"/>
    <mergeCell ref="U141:Y141"/>
    <mergeCell ref="Z141:AE141"/>
    <mergeCell ref="AF141:AL141"/>
    <mergeCell ref="AM141:AS141"/>
    <mergeCell ref="AF140:AL140"/>
    <mergeCell ref="AM119:AS119"/>
    <mergeCell ref="AM120:AS120"/>
    <mergeCell ref="AM121:AS121"/>
    <mergeCell ref="AM122:AS122"/>
    <mergeCell ref="AM123:AS123"/>
    <mergeCell ref="AM124:AS124"/>
    <mergeCell ref="AM125:AS125"/>
    <mergeCell ref="AM126:AS126"/>
    <mergeCell ref="AM127:AS127"/>
    <mergeCell ref="AM128:AS128"/>
    <mergeCell ref="AM129:AS129"/>
    <mergeCell ref="AM130:AS130"/>
    <mergeCell ref="AM131:AS131"/>
    <mergeCell ref="AM132:AS132"/>
    <mergeCell ref="AM133:AS133"/>
    <mergeCell ref="AM134:AS134"/>
    <mergeCell ref="AM135:AS135"/>
    <mergeCell ref="AM136:AS136"/>
  </mergeCells>
  <conditionalFormatting sqref="U120:Y140">
    <cfRule type="notContainsBlanks" dxfId="102" priority="6">
      <formula>LEN(TRIM(U120))&gt;0</formula>
    </cfRule>
  </conditionalFormatting>
  <conditionalFormatting sqref="Z120:AE140">
    <cfRule type="containsText" dxfId="101" priority="4" operator="containsText" text="BELOW">
      <formula>NOT(ISERROR(SEARCH("BELOW",Z120)))</formula>
    </cfRule>
    <cfRule type="containsText" dxfId="100" priority="5" operator="containsText" text="ABOVE">
      <formula>NOT(ISERROR(SEARCH("ABOVE",Z120)))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675</v>
      </c>
      <c r="B1" s="60" t="s">
        <v>674</v>
      </c>
      <c r="C1" s="60" t="s">
        <v>718</v>
      </c>
      <c r="D1" s="60" t="s">
        <v>673</v>
      </c>
      <c r="E1" s="60" t="s">
        <v>672</v>
      </c>
      <c r="F1" s="62" t="s">
        <v>671</v>
      </c>
      <c r="G1" s="62" t="s">
        <v>670</v>
      </c>
      <c r="H1" s="60" t="s">
        <v>669</v>
      </c>
      <c r="I1" s="60" t="s">
        <v>668</v>
      </c>
      <c r="J1" s="60" t="s">
        <v>667</v>
      </c>
      <c r="K1" s="61" t="s">
        <v>666</v>
      </c>
      <c r="L1" s="60" t="s">
        <v>665</v>
      </c>
      <c r="M1" s="60" t="s">
        <v>664</v>
      </c>
      <c r="N1" s="60" t="s">
        <v>663</v>
      </c>
      <c r="O1" s="60" t="s">
        <v>662</v>
      </c>
      <c r="P1" s="60" t="s">
        <v>661</v>
      </c>
    </row>
    <row r="2" spans="1:16" x14ac:dyDescent="0.25">
      <c r="A2" s="59">
        <v>15</v>
      </c>
      <c r="B2" s="59">
        <v>0</v>
      </c>
      <c r="C2" s="59">
        <v>0</v>
      </c>
      <c r="D2" s="59" t="s">
        <v>659</v>
      </c>
      <c r="E2" s="59" t="s">
        <v>658</v>
      </c>
      <c r="F2" s="70" t="str">
        <f>'PIM Model'!$AD$11</f>
        <v/>
      </c>
      <c r="G2" s="65" t="str">
        <f>F2</f>
        <v/>
      </c>
      <c r="H2" s="70" t="str">
        <f>IF('PIM Model'!$D$11="$/LB","#","%")</f>
        <v>%</v>
      </c>
      <c r="I2" s="68" t="s">
        <v>660</v>
      </c>
      <c r="J2">
        <f>'Agreement Worksheet'!$F$13</f>
        <v>2.25</v>
      </c>
      <c r="K2" s="708">
        <f>'Agreement Worksheet'!$C$13</f>
        <v>30</v>
      </c>
      <c r="L2" s="59" t="str">
        <f>'Agreement Worksheet'!$D$13</f>
        <v>%</v>
      </c>
    </row>
    <row r="3" spans="1:16" x14ac:dyDescent="0.25">
      <c r="A3" s="59">
        <v>15</v>
      </c>
      <c r="B3" s="59">
        <v>131</v>
      </c>
      <c r="C3" s="59">
        <v>0</v>
      </c>
      <c r="D3" s="59" t="s">
        <v>659</v>
      </c>
      <c r="E3" s="59" t="s">
        <v>658</v>
      </c>
      <c r="F3" s="70" t="str">
        <f>'PIM Model'!$AD$12</f>
        <v/>
      </c>
      <c r="G3" s="65" t="str">
        <f t="shared" ref="G3:G68" si="0">F3</f>
        <v/>
      </c>
      <c r="H3" s="70" t="str">
        <f>IF('PIM Model'!$D$12="$/LB","#","%")</f>
        <v>%</v>
      </c>
      <c r="I3" s="68" t="s">
        <v>660</v>
      </c>
      <c r="J3" s="1304">
        <f>'Agreement Worksheet'!$F$13</f>
        <v>2.25</v>
      </c>
      <c r="K3" s="708">
        <f>'Agreement Worksheet'!$C$13</f>
        <v>30</v>
      </c>
      <c r="L3" s="59" t="str">
        <f>'Agreement Worksheet'!$D$13</f>
        <v>%</v>
      </c>
    </row>
    <row r="4" spans="1:16" x14ac:dyDescent="0.25">
      <c r="A4" s="59">
        <v>15</v>
      </c>
      <c r="B4" s="59">
        <v>254</v>
      </c>
      <c r="C4" s="59">
        <v>0</v>
      </c>
      <c r="D4" s="59" t="s">
        <v>659</v>
      </c>
      <c r="E4" s="59" t="s">
        <v>658</v>
      </c>
      <c r="F4" s="70" t="str">
        <f>'PIM Model'!$AD$12</f>
        <v/>
      </c>
      <c r="G4" s="65" t="str">
        <f t="shared" si="0"/>
        <v/>
      </c>
      <c r="H4" s="70" t="str">
        <f>IF('PIM Model'!$D$12="$/LB","#","%")</f>
        <v>%</v>
      </c>
      <c r="I4" s="68" t="s">
        <v>660</v>
      </c>
      <c r="J4" s="1304">
        <f>'Agreement Worksheet'!$F$13</f>
        <v>2.25</v>
      </c>
      <c r="K4" s="708">
        <f>'Agreement Worksheet'!$C$13</f>
        <v>30</v>
      </c>
      <c r="L4" s="59" t="str">
        <f>'Agreement Worksheet'!$D$13</f>
        <v>%</v>
      </c>
    </row>
    <row r="5" spans="1:16" x14ac:dyDescent="0.25">
      <c r="A5" s="59">
        <v>15</v>
      </c>
      <c r="B5" s="59">
        <v>373</v>
      </c>
      <c r="C5" s="59">
        <v>0</v>
      </c>
      <c r="D5" s="59" t="s">
        <v>659</v>
      </c>
      <c r="E5" s="59" t="s">
        <v>658</v>
      </c>
      <c r="F5" s="70" t="str">
        <f>'PIM Model'!$AD$12</f>
        <v/>
      </c>
      <c r="G5" s="65" t="str">
        <f t="shared" si="0"/>
        <v/>
      </c>
      <c r="H5" s="70" t="str">
        <f>IF('PIM Model'!$D$12="$/LB","#","%")</f>
        <v>%</v>
      </c>
      <c r="I5" s="68" t="s">
        <v>660</v>
      </c>
      <c r="J5" s="1304">
        <f>'Agreement Worksheet'!$F$13</f>
        <v>2.25</v>
      </c>
      <c r="K5" s="708">
        <f>'Agreement Worksheet'!$C$13</f>
        <v>30</v>
      </c>
      <c r="L5" s="59" t="str">
        <f>'Agreement Worksheet'!$D$13</f>
        <v>%</v>
      </c>
    </row>
    <row r="6" spans="1:16" x14ac:dyDescent="0.25">
      <c r="A6" s="59">
        <v>15</v>
      </c>
      <c r="B6" s="59">
        <v>132</v>
      </c>
      <c r="C6" s="59">
        <v>0</v>
      </c>
      <c r="D6" s="59" t="s">
        <v>659</v>
      </c>
      <c r="E6" s="59" t="s">
        <v>658</v>
      </c>
      <c r="F6" s="70" t="str">
        <f>'PIM Model'!$AD$12</f>
        <v/>
      </c>
      <c r="G6" s="65" t="str">
        <f t="shared" si="0"/>
        <v/>
      </c>
      <c r="H6" s="70" t="str">
        <f>IF('PIM Model'!$D$12="$/LB","#","%")</f>
        <v>%</v>
      </c>
      <c r="I6" s="68" t="s">
        <v>660</v>
      </c>
      <c r="J6" s="1304">
        <f>'Agreement Worksheet'!$F$13</f>
        <v>2.25</v>
      </c>
      <c r="K6" s="708">
        <f>'Agreement Worksheet'!$C$13</f>
        <v>30</v>
      </c>
      <c r="L6" s="59" t="str">
        <f>'Agreement Worksheet'!$D$13</f>
        <v>%</v>
      </c>
    </row>
    <row r="7" spans="1:16" x14ac:dyDescent="0.25">
      <c r="A7" s="59">
        <v>15</v>
      </c>
      <c r="B7" s="59">
        <v>368</v>
      </c>
      <c r="C7" s="59">
        <v>0</v>
      </c>
      <c r="D7" s="59" t="s">
        <v>659</v>
      </c>
      <c r="E7" s="59" t="s">
        <v>658</v>
      </c>
      <c r="F7" s="70" t="str">
        <f>'PIM Model'!$AD$12</f>
        <v/>
      </c>
      <c r="G7" s="65" t="str">
        <f t="shared" si="0"/>
        <v/>
      </c>
      <c r="H7" s="70" t="str">
        <f>IF('PIM Model'!$D$12="$/LB","#","%")</f>
        <v>%</v>
      </c>
      <c r="I7" s="68" t="s">
        <v>660</v>
      </c>
      <c r="J7" s="1304">
        <f>'Agreement Worksheet'!$F$13</f>
        <v>2.25</v>
      </c>
      <c r="K7" s="708">
        <f>'Agreement Worksheet'!$C$13</f>
        <v>30</v>
      </c>
      <c r="L7" s="59" t="str">
        <f>'Agreement Worksheet'!$D$13</f>
        <v>%</v>
      </c>
    </row>
    <row r="8" spans="1:16" x14ac:dyDescent="0.25">
      <c r="A8" s="59">
        <v>15</v>
      </c>
      <c r="B8" s="59">
        <v>369</v>
      </c>
      <c r="C8" s="59">
        <v>0</v>
      </c>
      <c r="D8" s="59" t="s">
        <v>659</v>
      </c>
      <c r="E8" s="59" t="s">
        <v>658</v>
      </c>
      <c r="F8" s="70" t="str">
        <f>'PIM Model'!$AD$12</f>
        <v/>
      </c>
      <c r="G8" s="65" t="str">
        <f t="shared" si="0"/>
        <v/>
      </c>
      <c r="H8" s="70" t="str">
        <f>IF('PIM Model'!$D$12="$/LB","#","%")</f>
        <v>%</v>
      </c>
      <c r="I8" s="68" t="s">
        <v>660</v>
      </c>
      <c r="J8" s="1304">
        <f>'Agreement Worksheet'!$F$13</f>
        <v>2.25</v>
      </c>
      <c r="K8" s="708">
        <f>'Agreement Worksheet'!$C$13</f>
        <v>30</v>
      </c>
      <c r="L8" s="59" t="str">
        <f>'Agreement Worksheet'!$D$13</f>
        <v>%</v>
      </c>
    </row>
    <row r="9" spans="1:16" x14ac:dyDescent="0.25">
      <c r="A9" s="59">
        <v>15</v>
      </c>
      <c r="B9" s="59">
        <v>384</v>
      </c>
      <c r="C9" s="59">
        <v>0</v>
      </c>
      <c r="D9" s="59" t="s">
        <v>659</v>
      </c>
      <c r="E9" s="59" t="s">
        <v>658</v>
      </c>
      <c r="F9" s="70" t="str">
        <f>'PIM Model'!$AD$12</f>
        <v/>
      </c>
      <c r="G9" s="65" t="str">
        <f t="shared" si="0"/>
        <v/>
      </c>
      <c r="H9" s="70" t="str">
        <f>IF('PIM Model'!$D$12="$/LB","#","%")</f>
        <v>%</v>
      </c>
      <c r="I9" s="68" t="s">
        <v>660</v>
      </c>
      <c r="J9" s="1304">
        <f>'Agreement Worksheet'!$F$13</f>
        <v>2.25</v>
      </c>
      <c r="K9" s="708">
        <f>'Agreement Worksheet'!$C$13</f>
        <v>30</v>
      </c>
      <c r="L9" s="59" t="str">
        <f>'Agreement Worksheet'!$D$13</f>
        <v>%</v>
      </c>
    </row>
    <row r="10" spans="1:16" x14ac:dyDescent="0.25">
      <c r="A10" s="59">
        <v>15</v>
      </c>
      <c r="B10" s="59">
        <v>381</v>
      </c>
      <c r="C10" s="59">
        <v>0</v>
      </c>
      <c r="D10" s="59" t="s">
        <v>659</v>
      </c>
      <c r="E10" s="59" t="s">
        <v>658</v>
      </c>
      <c r="F10" s="70" t="str">
        <f>'PIM Model'!$AD$12</f>
        <v/>
      </c>
      <c r="G10" s="65" t="str">
        <f t="shared" si="0"/>
        <v/>
      </c>
      <c r="H10" s="70" t="str">
        <f>IF('PIM Model'!$D$12="$/LB","#","%")</f>
        <v>%</v>
      </c>
      <c r="I10" s="68" t="s">
        <v>660</v>
      </c>
      <c r="J10" s="1304">
        <f>'Agreement Worksheet'!$F$13</f>
        <v>2.25</v>
      </c>
      <c r="K10" s="708">
        <f>'Agreement Worksheet'!$C$13</f>
        <v>30</v>
      </c>
      <c r="L10" s="59" t="str">
        <f>'Agreement Worksheet'!$D$13</f>
        <v>%</v>
      </c>
    </row>
    <row r="11" spans="1:16" x14ac:dyDescent="0.25">
      <c r="A11" s="59">
        <v>15</v>
      </c>
      <c r="B11" s="59">
        <v>377</v>
      </c>
      <c r="C11" s="59">
        <v>0</v>
      </c>
      <c r="D11" s="59" t="s">
        <v>659</v>
      </c>
      <c r="E11" s="59" t="s">
        <v>658</v>
      </c>
      <c r="F11" s="70" t="str">
        <f>'PIM Model'!$AD$12</f>
        <v/>
      </c>
      <c r="G11" s="65" t="str">
        <f t="shared" si="0"/>
        <v/>
      </c>
      <c r="H11" s="70" t="str">
        <f>IF('PIM Model'!$D$12="$/LB","#","%")</f>
        <v>%</v>
      </c>
      <c r="I11" s="68" t="s">
        <v>660</v>
      </c>
      <c r="J11" s="1304">
        <f>'Agreement Worksheet'!$F$13</f>
        <v>2.25</v>
      </c>
      <c r="K11" s="708">
        <f>'Agreement Worksheet'!$C$13</f>
        <v>30</v>
      </c>
      <c r="L11" s="59" t="str">
        <f>'Agreement Worksheet'!$D$13</f>
        <v>%</v>
      </c>
    </row>
    <row r="12" spans="1:16" x14ac:dyDescent="0.25">
      <c r="A12" s="59">
        <v>15</v>
      </c>
      <c r="B12" s="59">
        <v>388</v>
      </c>
      <c r="C12" s="59">
        <v>0</v>
      </c>
      <c r="D12" s="59" t="s">
        <v>659</v>
      </c>
      <c r="E12" s="59" t="s">
        <v>658</v>
      </c>
      <c r="F12" s="70" t="str">
        <f>'PIM Model'!$AD$12</f>
        <v/>
      </c>
      <c r="G12" s="65" t="str">
        <f t="shared" si="0"/>
        <v/>
      </c>
      <c r="H12" s="70" t="str">
        <f>IF('PIM Model'!$D$12="$/LB","#","%")</f>
        <v>%</v>
      </c>
      <c r="I12" s="68" t="s">
        <v>660</v>
      </c>
      <c r="J12" s="1304">
        <f>'Agreement Worksheet'!$F$13</f>
        <v>2.25</v>
      </c>
      <c r="K12" s="708">
        <f>'Agreement Worksheet'!$C$13</f>
        <v>30</v>
      </c>
      <c r="L12" s="59" t="str">
        <f>'Agreement Worksheet'!$D$13</f>
        <v>%</v>
      </c>
    </row>
    <row r="13" spans="1:16" x14ac:dyDescent="0.25">
      <c r="A13" s="59">
        <v>16</v>
      </c>
      <c r="B13" s="59">
        <v>0</v>
      </c>
      <c r="C13" s="59">
        <v>0</v>
      </c>
      <c r="D13" s="59" t="str">
        <f>IF('Pricing Schedule'!$C$5="PWW","W","M")</f>
        <v>M</v>
      </c>
      <c r="E13" s="59" t="str">
        <f>IF('PRIME Headers'!$C$20="No","PWW","P07")</f>
        <v>P07</v>
      </c>
      <c r="F13" s="66" t="str">
        <f>'PIM Model'!$AD$13</f>
        <v/>
      </c>
      <c r="G13" s="65" t="str">
        <f t="shared" si="0"/>
        <v/>
      </c>
      <c r="H13" s="70" t="str">
        <f>'PIM Model'!$D$13</f>
        <v>%</v>
      </c>
      <c r="I13" s="68" t="s">
        <v>660</v>
      </c>
      <c r="J13" s="1304">
        <f>'Agreement Worksheet'!$F$13</f>
        <v>2.25</v>
      </c>
      <c r="K13" s="708">
        <f>'Agreement Worksheet'!$C$13</f>
        <v>30</v>
      </c>
      <c r="L13" s="59" t="str">
        <f>'Agreement Worksheet'!$D$13</f>
        <v>%</v>
      </c>
    </row>
    <row r="14" spans="1:16" x14ac:dyDescent="0.25">
      <c r="A14" s="59">
        <v>16</v>
      </c>
      <c r="B14" s="59">
        <v>135</v>
      </c>
      <c r="C14" s="59">
        <v>0</v>
      </c>
      <c r="D14" s="59" t="s">
        <v>659</v>
      </c>
      <c r="E14" s="59" t="s">
        <v>658</v>
      </c>
      <c r="F14" s="66" t="str">
        <f>'PIM Model'!$AD$13</f>
        <v/>
      </c>
      <c r="G14" s="65" t="str">
        <f t="shared" si="0"/>
        <v/>
      </c>
      <c r="H14" s="70" t="str">
        <f>'PIM Model'!$D$13</f>
        <v>%</v>
      </c>
      <c r="I14" s="68" t="s">
        <v>660</v>
      </c>
      <c r="J14" s="1304">
        <f>'Agreement Worksheet'!$F$13</f>
        <v>2.25</v>
      </c>
      <c r="K14" s="708">
        <f>'Agreement Worksheet'!$C$13</f>
        <v>30</v>
      </c>
      <c r="L14" s="59" t="str">
        <f>'Agreement Worksheet'!$D$13</f>
        <v>%</v>
      </c>
    </row>
    <row r="15" spans="1:16" x14ac:dyDescent="0.25">
      <c r="A15" s="59">
        <v>16</v>
      </c>
      <c r="B15" s="59">
        <v>136</v>
      </c>
      <c r="C15" s="59">
        <v>7626</v>
      </c>
      <c r="D15" s="59" t="s">
        <v>659</v>
      </c>
      <c r="E15" s="59" t="s">
        <v>658</v>
      </c>
      <c r="F15" s="66" t="str">
        <f>'PIM Model'!$AD$13</f>
        <v/>
      </c>
      <c r="G15" s="65" t="str">
        <f t="shared" si="0"/>
        <v/>
      </c>
      <c r="H15" s="70" t="str">
        <f>'PIM Model'!$D$13</f>
        <v>%</v>
      </c>
      <c r="I15" s="68" t="s">
        <v>660</v>
      </c>
      <c r="J15" s="1304">
        <f>'Agreement Worksheet'!$F$13</f>
        <v>2.25</v>
      </c>
      <c r="K15" s="708">
        <f>'Agreement Worksheet'!$C$13</f>
        <v>30</v>
      </c>
      <c r="L15" s="59" t="str">
        <f>'Agreement Worksheet'!$D$13</f>
        <v>%</v>
      </c>
    </row>
    <row r="16" spans="1:16" x14ac:dyDescent="0.25">
      <c r="A16" s="59">
        <v>16</v>
      </c>
      <c r="B16" s="59">
        <v>136</v>
      </c>
      <c r="C16" s="59">
        <v>7627</v>
      </c>
      <c r="D16" s="59" t="s">
        <v>659</v>
      </c>
      <c r="E16" s="59" t="s">
        <v>658</v>
      </c>
      <c r="F16" s="66" t="str">
        <f>'PIM Model'!$AD$13</f>
        <v/>
      </c>
      <c r="G16" s="65" t="str">
        <f t="shared" si="0"/>
        <v/>
      </c>
      <c r="H16" s="70" t="str">
        <f>'PIM Model'!$D$13</f>
        <v>%</v>
      </c>
      <c r="I16" s="68" t="s">
        <v>660</v>
      </c>
      <c r="J16" s="1304">
        <f>'Agreement Worksheet'!$F$13</f>
        <v>2.25</v>
      </c>
      <c r="K16" s="708">
        <f>'Agreement Worksheet'!$C$13</f>
        <v>30</v>
      </c>
      <c r="L16" s="59" t="str">
        <f>'Agreement Worksheet'!$D$13</f>
        <v>%</v>
      </c>
    </row>
    <row r="17" spans="1:12" x14ac:dyDescent="0.25">
      <c r="A17" s="59">
        <v>16</v>
      </c>
      <c r="B17" s="59">
        <v>136</v>
      </c>
      <c r="C17" s="59">
        <v>7628</v>
      </c>
      <c r="D17" s="59" t="s">
        <v>659</v>
      </c>
      <c r="E17" s="59" t="s">
        <v>658</v>
      </c>
      <c r="F17" s="66" t="str">
        <f>'PIM Model'!$AD$13</f>
        <v/>
      </c>
      <c r="G17" s="65" t="str">
        <f t="shared" si="0"/>
        <v/>
      </c>
      <c r="H17" s="70" t="str">
        <f>'PIM Model'!$D$13</f>
        <v>%</v>
      </c>
      <c r="I17" s="68" t="s">
        <v>660</v>
      </c>
      <c r="J17" s="1304">
        <f>'Agreement Worksheet'!$F$13</f>
        <v>2.25</v>
      </c>
      <c r="K17" s="708">
        <f>'Agreement Worksheet'!$C$13</f>
        <v>30</v>
      </c>
      <c r="L17" s="59" t="str">
        <f>'Agreement Worksheet'!$D$13</f>
        <v>%</v>
      </c>
    </row>
    <row r="18" spans="1:12" x14ac:dyDescent="0.25">
      <c r="A18" s="59">
        <v>16</v>
      </c>
      <c r="B18" s="59">
        <v>136</v>
      </c>
      <c r="C18" s="59">
        <v>7629</v>
      </c>
      <c r="D18" s="59" t="s">
        <v>659</v>
      </c>
      <c r="E18" s="59" t="s">
        <v>658</v>
      </c>
      <c r="F18" s="66" t="str">
        <f>'PIM Model'!$AD$13</f>
        <v/>
      </c>
      <c r="G18" s="65" t="str">
        <f t="shared" si="0"/>
        <v/>
      </c>
      <c r="H18" s="70" t="str">
        <f>'PIM Model'!$D$13</f>
        <v>%</v>
      </c>
      <c r="I18" s="68" t="s">
        <v>660</v>
      </c>
      <c r="J18" s="1304">
        <f>'Agreement Worksheet'!$F$13</f>
        <v>2.25</v>
      </c>
      <c r="K18" s="708">
        <f>'Agreement Worksheet'!$C$13</f>
        <v>30</v>
      </c>
      <c r="L18" s="59" t="str">
        <f>'Agreement Worksheet'!$D$13</f>
        <v>%</v>
      </c>
    </row>
    <row r="19" spans="1:12" x14ac:dyDescent="0.25">
      <c r="A19" s="59">
        <v>16</v>
      </c>
      <c r="B19" s="59">
        <v>136</v>
      </c>
      <c r="C19" s="59">
        <v>7643</v>
      </c>
      <c r="D19" s="59" t="s">
        <v>659</v>
      </c>
      <c r="E19" s="59" t="s">
        <v>658</v>
      </c>
      <c r="F19" s="66" t="str">
        <f>'PIM Model'!$AD$13</f>
        <v/>
      </c>
      <c r="G19" s="65" t="str">
        <f t="shared" si="0"/>
        <v/>
      </c>
      <c r="H19" s="70" t="str">
        <f>'PIM Model'!$D$13</f>
        <v>%</v>
      </c>
      <c r="I19" s="68" t="s">
        <v>660</v>
      </c>
      <c r="J19" s="1304">
        <f>'Agreement Worksheet'!$F$13</f>
        <v>2.25</v>
      </c>
      <c r="K19" s="708">
        <f>'Agreement Worksheet'!$C$13</f>
        <v>30</v>
      </c>
      <c r="L19" s="59" t="str">
        <f>'Agreement Worksheet'!$D$13</f>
        <v>%</v>
      </c>
    </row>
    <row r="20" spans="1:12" x14ac:dyDescent="0.25">
      <c r="A20" s="59">
        <v>16</v>
      </c>
      <c r="B20" s="59">
        <v>136</v>
      </c>
      <c r="C20" s="59">
        <v>7644</v>
      </c>
      <c r="D20" s="59" t="s">
        <v>659</v>
      </c>
      <c r="E20" s="59" t="s">
        <v>658</v>
      </c>
      <c r="F20" s="66" t="str">
        <f>'PIM Model'!$AD$13</f>
        <v/>
      </c>
      <c r="G20" s="65" t="str">
        <f t="shared" si="0"/>
        <v/>
      </c>
      <c r="H20" s="70" t="str">
        <f>'PIM Model'!$D$13</f>
        <v>%</v>
      </c>
      <c r="I20" s="68" t="s">
        <v>660</v>
      </c>
      <c r="J20" s="1304">
        <f>'Agreement Worksheet'!$F$13</f>
        <v>2.25</v>
      </c>
      <c r="K20" s="708">
        <f>'Agreement Worksheet'!$C$13</f>
        <v>30</v>
      </c>
      <c r="L20" s="59" t="str">
        <f>'Agreement Worksheet'!$D$13</f>
        <v>%</v>
      </c>
    </row>
    <row r="21" spans="1:12" x14ac:dyDescent="0.25">
      <c r="A21" s="59">
        <v>16</v>
      </c>
      <c r="B21" s="59">
        <v>136</v>
      </c>
      <c r="C21" s="59">
        <v>7645</v>
      </c>
      <c r="D21" s="59" t="s">
        <v>659</v>
      </c>
      <c r="E21" s="59" t="s">
        <v>658</v>
      </c>
      <c r="F21" s="66" t="str">
        <f>'PIM Model'!$AD$13</f>
        <v/>
      </c>
      <c r="G21" s="65" t="str">
        <f t="shared" si="0"/>
        <v/>
      </c>
      <c r="H21" s="70" t="str">
        <f>'PIM Model'!$D$13</f>
        <v>%</v>
      </c>
      <c r="I21" s="68" t="s">
        <v>660</v>
      </c>
      <c r="J21" s="1304">
        <f>'Agreement Worksheet'!$F$13</f>
        <v>2.25</v>
      </c>
      <c r="K21" s="708">
        <f>'Agreement Worksheet'!$C$13</f>
        <v>30</v>
      </c>
      <c r="L21" s="59" t="str">
        <f>'Agreement Worksheet'!$D$13</f>
        <v>%</v>
      </c>
    </row>
    <row r="22" spans="1:12" x14ac:dyDescent="0.25">
      <c r="A22" s="59">
        <v>16</v>
      </c>
      <c r="B22" s="59">
        <v>136</v>
      </c>
      <c r="C22" s="59">
        <v>7646</v>
      </c>
      <c r="D22" s="59" t="s">
        <v>659</v>
      </c>
      <c r="E22" s="59" t="s">
        <v>658</v>
      </c>
      <c r="F22" s="66" t="str">
        <f>'PIM Model'!$AD$13</f>
        <v/>
      </c>
      <c r="G22" s="65" t="str">
        <f t="shared" si="0"/>
        <v/>
      </c>
      <c r="H22" s="70" t="str">
        <f>'PIM Model'!$D$13</f>
        <v>%</v>
      </c>
      <c r="I22" s="68" t="s">
        <v>660</v>
      </c>
      <c r="J22" s="1304">
        <f>'Agreement Worksheet'!$F$13</f>
        <v>2.25</v>
      </c>
      <c r="K22" s="708">
        <f>'Agreement Worksheet'!$C$13</f>
        <v>30</v>
      </c>
      <c r="L22" s="59" t="str">
        <f>'Agreement Worksheet'!$D$13</f>
        <v>%</v>
      </c>
    </row>
    <row r="23" spans="1:12" x14ac:dyDescent="0.25">
      <c r="A23" s="59">
        <v>16</v>
      </c>
      <c r="B23" s="59">
        <v>136</v>
      </c>
      <c r="C23" s="59">
        <v>7647</v>
      </c>
      <c r="D23" s="59" t="s">
        <v>659</v>
      </c>
      <c r="E23" s="59" t="s">
        <v>658</v>
      </c>
      <c r="F23" s="66" t="str">
        <f>'PIM Model'!$AD$13</f>
        <v/>
      </c>
      <c r="G23" s="65" t="str">
        <f t="shared" si="0"/>
        <v/>
      </c>
      <c r="H23" s="70" t="str">
        <f>'PIM Model'!$D$13</f>
        <v>%</v>
      </c>
      <c r="I23" s="68" t="s">
        <v>660</v>
      </c>
      <c r="J23" s="1304">
        <f>'Agreement Worksheet'!$F$13</f>
        <v>2.25</v>
      </c>
      <c r="K23" s="708">
        <f>'Agreement Worksheet'!$C$13</f>
        <v>30</v>
      </c>
      <c r="L23" s="59" t="str">
        <f>'Agreement Worksheet'!$D$13</f>
        <v>%</v>
      </c>
    </row>
    <row r="24" spans="1:12" x14ac:dyDescent="0.25">
      <c r="A24" s="59">
        <v>16</v>
      </c>
      <c r="B24" s="59">
        <v>136</v>
      </c>
      <c r="C24" s="59">
        <v>7648</v>
      </c>
      <c r="D24" s="59" t="s">
        <v>659</v>
      </c>
      <c r="E24" s="59" t="s">
        <v>658</v>
      </c>
      <c r="F24" s="66" t="str">
        <f>'PIM Model'!$AD$13</f>
        <v/>
      </c>
      <c r="G24" s="65" t="str">
        <f t="shared" si="0"/>
        <v/>
      </c>
      <c r="H24" s="70" t="str">
        <f>'PIM Model'!$D$13</f>
        <v>%</v>
      </c>
      <c r="I24" s="68" t="s">
        <v>660</v>
      </c>
      <c r="J24" s="1304">
        <f>'Agreement Worksheet'!$F$13</f>
        <v>2.25</v>
      </c>
      <c r="K24" s="708">
        <f>'Agreement Worksheet'!$C$13</f>
        <v>30</v>
      </c>
      <c r="L24" s="59" t="str">
        <f>'Agreement Worksheet'!$D$13</f>
        <v>%</v>
      </c>
    </row>
    <row r="25" spans="1:12" x14ac:dyDescent="0.25">
      <c r="A25" s="59">
        <v>16</v>
      </c>
      <c r="B25" s="59">
        <v>136</v>
      </c>
      <c r="C25" s="59">
        <v>7649</v>
      </c>
      <c r="D25" s="59" t="s">
        <v>659</v>
      </c>
      <c r="E25" s="59" t="s">
        <v>658</v>
      </c>
      <c r="F25" s="66" t="str">
        <f>'PIM Model'!$AD$13</f>
        <v/>
      </c>
      <c r="G25" s="65" t="str">
        <f t="shared" si="0"/>
        <v/>
      </c>
      <c r="H25" s="70" t="str">
        <f>'PIM Model'!$D$13</f>
        <v>%</v>
      </c>
      <c r="I25" s="68" t="s">
        <v>660</v>
      </c>
      <c r="J25" s="1304">
        <f>'Agreement Worksheet'!$F$13</f>
        <v>2.25</v>
      </c>
      <c r="K25" s="708">
        <f>'Agreement Worksheet'!$C$13</f>
        <v>30</v>
      </c>
      <c r="L25" s="59" t="str">
        <f>'Agreement Worksheet'!$D$13</f>
        <v>%</v>
      </c>
    </row>
    <row r="26" spans="1:12" x14ac:dyDescent="0.25">
      <c r="A26" s="59">
        <v>16</v>
      </c>
      <c r="B26" s="59">
        <v>136</v>
      </c>
      <c r="C26" s="59">
        <v>7738</v>
      </c>
      <c r="D26" s="59" t="s">
        <v>659</v>
      </c>
      <c r="E26" s="59" t="s">
        <v>658</v>
      </c>
      <c r="F26" s="66" t="str">
        <f>'PIM Model'!$AD$13</f>
        <v/>
      </c>
      <c r="G26" s="65" t="str">
        <f t="shared" si="0"/>
        <v/>
      </c>
      <c r="H26" s="70" t="str">
        <f>'PIM Model'!$D$13</f>
        <v>%</v>
      </c>
      <c r="I26" s="68" t="s">
        <v>660</v>
      </c>
      <c r="J26" s="1304">
        <f>'Agreement Worksheet'!$F$13</f>
        <v>2.25</v>
      </c>
      <c r="K26" s="708">
        <f>'Agreement Worksheet'!$C$13</f>
        <v>30</v>
      </c>
      <c r="L26" s="59" t="str">
        <f>'Agreement Worksheet'!$D$13</f>
        <v>%</v>
      </c>
    </row>
    <row r="27" spans="1:12" x14ac:dyDescent="0.25">
      <c r="A27" s="59">
        <v>16</v>
      </c>
      <c r="B27" s="59">
        <v>136</v>
      </c>
      <c r="C27" s="59">
        <v>7739</v>
      </c>
      <c r="D27" s="59" t="s">
        <v>659</v>
      </c>
      <c r="E27" s="59" t="s">
        <v>658</v>
      </c>
      <c r="F27" s="66" t="str">
        <f>'PIM Model'!$AD$13</f>
        <v/>
      </c>
      <c r="G27" s="65" t="str">
        <f t="shared" si="0"/>
        <v/>
      </c>
      <c r="H27" s="70" t="str">
        <f>'PIM Model'!$D$13</f>
        <v>%</v>
      </c>
      <c r="I27" s="68" t="s">
        <v>660</v>
      </c>
      <c r="J27" s="1304">
        <f>'Agreement Worksheet'!$F$13</f>
        <v>2.25</v>
      </c>
      <c r="K27" s="708">
        <f>'Agreement Worksheet'!$C$13</f>
        <v>30</v>
      </c>
      <c r="L27" s="59" t="str">
        <f>'Agreement Worksheet'!$D$13</f>
        <v>%</v>
      </c>
    </row>
    <row r="28" spans="1:12" x14ac:dyDescent="0.25">
      <c r="A28" s="59">
        <v>16</v>
      </c>
      <c r="B28" s="59">
        <v>136</v>
      </c>
      <c r="C28" s="59">
        <v>7744</v>
      </c>
      <c r="D28" s="59" t="s">
        <v>659</v>
      </c>
      <c r="E28" s="59" t="s">
        <v>658</v>
      </c>
      <c r="F28" s="66" t="str">
        <f>'PIM Model'!$AD$13</f>
        <v/>
      </c>
      <c r="G28" s="65" t="str">
        <f t="shared" si="0"/>
        <v/>
      </c>
      <c r="H28" s="70" t="str">
        <f>'PIM Model'!$D$13</f>
        <v>%</v>
      </c>
      <c r="I28" s="68" t="s">
        <v>660</v>
      </c>
      <c r="J28" s="1304">
        <f>'Agreement Worksheet'!$F$13</f>
        <v>2.25</v>
      </c>
      <c r="K28" s="708">
        <f>'Agreement Worksheet'!$C$13</f>
        <v>30</v>
      </c>
      <c r="L28" s="59" t="str">
        <f>'Agreement Worksheet'!$D$13</f>
        <v>%</v>
      </c>
    </row>
    <row r="29" spans="1:12" x14ac:dyDescent="0.25">
      <c r="A29" s="59">
        <v>16</v>
      </c>
      <c r="B29" s="59">
        <v>136</v>
      </c>
      <c r="C29" s="59">
        <v>7745</v>
      </c>
      <c r="D29" s="59" t="s">
        <v>659</v>
      </c>
      <c r="E29" s="59" t="s">
        <v>658</v>
      </c>
      <c r="F29" s="66" t="str">
        <f>'PIM Model'!$AD$13</f>
        <v/>
      </c>
      <c r="G29" s="65" t="str">
        <f t="shared" si="0"/>
        <v/>
      </c>
      <c r="H29" s="70" t="str">
        <f>'PIM Model'!$D$13</f>
        <v>%</v>
      </c>
      <c r="I29" s="68" t="s">
        <v>660</v>
      </c>
      <c r="J29" s="1304">
        <f>'Agreement Worksheet'!$F$13</f>
        <v>2.25</v>
      </c>
      <c r="K29" s="708">
        <f>'Agreement Worksheet'!$C$13</f>
        <v>30</v>
      </c>
      <c r="L29" s="59" t="str">
        <f>'Agreement Worksheet'!$D$13</f>
        <v>%</v>
      </c>
    </row>
    <row r="30" spans="1:12" x14ac:dyDescent="0.25">
      <c r="A30" s="59">
        <v>16</v>
      </c>
      <c r="B30" s="59">
        <v>136</v>
      </c>
      <c r="C30" s="59">
        <v>7746</v>
      </c>
      <c r="D30" s="59" t="s">
        <v>659</v>
      </c>
      <c r="E30" s="59" t="s">
        <v>658</v>
      </c>
      <c r="F30" s="66" t="str">
        <f>'PIM Model'!$AD$13</f>
        <v/>
      </c>
      <c r="G30" s="65" t="str">
        <f t="shared" si="0"/>
        <v/>
      </c>
      <c r="H30" s="70" t="str">
        <f>'PIM Model'!$D$13</f>
        <v>%</v>
      </c>
      <c r="I30" s="68" t="s">
        <v>660</v>
      </c>
      <c r="J30" s="1304">
        <f>'Agreement Worksheet'!$F$13</f>
        <v>2.25</v>
      </c>
      <c r="K30" s="708">
        <f>'Agreement Worksheet'!$C$13</f>
        <v>30</v>
      </c>
      <c r="L30" s="59" t="str">
        <f>'Agreement Worksheet'!$D$13</f>
        <v>%</v>
      </c>
    </row>
    <row r="31" spans="1:12" x14ac:dyDescent="0.25">
      <c r="A31" s="59">
        <v>16</v>
      </c>
      <c r="B31" s="59">
        <v>136</v>
      </c>
      <c r="C31" s="59">
        <v>8216</v>
      </c>
      <c r="D31" s="59" t="s">
        <v>659</v>
      </c>
      <c r="E31" s="59" t="s">
        <v>658</v>
      </c>
      <c r="F31" s="66" t="str">
        <f>'PIM Model'!$AD$13</f>
        <v/>
      </c>
      <c r="G31" s="65" t="str">
        <f>F31</f>
        <v/>
      </c>
      <c r="H31" s="70" t="str">
        <f>'PIM Model'!$D$13</f>
        <v>%</v>
      </c>
      <c r="I31" s="68" t="s">
        <v>660</v>
      </c>
      <c r="J31" s="1304">
        <f>'Agreement Worksheet'!$F$13</f>
        <v>2.25</v>
      </c>
      <c r="K31" s="708">
        <f>'Agreement Worksheet'!$C$13</f>
        <v>30</v>
      </c>
      <c r="L31" s="59" t="str">
        <f>'Agreement Worksheet'!$D$13</f>
        <v>%</v>
      </c>
    </row>
    <row r="32" spans="1:12" x14ac:dyDescent="0.25">
      <c r="A32" s="59">
        <v>16</v>
      </c>
      <c r="B32" s="59">
        <v>136</v>
      </c>
      <c r="C32" s="59">
        <v>8219</v>
      </c>
      <c r="D32" s="59" t="s">
        <v>659</v>
      </c>
      <c r="E32" s="59" t="s">
        <v>658</v>
      </c>
      <c r="F32" s="66" t="str">
        <f>'PIM Model'!$AD$13</f>
        <v/>
      </c>
      <c r="G32" s="65" t="str">
        <f>F32</f>
        <v/>
      </c>
      <c r="H32" s="70" t="str">
        <f>'PIM Model'!$D$13</f>
        <v>%</v>
      </c>
      <c r="I32" s="68" t="s">
        <v>660</v>
      </c>
      <c r="J32" s="1304">
        <f>'Agreement Worksheet'!$F$13</f>
        <v>2.25</v>
      </c>
      <c r="K32" s="708">
        <f>'Agreement Worksheet'!$C$13</f>
        <v>30</v>
      </c>
      <c r="L32" s="59" t="str">
        <f>'Agreement Worksheet'!$D$13</f>
        <v>%</v>
      </c>
    </row>
    <row r="33" spans="1:12" x14ac:dyDescent="0.25">
      <c r="A33" s="59">
        <v>17</v>
      </c>
      <c r="B33" s="59">
        <v>0</v>
      </c>
      <c r="C33" s="59">
        <v>0</v>
      </c>
      <c r="D33" s="59" t="str">
        <f>IF('Pricing Schedule'!$C$5="PWW","W","M")</f>
        <v>M</v>
      </c>
      <c r="E33" s="59" t="str">
        <f>IF('PRIME Headers'!$C$20="No","PWW","P07")</f>
        <v>P07</v>
      </c>
      <c r="F33" s="66" t="str">
        <f>'PIM Model'!$AD$19</f>
        <v/>
      </c>
      <c r="G33" s="65" t="str">
        <f t="shared" si="0"/>
        <v/>
      </c>
      <c r="H33" s="70" t="str">
        <f>'PIM Model'!$D$19</f>
        <v>%</v>
      </c>
      <c r="I33" s="68" t="s">
        <v>660</v>
      </c>
      <c r="J33" s="1304">
        <f>'Agreement Worksheet'!$F$13</f>
        <v>2.25</v>
      </c>
      <c r="K33" s="708">
        <f>'Agreement Worksheet'!$C$13</f>
        <v>30</v>
      </c>
      <c r="L33" s="59" t="str">
        <f>'Agreement Worksheet'!$D$13</f>
        <v>%</v>
      </c>
    </row>
    <row r="34" spans="1:12" x14ac:dyDescent="0.25">
      <c r="A34" s="59">
        <v>18</v>
      </c>
      <c r="B34" s="59">
        <v>0</v>
      </c>
      <c r="C34" s="59">
        <v>0</v>
      </c>
      <c r="D34" s="59" t="s">
        <v>659</v>
      </c>
      <c r="E34" s="59" t="s">
        <v>658</v>
      </c>
      <c r="F34" s="66" t="str">
        <f>'PIM Model'!$AD$14</f>
        <v/>
      </c>
      <c r="G34" s="65" t="str">
        <f t="shared" si="0"/>
        <v/>
      </c>
      <c r="H34" s="70" t="str">
        <f>'PIM Model'!$D$14</f>
        <v>%</v>
      </c>
      <c r="I34" s="68" t="s">
        <v>660</v>
      </c>
      <c r="J34" s="1304">
        <f>'Agreement Worksheet'!$F$13</f>
        <v>2.25</v>
      </c>
      <c r="K34" s="708">
        <f>'Agreement Worksheet'!$C$13</f>
        <v>30</v>
      </c>
      <c r="L34" s="59" t="str">
        <f>'Agreement Worksheet'!$D$13</f>
        <v>%</v>
      </c>
    </row>
    <row r="35" spans="1:12" x14ac:dyDescent="0.25">
      <c r="A35" s="59">
        <v>19</v>
      </c>
      <c r="B35" s="59">
        <v>0</v>
      </c>
      <c r="C35" s="59">
        <v>0</v>
      </c>
      <c r="D35" s="59" t="str">
        <f>IF('Pricing Schedule'!$C$5="PWW","W","M")</f>
        <v>M</v>
      </c>
      <c r="E35" s="59" t="str">
        <f>IF('PRIME Headers'!$C$20="No","PWW","P07")</f>
        <v>P07</v>
      </c>
      <c r="F35" s="66" t="str">
        <f>'PIM Model'!$AD$15</f>
        <v/>
      </c>
      <c r="G35" s="65" t="str">
        <f t="shared" si="0"/>
        <v/>
      </c>
      <c r="H35" s="70" t="str">
        <f>'PIM Model'!$D$15</f>
        <v>%</v>
      </c>
      <c r="I35" s="68" t="s">
        <v>660</v>
      </c>
      <c r="J35" s="1304">
        <f>'Agreement Worksheet'!$F$13</f>
        <v>2.25</v>
      </c>
      <c r="K35" s="708">
        <f>'Agreement Worksheet'!$C$13</f>
        <v>30</v>
      </c>
      <c r="L35" s="59" t="str">
        <f>'Agreement Worksheet'!$D$13</f>
        <v>%</v>
      </c>
    </row>
    <row r="36" spans="1:12" x14ac:dyDescent="0.25">
      <c r="A36" s="59">
        <v>20</v>
      </c>
      <c r="B36" s="59">
        <v>0</v>
      </c>
      <c r="C36" s="59">
        <v>0</v>
      </c>
      <c r="D36" s="59" t="str">
        <f>IF('Pricing Schedule'!$C$5="PWW","W","M")</f>
        <v>M</v>
      </c>
      <c r="E36" s="59" t="str">
        <f>IF('PRIME Headers'!$C$20="No","PWW","P07")</f>
        <v>P07</v>
      </c>
      <c r="F36" s="65" t="str">
        <f>'PIM Model'!$AD$10</f>
        <v/>
      </c>
      <c r="G36" s="65" t="str">
        <f t="shared" si="0"/>
        <v/>
      </c>
      <c r="H36" s="70" t="str">
        <f>'PIM Model'!$D$10</f>
        <v>%</v>
      </c>
      <c r="I36" s="68" t="s">
        <v>660</v>
      </c>
      <c r="J36" s="1304">
        <f>'Agreement Worksheet'!$F$13</f>
        <v>2.25</v>
      </c>
      <c r="K36" s="708">
        <f>'Agreement Worksheet'!$C$13</f>
        <v>30</v>
      </c>
      <c r="L36" s="59" t="str">
        <f>'Agreement Worksheet'!$D$13</f>
        <v>%</v>
      </c>
    </row>
    <row r="37" spans="1:12" x14ac:dyDescent="0.25">
      <c r="A37" s="59">
        <v>21</v>
      </c>
      <c r="B37" s="59">
        <v>0</v>
      </c>
      <c r="C37" s="59">
        <v>0</v>
      </c>
      <c r="D37" s="59" t="s">
        <v>659</v>
      </c>
      <c r="E37" s="59" t="s">
        <v>658</v>
      </c>
      <c r="F37" s="66" t="str">
        <f>'PIM Model'!$AD$16</f>
        <v/>
      </c>
      <c r="G37" s="65" t="str">
        <f>F37</f>
        <v/>
      </c>
      <c r="H37" s="70" t="str">
        <f>'PIM Model'!$D$16</f>
        <v>%</v>
      </c>
      <c r="I37" s="68" t="s">
        <v>660</v>
      </c>
      <c r="J37" s="1304">
        <f>'Agreement Worksheet'!$F$13</f>
        <v>2.25</v>
      </c>
      <c r="K37" s="708">
        <f>'Agreement Worksheet'!$C$13</f>
        <v>30</v>
      </c>
      <c r="L37" s="59" t="str">
        <f>'Agreement Worksheet'!$D$13</f>
        <v>%</v>
      </c>
    </row>
    <row r="38" spans="1:12" x14ac:dyDescent="0.25">
      <c r="A38" s="59">
        <v>21</v>
      </c>
      <c r="B38" s="59">
        <v>158</v>
      </c>
      <c r="C38" s="59">
        <v>1957</v>
      </c>
      <c r="D38" s="59" t="str">
        <f>IF('Pricing Schedule'!$C$5="PWW","W","M")</f>
        <v>M</v>
      </c>
      <c r="E38" s="59" t="str">
        <f>IF('PRIME Headers'!$C$20="No","PWW","P07")</f>
        <v>P07</v>
      </c>
      <c r="F38" s="66" t="str">
        <f>'PIM Model'!$AD$16</f>
        <v/>
      </c>
      <c r="G38" s="65" t="str">
        <f t="shared" si="0"/>
        <v/>
      </c>
      <c r="H38" s="70" t="str">
        <f>'PIM Model'!$D$16</f>
        <v>%</v>
      </c>
      <c r="I38" s="68" t="s">
        <v>660</v>
      </c>
      <c r="J38" s="1304">
        <f>'Agreement Worksheet'!$F$13</f>
        <v>2.25</v>
      </c>
      <c r="K38" s="708">
        <f>'Agreement Worksheet'!$C$13</f>
        <v>30</v>
      </c>
      <c r="L38" s="59" t="str">
        <f>'Agreement Worksheet'!$D$13</f>
        <v>%</v>
      </c>
    </row>
    <row r="39" spans="1:12" x14ac:dyDescent="0.25">
      <c r="A39" s="59">
        <v>21</v>
      </c>
      <c r="B39" s="59">
        <v>158</v>
      </c>
      <c r="C39" s="59">
        <v>5800</v>
      </c>
      <c r="D39" s="59" t="str">
        <f>IF('Pricing Schedule'!$C$5="PWW","W","M")</f>
        <v>M</v>
      </c>
      <c r="E39" s="59" t="str">
        <f>IF('PRIME Headers'!$C$20="No","PWW","P07")</f>
        <v>P07</v>
      </c>
      <c r="F39" s="66" t="str">
        <f>'PIM Model'!$AD$16</f>
        <v/>
      </c>
      <c r="G39" s="65" t="str">
        <f t="shared" si="0"/>
        <v/>
      </c>
      <c r="H39" s="70" t="str">
        <f>'PIM Model'!$D$16</f>
        <v>%</v>
      </c>
      <c r="I39" s="68" t="s">
        <v>660</v>
      </c>
      <c r="J39" s="1304">
        <f>'Agreement Worksheet'!$F$13</f>
        <v>2.25</v>
      </c>
      <c r="K39" s="708">
        <f>'Agreement Worksheet'!$C$13</f>
        <v>30</v>
      </c>
      <c r="L39" s="59" t="str">
        <f>'Agreement Worksheet'!$D$13</f>
        <v>%</v>
      </c>
    </row>
    <row r="40" spans="1:12" x14ac:dyDescent="0.25">
      <c r="A40" s="59">
        <v>21</v>
      </c>
      <c r="B40" s="59">
        <v>161</v>
      </c>
      <c r="C40" s="59">
        <v>0</v>
      </c>
      <c r="D40" s="59" t="str">
        <f>IF('Pricing Schedule'!$C$5="PWW","W","M")</f>
        <v>M</v>
      </c>
      <c r="E40" s="59" t="str">
        <f>IF('PRIME Headers'!$C$20="No","PWW","P07")</f>
        <v>P07</v>
      </c>
      <c r="F40" s="66" t="str">
        <f>'PIM Model'!$AD$16</f>
        <v/>
      </c>
      <c r="G40" s="65" t="str">
        <f t="shared" si="0"/>
        <v/>
      </c>
      <c r="H40" s="70" t="str">
        <f>'PIM Model'!$D$16</f>
        <v>%</v>
      </c>
      <c r="I40" s="68" t="s">
        <v>660</v>
      </c>
      <c r="J40" s="1304">
        <f>'Agreement Worksheet'!$F$13</f>
        <v>2.25</v>
      </c>
      <c r="K40" s="708">
        <f>'Agreement Worksheet'!$C$13</f>
        <v>30</v>
      </c>
      <c r="L40" s="59" t="str">
        <f>'Agreement Worksheet'!$D$13</f>
        <v>%</v>
      </c>
    </row>
    <row r="41" spans="1:12" x14ac:dyDescent="0.25">
      <c r="A41" s="59">
        <v>21</v>
      </c>
      <c r="B41" s="59">
        <v>162</v>
      </c>
      <c r="C41" s="59">
        <v>1622</v>
      </c>
      <c r="D41" s="59" t="str">
        <f>IF('Pricing Schedule'!$C$5="PWW","W","M")</f>
        <v>M</v>
      </c>
      <c r="E41" s="59" t="str">
        <f>IF('PRIME Headers'!$C$20="No","PWW","P07")</f>
        <v>P07</v>
      </c>
      <c r="F41" s="66" t="str">
        <f>'PIM Model'!$AD$16</f>
        <v/>
      </c>
      <c r="G41" s="65" t="str">
        <f t="shared" si="0"/>
        <v/>
      </c>
      <c r="H41" s="70" t="str">
        <f>'PIM Model'!$D$16</f>
        <v>%</v>
      </c>
      <c r="I41" s="68" t="s">
        <v>660</v>
      </c>
      <c r="J41" s="1304">
        <f>'Agreement Worksheet'!$F$13</f>
        <v>2.25</v>
      </c>
      <c r="K41" s="708">
        <f>'Agreement Worksheet'!$C$13</f>
        <v>30</v>
      </c>
      <c r="L41" s="59" t="str">
        <f>'Agreement Worksheet'!$D$13</f>
        <v>%</v>
      </c>
    </row>
    <row r="42" spans="1:12" x14ac:dyDescent="0.25">
      <c r="A42" s="59">
        <v>21</v>
      </c>
      <c r="B42" s="59">
        <v>162</v>
      </c>
      <c r="C42" s="59">
        <v>1623</v>
      </c>
      <c r="D42" s="59" t="str">
        <f>IF('Pricing Schedule'!$C$5="PWW","W","M")</f>
        <v>M</v>
      </c>
      <c r="E42" s="59" t="str">
        <f>IF('PRIME Headers'!$C$20="No","PWW","P07")</f>
        <v>P07</v>
      </c>
      <c r="F42" s="66" t="str">
        <f>'PIM Model'!$AD$16</f>
        <v/>
      </c>
      <c r="G42" s="65" t="str">
        <f t="shared" si="0"/>
        <v/>
      </c>
      <c r="H42" s="70" t="str">
        <f>'PIM Model'!$D$16</f>
        <v>%</v>
      </c>
      <c r="I42" s="68" t="s">
        <v>660</v>
      </c>
      <c r="J42" s="1304">
        <f>'Agreement Worksheet'!$F$13</f>
        <v>2.25</v>
      </c>
      <c r="K42" s="708">
        <f>'Agreement Worksheet'!$C$13</f>
        <v>30</v>
      </c>
      <c r="L42" s="59" t="str">
        <f>'Agreement Worksheet'!$D$13</f>
        <v>%</v>
      </c>
    </row>
    <row r="43" spans="1:12" x14ac:dyDescent="0.25">
      <c r="A43" s="59">
        <v>21</v>
      </c>
      <c r="B43" s="59">
        <v>162</v>
      </c>
      <c r="C43" s="59">
        <v>3490</v>
      </c>
      <c r="D43" s="59" t="str">
        <f>IF('Pricing Schedule'!$C$5="PWW","W","M")</f>
        <v>M</v>
      </c>
      <c r="E43" s="59" t="str">
        <f>IF('PRIME Headers'!$C$20="No","PWW","P07")</f>
        <v>P07</v>
      </c>
      <c r="F43" s="66" t="str">
        <f>'PIM Model'!$AD$16</f>
        <v/>
      </c>
      <c r="G43" s="65" t="str">
        <f t="shared" si="0"/>
        <v/>
      </c>
      <c r="H43" s="70" t="str">
        <f>'PIM Model'!$D$16</f>
        <v>%</v>
      </c>
      <c r="I43" s="68" t="s">
        <v>660</v>
      </c>
      <c r="J43" s="1304">
        <f>'Agreement Worksheet'!$F$13</f>
        <v>2.25</v>
      </c>
      <c r="K43" s="708">
        <f>'Agreement Worksheet'!$C$13</f>
        <v>30</v>
      </c>
      <c r="L43" s="59" t="str">
        <f>'Agreement Worksheet'!$D$13</f>
        <v>%</v>
      </c>
    </row>
    <row r="44" spans="1:12" x14ac:dyDescent="0.25">
      <c r="A44" s="59">
        <v>21</v>
      </c>
      <c r="B44" s="59">
        <v>162</v>
      </c>
      <c r="C44" s="59">
        <v>3500</v>
      </c>
      <c r="D44" s="59" t="str">
        <f>IF('Pricing Schedule'!$C$5="PWW","W","M")</f>
        <v>M</v>
      </c>
      <c r="E44" s="59" t="str">
        <f>IF('PRIME Headers'!$C$20="No","PWW","P07")</f>
        <v>P07</v>
      </c>
      <c r="F44" s="66" t="str">
        <f>'PIM Model'!$AD$16</f>
        <v/>
      </c>
      <c r="G44" s="65" t="str">
        <f t="shared" si="0"/>
        <v/>
      </c>
      <c r="H44" s="70" t="str">
        <f>'PIM Model'!$D$16</f>
        <v>%</v>
      </c>
      <c r="I44" s="68" t="s">
        <v>660</v>
      </c>
      <c r="J44" s="1304">
        <f>'Agreement Worksheet'!$F$13</f>
        <v>2.25</v>
      </c>
      <c r="K44" s="708">
        <f>'Agreement Worksheet'!$C$13</f>
        <v>30</v>
      </c>
      <c r="L44" s="59" t="str">
        <f>'Agreement Worksheet'!$D$13</f>
        <v>%</v>
      </c>
    </row>
    <row r="45" spans="1:12" x14ac:dyDescent="0.25">
      <c r="A45" s="59">
        <v>21</v>
      </c>
      <c r="B45" s="59">
        <v>162</v>
      </c>
      <c r="C45" s="59">
        <v>7625</v>
      </c>
      <c r="D45" s="59" t="str">
        <f>IF('Pricing Schedule'!$C$5="PWW","W","M")</f>
        <v>M</v>
      </c>
      <c r="E45" s="59" t="str">
        <f>IF('PRIME Headers'!$C$20="No","PWW","P07")</f>
        <v>P07</v>
      </c>
      <c r="F45" s="66" t="str">
        <f>'PIM Model'!$AD$16</f>
        <v/>
      </c>
      <c r="G45" s="65" t="str">
        <f t="shared" si="0"/>
        <v/>
      </c>
      <c r="H45" s="70" t="str">
        <f>'PIM Model'!$D$16</f>
        <v>%</v>
      </c>
      <c r="I45" s="68" t="s">
        <v>660</v>
      </c>
      <c r="J45" s="1304">
        <f>'Agreement Worksheet'!$F$13</f>
        <v>2.25</v>
      </c>
      <c r="K45" s="708">
        <f>'Agreement Worksheet'!$C$13</f>
        <v>30</v>
      </c>
      <c r="L45" s="59" t="str">
        <f>'Agreement Worksheet'!$D$13</f>
        <v>%</v>
      </c>
    </row>
    <row r="46" spans="1:12" x14ac:dyDescent="0.25">
      <c r="A46" s="59">
        <v>21</v>
      </c>
      <c r="B46" s="59">
        <v>162</v>
      </c>
      <c r="C46" s="59">
        <v>7636</v>
      </c>
      <c r="D46" s="59" t="str">
        <f>IF('Pricing Schedule'!$C$5="PWW","W","M")</f>
        <v>M</v>
      </c>
      <c r="E46" s="59" t="str">
        <f>IF('PRIME Headers'!$C$20="No","PWW","P07")</f>
        <v>P07</v>
      </c>
      <c r="F46" s="66" t="str">
        <f>'PIM Model'!$AD$16</f>
        <v/>
      </c>
      <c r="G46" s="65" t="str">
        <f t="shared" si="0"/>
        <v/>
      </c>
      <c r="H46" s="70" t="str">
        <f>'PIM Model'!$D$16</f>
        <v>%</v>
      </c>
      <c r="I46" s="68" t="s">
        <v>660</v>
      </c>
      <c r="J46" s="1304">
        <f>'Agreement Worksheet'!$F$13</f>
        <v>2.25</v>
      </c>
      <c r="K46" s="708">
        <f>'Agreement Worksheet'!$C$13</f>
        <v>30</v>
      </c>
      <c r="L46" s="59" t="str">
        <f>'Agreement Worksheet'!$D$13</f>
        <v>%</v>
      </c>
    </row>
    <row r="47" spans="1:12" x14ac:dyDescent="0.25">
      <c r="A47" s="59">
        <v>22</v>
      </c>
      <c r="B47" s="59">
        <v>0</v>
      </c>
      <c r="C47" s="59">
        <v>0</v>
      </c>
      <c r="D47" s="59" t="str">
        <f>IF('Pricing Schedule'!$C$5="PWW","W","M")</f>
        <v>M</v>
      </c>
      <c r="E47" s="59" t="str">
        <f>IF('PRIME Headers'!$C$20="No","PWW","P07")</f>
        <v>P07</v>
      </c>
      <c r="F47" s="66" t="str">
        <f>'PIM Model'!$AD$20</f>
        <v/>
      </c>
      <c r="G47" s="65" t="str">
        <f t="shared" si="0"/>
        <v/>
      </c>
      <c r="H47" s="70" t="str">
        <f>'PIM Model'!$D$20</f>
        <v>%</v>
      </c>
      <c r="I47" s="68" t="s">
        <v>660</v>
      </c>
      <c r="J47" s="1304">
        <f>'Agreement Worksheet'!$F$13</f>
        <v>2.25</v>
      </c>
      <c r="K47" s="708">
        <f>'Agreement Worksheet'!$C$13</f>
        <v>30</v>
      </c>
      <c r="L47" s="59" t="str">
        <f>'Agreement Worksheet'!$D$13</f>
        <v>%</v>
      </c>
    </row>
    <row r="48" spans="1:12" x14ac:dyDescent="0.25">
      <c r="A48" s="59">
        <v>22</v>
      </c>
      <c r="B48" s="59">
        <v>171</v>
      </c>
      <c r="C48" s="59">
        <v>1400</v>
      </c>
      <c r="D48" s="59" t="s">
        <v>659</v>
      </c>
      <c r="E48" s="59" t="s">
        <v>658</v>
      </c>
      <c r="F48" s="66" t="str">
        <f>'PIM Model'!$AD$20</f>
        <v/>
      </c>
      <c r="G48" s="65" t="str">
        <f t="shared" si="0"/>
        <v/>
      </c>
      <c r="H48" s="70" t="str">
        <f>'PIM Model'!$D$20</f>
        <v>%</v>
      </c>
      <c r="I48" s="68" t="s">
        <v>660</v>
      </c>
      <c r="J48" s="1304">
        <f>'Agreement Worksheet'!$F$13</f>
        <v>2.25</v>
      </c>
      <c r="K48" s="708">
        <f>'Agreement Worksheet'!$C$13</f>
        <v>30</v>
      </c>
      <c r="L48" s="59" t="str">
        <f>'Agreement Worksheet'!$D$13</f>
        <v>%</v>
      </c>
    </row>
    <row r="49" spans="1:12" x14ac:dyDescent="0.25">
      <c r="A49" s="59">
        <v>22</v>
      </c>
      <c r="B49" s="59">
        <v>174</v>
      </c>
      <c r="C49" s="59">
        <v>1414</v>
      </c>
      <c r="D49" s="59" t="s">
        <v>659</v>
      </c>
      <c r="E49" s="59" t="s">
        <v>658</v>
      </c>
      <c r="F49" s="66" t="str">
        <f>'PIM Model'!$AD$20</f>
        <v/>
      </c>
      <c r="G49" s="65" t="str">
        <f t="shared" si="0"/>
        <v/>
      </c>
      <c r="H49" s="70" t="str">
        <f>'PIM Model'!$D$20</f>
        <v>%</v>
      </c>
      <c r="I49" s="68" t="s">
        <v>660</v>
      </c>
      <c r="J49" s="1304">
        <f>'Agreement Worksheet'!$F$13</f>
        <v>2.25</v>
      </c>
      <c r="K49" s="708">
        <f>'Agreement Worksheet'!$C$13</f>
        <v>30</v>
      </c>
      <c r="L49" s="59" t="str">
        <f>'Agreement Worksheet'!$D$13</f>
        <v>%</v>
      </c>
    </row>
    <row r="50" spans="1:12" x14ac:dyDescent="0.25">
      <c r="A50" s="59">
        <v>22</v>
      </c>
      <c r="B50" s="59">
        <v>176</v>
      </c>
      <c r="C50" s="59">
        <v>0</v>
      </c>
      <c r="D50" s="59" t="s">
        <v>659</v>
      </c>
      <c r="E50" s="59" t="s">
        <v>658</v>
      </c>
      <c r="F50" s="66" t="str">
        <f>'PIM Model'!$AD$20</f>
        <v/>
      </c>
      <c r="G50" s="65" t="str">
        <f t="shared" si="0"/>
        <v/>
      </c>
      <c r="H50" s="70" t="str">
        <f>'PIM Model'!$D$20</f>
        <v>%</v>
      </c>
      <c r="I50" s="68" t="s">
        <v>660</v>
      </c>
      <c r="J50" s="1304">
        <f>'Agreement Worksheet'!$F$13</f>
        <v>2.25</v>
      </c>
      <c r="K50" s="708">
        <f>'Agreement Worksheet'!$C$13</f>
        <v>30</v>
      </c>
      <c r="L50" s="59" t="str">
        <f>'Agreement Worksheet'!$D$13</f>
        <v>%</v>
      </c>
    </row>
    <row r="51" spans="1:12" x14ac:dyDescent="0.25">
      <c r="A51" s="59">
        <v>22</v>
      </c>
      <c r="B51" s="59">
        <v>177</v>
      </c>
      <c r="C51" s="59">
        <v>1886</v>
      </c>
      <c r="D51" s="59" t="str">
        <f>IF('Pricing Schedule'!$C$5="PWW","W","M")</f>
        <v>M</v>
      </c>
      <c r="E51" s="59" t="str">
        <f>IF('PRIME Headers'!$C$20="No","PWW","P07")</f>
        <v>P07</v>
      </c>
      <c r="F51" s="66" t="str">
        <f>'PIM Model'!$AD$20</f>
        <v/>
      </c>
      <c r="G51" s="65" t="str">
        <f t="shared" si="0"/>
        <v/>
      </c>
      <c r="H51" s="70" t="str">
        <f>'PIM Model'!$D$20</f>
        <v>%</v>
      </c>
      <c r="I51" s="68" t="s">
        <v>660</v>
      </c>
      <c r="J51" s="1304">
        <f>'Agreement Worksheet'!$F$13</f>
        <v>2.25</v>
      </c>
      <c r="K51" s="69">
        <v>0</v>
      </c>
      <c r="L51" s="69" t="s">
        <v>240</v>
      </c>
    </row>
    <row r="52" spans="1:12" x14ac:dyDescent="0.25">
      <c r="A52" s="59">
        <v>22</v>
      </c>
      <c r="B52" s="59">
        <v>177</v>
      </c>
      <c r="C52" s="59">
        <v>1908</v>
      </c>
      <c r="D52" s="59" t="str">
        <f>IF('Pricing Schedule'!$C$5="PWW","W","M")</f>
        <v>M</v>
      </c>
      <c r="E52" s="59" t="str">
        <f>IF('PRIME Headers'!$C$20="No","PWW","P07")</f>
        <v>P07</v>
      </c>
      <c r="F52" s="66" t="str">
        <f>'PIM Model'!$AD$20</f>
        <v/>
      </c>
      <c r="G52" s="65" t="str">
        <f t="shared" si="0"/>
        <v/>
      </c>
      <c r="H52" s="70" t="str">
        <f>'PIM Model'!$D$20</f>
        <v>%</v>
      </c>
      <c r="I52" s="68" t="s">
        <v>660</v>
      </c>
      <c r="J52" s="1304">
        <f>'Agreement Worksheet'!$F$13</f>
        <v>2.25</v>
      </c>
      <c r="K52" s="69">
        <v>0</v>
      </c>
      <c r="L52" s="69" t="s">
        <v>240</v>
      </c>
    </row>
    <row r="53" spans="1:12" x14ac:dyDescent="0.25">
      <c r="A53" s="59">
        <v>22</v>
      </c>
      <c r="B53" s="59">
        <v>177</v>
      </c>
      <c r="C53" s="59">
        <v>3340</v>
      </c>
      <c r="D53" s="59" t="str">
        <f>IF('Pricing Schedule'!$C$5="PWW","W","M")</f>
        <v>M</v>
      </c>
      <c r="E53" s="59" t="str">
        <f>IF('PRIME Headers'!$C$20="No","PWW","P07")</f>
        <v>P07</v>
      </c>
      <c r="F53" s="66" t="str">
        <f>'PIM Model'!$AD$20</f>
        <v/>
      </c>
      <c r="G53" s="65" t="str">
        <f t="shared" si="0"/>
        <v/>
      </c>
      <c r="H53" s="70" t="str">
        <f>'PIM Model'!$D$20</f>
        <v>%</v>
      </c>
      <c r="I53" s="68" t="s">
        <v>660</v>
      </c>
      <c r="J53" s="1304">
        <f>'Agreement Worksheet'!$F$13</f>
        <v>2.25</v>
      </c>
      <c r="K53" s="69">
        <v>0</v>
      </c>
      <c r="L53" s="69" t="s">
        <v>240</v>
      </c>
    </row>
    <row r="54" spans="1:12" x14ac:dyDescent="0.25">
      <c r="A54" s="59">
        <v>22</v>
      </c>
      <c r="B54" s="59">
        <v>177</v>
      </c>
      <c r="C54" s="59">
        <v>3820</v>
      </c>
      <c r="D54" s="59" t="str">
        <f>IF('Pricing Schedule'!$C$5="PWW","W","M")</f>
        <v>M</v>
      </c>
      <c r="E54" s="59" t="str">
        <f>IF('PRIME Headers'!$C$20="No","PWW","P07")</f>
        <v>P07</v>
      </c>
      <c r="F54" s="66" t="str">
        <f>'PIM Model'!$AD$20</f>
        <v/>
      </c>
      <c r="G54" s="65" t="str">
        <f t="shared" si="0"/>
        <v/>
      </c>
      <c r="H54" s="70" t="str">
        <f>'PIM Model'!$D$20</f>
        <v>%</v>
      </c>
      <c r="I54" s="68" t="s">
        <v>660</v>
      </c>
      <c r="J54" s="1304">
        <f>'Agreement Worksheet'!$F$13</f>
        <v>2.25</v>
      </c>
      <c r="K54" s="69">
        <v>0</v>
      </c>
      <c r="L54" s="69" t="s">
        <v>240</v>
      </c>
    </row>
    <row r="55" spans="1:12" x14ac:dyDescent="0.25">
      <c r="A55" s="59">
        <v>22</v>
      </c>
      <c r="B55" s="59">
        <v>177</v>
      </c>
      <c r="C55" s="59">
        <v>7733</v>
      </c>
      <c r="D55" s="59" t="str">
        <f>IF('Pricing Schedule'!$C$5="PWW","W","M")</f>
        <v>M</v>
      </c>
      <c r="E55" s="59" t="str">
        <f>IF('PRIME Headers'!$C$20="No","PWW","P07")</f>
        <v>P07</v>
      </c>
      <c r="F55" s="66" t="str">
        <f>'PIM Model'!$AD$20</f>
        <v/>
      </c>
      <c r="G55" s="65" t="str">
        <f t="shared" si="0"/>
        <v/>
      </c>
      <c r="H55" s="70" t="str">
        <f>'PIM Model'!$D$20</f>
        <v>%</v>
      </c>
      <c r="I55" s="68" t="s">
        <v>660</v>
      </c>
      <c r="J55" s="1304">
        <f>'Agreement Worksheet'!$F$13</f>
        <v>2.25</v>
      </c>
      <c r="K55" s="69">
        <v>0</v>
      </c>
      <c r="L55" s="69" t="s">
        <v>240</v>
      </c>
    </row>
    <row r="56" spans="1:12" x14ac:dyDescent="0.25">
      <c r="A56" s="59">
        <v>22</v>
      </c>
      <c r="B56" s="59">
        <v>180</v>
      </c>
      <c r="C56" s="59">
        <v>0</v>
      </c>
      <c r="D56" s="59" t="s">
        <v>659</v>
      </c>
      <c r="E56" s="59" t="s">
        <v>658</v>
      </c>
      <c r="F56" s="66" t="str">
        <f>'PIM Model'!$AD$20</f>
        <v/>
      </c>
      <c r="G56" s="65" t="str">
        <f t="shared" si="0"/>
        <v/>
      </c>
      <c r="H56" s="70" t="str">
        <f>'PIM Model'!$D$20</f>
        <v>%</v>
      </c>
      <c r="I56" s="68" t="s">
        <v>660</v>
      </c>
      <c r="J56" s="1304">
        <f>'Agreement Worksheet'!$F$13</f>
        <v>2.25</v>
      </c>
      <c r="K56" s="708">
        <f>'Agreement Worksheet'!$C$13</f>
        <v>30</v>
      </c>
      <c r="L56" s="59" t="str">
        <f>'Agreement Worksheet'!$D$13</f>
        <v>%</v>
      </c>
    </row>
    <row r="57" spans="1:12" x14ac:dyDescent="0.25">
      <c r="A57" s="59">
        <v>22</v>
      </c>
      <c r="B57" s="59">
        <v>232</v>
      </c>
      <c r="C57" s="59">
        <v>1727</v>
      </c>
      <c r="D57" s="59" t="s">
        <v>659</v>
      </c>
      <c r="E57" s="59" t="s">
        <v>658</v>
      </c>
      <c r="F57" s="66" t="str">
        <f>'PIM Model'!$AD$20</f>
        <v/>
      </c>
      <c r="G57" s="65" t="str">
        <f t="shared" si="0"/>
        <v/>
      </c>
      <c r="H57" s="70" t="str">
        <f>'PIM Model'!$D$20</f>
        <v>%</v>
      </c>
      <c r="I57" s="68" t="s">
        <v>660</v>
      </c>
      <c r="J57" s="1304">
        <f>'Agreement Worksheet'!$F$13</f>
        <v>2.25</v>
      </c>
      <c r="K57" s="708">
        <f>'Agreement Worksheet'!$C$13</f>
        <v>30</v>
      </c>
      <c r="L57" s="59" t="str">
        <f>'Agreement Worksheet'!$D$13</f>
        <v>%</v>
      </c>
    </row>
    <row r="58" spans="1:12" x14ac:dyDescent="0.25">
      <c r="A58" s="59">
        <v>22</v>
      </c>
      <c r="B58" s="59">
        <v>235</v>
      </c>
      <c r="C58" s="59">
        <v>1728</v>
      </c>
      <c r="D58" s="59" t="s">
        <v>659</v>
      </c>
      <c r="E58" s="59" t="s">
        <v>658</v>
      </c>
      <c r="F58" s="66" t="str">
        <f>'PIM Model'!$AD$20</f>
        <v/>
      </c>
      <c r="G58" s="65" t="str">
        <f t="shared" si="0"/>
        <v/>
      </c>
      <c r="H58" s="70" t="str">
        <f>'PIM Model'!$D$20</f>
        <v>%</v>
      </c>
      <c r="I58" s="68" t="s">
        <v>660</v>
      </c>
      <c r="J58" s="1304">
        <f>'Agreement Worksheet'!$F$13</f>
        <v>2.25</v>
      </c>
      <c r="K58" s="708">
        <f>'Agreement Worksheet'!$C$13</f>
        <v>30</v>
      </c>
      <c r="L58" s="59" t="str">
        <f>'Agreement Worksheet'!$D$13</f>
        <v>%</v>
      </c>
    </row>
    <row r="59" spans="1:12" x14ac:dyDescent="0.25">
      <c r="A59" s="59">
        <v>23</v>
      </c>
      <c r="B59" s="59">
        <v>0</v>
      </c>
      <c r="C59" s="59">
        <v>0</v>
      </c>
      <c r="D59" s="59" t="str">
        <f>IF('Pricing Schedule'!$C$5="PWW","W","M")</f>
        <v>M</v>
      </c>
      <c r="E59" s="59" t="str">
        <f>IF('PRIME Headers'!$C$20="No","PWW","P07")</f>
        <v>P07</v>
      </c>
      <c r="F59" s="66" t="str">
        <f>'PIM Model'!$AD$18</f>
        <v/>
      </c>
      <c r="G59" s="65" t="str">
        <f>F59</f>
        <v/>
      </c>
      <c r="H59" s="70" t="str">
        <f>'PIM Model'!$D$18</f>
        <v>%</v>
      </c>
      <c r="I59" s="68" t="s">
        <v>660</v>
      </c>
      <c r="J59" s="1304">
        <f>'Agreement Worksheet'!$F$13</f>
        <v>2.25</v>
      </c>
      <c r="K59" s="708">
        <f>'Agreement Worksheet'!$C$13</f>
        <v>30</v>
      </c>
      <c r="L59" s="59" t="str">
        <f>'Agreement Worksheet'!$D$13</f>
        <v>%</v>
      </c>
    </row>
    <row r="60" spans="1:12" x14ac:dyDescent="0.25">
      <c r="A60" s="59">
        <v>24</v>
      </c>
      <c r="B60" s="59">
        <v>0</v>
      </c>
      <c r="C60" s="59">
        <v>0</v>
      </c>
      <c r="D60" s="59" t="str">
        <f>IF('Pricing Schedule'!$C$5="PWW","W","M")</f>
        <v>M</v>
      </c>
      <c r="E60" s="59" t="str">
        <f>IF('PRIME Headers'!$C$20="No","PWW","P07")</f>
        <v>P07</v>
      </c>
      <c r="F60" s="66" t="str">
        <f>'PIM Model'!$AD$17</f>
        <v/>
      </c>
      <c r="G60" s="65" t="str">
        <f t="shared" si="0"/>
        <v/>
      </c>
      <c r="H60" s="70" t="str">
        <f>'PIM Model'!$D$17</f>
        <v>%</v>
      </c>
      <c r="I60" s="68" t="s">
        <v>660</v>
      </c>
      <c r="J60" s="1304">
        <f>'Agreement Worksheet'!$F$13</f>
        <v>2.25</v>
      </c>
      <c r="K60" s="708">
        <f>'Agreement Worksheet'!$C$13</f>
        <v>30</v>
      </c>
      <c r="L60" s="59" t="str">
        <f>'Agreement Worksheet'!$D$13</f>
        <v>%</v>
      </c>
    </row>
    <row r="61" spans="1:12" x14ac:dyDescent="0.25">
      <c r="A61" s="59">
        <v>25</v>
      </c>
      <c r="B61" s="59">
        <v>0</v>
      </c>
      <c r="C61" s="59">
        <v>0</v>
      </c>
      <c r="D61" s="59" t="s">
        <v>659</v>
      </c>
      <c r="E61" s="59" t="str">
        <f>IF('Pricing Schedule'!$E$21&lt;&gt;"T","PWW","TMC")</f>
        <v>TMC</v>
      </c>
      <c r="F61" s="66" t="str">
        <f>'PIM Model'!$AD$27</f>
        <v/>
      </c>
      <c r="G61" s="65" t="str">
        <f t="shared" si="0"/>
        <v/>
      </c>
      <c r="H61" s="70" t="str">
        <f>IF('PIM Model'!$D$27="$/CS","$","%")</f>
        <v>%</v>
      </c>
      <c r="I61" s="68" t="s">
        <v>660</v>
      </c>
      <c r="J61" s="1304">
        <f>'Agreement Worksheet'!$F$13</f>
        <v>2.25</v>
      </c>
      <c r="K61" s="708">
        <f>'Agreement Worksheet'!$C$13</f>
        <v>30</v>
      </c>
      <c r="L61" s="59" t="str">
        <f>'Agreement Worksheet'!$D$13</f>
        <v>%</v>
      </c>
    </row>
    <row r="62" spans="1:12" x14ac:dyDescent="0.25">
      <c r="A62" s="59">
        <v>26</v>
      </c>
      <c r="B62" s="59">
        <v>0</v>
      </c>
      <c r="C62" s="59">
        <v>0</v>
      </c>
      <c r="D62" s="59" t="str">
        <f>IF('Pricing Schedule'!$C$5="PWW","W","M")</f>
        <v>M</v>
      </c>
      <c r="E62" s="59" t="str">
        <f>IF('PRIME Headers'!$C$20="No","PWW","P07")</f>
        <v>P07</v>
      </c>
      <c r="F62" s="66" t="str">
        <f>'PIM Model'!$AD$21</f>
        <v/>
      </c>
      <c r="G62" s="65" t="str">
        <f t="shared" si="0"/>
        <v/>
      </c>
      <c r="H62" s="70" t="str">
        <f>'PIM Model'!$D$21</f>
        <v>%</v>
      </c>
      <c r="I62" s="68" t="s">
        <v>660</v>
      </c>
      <c r="J62" s="1304">
        <f>'Agreement Worksheet'!$F$13</f>
        <v>2.25</v>
      </c>
      <c r="K62" s="708">
        <f>'Agreement Worksheet'!$C$13</f>
        <v>30</v>
      </c>
      <c r="L62" s="59" t="str">
        <f>'Agreement Worksheet'!$D$13</f>
        <v>%</v>
      </c>
    </row>
    <row r="63" spans="1:12" x14ac:dyDescent="0.25">
      <c r="A63" s="59">
        <v>26</v>
      </c>
      <c r="B63" s="59">
        <v>310</v>
      </c>
      <c r="C63" s="59">
        <v>5390</v>
      </c>
      <c r="D63" s="59" t="s">
        <v>659</v>
      </c>
      <c r="E63" s="59" t="s">
        <v>658</v>
      </c>
      <c r="F63" s="66" t="str">
        <f>'PIM Model'!$AD$21</f>
        <v/>
      </c>
      <c r="G63" s="65" t="str">
        <f t="shared" si="0"/>
        <v/>
      </c>
      <c r="H63" s="70" t="str">
        <f>'PIM Model'!$D$22</f>
        <v>%</v>
      </c>
      <c r="I63" s="68" t="s">
        <v>660</v>
      </c>
      <c r="J63" s="1304">
        <f>'Agreement Worksheet'!$F$13</f>
        <v>2.25</v>
      </c>
      <c r="K63" s="708">
        <f>'Agreement Worksheet'!$C$13</f>
        <v>30</v>
      </c>
      <c r="L63" s="59" t="str">
        <f>'Agreement Worksheet'!$D$13</f>
        <v>%</v>
      </c>
    </row>
    <row r="64" spans="1:12" x14ac:dyDescent="0.25">
      <c r="A64" s="59">
        <v>29</v>
      </c>
      <c r="B64" s="59">
        <v>0</v>
      </c>
      <c r="C64" s="59">
        <v>0</v>
      </c>
      <c r="D64" s="59" t="s">
        <v>659</v>
      </c>
      <c r="E64" s="59" t="s">
        <v>658</v>
      </c>
      <c r="F64" s="66" t="str">
        <f>'PIM Model'!$AD$23</f>
        <v/>
      </c>
      <c r="G64" s="65" t="str">
        <f t="shared" si="0"/>
        <v/>
      </c>
      <c r="H64" s="70" t="str">
        <f>'PIM Model'!$D$23</f>
        <v>%</v>
      </c>
      <c r="I64" s="68" t="s">
        <v>660</v>
      </c>
      <c r="J64" s="1304">
        <f>'Agreement Worksheet'!$F$13</f>
        <v>2.25</v>
      </c>
      <c r="K64" s="708">
        <f>'Agreement Worksheet'!$C$13</f>
        <v>30</v>
      </c>
      <c r="L64" s="59" t="str">
        <f>'Agreement Worksheet'!$D$13</f>
        <v>%</v>
      </c>
    </row>
    <row r="65" spans="1:12" x14ac:dyDescent="0.25">
      <c r="A65" s="59">
        <v>30</v>
      </c>
      <c r="B65" s="59">
        <v>0</v>
      </c>
      <c r="C65" s="59">
        <v>0</v>
      </c>
      <c r="D65" s="59" t="s">
        <v>659</v>
      </c>
      <c r="E65" s="59" t="s">
        <v>658</v>
      </c>
      <c r="F65" s="66" t="str">
        <f>'PIM Model'!$AD$24</f>
        <v/>
      </c>
      <c r="G65" s="65" t="str">
        <f t="shared" si="0"/>
        <v/>
      </c>
      <c r="H65" s="70" t="str">
        <f>IF('PIM Model'!$D$24="$/LB","#","%")</f>
        <v>%</v>
      </c>
      <c r="I65" s="68" t="s">
        <v>660</v>
      </c>
      <c r="J65" s="1304">
        <f>'Agreement Worksheet'!$F$13</f>
        <v>2.25</v>
      </c>
      <c r="K65" s="708">
        <f>'Agreement Worksheet'!$C$13</f>
        <v>30</v>
      </c>
      <c r="L65" s="59" t="str">
        <f>'Agreement Worksheet'!$D$13</f>
        <v>%</v>
      </c>
    </row>
    <row r="66" spans="1:12" x14ac:dyDescent="0.25">
      <c r="A66" s="59">
        <v>31</v>
      </c>
      <c r="B66" s="59">
        <v>0</v>
      </c>
      <c r="C66" s="59">
        <v>0</v>
      </c>
      <c r="D66" s="59" t="s">
        <v>659</v>
      </c>
      <c r="E66" s="59" t="s">
        <v>658</v>
      </c>
      <c r="F66" s="66" t="str">
        <f>'PIM Model'!$AD$25</f>
        <v/>
      </c>
      <c r="G66" s="65" t="str">
        <f t="shared" si="0"/>
        <v/>
      </c>
      <c r="H66" s="70" t="str">
        <f>IF('PIM Model'!$D$25="$/LB","#","%")</f>
        <v>%</v>
      </c>
      <c r="I66" s="68" t="s">
        <v>660</v>
      </c>
      <c r="J66" s="1304">
        <f>'Agreement Worksheet'!$F$13</f>
        <v>2.25</v>
      </c>
      <c r="K66" s="708">
        <f>'Agreement Worksheet'!$C$13</f>
        <v>30</v>
      </c>
      <c r="L66" s="59" t="str">
        <f>'Agreement Worksheet'!$D$13</f>
        <v>%</v>
      </c>
    </row>
    <row r="67" spans="1:12" x14ac:dyDescent="0.25">
      <c r="A67" s="59">
        <v>32</v>
      </c>
      <c r="B67" s="59">
        <v>0</v>
      </c>
      <c r="C67" s="59">
        <v>0</v>
      </c>
      <c r="D67" s="59" t="s">
        <v>659</v>
      </c>
      <c r="E67" s="59" t="s">
        <v>658</v>
      </c>
      <c r="F67" s="66" t="str">
        <f>'PIM Model'!$AD$26</f>
        <v/>
      </c>
      <c r="G67" s="65" t="str">
        <f t="shared" si="0"/>
        <v/>
      </c>
      <c r="H67" s="70" t="str">
        <f>IF('PIM Model'!$D$26="$/LB","#","%")</f>
        <v>%</v>
      </c>
      <c r="I67" s="68" t="s">
        <v>660</v>
      </c>
      <c r="J67" s="1304">
        <f>'Agreement Worksheet'!$F$13</f>
        <v>2.25</v>
      </c>
      <c r="K67" s="708">
        <f>'Agreement Worksheet'!$C$13</f>
        <v>30</v>
      </c>
      <c r="L67" s="59" t="str">
        <f>'Agreement Worksheet'!$D$13</f>
        <v>%</v>
      </c>
    </row>
    <row r="68" spans="1:12" x14ac:dyDescent="0.25">
      <c r="A68" s="59">
        <v>33</v>
      </c>
      <c r="B68" s="59">
        <v>0</v>
      </c>
      <c r="C68" s="59">
        <v>0</v>
      </c>
      <c r="D68" s="59" t="s">
        <v>659</v>
      </c>
      <c r="E68" s="59" t="s">
        <v>658</v>
      </c>
      <c r="F68" s="66" t="str">
        <f>'PIM Model'!$AD$29</f>
        <v/>
      </c>
      <c r="G68" s="65" t="str">
        <f t="shared" si="0"/>
        <v/>
      </c>
      <c r="H68" s="70" t="str">
        <f>IF('PIM Model'!$D$29="$/LB","#","%")</f>
        <v>%</v>
      </c>
      <c r="I68" s="68" t="s">
        <v>660</v>
      </c>
      <c r="J68" s="1304">
        <f>'Agreement Worksheet'!$F$13</f>
        <v>2.25</v>
      </c>
      <c r="K68" s="708">
        <f>'Agreement Worksheet'!$C$13</f>
        <v>30</v>
      </c>
      <c r="L68" s="59" t="str">
        <f>'Agreement Worksheet'!$D$13</f>
        <v>%</v>
      </c>
    </row>
    <row r="69" spans="1:12" x14ac:dyDescent="0.25">
      <c r="A69" s="59">
        <v>34</v>
      </c>
      <c r="B69" s="59">
        <v>0</v>
      </c>
      <c r="C69" s="59">
        <v>0</v>
      </c>
      <c r="D69" s="59" t="s">
        <v>659</v>
      </c>
      <c r="E69" s="59" t="s">
        <v>658</v>
      </c>
      <c r="F69" s="66" t="str">
        <f>'PIM Model'!$AD$30</f>
        <v/>
      </c>
      <c r="G69" s="65" t="str">
        <f t="shared" ref="G69:G76" si="1">F69</f>
        <v/>
      </c>
      <c r="H69" s="70" t="str">
        <f>IF('PIM Model'!$D$30="$/LB","#","%")</f>
        <v>%</v>
      </c>
      <c r="I69" s="68" t="s">
        <v>660</v>
      </c>
      <c r="J69" s="1304">
        <f>'Agreement Worksheet'!$F$13</f>
        <v>2.25</v>
      </c>
      <c r="K69" s="708">
        <f>'Agreement Worksheet'!$C$13</f>
        <v>30</v>
      </c>
      <c r="L69" s="59" t="str">
        <f>'Agreement Worksheet'!$D$13</f>
        <v>%</v>
      </c>
    </row>
    <row r="70" spans="1:12" x14ac:dyDescent="0.25">
      <c r="A70" s="59">
        <v>35</v>
      </c>
      <c r="B70" s="59">
        <v>0</v>
      </c>
      <c r="C70" s="59">
        <v>0</v>
      </c>
      <c r="D70" s="59" t="s">
        <v>659</v>
      </c>
      <c r="E70" s="59" t="s">
        <v>658</v>
      </c>
      <c r="F70" s="66" t="str">
        <f>'PIM Model'!$AD$28</f>
        <v/>
      </c>
      <c r="G70" s="65" t="str">
        <f t="shared" si="1"/>
        <v/>
      </c>
      <c r="H70" s="70" t="str">
        <f>'PIM Model'!$D$28</f>
        <v>%</v>
      </c>
      <c r="I70" s="68" t="s">
        <v>660</v>
      </c>
      <c r="J70" s="1304">
        <f>'Agreement Worksheet'!$F$13</f>
        <v>2.25</v>
      </c>
      <c r="K70" s="708">
        <f>'Agreement Worksheet'!$C$13</f>
        <v>30</v>
      </c>
      <c r="L70" s="59" t="str">
        <f>'Agreement Worksheet'!$D$13</f>
        <v>%</v>
      </c>
    </row>
    <row r="71" spans="1:12" x14ac:dyDescent="0.25">
      <c r="A71" s="59">
        <v>35</v>
      </c>
      <c r="B71" s="59">
        <v>272</v>
      </c>
      <c r="C71" s="59">
        <v>3470</v>
      </c>
      <c r="D71" s="59" t="str">
        <f>IF('Pricing Schedule'!$C$5="PWW","W","M")</f>
        <v>M</v>
      </c>
      <c r="E71" s="59" t="str">
        <f>IF('PRIME Headers'!$C$20="No","PWW","P07")</f>
        <v>P07</v>
      </c>
      <c r="F71" s="66" t="str">
        <f>'PIM Model'!$AD$28</f>
        <v/>
      </c>
      <c r="G71" s="65" t="str">
        <f t="shared" si="1"/>
        <v/>
      </c>
      <c r="H71" s="70" t="str">
        <f>'PIM Model'!$D$28</f>
        <v>%</v>
      </c>
      <c r="I71" s="68" t="s">
        <v>660</v>
      </c>
      <c r="J71" s="1304">
        <f>'Agreement Worksheet'!$F$13</f>
        <v>2.25</v>
      </c>
      <c r="K71" s="708">
        <f>'Agreement Worksheet'!$C$13</f>
        <v>30</v>
      </c>
      <c r="L71" s="59" t="str">
        <f>'Agreement Worksheet'!$D$13</f>
        <v>%</v>
      </c>
    </row>
    <row r="72" spans="1:12" x14ac:dyDescent="0.25">
      <c r="A72" s="59">
        <v>37</v>
      </c>
      <c r="B72" s="59">
        <v>0</v>
      </c>
      <c r="C72" s="59">
        <v>0</v>
      </c>
      <c r="D72" s="59" t="str">
        <f>IF('Pricing Schedule'!$C$5="PWW","W","M")</f>
        <v>M</v>
      </c>
      <c r="E72" s="59" t="str">
        <f>IF('PRIME Headers'!$C$20="No","PWW","P07")</f>
        <v>P07</v>
      </c>
      <c r="F72" s="66" t="str">
        <f>'PIM Model'!$AD$22</f>
        <v/>
      </c>
      <c r="G72" s="65" t="str">
        <f t="shared" si="1"/>
        <v/>
      </c>
      <c r="H72" s="70" t="str">
        <f>IF('PIM Model'!$D$22="$/LB","#","%")</f>
        <v>%</v>
      </c>
      <c r="I72" s="68" t="s">
        <v>660</v>
      </c>
      <c r="J72" s="1304">
        <f>'Agreement Worksheet'!$F$13</f>
        <v>2.25</v>
      </c>
      <c r="K72" s="708">
        <f>'Agreement Worksheet'!$C$13</f>
        <v>30</v>
      </c>
      <c r="L72" s="59" t="str">
        <f>'Agreement Worksheet'!$D$13</f>
        <v>%</v>
      </c>
    </row>
    <row r="73" spans="1:12" x14ac:dyDescent="0.25">
      <c r="A73" s="59">
        <v>996</v>
      </c>
      <c r="B73" s="59">
        <v>0</v>
      </c>
      <c r="C73" s="59">
        <v>0</v>
      </c>
      <c r="D73" s="59" t="str">
        <f>IF('Pricing Schedule'!$C$5="PWW","W","M")</f>
        <v>M</v>
      </c>
      <c r="E73" s="59" t="str">
        <f>IF('PRIME Headers'!$C$20="No","PWW","P07")</f>
        <v>P07</v>
      </c>
      <c r="F73" s="66" t="str">
        <f>IF(COUNTIF('PIM Model'!$E$10:$E$30,"Exclude"),"",'PIM Model'!$AD$20)</f>
        <v/>
      </c>
      <c r="G73" s="65" t="str">
        <f t="shared" si="1"/>
        <v/>
      </c>
      <c r="H73" s="70" t="str">
        <f>'PIM Model'!$D$20</f>
        <v>%</v>
      </c>
      <c r="I73" s="68" t="s">
        <v>660</v>
      </c>
      <c r="J73" s="1304">
        <f>'Agreement Worksheet'!$F$13</f>
        <v>2.25</v>
      </c>
      <c r="K73" s="708">
        <f>'Agreement Worksheet'!$C$13</f>
        <v>30</v>
      </c>
      <c r="L73" s="59" t="str">
        <f>'Agreement Worksheet'!$D$13</f>
        <v>%</v>
      </c>
    </row>
    <row r="74" spans="1:12" x14ac:dyDescent="0.25">
      <c r="A74" s="59">
        <v>997</v>
      </c>
      <c r="B74" s="59">
        <v>0</v>
      </c>
      <c r="C74" s="59">
        <v>0</v>
      </c>
      <c r="D74" s="59" t="str">
        <f>IF('Pricing Schedule'!$C$5="PWW","W","M")</f>
        <v>M</v>
      </c>
      <c r="E74" s="59" t="str">
        <f>IF('PRIME Headers'!$C$20="No","PWW","P07")</f>
        <v>P07</v>
      </c>
      <c r="F74" s="66" t="str">
        <f>IF(COUNTIF('PIM Model'!$E$10:$E$30,"Exclude"),"",'PIM Model'!$AD$21)</f>
        <v/>
      </c>
      <c r="G74" s="65" t="str">
        <f t="shared" si="1"/>
        <v/>
      </c>
      <c r="H74" s="70" t="str">
        <f>'PIM Model'!$D$21</f>
        <v>%</v>
      </c>
      <c r="I74" s="68" t="s">
        <v>660</v>
      </c>
      <c r="J74" s="1304">
        <f>'Agreement Worksheet'!$F$13</f>
        <v>2.25</v>
      </c>
      <c r="K74" s="708">
        <f>'Agreement Worksheet'!$C$13</f>
        <v>30</v>
      </c>
      <c r="L74" s="59" t="str">
        <f>'Agreement Worksheet'!$D$13</f>
        <v>%</v>
      </c>
    </row>
    <row r="75" spans="1:12" x14ac:dyDescent="0.25">
      <c r="A75" s="59">
        <v>998</v>
      </c>
      <c r="B75" s="59">
        <v>0</v>
      </c>
      <c r="C75" s="59">
        <v>0</v>
      </c>
      <c r="D75" s="59" t="str">
        <f>IF('Pricing Schedule'!$C$5="PWW","W","M")</f>
        <v>M</v>
      </c>
      <c r="E75" s="59" t="str">
        <f>IF('PRIME Headers'!$C$20="No","PWW","P07")</f>
        <v>P07</v>
      </c>
      <c r="F75" s="66" t="str">
        <f>IF(COUNTIF('PIM Model'!$E$10:$E$30,"Exclude"),"",'PIM Model'!$AD$21)</f>
        <v/>
      </c>
      <c r="G75" s="65" t="str">
        <f t="shared" si="1"/>
        <v/>
      </c>
      <c r="H75" s="70" t="str">
        <f>'PIM Model'!$D$21</f>
        <v>%</v>
      </c>
      <c r="I75" s="68" t="s">
        <v>660</v>
      </c>
      <c r="J75" s="1304">
        <f>'Agreement Worksheet'!$F$13</f>
        <v>2.25</v>
      </c>
      <c r="K75" s="708">
        <f>'Agreement Worksheet'!$C$13</f>
        <v>30</v>
      </c>
      <c r="L75" s="59" t="str">
        <f>'Agreement Worksheet'!$D$13</f>
        <v>%</v>
      </c>
    </row>
    <row r="76" spans="1:12" x14ac:dyDescent="0.25">
      <c r="A76" s="59">
        <v>999</v>
      </c>
      <c r="B76" s="59">
        <v>0</v>
      </c>
      <c r="C76" s="59">
        <v>0</v>
      </c>
      <c r="D76" s="59" t="s">
        <v>656</v>
      </c>
      <c r="E76" s="59" t="s">
        <v>655</v>
      </c>
      <c r="F76" s="66" t="str">
        <f>IF(COUNTIF('PIM Model'!$E$10:$E$30,"Exclude"),"",'PIM Model'!$AD$20)</f>
        <v/>
      </c>
      <c r="G76" s="65" t="str">
        <f t="shared" si="1"/>
        <v/>
      </c>
      <c r="H76" s="70" t="str">
        <f>'PIM Model'!$D$20</f>
        <v>%</v>
      </c>
      <c r="I76" s="68" t="s">
        <v>660</v>
      </c>
      <c r="J76" s="1304">
        <f>'Agreement Worksheet'!$F$13</f>
        <v>2.25</v>
      </c>
      <c r="K76" s="708">
        <f>'Agreement Worksheet'!$C$13</f>
        <v>30</v>
      </c>
      <c r="L76" s="59" t="str">
        <f>'Agreement Worksheet'!$D$13</f>
        <v>%</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RCCqd0MP+Ty4IFNbSBWd/0dvzc8RZQNoEeiWXVQ9DkYDQ/OtIi4TS+Fm4nZUoy0Eo2yzLPk/rj5qE8Hfsp7stA==" saltValue="No211rIeHxjTinDdLFncsg=="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254</v>
      </c>
      <c r="B2" s="1"/>
      <c r="C2" s="279" t="s">
        <v>99</v>
      </c>
      <c r="D2" s="279" t="s">
        <v>103</v>
      </c>
      <c r="E2" s="279" t="s">
        <v>1296</v>
      </c>
      <c r="F2" s="279" t="s">
        <v>102</v>
      </c>
      <c r="G2" s="279" t="s">
        <v>100</v>
      </c>
      <c r="H2" s="279" t="s">
        <v>104</v>
      </c>
      <c r="I2" s="279" t="s">
        <v>98</v>
      </c>
      <c r="J2" s="279" t="s">
        <v>95</v>
      </c>
      <c r="K2" s="279" t="s">
        <v>96</v>
      </c>
      <c r="L2" s="279" t="s">
        <v>101</v>
      </c>
      <c r="M2" s="279" t="s">
        <v>97</v>
      </c>
      <c r="N2" s="279" t="s">
        <v>93</v>
      </c>
      <c r="O2" s="279" t="s">
        <v>105</v>
      </c>
      <c r="P2" s="279" t="s">
        <v>92</v>
      </c>
      <c r="Q2" s="279" t="s">
        <v>91</v>
      </c>
      <c r="R2" s="279" t="s">
        <v>90</v>
      </c>
      <c r="S2" s="279" t="s">
        <v>89</v>
      </c>
      <c r="T2" s="279" t="s">
        <v>94</v>
      </c>
      <c r="U2" s="279" t="s">
        <v>86</v>
      </c>
      <c r="V2" s="279" t="s">
        <v>88</v>
      </c>
      <c r="W2" s="279" t="s">
        <v>87</v>
      </c>
      <c r="X2" s="279" t="s">
        <v>264</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280">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280">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280">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280">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280">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280">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280">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280">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280">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255</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280">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280">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280">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256</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280">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280">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257</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280">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258</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280">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259</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280">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280">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280">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260</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280">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261</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280">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280">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280">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280">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262</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280">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263</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280">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280">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280">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500</v>
      </c>
    </row>
    <row r="33" spans="1:23" ht="30" x14ac:dyDescent="0.25">
      <c r="A33" t="s">
        <v>254</v>
      </c>
      <c r="C33" t="s">
        <v>99</v>
      </c>
      <c r="D33" s="21" t="s">
        <v>103</v>
      </c>
      <c r="E33" s="21" t="s">
        <v>1296</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255</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256</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257</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258</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259</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260</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261</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262</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263</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499</v>
      </c>
    </row>
    <row r="64" spans="1:23" ht="60" x14ac:dyDescent="0.25">
      <c r="A64" t="s">
        <v>254</v>
      </c>
      <c r="C64" s="21" t="s">
        <v>99</v>
      </c>
      <c r="D64" s="21" t="s">
        <v>103</v>
      </c>
      <c r="E64" s="21" t="s">
        <v>1296</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255</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256</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257</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258</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259</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260</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261</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262</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263</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topLeftCell="A12" zoomScaleNormal="100" workbookViewId="0">
      <selection activeCell="G24" sqref="G24"/>
    </sheetView>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558"/>
      <c r="D1" s="134"/>
      <c r="E1" s="134"/>
      <c r="F1" s="134"/>
    </row>
    <row r="2" spans="1:6" ht="15.75" x14ac:dyDescent="0.25">
      <c r="A2" s="134"/>
      <c r="B2" s="2148" t="s">
        <v>988</v>
      </c>
      <c r="C2" s="2149"/>
      <c r="D2" s="134"/>
      <c r="E2" s="134"/>
      <c r="F2" s="134"/>
    </row>
    <row r="3" spans="1:6" x14ac:dyDescent="0.25">
      <c r="A3" s="134"/>
      <c r="B3" s="509" t="s">
        <v>811</v>
      </c>
      <c r="C3" s="559" t="str">
        <f>IF(OR(Welcome!$D$10="PON Only",Welcome!$D$10="New PON Existing CIA",Welcome!$D$10="New PON New CIA"),"ALC PON "&amp;'MDA Worksheet'!$R$14,"ALCM "&amp;'MDA Worksheet'!$R$14)</f>
        <v>ALCM 0</v>
      </c>
      <c r="D3" s="134"/>
      <c r="E3" s="559"/>
      <c r="F3" s="134"/>
    </row>
    <row r="4" spans="1:6" x14ac:dyDescent="0.25">
      <c r="A4" s="134"/>
      <c r="B4" s="509" t="s">
        <v>814</v>
      </c>
      <c r="C4" s="560">
        <f>'Required Info to Submit'!$F$14</f>
        <v>0</v>
      </c>
      <c r="D4" s="134"/>
      <c r="E4" s="134"/>
      <c r="F4" s="134"/>
    </row>
    <row r="5" spans="1:6" x14ac:dyDescent="0.25">
      <c r="A5" s="134"/>
      <c r="B5" s="509" t="s">
        <v>815</v>
      </c>
      <c r="C5" s="559" t="s">
        <v>816</v>
      </c>
      <c r="D5" s="134"/>
      <c r="E5" s="134"/>
      <c r="F5" s="134"/>
    </row>
    <row r="6" spans="1:6" x14ac:dyDescent="0.25">
      <c r="A6" s="134"/>
      <c r="B6" s="2146" t="s">
        <v>819</v>
      </c>
      <c r="C6" s="2147"/>
      <c r="D6" s="134"/>
      <c r="E6" s="134"/>
      <c r="F6" s="134"/>
    </row>
    <row r="7" spans="1:6" x14ac:dyDescent="0.25">
      <c r="A7" s="134"/>
      <c r="B7" s="509" t="s">
        <v>812</v>
      </c>
      <c r="C7" s="559" t="s">
        <v>1106</v>
      </c>
      <c r="D7" s="134"/>
      <c r="E7" s="134"/>
      <c r="F7" s="134"/>
    </row>
    <row r="8" spans="1:6" x14ac:dyDescent="0.25">
      <c r="A8" s="134"/>
      <c r="B8" s="509" t="s">
        <v>813</v>
      </c>
      <c r="C8" s="559" t="str">
        <f>'Pricing Schedule'!$H$5</f>
        <v>No</v>
      </c>
      <c r="D8" s="134"/>
      <c r="E8" s="134"/>
      <c r="F8" s="134"/>
    </row>
    <row r="9" spans="1:6" x14ac:dyDescent="0.25">
      <c r="A9" s="134"/>
      <c r="B9" s="509" t="s">
        <v>817</v>
      </c>
      <c r="C9" s="559">
        <f>'MDA Worksheet'!$K$10</f>
        <v>0</v>
      </c>
      <c r="D9" s="134"/>
      <c r="E9" s="134"/>
      <c r="F9" s="134"/>
    </row>
    <row r="10" spans="1:6" x14ac:dyDescent="0.25">
      <c r="A10" s="134"/>
      <c r="B10" s="509" t="s">
        <v>742</v>
      </c>
      <c r="C10" s="560">
        <f>'Required Info to Submit'!$F$14</f>
        <v>0</v>
      </c>
      <c r="D10" s="134"/>
      <c r="E10" s="134"/>
      <c r="F10" s="134"/>
    </row>
    <row r="11" spans="1:6" x14ac:dyDescent="0.25">
      <c r="A11" s="134"/>
      <c r="B11" s="509" t="s">
        <v>743</v>
      </c>
      <c r="C11" s="560" t="str" cm="1">
        <f t="array" ref="C11:D11">IF('Required Info to Submit'!$F$17:$G$17&lt;&gt;"",'Required Info to Submit'!$F$17:$G$17,"")</f>
        <v/>
      </c>
      <c r="D11" s="134" t="str">
        <v/>
      </c>
      <c r="E11" s="134"/>
      <c r="F11" s="134"/>
    </row>
    <row r="12" spans="1:6" x14ac:dyDescent="0.25">
      <c r="A12" s="134"/>
      <c r="B12" s="509" t="s">
        <v>818</v>
      </c>
      <c r="C12" s="559" t="str">
        <f>'Pricing Schedule'!$E$5</f>
        <v>PB</v>
      </c>
      <c r="D12" s="134"/>
      <c r="E12" s="134"/>
      <c r="F12" s="134"/>
    </row>
    <row r="13" spans="1:6" x14ac:dyDescent="0.25">
      <c r="A13" s="134"/>
      <c r="B13" s="2146" t="s">
        <v>820</v>
      </c>
      <c r="C13" s="2147"/>
      <c r="D13" s="134"/>
      <c r="E13" s="134"/>
      <c r="F13" s="134"/>
    </row>
    <row r="14" spans="1:6" x14ac:dyDescent="0.25">
      <c r="A14" s="134"/>
      <c r="B14" s="561" t="s">
        <v>821</v>
      </c>
      <c r="C14" s="559">
        <f>'MDA Worksheet'!$AU$48</f>
        <v>2.25</v>
      </c>
      <c r="D14" s="134"/>
      <c r="E14" s="134"/>
      <c r="F14" s="134"/>
    </row>
    <row r="15" spans="1:6" x14ac:dyDescent="0.25">
      <c r="A15" s="134"/>
      <c r="B15" s="561" t="s">
        <v>822</v>
      </c>
      <c r="C15" s="559" t="str">
        <f>'Pricing Schedule'!$D$5</f>
        <v>S</v>
      </c>
      <c r="D15" s="134"/>
      <c r="E15" s="134"/>
      <c r="F15" s="134"/>
    </row>
    <row r="16" spans="1:6" x14ac:dyDescent="0.25">
      <c r="A16" s="134"/>
      <c r="B16" s="561" t="s">
        <v>823</v>
      </c>
      <c r="C16" s="559">
        <f>'Pricing Schedule'!$C$5</f>
        <v>0</v>
      </c>
      <c r="D16" s="134"/>
      <c r="E16" s="134"/>
      <c r="F16" s="134"/>
    </row>
    <row r="17" spans="1:6" x14ac:dyDescent="0.25">
      <c r="A17" s="134"/>
      <c r="B17" s="561" t="s">
        <v>824</v>
      </c>
      <c r="C17" s="559" t="s">
        <v>825</v>
      </c>
      <c r="D17" s="134"/>
      <c r="E17" s="134"/>
      <c r="F17" s="134"/>
    </row>
    <row r="18" spans="1:6" x14ac:dyDescent="0.25">
      <c r="A18" s="134"/>
      <c r="B18" s="561" t="s">
        <v>826</v>
      </c>
      <c r="C18" s="709">
        <f>'Agreement Worksheet'!$C$13/100</f>
        <v>0.3</v>
      </c>
      <c r="D18" s="134"/>
      <c r="E18" s="134"/>
      <c r="F18" s="134"/>
    </row>
    <row r="19" spans="1:6" x14ac:dyDescent="0.25">
      <c r="A19" s="134"/>
      <c r="B19" s="561" t="s">
        <v>827</v>
      </c>
      <c r="C19" s="559" t="str">
        <f>'Agreement Worksheet'!$D$13</f>
        <v>%</v>
      </c>
      <c r="D19" s="134"/>
      <c r="E19" s="134"/>
      <c r="F19" s="134"/>
    </row>
    <row r="20" spans="1:6" x14ac:dyDescent="0.25">
      <c r="A20" s="134"/>
      <c r="B20" s="561" t="s">
        <v>828</v>
      </c>
      <c r="C20" s="559" t="str">
        <f>IF(OR(Welcome!$D$10="PON Only",Welcome!$D$10="New PON New CIA",Welcome!$D$10="New PON Existing CIA"),"NO","YES")</f>
        <v>YES</v>
      </c>
      <c r="D20" s="134"/>
      <c r="E20" s="134"/>
      <c r="F20" s="134"/>
    </row>
    <row r="21" spans="1:6" x14ac:dyDescent="0.25">
      <c r="A21" s="134"/>
      <c r="B21" s="561" t="s">
        <v>829</v>
      </c>
      <c r="C21" s="559" t="str">
        <f>'Agreement Worksheet'!$C$18</f>
        <v>S</v>
      </c>
      <c r="D21" s="134"/>
      <c r="E21" s="134"/>
      <c r="F21" s="134"/>
    </row>
    <row r="22" spans="1:6" x14ac:dyDescent="0.25">
      <c r="A22" s="134"/>
      <c r="B22" s="561" t="s">
        <v>830</v>
      </c>
      <c r="C22" s="562" t="str">
        <f>'MDA Worksheet'!$T$38</f>
        <v>Error on A La Carte</v>
      </c>
      <c r="D22" s="134"/>
      <c r="E22" s="134"/>
      <c r="F22" s="134"/>
    </row>
    <row r="23" spans="1:6" x14ac:dyDescent="0.25">
      <c r="A23" s="134"/>
      <c r="B23" s="561" t="s">
        <v>831</v>
      </c>
      <c r="C23" s="563" t="str">
        <f>'MDA Worksheet'!$T$36</f>
        <v>Error on A La Carte</v>
      </c>
      <c r="D23" s="134"/>
      <c r="E23" s="134"/>
      <c r="F23" s="134"/>
    </row>
    <row r="24" spans="1:6" ht="15.75" thickBot="1" x14ac:dyDescent="0.3">
      <c r="A24" s="134"/>
      <c r="B24" s="564" t="s">
        <v>832</v>
      </c>
      <c r="C24" s="1305">
        <f>'Agreement Worksheet'!$F$18</f>
        <v>2</v>
      </c>
      <c r="D24" s="134"/>
      <c r="E24" s="134"/>
      <c r="F24" s="134"/>
    </row>
    <row r="25" spans="1:6" x14ac:dyDescent="0.25">
      <c r="A25" s="134"/>
      <c r="B25" s="134"/>
      <c r="C25" s="558"/>
      <c r="D25" s="134"/>
      <c r="E25" s="134"/>
      <c r="F25" s="134"/>
    </row>
    <row r="26" spans="1:6" x14ac:dyDescent="0.25">
      <c r="A26" s="134"/>
      <c r="B26" s="134"/>
      <c r="C26" s="558"/>
      <c r="D26" s="134"/>
      <c r="E26" s="134"/>
      <c r="F26" s="134"/>
    </row>
    <row r="27" spans="1:6" x14ac:dyDescent="0.25">
      <c r="A27" s="134"/>
      <c r="B27" s="134"/>
      <c r="C27" s="558"/>
      <c r="D27" s="134"/>
      <c r="E27" s="134"/>
      <c r="F27" s="134"/>
    </row>
  </sheetData>
  <sheetProtection algorithmName="SHA-512" hashValue="/Zuo2qiLzF1LCEkowD/2Npn+48B2pwwp/BUk/135nWkg1chbo/NsZ3tbsEUC92Gd3UNqsDisJk9/LGFq1BoXFw==" saltValue="fWFk80disM9FU7EljdCdng=="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614" bestFit="1" customWidth="1"/>
    <col min="3" max="3" width="28" style="614" bestFit="1" customWidth="1"/>
    <col min="4" max="4" width="10.85546875" bestFit="1" customWidth="1"/>
    <col min="5" max="5" width="15.85546875" bestFit="1" customWidth="1"/>
  </cols>
  <sheetData>
    <row r="1" spans="1:5" x14ac:dyDescent="0.25">
      <c r="A1" s="614"/>
      <c r="D1" s="22"/>
      <c r="E1" s="22"/>
    </row>
    <row r="2" spans="1:5" x14ac:dyDescent="0.25">
      <c r="A2" s="614"/>
      <c r="D2" s="22"/>
      <c r="E2" s="22"/>
    </row>
    <row r="3" spans="1:5" x14ac:dyDescent="0.25">
      <c r="A3" s="614"/>
      <c r="D3" s="22"/>
      <c r="E3" s="22"/>
    </row>
    <row r="4" spans="1:5" x14ac:dyDescent="0.25">
      <c r="A4" s="614"/>
      <c r="D4" s="22"/>
      <c r="E4" s="22"/>
    </row>
    <row r="5" spans="1:5" x14ac:dyDescent="0.25">
      <c r="A5" s="614"/>
      <c r="D5" s="22"/>
      <c r="E5" s="22"/>
    </row>
    <row r="6" spans="1:5" x14ac:dyDescent="0.25">
      <c r="A6" s="614"/>
      <c r="D6" s="22"/>
      <c r="E6" s="22"/>
    </row>
    <row r="7" spans="1:5" x14ac:dyDescent="0.25">
      <c r="A7" s="614"/>
      <c r="D7" s="22"/>
      <c r="E7" s="22"/>
    </row>
    <row r="8" spans="1:5" x14ac:dyDescent="0.25">
      <c r="A8" s="614"/>
      <c r="D8" s="22"/>
      <c r="E8" s="22"/>
    </row>
    <row r="9" spans="1:5" x14ac:dyDescent="0.25">
      <c r="A9" s="614"/>
      <c r="D9" s="22"/>
      <c r="E9" s="22"/>
    </row>
    <row r="10" spans="1:5" x14ac:dyDescent="0.25">
      <c r="A10" s="614"/>
      <c r="D10" s="22"/>
      <c r="E10" s="22"/>
    </row>
    <row r="11" spans="1:5" x14ac:dyDescent="0.25">
      <c r="A11" s="614"/>
      <c r="D11" s="22"/>
      <c r="E11" s="22"/>
    </row>
    <row r="12" spans="1:5" x14ac:dyDescent="0.25">
      <c r="A12" s="614"/>
      <c r="D12" s="22"/>
      <c r="E12" s="22"/>
    </row>
    <row r="13" spans="1:5" x14ac:dyDescent="0.25">
      <c r="A13" s="614"/>
      <c r="D13" s="22"/>
      <c r="E13" s="22"/>
    </row>
    <row r="14" spans="1:5" x14ac:dyDescent="0.25">
      <c r="A14" s="614"/>
      <c r="D14" s="22"/>
      <c r="E14" s="22"/>
    </row>
    <row r="15" spans="1:5" x14ac:dyDescent="0.25">
      <c r="A15" s="614"/>
      <c r="D15" s="22"/>
      <c r="E15" s="22"/>
    </row>
    <row r="16" spans="1:5" x14ac:dyDescent="0.25">
      <c r="A16" s="614"/>
      <c r="D16" s="22"/>
      <c r="E16" s="22"/>
    </row>
    <row r="17" spans="1:5" x14ac:dyDescent="0.25">
      <c r="A17" s="614"/>
      <c r="D17" s="22"/>
      <c r="E17" s="22"/>
    </row>
    <row r="18" spans="1:5" x14ac:dyDescent="0.25">
      <c r="A18" s="614"/>
      <c r="D18" s="22"/>
      <c r="E18" s="22"/>
    </row>
    <row r="19" spans="1:5" x14ac:dyDescent="0.25">
      <c r="A19" s="614"/>
      <c r="D19" s="22"/>
      <c r="E19" s="22"/>
    </row>
    <row r="20" spans="1:5" x14ac:dyDescent="0.25">
      <c r="A20" s="614"/>
      <c r="D20" s="22"/>
      <c r="E20" s="22"/>
    </row>
    <row r="21" spans="1:5" x14ac:dyDescent="0.25">
      <c r="A21" s="614"/>
      <c r="D21" s="22"/>
      <c r="E21" s="22"/>
    </row>
    <row r="22" spans="1:5" x14ac:dyDescent="0.25">
      <c r="A22" s="614"/>
      <c r="D22" s="22"/>
      <c r="E22" s="22"/>
    </row>
    <row r="23" spans="1:5" x14ac:dyDescent="0.25">
      <c r="A23" s="614"/>
      <c r="D23" s="22"/>
      <c r="E23" s="22"/>
    </row>
    <row r="24" spans="1:5" x14ac:dyDescent="0.25">
      <c r="A24" s="614"/>
      <c r="D24" s="22"/>
      <c r="E24" s="22"/>
    </row>
    <row r="25" spans="1:5" x14ac:dyDescent="0.25">
      <c r="A25" s="614"/>
      <c r="D25" s="22"/>
      <c r="E25" s="22"/>
    </row>
    <row r="26" spans="1:5" x14ac:dyDescent="0.25">
      <c r="A26" s="614"/>
      <c r="D26" s="22"/>
      <c r="E26" s="22"/>
    </row>
    <row r="27" spans="1:5" x14ac:dyDescent="0.25">
      <c r="A27" s="614"/>
      <c r="D27" s="22"/>
      <c r="E27" s="22"/>
    </row>
    <row r="28" spans="1:5" x14ac:dyDescent="0.25">
      <c r="A28" s="614"/>
      <c r="D28" s="22"/>
      <c r="E28" s="22"/>
    </row>
    <row r="29" spans="1:5" x14ac:dyDescent="0.25">
      <c r="A29" s="614"/>
      <c r="D29" s="22"/>
      <c r="E29" s="22"/>
    </row>
    <row r="30" spans="1:5" x14ac:dyDescent="0.25">
      <c r="A30" s="614"/>
      <c r="D30" s="22"/>
      <c r="E30" s="22"/>
    </row>
    <row r="31" spans="1:5" x14ac:dyDescent="0.25">
      <c r="A31" s="614"/>
      <c r="D31" s="22"/>
      <c r="E31" s="22"/>
    </row>
    <row r="32" spans="1:5" x14ac:dyDescent="0.25">
      <c r="A32" s="614"/>
      <c r="D32" s="22"/>
      <c r="E32" s="22"/>
    </row>
    <row r="33" spans="1:5" x14ac:dyDescent="0.25">
      <c r="A33" s="614"/>
      <c r="D33" s="22"/>
      <c r="E33" s="22"/>
    </row>
    <row r="34" spans="1:5" x14ac:dyDescent="0.25">
      <c r="A34" s="614"/>
      <c r="D34" s="22"/>
      <c r="E34" s="22"/>
    </row>
    <row r="35" spans="1:5" x14ac:dyDescent="0.25">
      <c r="A35" s="614"/>
      <c r="D35" s="22"/>
      <c r="E35" s="22"/>
    </row>
    <row r="36" spans="1:5" x14ac:dyDescent="0.25">
      <c r="A36" s="614"/>
      <c r="D36" s="22"/>
      <c r="E36" s="22"/>
    </row>
    <row r="37" spans="1:5" x14ac:dyDescent="0.25">
      <c r="A37" s="614"/>
      <c r="D37" s="22"/>
      <c r="E37" s="22"/>
    </row>
    <row r="38" spans="1:5" x14ac:dyDescent="0.25">
      <c r="A38" s="614"/>
      <c r="D38" s="22"/>
      <c r="E38" s="22"/>
    </row>
    <row r="39" spans="1:5" x14ac:dyDescent="0.25">
      <c r="A39" s="614"/>
      <c r="D39" s="22"/>
      <c r="E39" s="22"/>
    </row>
    <row r="40" spans="1:5" x14ac:dyDescent="0.25">
      <c r="A40" s="614"/>
      <c r="D40" s="22"/>
      <c r="E40" s="22"/>
    </row>
    <row r="41" spans="1:5" x14ac:dyDescent="0.25">
      <c r="A41" s="614"/>
      <c r="D41" s="22"/>
      <c r="E41" s="22"/>
    </row>
    <row r="42" spans="1:5" x14ac:dyDescent="0.25">
      <c r="A42" s="614"/>
      <c r="D42" s="22"/>
      <c r="E42" s="22"/>
    </row>
    <row r="43" spans="1:5" x14ac:dyDescent="0.25">
      <c r="A43" s="614"/>
      <c r="D43" s="22"/>
      <c r="E43" s="22"/>
    </row>
    <row r="44" spans="1:5" x14ac:dyDescent="0.25">
      <c r="A44" s="614"/>
      <c r="D44" s="22"/>
      <c r="E44" s="22"/>
    </row>
    <row r="45" spans="1:5" x14ac:dyDescent="0.25">
      <c r="A45" s="614"/>
      <c r="D45" s="22"/>
      <c r="E45" s="22"/>
    </row>
    <row r="46" spans="1:5" x14ac:dyDescent="0.25">
      <c r="A46" s="614"/>
      <c r="D46" s="22"/>
      <c r="E46" s="22"/>
    </row>
    <row r="47" spans="1:5" x14ac:dyDescent="0.25">
      <c r="A47" s="614"/>
      <c r="D47" s="22"/>
      <c r="E47" s="22"/>
    </row>
    <row r="48" spans="1:5" x14ac:dyDescent="0.25">
      <c r="A48" s="614"/>
      <c r="D48" s="22"/>
      <c r="E48" s="22"/>
    </row>
    <row r="49" spans="1:5" x14ac:dyDescent="0.25">
      <c r="A49" s="614"/>
      <c r="D49" s="22"/>
      <c r="E49" s="22"/>
    </row>
    <row r="50" spans="1:5" x14ac:dyDescent="0.25">
      <c r="A50" s="614"/>
      <c r="D50" s="22"/>
      <c r="E50" s="22"/>
    </row>
    <row r="51" spans="1:5" x14ac:dyDescent="0.25">
      <c r="A51" s="614"/>
      <c r="D51" s="22"/>
      <c r="E51" s="22"/>
    </row>
    <row r="52" spans="1:5" x14ac:dyDescent="0.25">
      <c r="A52" s="614"/>
      <c r="D52" s="22"/>
      <c r="E52" s="22"/>
    </row>
    <row r="53" spans="1:5" x14ac:dyDescent="0.25">
      <c r="A53" s="614"/>
      <c r="D53" s="22"/>
      <c r="E53" s="22"/>
    </row>
    <row r="54" spans="1:5" x14ac:dyDescent="0.25">
      <c r="A54" s="614"/>
      <c r="D54" s="22"/>
      <c r="E54" s="22"/>
    </row>
    <row r="55" spans="1:5" x14ac:dyDescent="0.25">
      <c r="A55" s="614"/>
      <c r="D55" s="22"/>
      <c r="E55" s="22"/>
    </row>
    <row r="56" spans="1:5" x14ac:dyDescent="0.25">
      <c r="A56" s="614"/>
      <c r="D56" s="22"/>
      <c r="E56" s="22"/>
    </row>
    <row r="57" spans="1:5" x14ac:dyDescent="0.25">
      <c r="A57" s="614"/>
      <c r="D57" s="22"/>
      <c r="E57" s="22"/>
    </row>
    <row r="58" spans="1:5" x14ac:dyDescent="0.25">
      <c r="A58" s="614"/>
      <c r="D58" s="22"/>
      <c r="E58" s="22"/>
    </row>
    <row r="59" spans="1:5" x14ac:dyDescent="0.25">
      <c r="A59" s="614"/>
      <c r="D59" s="22"/>
      <c r="E59" s="22"/>
    </row>
    <row r="60" spans="1:5" x14ac:dyDescent="0.25">
      <c r="A60" s="614"/>
      <c r="D60" s="22"/>
      <c r="E60" s="22"/>
    </row>
    <row r="61" spans="1:5" x14ac:dyDescent="0.25">
      <c r="A61" s="614"/>
      <c r="D61" s="22"/>
      <c r="E61" s="22"/>
    </row>
    <row r="62" spans="1:5" s="641" customFormat="1" x14ac:dyDescent="0.25">
      <c r="D62" s="22"/>
      <c r="E62" s="22"/>
    </row>
    <row r="63" spans="1:5" x14ac:dyDescent="0.25">
      <c r="A63" s="614"/>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filterMode="1"/>
  <dimension ref="A1:BG1736"/>
  <sheetViews>
    <sheetView workbookViewId="0"/>
  </sheetViews>
  <sheetFormatPr defaultRowHeight="15" x14ac:dyDescent="0.25"/>
  <cols>
    <col min="1" max="1" width="17.85546875" style="822" customWidth="1"/>
    <col min="2" max="2" width="23.5703125" style="822" customWidth="1"/>
    <col min="3" max="3" width="40.85546875" style="1046" customWidth="1"/>
    <col min="4" max="4" width="43.140625" style="1046" customWidth="1"/>
    <col min="5" max="5" width="42.28515625" style="823"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028" t="s">
        <v>1406</v>
      </c>
      <c r="B1" s="1028" t="s">
        <v>1407</v>
      </c>
      <c r="C1" s="1048" t="s">
        <v>718</v>
      </c>
      <c r="D1" s="1048" t="s">
        <v>2145</v>
      </c>
      <c r="E1" s="1029" t="s">
        <v>1408</v>
      </c>
    </row>
    <row r="2" spans="1:5" x14ac:dyDescent="0.25">
      <c r="A2" s="947">
        <v>1</v>
      </c>
      <c r="B2" s="947" t="s">
        <v>1409</v>
      </c>
      <c r="C2" s="1018" t="s">
        <v>1409</v>
      </c>
      <c r="D2" s="1018" t="s">
        <v>1410</v>
      </c>
      <c r="E2" s="1015" t="s">
        <v>1411</v>
      </c>
    </row>
    <row r="3" spans="1:5" x14ac:dyDescent="0.25">
      <c r="A3" s="947">
        <v>2</v>
      </c>
      <c r="B3" s="947" t="s">
        <v>1409</v>
      </c>
      <c r="C3" s="1018" t="s">
        <v>1409</v>
      </c>
      <c r="D3" s="1018" t="s">
        <v>1410</v>
      </c>
      <c r="E3" s="1015" t="s">
        <v>1412</v>
      </c>
    </row>
    <row r="4" spans="1:5" x14ac:dyDescent="0.25">
      <c r="A4" s="947">
        <v>3</v>
      </c>
      <c r="B4" s="947" t="s">
        <v>1413</v>
      </c>
      <c r="C4" s="1018" t="s">
        <v>1409</v>
      </c>
      <c r="D4" s="1018" t="s">
        <v>1410</v>
      </c>
      <c r="E4" s="1015" t="s">
        <v>1414</v>
      </c>
    </row>
    <row r="5" spans="1:5" x14ac:dyDescent="0.25">
      <c r="A5" s="947">
        <v>4</v>
      </c>
      <c r="B5" s="947" t="s">
        <v>1374</v>
      </c>
      <c r="C5" s="1018" t="s">
        <v>1415</v>
      </c>
      <c r="D5" s="1018" t="s">
        <v>1416</v>
      </c>
      <c r="E5" s="1015" t="s">
        <v>1402</v>
      </c>
    </row>
    <row r="6" spans="1:5" x14ac:dyDescent="0.25">
      <c r="A6" s="947">
        <v>5</v>
      </c>
      <c r="B6" s="947" t="s">
        <v>1374</v>
      </c>
      <c r="C6" s="1018" t="s">
        <v>1415</v>
      </c>
      <c r="D6" s="1018" t="s">
        <v>1417</v>
      </c>
      <c r="E6" s="1015" t="s">
        <v>1403</v>
      </c>
    </row>
    <row r="7" spans="1:5" x14ac:dyDescent="0.25">
      <c r="A7" s="947">
        <v>6</v>
      </c>
      <c r="B7" s="947" t="s">
        <v>1401</v>
      </c>
      <c r="C7" s="1018" t="s">
        <v>1415</v>
      </c>
      <c r="D7" s="1018" t="s">
        <v>1418</v>
      </c>
      <c r="E7" s="1015" t="s">
        <v>1419</v>
      </c>
    </row>
    <row r="8" spans="1:5" x14ac:dyDescent="0.25">
      <c r="A8" s="947">
        <v>7</v>
      </c>
      <c r="B8" s="947" t="s">
        <v>1401</v>
      </c>
      <c r="C8" s="1018" t="s">
        <v>1415</v>
      </c>
      <c r="D8" s="1018" t="s">
        <v>1418</v>
      </c>
      <c r="E8" s="1015" t="s">
        <v>1420</v>
      </c>
    </row>
    <row r="9" spans="1:5" ht="30" x14ac:dyDescent="0.25">
      <c r="A9" s="947">
        <v>8</v>
      </c>
      <c r="B9" s="947" t="s">
        <v>1351</v>
      </c>
      <c r="C9" s="1018" t="s">
        <v>1415</v>
      </c>
      <c r="D9" s="1018" t="s">
        <v>1368</v>
      </c>
      <c r="E9" s="1015" t="s">
        <v>1214</v>
      </c>
    </row>
    <row r="10" spans="1:5" ht="30" x14ac:dyDescent="0.25">
      <c r="A10" s="947">
        <v>9</v>
      </c>
      <c r="B10" s="947" t="s">
        <v>1351</v>
      </c>
      <c r="C10" s="1018" t="s">
        <v>1415</v>
      </c>
      <c r="D10" s="1018" t="s">
        <v>1368</v>
      </c>
      <c r="E10" s="1015" t="s">
        <v>1215</v>
      </c>
    </row>
    <row r="11" spans="1:5" x14ac:dyDescent="0.25">
      <c r="A11" s="947">
        <v>10</v>
      </c>
      <c r="B11" s="947" t="s">
        <v>1351</v>
      </c>
      <c r="C11" s="1018" t="s">
        <v>1415</v>
      </c>
      <c r="D11" s="1018" t="s">
        <v>1368</v>
      </c>
      <c r="E11" s="1015" t="s">
        <v>1219</v>
      </c>
    </row>
    <row r="12" spans="1:5" x14ac:dyDescent="0.25">
      <c r="A12" s="947">
        <v>11</v>
      </c>
      <c r="B12" s="947" t="s">
        <v>1351</v>
      </c>
      <c r="C12" s="1018" t="s">
        <v>1421</v>
      </c>
      <c r="D12" s="1018" t="s">
        <v>1368</v>
      </c>
      <c r="E12" s="1015" t="s">
        <v>1216</v>
      </c>
    </row>
    <row r="13" spans="1:5" x14ac:dyDescent="0.25">
      <c r="A13" s="947">
        <v>12</v>
      </c>
      <c r="B13" s="947" t="s">
        <v>1351</v>
      </c>
      <c r="C13" s="1018" t="s">
        <v>1421</v>
      </c>
      <c r="D13" s="1018" t="s">
        <v>1368</v>
      </c>
      <c r="E13" s="1015" t="s">
        <v>1227</v>
      </c>
    </row>
    <row r="14" spans="1:5" x14ac:dyDescent="0.25">
      <c r="A14" s="947">
        <v>13</v>
      </c>
      <c r="B14" s="947" t="s">
        <v>1351</v>
      </c>
      <c r="C14" s="1018" t="s">
        <v>1421</v>
      </c>
      <c r="D14" s="1018" t="s">
        <v>1368</v>
      </c>
      <c r="E14" s="1015" t="s">
        <v>1228</v>
      </c>
    </row>
    <row r="15" spans="1:5" x14ac:dyDescent="0.25">
      <c r="A15" s="947">
        <v>14</v>
      </c>
      <c r="B15" s="947" t="s">
        <v>1351</v>
      </c>
      <c r="C15" s="1018" t="s">
        <v>1421</v>
      </c>
      <c r="D15" s="1018" t="s">
        <v>1368</v>
      </c>
      <c r="E15" s="1015" t="s">
        <v>1230</v>
      </c>
    </row>
    <row r="16" spans="1:5" x14ac:dyDescent="0.25">
      <c r="A16" s="947">
        <v>15</v>
      </c>
      <c r="B16" s="947" t="s">
        <v>1351</v>
      </c>
      <c r="C16" s="1018" t="s">
        <v>1421</v>
      </c>
      <c r="D16" s="1018" t="s">
        <v>1368</v>
      </c>
      <c r="E16" s="1015" t="s">
        <v>1231</v>
      </c>
    </row>
    <row r="17" spans="1:5" ht="30" x14ac:dyDescent="0.25">
      <c r="A17" s="947">
        <v>16</v>
      </c>
      <c r="B17" s="947" t="s">
        <v>1351</v>
      </c>
      <c r="C17" s="1018" t="s">
        <v>1421</v>
      </c>
      <c r="D17" s="1018" t="s">
        <v>1368</v>
      </c>
      <c r="E17" s="1015" t="s">
        <v>1232</v>
      </c>
    </row>
    <row r="18" spans="1:5" x14ac:dyDescent="0.25">
      <c r="A18" s="947">
        <v>17</v>
      </c>
      <c r="B18" s="947" t="s">
        <v>1351</v>
      </c>
      <c r="C18" s="1018" t="s">
        <v>1421</v>
      </c>
      <c r="D18" s="1018" t="s">
        <v>1422</v>
      </c>
      <c r="E18" s="1015" t="s">
        <v>1220</v>
      </c>
    </row>
    <row r="19" spans="1:5" x14ac:dyDescent="0.25">
      <c r="A19" s="947">
        <v>18</v>
      </c>
      <c r="B19" s="947" t="s">
        <v>1351</v>
      </c>
      <c r="C19" s="1018" t="s">
        <v>1421</v>
      </c>
      <c r="D19" s="1018" t="s">
        <v>1422</v>
      </c>
      <c r="E19" s="1015" t="s">
        <v>1221</v>
      </c>
    </row>
    <row r="20" spans="1:5" x14ac:dyDescent="0.25">
      <c r="A20" s="947">
        <v>19</v>
      </c>
      <c r="B20" s="947" t="s">
        <v>1351</v>
      </c>
      <c r="C20" s="1018" t="s">
        <v>1238</v>
      </c>
      <c r="D20" s="1018" t="s">
        <v>1410</v>
      </c>
      <c r="E20" s="1014" t="s">
        <v>1262</v>
      </c>
    </row>
    <row r="21" spans="1:5" ht="30" x14ac:dyDescent="0.25">
      <c r="A21" s="947">
        <v>20</v>
      </c>
      <c r="B21" s="947" t="s">
        <v>1351</v>
      </c>
      <c r="C21" s="1018" t="s">
        <v>2136</v>
      </c>
      <c r="D21" s="1018" t="s">
        <v>1410</v>
      </c>
      <c r="E21" s="1014" t="s">
        <v>1202</v>
      </c>
    </row>
    <row r="22" spans="1:5" ht="30" x14ac:dyDescent="0.25">
      <c r="A22" s="947">
        <v>21</v>
      </c>
      <c r="B22" s="947" t="s">
        <v>1351</v>
      </c>
      <c r="C22" s="1018" t="s">
        <v>2136</v>
      </c>
      <c r="D22" s="1018" t="s">
        <v>1410</v>
      </c>
      <c r="E22" s="1014" t="s">
        <v>1722</v>
      </c>
    </row>
    <row r="23" spans="1:5" ht="30" x14ac:dyDescent="0.25">
      <c r="A23" s="947">
        <v>22</v>
      </c>
      <c r="B23" s="947" t="s">
        <v>1351</v>
      </c>
      <c r="C23" s="1018" t="s">
        <v>2136</v>
      </c>
      <c r="D23" s="1018" t="s">
        <v>1410</v>
      </c>
      <c r="E23" s="1014" t="s">
        <v>1201</v>
      </c>
    </row>
    <row r="24" spans="1:5" x14ac:dyDescent="0.25">
      <c r="A24" s="947">
        <v>23</v>
      </c>
      <c r="B24" s="947" t="s">
        <v>1351</v>
      </c>
      <c r="C24" s="1018" t="s">
        <v>1238</v>
      </c>
      <c r="D24" s="1018" t="s">
        <v>1410</v>
      </c>
      <c r="E24" s="1014" t="s">
        <v>1725</v>
      </c>
    </row>
    <row r="25" spans="1:5" x14ac:dyDescent="0.25">
      <c r="A25" s="947">
        <v>24</v>
      </c>
      <c r="B25" s="947" t="s">
        <v>1351</v>
      </c>
      <c r="C25" s="1018" t="s">
        <v>1197</v>
      </c>
      <c r="D25" s="1018" t="s">
        <v>1410</v>
      </c>
      <c r="E25" s="1014" t="s">
        <v>1723</v>
      </c>
    </row>
    <row r="26" spans="1:5" x14ac:dyDescent="0.25">
      <c r="A26" s="947">
        <v>25</v>
      </c>
      <c r="B26" s="947" t="s">
        <v>1374</v>
      </c>
      <c r="C26" s="1018" t="s">
        <v>1421</v>
      </c>
      <c r="D26" s="1018" t="s">
        <v>1368</v>
      </c>
      <c r="E26" s="1015" t="s">
        <v>1404</v>
      </c>
    </row>
    <row r="27" spans="1:5" x14ac:dyDescent="0.25">
      <c r="A27" s="947">
        <v>26</v>
      </c>
      <c r="B27" s="947" t="s">
        <v>1374</v>
      </c>
      <c r="C27" s="1018" t="s">
        <v>1423</v>
      </c>
      <c r="D27" s="1018" t="s">
        <v>1424</v>
      </c>
      <c r="E27" s="1015" t="s">
        <v>1405</v>
      </c>
    </row>
    <row r="28" spans="1:5" x14ac:dyDescent="0.25">
      <c r="A28" s="947">
        <v>27</v>
      </c>
      <c r="B28" s="947" t="s">
        <v>1374</v>
      </c>
      <c r="C28" s="1018" t="s">
        <v>1423</v>
      </c>
      <c r="D28" s="1018" t="s">
        <v>1424</v>
      </c>
      <c r="E28" s="1015" t="s">
        <v>1425</v>
      </c>
    </row>
    <row r="29" spans="1:5" x14ac:dyDescent="0.25">
      <c r="A29" s="947">
        <v>28</v>
      </c>
      <c r="B29" s="947" t="s">
        <v>1374</v>
      </c>
      <c r="C29" s="1018" t="s">
        <v>1423</v>
      </c>
      <c r="D29" s="1018" t="s">
        <v>1424</v>
      </c>
      <c r="E29" s="1015" t="s">
        <v>651</v>
      </c>
    </row>
    <row r="30" spans="1:5" x14ac:dyDescent="0.25">
      <c r="A30" s="947">
        <v>29</v>
      </c>
      <c r="B30" s="947" t="s">
        <v>1374</v>
      </c>
      <c r="C30" s="1018" t="s">
        <v>1423</v>
      </c>
      <c r="D30" s="1018" t="s">
        <v>1424</v>
      </c>
      <c r="E30" s="1015" t="s">
        <v>1158</v>
      </c>
    </row>
    <row r="31" spans="1:5" x14ac:dyDescent="0.25">
      <c r="A31" s="947">
        <v>30</v>
      </c>
      <c r="B31" s="947" t="s">
        <v>1374</v>
      </c>
      <c r="C31" s="1018" t="s">
        <v>1423</v>
      </c>
      <c r="D31" s="1018" t="s">
        <v>1424</v>
      </c>
      <c r="E31" s="1015" t="s">
        <v>1159</v>
      </c>
    </row>
    <row r="32" spans="1:5" x14ac:dyDescent="0.25">
      <c r="A32" s="947">
        <v>31</v>
      </c>
      <c r="B32" s="947" t="s">
        <v>1374</v>
      </c>
      <c r="C32" s="1018" t="s">
        <v>1423</v>
      </c>
      <c r="D32" s="1018" t="s">
        <v>1424</v>
      </c>
      <c r="E32" s="1015" t="s">
        <v>1160</v>
      </c>
    </row>
    <row r="33" spans="1:5" x14ac:dyDescent="0.25">
      <c r="A33" s="947">
        <v>32</v>
      </c>
      <c r="B33" s="947" t="s">
        <v>1374</v>
      </c>
      <c r="C33" s="1018" t="s">
        <v>1426</v>
      </c>
      <c r="D33" s="1018" t="s">
        <v>2137</v>
      </c>
      <c r="E33" s="1015" t="s">
        <v>1471</v>
      </c>
    </row>
    <row r="34" spans="1:5" x14ac:dyDescent="0.25">
      <c r="A34" s="947">
        <v>33</v>
      </c>
      <c r="B34" s="947" t="s">
        <v>1401</v>
      </c>
      <c r="C34" s="1018" t="s">
        <v>1427</v>
      </c>
      <c r="D34" s="1018" t="s">
        <v>1410</v>
      </c>
      <c r="E34" s="1015" t="s">
        <v>1178</v>
      </c>
    </row>
    <row r="35" spans="1:5" x14ac:dyDescent="0.25">
      <c r="A35" s="947">
        <v>34</v>
      </c>
      <c r="B35" s="947" t="s">
        <v>870</v>
      </c>
      <c r="C35" s="1018" t="s">
        <v>1427</v>
      </c>
      <c r="D35" s="1018" t="s">
        <v>1410</v>
      </c>
      <c r="E35" s="1015" t="s">
        <v>1182</v>
      </c>
    </row>
    <row r="36" spans="1:5" x14ac:dyDescent="0.25">
      <c r="A36" s="947">
        <v>35</v>
      </c>
      <c r="B36" s="947" t="s">
        <v>1401</v>
      </c>
      <c r="C36" s="1018" t="s">
        <v>1427</v>
      </c>
      <c r="D36" s="1018" t="s">
        <v>1410</v>
      </c>
      <c r="E36" s="1015" t="s">
        <v>766</v>
      </c>
    </row>
    <row r="37" spans="1:5" x14ac:dyDescent="0.25">
      <c r="A37" s="947">
        <v>36</v>
      </c>
      <c r="B37" s="947" t="s">
        <v>870</v>
      </c>
      <c r="C37" s="1018" t="s">
        <v>1427</v>
      </c>
      <c r="D37" s="1018" t="s">
        <v>1410</v>
      </c>
      <c r="E37" s="1017" t="s">
        <v>1262</v>
      </c>
    </row>
    <row r="38" spans="1:5" ht="30" x14ac:dyDescent="0.25">
      <c r="A38" s="947">
        <v>37</v>
      </c>
      <c r="B38" s="947" t="s">
        <v>870</v>
      </c>
      <c r="C38" s="1018" t="s">
        <v>1427</v>
      </c>
      <c r="D38" s="1018" t="s">
        <v>1410</v>
      </c>
      <c r="E38" s="1017" t="s">
        <v>1263</v>
      </c>
    </row>
    <row r="39" spans="1:5" x14ac:dyDescent="0.25">
      <c r="A39" s="947">
        <v>38</v>
      </c>
      <c r="B39" s="947" t="s">
        <v>870</v>
      </c>
      <c r="C39" s="1018" t="s">
        <v>1427</v>
      </c>
      <c r="D39" s="1018" t="s">
        <v>1410</v>
      </c>
      <c r="E39" s="1017" t="s">
        <v>1185</v>
      </c>
    </row>
    <row r="40" spans="1:5" x14ac:dyDescent="0.25">
      <c r="A40" s="947">
        <v>39</v>
      </c>
      <c r="B40" s="947" t="s">
        <v>870</v>
      </c>
      <c r="C40" s="1018" t="s">
        <v>1427</v>
      </c>
      <c r="D40" s="1018" t="s">
        <v>1410</v>
      </c>
      <c r="E40" s="1017" t="s">
        <v>1186</v>
      </c>
    </row>
    <row r="41" spans="1:5" x14ac:dyDescent="0.25">
      <c r="A41" s="947">
        <v>40</v>
      </c>
      <c r="B41" s="947" t="s">
        <v>870</v>
      </c>
      <c r="C41" s="1018" t="s">
        <v>1427</v>
      </c>
      <c r="D41" s="1018" t="s">
        <v>1410</v>
      </c>
      <c r="E41" s="1017" t="s">
        <v>1187</v>
      </c>
    </row>
    <row r="42" spans="1:5" x14ac:dyDescent="0.25">
      <c r="A42" s="947">
        <v>41</v>
      </c>
      <c r="B42" s="947" t="s">
        <v>870</v>
      </c>
      <c r="C42" s="1018" t="s">
        <v>1427</v>
      </c>
      <c r="D42" s="1018" t="s">
        <v>1410</v>
      </c>
      <c r="E42" s="1017" t="s">
        <v>1188</v>
      </c>
    </row>
    <row r="43" spans="1:5" x14ac:dyDescent="0.25">
      <c r="A43" s="947">
        <v>42</v>
      </c>
      <c r="B43" s="947" t="s">
        <v>870</v>
      </c>
      <c r="C43" s="1018" t="s">
        <v>1427</v>
      </c>
      <c r="D43" s="1018" t="s">
        <v>1410</v>
      </c>
      <c r="E43" s="1017" t="s">
        <v>1189</v>
      </c>
    </row>
    <row r="44" spans="1:5" x14ac:dyDescent="0.25">
      <c r="A44" s="947">
        <v>43</v>
      </c>
      <c r="B44" s="947" t="s">
        <v>870</v>
      </c>
      <c r="C44" s="1018" t="s">
        <v>1427</v>
      </c>
      <c r="D44" s="1018" t="s">
        <v>1410</v>
      </c>
      <c r="E44" s="1017" t="s">
        <v>1428</v>
      </c>
    </row>
    <row r="45" spans="1:5" x14ac:dyDescent="0.25">
      <c r="A45" s="947">
        <v>44</v>
      </c>
      <c r="B45" s="947" t="s">
        <v>870</v>
      </c>
      <c r="C45" s="1018" t="s">
        <v>1427</v>
      </c>
      <c r="D45" s="1018" t="s">
        <v>1410</v>
      </c>
      <c r="E45" s="1017" t="s">
        <v>1631</v>
      </c>
    </row>
    <row r="46" spans="1:5" x14ac:dyDescent="0.25">
      <c r="A46" s="947">
        <v>45</v>
      </c>
      <c r="B46" s="947" t="s">
        <v>1401</v>
      </c>
      <c r="C46" s="1018" t="s">
        <v>1427</v>
      </c>
      <c r="D46" s="1018" t="s">
        <v>1429</v>
      </c>
      <c r="E46" s="1015" t="s">
        <v>765</v>
      </c>
    </row>
    <row r="47" spans="1:5" x14ac:dyDescent="0.25">
      <c r="A47" s="947">
        <v>46</v>
      </c>
      <c r="B47" s="947" t="s">
        <v>1401</v>
      </c>
      <c r="C47" s="1018" t="s">
        <v>1427</v>
      </c>
      <c r="D47" s="1018" t="s">
        <v>1429</v>
      </c>
      <c r="E47" s="1015" t="s">
        <v>1179</v>
      </c>
    </row>
    <row r="48" spans="1:5" x14ac:dyDescent="0.25">
      <c r="A48" s="947">
        <v>47</v>
      </c>
      <c r="B48" s="947" t="s">
        <v>1401</v>
      </c>
      <c r="C48" s="1018" t="s">
        <v>1427</v>
      </c>
      <c r="D48" s="1018" t="s">
        <v>1410</v>
      </c>
      <c r="E48" s="1015" t="s">
        <v>1180</v>
      </c>
    </row>
    <row r="49" spans="1:5" x14ac:dyDescent="0.25">
      <c r="A49" s="947">
        <v>48</v>
      </c>
      <c r="B49" s="947" t="s">
        <v>1401</v>
      </c>
      <c r="C49" s="1018" t="s">
        <v>1427</v>
      </c>
      <c r="D49" s="1018" t="s">
        <v>1410</v>
      </c>
      <c r="E49" s="1015" t="s">
        <v>1367</v>
      </c>
    </row>
    <row r="50" spans="1:5" x14ac:dyDescent="0.25">
      <c r="A50" s="947">
        <v>49</v>
      </c>
      <c r="B50" s="947" t="s">
        <v>1401</v>
      </c>
      <c r="C50" s="1018" t="s">
        <v>1427</v>
      </c>
      <c r="D50" s="1018" t="s">
        <v>1410</v>
      </c>
      <c r="E50" s="1015" t="s">
        <v>1297</v>
      </c>
    </row>
    <row r="51" spans="1:5" x14ac:dyDescent="0.25">
      <c r="A51" s="947">
        <v>50</v>
      </c>
      <c r="B51" s="947" t="s">
        <v>1401</v>
      </c>
      <c r="C51" s="1018" t="s">
        <v>1427</v>
      </c>
      <c r="D51" s="1018" t="s">
        <v>1410</v>
      </c>
      <c r="E51" s="1015" t="s">
        <v>767</v>
      </c>
    </row>
    <row r="52" spans="1:5" x14ac:dyDescent="0.25">
      <c r="A52" s="947">
        <v>51</v>
      </c>
      <c r="B52" s="947" t="s">
        <v>1401</v>
      </c>
      <c r="C52" s="1018" t="s">
        <v>1427</v>
      </c>
      <c r="D52" s="1018" t="s">
        <v>1410</v>
      </c>
      <c r="E52" s="1015" t="s">
        <v>768</v>
      </c>
    </row>
    <row r="53" spans="1:5" x14ac:dyDescent="0.25">
      <c r="A53" s="947">
        <v>52</v>
      </c>
      <c r="B53" s="947" t="s">
        <v>1401</v>
      </c>
      <c r="C53" s="1018" t="s">
        <v>1427</v>
      </c>
      <c r="D53" s="1018" t="s">
        <v>1410</v>
      </c>
      <c r="E53" s="1015" t="s">
        <v>769</v>
      </c>
    </row>
    <row r="54" spans="1:5" x14ac:dyDescent="0.25">
      <c r="A54" s="947">
        <v>53</v>
      </c>
      <c r="B54" s="947" t="s">
        <v>1401</v>
      </c>
      <c r="C54" s="1018" t="s">
        <v>1427</v>
      </c>
      <c r="D54" s="1018" t="s">
        <v>1410</v>
      </c>
      <c r="E54" s="1015" t="s">
        <v>204</v>
      </c>
    </row>
    <row r="55" spans="1:5" x14ac:dyDescent="0.25">
      <c r="A55" s="947">
        <v>54</v>
      </c>
      <c r="B55" s="947" t="s">
        <v>1401</v>
      </c>
      <c r="C55" s="1018" t="s">
        <v>1430</v>
      </c>
      <c r="D55" s="1018" t="s">
        <v>1410</v>
      </c>
      <c r="E55" s="1015" t="s">
        <v>1178</v>
      </c>
    </row>
    <row r="56" spans="1:5" x14ac:dyDescent="0.25">
      <c r="A56" s="947">
        <v>55</v>
      </c>
      <c r="B56" s="947" t="s">
        <v>870</v>
      </c>
      <c r="C56" s="1018" t="s">
        <v>1430</v>
      </c>
      <c r="D56" s="1018" t="s">
        <v>1410</v>
      </c>
      <c r="E56" s="1015" t="s">
        <v>1182</v>
      </c>
    </row>
    <row r="57" spans="1:5" x14ac:dyDescent="0.25">
      <c r="A57" s="947">
        <v>56</v>
      </c>
      <c r="B57" s="947" t="s">
        <v>1401</v>
      </c>
      <c r="C57" s="1018" t="s">
        <v>1430</v>
      </c>
      <c r="D57" s="1018" t="s">
        <v>1410</v>
      </c>
      <c r="E57" s="1015" t="s">
        <v>766</v>
      </c>
    </row>
    <row r="58" spans="1:5" x14ac:dyDescent="0.25">
      <c r="A58" s="947">
        <v>57</v>
      </c>
      <c r="B58" s="947" t="s">
        <v>870</v>
      </c>
      <c r="C58" s="1018" t="s">
        <v>1430</v>
      </c>
      <c r="D58" s="1018" t="s">
        <v>1410</v>
      </c>
      <c r="E58" s="1017" t="s">
        <v>1262</v>
      </c>
    </row>
    <row r="59" spans="1:5" ht="30" x14ac:dyDescent="0.25">
      <c r="A59" s="947">
        <v>58</v>
      </c>
      <c r="B59" s="947" t="s">
        <v>870</v>
      </c>
      <c r="C59" s="1018" t="s">
        <v>1430</v>
      </c>
      <c r="D59" s="1018" t="s">
        <v>1410</v>
      </c>
      <c r="E59" s="1017" t="s">
        <v>1263</v>
      </c>
    </row>
    <row r="60" spans="1:5" x14ac:dyDescent="0.25">
      <c r="A60" s="947">
        <v>59</v>
      </c>
      <c r="B60" s="947" t="s">
        <v>870</v>
      </c>
      <c r="C60" s="1018" t="s">
        <v>1430</v>
      </c>
      <c r="D60" s="1018" t="s">
        <v>1410</v>
      </c>
      <c r="E60" s="1017" t="s">
        <v>1185</v>
      </c>
    </row>
    <row r="61" spans="1:5" x14ac:dyDescent="0.25">
      <c r="A61" s="947">
        <v>60</v>
      </c>
      <c r="B61" s="947" t="s">
        <v>870</v>
      </c>
      <c r="C61" s="1018" t="s">
        <v>1430</v>
      </c>
      <c r="D61" s="1018" t="s">
        <v>1410</v>
      </c>
      <c r="E61" s="1017" t="s">
        <v>1186</v>
      </c>
    </row>
    <row r="62" spans="1:5" x14ac:dyDescent="0.25">
      <c r="A62" s="947">
        <v>61</v>
      </c>
      <c r="B62" s="947" t="s">
        <v>870</v>
      </c>
      <c r="C62" s="1018" t="s">
        <v>1430</v>
      </c>
      <c r="D62" s="1018" t="s">
        <v>1410</v>
      </c>
      <c r="E62" s="1017" t="s">
        <v>1187</v>
      </c>
    </row>
    <row r="63" spans="1:5" x14ac:dyDescent="0.25">
      <c r="A63" s="947">
        <v>62</v>
      </c>
      <c r="B63" s="947" t="s">
        <v>870</v>
      </c>
      <c r="C63" s="1018" t="s">
        <v>1430</v>
      </c>
      <c r="D63" s="1018" t="s">
        <v>1410</v>
      </c>
      <c r="E63" s="1017" t="s">
        <v>1188</v>
      </c>
    </row>
    <row r="64" spans="1:5" x14ac:dyDescent="0.25">
      <c r="A64" s="947">
        <v>63</v>
      </c>
      <c r="B64" s="947" t="s">
        <v>870</v>
      </c>
      <c r="C64" s="1018" t="s">
        <v>1430</v>
      </c>
      <c r="D64" s="1018" t="s">
        <v>1410</v>
      </c>
      <c r="E64" s="1017" t="s">
        <v>1189</v>
      </c>
    </row>
    <row r="65" spans="1:5" x14ac:dyDescent="0.25">
      <c r="A65" s="947">
        <v>64</v>
      </c>
      <c r="B65" s="947" t="s">
        <v>870</v>
      </c>
      <c r="C65" s="1018" t="s">
        <v>1430</v>
      </c>
      <c r="D65" s="1018" t="s">
        <v>1410</v>
      </c>
      <c r="E65" s="1017" t="s">
        <v>1428</v>
      </c>
    </row>
    <row r="66" spans="1:5" x14ac:dyDescent="0.25">
      <c r="A66" s="947">
        <v>65</v>
      </c>
      <c r="B66" s="947" t="s">
        <v>870</v>
      </c>
      <c r="C66" s="1018" t="s">
        <v>1430</v>
      </c>
      <c r="D66" s="1018" t="s">
        <v>1410</v>
      </c>
      <c r="E66" s="1017" t="s">
        <v>1631</v>
      </c>
    </row>
    <row r="67" spans="1:5" x14ac:dyDescent="0.25">
      <c r="A67" s="947">
        <v>66</v>
      </c>
      <c r="B67" s="947" t="s">
        <v>1401</v>
      </c>
      <c r="C67" s="1018" t="s">
        <v>1430</v>
      </c>
      <c r="D67" s="1018" t="s">
        <v>1429</v>
      </c>
      <c r="E67" s="1015" t="s">
        <v>765</v>
      </c>
    </row>
    <row r="68" spans="1:5" x14ac:dyDescent="0.25">
      <c r="A68" s="947">
        <v>67</v>
      </c>
      <c r="B68" s="947" t="s">
        <v>1401</v>
      </c>
      <c r="C68" s="1018" t="s">
        <v>1430</v>
      </c>
      <c r="D68" s="1018" t="s">
        <v>1429</v>
      </c>
      <c r="E68" s="1015" t="s">
        <v>1179</v>
      </c>
    </row>
    <row r="69" spans="1:5" x14ac:dyDescent="0.25">
      <c r="A69" s="947">
        <v>68</v>
      </c>
      <c r="B69" s="947" t="s">
        <v>1401</v>
      </c>
      <c r="C69" s="1018" t="s">
        <v>1430</v>
      </c>
      <c r="D69" s="1018" t="s">
        <v>1410</v>
      </c>
      <c r="E69" s="1015" t="s">
        <v>1180</v>
      </c>
    </row>
    <row r="70" spans="1:5" x14ac:dyDescent="0.25">
      <c r="A70" s="947">
        <v>69</v>
      </c>
      <c r="B70" s="947" t="s">
        <v>1401</v>
      </c>
      <c r="C70" s="1018" t="s">
        <v>1430</v>
      </c>
      <c r="D70" s="1018" t="s">
        <v>1410</v>
      </c>
      <c r="E70" s="1015" t="s">
        <v>1367</v>
      </c>
    </row>
    <row r="71" spans="1:5" x14ac:dyDescent="0.25">
      <c r="A71" s="947">
        <v>70</v>
      </c>
      <c r="B71" s="947" t="s">
        <v>1401</v>
      </c>
      <c r="C71" s="1018" t="s">
        <v>1430</v>
      </c>
      <c r="D71" s="1018" t="s">
        <v>1410</v>
      </c>
      <c r="E71" s="1015" t="s">
        <v>1297</v>
      </c>
    </row>
    <row r="72" spans="1:5" x14ac:dyDescent="0.25">
      <c r="A72" s="947">
        <v>71</v>
      </c>
      <c r="B72" s="947" t="s">
        <v>1401</v>
      </c>
      <c r="C72" s="1018" t="s">
        <v>1430</v>
      </c>
      <c r="D72" s="1018" t="s">
        <v>1410</v>
      </c>
      <c r="E72" s="1015" t="s">
        <v>767</v>
      </c>
    </row>
    <row r="73" spans="1:5" x14ac:dyDescent="0.25">
      <c r="A73" s="947">
        <v>72</v>
      </c>
      <c r="B73" s="947" t="s">
        <v>1401</v>
      </c>
      <c r="C73" s="1018" t="s">
        <v>1430</v>
      </c>
      <c r="D73" s="1018" t="s">
        <v>1410</v>
      </c>
      <c r="E73" s="1015" t="s">
        <v>768</v>
      </c>
    </row>
    <row r="74" spans="1:5" x14ac:dyDescent="0.25">
      <c r="A74" s="947">
        <v>73</v>
      </c>
      <c r="B74" s="947" t="s">
        <v>1401</v>
      </c>
      <c r="C74" s="1018" t="s">
        <v>1430</v>
      </c>
      <c r="D74" s="1018" t="s">
        <v>1410</v>
      </c>
      <c r="E74" s="1015" t="s">
        <v>769</v>
      </c>
    </row>
    <row r="75" spans="1:5" x14ac:dyDescent="0.25">
      <c r="A75" s="947">
        <v>74</v>
      </c>
      <c r="B75" s="947" t="s">
        <v>1401</v>
      </c>
      <c r="C75" s="1018" t="s">
        <v>1430</v>
      </c>
      <c r="D75" s="1018" t="s">
        <v>1410</v>
      </c>
      <c r="E75" s="1015" t="s">
        <v>204</v>
      </c>
    </row>
    <row r="76" spans="1:5" x14ac:dyDescent="0.25">
      <c r="A76" s="947">
        <v>75</v>
      </c>
      <c r="B76" s="947" t="s">
        <v>1401</v>
      </c>
      <c r="C76" s="1018" t="s">
        <v>1431</v>
      </c>
      <c r="D76" s="1018" t="s">
        <v>1429</v>
      </c>
      <c r="E76" s="1015" t="s">
        <v>1178</v>
      </c>
    </row>
    <row r="77" spans="1:5" x14ac:dyDescent="0.25">
      <c r="A77" s="947">
        <v>76</v>
      </c>
      <c r="B77" s="947" t="s">
        <v>870</v>
      </c>
      <c r="C77" s="1018" t="s">
        <v>1431</v>
      </c>
      <c r="D77" s="1018" t="s">
        <v>1410</v>
      </c>
      <c r="E77" s="1015" t="s">
        <v>1182</v>
      </c>
    </row>
    <row r="78" spans="1:5" x14ac:dyDescent="0.25">
      <c r="A78" s="947">
        <v>77</v>
      </c>
      <c r="B78" s="947" t="s">
        <v>1401</v>
      </c>
      <c r="C78" s="1018" t="s">
        <v>1431</v>
      </c>
      <c r="D78" s="1018" t="s">
        <v>1410</v>
      </c>
      <c r="E78" s="1015" t="s">
        <v>766</v>
      </c>
    </row>
    <row r="79" spans="1:5" x14ac:dyDescent="0.25">
      <c r="A79" s="947">
        <v>78</v>
      </c>
      <c r="B79" s="947" t="s">
        <v>870</v>
      </c>
      <c r="C79" s="1018" t="s">
        <v>1431</v>
      </c>
      <c r="D79" s="1018" t="s">
        <v>1410</v>
      </c>
      <c r="E79" s="1017" t="s">
        <v>1262</v>
      </c>
    </row>
    <row r="80" spans="1:5" ht="30" x14ac:dyDescent="0.25">
      <c r="A80" s="947">
        <v>79</v>
      </c>
      <c r="B80" s="947" t="s">
        <v>870</v>
      </c>
      <c r="C80" s="1018" t="s">
        <v>1431</v>
      </c>
      <c r="D80" s="1018" t="s">
        <v>1410</v>
      </c>
      <c r="E80" s="1017" t="s">
        <v>1263</v>
      </c>
    </row>
    <row r="81" spans="1:5" x14ac:dyDescent="0.25">
      <c r="A81" s="947">
        <v>80</v>
      </c>
      <c r="B81" s="947" t="s">
        <v>870</v>
      </c>
      <c r="C81" s="1018" t="s">
        <v>1431</v>
      </c>
      <c r="D81" s="1018" t="s">
        <v>1410</v>
      </c>
      <c r="E81" s="1017" t="s">
        <v>1185</v>
      </c>
    </row>
    <row r="82" spans="1:5" x14ac:dyDescent="0.25">
      <c r="A82" s="947">
        <v>81</v>
      </c>
      <c r="B82" s="947" t="s">
        <v>870</v>
      </c>
      <c r="C82" s="1018" t="s">
        <v>1431</v>
      </c>
      <c r="D82" s="1018" t="s">
        <v>1410</v>
      </c>
      <c r="E82" s="1017" t="s">
        <v>1186</v>
      </c>
    </row>
    <row r="83" spans="1:5" x14ac:dyDescent="0.25">
      <c r="A83" s="947">
        <v>82</v>
      </c>
      <c r="B83" s="947" t="s">
        <v>870</v>
      </c>
      <c r="C83" s="1018" t="s">
        <v>1431</v>
      </c>
      <c r="D83" s="1018" t="s">
        <v>1410</v>
      </c>
      <c r="E83" s="1017" t="s">
        <v>1187</v>
      </c>
    </row>
    <row r="84" spans="1:5" x14ac:dyDescent="0.25">
      <c r="A84" s="947">
        <v>83</v>
      </c>
      <c r="B84" s="947" t="s">
        <v>870</v>
      </c>
      <c r="C84" s="1018" t="s">
        <v>1431</v>
      </c>
      <c r="D84" s="1018" t="s">
        <v>1410</v>
      </c>
      <c r="E84" s="1017" t="s">
        <v>1188</v>
      </c>
    </row>
    <row r="85" spans="1:5" x14ac:dyDescent="0.25">
      <c r="A85" s="947">
        <v>84</v>
      </c>
      <c r="B85" s="947" t="s">
        <v>870</v>
      </c>
      <c r="C85" s="1018" t="s">
        <v>1431</v>
      </c>
      <c r="D85" s="1018" t="s">
        <v>1410</v>
      </c>
      <c r="E85" s="1017" t="s">
        <v>1189</v>
      </c>
    </row>
    <row r="86" spans="1:5" x14ac:dyDescent="0.25">
      <c r="A86" s="947">
        <v>85</v>
      </c>
      <c r="B86" s="947" t="s">
        <v>870</v>
      </c>
      <c r="C86" s="1018" t="s">
        <v>1431</v>
      </c>
      <c r="D86" s="1018" t="s">
        <v>1410</v>
      </c>
      <c r="E86" s="1017" t="s">
        <v>1428</v>
      </c>
    </row>
    <row r="87" spans="1:5" x14ac:dyDescent="0.25">
      <c r="A87" s="947">
        <v>86</v>
      </c>
      <c r="B87" s="947" t="s">
        <v>870</v>
      </c>
      <c r="C87" s="1018" t="s">
        <v>1431</v>
      </c>
      <c r="D87" s="1018" t="s">
        <v>1410</v>
      </c>
      <c r="E87" s="1017" t="s">
        <v>1631</v>
      </c>
    </row>
    <row r="88" spans="1:5" x14ac:dyDescent="0.25">
      <c r="A88" s="947">
        <v>87</v>
      </c>
      <c r="B88" s="947" t="s">
        <v>1401</v>
      </c>
      <c r="C88" s="1018" t="s">
        <v>1431</v>
      </c>
      <c r="D88" s="1018" t="s">
        <v>1429</v>
      </c>
      <c r="E88" s="1015" t="s">
        <v>765</v>
      </c>
    </row>
    <row r="89" spans="1:5" x14ac:dyDescent="0.25">
      <c r="A89" s="947">
        <v>88</v>
      </c>
      <c r="B89" s="947" t="s">
        <v>1401</v>
      </c>
      <c r="C89" s="1018" t="s">
        <v>1431</v>
      </c>
      <c r="D89" s="1018" t="s">
        <v>1429</v>
      </c>
      <c r="E89" s="1015" t="s">
        <v>1179</v>
      </c>
    </row>
    <row r="90" spans="1:5" x14ac:dyDescent="0.25">
      <c r="A90" s="947">
        <v>89</v>
      </c>
      <c r="B90" s="947" t="s">
        <v>1401</v>
      </c>
      <c r="C90" s="1018" t="s">
        <v>1431</v>
      </c>
      <c r="D90" s="1018" t="s">
        <v>1410</v>
      </c>
      <c r="E90" s="1015" t="s">
        <v>1180</v>
      </c>
    </row>
    <row r="91" spans="1:5" x14ac:dyDescent="0.25">
      <c r="A91" s="947">
        <v>90</v>
      </c>
      <c r="B91" s="947" t="s">
        <v>1401</v>
      </c>
      <c r="C91" s="1018" t="s">
        <v>1431</v>
      </c>
      <c r="D91" s="1018" t="s">
        <v>1410</v>
      </c>
      <c r="E91" s="1015" t="s">
        <v>1367</v>
      </c>
    </row>
    <row r="92" spans="1:5" x14ac:dyDescent="0.25">
      <c r="A92" s="947">
        <v>91</v>
      </c>
      <c r="B92" s="947" t="s">
        <v>1401</v>
      </c>
      <c r="C92" s="1018" t="s">
        <v>1431</v>
      </c>
      <c r="D92" s="1018" t="s">
        <v>1410</v>
      </c>
      <c r="E92" s="1015" t="s">
        <v>1297</v>
      </c>
    </row>
    <row r="93" spans="1:5" x14ac:dyDescent="0.25">
      <c r="A93" s="947">
        <v>92</v>
      </c>
      <c r="B93" s="947" t="s">
        <v>1401</v>
      </c>
      <c r="C93" s="1018" t="s">
        <v>1431</v>
      </c>
      <c r="D93" s="1018" t="s">
        <v>1410</v>
      </c>
      <c r="E93" s="1015" t="s">
        <v>767</v>
      </c>
    </row>
    <row r="94" spans="1:5" x14ac:dyDescent="0.25">
      <c r="A94" s="947">
        <v>93</v>
      </c>
      <c r="B94" s="947" t="s">
        <v>1401</v>
      </c>
      <c r="C94" s="1018" t="s">
        <v>1431</v>
      </c>
      <c r="D94" s="1018" t="s">
        <v>1410</v>
      </c>
      <c r="E94" s="1015" t="s">
        <v>768</v>
      </c>
    </row>
    <row r="95" spans="1:5" x14ac:dyDescent="0.25">
      <c r="A95" s="947">
        <v>94</v>
      </c>
      <c r="B95" s="947" t="s">
        <v>1401</v>
      </c>
      <c r="C95" s="1018" t="s">
        <v>1431</v>
      </c>
      <c r="D95" s="1018" t="s">
        <v>1410</v>
      </c>
      <c r="E95" s="1015" t="s">
        <v>769</v>
      </c>
    </row>
    <row r="96" spans="1:5" x14ac:dyDescent="0.25">
      <c r="A96" s="947">
        <v>95</v>
      </c>
      <c r="B96" s="947" t="s">
        <v>1401</v>
      </c>
      <c r="C96" s="1018" t="s">
        <v>1431</v>
      </c>
      <c r="D96" s="1018" t="s">
        <v>1410</v>
      </c>
      <c r="E96" s="1015" t="s">
        <v>204</v>
      </c>
    </row>
    <row r="97" spans="1:5" x14ac:dyDescent="0.25">
      <c r="A97" s="947">
        <v>96</v>
      </c>
      <c r="B97" s="947" t="s">
        <v>1401</v>
      </c>
      <c r="C97" s="1018" t="s">
        <v>1432</v>
      </c>
      <c r="D97" s="1018" t="s">
        <v>1410</v>
      </c>
      <c r="E97" s="1015" t="s">
        <v>1178</v>
      </c>
    </row>
    <row r="98" spans="1:5" x14ac:dyDescent="0.25">
      <c r="A98" s="947">
        <v>97</v>
      </c>
      <c r="B98" s="947" t="s">
        <v>870</v>
      </c>
      <c r="C98" s="1018" t="s">
        <v>1432</v>
      </c>
      <c r="D98" s="1018" t="s">
        <v>1410</v>
      </c>
      <c r="E98" s="1015" t="s">
        <v>1182</v>
      </c>
    </row>
    <row r="99" spans="1:5" x14ac:dyDescent="0.25">
      <c r="A99" s="947">
        <v>98</v>
      </c>
      <c r="B99" s="947" t="s">
        <v>1401</v>
      </c>
      <c r="C99" s="1018" t="s">
        <v>1432</v>
      </c>
      <c r="D99" s="1018" t="s">
        <v>1410</v>
      </c>
      <c r="E99" s="1015" t="s">
        <v>766</v>
      </c>
    </row>
    <row r="100" spans="1:5" x14ac:dyDescent="0.25">
      <c r="A100" s="947">
        <v>99</v>
      </c>
      <c r="B100" s="947" t="s">
        <v>870</v>
      </c>
      <c r="C100" s="1018" t="s">
        <v>1432</v>
      </c>
      <c r="D100" s="1018" t="s">
        <v>1410</v>
      </c>
      <c r="E100" s="1017" t="s">
        <v>1262</v>
      </c>
    </row>
    <row r="101" spans="1:5" ht="30" x14ac:dyDescent="0.25">
      <c r="A101" s="947">
        <v>100</v>
      </c>
      <c r="B101" s="947" t="s">
        <v>870</v>
      </c>
      <c r="C101" s="1018" t="s">
        <v>1432</v>
      </c>
      <c r="D101" s="1018" t="s">
        <v>1410</v>
      </c>
      <c r="E101" s="1017" t="s">
        <v>1263</v>
      </c>
    </row>
    <row r="102" spans="1:5" x14ac:dyDescent="0.25">
      <c r="A102" s="947">
        <v>101</v>
      </c>
      <c r="B102" s="947" t="s">
        <v>870</v>
      </c>
      <c r="C102" s="1018" t="s">
        <v>1432</v>
      </c>
      <c r="D102" s="1018" t="s">
        <v>1410</v>
      </c>
      <c r="E102" s="1017" t="s">
        <v>1185</v>
      </c>
    </row>
    <row r="103" spans="1:5" x14ac:dyDescent="0.25">
      <c r="A103" s="947">
        <v>102</v>
      </c>
      <c r="B103" s="947" t="s">
        <v>870</v>
      </c>
      <c r="C103" s="1018" t="s">
        <v>1432</v>
      </c>
      <c r="D103" s="1018" t="s">
        <v>1410</v>
      </c>
      <c r="E103" s="1017" t="s">
        <v>1186</v>
      </c>
    </row>
    <row r="104" spans="1:5" x14ac:dyDescent="0.25">
      <c r="A104" s="947">
        <v>103</v>
      </c>
      <c r="B104" s="947" t="s">
        <v>870</v>
      </c>
      <c r="C104" s="1018" t="s">
        <v>1432</v>
      </c>
      <c r="D104" s="1018" t="s">
        <v>1410</v>
      </c>
      <c r="E104" s="1017" t="s">
        <v>1187</v>
      </c>
    </row>
    <row r="105" spans="1:5" x14ac:dyDescent="0.25">
      <c r="A105" s="947">
        <v>104</v>
      </c>
      <c r="B105" s="947" t="s">
        <v>870</v>
      </c>
      <c r="C105" s="1018" t="s">
        <v>1432</v>
      </c>
      <c r="D105" s="1018" t="s">
        <v>1410</v>
      </c>
      <c r="E105" s="1017" t="s">
        <v>1188</v>
      </c>
    </row>
    <row r="106" spans="1:5" x14ac:dyDescent="0.25">
      <c r="A106" s="947">
        <v>105</v>
      </c>
      <c r="B106" s="947" t="s">
        <v>870</v>
      </c>
      <c r="C106" s="1018" t="s">
        <v>1432</v>
      </c>
      <c r="D106" s="1018" t="s">
        <v>1410</v>
      </c>
      <c r="E106" s="1017" t="s">
        <v>1189</v>
      </c>
    </row>
    <row r="107" spans="1:5" x14ac:dyDescent="0.25">
      <c r="A107" s="947">
        <v>106</v>
      </c>
      <c r="B107" s="947" t="s">
        <v>870</v>
      </c>
      <c r="C107" s="1018" t="s">
        <v>1432</v>
      </c>
      <c r="D107" s="1018" t="s">
        <v>1410</v>
      </c>
      <c r="E107" s="1017" t="s">
        <v>1428</v>
      </c>
    </row>
    <row r="108" spans="1:5" x14ac:dyDescent="0.25">
      <c r="A108" s="947">
        <v>107</v>
      </c>
      <c r="B108" s="947" t="s">
        <v>870</v>
      </c>
      <c r="C108" s="1018" t="s">
        <v>1432</v>
      </c>
      <c r="D108" s="1018" t="s">
        <v>1410</v>
      </c>
      <c r="E108" s="1017" t="s">
        <v>1631</v>
      </c>
    </row>
    <row r="109" spans="1:5" x14ac:dyDescent="0.25">
      <c r="A109" s="947">
        <v>108</v>
      </c>
      <c r="B109" s="947" t="s">
        <v>1401</v>
      </c>
      <c r="C109" s="1018" t="s">
        <v>1432</v>
      </c>
      <c r="D109" s="1018" t="s">
        <v>1429</v>
      </c>
      <c r="E109" s="1015" t="s">
        <v>765</v>
      </c>
    </row>
    <row r="110" spans="1:5" x14ac:dyDescent="0.25">
      <c r="A110" s="947">
        <v>109</v>
      </c>
      <c r="B110" s="947" t="s">
        <v>1401</v>
      </c>
      <c r="C110" s="1018" t="s">
        <v>1432</v>
      </c>
      <c r="D110" s="1018" t="s">
        <v>1429</v>
      </c>
      <c r="E110" s="1015" t="s">
        <v>1179</v>
      </c>
    </row>
    <row r="111" spans="1:5" x14ac:dyDescent="0.25">
      <c r="A111" s="947">
        <v>110</v>
      </c>
      <c r="B111" s="947" t="s">
        <v>1401</v>
      </c>
      <c r="C111" s="1018" t="s">
        <v>1432</v>
      </c>
      <c r="D111" s="1018" t="s">
        <v>1410</v>
      </c>
      <c r="E111" s="1015" t="s">
        <v>1180</v>
      </c>
    </row>
    <row r="112" spans="1:5" x14ac:dyDescent="0.25">
      <c r="A112" s="947">
        <v>111</v>
      </c>
      <c r="B112" s="947" t="s">
        <v>1401</v>
      </c>
      <c r="C112" s="1018" t="s">
        <v>1432</v>
      </c>
      <c r="D112" s="1018" t="s">
        <v>1410</v>
      </c>
      <c r="E112" s="1015" t="s">
        <v>1367</v>
      </c>
    </row>
    <row r="113" spans="1:5" x14ac:dyDescent="0.25">
      <c r="A113" s="947">
        <v>112</v>
      </c>
      <c r="B113" s="947" t="s">
        <v>1401</v>
      </c>
      <c r="C113" s="1018" t="s">
        <v>1432</v>
      </c>
      <c r="D113" s="1018" t="s">
        <v>1410</v>
      </c>
      <c r="E113" s="1015" t="s">
        <v>1297</v>
      </c>
    </row>
    <row r="114" spans="1:5" x14ac:dyDescent="0.25">
      <c r="A114" s="947">
        <v>113</v>
      </c>
      <c r="B114" s="947" t="s">
        <v>1401</v>
      </c>
      <c r="C114" s="1018" t="s">
        <v>1432</v>
      </c>
      <c r="D114" s="1018" t="s">
        <v>1410</v>
      </c>
      <c r="E114" s="1015" t="s">
        <v>767</v>
      </c>
    </row>
    <row r="115" spans="1:5" x14ac:dyDescent="0.25">
      <c r="A115" s="947">
        <v>114</v>
      </c>
      <c r="B115" s="947" t="s">
        <v>1401</v>
      </c>
      <c r="C115" s="1018" t="s">
        <v>1432</v>
      </c>
      <c r="D115" s="1018" t="s">
        <v>1410</v>
      </c>
      <c r="E115" s="1015" t="s">
        <v>768</v>
      </c>
    </row>
    <row r="116" spans="1:5" x14ac:dyDescent="0.25">
      <c r="A116" s="947">
        <v>115</v>
      </c>
      <c r="B116" s="947" t="s">
        <v>1401</v>
      </c>
      <c r="C116" s="1018" t="s">
        <v>1432</v>
      </c>
      <c r="D116" s="1018" t="s">
        <v>1410</v>
      </c>
      <c r="E116" s="1015" t="s">
        <v>769</v>
      </c>
    </row>
    <row r="117" spans="1:5" x14ac:dyDescent="0.25">
      <c r="A117" s="947">
        <v>116</v>
      </c>
      <c r="B117" s="947" t="s">
        <v>1401</v>
      </c>
      <c r="C117" s="1018" t="s">
        <v>1432</v>
      </c>
      <c r="D117" s="1018" t="s">
        <v>1410</v>
      </c>
      <c r="E117" s="1015" t="s">
        <v>204</v>
      </c>
    </row>
    <row r="118" spans="1:5" x14ac:dyDescent="0.25">
      <c r="A118" s="947">
        <v>117</v>
      </c>
      <c r="B118" s="947" t="s">
        <v>1401</v>
      </c>
      <c r="C118" s="1018" t="s">
        <v>1433</v>
      </c>
      <c r="D118" s="1018" t="s">
        <v>1410</v>
      </c>
      <c r="E118" s="1015" t="s">
        <v>1178</v>
      </c>
    </row>
    <row r="119" spans="1:5" x14ac:dyDescent="0.25">
      <c r="A119" s="947">
        <v>118</v>
      </c>
      <c r="B119" s="947" t="s">
        <v>870</v>
      </c>
      <c r="C119" s="1018" t="s">
        <v>1433</v>
      </c>
      <c r="D119" s="1018" t="s">
        <v>1410</v>
      </c>
      <c r="E119" s="1015" t="s">
        <v>1182</v>
      </c>
    </row>
    <row r="120" spans="1:5" x14ac:dyDescent="0.25">
      <c r="A120" s="947">
        <v>119</v>
      </c>
      <c r="B120" s="947" t="s">
        <v>1401</v>
      </c>
      <c r="C120" s="1018" t="s">
        <v>1433</v>
      </c>
      <c r="D120" s="1018" t="s">
        <v>1410</v>
      </c>
      <c r="E120" s="1015" t="s">
        <v>766</v>
      </c>
    </row>
    <row r="121" spans="1:5" x14ac:dyDescent="0.25">
      <c r="A121" s="947">
        <v>120</v>
      </c>
      <c r="B121" s="947" t="s">
        <v>870</v>
      </c>
      <c r="C121" s="1018" t="s">
        <v>1433</v>
      </c>
      <c r="D121" s="1018" t="s">
        <v>1410</v>
      </c>
      <c r="E121" s="1017" t="s">
        <v>1262</v>
      </c>
    </row>
    <row r="122" spans="1:5" ht="30" x14ac:dyDescent="0.25">
      <c r="A122" s="947">
        <v>121</v>
      </c>
      <c r="B122" s="947" t="s">
        <v>870</v>
      </c>
      <c r="C122" s="1018" t="s">
        <v>1433</v>
      </c>
      <c r="D122" s="1018" t="s">
        <v>1410</v>
      </c>
      <c r="E122" s="1017" t="s">
        <v>1263</v>
      </c>
    </row>
    <row r="123" spans="1:5" x14ac:dyDescent="0.25">
      <c r="A123" s="947">
        <v>122</v>
      </c>
      <c r="B123" s="947" t="s">
        <v>870</v>
      </c>
      <c r="C123" s="1018" t="s">
        <v>1433</v>
      </c>
      <c r="D123" s="1018" t="s">
        <v>1410</v>
      </c>
      <c r="E123" s="1017" t="s">
        <v>1185</v>
      </c>
    </row>
    <row r="124" spans="1:5" x14ac:dyDescent="0.25">
      <c r="A124" s="947">
        <v>123</v>
      </c>
      <c r="B124" s="947" t="s">
        <v>870</v>
      </c>
      <c r="C124" s="1018" t="s">
        <v>1433</v>
      </c>
      <c r="D124" s="1018" t="s">
        <v>1410</v>
      </c>
      <c r="E124" s="1017" t="s">
        <v>1186</v>
      </c>
    </row>
    <row r="125" spans="1:5" x14ac:dyDescent="0.25">
      <c r="A125" s="947">
        <v>124</v>
      </c>
      <c r="B125" s="947" t="s">
        <v>870</v>
      </c>
      <c r="C125" s="1018" t="s">
        <v>1433</v>
      </c>
      <c r="D125" s="1018" t="s">
        <v>1410</v>
      </c>
      <c r="E125" s="1017" t="s">
        <v>1187</v>
      </c>
    </row>
    <row r="126" spans="1:5" x14ac:dyDescent="0.25">
      <c r="A126" s="947">
        <v>125</v>
      </c>
      <c r="B126" s="947" t="s">
        <v>870</v>
      </c>
      <c r="C126" s="1018" t="s">
        <v>1433</v>
      </c>
      <c r="D126" s="1018" t="s">
        <v>1410</v>
      </c>
      <c r="E126" s="1017" t="s">
        <v>1188</v>
      </c>
    </row>
    <row r="127" spans="1:5" x14ac:dyDescent="0.25">
      <c r="A127" s="947">
        <v>126</v>
      </c>
      <c r="B127" s="947" t="s">
        <v>870</v>
      </c>
      <c r="C127" s="1018" t="s">
        <v>1433</v>
      </c>
      <c r="D127" s="1018" t="s">
        <v>1410</v>
      </c>
      <c r="E127" s="1017" t="s">
        <v>1189</v>
      </c>
    </row>
    <row r="128" spans="1:5" x14ac:dyDescent="0.25">
      <c r="A128" s="947">
        <v>127</v>
      </c>
      <c r="B128" s="947" t="s">
        <v>870</v>
      </c>
      <c r="C128" s="1018" t="s">
        <v>1433</v>
      </c>
      <c r="D128" s="1018" t="s">
        <v>1410</v>
      </c>
      <c r="E128" s="1017" t="s">
        <v>1428</v>
      </c>
    </row>
    <row r="129" spans="1:5" x14ac:dyDescent="0.25">
      <c r="A129" s="947">
        <v>128</v>
      </c>
      <c r="B129" s="947" t="s">
        <v>870</v>
      </c>
      <c r="C129" s="1018" t="s">
        <v>1433</v>
      </c>
      <c r="D129" s="1018" t="s">
        <v>1410</v>
      </c>
      <c r="E129" s="1017" t="s">
        <v>1631</v>
      </c>
    </row>
    <row r="130" spans="1:5" x14ac:dyDescent="0.25">
      <c r="A130" s="947">
        <v>129</v>
      </c>
      <c r="B130" s="947" t="s">
        <v>1401</v>
      </c>
      <c r="C130" s="1018" t="s">
        <v>1433</v>
      </c>
      <c r="D130" s="1018" t="s">
        <v>1429</v>
      </c>
      <c r="E130" s="1015" t="s">
        <v>765</v>
      </c>
    </row>
    <row r="131" spans="1:5" x14ac:dyDescent="0.25">
      <c r="A131" s="947">
        <v>130</v>
      </c>
      <c r="B131" s="947" t="s">
        <v>1401</v>
      </c>
      <c r="C131" s="1018" t="s">
        <v>1433</v>
      </c>
      <c r="D131" s="1018" t="s">
        <v>1429</v>
      </c>
      <c r="E131" s="1015" t="s">
        <v>1179</v>
      </c>
    </row>
    <row r="132" spans="1:5" x14ac:dyDescent="0.25">
      <c r="A132" s="947">
        <v>131</v>
      </c>
      <c r="B132" s="947" t="s">
        <v>1401</v>
      </c>
      <c r="C132" s="1018" t="s">
        <v>1433</v>
      </c>
      <c r="D132" s="1018" t="s">
        <v>1410</v>
      </c>
      <c r="E132" s="1015" t="s">
        <v>1180</v>
      </c>
    </row>
    <row r="133" spans="1:5" x14ac:dyDescent="0.25">
      <c r="A133" s="947">
        <v>132</v>
      </c>
      <c r="B133" s="947" t="s">
        <v>1401</v>
      </c>
      <c r="C133" s="1018" t="s">
        <v>1433</v>
      </c>
      <c r="D133" s="1018" t="s">
        <v>1410</v>
      </c>
      <c r="E133" s="1015" t="s">
        <v>1367</v>
      </c>
    </row>
    <row r="134" spans="1:5" x14ac:dyDescent="0.25">
      <c r="A134" s="947">
        <v>133</v>
      </c>
      <c r="B134" s="947" t="s">
        <v>1401</v>
      </c>
      <c r="C134" s="1018" t="s">
        <v>1433</v>
      </c>
      <c r="D134" s="1018" t="s">
        <v>1410</v>
      </c>
      <c r="E134" s="1015" t="s">
        <v>1297</v>
      </c>
    </row>
    <row r="135" spans="1:5" x14ac:dyDescent="0.25">
      <c r="A135" s="947">
        <v>134</v>
      </c>
      <c r="B135" s="947" t="s">
        <v>1401</v>
      </c>
      <c r="C135" s="1018" t="s">
        <v>1433</v>
      </c>
      <c r="D135" s="1018" t="s">
        <v>1410</v>
      </c>
      <c r="E135" s="1015" t="s">
        <v>767</v>
      </c>
    </row>
    <row r="136" spans="1:5" x14ac:dyDescent="0.25">
      <c r="A136" s="947">
        <v>135</v>
      </c>
      <c r="B136" s="947" t="s">
        <v>1401</v>
      </c>
      <c r="C136" s="1018" t="s">
        <v>1433</v>
      </c>
      <c r="D136" s="1018" t="s">
        <v>1410</v>
      </c>
      <c r="E136" s="1015" t="s">
        <v>768</v>
      </c>
    </row>
    <row r="137" spans="1:5" x14ac:dyDescent="0.25">
      <c r="A137" s="947">
        <v>136</v>
      </c>
      <c r="B137" s="947" t="s">
        <v>1401</v>
      </c>
      <c r="C137" s="1018" t="s">
        <v>1433</v>
      </c>
      <c r="D137" s="1018" t="s">
        <v>1410</v>
      </c>
      <c r="E137" s="1015" t="s">
        <v>769</v>
      </c>
    </row>
    <row r="138" spans="1:5" x14ac:dyDescent="0.25">
      <c r="A138" s="947">
        <v>137</v>
      </c>
      <c r="B138" s="947" t="s">
        <v>1401</v>
      </c>
      <c r="C138" s="1018" t="s">
        <v>1433</v>
      </c>
      <c r="D138" s="1018" t="s">
        <v>1410</v>
      </c>
      <c r="E138" s="1015" t="s">
        <v>204</v>
      </c>
    </row>
    <row r="139" spans="1:5" x14ac:dyDescent="0.25">
      <c r="A139" s="947">
        <v>138</v>
      </c>
      <c r="B139" s="947" t="s">
        <v>1401</v>
      </c>
      <c r="C139" s="1018" t="s">
        <v>1434</v>
      </c>
      <c r="D139" s="1018" t="s">
        <v>1410</v>
      </c>
      <c r="E139" s="1015" t="s">
        <v>1178</v>
      </c>
    </row>
    <row r="140" spans="1:5" x14ac:dyDescent="0.25">
      <c r="A140" s="947">
        <v>139</v>
      </c>
      <c r="B140" s="947" t="s">
        <v>870</v>
      </c>
      <c r="C140" s="1018" t="s">
        <v>1434</v>
      </c>
      <c r="D140" s="1018" t="s">
        <v>1410</v>
      </c>
      <c r="E140" s="1015" t="s">
        <v>1182</v>
      </c>
    </row>
    <row r="141" spans="1:5" x14ac:dyDescent="0.25">
      <c r="A141" s="947">
        <v>140</v>
      </c>
      <c r="B141" s="947" t="s">
        <v>1401</v>
      </c>
      <c r="C141" s="1018" t="s">
        <v>1434</v>
      </c>
      <c r="D141" s="1018" t="s">
        <v>1410</v>
      </c>
      <c r="E141" s="1015" t="s">
        <v>766</v>
      </c>
    </row>
    <row r="142" spans="1:5" x14ac:dyDescent="0.25">
      <c r="A142" s="947">
        <v>141</v>
      </c>
      <c r="B142" s="947" t="s">
        <v>870</v>
      </c>
      <c r="C142" s="1018" t="s">
        <v>1434</v>
      </c>
      <c r="D142" s="1018" t="s">
        <v>1410</v>
      </c>
      <c r="E142" s="1017" t="s">
        <v>1262</v>
      </c>
    </row>
    <row r="143" spans="1:5" ht="30" x14ac:dyDescent="0.25">
      <c r="A143" s="947">
        <v>142</v>
      </c>
      <c r="B143" s="947" t="s">
        <v>870</v>
      </c>
      <c r="C143" s="1018" t="s">
        <v>1434</v>
      </c>
      <c r="D143" s="1018" t="s">
        <v>1410</v>
      </c>
      <c r="E143" s="1017" t="s">
        <v>1263</v>
      </c>
    </row>
    <row r="144" spans="1:5" x14ac:dyDescent="0.25">
      <c r="A144" s="947">
        <v>143</v>
      </c>
      <c r="B144" s="947" t="s">
        <v>870</v>
      </c>
      <c r="C144" s="1018" t="s">
        <v>1434</v>
      </c>
      <c r="D144" s="1018" t="s">
        <v>1410</v>
      </c>
      <c r="E144" s="1017" t="s">
        <v>1185</v>
      </c>
    </row>
    <row r="145" spans="1:5" x14ac:dyDescent="0.25">
      <c r="A145" s="947">
        <v>144</v>
      </c>
      <c r="B145" s="947" t="s">
        <v>870</v>
      </c>
      <c r="C145" s="1018" t="s">
        <v>1434</v>
      </c>
      <c r="D145" s="1018" t="s">
        <v>1410</v>
      </c>
      <c r="E145" s="1017" t="s">
        <v>1186</v>
      </c>
    </row>
    <row r="146" spans="1:5" x14ac:dyDescent="0.25">
      <c r="A146" s="947">
        <v>145</v>
      </c>
      <c r="B146" s="947" t="s">
        <v>870</v>
      </c>
      <c r="C146" s="1018" t="s">
        <v>1434</v>
      </c>
      <c r="D146" s="1018" t="s">
        <v>1410</v>
      </c>
      <c r="E146" s="1017" t="s">
        <v>1187</v>
      </c>
    </row>
    <row r="147" spans="1:5" x14ac:dyDescent="0.25">
      <c r="A147" s="947">
        <v>146</v>
      </c>
      <c r="B147" s="947" t="s">
        <v>870</v>
      </c>
      <c r="C147" s="1018" t="s">
        <v>1434</v>
      </c>
      <c r="D147" s="1018" t="s">
        <v>1410</v>
      </c>
      <c r="E147" s="1017" t="s">
        <v>1188</v>
      </c>
    </row>
    <row r="148" spans="1:5" x14ac:dyDescent="0.25">
      <c r="A148" s="947">
        <v>147</v>
      </c>
      <c r="B148" s="947" t="s">
        <v>870</v>
      </c>
      <c r="C148" s="1018" t="s">
        <v>1434</v>
      </c>
      <c r="D148" s="1018" t="s">
        <v>1410</v>
      </c>
      <c r="E148" s="1017" t="s">
        <v>1189</v>
      </c>
    </row>
    <row r="149" spans="1:5" x14ac:dyDescent="0.25">
      <c r="A149" s="947">
        <v>148</v>
      </c>
      <c r="B149" s="947" t="s">
        <v>870</v>
      </c>
      <c r="C149" s="1018" t="s">
        <v>1434</v>
      </c>
      <c r="D149" s="1018" t="s">
        <v>1410</v>
      </c>
      <c r="E149" s="1017" t="s">
        <v>1428</v>
      </c>
    </row>
    <row r="150" spans="1:5" x14ac:dyDescent="0.25">
      <c r="A150" s="947">
        <v>149</v>
      </c>
      <c r="B150" s="947" t="s">
        <v>870</v>
      </c>
      <c r="C150" s="1018" t="s">
        <v>1434</v>
      </c>
      <c r="D150" s="1018" t="s">
        <v>1410</v>
      </c>
      <c r="E150" s="1017" t="s">
        <v>1631</v>
      </c>
    </row>
    <row r="151" spans="1:5" x14ac:dyDescent="0.25">
      <c r="A151" s="947">
        <v>150</v>
      </c>
      <c r="B151" s="947" t="s">
        <v>1401</v>
      </c>
      <c r="C151" s="1018" t="s">
        <v>1434</v>
      </c>
      <c r="D151" s="1018" t="s">
        <v>1429</v>
      </c>
      <c r="E151" s="1015" t="s">
        <v>765</v>
      </c>
    </row>
    <row r="152" spans="1:5" x14ac:dyDescent="0.25">
      <c r="A152" s="947">
        <v>151</v>
      </c>
      <c r="B152" s="947" t="s">
        <v>1401</v>
      </c>
      <c r="C152" s="1018" t="s">
        <v>1434</v>
      </c>
      <c r="D152" s="1018" t="s">
        <v>1429</v>
      </c>
      <c r="E152" s="1015" t="s">
        <v>1179</v>
      </c>
    </row>
    <row r="153" spans="1:5" x14ac:dyDescent="0.25">
      <c r="A153" s="947">
        <v>152</v>
      </c>
      <c r="B153" s="947" t="s">
        <v>1401</v>
      </c>
      <c r="C153" s="1018" t="s">
        <v>1434</v>
      </c>
      <c r="D153" s="1018" t="s">
        <v>1410</v>
      </c>
      <c r="E153" s="1015" t="s">
        <v>1180</v>
      </c>
    </row>
    <row r="154" spans="1:5" x14ac:dyDescent="0.25">
      <c r="A154" s="947">
        <v>153</v>
      </c>
      <c r="B154" s="947" t="s">
        <v>1401</v>
      </c>
      <c r="C154" s="1018" t="s">
        <v>1434</v>
      </c>
      <c r="D154" s="1018" t="s">
        <v>1410</v>
      </c>
      <c r="E154" s="1015" t="s">
        <v>1367</v>
      </c>
    </row>
    <row r="155" spans="1:5" x14ac:dyDescent="0.25">
      <c r="A155" s="947">
        <v>154</v>
      </c>
      <c r="B155" s="947" t="s">
        <v>1401</v>
      </c>
      <c r="C155" s="1018" t="s">
        <v>1434</v>
      </c>
      <c r="D155" s="1018" t="s">
        <v>1410</v>
      </c>
      <c r="E155" s="1015" t="s">
        <v>1297</v>
      </c>
    </row>
    <row r="156" spans="1:5" x14ac:dyDescent="0.25">
      <c r="A156" s="947">
        <v>155</v>
      </c>
      <c r="B156" s="947" t="s">
        <v>1401</v>
      </c>
      <c r="C156" s="1018" t="s">
        <v>1434</v>
      </c>
      <c r="D156" s="1018" t="s">
        <v>1410</v>
      </c>
      <c r="E156" s="1015" t="s">
        <v>767</v>
      </c>
    </row>
    <row r="157" spans="1:5" x14ac:dyDescent="0.25">
      <c r="A157" s="947">
        <v>156</v>
      </c>
      <c r="B157" s="947" t="s">
        <v>1401</v>
      </c>
      <c r="C157" s="1018" t="s">
        <v>1434</v>
      </c>
      <c r="D157" s="1018" t="s">
        <v>1410</v>
      </c>
      <c r="E157" s="1015" t="s">
        <v>768</v>
      </c>
    </row>
    <row r="158" spans="1:5" x14ac:dyDescent="0.25">
      <c r="A158" s="947">
        <v>157</v>
      </c>
      <c r="B158" s="947" t="s">
        <v>1401</v>
      </c>
      <c r="C158" s="1018" t="s">
        <v>1434</v>
      </c>
      <c r="D158" s="1018" t="s">
        <v>1410</v>
      </c>
      <c r="E158" s="1015" t="s">
        <v>769</v>
      </c>
    </row>
    <row r="159" spans="1:5" x14ac:dyDescent="0.25">
      <c r="A159" s="947">
        <v>158</v>
      </c>
      <c r="B159" s="947" t="s">
        <v>1401</v>
      </c>
      <c r="C159" s="1018" t="s">
        <v>1434</v>
      </c>
      <c r="D159" s="1018" t="s">
        <v>1410</v>
      </c>
      <c r="E159" s="1015" t="s">
        <v>204</v>
      </c>
    </row>
    <row r="160" spans="1:5" x14ac:dyDescent="0.25">
      <c r="A160" s="947">
        <v>159</v>
      </c>
      <c r="B160" s="947" t="s">
        <v>1401</v>
      </c>
      <c r="C160" s="1018" t="s">
        <v>1435</v>
      </c>
      <c r="D160" s="1018" t="s">
        <v>1410</v>
      </c>
      <c r="E160" s="1015" t="s">
        <v>1178</v>
      </c>
    </row>
    <row r="161" spans="1:5" x14ac:dyDescent="0.25">
      <c r="A161" s="947">
        <v>160</v>
      </c>
      <c r="B161" s="947" t="s">
        <v>870</v>
      </c>
      <c r="C161" s="1018" t="s">
        <v>1435</v>
      </c>
      <c r="D161" s="1018" t="s">
        <v>1410</v>
      </c>
      <c r="E161" s="1015" t="s">
        <v>1182</v>
      </c>
    </row>
    <row r="162" spans="1:5" x14ac:dyDescent="0.25">
      <c r="A162" s="947">
        <v>161</v>
      </c>
      <c r="B162" s="947" t="s">
        <v>1401</v>
      </c>
      <c r="C162" s="1018" t="s">
        <v>1435</v>
      </c>
      <c r="D162" s="1018" t="s">
        <v>1410</v>
      </c>
      <c r="E162" s="1015" t="s">
        <v>766</v>
      </c>
    </row>
    <row r="163" spans="1:5" x14ac:dyDescent="0.25">
      <c r="A163" s="947">
        <v>162</v>
      </c>
      <c r="B163" s="947" t="s">
        <v>870</v>
      </c>
      <c r="C163" s="1018" t="s">
        <v>1435</v>
      </c>
      <c r="D163" s="1018" t="s">
        <v>1410</v>
      </c>
      <c r="E163" s="1017" t="s">
        <v>1262</v>
      </c>
    </row>
    <row r="164" spans="1:5" ht="30" x14ac:dyDescent="0.25">
      <c r="A164" s="947">
        <v>163</v>
      </c>
      <c r="B164" s="947" t="s">
        <v>870</v>
      </c>
      <c r="C164" s="1018" t="s">
        <v>1435</v>
      </c>
      <c r="D164" s="1018" t="s">
        <v>1410</v>
      </c>
      <c r="E164" s="1017" t="s">
        <v>1263</v>
      </c>
    </row>
    <row r="165" spans="1:5" x14ac:dyDescent="0.25">
      <c r="A165" s="947">
        <v>164</v>
      </c>
      <c r="B165" s="947" t="s">
        <v>870</v>
      </c>
      <c r="C165" s="1018" t="s">
        <v>1435</v>
      </c>
      <c r="D165" s="1018" t="s">
        <v>1410</v>
      </c>
      <c r="E165" s="1017" t="s">
        <v>1185</v>
      </c>
    </row>
    <row r="166" spans="1:5" x14ac:dyDescent="0.25">
      <c r="A166" s="947">
        <v>165</v>
      </c>
      <c r="B166" s="947" t="s">
        <v>870</v>
      </c>
      <c r="C166" s="1018" t="s">
        <v>1435</v>
      </c>
      <c r="D166" s="1018" t="s">
        <v>1410</v>
      </c>
      <c r="E166" s="1017" t="s">
        <v>1186</v>
      </c>
    </row>
    <row r="167" spans="1:5" x14ac:dyDescent="0.25">
      <c r="A167" s="947">
        <v>166</v>
      </c>
      <c r="B167" s="947" t="s">
        <v>870</v>
      </c>
      <c r="C167" s="1018" t="s">
        <v>1435</v>
      </c>
      <c r="D167" s="1018" t="s">
        <v>1410</v>
      </c>
      <c r="E167" s="1017" t="s">
        <v>1187</v>
      </c>
    </row>
    <row r="168" spans="1:5" x14ac:dyDescent="0.25">
      <c r="A168" s="947">
        <v>167</v>
      </c>
      <c r="B168" s="947" t="s">
        <v>870</v>
      </c>
      <c r="C168" s="1018" t="s">
        <v>1435</v>
      </c>
      <c r="D168" s="1018" t="s">
        <v>1410</v>
      </c>
      <c r="E168" s="1017" t="s">
        <v>1188</v>
      </c>
    </row>
    <row r="169" spans="1:5" x14ac:dyDescent="0.25">
      <c r="A169" s="947">
        <v>168</v>
      </c>
      <c r="B169" s="947" t="s">
        <v>870</v>
      </c>
      <c r="C169" s="1018" t="s">
        <v>1435</v>
      </c>
      <c r="D169" s="1018" t="s">
        <v>1410</v>
      </c>
      <c r="E169" s="1017" t="s">
        <v>1189</v>
      </c>
    </row>
    <row r="170" spans="1:5" x14ac:dyDescent="0.25">
      <c r="A170" s="947">
        <v>169</v>
      </c>
      <c r="B170" s="947" t="s">
        <v>870</v>
      </c>
      <c r="C170" s="1018" t="s">
        <v>1435</v>
      </c>
      <c r="D170" s="1018" t="s">
        <v>1410</v>
      </c>
      <c r="E170" s="1017" t="s">
        <v>1428</v>
      </c>
    </row>
    <row r="171" spans="1:5" x14ac:dyDescent="0.25">
      <c r="A171" s="947">
        <v>170</v>
      </c>
      <c r="B171" s="947" t="s">
        <v>870</v>
      </c>
      <c r="C171" s="1018" t="s">
        <v>1435</v>
      </c>
      <c r="D171" s="1018" t="s">
        <v>1410</v>
      </c>
      <c r="E171" s="1017" t="s">
        <v>1631</v>
      </c>
    </row>
    <row r="172" spans="1:5" x14ac:dyDescent="0.25">
      <c r="A172" s="947">
        <v>171</v>
      </c>
      <c r="B172" s="947" t="s">
        <v>1401</v>
      </c>
      <c r="C172" s="1018" t="s">
        <v>1435</v>
      </c>
      <c r="D172" s="1018" t="s">
        <v>1429</v>
      </c>
      <c r="E172" s="1015" t="s">
        <v>765</v>
      </c>
    </row>
    <row r="173" spans="1:5" x14ac:dyDescent="0.25">
      <c r="A173" s="947">
        <v>172</v>
      </c>
      <c r="B173" s="947" t="s">
        <v>1401</v>
      </c>
      <c r="C173" s="1018" t="s">
        <v>1435</v>
      </c>
      <c r="D173" s="1018" t="s">
        <v>1429</v>
      </c>
      <c r="E173" s="1015" t="s">
        <v>1179</v>
      </c>
    </row>
    <row r="174" spans="1:5" x14ac:dyDescent="0.25">
      <c r="A174" s="947">
        <v>173</v>
      </c>
      <c r="B174" s="947" t="s">
        <v>1401</v>
      </c>
      <c r="C174" s="1018" t="s">
        <v>1435</v>
      </c>
      <c r="D174" s="1018" t="s">
        <v>1410</v>
      </c>
      <c r="E174" s="1015" t="s">
        <v>1180</v>
      </c>
    </row>
    <row r="175" spans="1:5" x14ac:dyDescent="0.25">
      <c r="A175" s="947">
        <v>174</v>
      </c>
      <c r="B175" s="947" t="s">
        <v>1401</v>
      </c>
      <c r="C175" s="1018" t="s">
        <v>1435</v>
      </c>
      <c r="D175" s="1018" t="s">
        <v>1410</v>
      </c>
      <c r="E175" s="1015" t="s">
        <v>1367</v>
      </c>
    </row>
    <row r="176" spans="1:5" x14ac:dyDescent="0.25">
      <c r="A176" s="947">
        <v>175</v>
      </c>
      <c r="B176" s="947" t="s">
        <v>1401</v>
      </c>
      <c r="C176" s="1018" t="s">
        <v>1435</v>
      </c>
      <c r="D176" s="1018" t="s">
        <v>1410</v>
      </c>
      <c r="E176" s="1015" t="s">
        <v>1297</v>
      </c>
    </row>
    <row r="177" spans="1:5" x14ac:dyDescent="0.25">
      <c r="A177" s="947">
        <v>176</v>
      </c>
      <c r="B177" s="947" t="s">
        <v>1401</v>
      </c>
      <c r="C177" s="1018" t="s">
        <v>1435</v>
      </c>
      <c r="D177" s="1018" t="s">
        <v>1410</v>
      </c>
      <c r="E177" s="1015" t="s">
        <v>767</v>
      </c>
    </row>
    <row r="178" spans="1:5" x14ac:dyDescent="0.25">
      <c r="A178" s="947">
        <v>177</v>
      </c>
      <c r="B178" s="947" t="s">
        <v>1401</v>
      </c>
      <c r="C178" s="1018" t="s">
        <v>1435</v>
      </c>
      <c r="D178" s="1018" t="s">
        <v>1410</v>
      </c>
      <c r="E178" s="1015" t="s">
        <v>768</v>
      </c>
    </row>
    <row r="179" spans="1:5" x14ac:dyDescent="0.25">
      <c r="A179" s="947">
        <v>178</v>
      </c>
      <c r="B179" s="947" t="s">
        <v>1401</v>
      </c>
      <c r="C179" s="1018" t="s">
        <v>1435</v>
      </c>
      <c r="D179" s="1018" t="s">
        <v>1410</v>
      </c>
      <c r="E179" s="1015" t="s">
        <v>769</v>
      </c>
    </row>
    <row r="180" spans="1:5" x14ac:dyDescent="0.25">
      <c r="A180" s="947">
        <v>179</v>
      </c>
      <c r="B180" s="947" t="s">
        <v>1401</v>
      </c>
      <c r="C180" s="1018" t="s">
        <v>1435</v>
      </c>
      <c r="D180" s="1018" t="s">
        <v>1410</v>
      </c>
      <c r="E180" s="1015" t="s">
        <v>204</v>
      </c>
    </row>
    <row r="181" spans="1:5" x14ac:dyDescent="0.25">
      <c r="A181" s="947">
        <v>180</v>
      </c>
      <c r="B181" s="947" t="s">
        <v>1401</v>
      </c>
      <c r="C181" s="1018" t="s">
        <v>1436</v>
      </c>
      <c r="D181" s="1018" t="s">
        <v>1410</v>
      </c>
      <c r="E181" s="1015" t="s">
        <v>1178</v>
      </c>
    </row>
    <row r="182" spans="1:5" x14ac:dyDescent="0.25">
      <c r="A182" s="947">
        <v>181</v>
      </c>
      <c r="B182" s="947" t="s">
        <v>870</v>
      </c>
      <c r="C182" s="1018" t="s">
        <v>1436</v>
      </c>
      <c r="D182" s="1018" t="s">
        <v>1410</v>
      </c>
      <c r="E182" s="1015" t="s">
        <v>1182</v>
      </c>
    </row>
    <row r="183" spans="1:5" x14ac:dyDescent="0.25">
      <c r="A183" s="947">
        <v>182</v>
      </c>
      <c r="B183" s="947" t="s">
        <v>1401</v>
      </c>
      <c r="C183" s="1018" t="s">
        <v>1436</v>
      </c>
      <c r="D183" s="1018" t="s">
        <v>1410</v>
      </c>
      <c r="E183" s="1015" t="s">
        <v>766</v>
      </c>
    </row>
    <row r="184" spans="1:5" x14ac:dyDescent="0.25">
      <c r="A184" s="947">
        <v>183</v>
      </c>
      <c r="B184" s="947" t="s">
        <v>870</v>
      </c>
      <c r="C184" s="1018" t="s">
        <v>1436</v>
      </c>
      <c r="D184" s="1018" t="s">
        <v>1410</v>
      </c>
      <c r="E184" s="1017" t="s">
        <v>1262</v>
      </c>
    </row>
    <row r="185" spans="1:5" ht="30" x14ac:dyDescent="0.25">
      <c r="A185" s="947">
        <v>184</v>
      </c>
      <c r="B185" s="947" t="s">
        <v>870</v>
      </c>
      <c r="C185" s="1018" t="s">
        <v>1436</v>
      </c>
      <c r="D185" s="1018" t="s">
        <v>1410</v>
      </c>
      <c r="E185" s="1017" t="s">
        <v>1263</v>
      </c>
    </row>
    <row r="186" spans="1:5" x14ac:dyDescent="0.25">
      <c r="A186" s="947">
        <v>185</v>
      </c>
      <c r="B186" s="947" t="s">
        <v>870</v>
      </c>
      <c r="C186" s="1018" t="s">
        <v>1436</v>
      </c>
      <c r="D186" s="1018" t="s">
        <v>1410</v>
      </c>
      <c r="E186" s="1017" t="s">
        <v>1185</v>
      </c>
    </row>
    <row r="187" spans="1:5" x14ac:dyDescent="0.25">
      <c r="A187" s="947">
        <v>186</v>
      </c>
      <c r="B187" s="947" t="s">
        <v>870</v>
      </c>
      <c r="C187" s="1018" t="s">
        <v>1436</v>
      </c>
      <c r="D187" s="1018" t="s">
        <v>1410</v>
      </c>
      <c r="E187" s="1017" t="s">
        <v>1186</v>
      </c>
    </row>
    <row r="188" spans="1:5" x14ac:dyDescent="0.25">
      <c r="A188" s="947">
        <v>187</v>
      </c>
      <c r="B188" s="947" t="s">
        <v>870</v>
      </c>
      <c r="C188" s="1018" t="s">
        <v>1436</v>
      </c>
      <c r="D188" s="1018" t="s">
        <v>1410</v>
      </c>
      <c r="E188" s="1017" t="s">
        <v>1187</v>
      </c>
    </row>
    <row r="189" spans="1:5" x14ac:dyDescent="0.25">
      <c r="A189" s="947">
        <v>188</v>
      </c>
      <c r="B189" s="947" t="s">
        <v>870</v>
      </c>
      <c r="C189" s="1018" t="s">
        <v>1436</v>
      </c>
      <c r="D189" s="1018" t="s">
        <v>1410</v>
      </c>
      <c r="E189" s="1017" t="s">
        <v>1188</v>
      </c>
    </row>
    <row r="190" spans="1:5" x14ac:dyDescent="0.25">
      <c r="A190" s="947">
        <v>189</v>
      </c>
      <c r="B190" s="947" t="s">
        <v>870</v>
      </c>
      <c r="C190" s="1018" t="s">
        <v>1436</v>
      </c>
      <c r="D190" s="1018" t="s">
        <v>1410</v>
      </c>
      <c r="E190" s="1017" t="s">
        <v>1189</v>
      </c>
    </row>
    <row r="191" spans="1:5" x14ac:dyDescent="0.25">
      <c r="A191" s="947">
        <v>190</v>
      </c>
      <c r="B191" s="947" t="s">
        <v>870</v>
      </c>
      <c r="C191" s="1018" t="s">
        <v>1436</v>
      </c>
      <c r="D191" s="1018" t="s">
        <v>1410</v>
      </c>
      <c r="E191" s="1017" t="s">
        <v>1428</v>
      </c>
    </row>
    <row r="192" spans="1:5" x14ac:dyDescent="0.25">
      <c r="A192" s="947">
        <v>191</v>
      </c>
      <c r="B192" s="947" t="s">
        <v>870</v>
      </c>
      <c r="C192" s="1018" t="s">
        <v>1436</v>
      </c>
      <c r="D192" s="1018" t="s">
        <v>1410</v>
      </c>
      <c r="E192" s="1017" t="s">
        <v>1631</v>
      </c>
    </row>
    <row r="193" spans="1:5" x14ac:dyDescent="0.25">
      <c r="A193" s="947">
        <v>192</v>
      </c>
      <c r="B193" s="947" t="s">
        <v>1401</v>
      </c>
      <c r="C193" s="1018" t="s">
        <v>1436</v>
      </c>
      <c r="D193" s="1018" t="s">
        <v>1429</v>
      </c>
      <c r="E193" s="1015" t="s">
        <v>765</v>
      </c>
    </row>
    <row r="194" spans="1:5" x14ac:dyDescent="0.25">
      <c r="A194" s="947">
        <v>193</v>
      </c>
      <c r="B194" s="947" t="s">
        <v>1401</v>
      </c>
      <c r="C194" s="1018" t="s">
        <v>1436</v>
      </c>
      <c r="D194" s="1018" t="s">
        <v>1429</v>
      </c>
      <c r="E194" s="1015" t="s">
        <v>1179</v>
      </c>
    </row>
    <row r="195" spans="1:5" x14ac:dyDescent="0.25">
      <c r="A195" s="947">
        <v>194</v>
      </c>
      <c r="B195" s="947" t="s">
        <v>1401</v>
      </c>
      <c r="C195" s="1018" t="s">
        <v>1436</v>
      </c>
      <c r="D195" s="1018" t="s">
        <v>1410</v>
      </c>
      <c r="E195" s="1015" t="s">
        <v>1180</v>
      </c>
    </row>
    <row r="196" spans="1:5" x14ac:dyDescent="0.25">
      <c r="A196" s="947">
        <v>195</v>
      </c>
      <c r="B196" s="947" t="s">
        <v>1401</v>
      </c>
      <c r="C196" s="1018" t="s">
        <v>1436</v>
      </c>
      <c r="D196" s="1018" t="s">
        <v>1410</v>
      </c>
      <c r="E196" s="1015" t="s">
        <v>1367</v>
      </c>
    </row>
    <row r="197" spans="1:5" x14ac:dyDescent="0.25">
      <c r="A197" s="947">
        <v>196</v>
      </c>
      <c r="B197" s="947" t="s">
        <v>1401</v>
      </c>
      <c r="C197" s="1018" t="s">
        <v>1436</v>
      </c>
      <c r="D197" s="1018" t="s">
        <v>1410</v>
      </c>
      <c r="E197" s="1015" t="s">
        <v>1297</v>
      </c>
    </row>
    <row r="198" spans="1:5" x14ac:dyDescent="0.25">
      <c r="A198" s="947">
        <v>197</v>
      </c>
      <c r="B198" s="947" t="s">
        <v>1401</v>
      </c>
      <c r="C198" s="1018" t="s">
        <v>1436</v>
      </c>
      <c r="D198" s="1018" t="s">
        <v>1410</v>
      </c>
      <c r="E198" s="1015" t="s">
        <v>767</v>
      </c>
    </row>
    <row r="199" spans="1:5" x14ac:dyDescent="0.25">
      <c r="A199" s="947">
        <v>198</v>
      </c>
      <c r="B199" s="947" t="s">
        <v>1401</v>
      </c>
      <c r="C199" s="1018" t="s">
        <v>1436</v>
      </c>
      <c r="D199" s="1018" t="s">
        <v>1410</v>
      </c>
      <c r="E199" s="1015" t="s">
        <v>768</v>
      </c>
    </row>
    <row r="200" spans="1:5" x14ac:dyDescent="0.25">
      <c r="A200" s="947">
        <v>199</v>
      </c>
      <c r="B200" s="947" t="s">
        <v>1401</v>
      </c>
      <c r="C200" s="1018" t="s">
        <v>1436</v>
      </c>
      <c r="D200" s="1018" t="s">
        <v>1410</v>
      </c>
      <c r="E200" s="1015" t="s">
        <v>769</v>
      </c>
    </row>
    <row r="201" spans="1:5" x14ac:dyDescent="0.25">
      <c r="A201" s="947">
        <v>200</v>
      </c>
      <c r="B201" s="947" t="s">
        <v>1401</v>
      </c>
      <c r="C201" s="1018" t="s">
        <v>1436</v>
      </c>
      <c r="D201" s="1018" t="s">
        <v>1410</v>
      </c>
      <c r="E201" s="1015" t="s">
        <v>204</v>
      </c>
    </row>
    <row r="202" spans="1:5" x14ac:dyDescent="0.25">
      <c r="A202" s="947">
        <v>201</v>
      </c>
      <c r="B202" s="947" t="s">
        <v>1401</v>
      </c>
      <c r="C202" s="1018" t="s">
        <v>1437</v>
      </c>
      <c r="D202" s="1018" t="s">
        <v>1410</v>
      </c>
      <c r="E202" s="1015" t="s">
        <v>1178</v>
      </c>
    </row>
    <row r="203" spans="1:5" x14ac:dyDescent="0.25">
      <c r="A203" s="947">
        <v>202</v>
      </c>
      <c r="B203" s="947" t="s">
        <v>870</v>
      </c>
      <c r="C203" s="1018" t="s">
        <v>1437</v>
      </c>
      <c r="D203" s="1018" t="s">
        <v>1410</v>
      </c>
      <c r="E203" s="1015" t="s">
        <v>1182</v>
      </c>
    </row>
    <row r="204" spans="1:5" x14ac:dyDescent="0.25">
      <c r="A204" s="947">
        <v>203</v>
      </c>
      <c r="B204" s="947" t="s">
        <v>1401</v>
      </c>
      <c r="C204" s="1018" t="s">
        <v>1437</v>
      </c>
      <c r="D204" s="1018" t="s">
        <v>1410</v>
      </c>
      <c r="E204" s="1015" t="s">
        <v>766</v>
      </c>
    </row>
    <row r="205" spans="1:5" x14ac:dyDescent="0.25">
      <c r="A205" s="947">
        <v>204</v>
      </c>
      <c r="B205" s="947" t="s">
        <v>870</v>
      </c>
      <c r="C205" s="1018" t="s">
        <v>1437</v>
      </c>
      <c r="D205" s="1018" t="s">
        <v>1410</v>
      </c>
      <c r="E205" s="1017" t="s">
        <v>1262</v>
      </c>
    </row>
    <row r="206" spans="1:5" ht="30" x14ac:dyDescent="0.25">
      <c r="A206" s="947">
        <v>205</v>
      </c>
      <c r="B206" s="947" t="s">
        <v>870</v>
      </c>
      <c r="C206" s="1018" t="s">
        <v>1437</v>
      </c>
      <c r="D206" s="1018" t="s">
        <v>1410</v>
      </c>
      <c r="E206" s="1017" t="s">
        <v>1263</v>
      </c>
    </row>
    <row r="207" spans="1:5" x14ac:dyDescent="0.25">
      <c r="A207" s="947">
        <v>206</v>
      </c>
      <c r="B207" s="947" t="s">
        <v>870</v>
      </c>
      <c r="C207" s="1018" t="s">
        <v>1437</v>
      </c>
      <c r="D207" s="1018" t="s">
        <v>1410</v>
      </c>
      <c r="E207" s="1017" t="s">
        <v>1185</v>
      </c>
    </row>
    <row r="208" spans="1:5" x14ac:dyDescent="0.25">
      <c r="A208" s="947">
        <v>207</v>
      </c>
      <c r="B208" s="947" t="s">
        <v>870</v>
      </c>
      <c r="C208" s="1018" t="s">
        <v>1437</v>
      </c>
      <c r="D208" s="1018" t="s">
        <v>1410</v>
      </c>
      <c r="E208" s="1017" t="s">
        <v>1186</v>
      </c>
    </row>
    <row r="209" spans="1:5" x14ac:dyDescent="0.25">
      <c r="A209" s="947">
        <v>208</v>
      </c>
      <c r="B209" s="947" t="s">
        <v>870</v>
      </c>
      <c r="C209" s="1018" t="s">
        <v>1437</v>
      </c>
      <c r="D209" s="1018" t="s">
        <v>1410</v>
      </c>
      <c r="E209" s="1017" t="s">
        <v>1187</v>
      </c>
    </row>
    <row r="210" spans="1:5" x14ac:dyDescent="0.25">
      <c r="A210" s="947">
        <v>209</v>
      </c>
      <c r="B210" s="947" t="s">
        <v>870</v>
      </c>
      <c r="C210" s="1018" t="s">
        <v>1437</v>
      </c>
      <c r="D210" s="1018" t="s">
        <v>1410</v>
      </c>
      <c r="E210" s="1017" t="s">
        <v>1188</v>
      </c>
    </row>
    <row r="211" spans="1:5" x14ac:dyDescent="0.25">
      <c r="A211" s="947">
        <v>210</v>
      </c>
      <c r="B211" s="947" t="s">
        <v>870</v>
      </c>
      <c r="C211" s="1018" t="s">
        <v>1437</v>
      </c>
      <c r="D211" s="1018" t="s">
        <v>1410</v>
      </c>
      <c r="E211" s="1017" t="s">
        <v>1189</v>
      </c>
    </row>
    <row r="212" spans="1:5" x14ac:dyDescent="0.25">
      <c r="A212" s="947">
        <v>211</v>
      </c>
      <c r="B212" s="947" t="s">
        <v>870</v>
      </c>
      <c r="C212" s="1018" t="s">
        <v>1437</v>
      </c>
      <c r="D212" s="1018" t="s">
        <v>1410</v>
      </c>
      <c r="E212" s="1017" t="s">
        <v>1428</v>
      </c>
    </row>
    <row r="213" spans="1:5" x14ac:dyDescent="0.25">
      <c r="A213" s="947">
        <v>212</v>
      </c>
      <c r="B213" s="947" t="s">
        <v>870</v>
      </c>
      <c r="C213" s="1018" t="s">
        <v>1437</v>
      </c>
      <c r="D213" s="1018" t="s">
        <v>1410</v>
      </c>
      <c r="E213" s="1017" t="s">
        <v>1631</v>
      </c>
    </row>
    <row r="214" spans="1:5" x14ac:dyDescent="0.25">
      <c r="A214" s="947">
        <v>213</v>
      </c>
      <c r="B214" s="947" t="s">
        <v>1401</v>
      </c>
      <c r="C214" s="1018" t="s">
        <v>1437</v>
      </c>
      <c r="D214" s="1018" t="s">
        <v>1429</v>
      </c>
      <c r="E214" s="1015" t="s">
        <v>765</v>
      </c>
    </row>
    <row r="215" spans="1:5" x14ac:dyDescent="0.25">
      <c r="A215" s="947">
        <v>214</v>
      </c>
      <c r="B215" s="947" t="s">
        <v>1401</v>
      </c>
      <c r="C215" s="1018" t="s">
        <v>1437</v>
      </c>
      <c r="D215" s="1018" t="s">
        <v>1429</v>
      </c>
      <c r="E215" s="1015" t="s">
        <v>1179</v>
      </c>
    </row>
    <row r="216" spans="1:5" x14ac:dyDescent="0.25">
      <c r="A216" s="947">
        <v>215</v>
      </c>
      <c r="B216" s="947" t="s">
        <v>1401</v>
      </c>
      <c r="C216" s="1018" t="s">
        <v>1437</v>
      </c>
      <c r="D216" s="1018" t="s">
        <v>1410</v>
      </c>
      <c r="E216" s="1015" t="s">
        <v>1180</v>
      </c>
    </row>
    <row r="217" spans="1:5" x14ac:dyDescent="0.25">
      <c r="A217" s="947">
        <v>216</v>
      </c>
      <c r="B217" s="947" t="s">
        <v>1401</v>
      </c>
      <c r="C217" s="1018" t="s">
        <v>1437</v>
      </c>
      <c r="D217" s="1018" t="s">
        <v>1410</v>
      </c>
      <c r="E217" s="1015" t="s">
        <v>1367</v>
      </c>
    </row>
    <row r="218" spans="1:5" x14ac:dyDescent="0.25">
      <c r="A218" s="947">
        <v>217</v>
      </c>
      <c r="B218" s="947" t="s">
        <v>1401</v>
      </c>
      <c r="C218" s="1018" t="s">
        <v>1437</v>
      </c>
      <c r="D218" s="1018" t="s">
        <v>1410</v>
      </c>
      <c r="E218" s="1015" t="s">
        <v>1297</v>
      </c>
    </row>
    <row r="219" spans="1:5" x14ac:dyDescent="0.25">
      <c r="A219" s="947">
        <v>218</v>
      </c>
      <c r="B219" s="947" t="s">
        <v>1401</v>
      </c>
      <c r="C219" s="1018" t="s">
        <v>1437</v>
      </c>
      <c r="D219" s="1018" t="s">
        <v>1410</v>
      </c>
      <c r="E219" s="1015" t="s">
        <v>767</v>
      </c>
    </row>
    <row r="220" spans="1:5" x14ac:dyDescent="0.25">
      <c r="A220" s="947">
        <v>219</v>
      </c>
      <c r="B220" s="947" t="s">
        <v>1401</v>
      </c>
      <c r="C220" s="1018" t="s">
        <v>1437</v>
      </c>
      <c r="D220" s="1018" t="s">
        <v>1410</v>
      </c>
      <c r="E220" s="1015" t="s">
        <v>768</v>
      </c>
    </row>
    <row r="221" spans="1:5" x14ac:dyDescent="0.25">
      <c r="A221" s="947">
        <v>220</v>
      </c>
      <c r="B221" s="947" t="s">
        <v>1401</v>
      </c>
      <c r="C221" s="1018" t="s">
        <v>1437</v>
      </c>
      <c r="D221" s="1018" t="s">
        <v>1410</v>
      </c>
      <c r="E221" s="1015" t="s">
        <v>769</v>
      </c>
    </row>
    <row r="222" spans="1:5" x14ac:dyDescent="0.25">
      <c r="A222" s="947">
        <v>221</v>
      </c>
      <c r="B222" s="947" t="s">
        <v>1401</v>
      </c>
      <c r="C222" s="1018" t="s">
        <v>1437</v>
      </c>
      <c r="D222" s="1018" t="s">
        <v>1410</v>
      </c>
      <c r="E222" s="1015" t="s">
        <v>204</v>
      </c>
    </row>
    <row r="223" spans="1:5" x14ac:dyDescent="0.25">
      <c r="A223" s="947">
        <v>222</v>
      </c>
      <c r="B223" s="947" t="s">
        <v>1401</v>
      </c>
      <c r="C223" s="1018" t="s">
        <v>1438</v>
      </c>
      <c r="D223" s="1018" t="s">
        <v>1410</v>
      </c>
      <c r="E223" s="1015" t="s">
        <v>1178</v>
      </c>
    </row>
    <row r="224" spans="1:5" x14ac:dyDescent="0.25">
      <c r="A224" s="947">
        <v>223</v>
      </c>
      <c r="B224" s="947" t="s">
        <v>870</v>
      </c>
      <c r="C224" s="1018" t="s">
        <v>1438</v>
      </c>
      <c r="D224" s="1018" t="s">
        <v>1410</v>
      </c>
      <c r="E224" s="1015" t="s">
        <v>1182</v>
      </c>
    </row>
    <row r="225" spans="1:5" x14ac:dyDescent="0.25">
      <c r="A225" s="947">
        <v>224</v>
      </c>
      <c r="B225" s="947" t="s">
        <v>1401</v>
      </c>
      <c r="C225" s="1018" t="s">
        <v>1438</v>
      </c>
      <c r="D225" s="1018" t="s">
        <v>1410</v>
      </c>
      <c r="E225" s="1015" t="s">
        <v>766</v>
      </c>
    </row>
    <row r="226" spans="1:5" x14ac:dyDescent="0.25">
      <c r="A226" s="947">
        <v>225</v>
      </c>
      <c r="B226" s="947" t="s">
        <v>870</v>
      </c>
      <c r="C226" s="1018" t="s">
        <v>1438</v>
      </c>
      <c r="D226" s="1018" t="s">
        <v>1410</v>
      </c>
      <c r="E226" s="1017" t="s">
        <v>1262</v>
      </c>
    </row>
    <row r="227" spans="1:5" ht="30" x14ac:dyDescent="0.25">
      <c r="A227" s="947">
        <v>226</v>
      </c>
      <c r="B227" s="947" t="s">
        <v>870</v>
      </c>
      <c r="C227" s="1018" t="s">
        <v>1438</v>
      </c>
      <c r="D227" s="1018" t="s">
        <v>1410</v>
      </c>
      <c r="E227" s="1017" t="s">
        <v>1263</v>
      </c>
    </row>
    <row r="228" spans="1:5" x14ac:dyDescent="0.25">
      <c r="A228" s="947">
        <v>227</v>
      </c>
      <c r="B228" s="947" t="s">
        <v>870</v>
      </c>
      <c r="C228" s="1018" t="s">
        <v>1438</v>
      </c>
      <c r="D228" s="1018" t="s">
        <v>1410</v>
      </c>
      <c r="E228" s="1017" t="s">
        <v>1185</v>
      </c>
    </row>
    <row r="229" spans="1:5" x14ac:dyDescent="0.25">
      <c r="A229" s="947">
        <v>228</v>
      </c>
      <c r="B229" s="947" t="s">
        <v>870</v>
      </c>
      <c r="C229" s="1018" t="s">
        <v>1438</v>
      </c>
      <c r="D229" s="1018" t="s">
        <v>1410</v>
      </c>
      <c r="E229" s="1017" t="s">
        <v>1186</v>
      </c>
    </row>
    <row r="230" spans="1:5" x14ac:dyDescent="0.25">
      <c r="A230" s="947">
        <v>229</v>
      </c>
      <c r="B230" s="947" t="s">
        <v>870</v>
      </c>
      <c r="C230" s="1018" t="s">
        <v>1438</v>
      </c>
      <c r="D230" s="1018" t="s">
        <v>1410</v>
      </c>
      <c r="E230" s="1017" t="s">
        <v>1187</v>
      </c>
    </row>
    <row r="231" spans="1:5" x14ac:dyDescent="0.25">
      <c r="A231" s="947">
        <v>230</v>
      </c>
      <c r="B231" s="947" t="s">
        <v>870</v>
      </c>
      <c r="C231" s="1018" t="s">
        <v>1438</v>
      </c>
      <c r="D231" s="1018" t="s">
        <v>1410</v>
      </c>
      <c r="E231" s="1017" t="s">
        <v>1188</v>
      </c>
    </row>
    <row r="232" spans="1:5" x14ac:dyDescent="0.25">
      <c r="A232" s="947">
        <v>231</v>
      </c>
      <c r="B232" s="947" t="s">
        <v>870</v>
      </c>
      <c r="C232" s="1018" t="s">
        <v>1438</v>
      </c>
      <c r="D232" s="1018" t="s">
        <v>1410</v>
      </c>
      <c r="E232" s="1017" t="s">
        <v>1189</v>
      </c>
    </row>
    <row r="233" spans="1:5" x14ac:dyDescent="0.25">
      <c r="A233" s="947">
        <v>232</v>
      </c>
      <c r="B233" s="947" t="s">
        <v>870</v>
      </c>
      <c r="C233" s="1018" t="s">
        <v>1438</v>
      </c>
      <c r="D233" s="1018" t="s">
        <v>1410</v>
      </c>
      <c r="E233" s="1017" t="s">
        <v>1428</v>
      </c>
    </row>
    <row r="234" spans="1:5" x14ac:dyDescent="0.25">
      <c r="A234" s="947">
        <v>233</v>
      </c>
      <c r="B234" s="947" t="s">
        <v>870</v>
      </c>
      <c r="C234" s="1018" t="s">
        <v>1438</v>
      </c>
      <c r="D234" s="1018" t="s">
        <v>1410</v>
      </c>
      <c r="E234" s="1017" t="s">
        <v>1631</v>
      </c>
    </row>
    <row r="235" spans="1:5" x14ac:dyDescent="0.25">
      <c r="A235" s="947">
        <v>234</v>
      </c>
      <c r="B235" s="947" t="s">
        <v>1401</v>
      </c>
      <c r="C235" s="1018" t="s">
        <v>1438</v>
      </c>
      <c r="D235" s="1018" t="s">
        <v>1429</v>
      </c>
      <c r="E235" s="1015" t="s">
        <v>765</v>
      </c>
    </row>
    <row r="236" spans="1:5" x14ac:dyDescent="0.25">
      <c r="A236" s="947">
        <v>235</v>
      </c>
      <c r="B236" s="947" t="s">
        <v>1401</v>
      </c>
      <c r="C236" s="1018" t="s">
        <v>1438</v>
      </c>
      <c r="D236" s="1018" t="s">
        <v>1429</v>
      </c>
      <c r="E236" s="1015" t="s">
        <v>1179</v>
      </c>
    </row>
    <row r="237" spans="1:5" x14ac:dyDescent="0.25">
      <c r="A237" s="947">
        <v>236</v>
      </c>
      <c r="B237" s="947" t="s">
        <v>1401</v>
      </c>
      <c r="C237" s="1018" t="s">
        <v>1438</v>
      </c>
      <c r="D237" s="1018" t="s">
        <v>1410</v>
      </c>
      <c r="E237" s="1015" t="s">
        <v>1180</v>
      </c>
    </row>
    <row r="238" spans="1:5" x14ac:dyDescent="0.25">
      <c r="A238" s="947">
        <v>237</v>
      </c>
      <c r="B238" s="947" t="s">
        <v>1401</v>
      </c>
      <c r="C238" s="1018" t="s">
        <v>1438</v>
      </c>
      <c r="D238" s="1018" t="s">
        <v>1410</v>
      </c>
      <c r="E238" s="1015" t="s">
        <v>1367</v>
      </c>
    </row>
    <row r="239" spans="1:5" x14ac:dyDescent="0.25">
      <c r="A239" s="947">
        <v>238</v>
      </c>
      <c r="B239" s="947" t="s">
        <v>1401</v>
      </c>
      <c r="C239" s="1018" t="s">
        <v>1438</v>
      </c>
      <c r="D239" s="1018" t="s">
        <v>1410</v>
      </c>
      <c r="E239" s="1015" t="s">
        <v>1297</v>
      </c>
    </row>
    <row r="240" spans="1:5" x14ac:dyDescent="0.25">
      <c r="A240" s="947">
        <v>239</v>
      </c>
      <c r="B240" s="947" t="s">
        <v>1401</v>
      </c>
      <c r="C240" s="1018" t="s">
        <v>1438</v>
      </c>
      <c r="D240" s="1018" t="s">
        <v>1410</v>
      </c>
      <c r="E240" s="1015" t="s">
        <v>767</v>
      </c>
    </row>
    <row r="241" spans="1:5" x14ac:dyDescent="0.25">
      <c r="A241" s="947">
        <v>240</v>
      </c>
      <c r="B241" s="947" t="s">
        <v>1401</v>
      </c>
      <c r="C241" s="1018" t="s">
        <v>1438</v>
      </c>
      <c r="D241" s="1018" t="s">
        <v>1410</v>
      </c>
      <c r="E241" s="1015" t="s">
        <v>768</v>
      </c>
    </row>
    <row r="242" spans="1:5" x14ac:dyDescent="0.25">
      <c r="A242" s="947">
        <v>241</v>
      </c>
      <c r="B242" s="947" t="s">
        <v>1401</v>
      </c>
      <c r="C242" s="1018" t="s">
        <v>1438</v>
      </c>
      <c r="D242" s="1018" t="s">
        <v>1410</v>
      </c>
      <c r="E242" s="1015" t="s">
        <v>769</v>
      </c>
    </row>
    <row r="243" spans="1:5" x14ac:dyDescent="0.25">
      <c r="A243" s="947">
        <v>242</v>
      </c>
      <c r="B243" s="947" t="s">
        <v>1401</v>
      </c>
      <c r="C243" s="1018" t="s">
        <v>1438</v>
      </c>
      <c r="D243" s="1018" t="s">
        <v>1410</v>
      </c>
      <c r="E243" s="1015" t="s">
        <v>204</v>
      </c>
    </row>
    <row r="244" spans="1:5" ht="45" x14ac:dyDescent="0.25">
      <c r="A244" s="947">
        <v>243</v>
      </c>
      <c r="B244" s="947" t="s">
        <v>1279</v>
      </c>
      <c r="C244" s="1018" t="s">
        <v>2136</v>
      </c>
      <c r="D244" s="1018" t="s">
        <v>1439</v>
      </c>
      <c r="E244" s="1015" t="s">
        <v>1440</v>
      </c>
    </row>
    <row r="245" spans="1:5" ht="30" x14ac:dyDescent="0.25">
      <c r="A245" s="947">
        <v>244</v>
      </c>
      <c r="B245" s="947" t="s">
        <v>1279</v>
      </c>
      <c r="C245" s="1018" t="s">
        <v>2136</v>
      </c>
      <c r="D245" s="1018" t="s">
        <v>1441</v>
      </c>
      <c r="E245" s="1015" t="s">
        <v>1377</v>
      </c>
    </row>
    <row r="246" spans="1:5" ht="30" x14ac:dyDescent="0.25">
      <c r="A246" s="947">
        <v>245</v>
      </c>
      <c r="B246" s="947" t="s">
        <v>1279</v>
      </c>
      <c r="C246" s="1018" t="s">
        <v>2136</v>
      </c>
      <c r="D246" s="1018" t="s">
        <v>1442</v>
      </c>
      <c r="E246" s="1015" t="s">
        <v>1267</v>
      </c>
    </row>
    <row r="247" spans="1:5" ht="30" x14ac:dyDescent="0.25">
      <c r="A247" s="947">
        <v>246</v>
      </c>
      <c r="B247" s="947" t="s">
        <v>1279</v>
      </c>
      <c r="C247" s="1018" t="s">
        <v>99</v>
      </c>
      <c r="D247" s="1018" t="s">
        <v>1443</v>
      </c>
      <c r="E247" s="1015" t="s">
        <v>1289</v>
      </c>
    </row>
    <row r="248" spans="1:5" ht="30" x14ac:dyDescent="0.25">
      <c r="A248" s="947">
        <v>247</v>
      </c>
      <c r="B248" s="947" t="s">
        <v>1279</v>
      </c>
      <c r="C248" s="1018" t="s">
        <v>99</v>
      </c>
      <c r="D248" s="1018" t="s">
        <v>1410</v>
      </c>
      <c r="E248" s="1018" t="s">
        <v>252</v>
      </c>
    </row>
    <row r="249" spans="1:5" ht="30" x14ac:dyDescent="0.25">
      <c r="A249" s="947">
        <v>248</v>
      </c>
      <c r="B249" s="947" t="s">
        <v>1279</v>
      </c>
      <c r="C249" s="1018" t="s">
        <v>99</v>
      </c>
      <c r="D249" s="1018" t="s">
        <v>1279</v>
      </c>
      <c r="E249" s="1018" t="s">
        <v>1246</v>
      </c>
    </row>
    <row r="250" spans="1:5" ht="30" x14ac:dyDescent="0.25">
      <c r="A250" s="947">
        <v>249</v>
      </c>
      <c r="B250" s="947" t="s">
        <v>1279</v>
      </c>
      <c r="C250" s="1018" t="s">
        <v>99</v>
      </c>
      <c r="D250" s="1018" t="s">
        <v>1279</v>
      </c>
      <c r="E250" s="1018" t="s">
        <v>225</v>
      </c>
    </row>
    <row r="251" spans="1:5" ht="30" x14ac:dyDescent="0.25">
      <c r="A251" s="947">
        <v>250</v>
      </c>
      <c r="B251" s="947" t="s">
        <v>208</v>
      </c>
      <c r="C251" s="1018" t="s">
        <v>99</v>
      </c>
      <c r="D251" s="1018" t="s">
        <v>1410</v>
      </c>
      <c r="E251" s="1017" t="s">
        <v>463</v>
      </c>
    </row>
    <row r="252" spans="1:5" ht="30" x14ac:dyDescent="0.25">
      <c r="A252" s="947">
        <v>251</v>
      </c>
      <c r="B252" s="947" t="s">
        <v>1279</v>
      </c>
      <c r="C252" s="1018" t="s">
        <v>99</v>
      </c>
      <c r="D252" s="1018" t="s">
        <v>1279</v>
      </c>
      <c r="E252" s="1017" t="s">
        <v>1282</v>
      </c>
    </row>
    <row r="253" spans="1:5" ht="30" x14ac:dyDescent="0.25">
      <c r="A253" s="947">
        <v>252</v>
      </c>
      <c r="B253" s="947" t="s">
        <v>1279</v>
      </c>
      <c r="C253" s="1018" t="s">
        <v>99</v>
      </c>
      <c r="D253" s="1018" t="s">
        <v>1410</v>
      </c>
      <c r="E253" s="1017" t="s">
        <v>1284</v>
      </c>
    </row>
    <row r="254" spans="1:5" ht="30" x14ac:dyDescent="0.25">
      <c r="A254" s="947">
        <v>253</v>
      </c>
      <c r="B254" s="947" t="s">
        <v>1279</v>
      </c>
      <c r="C254" s="1018" t="s">
        <v>99</v>
      </c>
      <c r="D254" s="1018" t="s">
        <v>1410</v>
      </c>
      <c r="E254" s="1017" t="s">
        <v>1285</v>
      </c>
    </row>
    <row r="255" spans="1:5" ht="30" x14ac:dyDescent="0.25">
      <c r="A255" s="947">
        <v>254</v>
      </c>
      <c r="B255" s="947" t="s">
        <v>1279</v>
      </c>
      <c r="C255" s="1018" t="s">
        <v>99</v>
      </c>
      <c r="D255" s="1018" t="s">
        <v>1444</v>
      </c>
      <c r="E255" s="1017" t="s">
        <v>1286</v>
      </c>
    </row>
    <row r="256" spans="1:5" ht="30" x14ac:dyDescent="0.25">
      <c r="A256" s="947">
        <v>255</v>
      </c>
      <c r="B256" s="947" t="s">
        <v>1279</v>
      </c>
      <c r="C256" s="1018" t="s">
        <v>99</v>
      </c>
      <c r="D256" s="1018" t="s">
        <v>1410</v>
      </c>
      <c r="E256" s="1017" t="s">
        <v>1287</v>
      </c>
    </row>
    <row r="257" spans="1:5" ht="30" x14ac:dyDescent="0.25">
      <c r="A257" s="947">
        <v>256</v>
      </c>
      <c r="B257" s="947" t="s">
        <v>1279</v>
      </c>
      <c r="C257" s="1018" t="s">
        <v>99</v>
      </c>
      <c r="D257" s="1018" t="s">
        <v>1444</v>
      </c>
      <c r="E257" s="1017" t="s">
        <v>1288</v>
      </c>
    </row>
    <row r="258" spans="1:5" ht="30" x14ac:dyDescent="0.25">
      <c r="A258" s="947">
        <v>257</v>
      </c>
      <c r="B258" s="947" t="s">
        <v>1279</v>
      </c>
      <c r="C258" s="1018" t="s">
        <v>99</v>
      </c>
      <c r="D258" s="1018" t="s">
        <v>1444</v>
      </c>
      <c r="E258" s="1017" t="s">
        <v>1228</v>
      </c>
    </row>
    <row r="259" spans="1:5" x14ac:dyDescent="0.25">
      <c r="A259" s="947">
        <v>258</v>
      </c>
      <c r="B259" s="947" t="s">
        <v>1279</v>
      </c>
      <c r="C259" s="1018" t="s">
        <v>103</v>
      </c>
      <c r="D259" s="1018" t="s">
        <v>1443</v>
      </c>
      <c r="E259" s="1015" t="s">
        <v>1289</v>
      </c>
    </row>
    <row r="260" spans="1:5" x14ac:dyDescent="0.25">
      <c r="A260" s="947">
        <v>259</v>
      </c>
      <c r="B260" s="947" t="s">
        <v>1279</v>
      </c>
      <c r="C260" s="1018" t="s">
        <v>103</v>
      </c>
      <c r="D260" s="1018" t="s">
        <v>1410</v>
      </c>
      <c r="E260" s="1015" t="s">
        <v>252</v>
      </c>
    </row>
    <row r="261" spans="1:5" x14ac:dyDescent="0.25">
      <c r="A261" s="947">
        <v>260</v>
      </c>
      <c r="B261" s="947" t="s">
        <v>1279</v>
      </c>
      <c r="C261" s="1018" t="s">
        <v>103</v>
      </c>
      <c r="D261" s="1018" t="s">
        <v>1279</v>
      </c>
      <c r="E261" s="1018" t="s">
        <v>1246</v>
      </c>
    </row>
    <row r="262" spans="1:5" x14ac:dyDescent="0.25">
      <c r="A262" s="947">
        <v>261</v>
      </c>
      <c r="B262" s="947" t="s">
        <v>1279</v>
      </c>
      <c r="C262" s="1018" t="s">
        <v>103</v>
      </c>
      <c r="D262" s="1018" t="s">
        <v>1279</v>
      </c>
      <c r="E262" s="1018" t="s">
        <v>225</v>
      </c>
    </row>
    <row r="263" spans="1:5" x14ac:dyDescent="0.25">
      <c r="A263" s="947">
        <v>262</v>
      </c>
      <c r="B263" s="947" t="s">
        <v>208</v>
      </c>
      <c r="C263" s="1018" t="s">
        <v>103</v>
      </c>
      <c r="D263" s="1018" t="s">
        <v>1410</v>
      </c>
      <c r="E263" s="1017" t="s">
        <v>463</v>
      </c>
    </row>
    <row r="264" spans="1:5" x14ac:dyDescent="0.25">
      <c r="A264" s="947">
        <v>263</v>
      </c>
      <c r="B264" s="947" t="s">
        <v>1279</v>
      </c>
      <c r="C264" s="1018" t="s">
        <v>103</v>
      </c>
      <c r="D264" s="1018" t="s">
        <v>1279</v>
      </c>
      <c r="E264" s="1017" t="s">
        <v>1282</v>
      </c>
    </row>
    <row r="265" spans="1:5" x14ac:dyDescent="0.25">
      <c r="A265" s="947">
        <v>264</v>
      </c>
      <c r="B265" s="947" t="s">
        <v>1279</v>
      </c>
      <c r="C265" s="1018" t="s">
        <v>103</v>
      </c>
      <c r="D265" s="1018" t="s">
        <v>1410</v>
      </c>
      <c r="E265" s="1017" t="s">
        <v>1284</v>
      </c>
    </row>
    <row r="266" spans="1:5" x14ac:dyDescent="0.25">
      <c r="A266" s="947">
        <v>265</v>
      </c>
      <c r="B266" s="947" t="s">
        <v>1279</v>
      </c>
      <c r="C266" s="1018" t="s">
        <v>103</v>
      </c>
      <c r="D266" s="1018" t="s">
        <v>1410</v>
      </c>
      <c r="E266" s="1017" t="s">
        <v>1285</v>
      </c>
    </row>
    <row r="267" spans="1:5" x14ac:dyDescent="0.25">
      <c r="A267" s="947">
        <v>266</v>
      </c>
      <c r="B267" s="947" t="s">
        <v>1279</v>
      </c>
      <c r="C267" s="1018" t="s">
        <v>103</v>
      </c>
      <c r="D267" s="1018" t="s">
        <v>1444</v>
      </c>
      <c r="E267" s="1017" t="s">
        <v>1286</v>
      </c>
    </row>
    <row r="268" spans="1:5" x14ac:dyDescent="0.25">
      <c r="A268" s="947">
        <v>267</v>
      </c>
      <c r="B268" s="947" t="s">
        <v>1279</v>
      </c>
      <c r="C268" s="1018" t="s">
        <v>103</v>
      </c>
      <c r="D268" s="1018" t="s">
        <v>1444</v>
      </c>
      <c r="E268" s="1017" t="s">
        <v>1287</v>
      </c>
    </row>
    <row r="269" spans="1:5" x14ac:dyDescent="0.25">
      <c r="A269" s="947">
        <v>268</v>
      </c>
      <c r="B269" s="947" t="s">
        <v>1279</v>
      </c>
      <c r="C269" s="1018" t="s">
        <v>103</v>
      </c>
      <c r="D269" s="1018" t="s">
        <v>1444</v>
      </c>
      <c r="E269" s="1017" t="s">
        <v>1288</v>
      </c>
    </row>
    <row r="270" spans="1:5" x14ac:dyDescent="0.25">
      <c r="A270" s="947">
        <v>269</v>
      </c>
      <c r="B270" s="947" t="s">
        <v>1279</v>
      </c>
      <c r="C270" s="1018" t="s">
        <v>103</v>
      </c>
      <c r="D270" s="1018" t="s">
        <v>1444</v>
      </c>
      <c r="E270" s="1017" t="s">
        <v>1228</v>
      </c>
    </row>
    <row r="271" spans="1:5" x14ac:dyDescent="0.25">
      <c r="A271" s="947">
        <v>270</v>
      </c>
      <c r="B271" s="947" t="s">
        <v>1279</v>
      </c>
      <c r="C271" s="1018" t="s">
        <v>1296</v>
      </c>
      <c r="D271" s="1018" t="s">
        <v>1291</v>
      </c>
      <c r="E271" s="1015" t="s">
        <v>1289</v>
      </c>
    </row>
    <row r="272" spans="1:5" x14ac:dyDescent="0.25">
      <c r="A272" s="947">
        <v>271</v>
      </c>
      <c r="B272" s="947" t="s">
        <v>1279</v>
      </c>
      <c r="C272" s="1018" t="s">
        <v>1296</v>
      </c>
      <c r="D272" s="1018" t="s">
        <v>1410</v>
      </c>
      <c r="E272" s="1015" t="s">
        <v>252</v>
      </c>
    </row>
    <row r="273" spans="1:5" x14ac:dyDescent="0.25">
      <c r="A273" s="947">
        <v>272</v>
      </c>
      <c r="B273" s="947" t="s">
        <v>1279</v>
      </c>
      <c r="C273" s="1018" t="s">
        <v>1296</v>
      </c>
      <c r="D273" s="1018" t="s">
        <v>1279</v>
      </c>
      <c r="E273" s="1018" t="s">
        <v>1246</v>
      </c>
    </row>
    <row r="274" spans="1:5" x14ac:dyDescent="0.25">
      <c r="A274" s="947">
        <v>273</v>
      </c>
      <c r="B274" s="947" t="s">
        <v>1279</v>
      </c>
      <c r="C274" s="1018" t="s">
        <v>1296</v>
      </c>
      <c r="D274" s="1018" t="s">
        <v>1279</v>
      </c>
      <c r="E274" s="1018" t="s">
        <v>225</v>
      </c>
    </row>
    <row r="275" spans="1:5" x14ac:dyDescent="0.25">
      <c r="A275" s="947">
        <v>274</v>
      </c>
      <c r="B275" s="947" t="s">
        <v>208</v>
      </c>
      <c r="C275" s="1018" t="s">
        <v>1296</v>
      </c>
      <c r="D275" s="1018" t="s">
        <v>1410</v>
      </c>
      <c r="E275" s="1017" t="s">
        <v>463</v>
      </c>
    </row>
    <row r="276" spans="1:5" x14ac:dyDescent="0.25">
      <c r="A276" s="947">
        <v>275</v>
      </c>
      <c r="B276" s="947" t="s">
        <v>1279</v>
      </c>
      <c r="C276" s="1018" t="s">
        <v>1296</v>
      </c>
      <c r="D276" s="1018" t="s">
        <v>1279</v>
      </c>
      <c r="E276" s="1017" t="s">
        <v>1282</v>
      </c>
    </row>
    <row r="277" spans="1:5" x14ac:dyDescent="0.25">
      <c r="A277" s="947">
        <v>276</v>
      </c>
      <c r="B277" s="947" t="s">
        <v>1279</v>
      </c>
      <c r="C277" s="1018" t="s">
        <v>1296</v>
      </c>
      <c r="D277" s="1018" t="s">
        <v>1410</v>
      </c>
      <c r="E277" s="1017" t="s">
        <v>1284</v>
      </c>
    </row>
    <row r="278" spans="1:5" x14ac:dyDescent="0.25">
      <c r="A278" s="947">
        <v>277</v>
      </c>
      <c r="B278" s="947" t="s">
        <v>1279</v>
      </c>
      <c r="C278" s="1018" t="s">
        <v>1296</v>
      </c>
      <c r="D278" s="1018" t="s">
        <v>1410</v>
      </c>
      <c r="E278" s="1017" t="s">
        <v>1285</v>
      </c>
    </row>
    <row r="279" spans="1:5" x14ac:dyDescent="0.25">
      <c r="A279" s="947">
        <v>278</v>
      </c>
      <c r="B279" s="947" t="s">
        <v>1279</v>
      </c>
      <c r="C279" s="1018" t="s">
        <v>1296</v>
      </c>
      <c r="D279" s="1018" t="s">
        <v>1444</v>
      </c>
      <c r="E279" s="1017" t="s">
        <v>1286</v>
      </c>
    </row>
    <row r="280" spans="1:5" x14ac:dyDescent="0.25">
      <c r="A280" s="947">
        <v>279</v>
      </c>
      <c r="B280" s="947" t="s">
        <v>1279</v>
      </c>
      <c r="C280" s="1018" t="s">
        <v>1296</v>
      </c>
      <c r="D280" s="1018" t="s">
        <v>1410</v>
      </c>
      <c r="E280" s="1017" t="s">
        <v>1287</v>
      </c>
    </row>
    <row r="281" spans="1:5" x14ac:dyDescent="0.25">
      <c r="A281" s="947">
        <v>280</v>
      </c>
      <c r="B281" s="947" t="s">
        <v>1279</v>
      </c>
      <c r="C281" s="1018" t="s">
        <v>1296</v>
      </c>
      <c r="D281" s="1018" t="s">
        <v>1444</v>
      </c>
      <c r="E281" s="1017" t="s">
        <v>1288</v>
      </c>
    </row>
    <row r="282" spans="1:5" x14ac:dyDescent="0.25">
      <c r="A282" s="947">
        <v>281</v>
      </c>
      <c r="B282" s="947" t="s">
        <v>1279</v>
      </c>
      <c r="C282" s="1018" t="s">
        <v>1296</v>
      </c>
      <c r="D282" s="1018" t="s">
        <v>1444</v>
      </c>
      <c r="E282" s="1017" t="s">
        <v>1228</v>
      </c>
    </row>
    <row r="283" spans="1:5" x14ac:dyDescent="0.25">
      <c r="A283" s="947">
        <v>282</v>
      </c>
      <c r="B283" s="947" t="s">
        <v>1279</v>
      </c>
      <c r="C283" s="1018" t="s">
        <v>102</v>
      </c>
      <c r="D283" s="1018" t="s">
        <v>1443</v>
      </c>
      <c r="E283" s="1015" t="s">
        <v>1289</v>
      </c>
    </row>
    <row r="284" spans="1:5" x14ac:dyDescent="0.25">
      <c r="A284" s="947">
        <v>283</v>
      </c>
      <c r="B284" s="947" t="s">
        <v>1279</v>
      </c>
      <c r="C284" s="1018" t="s">
        <v>102</v>
      </c>
      <c r="D284" s="1018" t="s">
        <v>1410</v>
      </c>
      <c r="E284" s="1015" t="s">
        <v>252</v>
      </c>
    </row>
    <row r="285" spans="1:5" x14ac:dyDescent="0.25">
      <c r="A285" s="947">
        <v>284</v>
      </c>
      <c r="B285" s="947" t="s">
        <v>1279</v>
      </c>
      <c r="C285" s="1018" t="s">
        <v>102</v>
      </c>
      <c r="D285" s="1018" t="s">
        <v>1279</v>
      </c>
      <c r="E285" s="1018" t="s">
        <v>1246</v>
      </c>
    </row>
    <row r="286" spans="1:5" x14ac:dyDescent="0.25">
      <c r="A286" s="947">
        <v>285</v>
      </c>
      <c r="B286" s="947" t="s">
        <v>1279</v>
      </c>
      <c r="C286" s="1018" t="s">
        <v>102</v>
      </c>
      <c r="D286" s="1018" t="s">
        <v>1279</v>
      </c>
      <c r="E286" s="1018" t="s">
        <v>225</v>
      </c>
    </row>
    <row r="287" spans="1:5" x14ac:dyDescent="0.25">
      <c r="A287" s="947">
        <v>286</v>
      </c>
      <c r="B287" s="947" t="s">
        <v>208</v>
      </c>
      <c r="C287" s="1018" t="s">
        <v>102</v>
      </c>
      <c r="D287" s="1018" t="s">
        <v>1410</v>
      </c>
      <c r="E287" s="1017" t="s">
        <v>463</v>
      </c>
    </row>
    <row r="288" spans="1:5" x14ac:dyDescent="0.25">
      <c r="A288" s="947">
        <v>287</v>
      </c>
      <c r="B288" s="947" t="s">
        <v>1279</v>
      </c>
      <c r="C288" s="1018" t="s">
        <v>102</v>
      </c>
      <c r="D288" s="1018" t="s">
        <v>1279</v>
      </c>
      <c r="E288" s="1017" t="s">
        <v>1282</v>
      </c>
    </row>
    <row r="289" spans="1:5" x14ac:dyDescent="0.25">
      <c r="A289" s="947">
        <v>288</v>
      </c>
      <c r="B289" s="947" t="s">
        <v>1279</v>
      </c>
      <c r="C289" s="1018" t="s">
        <v>102</v>
      </c>
      <c r="D289" s="1018" t="s">
        <v>1410</v>
      </c>
      <c r="E289" s="1017" t="s">
        <v>1284</v>
      </c>
    </row>
    <row r="290" spans="1:5" x14ac:dyDescent="0.25">
      <c r="A290" s="947">
        <v>289</v>
      </c>
      <c r="B290" s="947" t="s">
        <v>1279</v>
      </c>
      <c r="C290" s="1018" t="s">
        <v>102</v>
      </c>
      <c r="D290" s="1018" t="s">
        <v>1410</v>
      </c>
      <c r="E290" s="1017" t="s">
        <v>1285</v>
      </c>
    </row>
    <row r="291" spans="1:5" x14ac:dyDescent="0.25">
      <c r="A291" s="947">
        <v>290</v>
      </c>
      <c r="B291" s="947" t="s">
        <v>1279</v>
      </c>
      <c r="C291" s="1018" t="s">
        <v>102</v>
      </c>
      <c r="D291" s="1018" t="s">
        <v>1444</v>
      </c>
      <c r="E291" s="1017" t="s">
        <v>1286</v>
      </c>
    </row>
    <row r="292" spans="1:5" x14ac:dyDescent="0.25">
      <c r="A292" s="947">
        <v>291</v>
      </c>
      <c r="B292" s="947" t="s">
        <v>1279</v>
      </c>
      <c r="C292" s="1018" t="s">
        <v>102</v>
      </c>
      <c r="D292" s="1018" t="s">
        <v>1410</v>
      </c>
      <c r="E292" s="1017" t="s">
        <v>1287</v>
      </c>
    </row>
    <row r="293" spans="1:5" x14ac:dyDescent="0.25">
      <c r="A293" s="947">
        <v>292</v>
      </c>
      <c r="B293" s="947" t="s">
        <v>1279</v>
      </c>
      <c r="C293" s="1018" t="s">
        <v>102</v>
      </c>
      <c r="D293" s="1018" t="s">
        <v>1444</v>
      </c>
      <c r="E293" s="1017" t="s">
        <v>1288</v>
      </c>
    </row>
    <row r="294" spans="1:5" x14ac:dyDescent="0.25">
      <c r="A294" s="947">
        <v>293</v>
      </c>
      <c r="B294" s="947" t="s">
        <v>1279</v>
      </c>
      <c r="C294" s="1018" t="s">
        <v>102</v>
      </c>
      <c r="D294" s="1018" t="s">
        <v>1444</v>
      </c>
      <c r="E294" s="1017" t="s">
        <v>1228</v>
      </c>
    </row>
    <row r="295" spans="1:5" x14ac:dyDescent="0.25">
      <c r="A295" s="947">
        <v>294</v>
      </c>
      <c r="B295" s="947" t="s">
        <v>1279</v>
      </c>
      <c r="C295" s="1018" t="s">
        <v>100</v>
      </c>
      <c r="D295" s="1018" t="s">
        <v>1443</v>
      </c>
      <c r="E295" s="1015" t="s">
        <v>1289</v>
      </c>
    </row>
    <row r="296" spans="1:5" x14ac:dyDescent="0.25">
      <c r="A296" s="947">
        <v>295</v>
      </c>
      <c r="B296" s="947" t="s">
        <v>1279</v>
      </c>
      <c r="C296" s="1018" t="s">
        <v>100</v>
      </c>
      <c r="D296" s="1018" t="s">
        <v>1410</v>
      </c>
      <c r="E296" s="1015" t="s">
        <v>252</v>
      </c>
    </row>
    <row r="297" spans="1:5" x14ac:dyDescent="0.25">
      <c r="A297" s="947">
        <v>296</v>
      </c>
      <c r="B297" s="947" t="s">
        <v>1279</v>
      </c>
      <c r="C297" s="1018" t="s">
        <v>100</v>
      </c>
      <c r="D297" s="1018" t="s">
        <v>1279</v>
      </c>
      <c r="E297" s="1018" t="s">
        <v>1246</v>
      </c>
    </row>
    <row r="298" spans="1:5" x14ac:dyDescent="0.25">
      <c r="A298" s="947">
        <v>297</v>
      </c>
      <c r="B298" s="947" t="s">
        <v>1279</v>
      </c>
      <c r="C298" s="1018" t="s">
        <v>100</v>
      </c>
      <c r="D298" s="1018" t="s">
        <v>1279</v>
      </c>
      <c r="E298" s="1018" t="s">
        <v>225</v>
      </c>
    </row>
    <row r="299" spans="1:5" x14ac:dyDescent="0.25">
      <c r="A299" s="947">
        <v>298</v>
      </c>
      <c r="B299" s="947" t="s">
        <v>208</v>
      </c>
      <c r="C299" s="1018" t="s">
        <v>100</v>
      </c>
      <c r="D299" s="1018" t="s">
        <v>1410</v>
      </c>
      <c r="E299" s="1017" t="s">
        <v>463</v>
      </c>
    </row>
    <row r="300" spans="1:5" x14ac:dyDescent="0.25">
      <c r="A300" s="947">
        <v>299</v>
      </c>
      <c r="B300" s="947" t="s">
        <v>1279</v>
      </c>
      <c r="C300" s="1018" t="s">
        <v>100</v>
      </c>
      <c r="D300" s="1018" t="s">
        <v>1279</v>
      </c>
      <c r="E300" s="1017" t="s">
        <v>1282</v>
      </c>
    </row>
    <row r="301" spans="1:5" x14ac:dyDescent="0.25">
      <c r="A301" s="947">
        <v>300</v>
      </c>
      <c r="B301" s="947" t="s">
        <v>1279</v>
      </c>
      <c r="C301" s="1018" t="s">
        <v>100</v>
      </c>
      <c r="D301" s="1018" t="s">
        <v>1410</v>
      </c>
      <c r="E301" s="1017" t="s">
        <v>1284</v>
      </c>
    </row>
    <row r="302" spans="1:5" x14ac:dyDescent="0.25">
      <c r="A302" s="947">
        <v>301</v>
      </c>
      <c r="B302" s="947" t="s">
        <v>1279</v>
      </c>
      <c r="C302" s="1018" t="s">
        <v>100</v>
      </c>
      <c r="D302" s="1018" t="s">
        <v>1410</v>
      </c>
      <c r="E302" s="1017" t="s">
        <v>1285</v>
      </c>
    </row>
    <row r="303" spans="1:5" x14ac:dyDescent="0.25">
      <c r="A303" s="947">
        <v>302</v>
      </c>
      <c r="B303" s="947" t="s">
        <v>1279</v>
      </c>
      <c r="C303" s="1018" t="s">
        <v>100</v>
      </c>
      <c r="D303" s="1018" t="s">
        <v>1444</v>
      </c>
      <c r="E303" s="1017" t="s">
        <v>1286</v>
      </c>
    </row>
    <row r="304" spans="1:5" x14ac:dyDescent="0.25">
      <c r="A304" s="947">
        <v>303</v>
      </c>
      <c r="B304" s="947" t="s">
        <v>1279</v>
      </c>
      <c r="C304" s="1018" t="s">
        <v>100</v>
      </c>
      <c r="D304" s="1018" t="s">
        <v>1410</v>
      </c>
      <c r="E304" s="1017" t="s">
        <v>1287</v>
      </c>
    </row>
    <row r="305" spans="1:5" x14ac:dyDescent="0.25">
      <c r="A305" s="947">
        <v>304</v>
      </c>
      <c r="B305" s="947" t="s">
        <v>1279</v>
      </c>
      <c r="C305" s="1018" t="s">
        <v>100</v>
      </c>
      <c r="D305" s="1018" t="s">
        <v>1444</v>
      </c>
      <c r="E305" s="1017" t="s">
        <v>1288</v>
      </c>
    </row>
    <row r="306" spans="1:5" x14ac:dyDescent="0.25">
      <c r="A306" s="947">
        <v>305</v>
      </c>
      <c r="B306" s="947" t="s">
        <v>1279</v>
      </c>
      <c r="C306" s="1018" t="s">
        <v>100</v>
      </c>
      <c r="D306" s="1018" t="s">
        <v>1444</v>
      </c>
      <c r="E306" s="1017" t="s">
        <v>1228</v>
      </c>
    </row>
    <row r="307" spans="1:5" x14ac:dyDescent="0.25">
      <c r="A307" s="947">
        <v>306</v>
      </c>
      <c r="B307" s="947" t="s">
        <v>1279</v>
      </c>
      <c r="C307" s="1018" t="s">
        <v>104</v>
      </c>
      <c r="D307" s="1018" t="s">
        <v>1443</v>
      </c>
      <c r="E307" s="1015" t="s">
        <v>1289</v>
      </c>
    </row>
    <row r="308" spans="1:5" x14ac:dyDescent="0.25">
      <c r="A308" s="947">
        <v>307</v>
      </c>
      <c r="B308" s="947" t="s">
        <v>1279</v>
      </c>
      <c r="C308" s="1018" t="s">
        <v>104</v>
      </c>
      <c r="D308" s="1018" t="s">
        <v>1410</v>
      </c>
      <c r="E308" s="1015" t="s">
        <v>252</v>
      </c>
    </row>
    <row r="309" spans="1:5" x14ac:dyDescent="0.25">
      <c r="A309" s="947">
        <v>308</v>
      </c>
      <c r="B309" s="947" t="s">
        <v>1279</v>
      </c>
      <c r="C309" s="1018" t="s">
        <v>104</v>
      </c>
      <c r="D309" s="1018" t="s">
        <v>1279</v>
      </c>
      <c r="E309" s="1018" t="s">
        <v>1246</v>
      </c>
    </row>
    <row r="310" spans="1:5" x14ac:dyDescent="0.25">
      <c r="A310" s="947">
        <v>309</v>
      </c>
      <c r="B310" s="947" t="s">
        <v>1279</v>
      </c>
      <c r="C310" s="1018" t="s">
        <v>104</v>
      </c>
      <c r="D310" s="1018" t="s">
        <v>1279</v>
      </c>
      <c r="E310" s="1018" t="s">
        <v>225</v>
      </c>
    </row>
    <row r="311" spans="1:5" x14ac:dyDescent="0.25">
      <c r="A311" s="947">
        <v>310</v>
      </c>
      <c r="B311" s="947" t="s">
        <v>208</v>
      </c>
      <c r="C311" s="1018" t="s">
        <v>104</v>
      </c>
      <c r="D311" s="1018" t="s">
        <v>1410</v>
      </c>
      <c r="E311" s="1017" t="s">
        <v>463</v>
      </c>
    </row>
    <row r="312" spans="1:5" x14ac:dyDescent="0.25">
      <c r="A312" s="947">
        <v>311</v>
      </c>
      <c r="B312" s="947" t="s">
        <v>1279</v>
      </c>
      <c r="C312" s="1018" t="s">
        <v>104</v>
      </c>
      <c r="D312" s="1018" t="s">
        <v>1279</v>
      </c>
      <c r="E312" s="1017" t="s">
        <v>1282</v>
      </c>
    </row>
    <row r="313" spans="1:5" x14ac:dyDescent="0.25">
      <c r="A313" s="947">
        <v>312</v>
      </c>
      <c r="B313" s="947" t="s">
        <v>1279</v>
      </c>
      <c r="C313" s="1018" t="s">
        <v>104</v>
      </c>
      <c r="D313" s="1018" t="s">
        <v>1410</v>
      </c>
      <c r="E313" s="1017" t="s">
        <v>1284</v>
      </c>
    </row>
    <row r="314" spans="1:5" x14ac:dyDescent="0.25">
      <c r="A314" s="947">
        <v>313</v>
      </c>
      <c r="B314" s="947" t="s">
        <v>1279</v>
      </c>
      <c r="C314" s="1018" t="s">
        <v>104</v>
      </c>
      <c r="D314" s="1018" t="s">
        <v>1410</v>
      </c>
      <c r="E314" s="1017" t="s">
        <v>1285</v>
      </c>
    </row>
    <row r="315" spans="1:5" x14ac:dyDescent="0.25">
      <c r="A315" s="947">
        <v>314</v>
      </c>
      <c r="B315" s="947" t="s">
        <v>1279</v>
      </c>
      <c r="C315" s="1018" t="s">
        <v>104</v>
      </c>
      <c r="D315" s="1018" t="s">
        <v>1444</v>
      </c>
      <c r="E315" s="1017" t="s">
        <v>1286</v>
      </c>
    </row>
    <row r="316" spans="1:5" x14ac:dyDescent="0.25">
      <c r="A316" s="947">
        <v>315</v>
      </c>
      <c r="B316" s="947" t="s">
        <v>1279</v>
      </c>
      <c r="C316" s="1018" t="s">
        <v>104</v>
      </c>
      <c r="D316" s="1018" t="s">
        <v>1410</v>
      </c>
      <c r="E316" s="1017" t="s">
        <v>1287</v>
      </c>
    </row>
    <row r="317" spans="1:5" x14ac:dyDescent="0.25">
      <c r="A317" s="947">
        <v>316</v>
      </c>
      <c r="B317" s="947" t="s">
        <v>1279</v>
      </c>
      <c r="C317" s="1018" t="s">
        <v>104</v>
      </c>
      <c r="D317" s="1018" t="s">
        <v>1444</v>
      </c>
      <c r="E317" s="1017" t="s">
        <v>1288</v>
      </c>
    </row>
    <row r="318" spans="1:5" x14ac:dyDescent="0.25">
      <c r="A318" s="947">
        <v>317</v>
      </c>
      <c r="B318" s="947" t="s">
        <v>1279</v>
      </c>
      <c r="C318" s="1018" t="s">
        <v>104</v>
      </c>
      <c r="D318" s="1018" t="s">
        <v>1444</v>
      </c>
      <c r="E318" s="1017" t="s">
        <v>1228</v>
      </c>
    </row>
    <row r="319" spans="1:5" x14ac:dyDescent="0.25">
      <c r="A319" s="947">
        <v>318</v>
      </c>
      <c r="B319" s="947" t="s">
        <v>1279</v>
      </c>
      <c r="C319" s="1018" t="s">
        <v>98</v>
      </c>
      <c r="D319" s="1018" t="s">
        <v>1443</v>
      </c>
      <c r="E319" s="1015" t="s">
        <v>1289</v>
      </c>
    </row>
    <row r="320" spans="1:5" x14ac:dyDescent="0.25">
      <c r="A320" s="947">
        <v>319</v>
      </c>
      <c r="B320" s="947" t="s">
        <v>1279</v>
      </c>
      <c r="C320" s="1018" t="s">
        <v>98</v>
      </c>
      <c r="D320" s="1018" t="s">
        <v>1410</v>
      </c>
      <c r="E320" s="1015" t="s">
        <v>252</v>
      </c>
    </row>
    <row r="321" spans="1:5" x14ac:dyDescent="0.25">
      <c r="A321" s="947">
        <v>320</v>
      </c>
      <c r="B321" s="947" t="s">
        <v>1279</v>
      </c>
      <c r="C321" s="1018" t="s">
        <v>98</v>
      </c>
      <c r="D321" s="1018" t="s">
        <v>1279</v>
      </c>
      <c r="E321" s="1018" t="s">
        <v>1246</v>
      </c>
    </row>
    <row r="322" spans="1:5" x14ac:dyDescent="0.25">
      <c r="A322" s="947">
        <v>321</v>
      </c>
      <c r="B322" s="947" t="s">
        <v>1279</v>
      </c>
      <c r="C322" s="1018" t="s">
        <v>98</v>
      </c>
      <c r="D322" s="1018" t="s">
        <v>1279</v>
      </c>
      <c r="E322" s="1018" t="s">
        <v>225</v>
      </c>
    </row>
    <row r="323" spans="1:5" x14ac:dyDescent="0.25">
      <c r="A323" s="947">
        <v>322</v>
      </c>
      <c r="B323" s="947" t="s">
        <v>208</v>
      </c>
      <c r="C323" s="1018" t="s">
        <v>98</v>
      </c>
      <c r="D323" s="1018" t="s">
        <v>1410</v>
      </c>
      <c r="E323" s="1017" t="s">
        <v>463</v>
      </c>
    </row>
    <row r="324" spans="1:5" x14ac:dyDescent="0.25">
      <c r="A324" s="947">
        <v>323</v>
      </c>
      <c r="B324" s="947" t="s">
        <v>1279</v>
      </c>
      <c r="C324" s="1018" t="s">
        <v>98</v>
      </c>
      <c r="D324" s="1018" t="s">
        <v>1279</v>
      </c>
      <c r="E324" s="1017" t="s">
        <v>1282</v>
      </c>
    </row>
    <row r="325" spans="1:5" x14ac:dyDescent="0.25">
      <c r="A325" s="947">
        <v>324</v>
      </c>
      <c r="B325" s="947" t="s">
        <v>1279</v>
      </c>
      <c r="C325" s="1018" t="s">
        <v>98</v>
      </c>
      <c r="D325" s="1018" t="s">
        <v>1410</v>
      </c>
      <c r="E325" s="1017" t="s">
        <v>1284</v>
      </c>
    </row>
    <row r="326" spans="1:5" x14ac:dyDescent="0.25">
      <c r="A326" s="947">
        <v>325</v>
      </c>
      <c r="B326" s="947" t="s">
        <v>1279</v>
      </c>
      <c r="C326" s="1018" t="s">
        <v>98</v>
      </c>
      <c r="D326" s="1018" t="s">
        <v>1410</v>
      </c>
      <c r="E326" s="1017" t="s">
        <v>1285</v>
      </c>
    </row>
    <row r="327" spans="1:5" x14ac:dyDescent="0.25">
      <c r="A327" s="947">
        <v>326</v>
      </c>
      <c r="B327" s="947" t="s">
        <v>1279</v>
      </c>
      <c r="C327" s="1018" t="s">
        <v>98</v>
      </c>
      <c r="D327" s="1018" t="s">
        <v>1444</v>
      </c>
      <c r="E327" s="1017" t="s">
        <v>1286</v>
      </c>
    </row>
    <row r="328" spans="1:5" x14ac:dyDescent="0.25">
      <c r="A328" s="947">
        <v>327</v>
      </c>
      <c r="B328" s="947" t="s">
        <v>1279</v>
      </c>
      <c r="C328" s="1018" t="s">
        <v>98</v>
      </c>
      <c r="D328" s="1018" t="s">
        <v>1410</v>
      </c>
      <c r="E328" s="1017" t="s">
        <v>1287</v>
      </c>
    </row>
    <row r="329" spans="1:5" x14ac:dyDescent="0.25">
      <c r="A329" s="947">
        <v>328</v>
      </c>
      <c r="B329" s="947" t="s">
        <v>1279</v>
      </c>
      <c r="C329" s="1018" t="s">
        <v>98</v>
      </c>
      <c r="D329" s="1018" t="s">
        <v>1444</v>
      </c>
      <c r="E329" s="1017" t="s">
        <v>1288</v>
      </c>
    </row>
    <row r="330" spans="1:5" x14ac:dyDescent="0.25">
      <c r="A330" s="947">
        <v>329</v>
      </c>
      <c r="B330" s="947" t="s">
        <v>1279</v>
      </c>
      <c r="C330" s="1018" t="s">
        <v>98</v>
      </c>
      <c r="D330" s="1018" t="s">
        <v>1444</v>
      </c>
      <c r="E330" s="1017" t="s">
        <v>1228</v>
      </c>
    </row>
    <row r="331" spans="1:5" x14ac:dyDescent="0.25">
      <c r="A331" s="947">
        <v>330</v>
      </c>
      <c r="B331" s="947" t="s">
        <v>1279</v>
      </c>
      <c r="C331" s="1018" t="s">
        <v>95</v>
      </c>
      <c r="D331" s="1018" t="s">
        <v>1443</v>
      </c>
      <c r="E331" s="1015" t="s">
        <v>1289</v>
      </c>
    </row>
    <row r="332" spans="1:5" x14ac:dyDescent="0.25">
      <c r="A332" s="947">
        <v>331</v>
      </c>
      <c r="B332" s="947" t="s">
        <v>1279</v>
      </c>
      <c r="C332" s="1018" t="s">
        <v>95</v>
      </c>
      <c r="D332" s="1018" t="s">
        <v>1410</v>
      </c>
      <c r="E332" s="1015" t="s">
        <v>252</v>
      </c>
    </row>
    <row r="333" spans="1:5" x14ac:dyDescent="0.25">
      <c r="A333" s="947">
        <v>332</v>
      </c>
      <c r="B333" s="947" t="s">
        <v>1279</v>
      </c>
      <c r="C333" s="1018" t="s">
        <v>95</v>
      </c>
      <c r="D333" s="1018" t="s">
        <v>1279</v>
      </c>
      <c r="E333" s="1018" t="s">
        <v>1246</v>
      </c>
    </row>
    <row r="334" spans="1:5" x14ac:dyDescent="0.25">
      <c r="A334" s="947">
        <v>333</v>
      </c>
      <c r="B334" s="947" t="s">
        <v>1279</v>
      </c>
      <c r="C334" s="1018" t="s">
        <v>95</v>
      </c>
      <c r="D334" s="1018" t="s">
        <v>1279</v>
      </c>
      <c r="E334" s="1018" t="s">
        <v>225</v>
      </c>
    </row>
    <row r="335" spans="1:5" x14ac:dyDescent="0.25">
      <c r="A335" s="947">
        <v>334</v>
      </c>
      <c r="B335" s="947" t="s">
        <v>208</v>
      </c>
      <c r="C335" s="1018" t="s">
        <v>95</v>
      </c>
      <c r="D335" s="1018" t="s">
        <v>1410</v>
      </c>
      <c r="E335" s="1017" t="s">
        <v>463</v>
      </c>
    </row>
    <row r="336" spans="1:5" x14ac:dyDescent="0.25">
      <c r="A336" s="947">
        <v>335</v>
      </c>
      <c r="B336" s="947" t="s">
        <v>1279</v>
      </c>
      <c r="C336" s="1018" t="s">
        <v>95</v>
      </c>
      <c r="D336" s="1018" t="s">
        <v>1279</v>
      </c>
      <c r="E336" s="1017" t="s">
        <v>1282</v>
      </c>
    </row>
    <row r="337" spans="1:5" x14ac:dyDescent="0.25">
      <c r="A337" s="947">
        <v>336</v>
      </c>
      <c r="B337" s="947" t="s">
        <v>1279</v>
      </c>
      <c r="C337" s="1018" t="s">
        <v>95</v>
      </c>
      <c r="D337" s="1018" t="s">
        <v>1410</v>
      </c>
      <c r="E337" s="1017" t="s">
        <v>1284</v>
      </c>
    </row>
    <row r="338" spans="1:5" x14ac:dyDescent="0.25">
      <c r="A338" s="947">
        <v>337</v>
      </c>
      <c r="B338" s="947" t="s">
        <v>1279</v>
      </c>
      <c r="C338" s="1018" t="s">
        <v>95</v>
      </c>
      <c r="D338" s="1018" t="s">
        <v>1410</v>
      </c>
      <c r="E338" s="1017" t="s">
        <v>1285</v>
      </c>
    </row>
    <row r="339" spans="1:5" x14ac:dyDescent="0.25">
      <c r="A339" s="947">
        <v>338</v>
      </c>
      <c r="B339" s="947" t="s">
        <v>1279</v>
      </c>
      <c r="C339" s="1018" t="s">
        <v>95</v>
      </c>
      <c r="D339" s="1018" t="s">
        <v>1444</v>
      </c>
      <c r="E339" s="1017" t="s">
        <v>1286</v>
      </c>
    </row>
    <row r="340" spans="1:5" x14ac:dyDescent="0.25">
      <c r="A340" s="947">
        <v>339</v>
      </c>
      <c r="B340" s="947" t="s">
        <v>1279</v>
      </c>
      <c r="C340" s="1018" t="s">
        <v>95</v>
      </c>
      <c r="D340" s="1018" t="s">
        <v>1410</v>
      </c>
      <c r="E340" s="1017" t="s">
        <v>1287</v>
      </c>
    </row>
    <row r="341" spans="1:5" x14ac:dyDescent="0.25">
      <c r="A341" s="947">
        <v>340</v>
      </c>
      <c r="B341" s="947" t="s">
        <v>1279</v>
      </c>
      <c r="C341" s="1018" t="s">
        <v>95</v>
      </c>
      <c r="D341" s="1018" t="s">
        <v>1444</v>
      </c>
      <c r="E341" s="1017" t="s">
        <v>1288</v>
      </c>
    </row>
    <row r="342" spans="1:5" x14ac:dyDescent="0.25">
      <c r="A342" s="947">
        <v>341</v>
      </c>
      <c r="B342" s="947" t="s">
        <v>1279</v>
      </c>
      <c r="C342" s="1018" t="s">
        <v>95</v>
      </c>
      <c r="D342" s="1018" t="s">
        <v>1444</v>
      </c>
      <c r="E342" s="1017" t="s">
        <v>1228</v>
      </c>
    </row>
    <row r="343" spans="1:5" x14ac:dyDescent="0.25">
      <c r="A343" s="947">
        <v>342</v>
      </c>
      <c r="B343" s="947" t="s">
        <v>1279</v>
      </c>
      <c r="C343" s="1018" t="s">
        <v>96</v>
      </c>
      <c r="D343" s="1018" t="s">
        <v>1443</v>
      </c>
      <c r="E343" s="1015" t="s">
        <v>1289</v>
      </c>
    </row>
    <row r="344" spans="1:5" x14ac:dyDescent="0.25">
      <c r="A344" s="947">
        <v>343</v>
      </c>
      <c r="B344" s="947" t="s">
        <v>1279</v>
      </c>
      <c r="C344" s="1018" t="s">
        <v>96</v>
      </c>
      <c r="D344" s="1018" t="s">
        <v>1410</v>
      </c>
      <c r="E344" s="1015" t="s">
        <v>252</v>
      </c>
    </row>
    <row r="345" spans="1:5" x14ac:dyDescent="0.25">
      <c r="A345" s="947">
        <v>344</v>
      </c>
      <c r="B345" s="947" t="s">
        <v>1279</v>
      </c>
      <c r="C345" s="1018" t="s">
        <v>96</v>
      </c>
      <c r="D345" s="1018" t="s">
        <v>1279</v>
      </c>
      <c r="E345" s="1018" t="s">
        <v>1246</v>
      </c>
    </row>
    <row r="346" spans="1:5" x14ac:dyDescent="0.25">
      <c r="A346" s="947">
        <v>345</v>
      </c>
      <c r="B346" s="947" t="s">
        <v>1279</v>
      </c>
      <c r="C346" s="1018" t="s">
        <v>96</v>
      </c>
      <c r="D346" s="1018" t="s">
        <v>1279</v>
      </c>
      <c r="E346" s="1018" t="s">
        <v>225</v>
      </c>
    </row>
    <row r="347" spans="1:5" x14ac:dyDescent="0.25">
      <c r="A347" s="947">
        <v>346</v>
      </c>
      <c r="B347" s="947" t="s">
        <v>208</v>
      </c>
      <c r="C347" s="1018" t="s">
        <v>96</v>
      </c>
      <c r="D347" s="1018" t="s">
        <v>1410</v>
      </c>
      <c r="E347" s="1017" t="s">
        <v>463</v>
      </c>
    </row>
    <row r="348" spans="1:5" x14ac:dyDescent="0.25">
      <c r="A348" s="947">
        <v>347</v>
      </c>
      <c r="B348" s="947" t="s">
        <v>1279</v>
      </c>
      <c r="C348" s="1018" t="s">
        <v>96</v>
      </c>
      <c r="D348" s="1018" t="s">
        <v>1279</v>
      </c>
      <c r="E348" s="1017" t="s">
        <v>1282</v>
      </c>
    </row>
    <row r="349" spans="1:5" x14ac:dyDescent="0.25">
      <c r="A349" s="947">
        <v>348</v>
      </c>
      <c r="B349" s="947" t="s">
        <v>1279</v>
      </c>
      <c r="C349" s="1018" t="s">
        <v>96</v>
      </c>
      <c r="D349" s="1018" t="s">
        <v>1410</v>
      </c>
      <c r="E349" s="1017" t="s">
        <v>1284</v>
      </c>
    </row>
    <row r="350" spans="1:5" x14ac:dyDescent="0.25">
      <c r="A350" s="947">
        <v>349</v>
      </c>
      <c r="B350" s="947" t="s">
        <v>1279</v>
      </c>
      <c r="C350" s="1018" t="s">
        <v>96</v>
      </c>
      <c r="D350" s="1018" t="s">
        <v>1410</v>
      </c>
      <c r="E350" s="1017" t="s">
        <v>1285</v>
      </c>
    </row>
    <row r="351" spans="1:5" x14ac:dyDescent="0.25">
      <c r="A351" s="947">
        <v>350</v>
      </c>
      <c r="B351" s="947" t="s">
        <v>1279</v>
      </c>
      <c r="C351" s="1018" t="s">
        <v>96</v>
      </c>
      <c r="D351" s="1018" t="s">
        <v>1444</v>
      </c>
      <c r="E351" s="1017" t="s">
        <v>1286</v>
      </c>
    </row>
    <row r="352" spans="1:5" x14ac:dyDescent="0.25">
      <c r="A352" s="947">
        <v>351</v>
      </c>
      <c r="B352" s="947" t="s">
        <v>1279</v>
      </c>
      <c r="C352" s="1018" t="s">
        <v>96</v>
      </c>
      <c r="D352" s="1018" t="s">
        <v>1410</v>
      </c>
      <c r="E352" s="1017" t="s">
        <v>1287</v>
      </c>
    </row>
    <row r="353" spans="1:5" x14ac:dyDescent="0.25">
      <c r="A353" s="947">
        <v>352</v>
      </c>
      <c r="B353" s="947" t="s">
        <v>1279</v>
      </c>
      <c r="C353" s="1018" t="s">
        <v>96</v>
      </c>
      <c r="D353" s="1018" t="s">
        <v>1444</v>
      </c>
      <c r="E353" s="1017" t="s">
        <v>1288</v>
      </c>
    </row>
    <row r="354" spans="1:5" x14ac:dyDescent="0.25">
      <c r="A354" s="947">
        <v>353</v>
      </c>
      <c r="B354" s="947" t="s">
        <v>1279</v>
      </c>
      <c r="C354" s="1018" t="s">
        <v>96</v>
      </c>
      <c r="D354" s="1018" t="s">
        <v>1444</v>
      </c>
      <c r="E354" s="1017" t="s">
        <v>1228</v>
      </c>
    </row>
    <row r="355" spans="1:5" x14ac:dyDescent="0.25">
      <c r="A355" s="947">
        <v>354</v>
      </c>
      <c r="B355" s="947" t="s">
        <v>1279</v>
      </c>
      <c r="C355" s="1018" t="s">
        <v>101</v>
      </c>
      <c r="D355" s="1018" t="s">
        <v>1443</v>
      </c>
      <c r="E355" s="1015" t="s">
        <v>1289</v>
      </c>
    </row>
    <row r="356" spans="1:5" x14ac:dyDescent="0.25">
      <c r="A356" s="947">
        <v>355</v>
      </c>
      <c r="B356" s="947" t="s">
        <v>1279</v>
      </c>
      <c r="C356" s="1018" t="s">
        <v>101</v>
      </c>
      <c r="D356" s="1018" t="s">
        <v>1410</v>
      </c>
      <c r="E356" s="1015" t="s">
        <v>252</v>
      </c>
    </row>
    <row r="357" spans="1:5" x14ac:dyDescent="0.25">
      <c r="A357" s="947">
        <v>356</v>
      </c>
      <c r="B357" s="947" t="s">
        <v>1279</v>
      </c>
      <c r="C357" s="1018" t="s">
        <v>101</v>
      </c>
      <c r="D357" s="1018" t="s">
        <v>1279</v>
      </c>
      <c r="E357" s="1018" t="s">
        <v>1246</v>
      </c>
    </row>
    <row r="358" spans="1:5" x14ac:dyDescent="0.25">
      <c r="A358" s="947">
        <v>357</v>
      </c>
      <c r="B358" s="947" t="s">
        <v>1279</v>
      </c>
      <c r="C358" s="1018" t="s">
        <v>101</v>
      </c>
      <c r="D358" s="1018" t="s">
        <v>1279</v>
      </c>
      <c r="E358" s="1018" t="s">
        <v>225</v>
      </c>
    </row>
    <row r="359" spans="1:5" x14ac:dyDescent="0.25">
      <c r="A359" s="947">
        <v>358</v>
      </c>
      <c r="B359" s="947" t="s">
        <v>208</v>
      </c>
      <c r="C359" s="1018" t="s">
        <v>101</v>
      </c>
      <c r="D359" s="1018" t="s">
        <v>1410</v>
      </c>
      <c r="E359" s="1017" t="s">
        <v>463</v>
      </c>
    </row>
    <row r="360" spans="1:5" x14ac:dyDescent="0.25">
      <c r="A360" s="947">
        <v>359</v>
      </c>
      <c r="B360" s="947" t="s">
        <v>1279</v>
      </c>
      <c r="C360" s="1018" t="s">
        <v>101</v>
      </c>
      <c r="D360" s="1018" t="s">
        <v>1279</v>
      </c>
      <c r="E360" s="1017" t="s">
        <v>1282</v>
      </c>
    </row>
    <row r="361" spans="1:5" x14ac:dyDescent="0.25">
      <c r="A361" s="947">
        <v>360</v>
      </c>
      <c r="B361" s="947" t="s">
        <v>1279</v>
      </c>
      <c r="C361" s="1018" t="s">
        <v>101</v>
      </c>
      <c r="D361" s="1018" t="s">
        <v>1410</v>
      </c>
      <c r="E361" s="1017" t="s">
        <v>1284</v>
      </c>
    </row>
    <row r="362" spans="1:5" x14ac:dyDescent="0.25">
      <c r="A362" s="947">
        <v>361</v>
      </c>
      <c r="B362" s="947" t="s">
        <v>1279</v>
      </c>
      <c r="C362" s="1018" t="s">
        <v>101</v>
      </c>
      <c r="D362" s="1018" t="s">
        <v>1410</v>
      </c>
      <c r="E362" s="1017" t="s">
        <v>1285</v>
      </c>
    </row>
    <row r="363" spans="1:5" x14ac:dyDescent="0.25">
      <c r="A363" s="947">
        <v>362</v>
      </c>
      <c r="B363" s="947" t="s">
        <v>1279</v>
      </c>
      <c r="C363" s="1018" t="s">
        <v>101</v>
      </c>
      <c r="D363" s="1018" t="s">
        <v>1444</v>
      </c>
      <c r="E363" s="1017" t="s">
        <v>1286</v>
      </c>
    </row>
    <row r="364" spans="1:5" x14ac:dyDescent="0.25">
      <c r="A364" s="947">
        <v>363</v>
      </c>
      <c r="B364" s="947" t="s">
        <v>1279</v>
      </c>
      <c r="C364" s="1018" t="s">
        <v>101</v>
      </c>
      <c r="D364" s="1018" t="s">
        <v>1410</v>
      </c>
      <c r="E364" s="1017" t="s">
        <v>1287</v>
      </c>
    </row>
    <row r="365" spans="1:5" x14ac:dyDescent="0.25">
      <c r="A365" s="947">
        <v>364</v>
      </c>
      <c r="B365" s="947" t="s">
        <v>1279</v>
      </c>
      <c r="C365" s="1018" t="s">
        <v>101</v>
      </c>
      <c r="D365" s="1018" t="s">
        <v>1444</v>
      </c>
      <c r="E365" s="1017" t="s">
        <v>1288</v>
      </c>
    </row>
    <row r="366" spans="1:5" x14ac:dyDescent="0.25">
      <c r="A366" s="947">
        <v>365</v>
      </c>
      <c r="B366" s="947" t="s">
        <v>1279</v>
      </c>
      <c r="C366" s="1018" t="s">
        <v>101</v>
      </c>
      <c r="D366" s="1018" t="s">
        <v>1444</v>
      </c>
      <c r="E366" s="1017" t="s">
        <v>1228</v>
      </c>
    </row>
    <row r="367" spans="1:5" x14ac:dyDescent="0.25">
      <c r="A367" s="947">
        <v>366</v>
      </c>
      <c r="B367" s="947" t="s">
        <v>1279</v>
      </c>
      <c r="C367" s="1018" t="s">
        <v>97</v>
      </c>
      <c r="D367" s="1018" t="s">
        <v>1443</v>
      </c>
      <c r="E367" s="1015" t="s">
        <v>1289</v>
      </c>
    </row>
    <row r="368" spans="1:5" x14ac:dyDescent="0.25">
      <c r="A368" s="947">
        <v>367</v>
      </c>
      <c r="B368" s="947" t="s">
        <v>1279</v>
      </c>
      <c r="C368" s="1018" t="s">
        <v>97</v>
      </c>
      <c r="D368" s="1018" t="s">
        <v>1410</v>
      </c>
      <c r="E368" s="1015" t="s">
        <v>252</v>
      </c>
    </row>
    <row r="369" spans="1:5" x14ac:dyDescent="0.25">
      <c r="A369" s="947">
        <v>368</v>
      </c>
      <c r="B369" s="947" t="s">
        <v>1279</v>
      </c>
      <c r="C369" s="1018" t="s">
        <v>97</v>
      </c>
      <c r="D369" s="1018" t="s">
        <v>1279</v>
      </c>
      <c r="E369" s="1018" t="s">
        <v>1246</v>
      </c>
    </row>
    <row r="370" spans="1:5" x14ac:dyDescent="0.25">
      <c r="A370" s="947">
        <v>369</v>
      </c>
      <c r="B370" s="947" t="s">
        <v>1279</v>
      </c>
      <c r="C370" s="1018" t="s">
        <v>97</v>
      </c>
      <c r="D370" s="1018" t="s">
        <v>1279</v>
      </c>
      <c r="E370" s="1018" t="s">
        <v>225</v>
      </c>
    </row>
    <row r="371" spans="1:5" x14ac:dyDescent="0.25">
      <c r="A371" s="947">
        <v>370</v>
      </c>
      <c r="B371" s="947" t="s">
        <v>208</v>
      </c>
      <c r="C371" s="1018" t="s">
        <v>97</v>
      </c>
      <c r="D371" s="1018" t="s">
        <v>1410</v>
      </c>
      <c r="E371" s="1017" t="s">
        <v>463</v>
      </c>
    </row>
    <row r="372" spans="1:5" x14ac:dyDescent="0.25">
      <c r="A372" s="947">
        <v>371</v>
      </c>
      <c r="B372" s="947" t="s">
        <v>1279</v>
      </c>
      <c r="C372" s="1018" t="s">
        <v>97</v>
      </c>
      <c r="D372" s="1018" t="s">
        <v>1279</v>
      </c>
      <c r="E372" s="1017" t="s">
        <v>1282</v>
      </c>
    </row>
    <row r="373" spans="1:5" x14ac:dyDescent="0.25">
      <c r="A373" s="947">
        <v>372</v>
      </c>
      <c r="B373" s="947" t="s">
        <v>1279</v>
      </c>
      <c r="C373" s="1018" t="s">
        <v>97</v>
      </c>
      <c r="D373" s="1018" t="s">
        <v>1410</v>
      </c>
      <c r="E373" s="1017" t="s">
        <v>1284</v>
      </c>
    </row>
    <row r="374" spans="1:5" x14ac:dyDescent="0.25">
      <c r="A374" s="947">
        <v>373</v>
      </c>
      <c r="B374" s="947" t="s">
        <v>1279</v>
      </c>
      <c r="C374" s="1018" t="s">
        <v>97</v>
      </c>
      <c r="D374" s="1018" t="s">
        <v>1410</v>
      </c>
      <c r="E374" s="1017" t="s">
        <v>1285</v>
      </c>
    </row>
    <row r="375" spans="1:5" x14ac:dyDescent="0.25">
      <c r="A375" s="947">
        <v>374</v>
      </c>
      <c r="B375" s="947" t="s">
        <v>1279</v>
      </c>
      <c r="C375" s="1018" t="s">
        <v>97</v>
      </c>
      <c r="D375" s="1018" t="s">
        <v>1444</v>
      </c>
      <c r="E375" s="1017" t="s">
        <v>1286</v>
      </c>
    </row>
    <row r="376" spans="1:5" x14ac:dyDescent="0.25">
      <c r="A376" s="947">
        <v>375</v>
      </c>
      <c r="B376" s="947" t="s">
        <v>1279</v>
      </c>
      <c r="C376" s="1018" t="s">
        <v>97</v>
      </c>
      <c r="D376" s="1018" t="s">
        <v>1410</v>
      </c>
      <c r="E376" s="1017" t="s">
        <v>1287</v>
      </c>
    </row>
    <row r="377" spans="1:5" x14ac:dyDescent="0.25">
      <c r="A377" s="947">
        <v>376</v>
      </c>
      <c r="B377" s="947" t="s">
        <v>1279</v>
      </c>
      <c r="C377" s="1018" t="s">
        <v>97</v>
      </c>
      <c r="D377" s="1018" t="s">
        <v>1444</v>
      </c>
      <c r="E377" s="1017" t="s">
        <v>1288</v>
      </c>
    </row>
    <row r="378" spans="1:5" x14ac:dyDescent="0.25">
      <c r="A378" s="947">
        <v>377</v>
      </c>
      <c r="B378" s="947" t="s">
        <v>1279</v>
      </c>
      <c r="C378" s="1018" t="s">
        <v>97</v>
      </c>
      <c r="D378" s="1018" t="s">
        <v>1444</v>
      </c>
      <c r="E378" s="1017" t="s">
        <v>1228</v>
      </c>
    </row>
    <row r="379" spans="1:5" x14ac:dyDescent="0.25">
      <c r="A379" s="947">
        <v>378</v>
      </c>
      <c r="B379" s="947" t="s">
        <v>1279</v>
      </c>
      <c r="C379" s="1018" t="s">
        <v>93</v>
      </c>
      <c r="D379" s="1018" t="s">
        <v>1443</v>
      </c>
      <c r="E379" s="1015" t="s">
        <v>1289</v>
      </c>
    </row>
    <row r="380" spans="1:5" x14ac:dyDescent="0.25">
      <c r="A380" s="947">
        <v>379</v>
      </c>
      <c r="B380" s="947" t="s">
        <v>1279</v>
      </c>
      <c r="C380" s="1018" t="s">
        <v>93</v>
      </c>
      <c r="D380" s="1018" t="s">
        <v>1410</v>
      </c>
      <c r="E380" s="1015" t="s">
        <v>252</v>
      </c>
    </row>
    <row r="381" spans="1:5" x14ac:dyDescent="0.25">
      <c r="A381" s="947">
        <v>380</v>
      </c>
      <c r="B381" s="947" t="s">
        <v>1279</v>
      </c>
      <c r="C381" s="1018" t="s">
        <v>93</v>
      </c>
      <c r="D381" s="1018" t="s">
        <v>1279</v>
      </c>
      <c r="E381" s="1018" t="s">
        <v>1246</v>
      </c>
    </row>
    <row r="382" spans="1:5" x14ac:dyDescent="0.25">
      <c r="A382" s="947">
        <v>381</v>
      </c>
      <c r="B382" s="947" t="s">
        <v>1279</v>
      </c>
      <c r="C382" s="1018" t="s">
        <v>93</v>
      </c>
      <c r="D382" s="1018" t="s">
        <v>1279</v>
      </c>
      <c r="E382" s="1018" t="s">
        <v>225</v>
      </c>
    </row>
    <row r="383" spans="1:5" x14ac:dyDescent="0.25">
      <c r="A383" s="947">
        <v>382</v>
      </c>
      <c r="B383" s="947" t="s">
        <v>208</v>
      </c>
      <c r="C383" s="1018" t="s">
        <v>93</v>
      </c>
      <c r="D383" s="1018" t="s">
        <v>1410</v>
      </c>
      <c r="E383" s="1017" t="s">
        <v>463</v>
      </c>
    </row>
    <row r="384" spans="1:5" x14ac:dyDescent="0.25">
      <c r="A384" s="947">
        <v>383</v>
      </c>
      <c r="B384" s="947" t="s">
        <v>1279</v>
      </c>
      <c r="C384" s="1018" t="s">
        <v>93</v>
      </c>
      <c r="D384" s="1018" t="s">
        <v>1279</v>
      </c>
      <c r="E384" s="1017" t="s">
        <v>1282</v>
      </c>
    </row>
    <row r="385" spans="1:5" x14ac:dyDescent="0.25">
      <c r="A385" s="947">
        <v>384</v>
      </c>
      <c r="B385" s="947" t="s">
        <v>1279</v>
      </c>
      <c r="C385" s="1018" t="s">
        <v>93</v>
      </c>
      <c r="D385" s="1018" t="s">
        <v>1410</v>
      </c>
      <c r="E385" s="1017" t="s">
        <v>1284</v>
      </c>
    </row>
    <row r="386" spans="1:5" x14ac:dyDescent="0.25">
      <c r="A386" s="947">
        <v>385</v>
      </c>
      <c r="B386" s="947" t="s">
        <v>1279</v>
      </c>
      <c r="C386" s="1018" t="s">
        <v>93</v>
      </c>
      <c r="D386" s="1018" t="s">
        <v>1410</v>
      </c>
      <c r="E386" s="1017" t="s">
        <v>1285</v>
      </c>
    </row>
    <row r="387" spans="1:5" x14ac:dyDescent="0.25">
      <c r="A387" s="947">
        <v>386</v>
      </c>
      <c r="B387" s="947" t="s">
        <v>1279</v>
      </c>
      <c r="C387" s="1018" t="s">
        <v>93</v>
      </c>
      <c r="D387" s="1018" t="s">
        <v>1444</v>
      </c>
      <c r="E387" s="1017" t="s">
        <v>1286</v>
      </c>
    </row>
    <row r="388" spans="1:5" x14ac:dyDescent="0.25">
      <c r="A388" s="947">
        <v>387</v>
      </c>
      <c r="B388" s="947" t="s">
        <v>1279</v>
      </c>
      <c r="C388" s="1018" t="s">
        <v>93</v>
      </c>
      <c r="D388" s="1018" t="s">
        <v>1410</v>
      </c>
      <c r="E388" s="1017" t="s">
        <v>1287</v>
      </c>
    </row>
    <row r="389" spans="1:5" x14ac:dyDescent="0.25">
      <c r="A389" s="947">
        <v>388</v>
      </c>
      <c r="B389" s="947" t="s">
        <v>1279</v>
      </c>
      <c r="C389" s="1018" t="s">
        <v>93</v>
      </c>
      <c r="D389" s="1018" t="s">
        <v>1444</v>
      </c>
      <c r="E389" s="1017" t="s">
        <v>1288</v>
      </c>
    </row>
    <row r="390" spans="1:5" x14ac:dyDescent="0.25">
      <c r="A390" s="947">
        <v>389</v>
      </c>
      <c r="B390" s="947" t="s">
        <v>1279</v>
      </c>
      <c r="C390" s="1018" t="s">
        <v>93</v>
      </c>
      <c r="D390" s="1018" t="s">
        <v>1444</v>
      </c>
      <c r="E390" s="1017" t="s">
        <v>1228</v>
      </c>
    </row>
    <row r="391" spans="1:5" x14ac:dyDescent="0.25">
      <c r="A391" s="947">
        <v>390</v>
      </c>
      <c r="B391" s="947" t="s">
        <v>1279</v>
      </c>
      <c r="C391" s="1018" t="s">
        <v>105</v>
      </c>
      <c r="D391" s="1018" t="s">
        <v>1443</v>
      </c>
      <c r="E391" s="1015" t="s">
        <v>1289</v>
      </c>
    </row>
    <row r="392" spans="1:5" x14ac:dyDescent="0.25">
      <c r="A392" s="947">
        <v>391</v>
      </c>
      <c r="B392" s="947" t="s">
        <v>1279</v>
      </c>
      <c r="C392" s="1018" t="s">
        <v>105</v>
      </c>
      <c r="D392" s="1018" t="s">
        <v>1410</v>
      </c>
      <c r="E392" s="1015" t="s">
        <v>252</v>
      </c>
    </row>
    <row r="393" spans="1:5" x14ac:dyDescent="0.25">
      <c r="A393" s="947">
        <v>392</v>
      </c>
      <c r="B393" s="947" t="s">
        <v>1279</v>
      </c>
      <c r="C393" s="1018" t="s">
        <v>105</v>
      </c>
      <c r="D393" s="1018" t="s">
        <v>1279</v>
      </c>
      <c r="E393" s="1018" t="s">
        <v>1246</v>
      </c>
    </row>
    <row r="394" spans="1:5" x14ac:dyDescent="0.25">
      <c r="A394" s="947">
        <v>393</v>
      </c>
      <c r="B394" s="947" t="s">
        <v>1279</v>
      </c>
      <c r="C394" s="1018" t="s">
        <v>105</v>
      </c>
      <c r="D394" s="1018" t="s">
        <v>1279</v>
      </c>
      <c r="E394" s="1018" t="s">
        <v>225</v>
      </c>
    </row>
    <row r="395" spans="1:5" x14ac:dyDescent="0.25">
      <c r="A395" s="947">
        <v>394</v>
      </c>
      <c r="B395" s="947" t="s">
        <v>208</v>
      </c>
      <c r="C395" s="1018" t="s">
        <v>105</v>
      </c>
      <c r="D395" s="1018" t="s">
        <v>1410</v>
      </c>
      <c r="E395" s="1017" t="s">
        <v>463</v>
      </c>
    </row>
    <row r="396" spans="1:5" x14ac:dyDescent="0.25">
      <c r="A396" s="947">
        <v>395</v>
      </c>
      <c r="B396" s="947" t="s">
        <v>1279</v>
      </c>
      <c r="C396" s="1018" t="s">
        <v>105</v>
      </c>
      <c r="D396" s="1018" t="s">
        <v>1279</v>
      </c>
      <c r="E396" s="1017" t="s">
        <v>1282</v>
      </c>
    </row>
    <row r="397" spans="1:5" x14ac:dyDescent="0.25">
      <c r="A397" s="947">
        <v>396</v>
      </c>
      <c r="B397" s="947" t="s">
        <v>1279</v>
      </c>
      <c r="C397" s="1018" t="s">
        <v>105</v>
      </c>
      <c r="D397" s="1018" t="s">
        <v>1410</v>
      </c>
      <c r="E397" s="1017" t="s">
        <v>1284</v>
      </c>
    </row>
    <row r="398" spans="1:5" x14ac:dyDescent="0.25">
      <c r="A398" s="947">
        <v>397</v>
      </c>
      <c r="B398" s="947" t="s">
        <v>1279</v>
      </c>
      <c r="C398" s="1018" t="s">
        <v>105</v>
      </c>
      <c r="D398" s="1018" t="s">
        <v>1410</v>
      </c>
      <c r="E398" s="1017" t="s">
        <v>1285</v>
      </c>
    </row>
    <row r="399" spans="1:5" x14ac:dyDescent="0.25">
      <c r="A399" s="947">
        <v>398</v>
      </c>
      <c r="B399" s="947" t="s">
        <v>1279</v>
      </c>
      <c r="C399" s="1018" t="s">
        <v>105</v>
      </c>
      <c r="D399" s="1018" t="s">
        <v>1444</v>
      </c>
      <c r="E399" s="1017" t="s">
        <v>1286</v>
      </c>
    </row>
    <row r="400" spans="1:5" x14ac:dyDescent="0.25">
      <c r="A400" s="947">
        <v>399</v>
      </c>
      <c r="B400" s="947" t="s">
        <v>1279</v>
      </c>
      <c r="C400" s="1018" t="s">
        <v>105</v>
      </c>
      <c r="D400" s="1018" t="s">
        <v>1410</v>
      </c>
      <c r="E400" s="1017" t="s">
        <v>1287</v>
      </c>
    </row>
    <row r="401" spans="1:5" x14ac:dyDescent="0.25">
      <c r="A401" s="947">
        <v>400</v>
      </c>
      <c r="B401" s="947" t="s">
        <v>1279</v>
      </c>
      <c r="C401" s="1018" t="s">
        <v>105</v>
      </c>
      <c r="D401" s="1018" t="s">
        <v>1444</v>
      </c>
      <c r="E401" s="1017" t="s">
        <v>1288</v>
      </c>
    </row>
    <row r="402" spans="1:5" x14ac:dyDescent="0.25">
      <c r="A402" s="947">
        <v>401</v>
      </c>
      <c r="B402" s="947" t="s">
        <v>1279</v>
      </c>
      <c r="C402" s="1018" t="s">
        <v>105</v>
      </c>
      <c r="D402" s="1018" t="s">
        <v>1444</v>
      </c>
      <c r="E402" s="1017" t="s">
        <v>1228</v>
      </c>
    </row>
    <row r="403" spans="1:5" x14ac:dyDescent="0.25">
      <c r="A403" s="947">
        <v>402</v>
      </c>
      <c r="B403" s="947" t="s">
        <v>1279</v>
      </c>
      <c r="C403" s="1018" t="s">
        <v>92</v>
      </c>
      <c r="D403" s="1018" t="s">
        <v>1443</v>
      </c>
      <c r="E403" s="1015" t="s">
        <v>1289</v>
      </c>
    </row>
    <row r="404" spans="1:5" x14ac:dyDescent="0.25">
      <c r="A404" s="947">
        <v>403</v>
      </c>
      <c r="B404" s="947" t="s">
        <v>1279</v>
      </c>
      <c r="C404" s="1018" t="s">
        <v>92</v>
      </c>
      <c r="D404" s="1018" t="s">
        <v>1410</v>
      </c>
      <c r="E404" s="1015" t="s">
        <v>252</v>
      </c>
    </row>
    <row r="405" spans="1:5" x14ac:dyDescent="0.25">
      <c r="A405" s="947">
        <v>404</v>
      </c>
      <c r="B405" s="947" t="s">
        <v>1279</v>
      </c>
      <c r="C405" s="1018" t="s">
        <v>92</v>
      </c>
      <c r="D405" s="1018" t="s">
        <v>1279</v>
      </c>
      <c r="E405" s="1018" t="s">
        <v>1246</v>
      </c>
    </row>
    <row r="406" spans="1:5" x14ac:dyDescent="0.25">
      <c r="A406" s="947">
        <v>405</v>
      </c>
      <c r="B406" s="947" t="s">
        <v>1279</v>
      </c>
      <c r="C406" s="1018" t="s">
        <v>92</v>
      </c>
      <c r="D406" s="1018" t="s">
        <v>1279</v>
      </c>
      <c r="E406" s="1018" t="s">
        <v>225</v>
      </c>
    </row>
    <row r="407" spans="1:5" x14ac:dyDescent="0.25">
      <c r="A407" s="947">
        <v>406</v>
      </c>
      <c r="B407" s="947" t="s">
        <v>208</v>
      </c>
      <c r="C407" s="1018" t="s">
        <v>92</v>
      </c>
      <c r="D407" s="1018" t="s">
        <v>1410</v>
      </c>
      <c r="E407" s="1017" t="s">
        <v>463</v>
      </c>
    </row>
    <row r="408" spans="1:5" x14ac:dyDescent="0.25">
      <c r="A408" s="947">
        <v>407</v>
      </c>
      <c r="B408" s="947" t="s">
        <v>1279</v>
      </c>
      <c r="C408" s="1018" t="s">
        <v>92</v>
      </c>
      <c r="D408" s="1018" t="s">
        <v>1279</v>
      </c>
      <c r="E408" s="1017" t="s">
        <v>1282</v>
      </c>
    </row>
    <row r="409" spans="1:5" x14ac:dyDescent="0.25">
      <c r="A409" s="947">
        <v>408</v>
      </c>
      <c r="B409" s="947" t="s">
        <v>1279</v>
      </c>
      <c r="C409" s="1018" t="s">
        <v>92</v>
      </c>
      <c r="D409" s="1018" t="s">
        <v>1410</v>
      </c>
      <c r="E409" s="1017" t="s">
        <v>1284</v>
      </c>
    </row>
    <row r="410" spans="1:5" x14ac:dyDescent="0.25">
      <c r="A410" s="947">
        <v>409</v>
      </c>
      <c r="B410" s="947" t="s">
        <v>1279</v>
      </c>
      <c r="C410" s="1018" t="s">
        <v>92</v>
      </c>
      <c r="D410" s="1018" t="s">
        <v>1410</v>
      </c>
      <c r="E410" s="1017" t="s">
        <v>1285</v>
      </c>
    </row>
    <row r="411" spans="1:5" x14ac:dyDescent="0.25">
      <c r="A411" s="947">
        <v>410</v>
      </c>
      <c r="B411" s="947" t="s">
        <v>1279</v>
      </c>
      <c r="C411" s="1018" t="s">
        <v>92</v>
      </c>
      <c r="D411" s="1018" t="s">
        <v>1444</v>
      </c>
      <c r="E411" s="1017" t="s">
        <v>1286</v>
      </c>
    </row>
    <row r="412" spans="1:5" x14ac:dyDescent="0.25">
      <c r="A412" s="947">
        <v>411</v>
      </c>
      <c r="B412" s="947" t="s">
        <v>1279</v>
      </c>
      <c r="C412" s="1018" t="s">
        <v>92</v>
      </c>
      <c r="D412" s="1018" t="s">
        <v>1410</v>
      </c>
      <c r="E412" s="1017" t="s">
        <v>1287</v>
      </c>
    </row>
    <row r="413" spans="1:5" x14ac:dyDescent="0.25">
      <c r="A413" s="947">
        <v>412</v>
      </c>
      <c r="B413" s="947" t="s">
        <v>1279</v>
      </c>
      <c r="C413" s="1018" t="s">
        <v>92</v>
      </c>
      <c r="D413" s="1018" t="s">
        <v>1444</v>
      </c>
      <c r="E413" s="1017" t="s">
        <v>1288</v>
      </c>
    </row>
    <row r="414" spans="1:5" x14ac:dyDescent="0.25">
      <c r="A414" s="947">
        <v>413</v>
      </c>
      <c r="B414" s="947" t="s">
        <v>1279</v>
      </c>
      <c r="C414" s="1018" t="s">
        <v>92</v>
      </c>
      <c r="D414" s="1018" t="s">
        <v>1444</v>
      </c>
      <c r="E414" s="1017" t="s">
        <v>1228</v>
      </c>
    </row>
    <row r="415" spans="1:5" x14ac:dyDescent="0.25">
      <c r="A415" s="947">
        <v>414</v>
      </c>
      <c r="B415" s="947" t="s">
        <v>1279</v>
      </c>
      <c r="C415" s="1018" t="s">
        <v>91</v>
      </c>
      <c r="D415" s="1018" t="s">
        <v>1443</v>
      </c>
      <c r="E415" s="1015" t="s">
        <v>1289</v>
      </c>
    </row>
    <row r="416" spans="1:5" x14ac:dyDescent="0.25">
      <c r="A416" s="947">
        <v>415</v>
      </c>
      <c r="B416" s="947" t="s">
        <v>1279</v>
      </c>
      <c r="C416" s="1018" t="s">
        <v>91</v>
      </c>
      <c r="D416" s="1018" t="s">
        <v>1410</v>
      </c>
      <c r="E416" s="1015" t="s">
        <v>252</v>
      </c>
    </row>
    <row r="417" spans="1:5" x14ac:dyDescent="0.25">
      <c r="A417" s="947">
        <v>416</v>
      </c>
      <c r="B417" s="947" t="s">
        <v>1279</v>
      </c>
      <c r="C417" s="1018" t="s">
        <v>91</v>
      </c>
      <c r="D417" s="1018" t="s">
        <v>1279</v>
      </c>
      <c r="E417" s="1018" t="s">
        <v>1246</v>
      </c>
    </row>
    <row r="418" spans="1:5" x14ac:dyDescent="0.25">
      <c r="A418" s="947">
        <v>417</v>
      </c>
      <c r="B418" s="947" t="s">
        <v>1279</v>
      </c>
      <c r="C418" s="1018" t="s">
        <v>91</v>
      </c>
      <c r="D418" s="1018" t="s">
        <v>1279</v>
      </c>
      <c r="E418" s="1018" t="s">
        <v>225</v>
      </c>
    </row>
    <row r="419" spans="1:5" x14ac:dyDescent="0.25">
      <c r="A419" s="947">
        <v>418</v>
      </c>
      <c r="B419" s="947" t="s">
        <v>208</v>
      </c>
      <c r="C419" s="1018" t="s">
        <v>91</v>
      </c>
      <c r="D419" s="1018" t="s">
        <v>1410</v>
      </c>
      <c r="E419" s="1017" t="s">
        <v>463</v>
      </c>
    </row>
    <row r="420" spans="1:5" x14ac:dyDescent="0.25">
      <c r="A420" s="947">
        <v>419</v>
      </c>
      <c r="B420" s="947" t="s">
        <v>1279</v>
      </c>
      <c r="C420" s="1018" t="s">
        <v>91</v>
      </c>
      <c r="D420" s="1018" t="s">
        <v>1279</v>
      </c>
      <c r="E420" s="1017" t="s">
        <v>1282</v>
      </c>
    </row>
    <row r="421" spans="1:5" x14ac:dyDescent="0.25">
      <c r="A421" s="947">
        <v>420</v>
      </c>
      <c r="B421" s="947" t="s">
        <v>1279</v>
      </c>
      <c r="C421" s="1018" t="s">
        <v>91</v>
      </c>
      <c r="D421" s="1018" t="s">
        <v>1410</v>
      </c>
      <c r="E421" s="1017" t="s">
        <v>1284</v>
      </c>
    </row>
    <row r="422" spans="1:5" x14ac:dyDescent="0.25">
      <c r="A422" s="947">
        <v>421</v>
      </c>
      <c r="B422" s="947" t="s">
        <v>1279</v>
      </c>
      <c r="C422" s="1018" t="s">
        <v>91</v>
      </c>
      <c r="D422" s="1018" t="s">
        <v>1410</v>
      </c>
      <c r="E422" s="1017" t="s">
        <v>1285</v>
      </c>
    </row>
    <row r="423" spans="1:5" x14ac:dyDescent="0.25">
      <c r="A423" s="947">
        <v>422</v>
      </c>
      <c r="B423" s="947" t="s">
        <v>1279</v>
      </c>
      <c r="C423" s="1018" t="s">
        <v>91</v>
      </c>
      <c r="D423" s="1018" t="s">
        <v>1444</v>
      </c>
      <c r="E423" s="1017" t="s">
        <v>1286</v>
      </c>
    </row>
    <row r="424" spans="1:5" x14ac:dyDescent="0.25">
      <c r="A424" s="947">
        <v>423</v>
      </c>
      <c r="B424" s="947" t="s">
        <v>1279</v>
      </c>
      <c r="C424" s="1018" t="s">
        <v>91</v>
      </c>
      <c r="D424" s="1018" t="s">
        <v>1410</v>
      </c>
      <c r="E424" s="1017" t="s">
        <v>1287</v>
      </c>
    </row>
    <row r="425" spans="1:5" x14ac:dyDescent="0.25">
      <c r="A425" s="947">
        <v>424</v>
      </c>
      <c r="B425" s="947" t="s">
        <v>1279</v>
      </c>
      <c r="C425" s="1018" t="s">
        <v>91</v>
      </c>
      <c r="D425" s="1018" t="s">
        <v>1444</v>
      </c>
      <c r="E425" s="1017" t="s">
        <v>1288</v>
      </c>
    </row>
    <row r="426" spans="1:5" x14ac:dyDescent="0.25">
      <c r="A426" s="947">
        <v>425</v>
      </c>
      <c r="B426" s="947" t="s">
        <v>1279</v>
      </c>
      <c r="C426" s="1018" t="s">
        <v>91</v>
      </c>
      <c r="D426" s="1018" t="s">
        <v>1444</v>
      </c>
      <c r="E426" s="1017" t="s">
        <v>1228</v>
      </c>
    </row>
    <row r="427" spans="1:5" x14ac:dyDescent="0.25">
      <c r="A427" s="947">
        <v>426</v>
      </c>
      <c r="B427" s="947" t="s">
        <v>1279</v>
      </c>
      <c r="C427" s="1018" t="s">
        <v>90</v>
      </c>
      <c r="D427" s="1018" t="s">
        <v>1443</v>
      </c>
      <c r="E427" s="1015" t="s">
        <v>1289</v>
      </c>
    </row>
    <row r="428" spans="1:5" x14ac:dyDescent="0.25">
      <c r="A428" s="947">
        <v>427</v>
      </c>
      <c r="B428" s="947" t="s">
        <v>1279</v>
      </c>
      <c r="C428" s="1018" t="s">
        <v>90</v>
      </c>
      <c r="D428" s="1018" t="s">
        <v>1410</v>
      </c>
      <c r="E428" s="1015" t="s">
        <v>252</v>
      </c>
    </row>
    <row r="429" spans="1:5" x14ac:dyDescent="0.25">
      <c r="A429" s="947">
        <v>428</v>
      </c>
      <c r="B429" s="947" t="s">
        <v>1279</v>
      </c>
      <c r="C429" s="1018" t="s">
        <v>90</v>
      </c>
      <c r="D429" s="1018" t="s">
        <v>1279</v>
      </c>
      <c r="E429" s="1018" t="s">
        <v>1246</v>
      </c>
    </row>
    <row r="430" spans="1:5" x14ac:dyDescent="0.25">
      <c r="A430" s="947">
        <v>429</v>
      </c>
      <c r="B430" s="947" t="s">
        <v>1279</v>
      </c>
      <c r="C430" s="1018" t="s">
        <v>90</v>
      </c>
      <c r="D430" s="1018" t="s">
        <v>1279</v>
      </c>
      <c r="E430" s="1018" t="s">
        <v>225</v>
      </c>
    </row>
    <row r="431" spans="1:5" x14ac:dyDescent="0.25">
      <c r="A431" s="947">
        <v>430</v>
      </c>
      <c r="B431" s="947" t="s">
        <v>208</v>
      </c>
      <c r="C431" s="1018" t="s">
        <v>90</v>
      </c>
      <c r="D431" s="1018" t="s">
        <v>1410</v>
      </c>
      <c r="E431" s="1017" t="s">
        <v>463</v>
      </c>
    </row>
    <row r="432" spans="1:5" x14ac:dyDescent="0.25">
      <c r="A432" s="947">
        <v>431</v>
      </c>
      <c r="B432" s="947" t="s">
        <v>1279</v>
      </c>
      <c r="C432" s="1018" t="s">
        <v>90</v>
      </c>
      <c r="D432" s="1018" t="s">
        <v>1279</v>
      </c>
      <c r="E432" s="1017" t="s">
        <v>1282</v>
      </c>
    </row>
    <row r="433" spans="1:5" x14ac:dyDescent="0.25">
      <c r="A433" s="947">
        <v>432</v>
      </c>
      <c r="B433" s="947" t="s">
        <v>1279</v>
      </c>
      <c r="C433" s="1018" t="s">
        <v>90</v>
      </c>
      <c r="D433" s="1018" t="s">
        <v>1410</v>
      </c>
      <c r="E433" s="1017" t="s">
        <v>1284</v>
      </c>
    </row>
    <row r="434" spans="1:5" x14ac:dyDescent="0.25">
      <c r="A434" s="947">
        <v>433</v>
      </c>
      <c r="B434" s="947" t="s">
        <v>1279</v>
      </c>
      <c r="C434" s="1018" t="s">
        <v>90</v>
      </c>
      <c r="D434" s="1018" t="s">
        <v>1410</v>
      </c>
      <c r="E434" s="1017" t="s">
        <v>1285</v>
      </c>
    </row>
    <row r="435" spans="1:5" x14ac:dyDescent="0.25">
      <c r="A435" s="947">
        <v>434</v>
      </c>
      <c r="B435" s="947" t="s">
        <v>1279</v>
      </c>
      <c r="C435" s="1018" t="s">
        <v>90</v>
      </c>
      <c r="D435" s="1018" t="s">
        <v>1444</v>
      </c>
      <c r="E435" s="1017" t="s">
        <v>1286</v>
      </c>
    </row>
    <row r="436" spans="1:5" x14ac:dyDescent="0.25">
      <c r="A436" s="947">
        <v>435</v>
      </c>
      <c r="B436" s="947" t="s">
        <v>1279</v>
      </c>
      <c r="C436" s="1018" t="s">
        <v>90</v>
      </c>
      <c r="D436" s="1018" t="s">
        <v>1410</v>
      </c>
      <c r="E436" s="1017" t="s">
        <v>1287</v>
      </c>
    </row>
    <row r="437" spans="1:5" x14ac:dyDescent="0.25">
      <c r="A437" s="947">
        <v>436</v>
      </c>
      <c r="B437" s="947" t="s">
        <v>1279</v>
      </c>
      <c r="C437" s="1018" t="s">
        <v>90</v>
      </c>
      <c r="D437" s="1018" t="s">
        <v>1444</v>
      </c>
      <c r="E437" s="1017" t="s">
        <v>1288</v>
      </c>
    </row>
    <row r="438" spans="1:5" x14ac:dyDescent="0.25">
      <c r="A438" s="947">
        <v>437</v>
      </c>
      <c r="B438" s="947" t="s">
        <v>1279</v>
      </c>
      <c r="C438" s="1018" t="s">
        <v>90</v>
      </c>
      <c r="D438" s="1018" t="s">
        <v>1444</v>
      </c>
      <c r="E438" s="1017" t="s">
        <v>1228</v>
      </c>
    </row>
    <row r="439" spans="1:5" x14ac:dyDescent="0.25">
      <c r="A439" s="947">
        <v>438</v>
      </c>
      <c r="B439" s="947" t="s">
        <v>1279</v>
      </c>
      <c r="C439" s="1018" t="s">
        <v>89</v>
      </c>
      <c r="D439" s="1018" t="s">
        <v>1443</v>
      </c>
      <c r="E439" s="1015" t="s">
        <v>1289</v>
      </c>
    </row>
    <row r="440" spans="1:5" x14ac:dyDescent="0.25">
      <c r="A440" s="947">
        <v>439</v>
      </c>
      <c r="B440" s="947" t="s">
        <v>1279</v>
      </c>
      <c r="C440" s="1018" t="s">
        <v>89</v>
      </c>
      <c r="D440" s="1018" t="s">
        <v>1410</v>
      </c>
      <c r="E440" s="1015" t="s">
        <v>252</v>
      </c>
    </row>
    <row r="441" spans="1:5" x14ac:dyDescent="0.25">
      <c r="A441" s="947">
        <v>440</v>
      </c>
      <c r="B441" s="947" t="s">
        <v>1279</v>
      </c>
      <c r="C441" s="1018" t="s">
        <v>89</v>
      </c>
      <c r="D441" s="1018" t="s">
        <v>1279</v>
      </c>
      <c r="E441" s="1018" t="s">
        <v>1246</v>
      </c>
    </row>
    <row r="442" spans="1:5" x14ac:dyDescent="0.25">
      <c r="A442" s="947">
        <v>441</v>
      </c>
      <c r="B442" s="947" t="s">
        <v>1279</v>
      </c>
      <c r="C442" s="1018" t="s">
        <v>89</v>
      </c>
      <c r="D442" s="1018" t="s">
        <v>1279</v>
      </c>
      <c r="E442" s="1018" t="s">
        <v>225</v>
      </c>
    </row>
    <row r="443" spans="1:5" x14ac:dyDescent="0.25">
      <c r="A443" s="947">
        <v>442</v>
      </c>
      <c r="B443" s="947" t="s">
        <v>208</v>
      </c>
      <c r="C443" s="1018" t="s">
        <v>89</v>
      </c>
      <c r="D443" s="1018" t="s">
        <v>1410</v>
      </c>
      <c r="E443" s="1017" t="s">
        <v>463</v>
      </c>
    </row>
    <row r="444" spans="1:5" x14ac:dyDescent="0.25">
      <c r="A444" s="947">
        <v>443</v>
      </c>
      <c r="B444" s="947" t="s">
        <v>1279</v>
      </c>
      <c r="C444" s="1018" t="s">
        <v>89</v>
      </c>
      <c r="D444" s="1018" t="s">
        <v>1279</v>
      </c>
      <c r="E444" s="1017" t="s">
        <v>1282</v>
      </c>
    </row>
    <row r="445" spans="1:5" x14ac:dyDescent="0.25">
      <c r="A445" s="947">
        <v>444</v>
      </c>
      <c r="B445" s="947" t="s">
        <v>1279</v>
      </c>
      <c r="C445" s="1018" t="s">
        <v>89</v>
      </c>
      <c r="D445" s="1018" t="s">
        <v>1410</v>
      </c>
      <c r="E445" s="1017" t="s">
        <v>1284</v>
      </c>
    </row>
    <row r="446" spans="1:5" x14ac:dyDescent="0.25">
      <c r="A446" s="947">
        <v>445</v>
      </c>
      <c r="B446" s="947" t="s">
        <v>1279</v>
      </c>
      <c r="C446" s="1018" t="s">
        <v>89</v>
      </c>
      <c r="D446" s="1018" t="s">
        <v>1410</v>
      </c>
      <c r="E446" s="1017" t="s">
        <v>1285</v>
      </c>
    </row>
    <row r="447" spans="1:5" x14ac:dyDescent="0.25">
      <c r="A447" s="947">
        <v>446</v>
      </c>
      <c r="B447" s="947" t="s">
        <v>1279</v>
      </c>
      <c r="C447" s="1018" t="s">
        <v>89</v>
      </c>
      <c r="D447" s="1018" t="s">
        <v>1444</v>
      </c>
      <c r="E447" s="1017" t="s">
        <v>1286</v>
      </c>
    </row>
    <row r="448" spans="1:5" x14ac:dyDescent="0.25">
      <c r="A448" s="947">
        <v>447</v>
      </c>
      <c r="B448" s="947" t="s">
        <v>1279</v>
      </c>
      <c r="C448" s="1018" t="s">
        <v>89</v>
      </c>
      <c r="D448" s="1018" t="s">
        <v>1410</v>
      </c>
      <c r="E448" s="1017" t="s">
        <v>1287</v>
      </c>
    </row>
    <row r="449" spans="1:5" x14ac:dyDescent="0.25">
      <c r="A449" s="947">
        <v>448</v>
      </c>
      <c r="B449" s="947" t="s">
        <v>1279</v>
      </c>
      <c r="C449" s="1018" t="s">
        <v>89</v>
      </c>
      <c r="D449" s="1018" t="s">
        <v>1444</v>
      </c>
      <c r="E449" s="1017" t="s">
        <v>1288</v>
      </c>
    </row>
    <row r="450" spans="1:5" x14ac:dyDescent="0.25">
      <c r="A450" s="947">
        <v>449</v>
      </c>
      <c r="B450" s="947" t="s">
        <v>1279</v>
      </c>
      <c r="C450" s="1018" t="s">
        <v>89</v>
      </c>
      <c r="D450" s="1018" t="s">
        <v>1444</v>
      </c>
      <c r="E450" s="1017" t="s">
        <v>1228</v>
      </c>
    </row>
    <row r="451" spans="1:5" x14ac:dyDescent="0.25">
      <c r="A451" s="947">
        <v>450</v>
      </c>
      <c r="B451" s="947" t="s">
        <v>1279</v>
      </c>
      <c r="C451" s="1018" t="s">
        <v>94</v>
      </c>
      <c r="D451" s="1018" t="s">
        <v>1443</v>
      </c>
      <c r="E451" s="1015" t="s">
        <v>1289</v>
      </c>
    </row>
    <row r="452" spans="1:5" x14ac:dyDescent="0.25">
      <c r="A452" s="947">
        <v>451</v>
      </c>
      <c r="B452" s="947" t="s">
        <v>1279</v>
      </c>
      <c r="C452" s="1018" t="s">
        <v>94</v>
      </c>
      <c r="D452" s="1018" t="s">
        <v>1410</v>
      </c>
      <c r="E452" s="1015" t="s">
        <v>252</v>
      </c>
    </row>
    <row r="453" spans="1:5" x14ac:dyDescent="0.25">
      <c r="A453" s="947">
        <v>452</v>
      </c>
      <c r="B453" s="947" t="s">
        <v>1279</v>
      </c>
      <c r="C453" s="1018" t="s">
        <v>94</v>
      </c>
      <c r="D453" s="1018" t="s">
        <v>1279</v>
      </c>
      <c r="E453" s="1018" t="s">
        <v>1246</v>
      </c>
    </row>
    <row r="454" spans="1:5" x14ac:dyDescent="0.25">
      <c r="A454" s="947">
        <v>453</v>
      </c>
      <c r="B454" s="947" t="s">
        <v>1279</v>
      </c>
      <c r="C454" s="1018" t="s">
        <v>94</v>
      </c>
      <c r="D454" s="1018" t="s">
        <v>1279</v>
      </c>
      <c r="E454" s="1018" t="s">
        <v>225</v>
      </c>
    </row>
    <row r="455" spans="1:5" x14ac:dyDescent="0.25">
      <c r="A455" s="947">
        <v>454</v>
      </c>
      <c r="B455" s="947" t="s">
        <v>208</v>
      </c>
      <c r="C455" s="1018" t="s">
        <v>94</v>
      </c>
      <c r="D455" s="1018" t="s">
        <v>1410</v>
      </c>
      <c r="E455" s="1017" t="s">
        <v>463</v>
      </c>
    </row>
    <row r="456" spans="1:5" x14ac:dyDescent="0.25">
      <c r="A456" s="947">
        <v>455</v>
      </c>
      <c r="B456" s="947" t="s">
        <v>1279</v>
      </c>
      <c r="C456" s="1018" t="s">
        <v>94</v>
      </c>
      <c r="D456" s="1018" t="s">
        <v>1279</v>
      </c>
      <c r="E456" s="1017" t="s">
        <v>1282</v>
      </c>
    </row>
    <row r="457" spans="1:5" x14ac:dyDescent="0.25">
      <c r="A457" s="947">
        <v>456</v>
      </c>
      <c r="B457" s="947" t="s">
        <v>1279</v>
      </c>
      <c r="C457" s="1018" t="s">
        <v>94</v>
      </c>
      <c r="D457" s="1018" t="s">
        <v>1410</v>
      </c>
      <c r="E457" s="1017" t="s">
        <v>1284</v>
      </c>
    </row>
    <row r="458" spans="1:5" x14ac:dyDescent="0.25">
      <c r="A458" s="947">
        <v>457</v>
      </c>
      <c r="B458" s="947" t="s">
        <v>1279</v>
      </c>
      <c r="C458" s="1018" t="s">
        <v>94</v>
      </c>
      <c r="D458" s="1018" t="s">
        <v>1410</v>
      </c>
      <c r="E458" s="1017" t="s">
        <v>1285</v>
      </c>
    </row>
    <row r="459" spans="1:5" x14ac:dyDescent="0.25">
      <c r="A459" s="947">
        <v>458</v>
      </c>
      <c r="B459" s="947" t="s">
        <v>1279</v>
      </c>
      <c r="C459" s="1018" t="s">
        <v>94</v>
      </c>
      <c r="D459" s="1018" t="s">
        <v>1444</v>
      </c>
      <c r="E459" s="1017" t="s">
        <v>1286</v>
      </c>
    </row>
    <row r="460" spans="1:5" x14ac:dyDescent="0.25">
      <c r="A460" s="947">
        <v>459</v>
      </c>
      <c r="B460" s="947" t="s">
        <v>1279</v>
      </c>
      <c r="C460" s="1018" t="s">
        <v>94</v>
      </c>
      <c r="D460" s="1018" t="s">
        <v>1410</v>
      </c>
      <c r="E460" s="1017" t="s">
        <v>1287</v>
      </c>
    </row>
    <row r="461" spans="1:5" x14ac:dyDescent="0.25">
      <c r="A461" s="947">
        <v>460</v>
      </c>
      <c r="B461" s="947" t="s">
        <v>1279</v>
      </c>
      <c r="C461" s="1018" t="s">
        <v>94</v>
      </c>
      <c r="D461" s="1018" t="s">
        <v>1444</v>
      </c>
      <c r="E461" s="1017" t="s">
        <v>1288</v>
      </c>
    </row>
    <row r="462" spans="1:5" x14ac:dyDescent="0.25">
      <c r="A462" s="947">
        <v>461</v>
      </c>
      <c r="B462" s="947" t="s">
        <v>1279</v>
      </c>
      <c r="C462" s="1018" t="s">
        <v>94</v>
      </c>
      <c r="D462" s="1018" t="s">
        <v>1444</v>
      </c>
      <c r="E462" s="1017" t="s">
        <v>1228</v>
      </c>
    </row>
    <row r="463" spans="1:5" x14ac:dyDescent="0.25">
      <c r="A463" s="947">
        <v>462</v>
      </c>
      <c r="B463" s="947" t="s">
        <v>1279</v>
      </c>
      <c r="C463" s="1018" t="s">
        <v>86</v>
      </c>
      <c r="D463" s="1018" t="s">
        <v>1443</v>
      </c>
      <c r="E463" s="1015" t="s">
        <v>1289</v>
      </c>
    </row>
    <row r="464" spans="1:5" x14ac:dyDescent="0.25">
      <c r="A464" s="947">
        <v>463</v>
      </c>
      <c r="B464" s="947" t="s">
        <v>1279</v>
      </c>
      <c r="C464" s="1018" t="s">
        <v>86</v>
      </c>
      <c r="D464" s="1018" t="s">
        <v>1410</v>
      </c>
      <c r="E464" s="1015" t="s">
        <v>252</v>
      </c>
    </row>
    <row r="465" spans="1:5" x14ac:dyDescent="0.25">
      <c r="A465" s="947">
        <v>464</v>
      </c>
      <c r="B465" s="947" t="s">
        <v>1279</v>
      </c>
      <c r="C465" s="1018" t="s">
        <v>86</v>
      </c>
      <c r="D465" s="1018" t="s">
        <v>1279</v>
      </c>
      <c r="E465" s="1018" t="s">
        <v>1246</v>
      </c>
    </row>
    <row r="466" spans="1:5" x14ac:dyDescent="0.25">
      <c r="A466" s="947">
        <v>465</v>
      </c>
      <c r="B466" s="947" t="s">
        <v>1279</v>
      </c>
      <c r="C466" s="1018" t="s">
        <v>86</v>
      </c>
      <c r="D466" s="1018" t="s">
        <v>1279</v>
      </c>
      <c r="E466" s="1018" t="s">
        <v>225</v>
      </c>
    </row>
    <row r="467" spans="1:5" x14ac:dyDescent="0.25">
      <c r="A467" s="947">
        <v>466</v>
      </c>
      <c r="B467" s="947" t="s">
        <v>208</v>
      </c>
      <c r="C467" s="1018" t="s">
        <v>86</v>
      </c>
      <c r="D467" s="1018" t="s">
        <v>1410</v>
      </c>
      <c r="E467" s="1017" t="s">
        <v>463</v>
      </c>
    </row>
    <row r="468" spans="1:5" x14ac:dyDescent="0.25">
      <c r="A468" s="947">
        <v>467</v>
      </c>
      <c r="B468" s="947" t="s">
        <v>1279</v>
      </c>
      <c r="C468" s="1018" t="s">
        <v>86</v>
      </c>
      <c r="D468" s="1018" t="s">
        <v>1279</v>
      </c>
      <c r="E468" s="1017" t="s">
        <v>1282</v>
      </c>
    </row>
    <row r="469" spans="1:5" x14ac:dyDescent="0.25">
      <c r="A469" s="947">
        <v>468</v>
      </c>
      <c r="B469" s="947" t="s">
        <v>1279</v>
      </c>
      <c r="C469" s="1018" t="s">
        <v>86</v>
      </c>
      <c r="D469" s="1018" t="s">
        <v>1410</v>
      </c>
      <c r="E469" s="1017" t="s">
        <v>1284</v>
      </c>
    </row>
    <row r="470" spans="1:5" x14ac:dyDescent="0.25">
      <c r="A470" s="947">
        <v>469</v>
      </c>
      <c r="B470" s="947" t="s">
        <v>1279</v>
      </c>
      <c r="C470" s="1018" t="s">
        <v>86</v>
      </c>
      <c r="D470" s="1018" t="s">
        <v>1410</v>
      </c>
      <c r="E470" s="1017" t="s">
        <v>1285</v>
      </c>
    </row>
    <row r="471" spans="1:5" x14ac:dyDescent="0.25">
      <c r="A471" s="947">
        <v>470</v>
      </c>
      <c r="B471" s="947" t="s">
        <v>1279</v>
      </c>
      <c r="C471" s="1018" t="s">
        <v>86</v>
      </c>
      <c r="D471" s="1018" t="s">
        <v>1444</v>
      </c>
      <c r="E471" s="1017" t="s">
        <v>1286</v>
      </c>
    </row>
    <row r="472" spans="1:5" x14ac:dyDescent="0.25">
      <c r="A472" s="947">
        <v>471</v>
      </c>
      <c r="B472" s="947" t="s">
        <v>1279</v>
      </c>
      <c r="C472" s="1018" t="s">
        <v>86</v>
      </c>
      <c r="D472" s="1018" t="s">
        <v>1410</v>
      </c>
      <c r="E472" s="1017" t="s">
        <v>1287</v>
      </c>
    </row>
    <row r="473" spans="1:5" x14ac:dyDescent="0.25">
      <c r="A473" s="947">
        <v>472</v>
      </c>
      <c r="B473" s="947" t="s">
        <v>1279</v>
      </c>
      <c r="C473" s="1018" t="s">
        <v>86</v>
      </c>
      <c r="D473" s="1018" t="s">
        <v>1444</v>
      </c>
      <c r="E473" s="1017" t="s">
        <v>1288</v>
      </c>
    </row>
    <row r="474" spans="1:5" x14ac:dyDescent="0.25">
      <c r="A474" s="947">
        <v>473</v>
      </c>
      <c r="B474" s="947" t="s">
        <v>1279</v>
      </c>
      <c r="C474" s="1018" t="s">
        <v>86</v>
      </c>
      <c r="D474" s="1018" t="s">
        <v>1444</v>
      </c>
      <c r="E474" s="1017" t="s">
        <v>1228</v>
      </c>
    </row>
    <row r="475" spans="1:5" x14ac:dyDescent="0.25">
      <c r="A475" s="947">
        <v>474</v>
      </c>
      <c r="B475" s="947" t="s">
        <v>1279</v>
      </c>
      <c r="C475" s="1018" t="s">
        <v>88</v>
      </c>
      <c r="D475" s="1018" t="s">
        <v>1443</v>
      </c>
      <c r="E475" s="1015" t="s">
        <v>1289</v>
      </c>
    </row>
    <row r="476" spans="1:5" x14ac:dyDescent="0.25">
      <c r="A476" s="947">
        <v>475</v>
      </c>
      <c r="B476" s="947" t="s">
        <v>1279</v>
      </c>
      <c r="C476" s="1018" t="s">
        <v>88</v>
      </c>
      <c r="D476" s="1018" t="s">
        <v>1410</v>
      </c>
      <c r="E476" s="1015" t="s">
        <v>252</v>
      </c>
    </row>
    <row r="477" spans="1:5" x14ac:dyDescent="0.25">
      <c r="A477" s="947">
        <v>476</v>
      </c>
      <c r="B477" s="947" t="s">
        <v>1279</v>
      </c>
      <c r="C477" s="1018" t="s">
        <v>88</v>
      </c>
      <c r="D477" s="1018" t="s">
        <v>1279</v>
      </c>
      <c r="E477" s="1018" t="s">
        <v>1246</v>
      </c>
    </row>
    <row r="478" spans="1:5" x14ac:dyDescent="0.25">
      <c r="A478" s="947">
        <v>477</v>
      </c>
      <c r="B478" s="947" t="s">
        <v>1279</v>
      </c>
      <c r="C478" s="1018" t="s">
        <v>88</v>
      </c>
      <c r="D478" s="1018" t="s">
        <v>1279</v>
      </c>
      <c r="E478" s="1018" t="s">
        <v>225</v>
      </c>
    </row>
    <row r="479" spans="1:5" x14ac:dyDescent="0.25">
      <c r="A479" s="947">
        <v>478</v>
      </c>
      <c r="B479" s="947" t="s">
        <v>208</v>
      </c>
      <c r="C479" s="1018" t="s">
        <v>88</v>
      </c>
      <c r="D479" s="1018" t="s">
        <v>1410</v>
      </c>
      <c r="E479" s="1017" t="s">
        <v>463</v>
      </c>
    </row>
    <row r="480" spans="1:5" x14ac:dyDescent="0.25">
      <c r="A480" s="947">
        <v>479</v>
      </c>
      <c r="B480" s="947" t="s">
        <v>1279</v>
      </c>
      <c r="C480" s="1018" t="s">
        <v>88</v>
      </c>
      <c r="D480" s="1018" t="s">
        <v>1279</v>
      </c>
      <c r="E480" s="1017" t="s">
        <v>1282</v>
      </c>
    </row>
    <row r="481" spans="1:5" x14ac:dyDescent="0.25">
      <c r="A481" s="947">
        <v>480</v>
      </c>
      <c r="B481" s="947" t="s">
        <v>1279</v>
      </c>
      <c r="C481" s="1018" t="s">
        <v>88</v>
      </c>
      <c r="D481" s="1018" t="s">
        <v>1410</v>
      </c>
      <c r="E481" s="1017" t="s">
        <v>1284</v>
      </c>
    </row>
    <row r="482" spans="1:5" x14ac:dyDescent="0.25">
      <c r="A482" s="947">
        <v>481</v>
      </c>
      <c r="B482" s="947" t="s">
        <v>1279</v>
      </c>
      <c r="C482" s="1018" t="s">
        <v>88</v>
      </c>
      <c r="D482" s="1018" t="s">
        <v>1410</v>
      </c>
      <c r="E482" s="1017" t="s">
        <v>1285</v>
      </c>
    </row>
    <row r="483" spans="1:5" x14ac:dyDescent="0.25">
      <c r="A483" s="947">
        <v>482</v>
      </c>
      <c r="B483" s="947" t="s">
        <v>1279</v>
      </c>
      <c r="C483" s="1018" t="s">
        <v>88</v>
      </c>
      <c r="D483" s="1018" t="s">
        <v>1444</v>
      </c>
      <c r="E483" s="1017" t="s">
        <v>1286</v>
      </c>
    </row>
    <row r="484" spans="1:5" x14ac:dyDescent="0.25">
      <c r="A484" s="947">
        <v>483</v>
      </c>
      <c r="B484" s="947" t="s">
        <v>1279</v>
      </c>
      <c r="C484" s="1018" t="s">
        <v>88</v>
      </c>
      <c r="D484" s="1018" t="s">
        <v>1410</v>
      </c>
      <c r="E484" s="1017" t="s">
        <v>1287</v>
      </c>
    </row>
    <row r="485" spans="1:5" x14ac:dyDescent="0.25">
      <c r="A485" s="947">
        <v>484</v>
      </c>
      <c r="B485" s="947" t="s">
        <v>1279</v>
      </c>
      <c r="C485" s="1018" t="s">
        <v>88</v>
      </c>
      <c r="D485" s="1018" t="s">
        <v>1444</v>
      </c>
      <c r="E485" s="1017" t="s">
        <v>1288</v>
      </c>
    </row>
    <row r="486" spans="1:5" x14ac:dyDescent="0.25">
      <c r="A486" s="947">
        <v>485</v>
      </c>
      <c r="B486" s="947" t="s">
        <v>1279</v>
      </c>
      <c r="C486" s="1018" t="s">
        <v>88</v>
      </c>
      <c r="D486" s="1018" t="s">
        <v>1444</v>
      </c>
      <c r="E486" s="1017" t="s">
        <v>1228</v>
      </c>
    </row>
    <row r="487" spans="1:5" x14ac:dyDescent="0.25">
      <c r="A487" s="947">
        <v>486</v>
      </c>
      <c r="B487" s="947" t="s">
        <v>1279</v>
      </c>
      <c r="C487" s="1018" t="s">
        <v>87</v>
      </c>
      <c r="D487" s="1018" t="s">
        <v>1443</v>
      </c>
      <c r="E487" s="1015" t="s">
        <v>1289</v>
      </c>
    </row>
    <row r="488" spans="1:5" x14ac:dyDescent="0.25">
      <c r="A488" s="947">
        <v>487</v>
      </c>
      <c r="B488" s="947" t="s">
        <v>1279</v>
      </c>
      <c r="C488" s="1018" t="s">
        <v>87</v>
      </c>
      <c r="D488" s="1018" t="s">
        <v>1410</v>
      </c>
      <c r="E488" s="1015" t="s">
        <v>252</v>
      </c>
    </row>
    <row r="489" spans="1:5" x14ac:dyDescent="0.25">
      <c r="A489" s="947">
        <v>488</v>
      </c>
      <c r="B489" s="947" t="s">
        <v>1279</v>
      </c>
      <c r="C489" s="1018" t="s">
        <v>87</v>
      </c>
      <c r="D489" s="1018" t="s">
        <v>1279</v>
      </c>
      <c r="E489" s="1018" t="s">
        <v>1246</v>
      </c>
    </row>
    <row r="490" spans="1:5" x14ac:dyDescent="0.25">
      <c r="A490" s="947">
        <v>489</v>
      </c>
      <c r="B490" s="947" t="s">
        <v>1279</v>
      </c>
      <c r="C490" s="1018" t="s">
        <v>87</v>
      </c>
      <c r="D490" s="1018" t="s">
        <v>1279</v>
      </c>
      <c r="E490" s="1018" t="s">
        <v>225</v>
      </c>
    </row>
    <row r="491" spans="1:5" x14ac:dyDescent="0.25">
      <c r="A491" s="947">
        <v>490</v>
      </c>
      <c r="B491" s="947" t="s">
        <v>208</v>
      </c>
      <c r="C491" s="1018" t="s">
        <v>87</v>
      </c>
      <c r="D491" s="1018" t="s">
        <v>1410</v>
      </c>
      <c r="E491" s="1017" t="s">
        <v>463</v>
      </c>
    </row>
    <row r="492" spans="1:5" x14ac:dyDescent="0.25">
      <c r="A492" s="947">
        <v>491</v>
      </c>
      <c r="B492" s="947" t="s">
        <v>1279</v>
      </c>
      <c r="C492" s="1018" t="s">
        <v>87</v>
      </c>
      <c r="D492" s="1018" t="s">
        <v>1279</v>
      </c>
      <c r="E492" s="1017" t="s">
        <v>1282</v>
      </c>
    </row>
    <row r="493" spans="1:5" x14ac:dyDescent="0.25">
      <c r="A493" s="947">
        <v>492</v>
      </c>
      <c r="B493" s="947" t="s">
        <v>1279</v>
      </c>
      <c r="C493" s="1018" t="s">
        <v>87</v>
      </c>
      <c r="D493" s="1018" t="s">
        <v>1410</v>
      </c>
      <c r="E493" s="1017" t="s">
        <v>1284</v>
      </c>
    </row>
    <row r="494" spans="1:5" x14ac:dyDescent="0.25">
      <c r="A494" s="947">
        <v>493</v>
      </c>
      <c r="B494" s="947" t="s">
        <v>1279</v>
      </c>
      <c r="C494" s="1018" t="s">
        <v>87</v>
      </c>
      <c r="D494" s="1018" t="s">
        <v>1410</v>
      </c>
      <c r="E494" s="1017" t="s">
        <v>1285</v>
      </c>
    </row>
    <row r="495" spans="1:5" x14ac:dyDescent="0.25">
      <c r="A495" s="947">
        <v>494</v>
      </c>
      <c r="B495" s="947" t="s">
        <v>1279</v>
      </c>
      <c r="C495" s="1018" t="s">
        <v>87</v>
      </c>
      <c r="D495" s="1018" t="s">
        <v>1444</v>
      </c>
      <c r="E495" s="1017" t="s">
        <v>1286</v>
      </c>
    </row>
    <row r="496" spans="1:5" x14ac:dyDescent="0.25">
      <c r="A496" s="947">
        <v>495</v>
      </c>
      <c r="B496" s="947" t="s">
        <v>1279</v>
      </c>
      <c r="C496" s="1018" t="s">
        <v>87</v>
      </c>
      <c r="D496" s="1018" t="s">
        <v>1410</v>
      </c>
      <c r="E496" s="1017" t="s">
        <v>1287</v>
      </c>
    </row>
    <row r="497" spans="1:5" x14ac:dyDescent="0.25">
      <c r="A497" s="947">
        <v>496</v>
      </c>
      <c r="B497" s="947" t="s">
        <v>1279</v>
      </c>
      <c r="C497" s="1018" t="s">
        <v>87</v>
      </c>
      <c r="D497" s="1018" t="s">
        <v>1444</v>
      </c>
      <c r="E497" s="1017" t="s">
        <v>1288</v>
      </c>
    </row>
    <row r="498" spans="1:5" x14ac:dyDescent="0.25">
      <c r="A498" s="947">
        <v>497</v>
      </c>
      <c r="B498" s="947" t="s">
        <v>1279</v>
      </c>
      <c r="C498" s="1018" t="s">
        <v>87</v>
      </c>
      <c r="D498" s="1018" t="s">
        <v>1444</v>
      </c>
      <c r="E498" s="1017" t="s">
        <v>1228</v>
      </c>
    </row>
    <row r="499" spans="1:5" x14ac:dyDescent="0.25">
      <c r="A499" s="947">
        <v>498</v>
      </c>
      <c r="B499" s="947" t="s">
        <v>1279</v>
      </c>
      <c r="C499" s="1018" t="s">
        <v>1264</v>
      </c>
      <c r="D499" s="1018" t="s">
        <v>1410</v>
      </c>
      <c r="E499" s="1015" t="s">
        <v>1275</v>
      </c>
    </row>
    <row r="500" spans="1:5" x14ac:dyDescent="0.25">
      <c r="A500" s="947">
        <v>499</v>
      </c>
      <c r="B500" s="947" t="s">
        <v>1279</v>
      </c>
      <c r="C500" s="1018" t="s">
        <v>1264</v>
      </c>
      <c r="D500" s="1018" t="s">
        <v>1410</v>
      </c>
      <c r="E500" s="1015" t="s">
        <v>1276</v>
      </c>
    </row>
    <row r="501" spans="1:5" x14ac:dyDescent="0.25">
      <c r="A501" s="947">
        <v>500</v>
      </c>
      <c r="B501" s="947" t="s">
        <v>1279</v>
      </c>
      <c r="C501" s="1018" t="s">
        <v>1264</v>
      </c>
      <c r="D501" s="1018" t="s">
        <v>1410</v>
      </c>
      <c r="E501" s="1015" t="s">
        <v>1270</v>
      </c>
    </row>
    <row r="502" spans="1:5" x14ac:dyDescent="0.25">
      <c r="A502" s="947">
        <v>501</v>
      </c>
      <c r="B502" s="947" t="s">
        <v>1401</v>
      </c>
      <c r="C502" s="1018" t="s">
        <v>1445</v>
      </c>
      <c r="D502" s="1018" t="s">
        <v>1410</v>
      </c>
      <c r="E502" s="1015" t="s">
        <v>1446</v>
      </c>
    </row>
    <row r="503" spans="1:5" x14ac:dyDescent="0.25">
      <c r="A503" s="947">
        <v>502</v>
      </c>
      <c r="B503" s="947" t="s">
        <v>1401</v>
      </c>
      <c r="C503" s="1018" t="s">
        <v>1447</v>
      </c>
      <c r="D503" s="1018" t="s">
        <v>1448</v>
      </c>
      <c r="E503" s="1015" t="s">
        <v>1447</v>
      </c>
    </row>
    <row r="504" spans="1:5" x14ac:dyDescent="0.25">
      <c r="A504" s="947">
        <v>503</v>
      </c>
      <c r="B504" s="947" t="s">
        <v>1401</v>
      </c>
      <c r="C504" s="1018" t="s">
        <v>1447</v>
      </c>
      <c r="D504" s="1018" t="s">
        <v>1448</v>
      </c>
      <c r="E504" s="1015" t="s">
        <v>1449</v>
      </c>
    </row>
    <row r="505" spans="1:5" x14ac:dyDescent="0.25">
      <c r="A505" s="947">
        <v>504</v>
      </c>
      <c r="B505" s="947" t="s">
        <v>1401</v>
      </c>
      <c r="C505" s="1018" t="s">
        <v>1447</v>
      </c>
      <c r="D505" s="1018" t="s">
        <v>1448</v>
      </c>
      <c r="E505" s="1015" t="s">
        <v>1450</v>
      </c>
    </row>
    <row r="506" spans="1:5" x14ac:dyDescent="0.25">
      <c r="A506" s="947">
        <v>505</v>
      </c>
      <c r="B506" s="947" t="s">
        <v>1401</v>
      </c>
      <c r="C506" s="1018" t="s">
        <v>1447</v>
      </c>
      <c r="D506" s="1018" t="s">
        <v>1448</v>
      </c>
      <c r="E506" s="1015" t="s">
        <v>1451</v>
      </c>
    </row>
    <row r="507" spans="1:5" x14ac:dyDescent="0.25">
      <c r="A507" s="947">
        <v>506</v>
      </c>
      <c r="B507" s="947" t="s">
        <v>1401</v>
      </c>
      <c r="C507" s="1018" t="s">
        <v>1447</v>
      </c>
      <c r="D507" s="1018" t="s">
        <v>1448</v>
      </c>
      <c r="E507" s="1015" t="s">
        <v>1452</v>
      </c>
    </row>
    <row r="508" spans="1:5" x14ac:dyDescent="0.25">
      <c r="A508" s="947">
        <v>507</v>
      </c>
      <c r="B508" s="947" t="s">
        <v>1401</v>
      </c>
      <c r="C508" s="1018" t="s">
        <v>1447</v>
      </c>
      <c r="D508" s="1018" t="s">
        <v>1448</v>
      </c>
      <c r="E508" s="1015" t="s">
        <v>1453</v>
      </c>
    </row>
    <row r="509" spans="1:5" ht="30" x14ac:dyDescent="0.25">
      <c r="A509" s="947">
        <v>508</v>
      </c>
      <c r="B509" s="947" t="s">
        <v>1351</v>
      </c>
      <c r="C509" s="1018" t="s">
        <v>2136</v>
      </c>
      <c r="D509" s="1018" t="s">
        <v>1454</v>
      </c>
      <c r="E509" s="1015" t="s">
        <v>1455</v>
      </c>
    </row>
    <row r="510" spans="1:5" ht="30" x14ac:dyDescent="0.25">
      <c r="A510" s="947">
        <v>509</v>
      </c>
      <c r="B510" s="947" t="s">
        <v>1351</v>
      </c>
      <c r="C510" s="1018" t="s">
        <v>2136</v>
      </c>
      <c r="D510" s="1018" t="s">
        <v>1454</v>
      </c>
      <c r="E510" s="1015" t="s">
        <v>1240</v>
      </c>
    </row>
    <row r="511" spans="1:5" ht="30" x14ac:dyDescent="0.25">
      <c r="A511" s="947">
        <v>510</v>
      </c>
      <c r="B511" s="947" t="s">
        <v>1351</v>
      </c>
      <c r="C511" s="1018" t="s">
        <v>2136</v>
      </c>
      <c r="D511" s="1018" t="s">
        <v>1454</v>
      </c>
      <c r="E511" s="1015" t="s">
        <v>1241</v>
      </c>
    </row>
    <row r="512" spans="1:5" ht="30" x14ac:dyDescent="0.25">
      <c r="A512" s="947">
        <v>511</v>
      </c>
      <c r="B512" s="947" t="s">
        <v>1351</v>
      </c>
      <c r="C512" s="1018" t="s">
        <v>2136</v>
      </c>
      <c r="D512" s="1018" t="s">
        <v>1456</v>
      </c>
      <c r="E512" s="1015" t="s">
        <v>1244</v>
      </c>
    </row>
    <row r="513" spans="1:5" ht="30" x14ac:dyDescent="0.25">
      <c r="A513" s="947">
        <v>512</v>
      </c>
      <c r="B513" s="947" t="s">
        <v>1351</v>
      </c>
      <c r="C513" s="1018" t="s">
        <v>2136</v>
      </c>
      <c r="D513" s="1018" t="s">
        <v>1457</v>
      </c>
      <c r="E513" s="1015" t="s">
        <v>1242</v>
      </c>
    </row>
    <row r="514" spans="1:5" ht="30" x14ac:dyDescent="0.25">
      <c r="A514" s="947">
        <v>513</v>
      </c>
      <c r="B514" s="947" t="s">
        <v>1279</v>
      </c>
      <c r="C514" s="1018" t="s">
        <v>2136</v>
      </c>
      <c r="D514" s="1018" t="s">
        <v>1458</v>
      </c>
      <c r="E514" s="1015" t="s">
        <v>1268</v>
      </c>
    </row>
    <row r="515" spans="1:5" ht="30" x14ac:dyDescent="0.25">
      <c r="A515" s="947">
        <v>514</v>
      </c>
      <c r="B515" s="947" t="s">
        <v>1279</v>
      </c>
      <c r="C515" s="1018" t="s">
        <v>2136</v>
      </c>
      <c r="D515" s="1018" t="s">
        <v>1458</v>
      </c>
      <c r="E515" s="1015" t="s">
        <v>1459</v>
      </c>
    </row>
    <row r="516" spans="1:5" x14ac:dyDescent="0.25">
      <c r="A516" s="947">
        <v>515</v>
      </c>
      <c r="B516" s="947" t="s">
        <v>1351</v>
      </c>
      <c r="C516" s="1018" t="s">
        <v>1460</v>
      </c>
      <c r="D516" s="1018" t="s">
        <v>1416</v>
      </c>
      <c r="E516" s="1015" t="s">
        <v>1203</v>
      </c>
    </row>
    <row r="517" spans="1:5" x14ac:dyDescent="0.25">
      <c r="A517" s="947">
        <v>516</v>
      </c>
      <c r="B517" s="947" t="s">
        <v>1279</v>
      </c>
      <c r="C517" s="1018" t="s">
        <v>1460</v>
      </c>
      <c r="D517" s="1018" t="s">
        <v>1416</v>
      </c>
      <c r="E517" s="1015" t="s">
        <v>1271</v>
      </c>
    </row>
    <row r="518" spans="1:5" x14ac:dyDescent="0.25">
      <c r="A518" s="947">
        <v>517</v>
      </c>
      <c r="B518" s="947" t="s">
        <v>1279</v>
      </c>
      <c r="C518" s="1018" t="s">
        <v>1460</v>
      </c>
      <c r="D518" s="1018" t="s">
        <v>1416</v>
      </c>
      <c r="E518" s="1015" t="s">
        <v>1272</v>
      </c>
    </row>
    <row r="519" spans="1:5" x14ac:dyDescent="0.25">
      <c r="A519" s="947">
        <v>518</v>
      </c>
      <c r="B519" s="947" t="s">
        <v>1279</v>
      </c>
      <c r="C519" s="1018" t="s">
        <v>1460</v>
      </c>
      <c r="D519" s="1018" t="s">
        <v>1416</v>
      </c>
      <c r="E519" s="1015" t="s">
        <v>1461</v>
      </c>
    </row>
    <row r="520" spans="1:5" x14ac:dyDescent="0.25">
      <c r="A520" s="947">
        <v>519</v>
      </c>
      <c r="B520" s="947" t="s">
        <v>1279</v>
      </c>
      <c r="C520" s="1018" t="s">
        <v>1460</v>
      </c>
      <c r="D520" s="1018" t="s">
        <v>1416</v>
      </c>
      <c r="E520" s="1015" t="s">
        <v>1274</v>
      </c>
    </row>
    <row r="521" spans="1:5" x14ac:dyDescent="0.25">
      <c r="A521" s="947">
        <v>520</v>
      </c>
      <c r="B521" s="947" t="s">
        <v>129</v>
      </c>
      <c r="C521" s="1018" t="s">
        <v>1462</v>
      </c>
      <c r="D521" s="1018" t="s">
        <v>1410</v>
      </c>
      <c r="E521" s="1015" t="s">
        <v>1463</v>
      </c>
    </row>
    <row r="522" spans="1:5" x14ac:dyDescent="0.25">
      <c r="A522" s="947">
        <v>521</v>
      </c>
      <c r="B522" s="947" t="s">
        <v>1516</v>
      </c>
      <c r="C522" s="1018" t="s">
        <v>1710</v>
      </c>
      <c r="D522" s="1018" t="s">
        <v>1543</v>
      </c>
      <c r="E522" s="1014" t="s">
        <v>1491</v>
      </c>
    </row>
    <row r="523" spans="1:5" x14ac:dyDescent="0.25">
      <c r="A523" s="947">
        <v>522</v>
      </c>
      <c r="B523" s="947" t="s">
        <v>1516</v>
      </c>
      <c r="C523" s="1018" t="s">
        <v>1710</v>
      </c>
      <c r="D523" s="1018" t="s">
        <v>1410</v>
      </c>
      <c r="E523" s="1014" t="s">
        <v>1705</v>
      </c>
    </row>
    <row r="524" spans="1:5" x14ac:dyDescent="0.25">
      <c r="A524" s="947">
        <v>523</v>
      </c>
      <c r="B524" s="947" t="s">
        <v>1516</v>
      </c>
      <c r="C524" s="1018" t="s">
        <v>1710</v>
      </c>
      <c r="D524" s="1018" t="s">
        <v>1543</v>
      </c>
      <c r="E524" s="1014" t="s">
        <v>1383</v>
      </c>
    </row>
    <row r="525" spans="1:5" x14ac:dyDescent="0.25">
      <c r="A525" s="947">
        <v>524</v>
      </c>
      <c r="B525" s="947" t="s">
        <v>1516</v>
      </c>
      <c r="C525" s="1018" t="s">
        <v>1710</v>
      </c>
      <c r="D525" s="1018" t="s">
        <v>1543</v>
      </c>
      <c r="E525" s="1014" t="s">
        <v>1380</v>
      </c>
    </row>
    <row r="526" spans="1:5" x14ac:dyDescent="0.25">
      <c r="A526" s="947">
        <v>525</v>
      </c>
      <c r="B526" s="947" t="s">
        <v>1516</v>
      </c>
      <c r="C526" s="1018" t="s">
        <v>1710</v>
      </c>
      <c r="D526" s="1018" t="s">
        <v>1543</v>
      </c>
      <c r="E526" s="1014" t="s">
        <v>1381</v>
      </c>
    </row>
    <row r="527" spans="1:5" x14ac:dyDescent="0.25">
      <c r="A527" s="947">
        <v>526</v>
      </c>
      <c r="B527" s="947" t="s">
        <v>1516</v>
      </c>
      <c r="C527" s="1018" t="s">
        <v>1710</v>
      </c>
      <c r="D527" s="1018" t="s">
        <v>1543</v>
      </c>
      <c r="E527" s="1014" t="s">
        <v>1397</v>
      </c>
    </row>
    <row r="528" spans="1:5" x14ac:dyDescent="0.25">
      <c r="A528" s="947">
        <v>527</v>
      </c>
      <c r="B528" s="947" t="s">
        <v>1516</v>
      </c>
      <c r="C528" s="1018" t="s">
        <v>1710</v>
      </c>
      <c r="D528" s="1018" t="s">
        <v>1410</v>
      </c>
      <c r="E528" s="1014" t="s">
        <v>1382</v>
      </c>
    </row>
    <row r="529" spans="1:5" x14ac:dyDescent="0.25">
      <c r="A529" s="947">
        <v>528</v>
      </c>
      <c r="B529" s="947" t="s">
        <v>1516</v>
      </c>
      <c r="C529" s="1018" t="s">
        <v>1710</v>
      </c>
      <c r="D529" s="1018" t="s">
        <v>1543</v>
      </c>
      <c r="E529" s="1014" t="s">
        <v>1486</v>
      </c>
    </row>
    <row r="530" spans="1:5" x14ac:dyDescent="0.25">
      <c r="A530" s="947">
        <v>529</v>
      </c>
      <c r="B530" s="947" t="s">
        <v>1516</v>
      </c>
      <c r="C530" s="1018" t="s">
        <v>1710</v>
      </c>
      <c r="D530" s="1018" t="s">
        <v>1543</v>
      </c>
      <c r="E530" s="1014" t="s">
        <v>1487</v>
      </c>
    </row>
    <row r="531" spans="1:5" x14ac:dyDescent="0.25">
      <c r="A531" s="947">
        <v>530</v>
      </c>
      <c r="B531" s="947" t="s">
        <v>1516</v>
      </c>
      <c r="C531" s="1018" t="s">
        <v>1710</v>
      </c>
      <c r="D531" s="1018" t="s">
        <v>1410</v>
      </c>
      <c r="E531" s="1014" t="s">
        <v>1488</v>
      </c>
    </row>
    <row r="532" spans="1:5" ht="30" x14ac:dyDescent="0.25">
      <c r="A532" s="947">
        <v>531</v>
      </c>
      <c r="B532" s="947" t="s">
        <v>1516</v>
      </c>
      <c r="C532" s="1018" t="s">
        <v>1710</v>
      </c>
      <c r="D532" s="1018" t="s">
        <v>1544</v>
      </c>
      <c r="E532" s="1014" t="s">
        <v>1385</v>
      </c>
    </row>
    <row r="533" spans="1:5" ht="30" x14ac:dyDescent="0.25">
      <c r="A533" s="947">
        <v>532</v>
      </c>
      <c r="B533" s="947" t="s">
        <v>1516</v>
      </c>
      <c r="C533" s="1018" t="s">
        <v>1710</v>
      </c>
      <c r="D533" s="1018" t="s">
        <v>1544</v>
      </c>
      <c r="E533" s="1014" t="s">
        <v>1386</v>
      </c>
    </row>
    <row r="534" spans="1:5" ht="30" x14ac:dyDescent="0.25">
      <c r="A534" s="947">
        <v>533</v>
      </c>
      <c r="B534" s="947" t="s">
        <v>1516</v>
      </c>
      <c r="C534" s="1018" t="s">
        <v>1710</v>
      </c>
      <c r="D534" s="1018" t="s">
        <v>1544</v>
      </c>
      <c r="E534" s="1014" t="s">
        <v>1495</v>
      </c>
    </row>
    <row r="535" spans="1:5" x14ac:dyDescent="0.25">
      <c r="A535" s="947">
        <v>534</v>
      </c>
      <c r="B535" s="947" t="s">
        <v>1516</v>
      </c>
      <c r="C535" s="1018" t="s">
        <v>1710</v>
      </c>
      <c r="D535" s="1018" t="s">
        <v>1410</v>
      </c>
      <c r="E535" s="1014" t="s">
        <v>1492</v>
      </c>
    </row>
    <row r="536" spans="1:5" x14ac:dyDescent="0.25">
      <c r="A536" s="947">
        <v>535</v>
      </c>
      <c r="B536" s="947" t="s">
        <v>1516</v>
      </c>
      <c r="C536" s="1018" t="s">
        <v>1710</v>
      </c>
      <c r="D536" s="1018" t="s">
        <v>1543</v>
      </c>
      <c r="E536" s="1014" t="s">
        <v>1389</v>
      </c>
    </row>
    <row r="537" spans="1:5" x14ac:dyDescent="0.25">
      <c r="A537" s="947">
        <v>536</v>
      </c>
      <c r="B537" s="947" t="s">
        <v>1516</v>
      </c>
      <c r="C537" s="1018" t="s">
        <v>1711</v>
      </c>
      <c r="D537" s="1018" t="s">
        <v>1543</v>
      </c>
      <c r="E537" s="1014" t="s">
        <v>1491</v>
      </c>
    </row>
    <row r="538" spans="1:5" x14ac:dyDescent="0.25">
      <c r="A538" s="947">
        <v>537</v>
      </c>
      <c r="B538" s="947" t="s">
        <v>1516</v>
      </c>
      <c r="C538" s="1018" t="s">
        <v>1711</v>
      </c>
      <c r="D538" s="1018" t="s">
        <v>1410</v>
      </c>
      <c r="E538" s="1014" t="s">
        <v>1705</v>
      </c>
    </row>
    <row r="539" spans="1:5" x14ac:dyDescent="0.25">
      <c r="A539" s="947">
        <v>538</v>
      </c>
      <c r="B539" s="947" t="s">
        <v>1516</v>
      </c>
      <c r="C539" s="1018" t="s">
        <v>1711</v>
      </c>
      <c r="D539" s="1018" t="s">
        <v>1543</v>
      </c>
      <c r="E539" s="1014" t="s">
        <v>1383</v>
      </c>
    </row>
    <row r="540" spans="1:5" x14ac:dyDescent="0.25">
      <c r="A540" s="947">
        <v>539</v>
      </c>
      <c r="B540" s="947" t="s">
        <v>1516</v>
      </c>
      <c r="C540" s="1018" t="s">
        <v>1711</v>
      </c>
      <c r="D540" s="1018" t="s">
        <v>1543</v>
      </c>
      <c r="E540" s="1014" t="s">
        <v>1380</v>
      </c>
    </row>
    <row r="541" spans="1:5" x14ac:dyDescent="0.25">
      <c r="A541" s="947">
        <v>540</v>
      </c>
      <c r="B541" s="947" t="s">
        <v>1516</v>
      </c>
      <c r="C541" s="1018" t="s">
        <v>1711</v>
      </c>
      <c r="D541" s="1018" t="s">
        <v>1543</v>
      </c>
      <c r="E541" s="1014" t="s">
        <v>1381</v>
      </c>
    </row>
    <row r="542" spans="1:5" x14ac:dyDescent="0.25">
      <c r="A542" s="947">
        <v>541</v>
      </c>
      <c r="B542" s="947" t="s">
        <v>1516</v>
      </c>
      <c r="C542" s="1018" t="s">
        <v>1711</v>
      </c>
      <c r="D542" s="1018" t="s">
        <v>1543</v>
      </c>
      <c r="E542" s="1014" t="s">
        <v>1397</v>
      </c>
    </row>
    <row r="543" spans="1:5" x14ac:dyDescent="0.25">
      <c r="A543" s="947">
        <v>542</v>
      </c>
      <c r="B543" s="947" t="s">
        <v>1516</v>
      </c>
      <c r="C543" s="1018" t="s">
        <v>1711</v>
      </c>
      <c r="D543" s="1018" t="s">
        <v>1410</v>
      </c>
      <c r="E543" s="1014" t="s">
        <v>1382</v>
      </c>
    </row>
    <row r="544" spans="1:5" x14ac:dyDescent="0.25">
      <c r="A544" s="947">
        <v>543</v>
      </c>
      <c r="B544" s="947" t="s">
        <v>1516</v>
      </c>
      <c r="C544" s="1018" t="s">
        <v>1711</v>
      </c>
      <c r="D544" s="1018" t="s">
        <v>1543</v>
      </c>
      <c r="E544" s="1014" t="s">
        <v>1486</v>
      </c>
    </row>
    <row r="545" spans="1:5" x14ac:dyDescent="0.25">
      <c r="A545" s="947">
        <v>544</v>
      </c>
      <c r="B545" s="947" t="s">
        <v>1516</v>
      </c>
      <c r="C545" s="1018" t="s">
        <v>1711</v>
      </c>
      <c r="D545" s="1018" t="s">
        <v>1543</v>
      </c>
      <c r="E545" s="1014" t="s">
        <v>1487</v>
      </c>
    </row>
    <row r="546" spans="1:5" x14ac:dyDescent="0.25">
      <c r="A546" s="947">
        <v>545</v>
      </c>
      <c r="B546" s="947" t="s">
        <v>1516</v>
      </c>
      <c r="C546" s="1018" t="s">
        <v>1711</v>
      </c>
      <c r="D546" s="1018" t="s">
        <v>1410</v>
      </c>
      <c r="E546" s="1014" t="s">
        <v>1488</v>
      </c>
    </row>
    <row r="547" spans="1:5" ht="30" x14ac:dyDescent="0.25">
      <c r="A547" s="947">
        <v>546</v>
      </c>
      <c r="B547" s="947" t="s">
        <v>1516</v>
      </c>
      <c r="C547" s="1018" t="s">
        <v>1711</v>
      </c>
      <c r="D547" s="1018" t="s">
        <v>1544</v>
      </c>
      <c r="E547" s="1014" t="s">
        <v>1385</v>
      </c>
    </row>
    <row r="548" spans="1:5" ht="30" x14ac:dyDescent="0.25">
      <c r="A548" s="947">
        <v>547</v>
      </c>
      <c r="B548" s="947" t="s">
        <v>1516</v>
      </c>
      <c r="C548" s="1018" t="s">
        <v>1711</v>
      </c>
      <c r="D548" s="1018" t="s">
        <v>1544</v>
      </c>
      <c r="E548" s="1014" t="s">
        <v>1386</v>
      </c>
    </row>
    <row r="549" spans="1:5" ht="30" x14ac:dyDescent="0.25">
      <c r="A549" s="947">
        <v>548</v>
      </c>
      <c r="B549" s="947" t="s">
        <v>1516</v>
      </c>
      <c r="C549" s="1018" t="s">
        <v>1711</v>
      </c>
      <c r="D549" s="1018" t="s">
        <v>1544</v>
      </c>
      <c r="E549" s="1014" t="s">
        <v>1495</v>
      </c>
    </row>
    <row r="550" spans="1:5" x14ac:dyDescent="0.25">
      <c r="A550" s="947">
        <v>549</v>
      </c>
      <c r="B550" s="947" t="s">
        <v>1516</v>
      </c>
      <c r="C550" s="1018" t="s">
        <v>1711</v>
      </c>
      <c r="D550" s="1018" t="s">
        <v>1410</v>
      </c>
      <c r="E550" s="1014" t="s">
        <v>1492</v>
      </c>
    </row>
    <row r="551" spans="1:5" x14ac:dyDescent="0.25">
      <c r="A551" s="947">
        <v>550</v>
      </c>
      <c r="B551" s="947" t="s">
        <v>1516</v>
      </c>
      <c r="C551" s="1018" t="s">
        <v>1711</v>
      </c>
      <c r="D551" s="1018" t="s">
        <v>1543</v>
      </c>
      <c r="E551" s="1014" t="s">
        <v>1389</v>
      </c>
    </row>
    <row r="552" spans="1:5" x14ac:dyDescent="0.25">
      <c r="A552" s="947">
        <v>551</v>
      </c>
      <c r="B552" s="947" t="s">
        <v>1516</v>
      </c>
      <c r="C552" s="1018" t="s">
        <v>1546</v>
      </c>
      <c r="D552" s="1018" t="s">
        <v>1545</v>
      </c>
      <c r="E552" s="1014" t="s">
        <v>1491</v>
      </c>
    </row>
    <row r="553" spans="1:5" x14ac:dyDescent="0.25">
      <c r="A553" s="947">
        <v>552</v>
      </c>
      <c r="B553" s="947" t="s">
        <v>1516</v>
      </c>
      <c r="C553" s="1018" t="s">
        <v>1546</v>
      </c>
      <c r="D553" s="1018" t="s">
        <v>1410</v>
      </c>
      <c r="E553" s="1014" t="s">
        <v>1705</v>
      </c>
    </row>
    <row r="554" spans="1:5" x14ac:dyDescent="0.25">
      <c r="A554" s="947">
        <v>553</v>
      </c>
      <c r="B554" s="947" t="s">
        <v>1516</v>
      </c>
      <c r="C554" s="1018" t="s">
        <v>1546</v>
      </c>
      <c r="D554" s="1018" t="s">
        <v>1545</v>
      </c>
      <c r="E554" s="1014" t="s">
        <v>1383</v>
      </c>
    </row>
    <row r="555" spans="1:5" x14ac:dyDescent="0.25">
      <c r="A555" s="947">
        <v>554</v>
      </c>
      <c r="B555" s="947" t="s">
        <v>1516</v>
      </c>
      <c r="C555" s="1018" t="s">
        <v>1546</v>
      </c>
      <c r="D555" s="1018" t="s">
        <v>1545</v>
      </c>
      <c r="E555" s="1014" t="s">
        <v>1380</v>
      </c>
    </row>
    <row r="556" spans="1:5" x14ac:dyDescent="0.25">
      <c r="A556" s="947">
        <v>555</v>
      </c>
      <c r="B556" s="947" t="s">
        <v>1516</v>
      </c>
      <c r="C556" s="1018" t="s">
        <v>1546</v>
      </c>
      <c r="D556" s="1018" t="s">
        <v>1545</v>
      </c>
      <c r="E556" s="1014" t="s">
        <v>1381</v>
      </c>
    </row>
    <row r="557" spans="1:5" x14ac:dyDescent="0.25">
      <c r="A557" s="947">
        <v>556</v>
      </c>
      <c r="B557" s="947" t="s">
        <v>1516</v>
      </c>
      <c r="C557" s="1018" t="s">
        <v>1546</v>
      </c>
      <c r="D557" s="1018" t="s">
        <v>1545</v>
      </c>
      <c r="E557" s="1014" t="s">
        <v>1397</v>
      </c>
    </row>
    <row r="558" spans="1:5" x14ac:dyDescent="0.25">
      <c r="A558" s="947">
        <v>557</v>
      </c>
      <c r="B558" s="947" t="s">
        <v>1516</v>
      </c>
      <c r="C558" s="1018" t="s">
        <v>1546</v>
      </c>
      <c r="D558" s="1018" t="s">
        <v>1410</v>
      </c>
      <c r="E558" s="1014" t="s">
        <v>1382</v>
      </c>
    </row>
    <row r="559" spans="1:5" x14ac:dyDescent="0.25">
      <c r="A559" s="947">
        <v>558</v>
      </c>
      <c r="B559" s="947" t="s">
        <v>1516</v>
      </c>
      <c r="C559" s="1018" t="s">
        <v>1546</v>
      </c>
      <c r="D559" s="1018" t="s">
        <v>1545</v>
      </c>
      <c r="E559" s="1014" t="s">
        <v>1486</v>
      </c>
    </row>
    <row r="560" spans="1:5" x14ac:dyDescent="0.25">
      <c r="A560" s="947">
        <v>559</v>
      </c>
      <c r="B560" s="947" t="s">
        <v>1516</v>
      </c>
      <c r="C560" s="1018" t="s">
        <v>1546</v>
      </c>
      <c r="D560" s="1018" t="s">
        <v>1545</v>
      </c>
      <c r="E560" s="1014" t="s">
        <v>1487</v>
      </c>
    </row>
    <row r="561" spans="1:5" x14ac:dyDescent="0.25">
      <c r="A561" s="947">
        <v>560</v>
      </c>
      <c r="B561" s="947" t="s">
        <v>1516</v>
      </c>
      <c r="C561" s="1018" t="s">
        <v>1546</v>
      </c>
      <c r="D561" s="1018" t="s">
        <v>1410</v>
      </c>
      <c r="E561" s="1014" t="s">
        <v>1488</v>
      </c>
    </row>
    <row r="562" spans="1:5" ht="30" x14ac:dyDescent="0.25">
      <c r="A562" s="947">
        <v>561</v>
      </c>
      <c r="B562" s="947" t="s">
        <v>1516</v>
      </c>
      <c r="C562" s="1018" t="s">
        <v>1546</v>
      </c>
      <c r="D562" s="1018" t="s">
        <v>1544</v>
      </c>
      <c r="E562" s="1014" t="s">
        <v>1385</v>
      </c>
    </row>
    <row r="563" spans="1:5" ht="30" x14ac:dyDescent="0.25">
      <c r="A563" s="947">
        <v>562</v>
      </c>
      <c r="B563" s="947" t="s">
        <v>1516</v>
      </c>
      <c r="C563" s="1018" t="s">
        <v>1546</v>
      </c>
      <c r="D563" s="1018" t="s">
        <v>1544</v>
      </c>
      <c r="E563" s="1014" t="s">
        <v>1386</v>
      </c>
    </row>
    <row r="564" spans="1:5" ht="30" x14ac:dyDescent="0.25">
      <c r="A564" s="947">
        <v>563</v>
      </c>
      <c r="B564" s="947" t="s">
        <v>1516</v>
      </c>
      <c r="C564" s="1018" t="s">
        <v>1546</v>
      </c>
      <c r="D564" s="1018" t="s">
        <v>1544</v>
      </c>
      <c r="E564" s="1014" t="s">
        <v>1495</v>
      </c>
    </row>
    <row r="565" spans="1:5" x14ac:dyDescent="0.25">
      <c r="A565" s="947">
        <v>564</v>
      </c>
      <c r="B565" s="947" t="s">
        <v>1516</v>
      </c>
      <c r="C565" s="1018" t="s">
        <v>1546</v>
      </c>
      <c r="D565" s="1018" t="s">
        <v>1410</v>
      </c>
      <c r="E565" s="1014" t="s">
        <v>1492</v>
      </c>
    </row>
    <row r="566" spans="1:5" x14ac:dyDescent="0.25">
      <c r="A566" s="947">
        <v>565</v>
      </c>
      <c r="B566" s="947" t="s">
        <v>1516</v>
      </c>
      <c r="C566" s="1018" t="s">
        <v>1546</v>
      </c>
      <c r="D566" s="1018" t="s">
        <v>1545</v>
      </c>
      <c r="E566" s="1014" t="s">
        <v>1506</v>
      </c>
    </row>
    <row r="567" spans="1:5" x14ac:dyDescent="0.25">
      <c r="A567" s="947">
        <v>566</v>
      </c>
      <c r="B567" s="947" t="s">
        <v>1516</v>
      </c>
      <c r="C567" s="1018" t="s">
        <v>1547</v>
      </c>
      <c r="D567" s="1018" t="s">
        <v>1545</v>
      </c>
      <c r="E567" s="1014" t="s">
        <v>1387</v>
      </c>
    </row>
    <row r="568" spans="1:5" x14ac:dyDescent="0.25">
      <c r="A568" s="947">
        <v>567</v>
      </c>
      <c r="B568" s="947" t="s">
        <v>1516</v>
      </c>
      <c r="C568" s="1018" t="s">
        <v>1547</v>
      </c>
      <c r="D568" s="1018" t="s">
        <v>1545</v>
      </c>
      <c r="E568" s="1014" t="s">
        <v>1388</v>
      </c>
    </row>
    <row r="569" spans="1:5" x14ac:dyDescent="0.25">
      <c r="A569" s="947">
        <v>568</v>
      </c>
      <c r="B569" s="947" t="s">
        <v>1516</v>
      </c>
      <c r="C569" s="1018" t="s">
        <v>1547</v>
      </c>
      <c r="D569" s="1018" t="s">
        <v>1545</v>
      </c>
      <c r="E569" s="1014" t="s">
        <v>1104</v>
      </c>
    </row>
    <row r="570" spans="1:5" x14ac:dyDescent="0.25">
      <c r="A570" s="947">
        <v>569</v>
      </c>
      <c r="B570" s="947" t="s">
        <v>1516</v>
      </c>
      <c r="C570" s="1018" t="s">
        <v>1546</v>
      </c>
      <c r="D570" s="1018" t="s">
        <v>1545</v>
      </c>
      <c r="E570" s="1014" t="s">
        <v>1508</v>
      </c>
    </row>
    <row r="571" spans="1:5" x14ac:dyDescent="0.25">
      <c r="A571" s="947">
        <v>570</v>
      </c>
      <c r="B571" s="947" t="s">
        <v>1516</v>
      </c>
      <c r="C571" s="1018" t="s">
        <v>1548</v>
      </c>
      <c r="D571" s="1018" t="s">
        <v>1545</v>
      </c>
      <c r="E571" s="1014" t="s">
        <v>1491</v>
      </c>
    </row>
    <row r="572" spans="1:5" x14ac:dyDescent="0.25">
      <c r="A572" s="947">
        <v>571</v>
      </c>
      <c r="B572" s="947" t="s">
        <v>1516</v>
      </c>
      <c r="C572" s="1018" t="s">
        <v>1548</v>
      </c>
      <c r="D572" s="1018" t="s">
        <v>1410</v>
      </c>
      <c r="E572" s="1014" t="s">
        <v>1705</v>
      </c>
    </row>
    <row r="573" spans="1:5" x14ac:dyDescent="0.25">
      <c r="A573" s="947">
        <v>572</v>
      </c>
      <c r="B573" s="947" t="s">
        <v>1516</v>
      </c>
      <c r="C573" s="1018" t="s">
        <v>1548</v>
      </c>
      <c r="D573" s="1018" t="s">
        <v>1545</v>
      </c>
      <c r="E573" s="1014" t="s">
        <v>1383</v>
      </c>
    </row>
    <row r="574" spans="1:5" x14ac:dyDescent="0.25">
      <c r="A574" s="947">
        <v>573</v>
      </c>
      <c r="B574" s="947" t="s">
        <v>1516</v>
      </c>
      <c r="C574" s="1018" t="s">
        <v>1548</v>
      </c>
      <c r="D574" s="1018" t="s">
        <v>1545</v>
      </c>
      <c r="E574" s="1014" t="s">
        <v>1380</v>
      </c>
    </row>
    <row r="575" spans="1:5" x14ac:dyDescent="0.25">
      <c r="A575" s="947">
        <v>574</v>
      </c>
      <c r="B575" s="947" t="s">
        <v>1516</v>
      </c>
      <c r="C575" s="1018" t="s">
        <v>1548</v>
      </c>
      <c r="D575" s="1018" t="s">
        <v>1545</v>
      </c>
      <c r="E575" s="1014" t="s">
        <v>1381</v>
      </c>
    </row>
    <row r="576" spans="1:5" x14ac:dyDescent="0.25">
      <c r="A576" s="947">
        <v>575</v>
      </c>
      <c r="B576" s="947" t="s">
        <v>1516</v>
      </c>
      <c r="C576" s="1018" t="s">
        <v>1548</v>
      </c>
      <c r="D576" s="1018" t="s">
        <v>1545</v>
      </c>
      <c r="E576" s="1014" t="s">
        <v>1397</v>
      </c>
    </row>
    <row r="577" spans="1:5" x14ac:dyDescent="0.25">
      <c r="A577" s="947">
        <v>576</v>
      </c>
      <c r="B577" s="947" t="s">
        <v>1516</v>
      </c>
      <c r="C577" s="1018" t="s">
        <v>1548</v>
      </c>
      <c r="D577" s="1018" t="s">
        <v>1410</v>
      </c>
      <c r="E577" s="1014" t="s">
        <v>1382</v>
      </c>
    </row>
    <row r="578" spans="1:5" x14ac:dyDescent="0.25">
      <c r="A578" s="947">
        <v>577</v>
      </c>
      <c r="B578" s="947" t="s">
        <v>1516</v>
      </c>
      <c r="C578" s="1018" t="s">
        <v>1548</v>
      </c>
      <c r="D578" s="1018" t="s">
        <v>1545</v>
      </c>
      <c r="E578" s="1014" t="s">
        <v>1486</v>
      </c>
    </row>
    <row r="579" spans="1:5" x14ac:dyDescent="0.25">
      <c r="A579" s="947">
        <v>578</v>
      </c>
      <c r="B579" s="947" t="s">
        <v>1516</v>
      </c>
      <c r="C579" s="1018" t="s">
        <v>1548</v>
      </c>
      <c r="D579" s="1018" t="s">
        <v>1545</v>
      </c>
      <c r="E579" s="1014" t="s">
        <v>1487</v>
      </c>
    </row>
    <row r="580" spans="1:5" x14ac:dyDescent="0.25">
      <c r="A580" s="947">
        <v>579</v>
      </c>
      <c r="B580" s="947" t="s">
        <v>1516</v>
      </c>
      <c r="C580" s="1018" t="s">
        <v>1548</v>
      </c>
      <c r="D580" s="1018" t="s">
        <v>1410</v>
      </c>
      <c r="E580" s="1014" t="s">
        <v>1488</v>
      </c>
    </row>
    <row r="581" spans="1:5" ht="30" x14ac:dyDescent="0.25">
      <c r="A581" s="947">
        <v>580</v>
      </c>
      <c r="B581" s="947" t="s">
        <v>1516</v>
      </c>
      <c r="C581" s="1018" t="s">
        <v>1548</v>
      </c>
      <c r="D581" s="1018" t="s">
        <v>1544</v>
      </c>
      <c r="E581" s="1014" t="s">
        <v>1385</v>
      </c>
    </row>
    <row r="582" spans="1:5" ht="30" x14ac:dyDescent="0.25">
      <c r="A582" s="947">
        <v>581</v>
      </c>
      <c r="B582" s="947" t="s">
        <v>1516</v>
      </c>
      <c r="C582" s="1018" t="s">
        <v>1548</v>
      </c>
      <c r="D582" s="1018" t="s">
        <v>1544</v>
      </c>
      <c r="E582" s="1014" t="s">
        <v>1386</v>
      </c>
    </row>
    <row r="583" spans="1:5" ht="30" x14ac:dyDescent="0.25">
      <c r="A583" s="947">
        <v>582</v>
      </c>
      <c r="B583" s="947" t="s">
        <v>1516</v>
      </c>
      <c r="C583" s="1018" t="s">
        <v>1548</v>
      </c>
      <c r="D583" s="1018" t="s">
        <v>1544</v>
      </c>
      <c r="E583" s="1014" t="s">
        <v>1495</v>
      </c>
    </row>
    <row r="584" spans="1:5" x14ac:dyDescent="0.25">
      <c r="A584" s="947">
        <v>583</v>
      </c>
      <c r="B584" s="947" t="s">
        <v>1516</v>
      </c>
      <c r="C584" s="1018" t="s">
        <v>1548</v>
      </c>
      <c r="D584" s="1018" t="s">
        <v>1410</v>
      </c>
      <c r="E584" s="1014" t="s">
        <v>1492</v>
      </c>
    </row>
    <row r="585" spans="1:5" x14ac:dyDescent="0.25">
      <c r="A585" s="947">
        <v>584</v>
      </c>
      <c r="B585" s="947" t="s">
        <v>1516</v>
      </c>
      <c r="C585" s="1018" t="s">
        <v>1548</v>
      </c>
      <c r="D585" s="1018" t="s">
        <v>1545</v>
      </c>
      <c r="E585" s="1014" t="s">
        <v>1506</v>
      </c>
    </row>
    <row r="586" spans="1:5" x14ac:dyDescent="0.25">
      <c r="A586" s="947">
        <v>585</v>
      </c>
      <c r="B586" s="947" t="s">
        <v>1516</v>
      </c>
      <c r="C586" s="1018" t="s">
        <v>1549</v>
      </c>
      <c r="D586" s="1018" t="s">
        <v>1545</v>
      </c>
      <c r="E586" s="1014" t="s">
        <v>1387</v>
      </c>
    </row>
    <row r="587" spans="1:5" x14ac:dyDescent="0.25">
      <c r="A587" s="947">
        <v>586</v>
      </c>
      <c r="B587" s="947" t="s">
        <v>1516</v>
      </c>
      <c r="C587" s="1018" t="s">
        <v>1549</v>
      </c>
      <c r="D587" s="1018" t="s">
        <v>1545</v>
      </c>
      <c r="E587" s="1014" t="s">
        <v>1388</v>
      </c>
    </row>
    <row r="588" spans="1:5" x14ac:dyDescent="0.25">
      <c r="A588" s="947">
        <v>587</v>
      </c>
      <c r="B588" s="947" t="s">
        <v>1516</v>
      </c>
      <c r="C588" s="1018" t="s">
        <v>1549</v>
      </c>
      <c r="D588" s="1018" t="s">
        <v>1545</v>
      </c>
      <c r="E588" s="1014" t="s">
        <v>1389</v>
      </c>
    </row>
    <row r="589" spans="1:5" x14ac:dyDescent="0.25">
      <c r="A589" s="947">
        <v>588</v>
      </c>
      <c r="B589" s="947" t="s">
        <v>1516</v>
      </c>
      <c r="C589" s="1018" t="s">
        <v>1548</v>
      </c>
      <c r="D589" s="1018" t="s">
        <v>1545</v>
      </c>
      <c r="E589" s="1014" t="s">
        <v>1508</v>
      </c>
    </row>
    <row r="590" spans="1:5" x14ac:dyDescent="0.25">
      <c r="A590" s="947">
        <v>589</v>
      </c>
      <c r="B590" s="947" t="s">
        <v>1516</v>
      </c>
      <c r="C590" s="1018" t="s">
        <v>1550</v>
      </c>
      <c r="D590" s="1018" t="s">
        <v>1513</v>
      </c>
      <c r="E590" s="1014" t="s">
        <v>1491</v>
      </c>
    </row>
    <row r="591" spans="1:5" x14ac:dyDescent="0.25">
      <c r="A591" s="947">
        <v>590</v>
      </c>
      <c r="B591" s="947" t="s">
        <v>1516</v>
      </c>
      <c r="C591" s="1018" t="s">
        <v>1550</v>
      </c>
      <c r="D591" s="1018" t="s">
        <v>1410</v>
      </c>
      <c r="E591" s="1014" t="s">
        <v>1705</v>
      </c>
    </row>
    <row r="592" spans="1:5" x14ac:dyDescent="0.25">
      <c r="A592" s="947">
        <v>591</v>
      </c>
      <c r="B592" s="947" t="s">
        <v>1516</v>
      </c>
      <c r="C592" s="1018" t="s">
        <v>1550</v>
      </c>
      <c r="D592" s="1018" t="s">
        <v>1513</v>
      </c>
      <c r="E592" s="1014" t="s">
        <v>1383</v>
      </c>
    </row>
    <row r="593" spans="1:5" x14ac:dyDescent="0.25">
      <c r="A593" s="947">
        <v>592</v>
      </c>
      <c r="B593" s="947" t="s">
        <v>1516</v>
      </c>
      <c r="C593" s="1018" t="s">
        <v>1550</v>
      </c>
      <c r="D593" s="1018" t="s">
        <v>1513</v>
      </c>
      <c r="E593" s="1014" t="s">
        <v>1380</v>
      </c>
    </row>
    <row r="594" spans="1:5" x14ac:dyDescent="0.25">
      <c r="A594" s="947">
        <v>593</v>
      </c>
      <c r="B594" s="947" t="s">
        <v>1516</v>
      </c>
      <c r="C594" s="1018" t="s">
        <v>1550</v>
      </c>
      <c r="D594" s="1018" t="s">
        <v>1513</v>
      </c>
      <c r="E594" s="1014" t="s">
        <v>1381</v>
      </c>
    </row>
    <row r="595" spans="1:5" x14ac:dyDescent="0.25">
      <c r="A595" s="947">
        <v>594</v>
      </c>
      <c r="B595" s="947" t="s">
        <v>1516</v>
      </c>
      <c r="C595" s="1018" t="s">
        <v>1550</v>
      </c>
      <c r="D595" s="1018" t="s">
        <v>1513</v>
      </c>
      <c r="E595" s="1014" t="s">
        <v>1397</v>
      </c>
    </row>
    <row r="596" spans="1:5" x14ac:dyDescent="0.25">
      <c r="A596" s="947">
        <v>595</v>
      </c>
      <c r="B596" s="947" t="s">
        <v>1516</v>
      </c>
      <c r="C596" s="1018" t="s">
        <v>1550</v>
      </c>
      <c r="D596" s="1018" t="s">
        <v>1513</v>
      </c>
      <c r="E596" s="1014" t="s">
        <v>1382</v>
      </c>
    </row>
    <row r="597" spans="1:5" x14ac:dyDescent="0.25">
      <c r="A597" s="947">
        <v>596</v>
      </c>
      <c r="B597" s="947" t="s">
        <v>1516</v>
      </c>
      <c r="C597" s="1018" t="s">
        <v>1550</v>
      </c>
      <c r="D597" s="1018" t="s">
        <v>1513</v>
      </c>
      <c r="E597" s="1014" t="s">
        <v>1486</v>
      </c>
    </row>
    <row r="598" spans="1:5" x14ac:dyDescent="0.25">
      <c r="A598" s="947">
        <v>597</v>
      </c>
      <c r="B598" s="947" t="s">
        <v>1516</v>
      </c>
      <c r="C598" s="1018" t="s">
        <v>1550</v>
      </c>
      <c r="D598" s="1018" t="s">
        <v>1513</v>
      </c>
      <c r="E598" s="1014" t="s">
        <v>1487</v>
      </c>
    </row>
    <row r="599" spans="1:5" x14ac:dyDescent="0.25">
      <c r="A599" s="947">
        <v>598</v>
      </c>
      <c r="B599" s="947" t="s">
        <v>1516</v>
      </c>
      <c r="C599" s="1018" t="s">
        <v>1550</v>
      </c>
      <c r="D599" s="1018" t="s">
        <v>1410</v>
      </c>
      <c r="E599" s="1014" t="s">
        <v>1488</v>
      </c>
    </row>
    <row r="600" spans="1:5" ht="30" x14ac:dyDescent="0.25">
      <c r="A600" s="947">
        <v>599</v>
      </c>
      <c r="B600" s="947" t="s">
        <v>1516</v>
      </c>
      <c r="C600" s="1018" t="s">
        <v>1550</v>
      </c>
      <c r="D600" s="1018" t="s">
        <v>1544</v>
      </c>
      <c r="E600" s="1014" t="s">
        <v>1385</v>
      </c>
    </row>
    <row r="601" spans="1:5" ht="30" x14ac:dyDescent="0.25">
      <c r="A601" s="947">
        <v>600</v>
      </c>
      <c r="B601" s="947" t="s">
        <v>1516</v>
      </c>
      <c r="C601" s="1018" t="s">
        <v>1550</v>
      </c>
      <c r="D601" s="1018" t="s">
        <v>1544</v>
      </c>
      <c r="E601" s="1014" t="s">
        <v>1386</v>
      </c>
    </row>
    <row r="602" spans="1:5" ht="30" x14ac:dyDescent="0.25">
      <c r="A602" s="947">
        <v>601</v>
      </c>
      <c r="B602" s="947" t="s">
        <v>1516</v>
      </c>
      <c r="C602" s="1018" t="s">
        <v>1550</v>
      </c>
      <c r="D602" s="1018" t="s">
        <v>1544</v>
      </c>
      <c r="E602" s="1014" t="s">
        <v>1495</v>
      </c>
    </row>
    <row r="603" spans="1:5" x14ac:dyDescent="0.25">
      <c r="A603" s="947">
        <v>602</v>
      </c>
      <c r="B603" s="947" t="s">
        <v>1516</v>
      </c>
      <c r="C603" s="1018" t="s">
        <v>1550</v>
      </c>
      <c r="D603" s="1018" t="s">
        <v>1410</v>
      </c>
      <c r="E603" s="1014" t="s">
        <v>1492</v>
      </c>
    </row>
    <row r="604" spans="1:5" x14ac:dyDescent="0.25">
      <c r="A604" s="947">
        <v>603</v>
      </c>
      <c r="B604" s="947" t="s">
        <v>1516</v>
      </c>
      <c r="C604" s="1018" t="s">
        <v>1550</v>
      </c>
      <c r="D604" s="1018" t="s">
        <v>1513</v>
      </c>
      <c r="E604" s="1014" t="s">
        <v>1506</v>
      </c>
    </row>
    <row r="605" spans="1:5" x14ac:dyDescent="0.25">
      <c r="A605" s="947">
        <v>604</v>
      </c>
      <c r="B605" s="947" t="s">
        <v>1516</v>
      </c>
      <c r="C605" s="1018" t="s">
        <v>1551</v>
      </c>
      <c r="D605" s="1018" t="s">
        <v>1513</v>
      </c>
      <c r="E605" s="1014" t="s">
        <v>1387</v>
      </c>
    </row>
    <row r="606" spans="1:5" x14ac:dyDescent="0.25">
      <c r="A606" s="947">
        <v>605</v>
      </c>
      <c r="B606" s="947" t="s">
        <v>1516</v>
      </c>
      <c r="C606" s="1018" t="s">
        <v>1551</v>
      </c>
      <c r="D606" s="1018" t="s">
        <v>1513</v>
      </c>
      <c r="E606" s="1014" t="s">
        <v>1388</v>
      </c>
    </row>
    <row r="607" spans="1:5" x14ac:dyDescent="0.25">
      <c r="A607" s="947">
        <v>606</v>
      </c>
      <c r="B607" s="947" t="s">
        <v>1516</v>
      </c>
      <c r="C607" s="1018" t="s">
        <v>1551</v>
      </c>
      <c r="D607" s="1018" t="s">
        <v>1513</v>
      </c>
      <c r="E607" s="1014" t="s">
        <v>1389</v>
      </c>
    </row>
    <row r="608" spans="1:5" x14ac:dyDescent="0.25">
      <c r="A608" s="947">
        <v>607</v>
      </c>
      <c r="B608" s="947" t="s">
        <v>1516</v>
      </c>
      <c r="C608" s="1018" t="s">
        <v>1552</v>
      </c>
      <c r="D608" s="1018" t="s">
        <v>1513</v>
      </c>
      <c r="E608" s="1014" t="s">
        <v>1387</v>
      </c>
    </row>
    <row r="609" spans="1:5" x14ac:dyDescent="0.25">
      <c r="A609" s="947">
        <v>608</v>
      </c>
      <c r="B609" s="947" t="s">
        <v>1516</v>
      </c>
      <c r="C609" s="1018" t="s">
        <v>1552</v>
      </c>
      <c r="D609" s="1018" t="s">
        <v>1513</v>
      </c>
      <c r="E609" s="1014" t="s">
        <v>1388</v>
      </c>
    </row>
    <row r="610" spans="1:5" x14ac:dyDescent="0.25">
      <c r="A610" s="947">
        <v>609</v>
      </c>
      <c r="B610" s="947" t="s">
        <v>1516</v>
      </c>
      <c r="C610" s="1018" t="s">
        <v>1552</v>
      </c>
      <c r="D610" s="1018" t="s">
        <v>1513</v>
      </c>
      <c r="E610" s="1014" t="s">
        <v>1389</v>
      </c>
    </row>
    <row r="611" spans="1:5" x14ac:dyDescent="0.25">
      <c r="A611" s="947">
        <v>610</v>
      </c>
      <c r="B611" s="947" t="s">
        <v>1516</v>
      </c>
      <c r="C611" s="1018" t="s">
        <v>1553</v>
      </c>
      <c r="D611" s="1018" t="s">
        <v>1513</v>
      </c>
      <c r="E611" s="1014" t="s">
        <v>1387</v>
      </c>
    </row>
    <row r="612" spans="1:5" x14ac:dyDescent="0.25">
      <c r="A612" s="947">
        <v>611</v>
      </c>
      <c r="B612" s="947" t="s">
        <v>1516</v>
      </c>
      <c r="C612" s="1018" t="s">
        <v>1553</v>
      </c>
      <c r="D612" s="1018" t="s">
        <v>1513</v>
      </c>
      <c r="E612" s="1014" t="s">
        <v>1388</v>
      </c>
    </row>
    <row r="613" spans="1:5" x14ac:dyDescent="0.25">
      <c r="A613" s="947">
        <v>612</v>
      </c>
      <c r="B613" s="947" t="s">
        <v>1516</v>
      </c>
      <c r="C613" s="1018" t="s">
        <v>1553</v>
      </c>
      <c r="D613" s="1018" t="s">
        <v>1513</v>
      </c>
      <c r="E613" s="1014" t="s">
        <v>1389</v>
      </c>
    </row>
    <row r="614" spans="1:5" x14ac:dyDescent="0.25">
      <c r="A614" s="947">
        <v>613</v>
      </c>
      <c r="B614" s="947" t="s">
        <v>1516</v>
      </c>
      <c r="C614" s="1018" t="s">
        <v>1554</v>
      </c>
      <c r="D614" s="1018" t="s">
        <v>1513</v>
      </c>
      <c r="E614" s="1014" t="s">
        <v>1387</v>
      </c>
    </row>
    <row r="615" spans="1:5" x14ac:dyDescent="0.25">
      <c r="A615" s="947">
        <v>614</v>
      </c>
      <c r="B615" s="947" t="s">
        <v>1516</v>
      </c>
      <c r="C615" s="1018" t="s">
        <v>1554</v>
      </c>
      <c r="D615" s="1018" t="s">
        <v>1513</v>
      </c>
      <c r="E615" s="1014" t="s">
        <v>1388</v>
      </c>
    </row>
    <row r="616" spans="1:5" x14ac:dyDescent="0.25">
      <c r="A616" s="947">
        <v>615</v>
      </c>
      <c r="B616" s="947" t="s">
        <v>1516</v>
      </c>
      <c r="C616" s="1018" t="s">
        <v>1554</v>
      </c>
      <c r="D616" s="1018" t="s">
        <v>1513</v>
      </c>
      <c r="E616" s="1014" t="s">
        <v>1389</v>
      </c>
    </row>
    <row r="617" spans="1:5" x14ac:dyDescent="0.25">
      <c r="A617" s="947">
        <v>616</v>
      </c>
      <c r="B617" s="947" t="s">
        <v>1516</v>
      </c>
      <c r="C617" s="1018" t="s">
        <v>1555</v>
      </c>
      <c r="D617" s="1018" t="s">
        <v>1513</v>
      </c>
      <c r="E617" s="1014" t="s">
        <v>1387</v>
      </c>
    </row>
    <row r="618" spans="1:5" x14ac:dyDescent="0.25">
      <c r="A618" s="947">
        <v>617</v>
      </c>
      <c r="B618" s="947" t="s">
        <v>1516</v>
      </c>
      <c r="C618" s="1018" t="s">
        <v>1555</v>
      </c>
      <c r="D618" s="1018" t="s">
        <v>1513</v>
      </c>
      <c r="E618" s="1014" t="s">
        <v>1388</v>
      </c>
    </row>
    <row r="619" spans="1:5" x14ac:dyDescent="0.25">
      <c r="A619" s="947">
        <v>618</v>
      </c>
      <c r="B619" s="947" t="s">
        <v>1516</v>
      </c>
      <c r="C619" s="1018" t="s">
        <v>1555</v>
      </c>
      <c r="D619" s="1018" t="s">
        <v>1513</v>
      </c>
      <c r="E619" s="1014" t="s">
        <v>1389</v>
      </c>
    </row>
    <row r="620" spans="1:5" x14ac:dyDescent="0.25">
      <c r="A620" s="947">
        <v>619</v>
      </c>
      <c r="B620" s="947" t="s">
        <v>1516</v>
      </c>
      <c r="C620" s="1018" t="s">
        <v>1550</v>
      </c>
      <c r="D620" s="1018" t="s">
        <v>1508</v>
      </c>
      <c r="E620" s="1014" t="s">
        <v>1508</v>
      </c>
    </row>
    <row r="621" spans="1:5" x14ac:dyDescent="0.25">
      <c r="A621" s="947">
        <v>620</v>
      </c>
      <c r="B621" s="947" t="s">
        <v>1516</v>
      </c>
      <c r="C621" s="1018" t="s">
        <v>1556</v>
      </c>
      <c r="D621" s="1018" t="s">
        <v>1513</v>
      </c>
      <c r="E621" s="1014" t="s">
        <v>1491</v>
      </c>
    </row>
    <row r="622" spans="1:5" x14ac:dyDescent="0.25">
      <c r="A622" s="947">
        <v>621</v>
      </c>
      <c r="B622" s="947" t="s">
        <v>1516</v>
      </c>
      <c r="C622" s="1018" t="s">
        <v>1556</v>
      </c>
      <c r="D622" s="1018" t="s">
        <v>1410</v>
      </c>
      <c r="E622" s="1014" t="s">
        <v>1705</v>
      </c>
    </row>
    <row r="623" spans="1:5" x14ac:dyDescent="0.25">
      <c r="A623" s="947">
        <v>622</v>
      </c>
      <c r="B623" s="947" t="s">
        <v>1516</v>
      </c>
      <c r="C623" s="1018" t="s">
        <v>1556</v>
      </c>
      <c r="D623" s="1018" t="s">
        <v>1513</v>
      </c>
      <c r="E623" s="1014" t="s">
        <v>1383</v>
      </c>
    </row>
    <row r="624" spans="1:5" x14ac:dyDescent="0.25">
      <c r="A624" s="947">
        <v>623</v>
      </c>
      <c r="B624" s="947" t="s">
        <v>1516</v>
      </c>
      <c r="C624" s="1018" t="s">
        <v>1556</v>
      </c>
      <c r="D624" s="1018" t="s">
        <v>1513</v>
      </c>
      <c r="E624" s="1014" t="s">
        <v>1380</v>
      </c>
    </row>
    <row r="625" spans="1:5" x14ac:dyDescent="0.25">
      <c r="A625" s="947">
        <v>624</v>
      </c>
      <c r="B625" s="947" t="s">
        <v>1516</v>
      </c>
      <c r="C625" s="1018" t="s">
        <v>1556</v>
      </c>
      <c r="D625" s="1018" t="s">
        <v>1513</v>
      </c>
      <c r="E625" s="1014" t="s">
        <v>1381</v>
      </c>
    </row>
    <row r="626" spans="1:5" x14ac:dyDescent="0.25">
      <c r="A626" s="947">
        <v>625</v>
      </c>
      <c r="B626" s="947" t="s">
        <v>1516</v>
      </c>
      <c r="C626" s="1018" t="s">
        <v>1556</v>
      </c>
      <c r="D626" s="1018" t="s">
        <v>1513</v>
      </c>
      <c r="E626" s="1014" t="s">
        <v>1397</v>
      </c>
    </row>
    <row r="627" spans="1:5" x14ac:dyDescent="0.25">
      <c r="A627" s="947">
        <v>626</v>
      </c>
      <c r="B627" s="947" t="s">
        <v>1516</v>
      </c>
      <c r="C627" s="1018" t="s">
        <v>1556</v>
      </c>
      <c r="D627" s="1018" t="s">
        <v>1513</v>
      </c>
      <c r="E627" s="1014" t="s">
        <v>1382</v>
      </c>
    </row>
    <row r="628" spans="1:5" x14ac:dyDescent="0.25">
      <c r="A628" s="947">
        <v>627</v>
      </c>
      <c r="B628" s="947" t="s">
        <v>1516</v>
      </c>
      <c r="C628" s="1018" t="s">
        <v>1556</v>
      </c>
      <c r="D628" s="1018" t="s">
        <v>1513</v>
      </c>
      <c r="E628" s="1014" t="s">
        <v>1486</v>
      </c>
    </row>
    <row r="629" spans="1:5" x14ac:dyDescent="0.25">
      <c r="A629" s="947">
        <v>628</v>
      </c>
      <c r="B629" s="947" t="s">
        <v>1516</v>
      </c>
      <c r="C629" s="1018" t="s">
        <v>1556</v>
      </c>
      <c r="D629" s="1018" t="s">
        <v>1513</v>
      </c>
      <c r="E629" s="1014" t="s">
        <v>1487</v>
      </c>
    </row>
    <row r="630" spans="1:5" x14ac:dyDescent="0.25">
      <c r="A630" s="947">
        <v>629</v>
      </c>
      <c r="B630" s="947" t="s">
        <v>1516</v>
      </c>
      <c r="C630" s="1018" t="s">
        <v>1556</v>
      </c>
      <c r="D630" s="1018" t="s">
        <v>1410</v>
      </c>
      <c r="E630" s="1014" t="s">
        <v>1488</v>
      </c>
    </row>
    <row r="631" spans="1:5" ht="30" x14ac:dyDescent="0.25">
      <c r="A631" s="947">
        <v>630</v>
      </c>
      <c r="B631" s="947" t="s">
        <v>1516</v>
      </c>
      <c r="C631" s="1018" t="s">
        <v>1556</v>
      </c>
      <c r="D631" s="1018" t="s">
        <v>1544</v>
      </c>
      <c r="E631" s="1014" t="s">
        <v>1385</v>
      </c>
    </row>
    <row r="632" spans="1:5" ht="30" x14ac:dyDescent="0.25">
      <c r="A632" s="947">
        <v>631</v>
      </c>
      <c r="B632" s="947" t="s">
        <v>1516</v>
      </c>
      <c r="C632" s="1018" t="s">
        <v>1556</v>
      </c>
      <c r="D632" s="1018" t="s">
        <v>1544</v>
      </c>
      <c r="E632" s="1014" t="s">
        <v>1386</v>
      </c>
    </row>
    <row r="633" spans="1:5" ht="30" x14ac:dyDescent="0.25">
      <c r="A633" s="947">
        <v>632</v>
      </c>
      <c r="B633" s="947" t="s">
        <v>1516</v>
      </c>
      <c r="C633" s="1018" t="s">
        <v>1556</v>
      </c>
      <c r="D633" s="1018" t="s">
        <v>1544</v>
      </c>
      <c r="E633" s="1014" t="s">
        <v>1495</v>
      </c>
    </row>
    <row r="634" spans="1:5" x14ac:dyDescent="0.25">
      <c r="A634" s="947">
        <v>633</v>
      </c>
      <c r="B634" s="947" t="s">
        <v>1516</v>
      </c>
      <c r="C634" s="1018" t="s">
        <v>1556</v>
      </c>
      <c r="D634" s="1018" t="s">
        <v>1410</v>
      </c>
      <c r="E634" s="1014" t="s">
        <v>1492</v>
      </c>
    </row>
    <row r="635" spans="1:5" x14ac:dyDescent="0.25">
      <c r="A635" s="947">
        <v>634</v>
      </c>
      <c r="B635" s="947" t="s">
        <v>1516</v>
      </c>
      <c r="C635" s="1018" t="s">
        <v>1556</v>
      </c>
      <c r="D635" s="1018" t="s">
        <v>1513</v>
      </c>
      <c r="E635" s="1014" t="s">
        <v>1506</v>
      </c>
    </row>
    <row r="636" spans="1:5" x14ac:dyDescent="0.25">
      <c r="A636" s="947">
        <v>635</v>
      </c>
      <c r="B636" s="947" t="s">
        <v>1516</v>
      </c>
      <c r="C636" s="1018" t="s">
        <v>1557</v>
      </c>
      <c r="D636" s="1018" t="s">
        <v>1513</v>
      </c>
      <c r="E636" s="1014" t="s">
        <v>1387</v>
      </c>
    </row>
    <row r="637" spans="1:5" x14ac:dyDescent="0.25">
      <c r="A637" s="947">
        <v>636</v>
      </c>
      <c r="B637" s="947" t="s">
        <v>1516</v>
      </c>
      <c r="C637" s="1018" t="s">
        <v>1557</v>
      </c>
      <c r="D637" s="1018" t="s">
        <v>1513</v>
      </c>
      <c r="E637" s="1014" t="s">
        <v>1388</v>
      </c>
    </row>
    <row r="638" spans="1:5" x14ac:dyDescent="0.25">
      <c r="A638" s="947">
        <v>637</v>
      </c>
      <c r="B638" s="947" t="s">
        <v>1516</v>
      </c>
      <c r="C638" s="1018" t="s">
        <v>1557</v>
      </c>
      <c r="D638" s="1018" t="s">
        <v>1513</v>
      </c>
      <c r="E638" s="1014" t="s">
        <v>1389</v>
      </c>
    </row>
    <row r="639" spans="1:5" x14ac:dyDescent="0.25">
      <c r="A639" s="947">
        <v>638</v>
      </c>
      <c r="B639" s="947" t="s">
        <v>1516</v>
      </c>
      <c r="C639" s="1018" t="s">
        <v>1558</v>
      </c>
      <c r="D639" s="1018" t="s">
        <v>1513</v>
      </c>
      <c r="E639" s="1014" t="s">
        <v>1387</v>
      </c>
    </row>
    <row r="640" spans="1:5" x14ac:dyDescent="0.25">
      <c r="A640" s="947">
        <v>639</v>
      </c>
      <c r="B640" s="947" t="s">
        <v>1516</v>
      </c>
      <c r="C640" s="1018" t="s">
        <v>1558</v>
      </c>
      <c r="D640" s="1018" t="s">
        <v>1513</v>
      </c>
      <c r="E640" s="1014" t="s">
        <v>1388</v>
      </c>
    </row>
    <row r="641" spans="1:5" x14ac:dyDescent="0.25">
      <c r="A641" s="947">
        <v>640</v>
      </c>
      <c r="B641" s="947" t="s">
        <v>1516</v>
      </c>
      <c r="C641" s="1018" t="s">
        <v>1558</v>
      </c>
      <c r="D641" s="1018" t="s">
        <v>1513</v>
      </c>
      <c r="E641" s="1014" t="s">
        <v>1389</v>
      </c>
    </row>
    <row r="642" spans="1:5" x14ac:dyDescent="0.25">
      <c r="A642" s="947">
        <v>641</v>
      </c>
      <c r="B642" s="947" t="s">
        <v>1516</v>
      </c>
      <c r="C642" s="1018" t="s">
        <v>1559</v>
      </c>
      <c r="D642" s="1018" t="s">
        <v>1513</v>
      </c>
      <c r="E642" s="1014" t="s">
        <v>1387</v>
      </c>
    </row>
    <row r="643" spans="1:5" x14ac:dyDescent="0.25">
      <c r="A643" s="947">
        <v>642</v>
      </c>
      <c r="B643" s="947" t="s">
        <v>1516</v>
      </c>
      <c r="C643" s="1018" t="s">
        <v>1559</v>
      </c>
      <c r="D643" s="1018" t="s">
        <v>1513</v>
      </c>
      <c r="E643" s="1014" t="s">
        <v>1388</v>
      </c>
    </row>
    <row r="644" spans="1:5" x14ac:dyDescent="0.25">
      <c r="A644" s="947">
        <v>643</v>
      </c>
      <c r="B644" s="947" t="s">
        <v>1516</v>
      </c>
      <c r="C644" s="1018" t="s">
        <v>1559</v>
      </c>
      <c r="D644" s="1018" t="s">
        <v>1513</v>
      </c>
      <c r="E644" s="1014" t="s">
        <v>1389</v>
      </c>
    </row>
    <row r="645" spans="1:5" x14ac:dyDescent="0.25">
      <c r="A645" s="947">
        <v>644</v>
      </c>
      <c r="B645" s="947" t="s">
        <v>1516</v>
      </c>
      <c r="C645" s="1018" t="s">
        <v>1560</v>
      </c>
      <c r="D645" s="1018" t="s">
        <v>1513</v>
      </c>
      <c r="E645" s="1014" t="s">
        <v>1387</v>
      </c>
    </row>
    <row r="646" spans="1:5" x14ac:dyDescent="0.25">
      <c r="A646" s="947">
        <v>645</v>
      </c>
      <c r="B646" s="947" t="s">
        <v>1516</v>
      </c>
      <c r="C646" s="1018" t="s">
        <v>1560</v>
      </c>
      <c r="D646" s="1018" t="s">
        <v>1513</v>
      </c>
      <c r="E646" s="1014" t="s">
        <v>1388</v>
      </c>
    </row>
    <row r="647" spans="1:5" x14ac:dyDescent="0.25">
      <c r="A647" s="947">
        <v>646</v>
      </c>
      <c r="B647" s="947" t="s">
        <v>1516</v>
      </c>
      <c r="C647" s="1018" t="s">
        <v>1560</v>
      </c>
      <c r="D647" s="1018" t="s">
        <v>1513</v>
      </c>
      <c r="E647" s="1014" t="s">
        <v>1389</v>
      </c>
    </row>
    <row r="648" spans="1:5" x14ac:dyDescent="0.25">
      <c r="A648" s="947">
        <v>647</v>
      </c>
      <c r="B648" s="947" t="s">
        <v>1516</v>
      </c>
      <c r="C648" s="1018" t="s">
        <v>1561</v>
      </c>
      <c r="D648" s="1018" t="s">
        <v>1513</v>
      </c>
      <c r="E648" s="1014" t="s">
        <v>1387</v>
      </c>
    </row>
    <row r="649" spans="1:5" x14ac:dyDescent="0.25">
      <c r="A649" s="947">
        <v>648</v>
      </c>
      <c r="B649" s="947" t="s">
        <v>1516</v>
      </c>
      <c r="C649" s="1018" t="s">
        <v>1561</v>
      </c>
      <c r="D649" s="1018" t="s">
        <v>1513</v>
      </c>
      <c r="E649" s="1014" t="s">
        <v>1388</v>
      </c>
    </row>
    <row r="650" spans="1:5" x14ac:dyDescent="0.25">
      <c r="A650" s="947">
        <v>649</v>
      </c>
      <c r="B650" s="947" t="s">
        <v>1516</v>
      </c>
      <c r="C650" s="1018" t="s">
        <v>1561</v>
      </c>
      <c r="D650" s="1018" t="s">
        <v>1513</v>
      </c>
      <c r="E650" s="1014" t="s">
        <v>1389</v>
      </c>
    </row>
    <row r="651" spans="1:5" x14ac:dyDescent="0.25">
      <c r="A651" s="947">
        <v>650</v>
      </c>
      <c r="B651" s="947" t="s">
        <v>1516</v>
      </c>
      <c r="C651" s="1018" t="s">
        <v>1556</v>
      </c>
      <c r="D651" s="1018" t="s">
        <v>1508</v>
      </c>
      <c r="E651" s="1014" t="s">
        <v>1508</v>
      </c>
    </row>
    <row r="652" spans="1:5" x14ac:dyDescent="0.25">
      <c r="A652" s="947">
        <v>651</v>
      </c>
      <c r="B652" s="947" t="s">
        <v>1516</v>
      </c>
      <c r="C652" s="1018" t="s">
        <v>1562</v>
      </c>
      <c r="D652" s="1018" t="s">
        <v>1522</v>
      </c>
      <c r="E652" s="1014" t="s">
        <v>1491</v>
      </c>
    </row>
    <row r="653" spans="1:5" x14ac:dyDescent="0.25">
      <c r="A653" s="947">
        <v>652</v>
      </c>
      <c r="B653" s="947" t="s">
        <v>1516</v>
      </c>
      <c r="C653" s="1018" t="s">
        <v>1562</v>
      </c>
      <c r="D653" s="1018" t="s">
        <v>1410</v>
      </c>
      <c r="E653" s="1014" t="s">
        <v>1705</v>
      </c>
    </row>
    <row r="654" spans="1:5" x14ac:dyDescent="0.25">
      <c r="A654" s="947">
        <v>653</v>
      </c>
      <c r="B654" s="947" t="s">
        <v>1516</v>
      </c>
      <c r="C654" s="1018" t="s">
        <v>1562</v>
      </c>
      <c r="D654" s="1018" t="s">
        <v>1522</v>
      </c>
      <c r="E654" s="1014" t="s">
        <v>1383</v>
      </c>
    </row>
    <row r="655" spans="1:5" x14ac:dyDescent="0.25">
      <c r="A655" s="947">
        <v>654</v>
      </c>
      <c r="B655" s="947" t="s">
        <v>1516</v>
      </c>
      <c r="C655" s="1018" t="s">
        <v>1562</v>
      </c>
      <c r="D655" s="1018" t="s">
        <v>1522</v>
      </c>
      <c r="E655" s="1014" t="s">
        <v>1380</v>
      </c>
    </row>
    <row r="656" spans="1:5" x14ac:dyDescent="0.25">
      <c r="A656" s="947">
        <v>655</v>
      </c>
      <c r="B656" s="947" t="s">
        <v>1516</v>
      </c>
      <c r="C656" s="1018" t="s">
        <v>1562</v>
      </c>
      <c r="D656" s="1018" t="s">
        <v>1522</v>
      </c>
      <c r="E656" s="1014" t="s">
        <v>1381</v>
      </c>
    </row>
    <row r="657" spans="1:5" x14ac:dyDescent="0.25">
      <c r="A657" s="947">
        <v>656</v>
      </c>
      <c r="B657" s="947" t="s">
        <v>1516</v>
      </c>
      <c r="C657" s="1018" t="s">
        <v>1562</v>
      </c>
      <c r="D657" s="1018" t="s">
        <v>1522</v>
      </c>
      <c r="E657" s="1014" t="s">
        <v>1397</v>
      </c>
    </row>
    <row r="658" spans="1:5" x14ac:dyDescent="0.25">
      <c r="A658" s="947">
        <v>657</v>
      </c>
      <c r="B658" s="947" t="s">
        <v>1516</v>
      </c>
      <c r="C658" s="1018" t="s">
        <v>1562</v>
      </c>
      <c r="D658" s="1018" t="s">
        <v>1522</v>
      </c>
      <c r="E658" s="1014" t="s">
        <v>1382</v>
      </c>
    </row>
    <row r="659" spans="1:5" x14ac:dyDescent="0.25">
      <c r="A659" s="947">
        <v>658</v>
      </c>
      <c r="B659" s="947" t="s">
        <v>1516</v>
      </c>
      <c r="C659" s="1018" t="s">
        <v>1562</v>
      </c>
      <c r="D659" s="1018" t="s">
        <v>1522</v>
      </c>
      <c r="E659" s="1014" t="s">
        <v>1486</v>
      </c>
    </row>
    <row r="660" spans="1:5" x14ac:dyDescent="0.25">
      <c r="A660" s="947">
        <v>659</v>
      </c>
      <c r="B660" s="947" t="s">
        <v>1516</v>
      </c>
      <c r="C660" s="1018" t="s">
        <v>1562</v>
      </c>
      <c r="D660" s="1018" t="s">
        <v>1522</v>
      </c>
      <c r="E660" s="1014" t="s">
        <v>1487</v>
      </c>
    </row>
    <row r="661" spans="1:5" x14ac:dyDescent="0.25">
      <c r="A661" s="947">
        <v>660</v>
      </c>
      <c r="B661" s="947" t="s">
        <v>1516</v>
      </c>
      <c r="C661" s="1018" t="s">
        <v>1562</v>
      </c>
      <c r="D661" s="1018" t="s">
        <v>1410</v>
      </c>
      <c r="E661" s="1014" t="s">
        <v>1488</v>
      </c>
    </row>
    <row r="662" spans="1:5" ht="30" x14ac:dyDescent="0.25">
      <c r="A662" s="947">
        <v>661</v>
      </c>
      <c r="B662" s="947" t="s">
        <v>1516</v>
      </c>
      <c r="C662" s="1018" t="s">
        <v>1562</v>
      </c>
      <c r="D662" s="1018" t="s">
        <v>1544</v>
      </c>
      <c r="E662" s="1014" t="s">
        <v>1385</v>
      </c>
    </row>
    <row r="663" spans="1:5" ht="30" x14ac:dyDescent="0.25">
      <c r="A663" s="947">
        <v>662</v>
      </c>
      <c r="B663" s="947" t="s">
        <v>1516</v>
      </c>
      <c r="C663" s="1018" t="s">
        <v>1562</v>
      </c>
      <c r="D663" s="1018" t="s">
        <v>1544</v>
      </c>
      <c r="E663" s="1014" t="s">
        <v>1386</v>
      </c>
    </row>
    <row r="664" spans="1:5" ht="30" x14ac:dyDescent="0.25">
      <c r="A664" s="947">
        <v>663</v>
      </c>
      <c r="B664" s="947" t="s">
        <v>1516</v>
      </c>
      <c r="C664" s="1018" t="s">
        <v>1562</v>
      </c>
      <c r="D664" s="1018" t="s">
        <v>1544</v>
      </c>
      <c r="E664" s="1014" t="s">
        <v>1495</v>
      </c>
    </row>
    <row r="665" spans="1:5" x14ac:dyDescent="0.25">
      <c r="A665" s="947">
        <v>664</v>
      </c>
      <c r="B665" s="947" t="s">
        <v>1516</v>
      </c>
      <c r="C665" s="1018" t="s">
        <v>1562</v>
      </c>
      <c r="D665" s="1018" t="s">
        <v>1410</v>
      </c>
      <c r="E665" s="1014" t="s">
        <v>1492</v>
      </c>
    </row>
    <row r="666" spans="1:5" x14ac:dyDescent="0.25">
      <c r="A666" s="947">
        <v>665</v>
      </c>
      <c r="B666" s="947" t="s">
        <v>1516</v>
      </c>
      <c r="C666" s="1018" t="s">
        <v>1562</v>
      </c>
      <c r="D666" s="1018" t="s">
        <v>1522</v>
      </c>
      <c r="E666" s="1014" t="s">
        <v>1506</v>
      </c>
    </row>
    <row r="667" spans="1:5" x14ac:dyDescent="0.25">
      <c r="A667" s="947">
        <v>666</v>
      </c>
      <c r="B667" s="947" t="s">
        <v>1516</v>
      </c>
      <c r="C667" s="1018" t="s">
        <v>1563</v>
      </c>
      <c r="D667" s="1018" t="s">
        <v>1522</v>
      </c>
      <c r="E667" s="1014" t="s">
        <v>1387</v>
      </c>
    </row>
    <row r="668" spans="1:5" x14ac:dyDescent="0.25">
      <c r="A668" s="947">
        <v>667</v>
      </c>
      <c r="B668" s="947" t="s">
        <v>1516</v>
      </c>
      <c r="C668" s="1018" t="s">
        <v>1563</v>
      </c>
      <c r="D668" s="1018" t="s">
        <v>1522</v>
      </c>
      <c r="E668" s="1014" t="s">
        <v>1388</v>
      </c>
    </row>
    <row r="669" spans="1:5" x14ac:dyDescent="0.25">
      <c r="A669" s="947">
        <v>668</v>
      </c>
      <c r="B669" s="947" t="s">
        <v>1516</v>
      </c>
      <c r="C669" s="1018" t="s">
        <v>1563</v>
      </c>
      <c r="D669" s="1018" t="s">
        <v>1522</v>
      </c>
      <c r="E669" s="1014" t="s">
        <v>1389</v>
      </c>
    </row>
    <row r="670" spans="1:5" x14ac:dyDescent="0.25">
      <c r="A670" s="947">
        <v>669</v>
      </c>
      <c r="B670" s="947" t="s">
        <v>1516</v>
      </c>
      <c r="C670" s="1018" t="s">
        <v>1564</v>
      </c>
      <c r="D670" s="1018" t="s">
        <v>1522</v>
      </c>
      <c r="E670" s="1014" t="s">
        <v>1491</v>
      </c>
    </row>
    <row r="671" spans="1:5" x14ac:dyDescent="0.25">
      <c r="A671" s="947">
        <v>670</v>
      </c>
      <c r="B671" s="947" t="s">
        <v>1516</v>
      </c>
      <c r="C671" s="1018" t="s">
        <v>1564</v>
      </c>
      <c r="D671" s="1018" t="s">
        <v>1410</v>
      </c>
      <c r="E671" s="1014" t="s">
        <v>1705</v>
      </c>
    </row>
    <row r="672" spans="1:5" x14ac:dyDescent="0.25">
      <c r="A672" s="947">
        <v>671</v>
      </c>
      <c r="B672" s="947" t="s">
        <v>1516</v>
      </c>
      <c r="C672" s="1018" t="s">
        <v>1564</v>
      </c>
      <c r="D672" s="1018" t="s">
        <v>1522</v>
      </c>
      <c r="E672" s="1014" t="s">
        <v>1383</v>
      </c>
    </row>
    <row r="673" spans="1:5" x14ac:dyDescent="0.25">
      <c r="A673" s="947">
        <v>672</v>
      </c>
      <c r="B673" s="947" t="s">
        <v>1516</v>
      </c>
      <c r="C673" s="1018" t="s">
        <v>1564</v>
      </c>
      <c r="D673" s="1018" t="s">
        <v>1522</v>
      </c>
      <c r="E673" s="1014" t="s">
        <v>1380</v>
      </c>
    </row>
    <row r="674" spans="1:5" x14ac:dyDescent="0.25">
      <c r="A674" s="947">
        <v>673</v>
      </c>
      <c r="B674" s="947" t="s">
        <v>1516</v>
      </c>
      <c r="C674" s="1018" t="s">
        <v>1564</v>
      </c>
      <c r="D674" s="1018" t="s">
        <v>1522</v>
      </c>
      <c r="E674" s="1014" t="s">
        <v>1381</v>
      </c>
    </row>
    <row r="675" spans="1:5" x14ac:dyDescent="0.25">
      <c r="A675" s="947">
        <v>674</v>
      </c>
      <c r="B675" s="947" t="s">
        <v>1516</v>
      </c>
      <c r="C675" s="1018" t="s">
        <v>1564</v>
      </c>
      <c r="D675" s="1018" t="s">
        <v>1522</v>
      </c>
      <c r="E675" s="1014" t="s">
        <v>1397</v>
      </c>
    </row>
    <row r="676" spans="1:5" x14ac:dyDescent="0.25">
      <c r="A676" s="947">
        <v>675</v>
      </c>
      <c r="B676" s="947" t="s">
        <v>1516</v>
      </c>
      <c r="C676" s="1018" t="s">
        <v>1564</v>
      </c>
      <c r="D676" s="1018" t="s">
        <v>1522</v>
      </c>
      <c r="E676" s="1014" t="s">
        <v>1382</v>
      </c>
    </row>
    <row r="677" spans="1:5" x14ac:dyDescent="0.25">
      <c r="A677" s="947">
        <v>676</v>
      </c>
      <c r="B677" s="947" t="s">
        <v>1516</v>
      </c>
      <c r="C677" s="1018" t="s">
        <v>1564</v>
      </c>
      <c r="D677" s="1018" t="s">
        <v>1522</v>
      </c>
      <c r="E677" s="1014" t="s">
        <v>1486</v>
      </c>
    </row>
    <row r="678" spans="1:5" x14ac:dyDescent="0.25">
      <c r="A678" s="947">
        <v>677</v>
      </c>
      <c r="B678" s="947" t="s">
        <v>1516</v>
      </c>
      <c r="C678" s="1018" t="s">
        <v>1564</v>
      </c>
      <c r="D678" s="1018" t="s">
        <v>1522</v>
      </c>
      <c r="E678" s="1014" t="s">
        <v>1487</v>
      </c>
    </row>
    <row r="679" spans="1:5" x14ac:dyDescent="0.25">
      <c r="A679" s="947">
        <v>678</v>
      </c>
      <c r="B679" s="947" t="s">
        <v>1516</v>
      </c>
      <c r="C679" s="1018" t="s">
        <v>1564</v>
      </c>
      <c r="D679" s="1018" t="s">
        <v>1410</v>
      </c>
      <c r="E679" s="1014" t="s">
        <v>1488</v>
      </c>
    </row>
    <row r="680" spans="1:5" ht="30" x14ac:dyDescent="0.25">
      <c r="A680" s="947">
        <v>679</v>
      </c>
      <c r="B680" s="947" t="s">
        <v>1516</v>
      </c>
      <c r="C680" s="1018" t="s">
        <v>1564</v>
      </c>
      <c r="D680" s="1018" t="s">
        <v>1544</v>
      </c>
      <c r="E680" s="1014" t="s">
        <v>1385</v>
      </c>
    </row>
    <row r="681" spans="1:5" ht="30" x14ac:dyDescent="0.25">
      <c r="A681" s="947">
        <v>680</v>
      </c>
      <c r="B681" s="947" t="s">
        <v>1516</v>
      </c>
      <c r="C681" s="1018" t="s">
        <v>1564</v>
      </c>
      <c r="D681" s="1018" t="s">
        <v>1544</v>
      </c>
      <c r="E681" s="1014" t="s">
        <v>1386</v>
      </c>
    </row>
    <row r="682" spans="1:5" ht="30" x14ac:dyDescent="0.25">
      <c r="A682" s="947">
        <v>681</v>
      </c>
      <c r="B682" s="947" t="s">
        <v>1516</v>
      </c>
      <c r="C682" s="1018" t="s">
        <v>1564</v>
      </c>
      <c r="D682" s="1018" t="s">
        <v>1544</v>
      </c>
      <c r="E682" s="1014" t="s">
        <v>1495</v>
      </c>
    </row>
    <row r="683" spans="1:5" x14ac:dyDescent="0.25">
      <c r="A683" s="947">
        <v>682</v>
      </c>
      <c r="B683" s="947" t="s">
        <v>1516</v>
      </c>
      <c r="C683" s="1018" t="s">
        <v>1564</v>
      </c>
      <c r="D683" s="1018" t="s">
        <v>1410</v>
      </c>
      <c r="E683" s="1014" t="s">
        <v>1492</v>
      </c>
    </row>
    <row r="684" spans="1:5" x14ac:dyDescent="0.25">
      <c r="A684" s="947">
        <v>683</v>
      </c>
      <c r="B684" s="947" t="s">
        <v>1516</v>
      </c>
      <c r="C684" s="1018" t="s">
        <v>1564</v>
      </c>
      <c r="D684" s="1018" t="s">
        <v>1522</v>
      </c>
      <c r="E684" s="1014" t="s">
        <v>1506</v>
      </c>
    </row>
    <row r="685" spans="1:5" x14ac:dyDescent="0.25">
      <c r="A685" s="947">
        <v>684</v>
      </c>
      <c r="B685" s="947" t="s">
        <v>1516</v>
      </c>
      <c r="C685" s="1018" t="s">
        <v>1565</v>
      </c>
      <c r="D685" s="1018" t="s">
        <v>1522</v>
      </c>
      <c r="E685" s="1014" t="s">
        <v>1387</v>
      </c>
    </row>
    <row r="686" spans="1:5" x14ac:dyDescent="0.25">
      <c r="A686" s="947">
        <v>685</v>
      </c>
      <c r="B686" s="947" t="s">
        <v>1516</v>
      </c>
      <c r="C686" s="1018" t="s">
        <v>1565</v>
      </c>
      <c r="D686" s="1018" t="s">
        <v>1522</v>
      </c>
      <c r="E686" s="1014" t="s">
        <v>1388</v>
      </c>
    </row>
    <row r="687" spans="1:5" x14ac:dyDescent="0.25">
      <c r="A687" s="947">
        <v>686</v>
      </c>
      <c r="B687" s="947" t="s">
        <v>1516</v>
      </c>
      <c r="C687" s="1018" t="s">
        <v>1565</v>
      </c>
      <c r="D687" s="1018" t="s">
        <v>1522</v>
      </c>
      <c r="E687" s="1014" t="s">
        <v>1389</v>
      </c>
    </row>
    <row r="688" spans="1:5" x14ac:dyDescent="0.25">
      <c r="A688" s="947">
        <v>687</v>
      </c>
      <c r="B688" s="947" t="s">
        <v>1516</v>
      </c>
      <c r="C688" s="1018" t="s">
        <v>1566</v>
      </c>
      <c r="D688" s="1018" t="s">
        <v>1523</v>
      </c>
      <c r="E688" s="1014" t="s">
        <v>1491</v>
      </c>
    </row>
    <row r="689" spans="1:5" x14ac:dyDescent="0.25">
      <c r="A689" s="947">
        <v>688</v>
      </c>
      <c r="B689" s="947" t="s">
        <v>1516</v>
      </c>
      <c r="C689" s="1018" t="s">
        <v>1566</v>
      </c>
      <c r="D689" s="1018" t="s">
        <v>1410</v>
      </c>
      <c r="E689" s="1014" t="s">
        <v>1705</v>
      </c>
    </row>
    <row r="690" spans="1:5" x14ac:dyDescent="0.25">
      <c r="A690" s="947">
        <v>689</v>
      </c>
      <c r="B690" s="947" t="s">
        <v>1516</v>
      </c>
      <c r="C690" s="1018" t="s">
        <v>1566</v>
      </c>
      <c r="D690" s="1018" t="s">
        <v>1523</v>
      </c>
      <c r="E690" s="1014" t="s">
        <v>1383</v>
      </c>
    </row>
    <row r="691" spans="1:5" x14ac:dyDescent="0.25">
      <c r="A691" s="947">
        <v>690</v>
      </c>
      <c r="B691" s="947" t="s">
        <v>1516</v>
      </c>
      <c r="C691" s="1018" t="s">
        <v>1566</v>
      </c>
      <c r="D691" s="1018" t="s">
        <v>1523</v>
      </c>
      <c r="E691" s="1014" t="s">
        <v>1380</v>
      </c>
    </row>
    <row r="692" spans="1:5" x14ac:dyDescent="0.25">
      <c r="A692" s="947">
        <v>691</v>
      </c>
      <c r="B692" s="947" t="s">
        <v>1516</v>
      </c>
      <c r="C692" s="1018" t="s">
        <v>1566</v>
      </c>
      <c r="D692" s="1018" t="s">
        <v>1523</v>
      </c>
      <c r="E692" s="1014" t="s">
        <v>1381</v>
      </c>
    </row>
    <row r="693" spans="1:5" x14ac:dyDescent="0.25">
      <c r="A693" s="947">
        <v>692</v>
      </c>
      <c r="B693" s="947" t="s">
        <v>1516</v>
      </c>
      <c r="C693" s="1018" t="s">
        <v>1566</v>
      </c>
      <c r="D693" s="1018" t="s">
        <v>1523</v>
      </c>
      <c r="E693" s="1014" t="s">
        <v>1397</v>
      </c>
    </row>
    <row r="694" spans="1:5" x14ac:dyDescent="0.25">
      <c r="A694" s="947">
        <v>693</v>
      </c>
      <c r="B694" s="947" t="s">
        <v>1516</v>
      </c>
      <c r="C694" s="1018" t="s">
        <v>1566</v>
      </c>
      <c r="D694" s="1018" t="s">
        <v>1523</v>
      </c>
      <c r="E694" s="1014" t="s">
        <v>1382</v>
      </c>
    </row>
    <row r="695" spans="1:5" x14ac:dyDescent="0.25">
      <c r="A695" s="947">
        <v>694</v>
      </c>
      <c r="B695" s="947" t="s">
        <v>1516</v>
      </c>
      <c r="C695" s="1018" t="s">
        <v>1566</v>
      </c>
      <c r="D695" s="1018" t="s">
        <v>1523</v>
      </c>
      <c r="E695" s="1014" t="s">
        <v>1486</v>
      </c>
    </row>
    <row r="696" spans="1:5" x14ac:dyDescent="0.25">
      <c r="A696" s="947">
        <v>695</v>
      </c>
      <c r="B696" s="947" t="s">
        <v>1516</v>
      </c>
      <c r="C696" s="1018" t="s">
        <v>1566</v>
      </c>
      <c r="D696" s="1018" t="s">
        <v>1523</v>
      </c>
      <c r="E696" s="1014" t="s">
        <v>1487</v>
      </c>
    </row>
    <row r="697" spans="1:5" x14ac:dyDescent="0.25">
      <c r="A697" s="947">
        <v>696</v>
      </c>
      <c r="B697" s="947" t="s">
        <v>1516</v>
      </c>
      <c r="C697" s="1018" t="s">
        <v>1566</v>
      </c>
      <c r="D697" s="1018" t="s">
        <v>1410</v>
      </c>
      <c r="E697" s="1014" t="s">
        <v>1488</v>
      </c>
    </row>
    <row r="698" spans="1:5" ht="30" x14ac:dyDescent="0.25">
      <c r="A698" s="947">
        <v>697</v>
      </c>
      <c r="B698" s="947" t="s">
        <v>1516</v>
      </c>
      <c r="C698" s="1018" t="s">
        <v>1566</v>
      </c>
      <c r="D698" s="1018" t="s">
        <v>1544</v>
      </c>
      <c r="E698" s="1014" t="s">
        <v>1385</v>
      </c>
    </row>
    <row r="699" spans="1:5" ht="30" x14ac:dyDescent="0.25">
      <c r="A699" s="947">
        <v>698</v>
      </c>
      <c r="B699" s="947" t="s">
        <v>1516</v>
      </c>
      <c r="C699" s="1018" t="s">
        <v>1566</v>
      </c>
      <c r="D699" s="1018" t="s">
        <v>1544</v>
      </c>
      <c r="E699" s="1014" t="s">
        <v>1386</v>
      </c>
    </row>
    <row r="700" spans="1:5" ht="30" x14ac:dyDescent="0.25">
      <c r="A700" s="947">
        <v>699</v>
      </c>
      <c r="B700" s="947" t="s">
        <v>1516</v>
      </c>
      <c r="C700" s="1018" t="s">
        <v>1566</v>
      </c>
      <c r="D700" s="1018" t="s">
        <v>1544</v>
      </c>
      <c r="E700" s="1014" t="s">
        <v>1495</v>
      </c>
    </row>
    <row r="701" spans="1:5" x14ac:dyDescent="0.25">
      <c r="A701" s="947">
        <v>700</v>
      </c>
      <c r="B701" s="947" t="s">
        <v>1516</v>
      </c>
      <c r="C701" s="1018" t="s">
        <v>1566</v>
      </c>
      <c r="D701" s="1018" t="s">
        <v>1410</v>
      </c>
      <c r="E701" s="1014" t="s">
        <v>1492</v>
      </c>
    </row>
    <row r="702" spans="1:5" x14ac:dyDescent="0.25">
      <c r="A702" s="947">
        <v>701</v>
      </c>
      <c r="B702" s="947" t="s">
        <v>1516</v>
      </c>
      <c r="C702" s="1018" t="s">
        <v>1566</v>
      </c>
      <c r="D702" s="1018" t="s">
        <v>1523</v>
      </c>
      <c r="E702" s="1014" t="s">
        <v>1506</v>
      </c>
    </row>
    <row r="703" spans="1:5" x14ac:dyDescent="0.25">
      <c r="A703" s="947">
        <v>702</v>
      </c>
      <c r="B703" s="947" t="s">
        <v>1516</v>
      </c>
      <c r="C703" s="1018" t="s">
        <v>1567</v>
      </c>
      <c r="D703" s="1018" t="s">
        <v>1523</v>
      </c>
      <c r="E703" s="1014" t="s">
        <v>1387</v>
      </c>
    </row>
    <row r="704" spans="1:5" x14ac:dyDescent="0.25">
      <c r="A704" s="947">
        <v>703</v>
      </c>
      <c r="B704" s="947" t="s">
        <v>1516</v>
      </c>
      <c r="C704" s="1018" t="s">
        <v>1567</v>
      </c>
      <c r="D704" s="1018" t="s">
        <v>1523</v>
      </c>
      <c r="E704" s="1014" t="s">
        <v>1388</v>
      </c>
    </row>
    <row r="705" spans="1:5" x14ac:dyDescent="0.25">
      <c r="A705" s="947">
        <v>704</v>
      </c>
      <c r="B705" s="947" t="s">
        <v>1516</v>
      </c>
      <c r="C705" s="1018" t="s">
        <v>1567</v>
      </c>
      <c r="D705" s="1018" t="s">
        <v>1523</v>
      </c>
      <c r="E705" s="1014" t="s">
        <v>1389</v>
      </c>
    </row>
    <row r="706" spans="1:5" x14ac:dyDescent="0.25">
      <c r="A706" s="947">
        <v>705</v>
      </c>
      <c r="B706" s="947" t="s">
        <v>1516</v>
      </c>
      <c r="C706" s="1018" t="s">
        <v>1568</v>
      </c>
      <c r="D706" s="1018" t="s">
        <v>1523</v>
      </c>
      <c r="E706" s="1014" t="s">
        <v>1387</v>
      </c>
    </row>
    <row r="707" spans="1:5" x14ac:dyDescent="0.25">
      <c r="A707" s="947">
        <v>706</v>
      </c>
      <c r="B707" s="947" t="s">
        <v>1516</v>
      </c>
      <c r="C707" s="1018" t="s">
        <v>1568</v>
      </c>
      <c r="D707" s="1018" t="s">
        <v>1523</v>
      </c>
      <c r="E707" s="1014" t="s">
        <v>1388</v>
      </c>
    </row>
    <row r="708" spans="1:5" x14ac:dyDescent="0.25">
      <c r="A708" s="947">
        <v>707</v>
      </c>
      <c r="B708" s="947" t="s">
        <v>1516</v>
      </c>
      <c r="C708" s="1018" t="s">
        <v>1568</v>
      </c>
      <c r="D708" s="1018" t="s">
        <v>1523</v>
      </c>
      <c r="E708" s="1014" t="s">
        <v>1389</v>
      </c>
    </row>
    <row r="709" spans="1:5" x14ac:dyDescent="0.25">
      <c r="A709" s="947">
        <v>708</v>
      </c>
      <c r="B709" s="947" t="s">
        <v>1516</v>
      </c>
      <c r="C709" s="1018" t="s">
        <v>1569</v>
      </c>
      <c r="D709" s="1018" t="s">
        <v>1523</v>
      </c>
      <c r="E709" s="1014" t="s">
        <v>1387</v>
      </c>
    </row>
    <row r="710" spans="1:5" x14ac:dyDescent="0.25">
      <c r="A710" s="947">
        <v>709</v>
      </c>
      <c r="B710" s="947" t="s">
        <v>1516</v>
      </c>
      <c r="C710" s="1018" t="s">
        <v>1569</v>
      </c>
      <c r="D710" s="1018" t="s">
        <v>1523</v>
      </c>
      <c r="E710" s="1014" t="s">
        <v>1388</v>
      </c>
    </row>
    <row r="711" spans="1:5" x14ac:dyDescent="0.25">
      <c r="A711" s="947">
        <v>710</v>
      </c>
      <c r="B711" s="947" t="s">
        <v>1516</v>
      </c>
      <c r="C711" s="1018" t="s">
        <v>1569</v>
      </c>
      <c r="D711" s="1018" t="s">
        <v>1523</v>
      </c>
      <c r="E711" s="1014" t="s">
        <v>1389</v>
      </c>
    </row>
    <row r="712" spans="1:5" x14ac:dyDescent="0.25">
      <c r="A712" s="947">
        <v>711</v>
      </c>
      <c r="B712" s="947" t="s">
        <v>1516</v>
      </c>
      <c r="C712" s="1018" t="s">
        <v>1570</v>
      </c>
      <c r="D712" s="1018" t="s">
        <v>1523</v>
      </c>
      <c r="E712" s="1014" t="s">
        <v>1387</v>
      </c>
    </row>
    <row r="713" spans="1:5" x14ac:dyDescent="0.25">
      <c r="A713" s="947">
        <v>712</v>
      </c>
      <c r="B713" s="947" t="s">
        <v>1516</v>
      </c>
      <c r="C713" s="1018" t="s">
        <v>1570</v>
      </c>
      <c r="D713" s="1018" t="s">
        <v>1523</v>
      </c>
      <c r="E713" s="1014" t="s">
        <v>1388</v>
      </c>
    </row>
    <row r="714" spans="1:5" x14ac:dyDescent="0.25">
      <c r="A714" s="947">
        <v>713</v>
      </c>
      <c r="B714" s="947" t="s">
        <v>1516</v>
      </c>
      <c r="C714" s="1018" t="s">
        <v>1570</v>
      </c>
      <c r="D714" s="1018" t="s">
        <v>1523</v>
      </c>
      <c r="E714" s="1014" t="s">
        <v>1389</v>
      </c>
    </row>
    <row r="715" spans="1:5" x14ac:dyDescent="0.25">
      <c r="A715" s="947">
        <v>714</v>
      </c>
      <c r="B715" s="947" t="s">
        <v>1516</v>
      </c>
      <c r="C715" s="1018" t="s">
        <v>1571</v>
      </c>
      <c r="D715" s="1018" t="s">
        <v>1523</v>
      </c>
      <c r="E715" s="1014" t="s">
        <v>1387</v>
      </c>
    </row>
    <row r="716" spans="1:5" x14ac:dyDescent="0.25">
      <c r="A716" s="947">
        <v>715</v>
      </c>
      <c r="B716" s="947" t="s">
        <v>1516</v>
      </c>
      <c r="C716" s="1018" t="s">
        <v>1571</v>
      </c>
      <c r="D716" s="1018" t="s">
        <v>1523</v>
      </c>
      <c r="E716" s="1014" t="s">
        <v>1388</v>
      </c>
    </row>
    <row r="717" spans="1:5" x14ac:dyDescent="0.25">
      <c r="A717" s="947">
        <v>716</v>
      </c>
      <c r="B717" s="947" t="s">
        <v>1516</v>
      </c>
      <c r="C717" s="1018" t="s">
        <v>1571</v>
      </c>
      <c r="D717" s="1018" t="s">
        <v>1523</v>
      </c>
      <c r="E717" s="1014" t="s">
        <v>1389</v>
      </c>
    </row>
    <row r="718" spans="1:5" x14ac:dyDescent="0.25">
      <c r="A718" s="947">
        <v>717</v>
      </c>
      <c r="B718" s="947" t="s">
        <v>1516</v>
      </c>
      <c r="C718" s="1018" t="s">
        <v>1572</v>
      </c>
      <c r="D718" s="1018" t="s">
        <v>1523</v>
      </c>
      <c r="E718" s="1014" t="s">
        <v>1491</v>
      </c>
    </row>
    <row r="719" spans="1:5" x14ac:dyDescent="0.25">
      <c r="A719" s="947">
        <v>718</v>
      </c>
      <c r="B719" s="947" t="s">
        <v>1516</v>
      </c>
      <c r="C719" s="1018" t="s">
        <v>1572</v>
      </c>
      <c r="D719" s="1018" t="s">
        <v>1410</v>
      </c>
      <c r="E719" s="1014" t="s">
        <v>1705</v>
      </c>
    </row>
    <row r="720" spans="1:5" x14ac:dyDescent="0.25">
      <c r="A720" s="947">
        <v>719</v>
      </c>
      <c r="B720" s="947" t="s">
        <v>1516</v>
      </c>
      <c r="C720" s="1018" t="s">
        <v>1572</v>
      </c>
      <c r="D720" s="1018" t="s">
        <v>1523</v>
      </c>
      <c r="E720" s="1014" t="s">
        <v>1383</v>
      </c>
    </row>
    <row r="721" spans="1:5" x14ac:dyDescent="0.25">
      <c r="A721" s="947">
        <v>720</v>
      </c>
      <c r="B721" s="947" t="s">
        <v>1516</v>
      </c>
      <c r="C721" s="1018" t="s">
        <v>1572</v>
      </c>
      <c r="D721" s="1018" t="s">
        <v>1523</v>
      </c>
      <c r="E721" s="1014" t="s">
        <v>1380</v>
      </c>
    </row>
    <row r="722" spans="1:5" x14ac:dyDescent="0.25">
      <c r="A722" s="947">
        <v>721</v>
      </c>
      <c r="B722" s="947" t="s">
        <v>1516</v>
      </c>
      <c r="C722" s="1018" t="s">
        <v>1572</v>
      </c>
      <c r="D722" s="1018" t="s">
        <v>1523</v>
      </c>
      <c r="E722" s="1014" t="s">
        <v>1381</v>
      </c>
    </row>
    <row r="723" spans="1:5" x14ac:dyDescent="0.25">
      <c r="A723" s="947">
        <v>722</v>
      </c>
      <c r="B723" s="947" t="s">
        <v>1516</v>
      </c>
      <c r="C723" s="1018" t="s">
        <v>1572</v>
      </c>
      <c r="D723" s="1018" t="s">
        <v>1523</v>
      </c>
      <c r="E723" s="1014" t="s">
        <v>1397</v>
      </c>
    </row>
    <row r="724" spans="1:5" x14ac:dyDescent="0.25">
      <c r="A724" s="947">
        <v>723</v>
      </c>
      <c r="B724" s="947" t="s">
        <v>1516</v>
      </c>
      <c r="C724" s="1018" t="s">
        <v>1572</v>
      </c>
      <c r="D724" s="1018" t="s">
        <v>1523</v>
      </c>
      <c r="E724" s="1014" t="s">
        <v>1382</v>
      </c>
    </row>
    <row r="725" spans="1:5" x14ac:dyDescent="0.25">
      <c r="A725" s="947">
        <v>724</v>
      </c>
      <c r="B725" s="947" t="s">
        <v>1516</v>
      </c>
      <c r="C725" s="1018" t="s">
        <v>1572</v>
      </c>
      <c r="D725" s="1018" t="s">
        <v>1523</v>
      </c>
      <c r="E725" s="1014" t="s">
        <v>1486</v>
      </c>
    </row>
    <row r="726" spans="1:5" x14ac:dyDescent="0.25">
      <c r="A726" s="947">
        <v>725</v>
      </c>
      <c r="B726" s="947" t="s">
        <v>1516</v>
      </c>
      <c r="C726" s="1018" t="s">
        <v>1572</v>
      </c>
      <c r="D726" s="1018" t="s">
        <v>1523</v>
      </c>
      <c r="E726" s="1014" t="s">
        <v>1487</v>
      </c>
    </row>
    <row r="727" spans="1:5" x14ac:dyDescent="0.25">
      <c r="A727" s="947">
        <v>726</v>
      </c>
      <c r="B727" s="947" t="s">
        <v>1516</v>
      </c>
      <c r="C727" s="1018" t="s">
        <v>1572</v>
      </c>
      <c r="D727" s="1018" t="s">
        <v>1410</v>
      </c>
      <c r="E727" s="1014" t="s">
        <v>1488</v>
      </c>
    </row>
    <row r="728" spans="1:5" ht="30" x14ac:dyDescent="0.25">
      <c r="A728" s="947">
        <v>727</v>
      </c>
      <c r="B728" s="947" t="s">
        <v>1516</v>
      </c>
      <c r="C728" s="1018" t="s">
        <v>1572</v>
      </c>
      <c r="D728" s="1018" t="s">
        <v>1544</v>
      </c>
      <c r="E728" s="1014" t="s">
        <v>1385</v>
      </c>
    </row>
    <row r="729" spans="1:5" ht="30" x14ac:dyDescent="0.25">
      <c r="A729" s="947">
        <v>728</v>
      </c>
      <c r="B729" s="947" t="s">
        <v>1516</v>
      </c>
      <c r="C729" s="1018" t="s">
        <v>1572</v>
      </c>
      <c r="D729" s="1018" t="s">
        <v>1544</v>
      </c>
      <c r="E729" s="1014" t="s">
        <v>1386</v>
      </c>
    </row>
    <row r="730" spans="1:5" ht="30" x14ac:dyDescent="0.25">
      <c r="A730" s="947">
        <v>729</v>
      </c>
      <c r="B730" s="947" t="s">
        <v>1516</v>
      </c>
      <c r="C730" s="1018" t="s">
        <v>1572</v>
      </c>
      <c r="D730" s="1018" t="s">
        <v>1544</v>
      </c>
      <c r="E730" s="1014" t="s">
        <v>1495</v>
      </c>
    </row>
    <row r="731" spans="1:5" x14ac:dyDescent="0.25">
      <c r="A731" s="947">
        <v>730</v>
      </c>
      <c r="B731" s="947" t="s">
        <v>1516</v>
      </c>
      <c r="C731" s="1018" t="s">
        <v>1572</v>
      </c>
      <c r="D731" s="1018" t="s">
        <v>1410</v>
      </c>
      <c r="E731" s="1014" t="s">
        <v>1492</v>
      </c>
    </row>
    <row r="732" spans="1:5" x14ac:dyDescent="0.25">
      <c r="A732" s="947">
        <v>731</v>
      </c>
      <c r="B732" s="947" t="s">
        <v>1516</v>
      </c>
      <c r="C732" s="1018" t="s">
        <v>1572</v>
      </c>
      <c r="D732" s="1018" t="s">
        <v>1523</v>
      </c>
      <c r="E732" s="1014" t="s">
        <v>1506</v>
      </c>
    </row>
    <row r="733" spans="1:5" x14ac:dyDescent="0.25">
      <c r="A733" s="947">
        <v>732</v>
      </c>
      <c r="B733" s="947" t="s">
        <v>1516</v>
      </c>
      <c r="C733" s="1018" t="s">
        <v>1573</v>
      </c>
      <c r="D733" s="1018" t="s">
        <v>1523</v>
      </c>
      <c r="E733" s="1014" t="s">
        <v>1387</v>
      </c>
    </row>
    <row r="734" spans="1:5" x14ac:dyDescent="0.25">
      <c r="A734" s="947">
        <v>733</v>
      </c>
      <c r="B734" s="947" t="s">
        <v>1516</v>
      </c>
      <c r="C734" s="1018" t="s">
        <v>1573</v>
      </c>
      <c r="D734" s="1018" t="s">
        <v>1523</v>
      </c>
      <c r="E734" s="1014" t="s">
        <v>1388</v>
      </c>
    </row>
    <row r="735" spans="1:5" x14ac:dyDescent="0.25">
      <c r="A735" s="947">
        <v>734</v>
      </c>
      <c r="B735" s="947" t="s">
        <v>1516</v>
      </c>
      <c r="C735" s="1018" t="s">
        <v>1573</v>
      </c>
      <c r="D735" s="1018" t="s">
        <v>1523</v>
      </c>
      <c r="E735" s="1014" t="s">
        <v>1389</v>
      </c>
    </row>
    <row r="736" spans="1:5" x14ac:dyDescent="0.25">
      <c r="A736" s="947">
        <v>735</v>
      </c>
      <c r="B736" s="947" t="s">
        <v>1516</v>
      </c>
      <c r="C736" s="1018" t="s">
        <v>1574</v>
      </c>
      <c r="D736" s="1018" t="s">
        <v>1523</v>
      </c>
      <c r="E736" s="1014" t="s">
        <v>1387</v>
      </c>
    </row>
    <row r="737" spans="1:5" x14ac:dyDescent="0.25">
      <c r="A737" s="947">
        <v>736</v>
      </c>
      <c r="B737" s="947" t="s">
        <v>1516</v>
      </c>
      <c r="C737" s="1018" t="s">
        <v>1574</v>
      </c>
      <c r="D737" s="1018" t="s">
        <v>1523</v>
      </c>
      <c r="E737" s="1014" t="s">
        <v>1388</v>
      </c>
    </row>
    <row r="738" spans="1:5" x14ac:dyDescent="0.25">
      <c r="A738" s="947">
        <v>737</v>
      </c>
      <c r="B738" s="947" t="s">
        <v>1516</v>
      </c>
      <c r="C738" s="1018" t="s">
        <v>1574</v>
      </c>
      <c r="D738" s="1018" t="s">
        <v>1523</v>
      </c>
      <c r="E738" s="1014" t="s">
        <v>1389</v>
      </c>
    </row>
    <row r="739" spans="1:5" x14ac:dyDescent="0.25">
      <c r="A739" s="947">
        <v>738</v>
      </c>
      <c r="B739" s="947" t="s">
        <v>1516</v>
      </c>
      <c r="C739" s="1018" t="s">
        <v>1575</v>
      </c>
      <c r="D739" s="1018" t="s">
        <v>1523</v>
      </c>
      <c r="E739" s="1014" t="s">
        <v>1387</v>
      </c>
    </row>
    <row r="740" spans="1:5" x14ac:dyDescent="0.25">
      <c r="A740" s="947">
        <v>739</v>
      </c>
      <c r="B740" s="947" t="s">
        <v>1516</v>
      </c>
      <c r="C740" s="1018" t="s">
        <v>1575</v>
      </c>
      <c r="D740" s="1018" t="s">
        <v>1523</v>
      </c>
      <c r="E740" s="1014" t="s">
        <v>1388</v>
      </c>
    </row>
    <row r="741" spans="1:5" x14ac:dyDescent="0.25">
      <c r="A741" s="947">
        <v>740</v>
      </c>
      <c r="B741" s="947" t="s">
        <v>1516</v>
      </c>
      <c r="C741" s="1018" t="s">
        <v>1575</v>
      </c>
      <c r="D741" s="1018" t="s">
        <v>1523</v>
      </c>
      <c r="E741" s="1014" t="s">
        <v>1389</v>
      </c>
    </row>
    <row r="742" spans="1:5" x14ac:dyDescent="0.25">
      <c r="A742" s="947">
        <v>741</v>
      </c>
      <c r="B742" s="947" t="s">
        <v>1516</v>
      </c>
      <c r="C742" s="1018" t="s">
        <v>1576</v>
      </c>
      <c r="D742" s="1018" t="s">
        <v>1523</v>
      </c>
      <c r="E742" s="1014" t="s">
        <v>1387</v>
      </c>
    </row>
    <row r="743" spans="1:5" x14ac:dyDescent="0.25">
      <c r="A743" s="947">
        <v>742</v>
      </c>
      <c r="B743" s="947" t="s">
        <v>1516</v>
      </c>
      <c r="C743" s="1018" t="s">
        <v>1576</v>
      </c>
      <c r="D743" s="1018" t="s">
        <v>1523</v>
      </c>
      <c r="E743" s="1014" t="s">
        <v>1388</v>
      </c>
    </row>
    <row r="744" spans="1:5" x14ac:dyDescent="0.25">
      <c r="A744" s="947">
        <v>743</v>
      </c>
      <c r="B744" s="947" t="s">
        <v>1516</v>
      </c>
      <c r="C744" s="1018" t="s">
        <v>1576</v>
      </c>
      <c r="D744" s="1018" t="s">
        <v>1523</v>
      </c>
      <c r="E744" s="1014" t="s">
        <v>1389</v>
      </c>
    </row>
    <row r="745" spans="1:5" x14ac:dyDescent="0.25">
      <c r="A745" s="947">
        <v>744</v>
      </c>
      <c r="B745" s="947" t="s">
        <v>1516</v>
      </c>
      <c r="C745" s="1018" t="s">
        <v>1577</v>
      </c>
      <c r="D745" s="1018" t="s">
        <v>1523</v>
      </c>
      <c r="E745" s="1014" t="s">
        <v>1387</v>
      </c>
    </row>
    <row r="746" spans="1:5" x14ac:dyDescent="0.25">
      <c r="A746" s="947">
        <v>745</v>
      </c>
      <c r="B746" s="947" t="s">
        <v>1516</v>
      </c>
      <c r="C746" s="1018" t="s">
        <v>1577</v>
      </c>
      <c r="D746" s="1018" t="s">
        <v>1523</v>
      </c>
      <c r="E746" s="1014" t="s">
        <v>1388</v>
      </c>
    </row>
    <row r="747" spans="1:5" x14ac:dyDescent="0.25">
      <c r="A747" s="947">
        <v>746</v>
      </c>
      <c r="B747" s="947" t="s">
        <v>1516</v>
      </c>
      <c r="C747" s="1018" t="s">
        <v>1577</v>
      </c>
      <c r="D747" s="1018" t="s">
        <v>1523</v>
      </c>
      <c r="E747" s="1014" t="s">
        <v>1389</v>
      </c>
    </row>
    <row r="748" spans="1:5" x14ac:dyDescent="0.25">
      <c r="A748" s="947">
        <v>747</v>
      </c>
      <c r="B748" s="947" t="s">
        <v>1516</v>
      </c>
      <c r="C748" s="1018" t="s">
        <v>1712</v>
      </c>
      <c r="D748" s="1018" t="s">
        <v>1578</v>
      </c>
      <c r="E748" s="1014" t="s">
        <v>1491</v>
      </c>
    </row>
    <row r="749" spans="1:5" x14ac:dyDescent="0.25">
      <c r="A749" s="947">
        <v>748</v>
      </c>
      <c r="B749" s="947" t="s">
        <v>1516</v>
      </c>
      <c r="C749" s="1018" t="s">
        <v>1712</v>
      </c>
      <c r="D749" s="1018" t="s">
        <v>1410</v>
      </c>
      <c r="E749" s="1014" t="s">
        <v>1705</v>
      </c>
    </row>
    <row r="750" spans="1:5" x14ac:dyDescent="0.25">
      <c r="A750" s="947">
        <v>749</v>
      </c>
      <c r="B750" s="947" t="s">
        <v>1516</v>
      </c>
      <c r="C750" s="1018" t="s">
        <v>1712</v>
      </c>
      <c r="D750" s="1018" t="s">
        <v>1578</v>
      </c>
      <c r="E750" s="1014" t="s">
        <v>1383</v>
      </c>
    </row>
    <row r="751" spans="1:5" x14ac:dyDescent="0.25">
      <c r="A751" s="947">
        <v>750</v>
      </c>
      <c r="B751" s="947" t="s">
        <v>1516</v>
      </c>
      <c r="C751" s="1018" t="s">
        <v>1712</v>
      </c>
      <c r="D751" s="1018" t="s">
        <v>1578</v>
      </c>
      <c r="E751" s="1014" t="s">
        <v>1380</v>
      </c>
    </row>
    <row r="752" spans="1:5" x14ac:dyDescent="0.25">
      <c r="A752" s="947">
        <v>751</v>
      </c>
      <c r="B752" s="947" t="s">
        <v>1516</v>
      </c>
      <c r="C752" s="1018" t="s">
        <v>1712</v>
      </c>
      <c r="D752" s="1018" t="s">
        <v>1578</v>
      </c>
      <c r="E752" s="1014" t="s">
        <v>1381</v>
      </c>
    </row>
    <row r="753" spans="1:5" x14ac:dyDescent="0.25">
      <c r="A753" s="947">
        <v>752</v>
      </c>
      <c r="B753" s="947" t="s">
        <v>1516</v>
      </c>
      <c r="C753" s="1018" t="s">
        <v>1712</v>
      </c>
      <c r="D753" s="1018" t="s">
        <v>1578</v>
      </c>
      <c r="E753" s="1014" t="s">
        <v>1397</v>
      </c>
    </row>
    <row r="754" spans="1:5" x14ac:dyDescent="0.25">
      <c r="A754" s="947">
        <v>753</v>
      </c>
      <c r="B754" s="947" t="s">
        <v>1516</v>
      </c>
      <c r="C754" s="1018" t="s">
        <v>1712</v>
      </c>
      <c r="D754" s="1018" t="s">
        <v>1410</v>
      </c>
      <c r="E754" s="1014" t="s">
        <v>1382</v>
      </c>
    </row>
    <row r="755" spans="1:5" x14ac:dyDescent="0.25">
      <c r="A755" s="947">
        <v>754</v>
      </c>
      <c r="B755" s="947" t="s">
        <v>1516</v>
      </c>
      <c r="C755" s="1018" t="s">
        <v>1712</v>
      </c>
      <c r="D755" s="1018" t="s">
        <v>1578</v>
      </c>
      <c r="E755" s="1014" t="s">
        <v>1486</v>
      </c>
    </row>
    <row r="756" spans="1:5" x14ac:dyDescent="0.25">
      <c r="A756" s="947">
        <v>755</v>
      </c>
      <c r="B756" s="947" t="s">
        <v>1516</v>
      </c>
      <c r="C756" s="1018" t="s">
        <v>1712</v>
      </c>
      <c r="D756" s="1018" t="s">
        <v>1578</v>
      </c>
      <c r="E756" s="1014" t="s">
        <v>1487</v>
      </c>
    </row>
    <row r="757" spans="1:5" x14ac:dyDescent="0.25">
      <c r="A757" s="947">
        <v>756</v>
      </c>
      <c r="B757" s="947" t="s">
        <v>1516</v>
      </c>
      <c r="C757" s="1018" t="s">
        <v>1712</v>
      </c>
      <c r="D757" s="1018" t="s">
        <v>1410</v>
      </c>
      <c r="E757" s="1014" t="s">
        <v>1488</v>
      </c>
    </row>
    <row r="758" spans="1:5" ht="30" x14ac:dyDescent="0.25">
      <c r="A758" s="947">
        <v>757</v>
      </c>
      <c r="B758" s="947" t="s">
        <v>1516</v>
      </c>
      <c r="C758" s="1018" t="s">
        <v>1712</v>
      </c>
      <c r="D758" s="1018" t="s">
        <v>1544</v>
      </c>
      <c r="E758" s="1014" t="s">
        <v>1385</v>
      </c>
    </row>
    <row r="759" spans="1:5" ht="30" x14ac:dyDescent="0.25">
      <c r="A759" s="947">
        <v>758</v>
      </c>
      <c r="B759" s="947" t="s">
        <v>1516</v>
      </c>
      <c r="C759" s="1018" t="s">
        <v>1712</v>
      </c>
      <c r="D759" s="1018" t="s">
        <v>1544</v>
      </c>
      <c r="E759" s="1014" t="s">
        <v>1386</v>
      </c>
    </row>
    <row r="760" spans="1:5" ht="30" x14ac:dyDescent="0.25">
      <c r="A760" s="947">
        <v>759</v>
      </c>
      <c r="B760" s="947" t="s">
        <v>1516</v>
      </c>
      <c r="C760" s="1018" t="s">
        <v>1712</v>
      </c>
      <c r="D760" s="1018" t="s">
        <v>1544</v>
      </c>
      <c r="E760" s="1014" t="s">
        <v>1495</v>
      </c>
    </row>
    <row r="761" spans="1:5" x14ac:dyDescent="0.25">
      <c r="A761" s="947">
        <v>760</v>
      </c>
      <c r="B761" s="947" t="s">
        <v>1516</v>
      </c>
      <c r="C761" s="1018" t="s">
        <v>1712</v>
      </c>
      <c r="D761" s="1018" t="s">
        <v>1410</v>
      </c>
      <c r="E761" s="1014" t="s">
        <v>1492</v>
      </c>
    </row>
    <row r="762" spans="1:5" x14ac:dyDescent="0.25">
      <c r="A762" s="947">
        <v>761</v>
      </c>
      <c r="B762" s="947" t="s">
        <v>1516</v>
      </c>
      <c r="C762" s="1018" t="s">
        <v>1712</v>
      </c>
      <c r="D762" s="1018" t="s">
        <v>1578</v>
      </c>
      <c r="E762" s="1014" t="s">
        <v>1389</v>
      </c>
    </row>
    <row r="763" spans="1:5" x14ac:dyDescent="0.25">
      <c r="A763" s="947">
        <v>762</v>
      </c>
      <c r="B763" s="947" t="s">
        <v>1516</v>
      </c>
      <c r="C763" s="1018" t="s">
        <v>1713</v>
      </c>
      <c r="D763" s="1018" t="s">
        <v>1578</v>
      </c>
      <c r="E763" s="1014" t="s">
        <v>1491</v>
      </c>
    </row>
    <row r="764" spans="1:5" x14ac:dyDescent="0.25">
      <c r="A764" s="947">
        <v>763</v>
      </c>
      <c r="B764" s="947" t="s">
        <v>1516</v>
      </c>
      <c r="C764" s="1018" t="s">
        <v>1713</v>
      </c>
      <c r="D764" s="1018" t="s">
        <v>1410</v>
      </c>
      <c r="E764" s="1014" t="s">
        <v>1705</v>
      </c>
    </row>
    <row r="765" spans="1:5" x14ac:dyDescent="0.25">
      <c r="A765" s="947">
        <v>764</v>
      </c>
      <c r="B765" s="947" t="s">
        <v>1516</v>
      </c>
      <c r="C765" s="1018" t="s">
        <v>1713</v>
      </c>
      <c r="D765" s="1018" t="s">
        <v>1578</v>
      </c>
      <c r="E765" s="1014" t="s">
        <v>1383</v>
      </c>
    </row>
    <row r="766" spans="1:5" x14ac:dyDescent="0.25">
      <c r="A766" s="947">
        <v>765</v>
      </c>
      <c r="B766" s="947" t="s">
        <v>1516</v>
      </c>
      <c r="C766" s="1018" t="s">
        <v>1713</v>
      </c>
      <c r="D766" s="1018" t="s">
        <v>1578</v>
      </c>
      <c r="E766" s="1014" t="s">
        <v>1380</v>
      </c>
    </row>
    <row r="767" spans="1:5" x14ac:dyDescent="0.25">
      <c r="A767" s="947">
        <v>766</v>
      </c>
      <c r="B767" s="947" t="s">
        <v>1516</v>
      </c>
      <c r="C767" s="1018" t="s">
        <v>1713</v>
      </c>
      <c r="D767" s="1018" t="s">
        <v>1578</v>
      </c>
      <c r="E767" s="1014" t="s">
        <v>1381</v>
      </c>
    </row>
    <row r="768" spans="1:5" x14ac:dyDescent="0.25">
      <c r="A768" s="947">
        <v>767</v>
      </c>
      <c r="B768" s="947" t="s">
        <v>1516</v>
      </c>
      <c r="C768" s="1018" t="s">
        <v>1713</v>
      </c>
      <c r="D768" s="1018" t="s">
        <v>1578</v>
      </c>
      <c r="E768" s="1014" t="s">
        <v>1397</v>
      </c>
    </row>
    <row r="769" spans="1:5" x14ac:dyDescent="0.25">
      <c r="A769" s="947">
        <v>768</v>
      </c>
      <c r="B769" s="947" t="s">
        <v>1516</v>
      </c>
      <c r="C769" s="1018" t="s">
        <v>1713</v>
      </c>
      <c r="D769" s="1018" t="s">
        <v>1410</v>
      </c>
      <c r="E769" s="1014" t="s">
        <v>1382</v>
      </c>
    </row>
    <row r="770" spans="1:5" x14ac:dyDescent="0.25">
      <c r="A770" s="947">
        <v>769</v>
      </c>
      <c r="B770" s="947" t="s">
        <v>1516</v>
      </c>
      <c r="C770" s="1018" t="s">
        <v>1713</v>
      </c>
      <c r="D770" s="1018" t="s">
        <v>1578</v>
      </c>
      <c r="E770" s="1014" t="s">
        <v>1486</v>
      </c>
    </row>
    <row r="771" spans="1:5" x14ac:dyDescent="0.25">
      <c r="A771" s="947">
        <v>770</v>
      </c>
      <c r="B771" s="947" t="s">
        <v>1516</v>
      </c>
      <c r="C771" s="1018" t="s">
        <v>1713</v>
      </c>
      <c r="D771" s="1018" t="s">
        <v>1578</v>
      </c>
      <c r="E771" s="1014" t="s">
        <v>1487</v>
      </c>
    </row>
    <row r="772" spans="1:5" x14ac:dyDescent="0.25">
      <c r="A772" s="947">
        <v>771</v>
      </c>
      <c r="B772" s="947" t="s">
        <v>1516</v>
      </c>
      <c r="C772" s="1018" t="s">
        <v>1713</v>
      </c>
      <c r="D772" s="1018" t="s">
        <v>1410</v>
      </c>
      <c r="E772" s="1014" t="s">
        <v>1488</v>
      </c>
    </row>
    <row r="773" spans="1:5" ht="30" x14ac:dyDescent="0.25">
      <c r="A773" s="947">
        <v>772</v>
      </c>
      <c r="B773" s="947" t="s">
        <v>1516</v>
      </c>
      <c r="C773" s="1018" t="s">
        <v>1713</v>
      </c>
      <c r="D773" s="1018" t="s">
        <v>1544</v>
      </c>
      <c r="E773" s="1014" t="s">
        <v>1385</v>
      </c>
    </row>
    <row r="774" spans="1:5" ht="30" x14ac:dyDescent="0.25">
      <c r="A774" s="947">
        <v>773</v>
      </c>
      <c r="B774" s="947" t="s">
        <v>1516</v>
      </c>
      <c r="C774" s="1018" t="s">
        <v>1713</v>
      </c>
      <c r="D774" s="1018" t="s">
        <v>1544</v>
      </c>
      <c r="E774" s="1014" t="s">
        <v>1386</v>
      </c>
    </row>
    <row r="775" spans="1:5" ht="30" x14ac:dyDescent="0.25">
      <c r="A775" s="947">
        <v>774</v>
      </c>
      <c r="B775" s="947" t="s">
        <v>1516</v>
      </c>
      <c r="C775" s="1018" t="s">
        <v>1713</v>
      </c>
      <c r="D775" s="1018" t="s">
        <v>1544</v>
      </c>
      <c r="E775" s="1014" t="s">
        <v>1495</v>
      </c>
    </row>
    <row r="776" spans="1:5" x14ac:dyDescent="0.25">
      <c r="A776" s="947">
        <v>775</v>
      </c>
      <c r="B776" s="947" t="s">
        <v>1516</v>
      </c>
      <c r="C776" s="1018" t="s">
        <v>1713</v>
      </c>
      <c r="D776" s="1018" t="s">
        <v>1410</v>
      </c>
      <c r="E776" s="1014" t="s">
        <v>1492</v>
      </c>
    </row>
    <row r="777" spans="1:5" x14ac:dyDescent="0.25">
      <c r="A777" s="947">
        <v>776</v>
      </c>
      <c r="B777" s="947" t="s">
        <v>1516</v>
      </c>
      <c r="C777" s="1018" t="s">
        <v>1713</v>
      </c>
      <c r="D777" s="1018" t="s">
        <v>1578</v>
      </c>
      <c r="E777" s="1014" t="s">
        <v>1389</v>
      </c>
    </row>
    <row r="778" spans="1:5" x14ac:dyDescent="0.25">
      <c r="A778" s="947">
        <v>777</v>
      </c>
      <c r="B778" s="947" t="s">
        <v>1516</v>
      </c>
      <c r="C778" s="1018" t="s">
        <v>1580</v>
      </c>
      <c r="D778" s="1018" t="s">
        <v>1579</v>
      </c>
      <c r="E778" s="1014" t="s">
        <v>1491</v>
      </c>
    </row>
    <row r="779" spans="1:5" x14ac:dyDescent="0.25">
      <c r="A779" s="947">
        <v>778</v>
      </c>
      <c r="B779" s="947" t="s">
        <v>1516</v>
      </c>
      <c r="C779" s="1018" t="s">
        <v>1580</v>
      </c>
      <c r="D779" s="1018" t="s">
        <v>1410</v>
      </c>
      <c r="E779" s="1014" t="s">
        <v>1705</v>
      </c>
    </row>
    <row r="780" spans="1:5" x14ac:dyDescent="0.25">
      <c r="A780" s="947">
        <v>779</v>
      </c>
      <c r="B780" s="947" t="s">
        <v>1516</v>
      </c>
      <c r="C780" s="1018" t="s">
        <v>1580</v>
      </c>
      <c r="D780" s="1018" t="s">
        <v>1579</v>
      </c>
      <c r="E780" s="1014" t="s">
        <v>1383</v>
      </c>
    </row>
    <row r="781" spans="1:5" x14ac:dyDescent="0.25">
      <c r="A781" s="947">
        <v>780</v>
      </c>
      <c r="B781" s="947" t="s">
        <v>1516</v>
      </c>
      <c r="C781" s="1018" t="s">
        <v>1580</v>
      </c>
      <c r="D781" s="1018" t="s">
        <v>1579</v>
      </c>
      <c r="E781" s="1014" t="s">
        <v>1380</v>
      </c>
    </row>
    <row r="782" spans="1:5" x14ac:dyDescent="0.25">
      <c r="A782" s="947">
        <v>781</v>
      </c>
      <c r="B782" s="947" t="s">
        <v>1516</v>
      </c>
      <c r="C782" s="1018" t="s">
        <v>1580</v>
      </c>
      <c r="D782" s="1018" t="s">
        <v>1579</v>
      </c>
      <c r="E782" s="1014" t="s">
        <v>1381</v>
      </c>
    </row>
    <row r="783" spans="1:5" x14ac:dyDescent="0.25">
      <c r="A783" s="947">
        <v>782</v>
      </c>
      <c r="B783" s="947" t="s">
        <v>1516</v>
      </c>
      <c r="C783" s="1018" t="s">
        <v>1580</v>
      </c>
      <c r="D783" s="1018" t="s">
        <v>1579</v>
      </c>
      <c r="E783" s="1014" t="s">
        <v>1397</v>
      </c>
    </row>
    <row r="784" spans="1:5" x14ac:dyDescent="0.25">
      <c r="A784" s="947">
        <v>783</v>
      </c>
      <c r="B784" s="947" t="s">
        <v>1516</v>
      </c>
      <c r="C784" s="1018" t="s">
        <v>1580</v>
      </c>
      <c r="D784" s="1018" t="s">
        <v>1410</v>
      </c>
      <c r="E784" s="1014" t="s">
        <v>1382</v>
      </c>
    </row>
    <row r="785" spans="1:5" x14ac:dyDescent="0.25">
      <c r="A785" s="947">
        <v>784</v>
      </c>
      <c r="B785" s="947" t="s">
        <v>1516</v>
      </c>
      <c r="C785" s="1018" t="s">
        <v>1580</v>
      </c>
      <c r="D785" s="1018" t="s">
        <v>1579</v>
      </c>
      <c r="E785" s="1014" t="s">
        <v>1486</v>
      </c>
    </row>
    <row r="786" spans="1:5" x14ac:dyDescent="0.25">
      <c r="A786" s="947">
        <v>785</v>
      </c>
      <c r="B786" s="947" t="s">
        <v>1516</v>
      </c>
      <c r="C786" s="1018" t="s">
        <v>1580</v>
      </c>
      <c r="D786" s="1018" t="s">
        <v>1579</v>
      </c>
      <c r="E786" s="1014" t="s">
        <v>1487</v>
      </c>
    </row>
    <row r="787" spans="1:5" x14ac:dyDescent="0.25">
      <c r="A787" s="947">
        <v>786</v>
      </c>
      <c r="B787" s="947" t="s">
        <v>1516</v>
      </c>
      <c r="C787" s="1018" t="s">
        <v>1580</v>
      </c>
      <c r="D787" s="1018" t="s">
        <v>1410</v>
      </c>
      <c r="E787" s="1014" t="s">
        <v>1488</v>
      </c>
    </row>
    <row r="788" spans="1:5" ht="30" x14ac:dyDescent="0.25">
      <c r="A788" s="947">
        <v>787</v>
      </c>
      <c r="B788" s="947" t="s">
        <v>1516</v>
      </c>
      <c r="C788" s="1018" t="s">
        <v>1580</v>
      </c>
      <c r="D788" s="1018" t="s">
        <v>1544</v>
      </c>
      <c r="E788" s="1014" t="s">
        <v>1385</v>
      </c>
    </row>
    <row r="789" spans="1:5" ht="30" x14ac:dyDescent="0.25">
      <c r="A789" s="947">
        <v>788</v>
      </c>
      <c r="B789" s="947" t="s">
        <v>1516</v>
      </c>
      <c r="C789" s="1018" t="s">
        <v>1580</v>
      </c>
      <c r="D789" s="1018" t="s">
        <v>1544</v>
      </c>
      <c r="E789" s="1014" t="s">
        <v>1386</v>
      </c>
    </row>
    <row r="790" spans="1:5" ht="30" x14ac:dyDescent="0.25">
      <c r="A790" s="947">
        <v>789</v>
      </c>
      <c r="B790" s="947" t="s">
        <v>1516</v>
      </c>
      <c r="C790" s="1018" t="s">
        <v>1580</v>
      </c>
      <c r="D790" s="1018" t="s">
        <v>1544</v>
      </c>
      <c r="E790" s="1014" t="s">
        <v>1495</v>
      </c>
    </row>
    <row r="791" spans="1:5" x14ac:dyDescent="0.25">
      <c r="A791" s="947">
        <v>790</v>
      </c>
      <c r="B791" s="947" t="s">
        <v>1516</v>
      </c>
      <c r="C791" s="1018" t="s">
        <v>1580</v>
      </c>
      <c r="D791" s="1018" t="s">
        <v>1410</v>
      </c>
      <c r="E791" s="1014" t="s">
        <v>1492</v>
      </c>
    </row>
    <row r="792" spans="1:5" x14ac:dyDescent="0.25">
      <c r="A792" s="947">
        <v>791</v>
      </c>
      <c r="B792" s="947" t="s">
        <v>1516</v>
      </c>
      <c r="C792" s="1018" t="s">
        <v>1580</v>
      </c>
      <c r="D792" s="1018" t="s">
        <v>1579</v>
      </c>
      <c r="E792" s="1014" t="s">
        <v>1506</v>
      </c>
    </row>
    <row r="793" spans="1:5" x14ac:dyDescent="0.25">
      <c r="A793" s="947">
        <v>792</v>
      </c>
      <c r="B793" s="947" t="s">
        <v>1516</v>
      </c>
      <c r="C793" s="1018" t="s">
        <v>1581</v>
      </c>
      <c r="D793" s="1018" t="s">
        <v>1579</v>
      </c>
      <c r="E793" s="1014" t="s">
        <v>1387</v>
      </c>
    </row>
    <row r="794" spans="1:5" x14ac:dyDescent="0.25">
      <c r="A794" s="947">
        <v>793</v>
      </c>
      <c r="B794" s="947" t="s">
        <v>1516</v>
      </c>
      <c r="C794" s="1018" t="s">
        <v>1581</v>
      </c>
      <c r="D794" s="1018" t="s">
        <v>1579</v>
      </c>
      <c r="E794" s="1014" t="s">
        <v>1388</v>
      </c>
    </row>
    <row r="795" spans="1:5" x14ac:dyDescent="0.25">
      <c r="A795" s="947">
        <v>794</v>
      </c>
      <c r="B795" s="947" t="s">
        <v>1516</v>
      </c>
      <c r="C795" s="1018" t="s">
        <v>1581</v>
      </c>
      <c r="D795" s="1018" t="s">
        <v>1579</v>
      </c>
      <c r="E795" s="1014" t="s">
        <v>1104</v>
      </c>
    </row>
    <row r="796" spans="1:5" x14ac:dyDescent="0.25">
      <c r="A796" s="947">
        <v>795</v>
      </c>
      <c r="B796" s="947" t="s">
        <v>1516</v>
      </c>
      <c r="C796" s="1018" t="s">
        <v>1582</v>
      </c>
      <c r="D796" s="1018" t="s">
        <v>1579</v>
      </c>
      <c r="E796" s="1014" t="s">
        <v>1491</v>
      </c>
    </row>
    <row r="797" spans="1:5" x14ac:dyDescent="0.25">
      <c r="A797" s="947">
        <v>796</v>
      </c>
      <c r="B797" s="947" t="s">
        <v>1516</v>
      </c>
      <c r="C797" s="1018" t="s">
        <v>1582</v>
      </c>
      <c r="D797" s="1018" t="s">
        <v>1410</v>
      </c>
      <c r="E797" s="1014" t="s">
        <v>1705</v>
      </c>
    </row>
    <row r="798" spans="1:5" x14ac:dyDescent="0.25">
      <c r="A798" s="947">
        <v>797</v>
      </c>
      <c r="B798" s="947" t="s">
        <v>1516</v>
      </c>
      <c r="C798" s="1018" t="s">
        <v>1582</v>
      </c>
      <c r="D798" s="1018" t="s">
        <v>1579</v>
      </c>
      <c r="E798" s="1014" t="s">
        <v>1383</v>
      </c>
    </row>
    <row r="799" spans="1:5" x14ac:dyDescent="0.25">
      <c r="A799" s="947">
        <v>798</v>
      </c>
      <c r="B799" s="947" t="s">
        <v>1516</v>
      </c>
      <c r="C799" s="1018" t="s">
        <v>1582</v>
      </c>
      <c r="D799" s="1018" t="s">
        <v>1579</v>
      </c>
      <c r="E799" s="1014" t="s">
        <v>1380</v>
      </c>
    </row>
    <row r="800" spans="1:5" x14ac:dyDescent="0.25">
      <c r="A800" s="947">
        <v>799</v>
      </c>
      <c r="B800" s="947" t="s">
        <v>1516</v>
      </c>
      <c r="C800" s="1018" t="s">
        <v>1582</v>
      </c>
      <c r="D800" s="1018" t="s">
        <v>1579</v>
      </c>
      <c r="E800" s="1014" t="s">
        <v>1381</v>
      </c>
    </row>
    <row r="801" spans="1:5" x14ac:dyDescent="0.25">
      <c r="A801" s="947">
        <v>800</v>
      </c>
      <c r="B801" s="947" t="s">
        <v>1516</v>
      </c>
      <c r="C801" s="1018" t="s">
        <v>1582</v>
      </c>
      <c r="D801" s="1018" t="s">
        <v>1579</v>
      </c>
      <c r="E801" s="1014" t="s">
        <v>1397</v>
      </c>
    </row>
    <row r="802" spans="1:5" x14ac:dyDescent="0.25">
      <c r="A802" s="947">
        <v>801</v>
      </c>
      <c r="B802" s="947" t="s">
        <v>1516</v>
      </c>
      <c r="C802" s="1018" t="s">
        <v>1582</v>
      </c>
      <c r="D802" s="1018" t="s">
        <v>1410</v>
      </c>
      <c r="E802" s="1014" t="s">
        <v>1382</v>
      </c>
    </row>
    <row r="803" spans="1:5" x14ac:dyDescent="0.25">
      <c r="A803" s="947">
        <v>802</v>
      </c>
      <c r="B803" s="947" t="s">
        <v>1516</v>
      </c>
      <c r="C803" s="1018" t="s">
        <v>1582</v>
      </c>
      <c r="D803" s="1018" t="s">
        <v>1579</v>
      </c>
      <c r="E803" s="1014" t="s">
        <v>1486</v>
      </c>
    </row>
    <row r="804" spans="1:5" x14ac:dyDescent="0.25">
      <c r="A804" s="947">
        <v>803</v>
      </c>
      <c r="B804" s="947" t="s">
        <v>1516</v>
      </c>
      <c r="C804" s="1018" t="s">
        <v>1582</v>
      </c>
      <c r="D804" s="1018" t="s">
        <v>1579</v>
      </c>
      <c r="E804" s="1014" t="s">
        <v>1487</v>
      </c>
    </row>
    <row r="805" spans="1:5" x14ac:dyDescent="0.25">
      <c r="A805" s="947">
        <v>804</v>
      </c>
      <c r="B805" s="947" t="s">
        <v>1516</v>
      </c>
      <c r="C805" s="1018" t="s">
        <v>1582</v>
      </c>
      <c r="D805" s="1018" t="s">
        <v>1410</v>
      </c>
      <c r="E805" s="1014" t="s">
        <v>1488</v>
      </c>
    </row>
    <row r="806" spans="1:5" ht="30" x14ac:dyDescent="0.25">
      <c r="A806" s="947">
        <v>805</v>
      </c>
      <c r="B806" s="947" t="s">
        <v>1516</v>
      </c>
      <c r="C806" s="1018" t="s">
        <v>1582</v>
      </c>
      <c r="D806" s="1018" t="s">
        <v>1544</v>
      </c>
      <c r="E806" s="1014" t="s">
        <v>1385</v>
      </c>
    </row>
    <row r="807" spans="1:5" ht="30" x14ac:dyDescent="0.25">
      <c r="A807" s="947">
        <v>806</v>
      </c>
      <c r="B807" s="947" t="s">
        <v>1516</v>
      </c>
      <c r="C807" s="1018" t="s">
        <v>1582</v>
      </c>
      <c r="D807" s="1018" t="s">
        <v>1544</v>
      </c>
      <c r="E807" s="1014" t="s">
        <v>1386</v>
      </c>
    </row>
    <row r="808" spans="1:5" ht="30" x14ac:dyDescent="0.25">
      <c r="A808" s="947">
        <v>807</v>
      </c>
      <c r="B808" s="947" t="s">
        <v>1516</v>
      </c>
      <c r="C808" s="1018" t="s">
        <v>1582</v>
      </c>
      <c r="D808" s="1018" t="s">
        <v>1544</v>
      </c>
      <c r="E808" s="1014" t="s">
        <v>1495</v>
      </c>
    </row>
    <row r="809" spans="1:5" x14ac:dyDescent="0.25">
      <c r="A809" s="947">
        <v>808</v>
      </c>
      <c r="B809" s="947" t="s">
        <v>1516</v>
      </c>
      <c r="C809" s="1018" t="s">
        <v>1582</v>
      </c>
      <c r="D809" s="1018" t="s">
        <v>1410</v>
      </c>
      <c r="E809" s="1014" t="s">
        <v>1492</v>
      </c>
    </row>
    <row r="810" spans="1:5" x14ac:dyDescent="0.25">
      <c r="A810" s="947">
        <v>809</v>
      </c>
      <c r="B810" s="947" t="s">
        <v>1516</v>
      </c>
      <c r="C810" s="1018" t="s">
        <v>1582</v>
      </c>
      <c r="D810" s="1018" t="s">
        <v>1579</v>
      </c>
      <c r="E810" s="1014" t="s">
        <v>1506</v>
      </c>
    </row>
    <row r="811" spans="1:5" x14ac:dyDescent="0.25">
      <c r="A811" s="947">
        <v>810</v>
      </c>
      <c r="B811" s="947" t="s">
        <v>1516</v>
      </c>
      <c r="C811" s="1018" t="s">
        <v>1583</v>
      </c>
      <c r="D811" s="1018" t="s">
        <v>1579</v>
      </c>
      <c r="E811" s="1014" t="s">
        <v>1387</v>
      </c>
    </row>
    <row r="812" spans="1:5" x14ac:dyDescent="0.25">
      <c r="A812" s="947">
        <v>811</v>
      </c>
      <c r="B812" s="947" t="s">
        <v>1516</v>
      </c>
      <c r="C812" s="1018" t="s">
        <v>1583</v>
      </c>
      <c r="D812" s="1018" t="s">
        <v>1579</v>
      </c>
      <c r="E812" s="1014" t="s">
        <v>1388</v>
      </c>
    </row>
    <row r="813" spans="1:5" x14ac:dyDescent="0.25">
      <c r="A813" s="947">
        <v>812</v>
      </c>
      <c r="B813" s="947" t="s">
        <v>1516</v>
      </c>
      <c r="C813" s="1018" t="s">
        <v>1583</v>
      </c>
      <c r="D813" s="1018" t="s">
        <v>1579</v>
      </c>
      <c r="E813" s="1014" t="s">
        <v>1389</v>
      </c>
    </row>
    <row r="814" spans="1:5" x14ac:dyDescent="0.25">
      <c r="A814" s="947">
        <v>813</v>
      </c>
      <c r="B814" s="947" t="s">
        <v>1516</v>
      </c>
      <c r="C814" s="1018" t="s">
        <v>1584</v>
      </c>
      <c r="D814" s="1018" t="s">
        <v>1537</v>
      </c>
      <c r="E814" s="1014" t="s">
        <v>1491</v>
      </c>
    </row>
    <row r="815" spans="1:5" x14ac:dyDescent="0.25">
      <c r="A815" s="947">
        <v>814</v>
      </c>
      <c r="B815" s="947" t="s">
        <v>1516</v>
      </c>
      <c r="C815" s="1018" t="s">
        <v>1584</v>
      </c>
      <c r="D815" s="1018" t="s">
        <v>1410</v>
      </c>
      <c r="E815" s="1014" t="s">
        <v>1705</v>
      </c>
    </row>
    <row r="816" spans="1:5" x14ac:dyDescent="0.25">
      <c r="A816" s="947">
        <v>815</v>
      </c>
      <c r="B816" s="947" t="s">
        <v>1516</v>
      </c>
      <c r="C816" s="1018" t="s">
        <v>1584</v>
      </c>
      <c r="D816" s="1018" t="s">
        <v>1537</v>
      </c>
      <c r="E816" s="1014" t="s">
        <v>1383</v>
      </c>
    </row>
    <row r="817" spans="1:5" x14ac:dyDescent="0.25">
      <c r="A817" s="947">
        <v>816</v>
      </c>
      <c r="B817" s="947" t="s">
        <v>1516</v>
      </c>
      <c r="C817" s="1018" t="s">
        <v>1584</v>
      </c>
      <c r="D817" s="1018" t="s">
        <v>1537</v>
      </c>
      <c r="E817" s="1014" t="s">
        <v>1380</v>
      </c>
    </row>
    <row r="818" spans="1:5" x14ac:dyDescent="0.25">
      <c r="A818" s="947">
        <v>817</v>
      </c>
      <c r="B818" s="947" t="s">
        <v>1516</v>
      </c>
      <c r="C818" s="1018" t="s">
        <v>1584</v>
      </c>
      <c r="D818" s="1018" t="s">
        <v>1537</v>
      </c>
      <c r="E818" s="1014" t="s">
        <v>1381</v>
      </c>
    </row>
    <row r="819" spans="1:5" x14ac:dyDescent="0.25">
      <c r="A819" s="947">
        <v>818</v>
      </c>
      <c r="B819" s="947" t="s">
        <v>1516</v>
      </c>
      <c r="C819" s="1018" t="s">
        <v>1584</v>
      </c>
      <c r="D819" s="1018" t="s">
        <v>1537</v>
      </c>
      <c r="E819" s="1014" t="s">
        <v>1397</v>
      </c>
    </row>
    <row r="820" spans="1:5" x14ac:dyDescent="0.25">
      <c r="A820" s="947">
        <v>819</v>
      </c>
      <c r="B820" s="947" t="s">
        <v>1516</v>
      </c>
      <c r="C820" s="1018" t="s">
        <v>1584</v>
      </c>
      <c r="D820" s="1018" t="s">
        <v>1537</v>
      </c>
      <c r="E820" s="1014" t="s">
        <v>1382</v>
      </c>
    </row>
    <row r="821" spans="1:5" x14ac:dyDescent="0.25">
      <c r="A821" s="947">
        <v>820</v>
      </c>
      <c r="B821" s="947" t="s">
        <v>1516</v>
      </c>
      <c r="C821" s="1018" t="s">
        <v>1584</v>
      </c>
      <c r="D821" s="1018" t="s">
        <v>1537</v>
      </c>
      <c r="E821" s="1014" t="s">
        <v>1486</v>
      </c>
    </row>
    <row r="822" spans="1:5" x14ac:dyDescent="0.25">
      <c r="A822" s="947">
        <v>821</v>
      </c>
      <c r="B822" s="947" t="s">
        <v>1516</v>
      </c>
      <c r="C822" s="1018" t="s">
        <v>1584</v>
      </c>
      <c r="D822" s="1018" t="s">
        <v>1537</v>
      </c>
      <c r="E822" s="1014" t="s">
        <v>1487</v>
      </c>
    </row>
    <row r="823" spans="1:5" x14ac:dyDescent="0.25">
      <c r="A823" s="947">
        <v>822</v>
      </c>
      <c r="B823" s="947" t="s">
        <v>1516</v>
      </c>
      <c r="C823" s="1018" t="s">
        <v>1584</v>
      </c>
      <c r="D823" s="1018" t="s">
        <v>1410</v>
      </c>
      <c r="E823" s="1014" t="s">
        <v>1488</v>
      </c>
    </row>
    <row r="824" spans="1:5" ht="30" x14ac:dyDescent="0.25">
      <c r="A824" s="947">
        <v>823</v>
      </c>
      <c r="B824" s="947" t="s">
        <v>1516</v>
      </c>
      <c r="C824" s="1018" t="s">
        <v>1584</v>
      </c>
      <c r="D824" s="1018" t="s">
        <v>1544</v>
      </c>
      <c r="E824" s="1014" t="s">
        <v>1385</v>
      </c>
    </row>
    <row r="825" spans="1:5" ht="30" x14ac:dyDescent="0.25">
      <c r="A825" s="947">
        <v>824</v>
      </c>
      <c r="B825" s="947" t="s">
        <v>1516</v>
      </c>
      <c r="C825" s="1018" t="s">
        <v>1584</v>
      </c>
      <c r="D825" s="1018" t="s">
        <v>1544</v>
      </c>
      <c r="E825" s="1014" t="s">
        <v>1386</v>
      </c>
    </row>
    <row r="826" spans="1:5" ht="30" x14ac:dyDescent="0.25">
      <c r="A826" s="947">
        <v>825</v>
      </c>
      <c r="B826" s="947" t="s">
        <v>1516</v>
      </c>
      <c r="C826" s="1018" t="s">
        <v>1584</v>
      </c>
      <c r="D826" s="1018" t="s">
        <v>1544</v>
      </c>
      <c r="E826" s="1014" t="s">
        <v>1495</v>
      </c>
    </row>
    <row r="827" spans="1:5" x14ac:dyDescent="0.25">
      <c r="A827" s="947">
        <v>826</v>
      </c>
      <c r="B827" s="947" t="s">
        <v>1516</v>
      </c>
      <c r="C827" s="1018" t="s">
        <v>1584</v>
      </c>
      <c r="D827" s="1018" t="s">
        <v>1410</v>
      </c>
      <c r="E827" s="1014" t="s">
        <v>1492</v>
      </c>
    </row>
    <row r="828" spans="1:5" x14ac:dyDescent="0.25">
      <c r="A828" s="947">
        <v>827</v>
      </c>
      <c r="B828" s="947" t="s">
        <v>1516</v>
      </c>
      <c r="C828" s="1018" t="s">
        <v>1584</v>
      </c>
      <c r="D828" s="1018" t="s">
        <v>1537</v>
      </c>
      <c r="E828" s="1014" t="s">
        <v>1506</v>
      </c>
    </row>
    <row r="829" spans="1:5" x14ac:dyDescent="0.25">
      <c r="A829" s="947">
        <v>828</v>
      </c>
      <c r="B829" s="947" t="s">
        <v>1516</v>
      </c>
      <c r="C829" s="1018" t="s">
        <v>1585</v>
      </c>
      <c r="D829" s="1018" t="s">
        <v>1537</v>
      </c>
      <c r="E829" s="1014" t="s">
        <v>1387</v>
      </c>
    </row>
    <row r="830" spans="1:5" x14ac:dyDescent="0.25">
      <c r="A830" s="947">
        <v>829</v>
      </c>
      <c r="B830" s="947" t="s">
        <v>1516</v>
      </c>
      <c r="C830" s="1018" t="s">
        <v>1585</v>
      </c>
      <c r="D830" s="1018" t="s">
        <v>1537</v>
      </c>
      <c r="E830" s="1014" t="s">
        <v>1388</v>
      </c>
    </row>
    <row r="831" spans="1:5" x14ac:dyDescent="0.25">
      <c r="A831" s="947">
        <v>830</v>
      </c>
      <c r="B831" s="947" t="s">
        <v>1516</v>
      </c>
      <c r="C831" s="1018" t="s">
        <v>1585</v>
      </c>
      <c r="D831" s="1018" t="s">
        <v>1537</v>
      </c>
      <c r="E831" s="1014" t="s">
        <v>1389</v>
      </c>
    </row>
    <row r="832" spans="1:5" x14ac:dyDescent="0.25">
      <c r="A832" s="947">
        <v>831</v>
      </c>
      <c r="B832" s="947" t="s">
        <v>1516</v>
      </c>
      <c r="C832" s="1018" t="s">
        <v>1586</v>
      </c>
      <c r="D832" s="1018" t="s">
        <v>1537</v>
      </c>
      <c r="E832" s="1014" t="s">
        <v>1387</v>
      </c>
    </row>
    <row r="833" spans="1:5" x14ac:dyDescent="0.25">
      <c r="A833" s="947">
        <v>832</v>
      </c>
      <c r="B833" s="947" t="s">
        <v>1516</v>
      </c>
      <c r="C833" s="1018" t="s">
        <v>1586</v>
      </c>
      <c r="D833" s="1018" t="s">
        <v>1537</v>
      </c>
      <c r="E833" s="1014" t="s">
        <v>1388</v>
      </c>
    </row>
    <row r="834" spans="1:5" x14ac:dyDescent="0.25">
      <c r="A834" s="947">
        <v>833</v>
      </c>
      <c r="B834" s="947" t="s">
        <v>1516</v>
      </c>
      <c r="C834" s="1018" t="s">
        <v>1586</v>
      </c>
      <c r="D834" s="1018" t="s">
        <v>1537</v>
      </c>
      <c r="E834" s="1014" t="s">
        <v>1389</v>
      </c>
    </row>
    <row r="835" spans="1:5" x14ac:dyDescent="0.25">
      <c r="A835" s="947">
        <v>834</v>
      </c>
      <c r="B835" s="947" t="s">
        <v>1516</v>
      </c>
      <c r="C835" s="1018" t="s">
        <v>1587</v>
      </c>
      <c r="D835" s="1018" t="s">
        <v>1537</v>
      </c>
      <c r="E835" s="1014" t="s">
        <v>1387</v>
      </c>
    </row>
    <row r="836" spans="1:5" x14ac:dyDescent="0.25">
      <c r="A836" s="947">
        <v>835</v>
      </c>
      <c r="B836" s="947" t="s">
        <v>1516</v>
      </c>
      <c r="C836" s="1018" t="s">
        <v>1587</v>
      </c>
      <c r="D836" s="1018" t="s">
        <v>1537</v>
      </c>
      <c r="E836" s="1014" t="s">
        <v>1388</v>
      </c>
    </row>
    <row r="837" spans="1:5" x14ac:dyDescent="0.25">
      <c r="A837" s="947">
        <v>836</v>
      </c>
      <c r="B837" s="947" t="s">
        <v>1516</v>
      </c>
      <c r="C837" s="1018" t="s">
        <v>1587</v>
      </c>
      <c r="D837" s="1018" t="s">
        <v>1537</v>
      </c>
      <c r="E837" s="1014" t="s">
        <v>1389</v>
      </c>
    </row>
    <row r="838" spans="1:5" x14ac:dyDescent="0.25">
      <c r="A838" s="947">
        <v>837</v>
      </c>
      <c r="B838" s="947" t="s">
        <v>1516</v>
      </c>
      <c r="C838" s="1018" t="s">
        <v>1588</v>
      </c>
      <c r="D838" s="1018" t="s">
        <v>1513</v>
      </c>
      <c r="E838" s="1014" t="s">
        <v>1387</v>
      </c>
    </row>
    <row r="839" spans="1:5" x14ac:dyDescent="0.25">
      <c r="A839" s="947">
        <v>838</v>
      </c>
      <c r="B839" s="947" t="s">
        <v>1516</v>
      </c>
      <c r="C839" s="1018" t="s">
        <v>1588</v>
      </c>
      <c r="D839" s="1018" t="s">
        <v>1537</v>
      </c>
      <c r="E839" s="1014" t="s">
        <v>1388</v>
      </c>
    </row>
    <row r="840" spans="1:5" x14ac:dyDescent="0.25">
      <c r="A840" s="947">
        <v>839</v>
      </c>
      <c r="B840" s="947" t="s">
        <v>1516</v>
      </c>
      <c r="C840" s="1018" t="s">
        <v>1588</v>
      </c>
      <c r="D840" s="1018" t="s">
        <v>1537</v>
      </c>
      <c r="E840" s="1014" t="s">
        <v>1389</v>
      </c>
    </row>
    <row r="841" spans="1:5" x14ac:dyDescent="0.25">
      <c r="A841" s="947">
        <v>840</v>
      </c>
      <c r="B841" s="947" t="s">
        <v>1516</v>
      </c>
      <c r="C841" s="1018" t="s">
        <v>1589</v>
      </c>
      <c r="D841" s="1018" t="s">
        <v>1537</v>
      </c>
      <c r="E841" s="1014" t="s">
        <v>1387</v>
      </c>
    </row>
    <row r="842" spans="1:5" x14ac:dyDescent="0.25">
      <c r="A842" s="947">
        <v>841</v>
      </c>
      <c r="B842" s="947" t="s">
        <v>1516</v>
      </c>
      <c r="C842" s="1018" t="s">
        <v>1589</v>
      </c>
      <c r="D842" s="1018" t="s">
        <v>1537</v>
      </c>
      <c r="E842" s="1014" t="s">
        <v>1388</v>
      </c>
    </row>
    <row r="843" spans="1:5" x14ac:dyDescent="0.25">
      <c r="A843" s="947">
        <v>842</v>
      </c>
      <c r="B843" s="947" t="s">
        <v>1516</v>
      </c>
      <c r="C843" s="1018" t="s">
        <v>1589</v>
      </c>
      <c r="D843" s="1018" t="s">
        <v>1537</v>
      </c>
      <c r="E843" s="1014" t="s">
        <v>1389</v>
      </c>
    </row>
    <row r="844" spans="1:5" x14ac:dyDescent="0.25">
      <c r="A844" s="947">
        <v>843</v>
      </c>
      <c r="B844" s="947" t="s">
        <v>1516</v>
      </c>
      <c r="C844" s="1018" t="s">
        <v>1590</v>
      </c>
      <c r="D844" s="1018" t="s">
        <v>1537</v>
      </c>
      <c r="E844" s="1014" t="s">
        <v>1491</v>
      </c>
    </row>
    <row r="845" spans="1:5" x14ac:dyDescent="0.25">
      <c r="A845" s="947">
        <v>844</v>
      </c>
      <c r="B845" s="947" t="s">
        <v>1516</v>
      </c>
      <c r="C845" s="1018" t="s">
        <v>1590</v>
      </c>
      <c r="D845" s="1018" t="s">
        <v>1537</v>
      </c>
      <c r="E845" s="1014" t="s">
        <v>1705</v>
      </c>
    </row>
    <row r="846" spans="1:5" x14ac:dyDescent="0.25">
      <c r="A846" s="947">
        <v>845</v>
      </c>
      <c r="B846" s="947" t="s">
        <v>1516</v>
      </c>
      <c r="C846" s="1018" t="s">
        <v>1590</v>
      </c>
      <c r="D846" s="1018" t="s">
        <v>1537</v>
      </c>
      <c r="E846" s="1014" t="s">
        <v>1383</v>
      </c>
    </row>
    <row r="847" spans="1:5" x14ac:dyDescent="0.25">
      <c r="A847" s="947">
        <v>846</v>
      </c>
      <c r="B847" s="947" t="s">
        <v>1516</v>
      </c>
      <c r="C847" s="1018" t="s">
        <v>1590</v>
      </c>
      <c r="D847" s="1018" t="s">
        <v>1537</v>
      </c>
      <c r="E847" s="1014" t="s">
        <v>1380</v>
      </c>
    </row>
    <row r="848" spans="1:5" x14ac:dyDescent="0.25">
      <c r="A848" s="947">
        <v>847</v>
      </c>
      <c r="B848" s="947" t="s">
        <v>1516</v>
      </c>
      <c r="C848" s="1018" t="s">
        <v>1590</v>
      </c>
      <c r="D848" s="1018" t="s">
        <v>1537</v>
      </c>
      <c r="E848" s="1014" t="s">
        <v>1381</v>
      </c>
    </row>
    <row r="849" spans="1:5" x14ac:dyDescent="0.25">
      <c r="A849" s="947">
        <v>848</v>
      </c>
      <c r="B849" s="947" t="s">
        <v>1516</v>
      </c>
      <c r="C849" s="1018" t="s">
        <v>1590</v>
      </c>
      <c r="D849" s="1018" t="s">
        <v>1537</v>
      </c>
      <c r="E849" s="1014" t="s">
        <v>1397</v>
      </c>
    </row>
    <row r="850" spans="1:5" x14ac:dyDescent="0.25">
      <c r="A850" s="947">
        <v>849</v>
      </c>
      <c r="B850" s="947" t="s">
        <v>1516</v>
      </c>
      <c r="C850" s="1018" t="s">
        <v>1590</v>
      </c>
      <c r="D850" s="1018" t="s">
        <v>1537</v>
      </c>
      <c r="E850" s="1014" t="s">
        <v>1382</v>
      </c>
    </row>
    <row r="851" spans="1:5" x14ac:dyDescent="0.25">
      <c r="A851" s="947">
        <v>850</v>
      </c>
      <c r="B851" s="947" t="s">
        <v>1516</v>
      </c>
      <c r="C851" s="1018" t="s">
        <v>1590</v>
      </c>
      <c r="D851" s="1018" t="s">
        <v>1537</v>
      </c>
      <c r="E851" s="1014" t="s">
        <v>1486</v>
      </c>
    </row>
    <row r="852" spans="1:5" x14ac:dyDescent="0.25">
      <c r="A852" s="947">
        <v>851</v>
      </c>
      <c r="B852" s="947" t="s">
        <v>1516</v>
      </c>
      <c r="C852" s="1018" t="s">
        <v>1590</v>
      </c>
      <c r="D852" s="1018" t="s">
        <v>1537</v>
      </c>
      <c r="E852" s="1014" t="s">
        <v>1487</v>
      </c>
    </row>
    <row r="853" spans="1:5" x14ac:dyDescent="0.25">
      <c r="A853" s="947">
        <v>852</v>
      </c>
      <c r="B853" s="947" t="s">
        <v>1516</v>
      </c>
      <c r="C853" s="1018" t="s">
        <v>1590</v>
      </c>
      <c r="D853" s="1018" t="s">
        <v>1410</v>
      </c>
      <c r="E853" s="1014" t="s">
        <v>1488</v>
      </c>
    </row>
    <row r="854" spans="1:5" ht="30" x14ac:dyDescent="0.25">
      <c r="A854" s="947">
        <v>853</v>
      </c>
      <c r="B854" s="947" t="s">
        <v>1516</v>
      </c>
      <c r="C854" s="1018" t="s">
        <v>1590</v>
      </c>
      <c r="D854" s="1018" t="s">
        <v>1544</v>
      </c>
      <c r="E854" s="1014" t="s">
        <v>1385</v>
      </c>
    </row>
    <row r="855" spans="1:5" ht="30" x14ac:dyDescent="0.25">
      <c r="A855" s="947">
        <v>854</v>
      </c>
      <c r="B855" s="947" t="s">
        <v>1516</v>
      </c>
      <c r="C855" s="1018" t="s">
        <v>1590</v>
      </c>
      <c r="D855" s="1018" t="s">
        <v>1544</v>
      </c>
      <c r="E855" s="1014" t="s">
        <v>1386</v>
      </c>
    </row>
    <row r="856" spans="1:5" ht="30" x14ac:dyDescent="0.25">
      <c r="A856" s="947">
        <v>855</v>
      </c>
      <c r="B856" s="947" t="s">
        <v>1516</v>
      </c>
      <c r="C856" s="1018" t="s">
        <v>1590</v>
      </c>
      <c r="D856" s="1018" t="s">
        <v>1544</v>
      </c>
      <c r="E856" s="1014" t="s">
        <v>1495</v>
      </c>
    </row>
    <row r="857" spans="1:5" x14ac:dyDescent="0.25">
      <c r="A857" s="947">
        <v>856</v>
      </c>
      <c r="B857" s="947" t="s">
        <v>1516</v>
      </c>
      <c r="C857" s="1018" t="s">
        <v>1590</v>
      </c>
      <c r="D857" s="1018" t="s">
        <v>1410</v>
      </c>
      <c r="E857" s="1014" t="s">
        <v>1492</v>
      </c>
    </row>
    <row r="858" spans="1:5" x14ac:dyDescent="0.25">
      <c r="A858" s="947">
        <v>857</v>
      </c>
      <c r="B858" s="947" t="s">
        <v>1516</v>
      </c>
      <c r="C858" s="1018" t="s">
        <v>1590</v>
      </c>
      <c r="D858" s="1018" t="s">
        <v>1537</v>
      </c>
      <c r="E858" s="1014" t="s">
        <v>1506</v>
      </c>
    </row>
    <row r="859" spans="1:5" x14ac:dyDescent="0.25">
      <c r="A859" s="947">
        <v>858</v>
      </c>
      <c r="B859" s="947" t="s">
        <v>1516</v>
      </c>
      <c r="C859" s="1018" t="s">
        <v>1591</v>
      </c>
      <c r="D859" s="1018" t="s">
        <v>1537</v>
      </c>
      <c r="E859" s="1014" t="s">
        <v>1387</v>
      </c>
    </row>
    <row r="860" spans="1:5" x14ac:dyDescent="0.25">
      <c r="A860" s="947">
        <v>859</v>
      </c>
      <c r="B860" s="947" t="s">
        <v>1516</v>
      </c>
      <c r="C860" s="1018" t="s">
        <v>1591</v>
      </c>
      <c r="D860" s="1018" t="s">
        <v>1537</v>
      </c>
      <c r="E860" s="1014" t="s">
        <v>1388</v>
      </c>
    </row>
    <row r="861" spans="1:5" x14ac:dyDescent="0.25">
      <c r="A861" s="947">
        <v>860</v>
      </c>
      <c r="B861" s="947" t="s">
        <v>1516</v>
      </c>
      <c r="C861" s="1018" t="s">
        <v>1591</v>
      </c>
      <c r="D861" s="1018" t="s">
        <v>1537</v>
      </c>
      <c r="E861" s="1014" t="s">
        <v>1389</v>
      </c>
    </row>
    <row r="862" spans="1:5" x14ac:dyDescent="0.25">
      <c r="A862" s="947">
        <v>861</v>
      </c>
      <c r="B862" s="947" t="s">
        <v>1516</v>
      </c>
      <c r="C862" s="1018" t="s">
        <v>1592</v>
      </c>
      <c r="D862" s="1018" t="s">
        <v>1537</v>
      </c>
      <c r="E862" s="1014" t="s">
        <v>1387</v>
      </c>
    </row>
    <row r="863" spans="1:5" x14ac:dyDescent="0.25">
      <c r="A863" s="947">
        <v>862</v>
      </c>
      <c r="B863" s="947" t="s">
        <v>1516</v>
      </c>
      <c r="C863" s="1018" t="s">
        <v>1592</v>
      </c>
      <c r="D863" s="1018" t="s">
        <v>1537</v>
      </c>
      <c r="E863" s="1014" t="s">
        <v>1388</v>
      </c>
    </row>
    <row r="864" spans="1:5" x14ac:dyDescent="0.25">
      <c r="A864" s="947">
        <v>863</v>
      </c>
      <c r="B864" s="947" t="s">
        <v>1516</v>
      </c>
      <c r="C864" s="1018" t="s">
        <v>1592</v>
      </c>
      <c r="D864" s="1018" t="s">
        <v>1537</v>
      </c>
      <c r="E864" s="1014" t="s">
        <v>1389</v>
      </c>
    </row>
    <row r="865" spans="1:5" x14ac:dyDescent="0.25">
      <c r="A865" s="947">
        <v>864</v>
      </c>
      <c r="B865" s="947" t="s">
        <v>1516</v>
      </c>
      <c r="C865" s="1018" t="s">
        <v>1593</v>
      </c>
      <c r="D865" s="1018" t="s">
        <v>1537</v>
      </c>
      <c r="E865" s="1014" t="s">
        <v>1387</v>
      </c>
    </row>
    <row r="866" spans="1:5" x14ac:dyDescent="0.25">
      <c r="A866" s="947">
        <v>865</v>
      </c>
      <c r="B866" s="947" t="s">
        <v>1516</v>
      </c>
      <c r="C866" s="1018" t="s">
        <v>1593</v>
      </c>
      <c r="D866" s="1018" t="s">
        <v>1537</v>
      </c>
      <c r="E866" s="1014" t="s">
        <v>1388</v>
      </c>
    </row>
    <row r="867" spans="1:5" x14ac:dyDescent="0.25">
      <c r="A867" s="947">
        <v>866</v>
      </c>
      <c r="B867" s="947" t="s">
        <v>1516</v>
      </c>
      <c r="C867" s="1018" t="s">
        <v>1593</v>
      </c>
      <c r="D867" s="1018" t="s">
        <v>1537</v>
      </c>
      <c r="E867" s="1014" t="s">
        <v>1389</v>
      </c>
    </row>
    <row r="868" spans="1:5" x14ac:dyDescent="0.25">
      <c r="A868" s="947">
        <v>867</v>
      </c>
      <c r="B868" s="947" t="s">
        <v>1516</v>
      </c>
      <c r="C868" s="1018" t="s">
        <v>1594</v>
      </c>
      <c r="D868" s="1018" t="s">
        <v>1537</v>
      </c>
      <c r="E868" s="1014" t="s">
        <v>1387</v>
      </c>
    </row>
    <row r="869" spans="1:5" x14ac:dyDescent="0.25">
      <c r="A869" s="947">
        <v>868</v>
      </c>
      <c r="B869" s="947" t="s">
        <v>1516</v>
      </c>
      <c r="C869" s="1018" t="s">
        <v>1594</v>
      </c>
      <c r="D869" s="1018" t="s">
        <v>1537</v>
      </c>
      <c r="E869" s="1014" t="s">
        <v>1388</v>
      </c>
    </row>
    <row r="870" spans="1:5" x14ac:dyDescent="0.25">
      <c r="A870" s="947">
        <v>869</v>
      </c>
      <c r="B870" s="947" t="s">
        <v>1516</v>
      </c>
      <c r="C870" s="1018" t="s">
        <v>1594</v>
      </c>
      <c r="D870" s="1018" t="s">
        <v>1537</v>
      </c>
      <c r="E870" s="1014" t="s">
        <v>1389</v>
      </c>
    </row>
    <row r="871" spans="1:5" x14ac:dyDescent="0.25">
      <c r="A871" s="947">
        <v>870</v>
      </c>
      <c r="B871" s="947" t="s">
        <v>1516</v>
      </c>
      <c r="C871" s="1018" t="s">
        <v>1595</v>
      </c>
      <c r="D871" s="1018" t="s">
        <v>1537</v>
      </c>
      <c r="E871" s="1014" t="s">
        <v>1387</v>
      </c>
    </row>
    <row r="872" spans="1:5" x14ac:dyDescent="0.25">
      <c r="A872" s="947">
        <v>871</v>
      </c>
      <c r="B872" s="947" t="s">
        <v>1516</v>
      </c>
      <c r="C872" s="1018" t="s">
        <v>1595</v>
      </c>
      <c r="D872" s="1018" t="s">
        <v>1537</v>
      </c>
      <c r="E872" s="1014" t="s">
        <v>1388</v>
      </c>
    </row>
    <row r="873" spans="1:5" x14ac:dyDescent="0.25">
      <c r="A873" s="947">
        <v>872</v>
      </c>
      <c r="B873" s="947" t="s">
        <v>1516</v>
      </c>
      <c r="C873" s="1018" t="s">
        <v>1595</v>
      </c>
      <c r="D873" s="1018" t="s">
        <v>1537</v>
      </c>
      <c r="E873" s="1014" t="s">
        <v>1389</v>
      </c>
    </row>
    <row r="874" spans="1:5" x14ac:dyDescent="0.25">
      <c r="A874" s="947">
        <v>873</v>
      </c>
      <c r="B874" s="947" t="s">
        <v>1516</v>
      </c>
      <c r="C874" s="1018" t="s">
        <v>1597</v>
      </c>
      <c r="D874" s="1018" t="s">
        <v>1596</v>
      </c>
      <c r="E874" s="1014" t="s">
        <v>1491</v>
      </c>
    </row>
    <row r="875" spans="1:5" x14ac:dyDescent="0.25">
      <c r="A875" s="947">
        <v>874</v>
      </c>
      <c r="B875" s="947" t="s">
        <v>1516</v>
      </c>
      <c r="C875" s="1018" t="s">
        <v>1597</v>
      </c>
      <c r="D875" s="1018" t="s">
        <v>1596</v>
      </c>
      <c r="E875" s="1014" t="s">
        <v>1705</v>
      </c>
    </row>
    <row r="876" spans="1:5" x14ac:dyDescent="0.25">
      <c r="A876" s="947">
        <v>875</v>
      </c>
      <c r="B876" s="947" t="s">
        <v>1516</v>
      </c>
      <c r="C876" s="1018" t="s">
        <v>1597</v>
      </c>
      <c r="D876" s="1018" t="s">
        <v>1596</v>
      </c>
      <c r="E876" s="1014" t="s">
        <v>1383</v>
      </c>
    </row>
    <row r="877" spans="1:5" x14ac:dyDescent="0.25">
      <c r="A877" s="947">
        <v>876</v>
      </c>
      <c r="B877" s="947" t="s">
        <v>1516</v>
      </c>
      <c r="C877" s="1018" t="s">
        <v>1597</v>
      </c>
      <c r="D877" s="1018" t="s">
        <v>1596</v>
      </c>
      <c r="E877" s="1014" t="s">
        <v>1380</v>
      </c>
    </row>
    <row r="878" spans="1:5" x14ac:dyDescent="0.25">
      <c r="A878" s="947">
        <v>877</v>
      </c>
      <c r="B878" s="947" t="s">
        <v>1516</v>
      </c>
      <c r="C878" s="1018" t="s">
        <v>1597</v>
      </c>
      <c r="D878" s="1018" t="s">
        <v>1596</v>
      </c>
      <c r="E878" s="1014" t="s">
        <v>1381</v>
      </c>
    </row>
    <row r="879" spans="1:5" x14ac:dyDescent="0.25">
      <c r="A879" s="947">
        <v>878</v>
      </c>
      <c r="B879" s="947" t="s">
        <v>1516</v>
      </c>
      <c r="C879" s="1018" t="s">
        <v>1597</v>
      </c>
      <c r="D879" s="1018" t="s">
        <v>1596</v>
      </c>
      <c r="E879" s="1014" t="s">
        <v>1397</v>
      </c>
    </row>
    <row r="880" spans="1:5" x14ac:dyDescent="0.25">
      <c r="A880" s="947">
        <v>879</v>
      </c>
      <c r="B880" s="947" t="s">
        <v>1516</v>
      </c>
      <c r="C880" s="1018" t="s">
        <v>1597</v>
      </c>
      <c r="D880" s="1018" t="s">
        <v>1410</v>
      </c>
      <c r="E880" s="1014" t="s">
        <v>1382</v>
      </c>
    </row>
    <row r="881" spans="1:5" x14ac:dyDescent="0.25">
      <c r="A881" s="947">
        <v>880</v>
      </c>
      <c r="B881" s="947" t="s">
        <v>1516</v>
      </c>
      <c r="C881" s="1018" t="s">
        <v>1597</v>
      </c>
      <c r="D881" s="1018" t="s">
        <v>1596</v>
      </c>
      <c r="E881" s="1014" t="s">
        <v>1486</v>
      </c>
    </row>
    <row r="882" spans="1:5" x14ac:dyDescent="0.25">
      <c r="A882" s="947">
        <v>881</v>
      </c>
      <c r="B882" s="947" t="s">
        <v>1516</v>
      </c>
      <c r="C882" s="1018" t="s">
        <v>1597</v>
      </c>
      <c r="D882" s="1018" t="s">
        <v>1596</v>
      </c>
      <c r="E882" s="1014" t="s">
        <v>1487</v>
      </c>
    </row>
    <row r="883" spans="1:5" x14ac:dyDescent="0.25">
      <c r="A883" s="947">
        <v>882</v>
      </c>
      <c r="B883" s="947" t="s">
        <v>1516</v>
      </c>
      <c r="C883" s="1018" t="s">
        <v>1597</v>
      </c>
      <c r="D883" s="1018" t="s">
        <v>1410</v>
      </c>
      <c r="E883" s="1014" t="s">
        <v>1488</v>
      </c>
    </row>
    <row r="884" spans="1:5" ht="30" x14ac:dyDescent="0.25">
      <c r="A884" s="947">
        <v>883</v>
      </c>
      <c r="B884" s="947" t="s">
        <v>1516</v>
      </c>
      <c r="C884" s="1018" t="s">
        <v>1597</v>
      </c>
      <c r="D884" s="1018" t="s">
        <v>1544</v>
      </c>
      <c r="E884" s="1014" t="s">
        <v>1385</v>
      </c>
    </row>
    <row r="885" spans="1:5" ht="30" x14ac:dyDescent="0.25">
      <c r="A885" s="947">
        <v>884</v>
      </c>
      <c r="B885" s="947" t="s">
        <v>1516</v>
      </c>
      <c r="C885" s="1018" t="s">
        <v>1597</v>
      </c>
      <c r="D885" s="1018" t="s">
        <v>1544</v>
      </c>
      <c r="E885" s="1014" t="s">
        <v>1386</v>
      </c>
    </row>
    <row r="886" spans="1:5" ht="30" x14ac:dyDescent="0.25">
      <c r="A886" s="947">
        <v>885</v>
      </c>
      <c r="B886" s="947" t="s">
        <v>1516</v>
      </c>
      <c r="C886" s="1018" t="s">
        <v>1597</v>
      </c>
      <c r="D886" s="1018" t="s">
        <v>1544</v>
      </c>
      <c r="E886" s="1014" t="s">
        <v>1495</v>
      </c>
    </row>
    <row r="887" spans="1:5" x14ac:dyDescent="0.25">
      <c r="A887" s="947">
        <v>886</v>
      </c>
      <c r="B887" s="947" t="s">
        <v>1516</v>
      </c>
      <c r="C887" s="1018" t="s">
        <v>1597</v>
      </c>
      <c r="D887" s="1018" t="s">
        <v>1410</v>
      </c>
      <c r="E887" s="1014" t="s">
        <v>1492</v>
      </c>
    </row>
    <row r="888" spans="1:5" x14ac:dyDescent="0.25">
      <c r="A888" s="947">
        <v>887</v>
      </c>
      <c r="B888" s="947" t="s">
        <v>1516</v>
      </c>
      <c r="C888" s="1018" t="s">
        <v>1597</v>
      </c>
      <c r="D888" s="1018" t="s">
        <v>1596</v>
      </c>
      <c r="E888" s="1014" t="s">
        <v>1506</v>
      </c>
    </row>
    <row r="889" spans="1:5" x14ac:dyDescent="0.25">
      <c r="A889" s="947">
        <v>888</v>
      </c>
      <c r="B889" s="947" t="s">
        <v>1516</v>
      </c>
      <c r="C889" s="1018" t="s">
        <v>1598</v>
      </c>
      <c r="D889" s="1018" t="s">
        <v>1596</v>
      </c>
      <c r="E889" s="1014" t="s">
        <v>1387</v>
      </c>
    </row>
    <row r="890" spans="1:5" x14ac:dyDescent="0.25">
      <c r="A890" s="947">
        <v>889</v>
      </c>
      <c r="B890" s="947" t="s">
        <v>1516</v>
      </c>
      <c r="C890" s="1018" t="s">
        <v>1598</v>
      </c>
      <c r="D890" s="1018" t="s">
        <v>1596</v>
      </c>
      <c r="E890" s="1014" t="s">
        <v>1388</v>
      </c>
    </row>
    <row r="891" spans="1:5" x14ac:dyDescent="0.25">
      <c r="A891" s="947">
        <v>890</v>
      </c>
      <c r="B891" s="947" t="s">
        <v>1516</v>
      </c>
      <c r="C891" s="1018" t="s">
        <v>1598</v>
      </c>
      <c r="D891" s="1018" t="s">
        <v>1596</v>
      </c>
      <c r="E891" s="1014" t="s">
        <v>1104</v>
      </c>
    </row>
    <row r="892" spans="1:5" x14ac:dyDescent="0.25">
      <c r="A892" s="947">
        <v>891</v>
      </c>
      <c r="B892" s="947" t="s">
        <v>1516</v>
      </c>
      <c r="C892" s="1018" t="s">
        <v>1597</v>
      </c>
      <c r="D892" s="1018" t="s">
        <v>1596</v>
      </c>
      <c r="E892" s="1014" t="s">
        <v>1508</v>
      </c>
    </row>
    <row r="893" spans="1:5" x14ac:dyDescent="0.25">
      <c r="A893" s="947">
        <v>892</v>
      </c>
      <c r="B893" s="947" t="s">
        <v>1516</v>
      </c>
      <c r="C893" s="1018" t="s">
        <v>1714</v>
      </c>
      <c r="D893" s="1018" t="s">
        <v>1596</v>
      </c>
      <c r="E893" s="1016" t="s">
        <v>1491</v>
      </c>
    </row>
    <row r="894" spans="1:5" x14ac:dyDescent="0.25">
      <c r="A894" s="947">
        <v>893</v>
      </c>
      <c r="B894" s="947" t="s">
        <v>1516</v>
      </c>
      <c r="C894" s="1018" t="s">
        <v>1714</v>
      </c>
      <c r="D894" s="1018" t="s">
        <v>1596</v>
      </c>
      <c r="E894" s="1016" t="s">
        <v>1705</v>
      </c>
    </row>
    <row r="895" spans="1:5" x14ac:dyDescent="0.25">
      <c r="A895" s="947">
        <v>894</v>
      </c>
      <c r="B895" s="947" t="s">
        <v>1516</v>
      </c>
      <c r="C895" s="1018" t="s">
        <v>1714</v>
      </c>
      <c r="D895" s="1018" t="s">
        <v>1596</v>
      </c>
      <c r="E895" s="1016" t="s">
        <v>1383</v>
      </c>
    </row>
    <row r="896" spans="1:5" x14ac:dyDescent="0.25">
      <c r="A896" s="947">
        <v>895</v>
      </c>
      <c r="B896" s="947" t="s">
        <v>1516</v>
      </c>
      <c r="C896" s="1018" t="s">
        <v>1714</v>
      </c>
      <c r="D896" s="1018" t="s">
        <v>1596</v>
      </c>
      <c r="E896" s="1016" t="s">
        <v>1380</v>
      </c>
    </row>
    <row r="897" spans="1:5" x14ac:dyDescent="0.25">
      <c r="A897" s="947">
        <v>896</v>
      </c>
      <c r="B897" s="947" t="s">
        <v>1516</v>
      </c>
      <c r="C897" s="1018" t="s">
        <v>1714</v>
      </c>
      <c r="D897" s="1018" t="s">
        <v>1596</v>
      </c>
      <c r="E897" s="1016" t="s">
        <v>1381</v>
      </c>
    </row>
    <row r="898" spans="1:5" x14ac:dyDescent="0.25">
      <c r="A898" s="947">
        <v>897</v>
      </c>
      <c r="B898" s="947" t="s">
        <v>1516</v>
      </c>
      <c r="C898" s="1018" t="s">
        <v>1714</v>
      </c>
      <c r="D898" s="1018" t="s">
        <v>1596</v>
      </c>
      <c r="E898" s="1016" t="s">
        <v>1397</v>
      </c>
    </row>
    <row r="899" spans="1:5" x14ac:dyDescent="0.25">
      <c r="A899" s="947">
        <v>898</v>
      </c>
      <c r="B899" s="947" t="s">
        <v>1516</v>
      </c>
      <c r="C899" s="1018" t="s">
        <v>1714</v>
      </c>
      <c r="D899" s="1018" t="s">
        <v>1410</v>
      </c>
      <c r="E899" s="1016" t="s">
        <v>1382</v>
      </c>
    </row>
    <row r="900" spans="1:5" x14ac:dyDescent="0.25">
      <c r="A900" s="947">
        <v>899</v>
      </c>
      <c r="B900" s="947" t="s">
        <v>1516</v>
      </c>
      <c r="C900" s="1018" t="s">
        <v>1714</v>
      </c>
      <c r="D900" s="1018" t="s">
        <v>1596</v>
      </c>
      <c r="E900" s="1016" t="s">
        <v>1486</v>
      </c>
    </row>
    <row r="901" spans="1:5" x14ac:dyDescent="0.25">
      <c r="A901" s="947">
        <v>900</v>
      </c>
      <c r="B901" s="947" t="s">
        <v>1516</v>
      </c>
      <c r="C901" s="1018" t="s">
        <v>1714</v>
      </c>
      <c r="D901" s="1018" t="s">
        <v>1596</v>
      </c>
      <c r="E901" s="1016" t="s">
        <v>1487</v>
      </c>
    </row>
    <row r="902" spans="1:5" x14ac:dyDescent="0.25">
      <c r="A902" s="947">
        <v>901</v>
      </c>
      <c r="B902" s="947" t="s">
        <v>1516</v>
      </c>
      <c r="C902" s="1018" t="s">
        <v>1714</v>
      </c>
      <c r="D902" s="1018" t="s">
        <v>1410</v>
      </c>
      <c r="E902" s="1016" t="s">
        <v>1488</v>
      </c>
    </row>
    <row r="903" spans="1:5" ht="30" x14ac:dyDescent="0.25">
      <c r="A903" s="947">
        <v>902</v>
      </c>
      <c r="B903" s="947" t="s">
        <v>1516</v>
      </c>
      <c r="C903" s="1018" t="s">
        <v>1714</v>
      </c>
      <c r="D903" s="1018" t="s">
        <v>1544</v>
      </c>
      <c r="E903" s="1016" t="s">
        <v>1385</v>
      </c>
    </row>
    <row r="904" spans="1:5" ht="30" x14ac:dyDescent="0.25">
      <c r="A904" s="947">
        <v>903</v>
      </c>
      <c r="B904" s="947" t="s">
        <v>1516</v>
      </c>
      <c r="C904" s="1018" t="s">
        <v>1714</v>
      </c>
      <c r="D904" s="1018" t="s">
        <v>1544</v>
      </c>
      <c r="E904" s="1016" t="s">
        <v>1386</v>
      </c>
    </row>
    <row r="905" spans="1:5" ht="30" x14ac:dyDescent="0.25">
      <c r="A905" s="947">
        <v>904</v>
      </c>
      <c r="B905" s="947" t="s">
        <v>1516</v>
      </c>
      <c r="C905" s="1018" t="s">
        <v>1714</v>
      </c>
      <c r="D905" s="1018" t="s">
        <v>1544</v>
      </c>
      <c r="E905" s="1016" t="s">
        <v>1495</v>
      </c>
    </row>
    <row r="906" spans="1:5" x14ac:dyDescent="0.25">
      <c r="A906" s="947">
        <v>905</v>
      </c>
      <c r="B906" s="947" t="s">
        <v>1516</v>
      </c>
      <c r="C906" s="1018" t="s">
        <v>1714</v>
      </c>
      <c r="D906" s="1018" t="s">
        <v>1410</v>
      </c>
      <c r="E906" s="1016" t="s">
        <v>1492</v>
      </c>
    </row>
    <row r="907" spans="1:5" x14ac:dyDescent="0.25">
      <c r="A907" s="947">
        <v>906</v>
      </c>
      <c r="B907" s="947" t="s">
        <v>1516</v>
      </c>
      <c r="C907" s="1018" t="s">
        <v>1714</v>
      </c>
      <c r="D907" s="1018" t="s">
        <v>1596</v>
      </c>
      <c r="E907" s="1016" t="s">
        <v>1506</v>
      </c>
    </row>
    <row r="908" spans="1:5" x14ac:dyDescent="0.25">
      <c r="A908" s="947">
        <v>907</v>
      </c>
      <c r="B908" s="947" t="s">
        <v>1516</v>
      </c>
      <c r="C908" s="1018" t="s">
        <v>1715</v>
      </c>
      <c r="D908" s="1018" t="s">
        <v>1596</v>
      </c>
      <c r="E908" s="1016" t="s">
        <v>1387</v>
      </c>
    </row>
    <row r="909" spans="1:5" x14ac:dyDescent="0.25">
      <c r="A909" s="947">
        <v>908</v>
      </c>
      <c r="B909" s="947" t="s">
        <v>1516</v>
      </c>
      <c r="C909" s="1018" t="s">
        <v>1715</v>
      </c>
      <c r="D909" s="1018" t="s">
        <v>1596</v>
      </c>
      <c r="E909" s="1016" t="s">
        <v>1388</v>
      </c>
    </row>
    <row r="910" spans="1:5" x14ac:dyDescent="0.25">
      <c r="A910" s="947">
        <v>909</v>
      </c>
      <c r="B910" s="947" t="s">
        <v>1516</v>
      </c>
      <c r="C910" s="1018" t="s">
        <v>1715</v>
      </c>
      <c r="D910" s="1018" t="s">
        <v>1596</v>
      </c>
      <c r="E910" s="1016" t="s">
        <v>1104</v>
      </c>
    </row>
    <row r="911" spans="1:5" x14ac:dyDescent="0.25">
      <c r="A911" s="947">
        <v>910</v>
      </c>
      <c r="B911" s="947" t="s">
        <v>1516</v>
      </c>
      <c r="C911" s="1018" t="s">
        <v>1714</v>
      </c>
      <c r="D911" s="1018" t="s">
        <v>1596</v>
      </c>
      <c r="E911" s="1016" t="s">
        <v>1508</v>
      </c>
    </row>
    <row r="912" spans="1:5" x14ac:dyDescent="0.25">
      <c r="A912" s="947">
        <v>911</v>
      </c>
      <c r="B912" s="947" t="s">
        <v>1516</v>
      </c>
      <c r="C912" s="1018" t="s">
        <v>1716</v>
      </c>
      <c r="D912" s="1018" t="s">
        <v>1596</v>
      </c>
      <c r="E912" s="1016" t="s">
        <v>1491</v>
      </c>
    </row>
    <row r="913" spans="1:5" x14ac:dyDescent="0.25">
      <c r="A913" s="947">
        <v>912</v>
      </c>
      <c r="B913" s="947" t="s">
        <v>1516</v>
      </c>
      <c r="C913" s="1018" t="s">
        <v>1716</v>
      </c>
      <c r="D913" s="1018" t="s">
        <v>1596</v>
      </c>
      <c r="E913" s="1016" t="s">
        <v>1705</v>
      </c>
    </row>
    <row r="914" spans="1:5" x14ac:dyDescent="0.25">
      <c r="A914" s="947">
        <v>913</v>
      </c>
      <c r="B914" s="947" t="s">
        <v>1516</v>
      </c>
      <c r="C914" s="1018" t="s">
        <v>1716</v>
      </c>
      <c r="D914" s="1018" t="s">
        <v>1596</v>
      </c>
      <c r="E914" s="1016" t="s">
        <v>1383</v>
      </c>
    </row>
    <row r="915" spans="1:5" x14ac:dyDescent="0.25">
      <c r="A915" s="947">
        <v>914</v>
      </c>
      <c r="B915" s="947" t="s">
        <v>1516</v>
      </c>
      <c r="C915" s="1018" t="s">
        <v>1716</v>
      </c>
      <c r="D915" s="1018" t="s">
        <v>1596</v>
      </c>
      <c r="E915" s="1016" t="s">
        <v>1380</v>
      </c>
    </row>
    <row r="916" spans="1:5" x14ac:dyDescent="0.25">
      <c r="A916" s="947">
        <v>915</v>
      </c>
      <c r="B916" s="947" t="s">
        <v>1516</v>
      </c>
      <c r="C916" s="1018" t="s">
        <v>1716</v>
      </c>
      <c r="D916" s="1018" t="s">
        <v>1596</v>
      </c>
      <c r="E916" s="1016" t="s">
        <v>1381</v>
      </c>
    </row>
    <row r="917" spans="1:5" x14ac:dyDescent="0.25">
      <c r="A917" s="947">
        <v>916</v>
      </c>
      <c r="B917" s="947" t="s">
        <v>1516</v>
      </c>
      <c r="C917" s="1018" t="s">
        <v>1716</v>
      </c>
      <c r="D917" s="1018" t="s">
        <v>1596</v>
      </c>
      <c r="E917" s="1016" t="s">
        <v>1397</v>
      </c>
    </row>
    <row r="918" spans="1:5" x14ac:dyDescent="0.25">
      <c r="A918" s="947">
        <v>917</v>
      </c>
      <c r="B918" s="947" t="s">
        <v>1516</v>
      </c>
      <c r="C918" s="1018" t="s">
        <v>1716</v>
      </c>
      <c r="D918" s="1018" t="s">
        <v>1410</v>
      </c>
      <c r="E918" s="1016" t="s">
        <v>1382</v>
      </c>
    </row>
    <row r="919" spans="1:5" x14ac:dyDescent="0.25">
      <c r="A919" s="947">
        <v>918</v>
      </c>
      <c r="B919" s="947" t="s">
        <v>1516</v>
      </c>
      <c r="C919" s="1018" t="s">
        <v>1716</v>
      </c>
      <c r="D919" s="1018" t="s">
        <v>1596</v>
      </c>
      <c r="E919" s="1016" t="s">
        <v>1486</v>
      </c>
    </row>
    <row r="920" spans="1:5" x14ac:dyDescent="0.25">
      <c r="A920" s="947">
        <v>919</v>
      </c>
      <c r="B920" s="947" t="s">
        <v>1516</v>
      </c>
      <c r="C920" s="1018" t="s">
        <v>1716</v>
      </c>
      <c r="D920" s="1018" t="s">
        <v>1596</v>
      </c>
      <c r="E920" s="1016" t="s">
        <v>1487</v>
      </c>
    </row>
    <row r="921" spans="1:5" x14ac:dyDescent="0.25">
      <c r="A921" s="947">
        <v>920</v>
      </c>
      <c r="B921" s="947" t="s">
        <v>1516</v>
      </c>
      <c r="C921" s="1018" t="s">
        <v>1716</v>
      </c>
      <c r="D921" s="1018" t="s">
        <v>1410</v>
      </c>
      <c r="E921" s="1016" t="s">
        <v>1488</v>
      </c>
    </row>
    <row r="922" spans="1:5" ht="30" x14ac:dyDescent="0.25">
      <c r="A922" s="947">
        <v>921</v>
      </c>
      <c r="B922" s="947" t="s">
        <v>1516</v>
      </c>
      <c r="C922" s="1018" t="s">
        <v>1716</v>
      </c>
      <c r="D922" s="1018" t="s">
        <v>1544</v>
      </c>
      <c r="E922" s="1016" t="s">
        <v>1385</v>
      </c>
    </row>
    <row r="923" spans="1:5" ht="30" x14ac:dyDescent="0.25">
      <c r="A923" s="947">
        <v>922</v>
      </c>
      <c r="B923" s="947" t="s">
        <v>1516</v>
      </c>
      <c r="C923" s="1018" t="s">
        <v>1716</v>
      </c>
      <c r="D923" s="1018" t="s">
        <v>1544</v>
      </c>
      <c r="E923" s="1016" t="s">
        <v>1386</v>
      </c>
    </row>
    <row r="924" spans="1:5" ht="30" x14ac:dyDescent="0.25">
      <c r="A924" s="947">
        <v>923</v>
      </c>
      <c r="B924" s="947" t="s">
        <v>1516</v>
      </c>
      <c r="C924" s="1018" t="s">
        <v>1716</v>
      </c>
      <c r="D924" s="1018" t="s">
        <v>1544</v>
      </c>
      <c r="E924" s="1016" t="s">
        <v>1495</v>
      </c>
    </row>
    <row r="925" spans="1:5" x14ac:dyDescent="0.25">
      <c r="A925" s="947">
        <v>924</v>
      </c>
      <c r="B925" s="947" t="s">
        <v>1516</v>
      </c>
      <c r="C925" s="1018" t="s">
        <v>1716</v>
      </c>
      <c r="D925" s="1018" t="s">
        <v>1410</v>
      </c>
      <c r="E925" s="1016" t="s">
        <v>1492</v>
      </c>
    </row>
    <row r="926" spans="1:5" x14ac:dyDescent="0.25">
      <c r="A926" s="947">
        <v>925</v>
      </c>
      <c r="B926" s="947" t="s">
        <v>1516</v>
      </c>
      <c r="C926" s="1018" t="s">
        <v>1716</v>
      </c>
      <c r="D926" s="1018" t="s">
        <v>1596</v>
      </c>
      <c r="E926" s="1016" t="s">
        <v>1506</v>
      </c>
    </row>
    <row r="927" spans="1:5" x14ac:dyDescent="0.25">
      <c r="A927" s="947">
        <v>926</v>
      </c>
      <c r="B927" s="947" t="s">
        <v>1516</v>
      </c>
      <c r="C927" s="1018" t="s">
        <v>1717</v>
      </c>
      <c r="D927" s="1018" t="s">
        <v>1596</v>
      </c>
      <c r="E927" s="1016" t="s">
        <v>1387</v>
      </c>
    </row>
    <row r="928" spans="1:5" x14ac:dyDescent="0.25">
      <c r="A928" s="947">
        <v>927</v>
      </c>
      <c r="B928" s="947" t="s">
        <v>1516</v>
      </c>
      <c r="C928" s="1018" t="s">
        <v>1717</v>
      </c>
      <c r="D928" s="1018" t="s">
        <v>1596</v>
      </c>
      <c r="E928" s="1016" t="s">
        <v>1388</v>
      </c>
    </row>
    <row r="929" spans="1:5" x14ac:dyDescent="0.25">
      <c r="A929" s="947">
        <v>928</v>
      </c>
      <c r="B929" s="947" t="s">
        <v>1516</v>
      </c>
      <c r="C929" s="1018" t="s">
        <v>1717</v>
      </c>
      <c r="D929" s="1018" t="s">
        <v>1596</v>
      </c>
      <c r="E929" s="1016" t="s">
        <v>1104</v>
      </c>
    </row>
    <row r="930" spans="1:5" x14ac:dyDescent="0.25">
      <c r="A930" s="947">
        <v>929</v>
      </c>
      <c r="B930" s="947" t="s">
        <v>1516</v>
      </c>
      <c r="C930" s="1018" t="s">
        <v>1716</v>
      </c>
      <c r="D930" s="1018" t="s">
        <v>1596</v>
      </c>
      <c r="E930" s="1016" t="s">
        <v>1508</v>
      </c>
    </row>
    <row r="931" spans="1:5" x14ac:dyDescent="0.25">
      <c r="A931" s="947">
        <v>930</v>
      </c>
      <c r="B931" s="947" t="s">
        <v>1516</v>
      </c>
      <c r="C931" s="1018" t="s">
        <v>1718</v>
      </c>
      <c r="D931" s="1018" t="s">
        <v>1596</v>
      </c>
      <c r="E931" s="1016" t="s">
        <v>1491</v>
      </c>
    </row>
    <row r="932" spans="1:5" x14ac:dyDescent="0.25">
      <c r="A932" s="947">
        <v>931</v>
      </c>
      <c r="B932" s="947" t="s">
        <v>1516</v>
      </c>
      <c r="C932" s="1018" t="s">
        <v>1718</v>
      </c>
      <c r="D932" s="1018" t="s">
        <v>1596</v>
      </c>
      <c r="E932" s="1016" t="s">
        <v>1705</v>
      </c>
    </row>
    <row r="933" spans="1:5" x14ac:dyDescent="0.25">
      <c r="A933" s="947">
        <v>932</v>
      </c>
      <c r="B933" s="947" t="s">
        <v>1516</v>
      </c>
      <c r="C933" s="1018" t="s">
        <v>1718</v>
      </c>
      <c r="D933" s="1018" t="s">
        <v>1596</v>
      </c>
      <c r="E933" s="1016" t="s">
        <v>1383</v>
      </c>
    </row>
    <row r="934" spans="1:5" x14ac:dyDescent="0.25">
      <c r="A934" s="947">
        <v>933</v>
      </c>
      <c r="B934" s="947" t="s">
        <v>1516</v>
      </c>
      <c r="C934" s="1018" t="s">
        <v>1718</v>
      </c>
      <c r="D934" s="1018" t="s">
        <v>1596</v>
      </c>
      <c r="E934" s="1016" t="s">
        <v>1380</v>
      </c>
    </row>
    <row r="935" spans="1:5" x14ac:dyDescent="0.25">
      <c r="A935" s="947">
        <v>934</v>
      </c>
      <c r="B935" s="947" t="s">
        <v>1516</v>
      </c>
      <c r="C935" s="1018" t="s">
        <v>1718</v>
      </c>
      <c r="D935" s="1018" t="s">
        <v>1596</v>
      </c>
      <c r="E935" s="1016" t="s">
        <v>1381</v>
      </c>
    </row>
    <row r="936" spans="1:5" x14ac:dyDescent="0.25">
      <c r="A936" s="947">
        <v>935</v>
      </c>
      <c r="B936" s="947" t="s">
        <v>1516</v>
      </c>
      <c r="C936" s="1018" t="s">
        <v>1718</v>
      </c>
      <c r="D936" s="1018" t="s">
        <v>1596</v>
      </c>
      <c r="E936" s="1016" t="s">
        <v>1397</v>
      </c>
    </row>
    <row r="937" spans="1:5" x14ac:dyDescent="0.25">
      <c r="A937" s="947">
        <v>936</v>
      </c>
      <c r="B937" s="947" t="s">
        <v>1516</v>
      </c>
      <c r="C937" s="1018" t="s">
        <v>1718</v>
      </c>
      <c r="D937" s="1018" t="s">
        <v>1410</v>
      </c>
      <c r="E937" s="1016" t="s">
        <v>1382</v>
      </c>
    </row>
    <row r="938" spans="1:5" x14ac:dyDescent="0.25">
      <c r="A938" s="947">
        <v>937</v>
      </c>
      <c r="B938" s="947" t="s">
        <v>1516</v>
      </c>
      <c r="C938" s="1018" t="s">
        <v>1718</v>
      </c>
      <c r="D938" s="1018" t="s">
        <v>1596</v>
      </c>
      <c r="E938" s="1016" t="s">
        <v>1486</v>
      </c>
    </row>
    <row r="939" spans="1:5" x14ac:dyDescent="0.25">
      <c r="A939" s="947">
        <v>938</v>
      </c>
      <c r="B939" s="947" t="s">
        <v>1516</v>
      </c>
      <c r="C939" s="1018" t="s">
        <v>1718</v>
      </c>
      <c r="D939" s="1018" t="s">
        <v>1596</v>
      </c>
      <c r="E939" s="1016" t="s">
        <v>1487</v>
      </c>
    </row>
    <row r="940" spans="1:5" x14ac:dyDescent="0.25">
      <c r="A940" s="947">
        <v>939</v>
      </c>
      <c r="B940" s="947" t="s">
        <v>1516</v>
      </c>
      <c r="C940" s="1018" t="s">
        <v>1718</v>
      </c>
      <c r="D940" s="1018" t="s">
        <v>1410</v>
      </c>
      <c r="E940" s="1016" t="s">
        <v>1488</v>
      </c>
    </row>
    <row r="941" spans="1:5" ht="30" x14ac:dyDescent="0.25">
      <c r="A941" s="947">
        <v>940</v>
      </c>
      <c r="B941" s="947" t="s">
        <v>1516</v>
      </c>
      <c r="C941" s="1018" t="s">
        <v>1718</v>
      </c>
      <c r="D941" s="1018" t="s">
        <v>1544</v>
      </c>
      <c r="E941" s="1016" t="s">
        <v>1385</v>
      </c>
    </row>
    <row r="942" spans="1:5" ht="30" x14ac:dyDescent="0.25">
      <c r="A942" s="947">
        <v>941</v>
      </c>
      <c r="B942" s="947" t="s">
        <v>1516</v>
      </c>
      <c r="C942" s="1018" t="s">
        <v>1718</v>
      </c>
      <c r="D942" s="1018" t="s">
        <v>1544</v>
      </c>
      <c r="E942" s="1016" t="s">
        <v>1386</v>
      </c>
    </row>
    <row r="943" spans="1:5" ht="30" x14ac:dyDescent="0.25">
      <c r="A943" s="947">
        <v>942</v>
      </c>
      <c r="B943" s="947" t="s">
        <v>1516</v>
      </c>
      <c r="C943" s="1018" t="s">
        <v>1718</v>
      </c>
      <c r="D943" s="1018" t="s">
        <v>1544</v>
      </c>
      <c r="E943" s="1016" t="s">
        <v>1495</v>
      </c>
    </row>
    <row r="944" spans="1:5" x14ac:dyDescent="0.25">
      <c r="A944" s="947">
        <v>943</v>
      </c>
      <c r="B944" s="947" t="s">
        <v>1516</v>
      </c>
      <c r="C944" s="1018" t="s">
        <v>1718</v>
      </c>
      <c r="D944" s="1018" t="s">
        <v>1410</v>
      </c>
      <c r="E944" s="1016" t="s">
        <v>1492</v>
      </c>
    </row>
    <row r="945" spans="1:5" x14ac:dyDescent="0.25">
      <c r="A945" s="947">
        <v>944</v>
      </c>
      <c r="B945" s="947" t="s">
        <v>1516</v>
      </c>
      <c r="C945" s="1018" t="s">
        <v>1718</v>
      </c>
      <c r="D945" s="1018" t="s">
        <v>1596</v>
      </c>
      <c r="E945" s="1016" t="s">
        <v>1506</v>
      </c>
    </row>
    <row r="946" spans="1:5" x14ac:dyDescent="0.25">
      <c r="A946" s="947">
        <v>945</v>
      </c>
      <c r="B946" s="947" t="s">
        <v>1516</v>
      </c>
      <c r="C946" s="1018" t="s">
        <v>1719</v>
      </c>
      <c r="D946" s="1018" t="s">
        <v>1596</v>
      </c>
      <c r="E946" s="1016" t="s">
        <v>1387</v>
      </c>
    </row>
    <row r="947" spans="1:5" x14ac:dyDescent="0.25">
      <c r="A947" s="947">
        <v>946</v>
      </c>
      <c r="B947" s="947" t="s">
        <v>1516</v>
      </c>
      <c r="C947" s="1018" t="s">
        <v>1719</v>
      </c>
      <c r="D947" s="1018" t="s">
        <v>1596</v>
      </c>
      <c r="E947" s="1016" t="s">
        <v>1388</v>
      </c>
    </row>
    <row r="948" spans="1:5" x14ac:dyDescent="0.25">
      <c r="A948" s="947">
        <v>947</v>
      </c>
      <c r="B948" s="947" t="s">
        <v>1516</v>
      </c>
      <c r="C948" s="1018" t="s">
        <v>1719</v>
      </c>
      <c r="D948" s="1018" t="s">
        <v>1596</v>
      </c>
      <c r="E948" s="1016" t="s">
        <v>1104</v>
      </c>
    </row>
    <row r="949" spans="1:5" x14ac:dyDescent="0.25">
      <c r="A949" s="947">
        <v>948</v>
      </c>
      <c r="B949" s="947" t="s">
        <v>1516</v>
      </c>
      <c r="C949" s="1018" t="s">
        <v>1718</v>
      </c>
      <c r="D949" s="1018" t="s">
        <v>1596</v>
      </c>
      <c r="E949" s="1016" t="s">
        <v>1508</v>
      </c>
    </row>
    <row r="950" spans="1:5" x14ac:dyDescent="0.25">
      <c r="A950" s="947">
        <v>949</v>
      </c>
      <c r="B950" s="947" t="s">
        <v>1516</v>
      </c>
      <c r="C950" s="1018" t="s">
        <v>1720</v>
      </c>
      <c r="D950" s="1018" t="s">
        <v>1596</v>
      </c>
      <c r="E950" s="1016" t="s">
        <v>1491</v>
      </c>
    </row>
    <row r="951" spans="1:5" x14ac:dyDescent="0.25">
      <c r="A951" s="947">
        <v>950</v>
      </c>
      <c r="B951" s="947" t="s">
        <v>1516</v>
      </c>
      <c r="C951" s="1018" t="s">
        <v>1720</v>
      </c>
      <c r="D951" s="1018" t="s">
        <v>1596</v>
      </c>
      <c r="E951" s="1016" t="s">
        <v>1705</v>
      </c>
    </row>
    <row r="952" spans="1:5" x14ac:dyDescent="0.25">
      <c r="A952" s="947">
        <v>951</v>
      </c>
      <c r="B952" s="947" t="s">
        <v>1516</v>
      </c>
      <c r="C952" s="1018" t="s">
        <v>1720</v>
      </c>
      <c r="D952" s="1018" t="s">
        <v>1596</v>
      </c>
      <c r="E952" s="1016" t="s">
        <v>1383</v>
      </c>
    </row>
    <row r="953" spans="1:5" x14ac:dyDescent="0.25">
      <c r="A953" s="947">
        <v>952</v>
      </c>
      <c r="B953" s="947" t="s">
        <v>1516</v>
      </c>
      <c r="C953" s="1018" t="s">
        <v>1720</v>
      </c>
      <c r="D953" s="1018" t="s">
        <v>1596</v>
      </c>
      <c r="E953" s="1016" t="s">
        <v>1380</v>
      </c>
    </row>
    <row r="954" spans="1:5" x14ac:dyDescent="0.25">
      <c r="A954" s="947">
        <v>953</v>
      </c>
      <c r="B954" s="947" t="s">
        <v>1516</v>
      </c>
      <c r="C954" s="1018" t="s">
        <v>1720</v>
      </c>
      <c r="D954" s="1018" t="s">
        <v>1596</v>
      </c>
      <c r="E954" s="1016" t="s">
        <v>1381</v>
      </c>
    </row>
    <row r="955" spans="1:5" x14ac:dyDescent="0.25">
      <c r="A955" s="947">
        <v>954</v>
      </c>
      <c r="B955" s="947" t="s">
        <v>1516</v>
      </c>
      <c r="C955" s="1018" t="s">
        <v>1720</v>
      </c>
      <c r="D955" s="1018" t="s">
        <v>1596</v>
      </c>
      <c r="E955" s="1016" t="s">
        <v>1397</v>
      </c>
    </row>
    <row r="956" spans="1:5" x14ac:dyDescent="0.25">
      <c r="A956" s="947">
        <v>955</v>
      </c>
      <c r="B956" s="947" t="s">
        <v>1516</v>
      </c>
      <c r="C956" s="1018" t="s">
        <v>1720</v>
      </c>
      <c r="D956" s="1018" t="s">
        <v>1410</v>
      </c>
      <c r="E956" s="1016" t="s">
        <v>1382</v>
      </c>
    </row>
    <row r="957" spans="1:5" x14ac:dyDescent="0.25">
      <c r="A957" s="947">
        <v>956</v>
      </c>
      <c r="B957" s="947" t="s">
        <v>1516</v>
      </c>
      <c r="C957" s="1018" t="s">
        <v>1720</v>
      </c>
      <c r="D957" s="1018" t="s">
        <v>1596</v>
      </c>
      <c r="E957" s="1016" t="s">
        <v>1486</v>
      </c>
    </row>
    <row r="958" spans="1:5" x14ac:dyDescent="0.25">
      <c r="A958" s="947">
        <v>957</v>
      </c>
      <c r="B958" s="947" t="s">
        <v>1516</v>
      </c>
      <c r="C958" s="1018" t="s">
        <v>1720</v>
      </c>
      <c r="D958" s="1018" t="s">
        <v>1596</v>
      </c>
      <c r="E958" s="1016" t="s">
        <v>1487</v>
      </c>
    </row>
    <row r="959" spans="1:5" x14ac:dyDescent="0.25">
      <c r="A959" s="947">
        <v>958</v>
      </c>
      <c r="B959" s="947" t="s">
        <v>1516</v>
      </c>
      <c r="C959" s="1018" t="s">
        <v>1720</v>
      </c>
      <c r="D959" s="1018" t="s">
        <v>1410</v>
      </c>
      <c r="E959" s="1016" t="s">
        <v>1488</v>
      </c>
    </row>
    <row r="960" spans="1:5" ht="30" x14ac:dyDescent="0.25">
      <c r="A960" s="947">
        <v>959</v>
      </c>
      <c r="B960" s="947" t="s">
        <v>1516</v>
      </c>
      <c r="C960" s="1018" t="s">
        <v>1720</v>
      </c>
      <c r="D960" s="1018" t="s">
        <v>1544</v>
      </c>
      <c r="E960" s="1016" t="s">
        <v>1385</v>
      </c>
    </row>
    <row r="961" spans="1:5" ht="30" x14ac:dyDescent="0.25">
      <c r="A961" s="947">
        <v>960</v>
      </c>
      <c r="B961" s="947" t="s">
        <v>1516</v>
      </c>
      <c r="C961" s="1018" t="s">
        <v>1720</v>
      </c>
      <c r="D961" s="1018" t="s">
        <v>1544</v>
      </c>
      <c r="E961" s="1016" t="s">
        <v>1386</v>
      </c>
    </row>
    <row r="962" spans="1:5" ht="30" x14ac:dyDescent="0.25">
      <c r="A962" s="947">
        <v>961</v>
      </c>
      <c r="B962" s="947" t="s">
        <v>1516</v>
      </c>
      <c r="C962" s="1018" t="s">
        <v>1720</v>
      </c>
      <c r="D962" s="1018" t="s">
        <v>1544</v>
      </c>
      <c r="E962" s="1016" t="s">
        <v>1495</v>
      </c>
    </row>
    <row r="963" spans="1:5" x14ac:dyDescent="0.25">
      <c r="A963" s="947">
        <v>962</v>
      </c>
      <c r="B963" s="947" t="s">
        <v>1516</v>
      </c>
      <c r="C963" s="1018" t="s">
        <v>1720</v>
      </c>
      <c r="D963" s="1018" t="s">
        <v>1410</v>
      </c>
      <c r="E963" s="1016" t="s">
        <v>1492</v>
      </c>
    </row>
    <row r="964" spans="1:5" x14ac:dyDescent="0.25">
      <c r="A964" s="947">
        <v>963</v>
      </c>
      <c r="B964" s="947" t="s">
        <v>1516</v>
      </c>
      <c r="C964" s="1018" t="s">
        <v>1720</v>
      </c>
      <c r="D964" s="1018" t="s">
        <v>1596</v>
      </c>
      <c r="E964" s="1016" t="s">
        <v>1506</v>
      </c>
    </row>
    <row r="965" spans="1:5" x14ac:dyDescent="0.25">
      <c r="A965" s="947">
        <v>964</v>
      </c>
      <c r="B965" s="947" t="s">
        <v>1516</v>
      </c>
      <c r="C965" s="1018" t="s">
        <v>1721</v>
      </c>
      <c r="D965" s="1018" t="s">
        <v>1596</v>
      </c>
      <c r="E965" s="1016" t="s">
        <v>1387</v>
      </c>
    </row>
    <row r="966" spans="1:5" x14ac:dyDescent="0.25">
      <c r="A966" s="947">
        <v>965</v>
      </c>
      <c r="B966" s="947" t="s">
        <v>1516</v>
      </c>
      <c r="C966" s="1018" t="s">
        <v>1721</v>
      </c>
      <c r="D966" s="1018" t="s">
        <v>1596</v>
      </c>
      <c r="E966" s="1016" t="s">
        <v>1388</v>
      </c>
    </row>
    <row r="967" spans="1:5" x14ac:dyDescent="0.25">
      <c r="A967" s="947">
        <v>966</v>
      </c>
      <c r="B967" s="947" t="s">
        <v>1516</v>
      </c>
      <c r="C967" s="1018" t="s">
        <v>1721</v>
      </c>
      <c r="D967" s="1018" t="s">
        <v>1596</v>
      </c>
      <c r="E967" s="1016" t="s">
        <v>1104</v>
      </c>
    </row>
    <row r="968" spans="1:5" x14ac:dyDescent="0.25">
      <c r="A968" s="947">
        <v>967</v>
      </c>
      <c r="B968" s="947" t="s">
        <v>1516</v>
      </c>
      <c r="C968" s="1018" t="s">
        <v>1720</v>
      </c>
      <c r="D968" s="1018" t="s">
        <v>1596</v>
      </c>
      <c r="E968" s="1016" t="s">
        <v>1508</v>
      </c>
    </row>
    <row r="969" spans="1:5" x14ac:dyDescent="0.25">
      <c r="A969" s="947">
        <v>968</v>
      </c>
      <c r="B969" s="947" t="s">
        <v>1516</v>
      </c>
      <c r="C969" s="1018" t="s">
        <v>1664</v>
      </c>
      <c r="D969" s="1018" t="s">
        <v>1663</v>
      </c>
      <c r="E969" s="947" t="s">
        <v>1491</v>
      </c>
    </row>
    <row r="970" spans="1:5" x14ac:dyDescent="0.25">
      <c r="A970" s="947">
        <v>969</v>
      </c>
      <c r="B970" s="947" t="s">
        <v>1516</v>
      </c>
      <c r="C970" s="1018" t="s">
        <v>1664</v>
      </c>
      <c r="D970" s="1018" t="s">
        <v>1663</v>
      </c>
      <c r="E970" s="947" t="s">
        <v>1705</v>
      </c>
    </row>
    <row r="971" spans="1:5" x14ac:dyDescent="0.25">
      <c r="A971" s="947">
        <v>970</v>
      </c>
      <c r="B971" s="947" t="s">
        <v>1516</v>
      </c>
      <c r="C971" s="1018" t="s">
        <v>1664</v>
      </c>
      <c r="D971" s="1018" t="s">
        <v>1663</v>
      </c>
      <c r="E971" s="947" t="s">
        <v>1383</v>
      </c>
    </row>
    <row r="972" spans="1:5" x14ac:dyDescent="0.25">
      <c r="A972" s="947">
        <v>971</v>
      </c>
      <c r="B972" s="947" t="s">
        <v>1516</v>
      </c>
      <c r="C972" s="1018" t="s">
        <v>1664</v>
      </c>
      <c r="D972" s="1018" t="s">
        <v>1663</v>
      </c>
      <c r="E972" s="947" t="s">
        <v>1380</v>
      </c>
    </row>
    <row r="973" spans="1:5" x14ac:dyDescent="0.25">
      <c r="A973" s="947">
        <v>972</v>
      </c>
      <c r="B973" s="947" t="s">
        <v>1516</v>
      </c>
      <c r="C973" s="1018" t="s">
        <v>1664</v>
      </c>
      <c r="D973" s="1018" t="s">
        <v>1663</v>
      </c>
      <c r="E973" s="947" t="s">
        <v>1381</v>
      </c>
    </row>
    <row r="974" spans="1:5" x14ac:dyDescent="0.25">
      <c r="A974" s="947">
        <v>973</v>
      </c>
      <c r="B974" s="947" t="s">
        <v>1516</v>
      </c>
      <c r="C974" s="1018" t="s">
        <v>1664</v>
      </c>
      <c r="D974" s="1018" t="s">
        <v>1663</v>
      </c>
      <c r="E974" s="947" t="s">
        <v>1397</v>
      </c>
    </row>
    <row r="975" spans="1:5" x14ac:dyDescent="0.25">
      <c r="A975" s="947">
        <v>974</v>
      </c>
      <c r="B975" s="947" t="s">
        <v>1516</v>
      </c>
      <c r="C975" s="1018" t="s">
        <v>1664</v>
      </c>
      <c r="D975" s="1018" t="s">
        <v>1410</v>
      </c>
      <c r="E975" s="947" t="s">
        <v>1382</v>
      </c>
    </row>
    <row r="976" spans="1:5" x14ac:dyDescent="0.25">
      <c r="A976" s="947">
        <v>975</v>
      </c>
      <c r="B976" s="947" t="s">
        <v>1516</v>
      </c>
      <c r="C976" s="1018" t="s">
        <v>1664</v>
      </c>
      <c r="D976" s="1018" t="s">
        <v>1663</v>
      </c>
      <c r="E976" s="947" t="s">
        <v>1486</v>
      </c>
    </row>
    <row r="977" spans="1:5" x14ac:dyDescent="0.25">
      <c r="A977" s="947">
        <v>976</v>
      </c>
      <c r="B977" s="947" t="s">
        <v>1516</v>
      </c>
      <c r="C977" s="1018" t="s">
        <v>1664</v>
      </c>
      <c r="D977" s="1018" t="s">
        <v>1663</v>
      </c>
      <c r="E977" s="947" t="s">
        <v>1487</v>
      </c>
    </row>
    <row r="978" spans="1:5" x14ac:dyDescent="0.25">
      <c r="A978" s="947">
        <v>977</v>
      </c>
      <c r="B978" s="947" t="s">
        <v>1516</v>
      </c>
      <c r="C978" s="1018" t="s">
        <v>1664</v>
      </c>
      <c r="D978" s="1018" t="s">
        <v>1410</v>
      </c>
      <c r="E978" s="947" t="s">
        <v>1488</v>
      </c>
    </row>
    <row r="979" spans="1:5" ht="30" x14ac:dyDescent="0.25">
      <c r="A979" s="947">
        <v>978</v>
      </c>
      <c r="B979" s="947" t="s">
        <v>1516</v>
      </c>
      <c r="C979" s="1018" t="s">
        <v>1664</v>
      </c>
      <c r="D979" s="1018" t="s">
        <v>1544</v>
      </c>
      <c r="E979" s="947" t="s">
        <v>1385</v>
      </c>
    </row>
    <row r="980" spans="1:5" ht="30" x14ac:dyDescent="0.25">
      <c r="A980" s="947">
        <v>979</v>
      </c>
      <c r="B980" s="947" t="s">
        <v>1516</v>
      </c>
      <c r="C980" s="1018" t="s">
        <v>1664</v>
      </c>
      <c r="D980" s="1018" t="s">
        <v>1544</v>
      </c>
      <c r="E980" s="947" t="s">
        <v>1386</v>
      </c>
    </row>
    <row r="981" spans="1:5" ht="30" x14ac:dyDescent="0.25">
      <c r="A981" s="947">
        <v>980</v>
      </c>
      <c r="B981" s="947" t="s">
        <v>1516</v>
      </c>
      <c r="C981" s="1018" t="s">
        <v>1664</v>
      </c>
      <c r="D981" s="1018" t="s">
        <v>1544</v>
      </c>
      <c r="E981" s="947" t="s">
        <v>1495</v>
      </c>
    </row>
    <row r="982" spans="1:5" x14ac:dyDescent="0.25">
      <c r="A982" s="947">
        <v>981</v>
      </c>
      <c r="B982" s="947" t="s">
        <v>1516</v>
      </c>
      <c r="C982" s="1018" t="s">
        <v>1664</v>
      </c>
      <c r="D982" s="1018" t="s">
        <v>1410</v>
      </c>
      <c r="E982" s="947" t="s">
        <v>1492</v>
      </c>
    </row>
    <row r="983" spans="1:5" x14ac:dyDescent="0.25">
      <c r="A983" s="947">
        <v>982</v>
      </c>
      <c r="B983" s="947" t="s">
        <v>1516</v>
      </c>
      <c r="C983" s="1018" t="s">
        <v>1664</v>
      </c>
      <c r="D983" s="1018" t="s">
        <v>1663</v>
      </c>
      <c r="E983" s="947" t="s">
        <v>1506</v>
      </c>
    </row>
    <row r="984" spans="1:5" x14ac:dyDescent="0.25">
      <c r="A984" s="947">
        <v>983</v>
      </c>
      <c r="B984" s="947" t="s">
        <v>1516</v>
      </c>
      <c r="C984" s="1018" t="s">
        <v>1665</v>
      </c>
      <c r="D984" s="1018" t="s">
        <v>1663</v>
      </c>
      <c r="E984" s="947" t="s">
        <v>1387</v>
      </c>
    </row>
    <row r="985" spans="1:5" x14ac:dyDescent="0.25">
      <c r="A985" s="947">
        <v>984</v>
      </c>
      <c r="B985" s="947" t="s">
        <v>1516</v>
      </c>
      <c r="C985" s="1018" t="s">
        <v>1665</v>
      </c>
      <c r="D985" s="1018" t="s">
        <v>1663</v>
      </c>
      <c r="E985" s="947" t="s">
        <v>1388</v>
      </c>
    </row>
    <row r="986" spans="1:5" x14ac:dyDescent="0.25">
      <c r="A986" s="947">
        <v>985</v>
      </c>
      <c r="B986" s="947" t="s">
        <v>1516</v>
      </c>
      <c r="C986" s="1018" t="s">
        <v>1665</v>
      </c>
      <c r="D986" s="1018" t="s">
        <v>1663</v>
      </c>
      <c r="E986" s="947" t="s">
        <v>1104</v>
      </c>
    </row>
    <row r="987" spans="1:5" x14ac:dyDescent="0.25">
      <c r="A987" s="947">
        <v>986</v>
      </c>
      <c r="B987" s="947" t="s">
        <v>1516</v>
      </c>
      <c r="C987" s="1018" t="s">
        <v>1667</v>
      </c>
      <c r="D987" s="1018" t="s">
        <v>1666</v>
      </c>
      <c r="E987" s="947" t="s">
        <v>1491</v>
      </c>
    </row>
    <row r="988" spans="1:5" x14ac:dyDescent="0.25">
      <c r="A988" s="947">
        <v>987</v>
      </c>
      <c r="B988" s="947" t="s">
        <v>1516</v>
      </c>
      <c r="C988" s="1018" t="s">
        <v>1667</v>
      </c>
      <c r="D988" s="1018" t="s">
        <v>1666</v>
      </c>
      <c r="E988" s="947" t="s">
        <v>1705</v>
      </c>
    </row>
    <row r="989" spans="1:5" x14ac:dyDescent="0.25">
      <c r="A989" s="947">
        <v>988</v>
      </c>
      <c r="B989" s="947" t="s">
        <v>1516</v>
      </c>
      <c r="C989" s="1018" t="s">
        <v>1667</v>
      </c>
      <c r="D989" s="1018" t="s">
        <v>1666</v>
      </c>
      <c r="E989" s="947" t="s">
        <v>1383</v>
      </c>
    </row>
    <row r="990" spans="1:5" x14ac:dyDescent="0.25">
      <c r="A990" s="947">
        <v>989</v>
      </c>
      <c r="B990" s="947" t="s">
        <v>1516</v>
      </c>
      <c r="C990" s="1018" t="s">
        <v>1667</v>
      </c>
      <c r="D990" s="1018" t="s">
        <v>1666</v>
      </c>
      <c r="E990" s="947" t="s">
        <v>1381</v>
      </c>
    </row>
    <row r="991" spans="1:5" x14ac:dyDescent="0.25">
      <c r="A991" s="947">
        <v>990</v>
      </c>
      <c r="B991" s="947" t="s">
        <v>1516</v>
      </c>
      <c r="C991" s="1018" t="s">
        <v>1667</v>
      </c>
      <c r="D991" s="1018" t="s">
        <v>1666</v>
      </c>
      <c r="E991" s="947" t="s">
        <v>1397</v>
      </c>
    </row>
    <row r="992" spans="1:5" x14ac:dyDescent="0.25">
      <c r="A992" s="947">
        <v>991</v>
      </c>
      <c r="B992" s="947" t="s">
        <v>1516</v>
      </c>
      <c r="C992" s="1018" t="s">
        <v>1667</v>
      </c>
      <c r="D992" s="1018" t="s">
        <v>1410</v>
      </c>
      <c r="E992" s="947" t="s">
        <v>1382</v>
      </c>
    </row>
    <row r="993" spans="1:5" ht="30" x14ac:dyDescent="0.25">
      <c r="A993" s="947">
        <v>992</v>
      </c>
      <c r="B993" s="947" t="s">
        <v>1516</v>
      </c>
      <c r="C993" s="1018" t="s">
        <v>1667</v>
      </c>
      <c r="D993" s="1018" t="s">
        <v>1544</v>
      </c>
      <c r="E993" s="947" t="s">
        <v>1385</v>
      </c>
    </row>
    <row r="994" spans="1:5" ht="30" x14ac:dyDescent="0.25">
      <c r="A994" s="947">
        <v>993</v>
      </c>
      <c r="B994" s="947" t="s">
        <v>1516</v>
      </c>
      <c r="C994" s="1018" t="s">
        <v>1667</v>
      </c>
      <c r="D994" s="1018" t="s">
        <v>1544</v>
      </c>
      <c r="E994" s="947" t="s">
        <v>1386</v>
      </c>
    </row>
    <row r="995" spans="1:5" ht="30" x14ac:dyDescent="0.25">
      <c r="A995" s="947">
        <v>994</v>
      </c>
      <c r="B995" s="947" t="s">
        <v>1516</v>
      </c>
      <c r="C995" s="1018" t="s">
        <v>1667</v>
      </c>
      <c r="D995" s="1018" t="s">
        <v>1544</v>
      </c>
      <c r="E995" s="947" t="s">
        <v>1495</v>
      </c>
    </row>
    <row r="996" spans="1:5" x14ac:dyDescent="0.25">
      <c r="A996" s="947">
        <v>995</v>
      </c>
      <c r="B996" s="947" t="s">
        <v>1516</v>
      </c>
      <c r="C996" s="1018" t="s">
        <v>1667</v>
      </c>
      <c r="D996" s="1018" t="s">
        <v>1410</v>
      </c>
      <c r="E996" s="947" t="s">
        <v>1492</v>
      </c>
    </row>
    <row r="997" spans="1:5" x14ac:dyDescent="0.25">
      <c r="A997" s="947">
        <v>996</v>
      </c>
      <c r="B997" s="947" t="s">
        <v>1516</v>
      </c>
      <c r="C997" s="1018" t="s">
        <v>1667</v>
      </c>
      <c r="D997" s="1018" t="s">
        <v>1410</v>
      </c>
      <c r="E997" s="947" t="s">
        <v>1396</v>
      </c>
    </row>
    <row r="998" spans="1:5" x14ac:dyDescent="0.25">
      <c r="A998" s="947">
        <v>997</v>
      </c>
      <c r="B998" s="947" t="s">
        <v>1516</v>
      </c>
      <c r="C998" s="1018" t="s">
        <v>1668</v>
      </c>
      <c r="D998" s="1018" t="s">
        <v>1666</v>
      </c>
      <c r="E998" s="947" t="s">
        <v>1491</v>
      </c>
    </row>
    <row r="999" spans="1:5" x14ac:dyDescent="0.25">
      <c r="A999" s="947">
        <v>998</v>
      </c>
      <c r="B999" s="947" t="s">
        <v>1516</v>
      </c>
      <c r="C999" s="1018" t="s">
        <v>1668</v>
      </c>
      <c r="D999" s="1018" t="s">
        <v>1666</v>
      </c>
      <c r="E999" s="947" t="s">
        <v>1705</v>
      </c>
    </row>
    <row r="1000" spans="1:5" x14ac:dyDescent="0.25">
      <c r="A1000" s="947">
        <v>999</v>
      </c>
      <c r="B1000" s="947" t="s">
        <v>1516</v>
      </c>
      <c r="C1000" s="1018" t="s">
        <v>1668</v>
      </c>
      <c r="D1000" s="1018" t="s">
        <v>1666</v>
      </c>
      <c r="E1000" s="947" t="s">
        <v>1383</v>
      </c>
    </row>
    <row r="1001" spans="1:5" x14ac:dyDescent="0.25">
      <c r="A1001" s="947">
        <v>1000</v>
      </c>
      <c r="B1001" s="947" t="s">
        <v>1516</v>
      </c>
      <c r="C1001" s="1018" t="s">
        <v>1668</v>
      </c>
      <c r="D1001" s="1018" t="s">
        <v>1666</v>
      </c>
      <c r="E1001" s="947" t="s">
        <v>1381</v>
      </c>
    </row>
    <row r="1002" spans="1:5" x14ac:dyDescent="0.25">
      <c r="A1002" s="947">
        <v>1001</v>
      </c>
      <c r="B1002" s="947" t="s">
        <v>1516</v>
      </c>
      <c r="C1002" s="1018" t="s">
        <v>1668</v>
      </c>
      <c r="D1002" s="1018" t="s">
        <v>1666</v>
      </c>
      <c r="E1002" s="947" t="s">
        <v>1397</v>
      </c>
    </row>
    <row r="1003" spans="1:5" x14ac:dyDescent="0.25">
      <c r="A1003" s="947">
        <v>1002</v>
      </c>
      <c r="B1003" s="947" t="s">
        <v>1516</v>
      </c>
      <c r="C1003" s="1018" t="s">
        <v>1668</v>
      </c>
      <c r="D1003" s="1018" t="s">
        <v>1410</v>
      </c>
      <c r="E1003" s="947" t="s">
        <v>1382</v>
      </c>
    </row>
    <row r="1004" spans="1:5" ht="30" x14ac:dyDescent="0.25">
      <c r="A1004" s="947">
        <v>1003</v>
      </c>
      <c r="B1004" s="947" t="s">
        <v>1516</v>
      </c>
      <c r="C1004" s="1018" t="s">
        <v>1668</v>
      </c>
      <c r="D1004" s="1018" t="s">
        <v>1544</v>
      </c>
      <c r="E1004" s="947" t="s">
        <v>1385</v>
      </c>
    </row>
    <row r="1005" spans="1:5" ht="30" x14ac:dyDescent="0.25">
      <c r="A1005" s="947">
        <v>1004</v>
      </c>
      <c r="B1005" s="947" t="s">
        <v>1516</v>
      </c>
      <c r="C1005" s="1018" t="s">
        <v>1668</v>
      </c>
      <c r="D1005" s="1018" t="s">
        <v>1544</v>
      </c>
      <c r="E1005" s="947" t="s">
        <v>1386</v>
      </c>
    </row>
    <row r="1006" spans="1:5" ht="30" x14ac:dyDescent="0.25">
      <c r="A1006" s="947">
        <v>1005</v>
      </c>
      <c r="B1006" s="947" t="s">
        <v>1516</v>
      </c>
      <c r="C1006" s="1018" t="s">
        <v>1668</v>
      </c>
      <c r="D1006" s="1018" t="s">
        <v>1544</v>
      </c>
      <c r="E1006" s="947" t="s">
        <v>1495</v>
      </c>
    </row>
    <row r="1007" spans="1:5" x14ac:dyDescent="0.25">
      <c r="A1007" s="947">
        <v>1006</v>
      </c>
      <c r="B1007" s="947" t="s">
        <v>1516</v>
      </c>
      <c r="C1007" s="1018" t="s">
        <v>1668</v>
      </c>
      <c r="D1007" s="1018" t="s">
        <v>1410</v>
      </c>
      <c r="E1007" s="947" t="s">
        <v>1492</v>
      </c>
    </row>
    <row r="1008" spans="1:5" x14ac:dyDescent="0.25">
      <c r="A1008" s="947">
        <v>1007</v>
      </c>
      <c r="B1008" s="947" t="s">
        <v>1516</v>
      </c>
      <c r="C1008" s="1018" t="s">
        <v>1668</v>
      </c>
      <c r="D1008" s="1018" t="s">
        <v>1410</v>
      </c>
      <c r="E1008" s="947" t="s">
        <v>1396</v>
      </c>
    </row>
    <row r="1009" spans="1:5" x14ac:dyDescent="0.25">
      <c r="A1009" s="947">
        <v>1008</v>
      </c>
      <c r="B1009" s="947" t="s">
        <v>1516</v>
      </c>
      <c r="C1009" s="1018" t="s">
        <v>1669</v>
      </c>
      <c r="D1009" s="1018" t="s">
        <v>2106</v>
      </c>
      <c r="E1009" s="947" t="s">
        <v>1491</v>
      </c>
    </row>
    <row r="1010" spans="1:5" x14ac:dyDescent="0.25">
      <c r="A1010" s="947">
        <v>1009</v>
      </c>
      <c r="B1010" s="947" t="s">
        <v>1516</v>
      </c>
      <c r="C1010" s="1018" t="s">
        <v>1669</v>
      </c>
      <c r="D1010" s="1018" t="s">
        <v>2106</v>
      </c>
      <c r="E1010" s="947" t="s">
        <v>1705</v>
      </c>
    </row>
    <row r="1011" spans="1:5" x14ac:dyDescent="0.25">
      <c r="A1011" s="947">
        <v>1010</v>
      </c>
      <c r="B1011" s="947" t="s">
        <v>1516</v>
      </c>
      <c r="C1011" s="1018" t="s">
        <v>1669</v>
      </c>
      <c r="D1011" s="1018" t="s">
        <v>2106</v>
      </c>
      <c r="E1011" s="947" t="s">
        <v>1383</v>
      </c>
    </row>
    <row r="1012" spans="1:5" x14ac:dyDescent="0.25">
      <c r="A1012" s="947">
        <v>1011</v>
      </c>
      <c r="B1012" s="947" t="s">
        <v>1516</v>
      </c>
      <c r="C1012" s="1018" t="s">
        <v>1669</v>
      </c>
      <c r="D1012" s="1018" t="s">
        <v>2106</v>
      </c>
      <c r="E1012" s="947" t="s">
        <v>1381</v>
      </c>
    </row>
    <row r="1013" spans="1:5" x14ac:dyDescent="0.25">
      <c r="A1013" s="947">
        <v>1012</v>
      </c>
      <c r="B1013" s="947" t="s">
        <v>1516</v>
      </c>
      <c r="C1013" s="1018" t="s">
        <v>1669</v>
      </c>
      <c r="D1013" s="1018" t="s">
        <v>2106</v>
      </c>
      <c r="E1013" s="947" t="s">
        <v>1397</v>
      </c>
    </row>
    <row r="1014" spans="1:5" x14ac:dyDescent="0.25">
      <c r="A1014" s="947">
        <v>1013</v>
      </c>
      <c r="B1014" s="947" t="s">
        <v>1516</v>
      </c>
      <c r="C1014" s="1018" t="s">
        <v>1669</v>
      </c>
      <c r="D1014" s="1018" t="s">
        <v>1410</v>
      </c>
      <c r="E1014" s="947" t="s">
        <v>1382</v>
      </c>
    </row>
    <row r="1015" spans="1:5" ht="30" x14ac:dyDescent="0.25">
      <c r="A1015" s="947">
        <v>1014</v>
      </c>
      <c r="B1015" s="947" t="s">
        <v>1516</v>
      </c>
      <c r="C1015" s="1018" t="s">
        <v>1669</v>
      </c>
      <c r="D1015" s="1018" t="s">
        <v>1544</v>
      </c>
      <c r="E1015" s="947" t="s">
        <v>1385</v>
      </c>
    </row>
    <row r="1016" spans="1:5" ht="30" x14ac:dyDescent="0.25">
      <c r="A1016" s="947">
        <v>1015</v>
      </c>
      <c r="B1016" s="947" t="s">
        <v>1516</v>
      </c>
      <c r="C1016" s="1018" t="s">
        <v>1669</v>
      </c>
      <c r="D1016" s="1018" t="s">
        <v>1544</v>
      </c>
      <c r="E1016" s="947" t="s">
        <v>1386</v>
      </c>
    </row>
    <row r="1017" spans="1:5" ht="30" x14ac:dyDescent="0.25">
      <c r="A1017" s="947">
        <v>1016</v>
      </c>
      <c r="B1017" s="947" t="s">
        <v>1516</v>
      </c>
      <c r="C1017" s="1018" t="s">
        <v>1669</v>
      </c>
      <c r="D1017" s="1018" t="s">
        <v>1544</v>
      </c>
      <c r="E1017" s="947" t="s">
        <v>1495</v>
      </c>
    </row>
    <row r="1018" spans="1:5" x14ac:dyDescent="0.25">
      <c r="A1018" s="947">
        <v>1017</v>
      </c>
      <c r="B1018" s="947" t="s">
        <v>1516</v>
      </c>
      <c r="C1018" s="1018" t="s">
        <v>1669</v>
      </c>
      <c r="D1018" s="1018" t="s">
        <v>1410</v>
      </c>
      <c r="E1018" s="947" t="s">
        <v>1492</v>
      </c>
    </row>
    <row r="1019" spans="1:5" x14ac:dyDescent="0.25">
      <c r="A1019" s="947">
        <v>1018</v>
      </c>
      <c r="B1019" s="947" t="s">
        <v>1516</v>
      </c>
      <c r="C1019" s="1018" t="s">
        <v>1669</v>
      </c>
      <c r="D1019" s="1018" t="s">
        <v>1410</v>
      </c>
      <c r="E1019" s="947" t="s">
        <v>1396</v>
      </c>
    </row>
    <row r="1020" spans="1:5" x14ac:dyDescent="0.25">
      <c r="A1020" s="947">
        <v>1019</v>
      </c>
      <c r="B1020" s="947" t="s">
        <v>1516</v>
      </c>
      <c r="C1020" s="1018" t="s">
        <v>2107</v>
      </c>
      <c r="D1020" s="1018" t="s">
        <v>1670</v>
      </c>
      <c r="E1020" s="947" t="s">
        <v>1491</v>
      </c>
    </row>
    <row r="1021" spans="1:5" x14ac:dyDescent="0.25">
      <c r="A1021" s="947">
        <v>1020</v>
      </c>
      <c r="B1021" s="947" t="s">
        <v>1516</v>
      </c>
      <c r="C1021" s="1018" t="s">
        <v>2107</v>
      </c>
      <c r="D1021" s="1018" t="s">
        <v>1670</v>
      </c>
      <c r="E1021" s="947" t="s">
        <v>1705</v>
      </c>
    </row>
    <row r="1022" spans="1:5" x14ac:dyDescent="0.25">
      <c r="A1022" s="947">
        <v>1021</v>
      </c>
      <c r="B1022" s="947" t="s">
        <v>1516</v>
      </c>
      <c r="C1022" s="1018" t="s">
        <v>2107</v>
      </c>
      <c r="D1022" s="1018" t="s">
        <v>1670</v>
      </c>
      <c r="E1022" s="947" t="s">
        <v>1383</v>
      </c>
    </row>
    <row r="1023" spans="1:5" x14ac:dyDescent="0.25">
      <c r="A1023" s="947">
        <v>1022</v>
      </c>
      <c r="B1023" s="947" t="s">
        <v>1516</v>
      </c>
      <c r="C1023" s="1018" t="s">
        <v>2107</v>
      </c>
      <c r="D1023" s="1018" t="s">
        <v>1670</v>
      </c>
      <c r="E1023" s="947" t="s">
        <v>1381</v>
      </c>
    </row>
    <row r="1024" spans="1:5" x14ac:dyDescent="0.25">
      <c r="A1024" s="947">
        <v>1023</v>
      </c>
      <c r="B1024" s="947" t="s">
        <v>1516</v>
      </c>
      <c r="C1024" s="1018" t="s">
        <v>2107</v>
      </c>
      <c r="D1024" s="1018" t="s">
        <v>1670</v>
      </c>
      <c r="E1024" s="947" t="s">
        <v>1397</v>
      </c>
    </row>
    <row r="1025" spans="1:5" x14ac:dyDescent="0.25">
      <c r="A1025" s="947">
        <v>1024</v>
      </c>
      <c r="B1025" s="947" t="s">
        <v>1516</v>
      </c>
      <c r="C1025" s="1018" t="s">
        <v>2107</v>
      </c>
      <c r="D1025" s="1018" t="s">
        <v>1410</v>
      </c>
      <c r="E1025" s="947" t="s">
        <v>1382</v>
      </c>
    </row>
    <row r="1026" spans="1:5" x14ac:dyDescent="0.25">
      <c r="A1026" s="947">
        <v>1025</v>
      </c>
      <c r="B1026" s="947" t="s">
        <v>1516</v>
      </c>
      <c r="C1026" s="1018" t="s">
        <v>2107</v>
      </c>
      <c r="D1026" s="1018" t="s">
        <v>1670</v>
      </c>
      <c r="E1026" s="947" t="s">
        <v>1486</v>
      </c>
    </row>
    <row r="1027" spans="1:5" x14ac:dyDescent="0.25">
      <c r="A1027" s="947">
        <v>1026</v>
      </c>
      <c r="B1027" s="947" t="s">
        <v>1516</v>
      </c>
      <c r="C1027" s="1018" t="s">
        <v>2107</v>
      </c>
      <c r="D1027" s="1018" t="s">
        <v>1670</v>
      </c>
      <c r="E1027" s="947" t="s">
        <v>1487</v>
      </c>
    </row>
    <row r="1028" spans="1:5" x14ac:dyDescent="0.25">
      <c r="A1028" s="947">
        <v>1027</v>
      </c>
      <c r="B1028" s="947" t="s">
        <v>1516</v>
      </c>
      <c r="C1028" s="1018" t="s">
        <v>2107</v>
      </c>
      <c r="D1028" s="1018" t="s">
        <v>1410</v>
      </c>
      <c r="E1028" s="947" t="s">
        <v>1488</v>
      </c>
    </row>
    <row r="1029" spans="1:5" ht="30" x14ac:dyDescent="0.25">
      <c r="A1029" s="947">
        <v>1028</v>
      </c>
      <c r="B1029" s="947" t="s">
        <v>1516</v>
      </c>
      <c r="C1029" s="1018" t="s">
        <v>2107</v>
      </c>
      <c r="D1029" s="1018" t="s">
        <v>1544</v>
      </c>
      <c r="E1029" s="947" t="s">
        <v>1385</v>
      </c>
    </row>
    <row r="1030" spans="1:5" ht="30" x14ac:dyDescent="0.25">
      <c r="A1030" s="947">
        <v>1029</v>
      </c>
      <c r="B1030" s="947" t="s">
        <v>1516</v>
      </c>
      <c r="C1030" s="1018" t="s">
        <v>2107</v>
      </c>
      <c r="D1030" s="1018" t="s">
        <v>1544</v>
      </c>
      <c r="E1030" s="947" t="s">
        <v>1386</v>
      </c>
    </row>
    <row r="1031" spans="1:5" ht="30" x14ac:dyDescent="0.25">
      <c r="A1031" s="947">
        <v>1030</v>
      </c>
      <c r="B1031" s="947" t="s">
        <v>1516</v>
      </c>
      <c r="C1031" s="1018" t="s">
        <v>2107</v>
      </c>
      <c r="D1031" s="1018" t="s">
        <v>1544</v>
      </c>
      <c r="E1031" s="947" t="s">
        <v>1495</v>
      </c>
    </row>
    <row r="1032" spans="1:5" x14ac:dyDescent="0.25">
      <c r="A1032" s="947">
        <v>1031</v>
      </c>
      <c r="B1032" s="947" t="s">
        <v>1516</v>
      </c>
      <c r="C1032" s="1018" t="s">
        <v>2107</v>
      </c>
      <c r="D1032" s="1018" t="s">
        <v>1410</v>
      </c>
      <c r="E1032" s="947" t="s">
        <v>1492</v>
      </c>
    </row>
    <row r="1033" spans="1:5" x14ac:dyDescent="0.25">
      <c r="A1033" s="947">
        <v>1032</v>
      </c>
      <c r="B1033" s="947" t="s">
        <v>1516</v>
      </c>
      <c r="C1033" s="1018" t="s">
        <v>2107</v>
      </c>
      <c r="D1033" s="1018" t="s">
        <v>1670</v>
      </c>
      <c r="E1033" s="947" t="s">
        <v>1389</v>
      </c>
    </row>
    <row r="1034" spans="1:5" x14ac:dyDescent="0.25">
      <c r="A1034" s="947">
        <v>1033</v>
      </c>
      <c r="B1034" s="947" t="s">
        <v>1516</v>
      </c>
      <c r="C1034" s="1018" t="s">
        <v>2108</v>
      </c>
      <c r="D1034" s="1018" t="s">
        <v>1671</v>
      </c>
      <c r="E1034" s="947" t="s">
        <v>1491</v>
      </c>
    </row>
    <row r="1035" spans="1:5" x14ac:dyDescent="0.25">
      <c r="A1035" s="947">
        <v>1034</v>
      </c>
      <c r="B1035" s="947" t="s">
        <v>1516</v>
      </c>
      <c r="C1035" s="1018" t="s">
        <v>2108</v>
      </c>
      <c r="D1035" s="1018" t="s">
        <v>1671</v>
      </c>
      <c r="E1035" s="947" t="s">
        <v>1705</v>
      </c>
    </row>
    <row r="1036" spans="1:5" x14ac:dyDescent="0.25">
      <c r="A1036" s="947">
        <v>1035</v>
      </c>
      <c r="B1036" s="947" t="s">
        <v>1516</v>
      </c>
      <c r="C1036" s="1018" t="s">
        <v>2108</v>
      </c>
      <c r="D1036" s="1018" t="s">
        <v>1671</v>
      </c>
      <c r="E1036" s="947" t="s">
        <v>1383</v>
      </c>
    </row>
    <row r="1037" spans="1:5" x14ac:dyDescent="0.25">
      <c r="A1037" s="947">
        <v>1036</v>
      </c>
      <c r="B1037" s="947" t="s">
        <v>1516</v>
      </c>
      <c r="C1037" s="1018" t="s">
        <v>2108</v>
      </c>
      <c r="D1037" s="1018" t="s">
        <v>1671</v>
      </c>
      <c r="E1037" s="947" t="s">
        <v>1381</v>
      </c>
    </row>
    <row r="1038" spans="1:5" x14ac:dyDescent="0.25">
      <c r="A1038" s="947">
        <v>1037</v>
      </c>
      <c r="B1038" s="947" t="s">
        <v>1516</v>
      </c>
      <c r="C1038" s="1018" t="s">
        <v>2108</v>
      </c>
      <c r="D1038" s="1018" t="s">
        <v>1410</v>
      </c>
      <c r="E1038" s="947" t="s">
        <v>1382</v>
      </c>
    </row>
    <row r="1039" spans="1:5" ht="30" x14ac:dyDescent="0.25">
      <c r="A1039" s="947">
        <v>1038</v>
      </c>
      <c r="B1039" s="947" t="s">
        <v>1516</v>
      </c>
      <c r="C1039" s="1018" t="s">
        <v>2108</v>
      </c>
      <c r="D1039" s="1018" t="s">
        <v>1544</v>
      </c>
      <c r="E1039" s="947" t="s">
        <v>1385</v>
      </c>
    </row>
    <row r="1040" spans="1:5" ht="30" x14ac:dyDescent="0.25">
      <c r="A1040" s="947">
        <v>1039</v>
      </c>
      <c r="B1040" s="947" t="s">
        <v>1516</v>
      </c>
      <c r="C1040" s="1018" t="s">
        <v>2108</v>
      </c>
      <c r="D1040" s="1018" t="s">
        <v>1544</v>
      </c>
      <c r="E1040" s="947" t="s">
        <v>1386</v>
      </c>
    </row>
    <row r="1041" spans="1:5" ht="30" x14ac:dyDescent="0.25">
      <c r="A1041" s="947">
        <v>1040</v>
      </c>
      <c r="B1041" s="947" t="s">
        <v>1516</v>
      </c>
      <c r="C1041" s="1018" t="s">
        <v>2108</v>
      </c>
      <c r="D1041" s="1018" t="s">
        <v>1544</v>
      </c>
      <c r="E1041" s="947" t="s">
        <v>1495</v>
      </c>
    </row>
    <row r="1042" spans="1:5" x14ac:dyDescent="0.25">
      <c r="A1042" s="947">
        <v>1041</v>
      </c>
      <c r="B1042" s="947" t="s">
        <v>1516</v>
      </c>
      <c r="C1042" s="1018" t="s">
        <v>2108</v>
      </c>
      <c r="D1042" s="1018" t="s">
        <v>1410</v>
      </c>
      <c r="E1042" s="947" t="s">
        <v>1492</v>
      </c>
    </row>
    <row r="1043" spans="1:5" x14ac:dyDescent="0.25">
      <c r="A1043" s="947">
        <v>1042</v>
      </c>
      <c r="B1043" s="947" t="s">
        <v>1516</v>
      </c>
      <c r="C1043" s="1018" t="s">
        <v>2108</v>
      </c>
      <c r="D1043" s="1018" t="s">
        <v>1671</v>
      </c>
      <c r="E1043" s="947" t="s">
        <v>1396</v>
      </c>
    </row>
    <row r="1044" spans="1:5" x14ac:dyDescent="0.25">
      <c r="A1044" s="947">
        <v>1043</v>
      </c>
      <c r="B1044" s="947" t="s">
        <v>1516</v>
      </c>
      <c r="C1044" s="1018" t="s">
        <v>2108</v>
      </c>
      <c r="D1044" s="1018" t="s">
        <v>1671</v>
      </c>
      <c r="E1044" s="947" t="s">
        <v>1672</v>
      </c>
    </row>
    <row r="1045" spans="1:5" x14ac:dyDescent="0.25">
      <c r="A1045" s="947">
        <v>1044</v>
      </c>
      <c r="B1045" s="947" t="s">
        <v>1516</v>
      </c>
      <c r="C1045" s="1018" t="s">
        <v>2108</v>
      </c>
      <c r="D1045" s="1018" t="s">
        <v>1671</v>
      </c>
      <c r="E1045" s="947" t="s">
        <v>1475</v>
      </c>
    </row>
    <row r="1046" spans="1:5" ht="30" x14ac:dyDescent="0.25">
      <c r="A1046" s="947">
        <v>1045</v>
      </c>
      <c r="B1046" s="947" t="s">
        <v>1516</v>
      </c>
      <c r="C1046" s="1018" t="s">
        <v>2108</v>
      </c>
      <c r="D1046" s="1018" t="s">
        <v>1410</v>
      </c>
      <c r="E1046" s="1017" t="s">
        <v>1479</v>
      </c>
    </row>
    <row r="1047" spans="1:5" x14ac:dyDescent="0.25">
      <c r="A1047" s="947">
        <v>1046</v>
      </c>
      <c r="B1047" s="947" t="s">
        <v>1516</v>
      </c>
      <c r="C1047" s="1018" t="s">
        <v>2108</v>
      </c>
      <c r="D1047" s="1018" t="s">
        <v>1671</v>
      </c>
      <c r="E1047" s="1017" t="s">
        <v>1135</v>
      </c>
    </row>
    <row r="1048" spans="1:5" x14ac:dyDescent="0.25">
      <c r="A1048" s="947">
        <v>1047</v>
      </c>
      <c r="B1048" s="947" t="s">
        <v>1516</v>
      </c>
      <c r="C1048" s="1018" t="s">
        <v>2108</v>
      </c>
      <c r="D1048" s="1018" t="s">
        <v>1671</v>
      </c>
      <c r="E1048" s="1017" t="s">
        <v>1402</v>
      </c>
    </row>
    <row r="1049" spans="1:5" x14ac:dyDescent="0.25">
      <c r="A1049" s="947">
        <v>1048</v>
      </c>
      <c r="B1049" s="947" t="s">
        <v>1516</v>
      </c>
      <c r="C1049" s="1018" t="s">
        <v>2108</v>
      </c>
      <c r="D1049" s="1018" t="s">
        <v>1410</v>
      </c>
      <c r="E1049" s="1017" t="s">
        <v>1480</v>
      </c>
    </row>
    <row r="1050" spans="1:5" x14ac:dyDescent="0.25">
      <c r="A1050" s="947">
        <v>1049</v>
      </c>
      <c r="B1050" s="947" t="s">
        <v>1516</v>
      </c>
      <c r="C1050" s="1018" t="s">
        <v>2108</v>
      </c>
      <c r="D1050" s="1018" t="s">
        <v>1671</v>
      </c>
      <c r="E1050" s="1017" t="s">
        <v>1134</v>
      </c>
    </row>
    <row r="1051" spans="1:5" x14ac:dyDescent="0.25">
      <c r="A1051" s="947">
        <v>1050</v>
      </c>
      <c r="B1051" s="947" t="s">
        <v>1516</v>
      </c>
      <c r="C1051" s="1018" t="s">
        <v>2109</v>
      </c>
      <c r="D1051" s="1018" t="s">
        <v>1673</v>
      </c>
      <c r="E1051" s="947" t="s">
        <v>1491</v>
      </c>
    </row>
    <row r="1052" spans="1:5" x14ac:dyDescent="0.25">
      <c r="A1052" s="947">
        <v>1051</v>
      </c>
      <c r="B1052" s="947" t="s">
        <v>1516</v>
      </c>
      <c r="C1052" s="1018" t="s">
        <v>2109</v>
      </c>
      <c r="D1052" s="1018" t="s">
        <v>1673</v>
      </c>
      <c r="E1052" s="947" t="s">
        <v>1705</v>
      </c>
    </row>
    <row r="1053" spans="1:5" x14ac:dyDescent="0.25">
      <c r="A1053" s="947">
        <v>1052</v>
      </c>
      <c r="B1053" s="947" t="s">
        <v>1516</v>
      </c>
      <c r="C1053" s="1018" t="s">
        <v>2109</v>
      </c>
      <c r="D1053" s="1018" t="s">
        <v>1673</v>
      </c>
      <c r="E1053" s="947" t="s">
        <v>1383</v>
      </c>
    </row>
    <row r="1054" spans="1:5" x14ac:dyDescent="0.25">
      <c r="A1054" s="947">
        <v>1053</v>
      </c>
      <c r="B1054" s="947" t="s">
        <v>1516</v>
      </c>
      <c r="C1054" s="1018" t="s">
        <v>2109</v>
      </c>
      <c r="D1054" s="1018" t="s">
        <v>1673</v>
      </c>
      <c r="E1054" s="947" t="s">
        <v>1381</v>
      </c>
    </row>
    <row r="1055" spans="1:5" x14ac:dyDescent="0.25">
      <c r="A1055" s="947">
        <v>1054</v>
      </c>
      <c r="B1055" s="947" t="s">
        <v>1516</v>
      </c>
      <c r="C1055" s="1018" t="s">
        <v>2109</v>
      </c>
      <c r="D1055" s="1018" t="s">
        <v>1410</v>
      </c>
      <c r="E1055" s="947" t="s">
        <v>1382</v>
      </c>
    </row>
    <row r="1056" spans="1:5" ht="30" x14ac:dyDescent="0.25">
      <c r="A1056" s="947">
        <v>1055</v>
      </c>
      <c r="B1056" s="947" t="s">
        <v>1516</v>
      </c>
      <c r="C1056" s="1018" t="s">
        <v>2109</v>
      </c>
      <c r="D1056" s="1018" t="s">
        <v>1544</v>
      </c>
      <c r="E1056" s="947" t="s">
        <v>1385</v>
      </c>
    </row>
    <row r="1057" spans="1:5" ht="30" x14ac:dyDescent="0.25">
      <c r="A1057" s="947">
        <v>1056</v>
      </c>
      <c r="B1057" s="947" t="s">
        <v>1516</v>
      </c>
      <c r="C1057" s="1018" t="s">
        <v>2109</v>
      </c>
      <c r="D1057" s="1018" t="s">
        <v>1544</v>
      </c>
      <c r="E1057" s="947" t="s">
        <v>1386</v>
      </c>
    </row>
    <row r="1058" spans="1:5" ht="30" x14ac:dyDescent="0.25">
      <c r="A1058" s="947">
        <v>1057</v>
      </c>
      <c r="B1058" s="947" t="s">
        <v>1516</v>
      </c>
      <c r="C1058" s="1018" t="s">
        <v>2109</v>
      </c>
      <c r="D1058" s="1018" t="s">
        <v>1544</v>
      </c>
      <c r="E1058" s="947" t="s">
        <v>1495</v>
      </c>
    </row>
    <row r="1059" spans="1:5" x14ac:dyDescent="0.25">
      <c r="A1059" s="947">
        <v>1058</v>
      </c>
      <c r="B1059" s="947" t="s">
        <v>1516</v>
      </c>
      <c r="C1059" s="1018" t="s">
        <v>2109</v>
      </c>
      <c r="D1059" s="1018" t="s">
        <v>1410</v>
      </c>
      <c r="E1059" s="947" t="s">
        <v>1492</v>
      </c>
    </row>
    <row r="1060" spans="1:5" x14ac:dyDescent="0.25">
      <c r="A1060" s="947">
        <v>1059</v>
      </c>
      <c r="B1060" s="947" t="s">
        <v>1516</v>
      </c>
      <c r="C1060" s="1018" t="s">
        <v>2109</v>
      </c>
      <c r="D1060" s="1018" t="s">
        <v>1673</v>
      </c>
      <c r="E1060" s="947" t="s">
        <v>1396</v>
      </c>
    </row>
    <row r="1061" spans="1:5" x14ac:dyDescent="0.25">
      <c r="A1061" s="947">
        <v>1060</v>
      </c>
      <c r="B1061" s="947" t="s">
        <v>1516</v>
      </c>
      <c r="C1061" s="1018" t="s">
        <v>2109</v>
      </c>
      <c r="D1061" s="1018" t="s">
        <v>1673</v>
      </c>
      <c r="E1061" s="947" t="s">
        <v>1672</v>
      </c>
    </row>
    <row r="1062" spans="1:5" ht="30" x14ac:dyDescent="0.25">
      <c r="A1062" s="947">
        <v>1061</v>
      </c>
      <c r="B1062" s="947" t="s">
        <v>1516</v>
      </c>
      <c r="C1062" s="1018" t="s">
        <v>2109</v>
      </c>
      <c r="D1062" s="1018" t="s">
        <v>1410</v>
      </c>
      <c r="E1062" s="1017" t="s">
        <v>1479</v>
      </c>
    </row>
    <row r="1063" spans="1:5" x14ac:dyDescent="0.25">
      <c r="A1063" s="947">
        <v>1062</v>
      </c>
      <c r="B1063" s="947" t="s">
        <v>1516</v>
      </c>
      <c r="C1063" s="1018" t="s">
        <v>2109</v>
      </c>
      <c r="D1063" s="1018" t="s">
        <v>1671</v>
      </c>
      <c r="E1063" s="1017" t="s">
        <v>1135</v>
      </c>
    </row>
    <row r="1064" spans="1:5" x14ac:dyDescent="0.25">
      <c r="A1064" s="947">
        <v>1063</v>
      </c>
      <c r="B1064" s="947" t="s">
        <v>1516</v>
      </c>
      <c r="C1064" s="1018" t="s">
        <v>2109</v>
      </c>
      <c r="D1064" s="1018" t="s">
        <v>1671</v>
      </c>
      <c r="E1064" s="1017" t="s">
        <v>1402</v>
      </c>
    </row>
    <row r="1065" spans="1:5" x14ac:dyDescent="0.25">
      <c r="A1065" s="947">
        <v>1064</v>
      </c>
      <c r="B1065" s="947" t="s">
        <v>1516</v>
      </c>
      <c r="C1065" s="1018" t="s">
        <v>2109</v>
      </c>
      <c r="D1065" s="1018" t="s">
        <v>1410</v>
      </c>
      <c r="E1065" s="1017" t="s">
        <v>1480</v>
      </c>
    </row>
    <row r="1066" spans="1:5" x14ac:dyDescent="0.25">
      <c r="A1066" s="947">
        <v>1065</v>
      </c>
      <c r="B1066" s="947" t="s">
        <v>1516</v>
      </c>
      <c r="C1066" s="1018" t="s">
        <v>2109</v>
      </c>
      <c r="D1066" s="1018" t="s">
        <v>1671</v>
      </c>
      <c r="E1066" s="1017" t="s">
        <v>1134</v>
      </c>
    </row>
    <row r="1067" spans="1:5" x14ac:dyDescent="0.25">
      <c r="A1067" s="947">
        <v>1066</v>
      </c>
      <c r="B1067" s="947" t="s">
        <v>1516</v>
      </c>
      <c r="C1067" s="1018" t="s">
        <v>2110</v>
      </c>
      <c r="D1067" s="1018" t="s">
        <v>1674</v>
      </c>
      <c r="E1067" s="947" t="s">
        <v>1491</v>
      </c>
    </row>
    <row r="1068" spans="1:5" x14ac:dyDescent="0.25">
      <c r="A1068" s="947">
        <v>1067</v>
      </c>
      <c r="B1068" s="947" t="s">
        <v>1516</v>
      </c>
      <c r="C1068" s="1018" t="s">
        <v>2110</v>
      </c>
      <c r="D1068" s="1018" t="s">
        <v>1674</v>
      </c>
      <c r="E1068" s="947" t="s">
        <v>1705</v>
      </c>
    </row>
    <row r="1069" spans="1:5" x14ac:dyDescent="0.25">
      <c r="A1069" s="947">
        <v>1068</v>
      </c>
      <c r="B1069" s="947" t="s">
        <v>1516</v>
      </c>
      <c r="C1069" s="1018" t="s">
        <v>2110</v>
      </c>
      <c r="D1069" s="1018" t="s">
        <v>1674</v>
      </c>
      <c r="E1069" s="947" t="s">
        <v>1383</v>
      </c>
    </row>
    <row r="1070" spans="1:5" x14ac:dyDescent="0.25">
      <c r="A1070" s="947">
        <v>1069</v>
      </c>
      <c r="B1070" s="947" t="s">
        <v>1516</v>
      </c>
      <c r="C1070" s="1018" t="s">
        <v>2110</v>
      </c>
      <c r="D1070" s="1018" t="s">
        <v>1674</v>
      </c>
      <c r="E1070" s="947" t="s">
        <v>1381</v>
      </c>
    </row>
    <row r="1071" spans="1:5" x14ac:dyDescent="0.25">
      <c r="A1071" s="947">
        <v>1070</v>
      </c>
      <c r="B1071" s="947" t="s">
        <v>1516</v>
      </c>
      <c r="C1071" s="1018" t="s">
        <v>2110</v>
      </c>
      <c r="D1071" s="1018" t="s">
        <v>1410</v>
      </c>
      <c r="E1071" s="947" t="s">
        <v>1382</v>
      </c>
    </row>
    <row r="1072" spans="1:5" ht="30" x14ac:dyDescent="0.25">
      <c r="A1072" s="947">
        <v>1071</v>
      </c>
      <c r="B1072" s="947" t="s">
        <v>1516</v>
      </c>
      <c r="C1072" s="1018" t="s">
        <v>2110</v>
      </c>
      <c r="D1072" s="1018" t="s">
        <v>1544</v>
      </c>
      <c r="E1072" s="947" t="s">
        <v>1385</v>
      </c>
    </row>
    <row r="1073" spans="1:5" ht="30" x14ac:dyDescent="0.25">
      <c r="A1073" s="947">
        <v>1072</v>
      </c>
      <c r="B1073" s="947" t="s">
        <v>1516</v>
      </c>
      <c r="C1073" s="1018" t="s">
        <v>2110</v>
      </c>
      <c r="D1073" s="1018" t="s">
        <v>1544</v>
      </c>
      <c r="E1073" s="947" t="s">
        <v>1386</v>
      </c>
    </row>
    <row r="1074" spans="1:5" ht="30" x14ac:dyDescent="0.25">
      <c r="A1074" s="947">
        <v>1073</v>
      </c>
      <c r="B1074" s="947" t="s">
        <v>1516</v>
      </c>
      <c r="C1074" s="1018" t="s">
        <v>2110</v>
      </c>
      <c r="D1074" s="1018" t="s">
        <v>1544</v>
      </c>
      <c r="E1074" s="947" t="s">
        <v>1495</v>
      </c>
    </row>
    <row r="1075" spans="1:5" x14ac:dyDescent="0.25">
      <c r="A1075" s="947">
        <v>1074</v>
      </c>
      <c r="B1075" s="947" t="s">
        <v>1516</v>
      </c>
      <c r="C1075" s="1018" t="s">
        <v>2110</v>
      </c>
      <c r="D1075" s="1018" t="s">
        <v>1410</v>
      </c>
      <c r="E1075" s="947" t="s">
        <v>1492</v>
      </c>
    </row>
    <row r="1076" spans="1:5" x14ac:dyDescent="0.25">
      <c r="A1076" s="947">
        <v>1075</v>
      </c>
      <c r="B1076" s="947" t="s">
        <v>1516</v>
      </c>
      <c r="C1076" s="1018" t="s">
        <v>2110</v>
      </c>
      <c r="D1076" s="1018" t="s">
        <v>1674</v>
      </c>
      <c r="E1076" s="947" t="s">
        <v>1396</v>
      </c>
    </row>
    <row r="1077" spans="1:5" x14ac:dyDescent="0.25">
      <c r="A1077" s="947">
        <v>1076</v>
      </c>
      <c r="B1077" s="947" t="s">
        <v>1516</v>
      </c>
      <c r="C1077" s="1018" t="s">
        <v>2111</v>
      </c>
      <c r="D1077" s="1018" t="s">
        <v>1674</v>
      </c>
      <c r="E1077" s="947" t="s">
        <v>1491</v>
      </c>
    </row>
    <row r="1078" spans="1:5" x14ac:dyDescent="0.25">
      <c r="A1078" s="947">
        <v>1077</v>
      </c>
      <c r="B1078" s="947" t="s">
        <v>1516</v>
      </c>
      <c r="C1078" s="1018" t="s">
        <v>2111</v>
      </c>
      <c r="D1078" s="1018" t="s">
        <v>1674</v>
      </c>
      <c r="E1078" s="947" t="s">
        <v>1705</v>
      </c>
    </row>
    <row r="1079" spans="1:5" x14ac:dyDescent="0.25">
      <c r="A1079" s="947">
        <v>1078</v>
      </c>
      <c r="B1079" s="947" t="s">
        <v>1516</v>
      </c>
      <c r="C1079" s="1018" t="s">
        <v>2111</v>
      </c>
      <c r="D1079" s="1018" t="s">
        <v>1674</v>
      </c>
      <c r="E1079" s="947" t="s">
        <v>1383</v>
      </c>
    </row>
    <row r="1080" spans="1:5" x14ac:dyDescent="0.25">
      <c r="A1080" s="947">
        <v>1079</v>
      </c>
      <c r="B1080" s="947" t="s">
        <v>1516</v>
      </c>
      <c r="C1080" s="1018" t="s">
        <v>2111</v>
      </c>
      <c r="D1080" s="1018" t="s">
        <v>1674</v>
      </c>
      <c r="E1080" s="947" t="s">
        <v>1381</v>
      </c>
    </row>
    <row r="1081" spans="1:5" x14ac:dyDescent="0.25">
      <c r="A1081" s="947">
        <v>1080</v>
      </c>
      <c r="B1081" s="947" t="s">
        <v>1516</v>
      </c>
      <c r="C1081" s="1018" t="s">
        <v>2111</v>
      </c>
      <c r="D1081" s="1018" t="s">
        <v>1410</v>
      </c>
      <c r="E1081" s="947" t="s">
        <v>1382</v>
      </c>
    </row>
    <row r="1082" spans="1:5" ht="30" x14ac:dyDescent="0.25">
      <c r="A1082" s="947">
        <v>1081</v>
      </c>
      <c r="B1082" s="947" t="s">
        <v>1516</v>
      </c>
      <c r="C1082" s="1018" t="s">
        <v>2111</v>
      </c>
      <c r="D1082" s="1018" t="s">
        <v>1544</v>
      </c>
      <c r="E1082" s="947" t="s">
        <v>1385</v>
      </c>
    </row>
    <row r="1083" spans="1:5" ht="30" x14ac:dyDescent="0.25">
      <c r="A1083" s="947">
        <v>1082</v>
      </c>
      <c r="B1083" s="947" t="s">
        <v>1516</v>
      </c>
      <c r="C1083" s="1018" t="s">
        <v>2111</v>
      </c>
      <c r="D1083" s="1018" t="s">
        <v>1544</v>
      </c>
      <c r="E1083" s="947" t="s">
        <v>1386</v>
      </c>
    </row>
    <row r="1084" spans="1:5" ht="30" x14ac:dyDescent="0.25">
      <c r="A1084" s="947">
        <v>1083</v>
      </c>
      <c r="B1084" s="947" t="s">
        <v>1516</v>
      </c>
      <c r="C1084" s="1018" t="s">
        <v>2111</v>
      </c>
      <c r="D1084" s="1018" t="s">
        <v>1544</v>
      </c>
      <c r="E1084" s="947" t="s">
        <v>1495</v>
      </c>
    </row>
    <row r="1085" spans="1:5" x14ac:dyDescent="0.25">
      <c r="A1085" s="947">
        <v>1084</v>
      </c>
      <c r="B1085" s="947" t="s">
        <v>1516</v>
      </c>
      <c r="C1085" s="1018" t="s">
        <v>2111</v>
      </c>
      <c r="D1085" s="1018" t="s">
        <v>1410</v>
      </c>
      <c r="E1085" s="947" t="s">
        <v>1492</v>
      </c>
    </row>
    <row r="1086" spans="1:5" x14ac:dyDescent="0.25">
      <c r="A1086" s="947">
        <v>1085</v>
      </c>
      <c r="B1086" s="947" t="s">
        <v>1516</v>
      </c>
      <c r="C1086" s="1018" t="s">
        <v>2111</v>
      </c>
      <c r="D1086" s="1018" t="s">
        <v>1674</v>
      </c>
      <c r="E1086" s="947" t="s">
        <v>1396</v>
      </c>
    </row>
    <row r="1087" spans="1:5" x14ac:dyDescent="0.25">
      <c r="A1087" s="947">
        <v>1086</v>
      </c>
      <c r="B1087" s="947" t="s">
        <v>1516</v>
      </c>
      <c r="C1087" s="1018" t="s">
        <v>2103</v>
      </c>
      <c r="D1087" s="1018" t="s">
        <v>1675</v>
      </c>
      <c r="E1087" s="947" t="s">
        <v>1491</v>
      </c>
    </row>
    <row r="1088" spans="1:5" x14ac:dyDescent="0.25">
      <c r="A1088" s="947">
        <v>1087</v>
      </c>
      <c r="B1088" s="947" t="s">
        <v>1516</v>
      </c>
      <c r="C1088" s="1018" t="s">
        <v>2103</v>
      </c>
      <c r="D1088" s="1018" t="s">
        <v>1675</v>
      </c>
      <c r="E1088" s="947" t="s">
        <v>1705</v>
      </c>
    </row>
    <row r="1089" spans="1:5" x14ac:dyDescent="0.25">
      <c r="A1089" s="947">
        <v>1088</v>
      </c>
      <c r="B1089" s="947" t="s">
        <v>1516</v>
      </c>
      <c r="C1089" s="1018" t="s">
        <v>2103</v>
      </c>
      <c r="D1089" s="1018" t="s">
        <v>1675</v>
      </c>
      <c r="E1089" s="947" t="s">
        <v>1383</v>
      </c>
    </row>
    <row r="1090" spans="1:5" x14ac:dyDescent="0.25">
      <c r="A1090" s="947">
        <v>1089</v>
      </c>
      <c r="B1090" s="947" t="s">
        <v>1516</v>
      </c>
      <c r="C1090" s="1018" t="s">
        <v>2103</v>
      </c>
      <c r="D1090" s="1018" t="s">
        <v>1674</v>
      </c>
      <c r="E1090" s="947" t="s">
        <v>1380</v>
      </c>
    </row>
    <row r="1091" spans="1:5" x14ac:dyDescent="0.25">
      <c r="A1091" s="947">
        <v>1090</v>
      </c>
      <c r="B1091" s="947" t="s">
        <v>1516</v>
      </c>
      <c r="C1091" s="1018" t="s">
        <v>2103</v>
      </c>
      <c r="D1091" s="1018" t="s">
        <v>1675</v>
      </c>
      <c r="E1091" s="947" t="s">
        <v>1381</v>
      </c>
    </row>
    <row r="1092" spans="1:5" x14ac:dyDescent="0.25">
      <c r="A1092" s="947">
        <v>1091</v>
      </c>
      <c r="B1092" s="947" t="s">
        <v>1516</v>
      </c>
      <c r="C1092" s="1018" t="s">
        <v>2103</v>
      </c>
      <c r="D1092" s="1018" t="s">
        <v>1410</v>
      </c>
      <c r="E1092" s="947" t="s">
        <v>1382</v>
      </c>
    </row>
    <row r="1093" spans="1:5" x14ac:dyDescent="0.25">
      <c r="A1093" s="947">
        <v>1092</v>
      </c>
      <c r="B1093" s="947" t="s">
        <v>1516</v>
      </c>
      <c r="C1093" s="1018" t="s">
        <v>2103</v>
      </c>
      <c r="D1093" s="1018" t="s">
        <v>1675</v>
      </c>
      <c r="E1093" s="947" t="s">
        <v>1487</v>
      </c>
    </row>
    <row r="1094" spans="1:5" x14ac:dyDescent="0.25">
      <c r="A1094" s="947">
        <v>1093</v>
      </c>
      <c r="B1094" s="947" t="s">
        <v>1516</v>
      </c>
      <c r="C1094" s="1018" t="s">
        <v>2103</v>
      </c>
      <c r="D1094" s="1018" t="s">
        <v>1410</v>
      </c>
      <c r="E1094" s="947" t="s">
        <v>1488</v>
      </c>
    </row>
    <row r="1095" spans="1:5" ht="30" x14ac:dyDescent="0.25">
      <c r="A1095" s="947">
        <v>1094</v>
      </c>
      <c r="B1095" s="947" t="s">
        <v>1516</v>
      </c>
      <c r="C1095" s="1018" t="s">
        <v>2103</v>
      </c>
      <c r="D1095" s="1018" t="s">
        <v>1544</v>
      </c>
      <c r="E1095" s="947" t="s">
        <v>1385</v>
      </c>
    </row>
    <row r="1096" spans="1:5" ht="30" x14ac:dyDescent="0.25">
      <c r="A1096" s="947">
        <v>1095</v>
      </c>
      <c r="B1096" s="947" t="s">
        <v>1516</v>
      </c>
      <c r="C1096" s="1018" t="s">
        <v>2103</v>
      </c>
      <c r="D1096" s="1018" t="s">
        <v>1544</v>
      </c>
      <c r="E1096" s="947" t="s">
        <v>1386</v>
      </c>
    </row>
    <row r="1097" spans="1:5" ht="30" x14ac:dyDescent="0.25">
      <c r="A1097" s="947">
        <v>1096</v>
      </c>
      <c r="B1097" s="947" t="s">
        <v>1516</v>
      </c>
      <c r="C1097" s="1018" t="s">
        <v>2103</v>
      </c>
      <c r="D1097" s="1018" t="s">
        <v>1544</v>
      </c>
      <c r="E1097" s="947" t="s">
        <v>1495</v>
      </c>
    </row>
    <row r="1098" spans="1:5" x14ac:dyDescent="0.25">
      <c r="A1098" s="947">
        <v>1097</v>
      </c>
      <c r="B1098" s="947" t="s">
        <v>1516</v>
      </c>
      <c r="C1098" s="1018" t="s">
        <v>2103</v>
      </c>
      <c r="D1098" s="1018" t="s">
        <v>1410</v>
      </c>
      <c r="E1098" s="947" t="s">
        <v>1492</v>
      </c>
    </row>
    <row r="1099" spans="1:5" x14ac:dyDescent="0.25">
      <c r="A1099" s="947">
        <v>1098</v>
      </c>
      <c r="B1099" s="947" t="s">
        <v>1516</v>
      </c>
      <c r="C1099" s="1018" t="s">
        <v>2103</v>
      </c>
      <c r="D1099" s="1018" t="s">
        <v>1675</v>
      </c>
      <c r="E1099" s="947" t="s">
        <v>1389</v>
      </c>
    </row>
    <row r="1100" spans="1:5" x14ac:dyDescent="0.25">
      <c r="A1100" s="947">
        <v>1099</v>
      </c>
      <c r="B1100" s="947" t="s">
        <v>1516</v>
      </c>
      <c r="C1100" s="1018" t="s">
        <v>2103</v>
      </c>
      <c r="D1100" s="1018" t="s">
        <v>1675</v>
      </c>
      <c r="E1100" s="947" t="s">
        <v>1396</v>
      </c>
    </row>
    <row r="1101" spans="1:5" x14ac:dyDescent="0.25">
      <c r="A1101" s="947">
        <v>1100</v>
      </c>
      <c r="B1101" s="947" t="s">
        <v>1516</v>
      </c>
      <c r="C1101" s="1018" t="s">
        <v>2112</v>
      </c>
      <c r="D1101" s="1018" t="s">
        <v>1675</v>
      </c>
      <c r="E1101" s="947" t="s">
        <v>1481</v>
      </c>
    </row>
    <row r="1102" spans="1:5" x14ac:dyDescent="0.25">
      <c r="A1102" s="947">
        <v>1101</v>
      </c>
      <c r="B1102" s="947" t="s">
        <v>1516</v>
      </c>
      <c r="C1102" s="1018" t="s">
        <v>2112</v>
      </c>
      <c r="D1102" s="1018" t="s">
        <v>1675</v>
      </c>
      <c r="E1102" s="947" t="s">
        <v>727</v>
      </c>
    </row>
    <row r="1103" spans="1:5" x14ac:dyDescent="0.25">
      <c r="A1103" s="947">
        <v>1102</v>
      </c>
      <c r="B1103" s="947" t="s">
        <v>1516</v>
      </c>
      <c r="C1103" s="1018" t="s">
        <v>2112</v>
      </c>
      <c r="D1103" s="1018" t="s">
        <v>1675</v>
      </c>
      <c r="E1103" s="947" t="s">
        <v>1482</v>
      </c>
    </row>
    <row r="1104" spans="1:5" x14ac:dyDescent="0.25">
      <c r="A1104" s="947">
        <v>1103</v>
      </c>
      <c r="B1104" s="947" t="s">
        <v>1516</v>
      </c>
      <c r="C1104" s="1018" t="s">
        <v>2113</v>
      </c>
      <c r="D1104" s="1018" t="s">
        <v>1675</v>
      </c>
      <c r="E1104" s="947" t="s">
        <v>1481</v>
      </c>
    </row>
    <row r="1105" spans="1:5" x14ac:dyDescent="0.25">
      <c r="A1105" s="947">
        <v>1104</v>
      </c>
      <c r="B1105" s="947" t="s">
        <v>1516</v>
      </c>
      <c r="C1105" s="1018" t="s">
        <v>2113</v>
      </c>
      <c r="D1105" s="1018" t="s">
        <v>1675</v>
      </c>
      <c r="E1105" s="947" t="s">
        <v>727</v>
      </c>
    </row>
    <row r="1106" spans="1:5" x14ac:dyDescent="0.25">
      <c r="A1106" s="947">
        <v>1105</v>
      </c>
      <c r="B1106" s="947" t="s">
        <v>1516</v>
      </c>
      <c r="C1106" s="1018" t="s">
        <v>2113</v>
      </c>
      <c r="D1106" s="1018" t="s">
        <v>1675</v>
      </c>
      <c r="E1106" s="947" t="s">
        <v>1482</v>
      </c>
    </row>
    <row r="1107" spans="1:5" x14ac:dyDescent="0.25">
      <c r="A1107" s="947">
        <v>1106</v>
      </c>
      <c r="B1107" s="947" t="s">
        <v>1516</v>
      </c>
      <c r="C1107" s="1018" t="s">
        <v>2114</v>
      </c>
      <c r="D1107" s="1018" t="s">
        <v>1675</v>
      </c>
      <c r="E1107" s="947" t="s">
        <v>1481</v>
      </c>
    </row>
    <row r="1108" spans="1:5" x14ac:dyDescent="0.25">
      <c r="A1108" s="947">
        <v>1107</v>
      </c>
      <c r="B1108" s="947" t="s">
        <v>1516</v>
      </c>
      <c r="C1108" s="1018" t="s">
        <v>2114</v>
      </c>
      <c r="D1108" s="1018" t="s">
        <v>1675</v>
      </c>
      <c r="E1108" s="947" t="s">
        <v>727</v>
      </c>
    </row>
    <row r="1109" spans="1:5" x14ac:dyDescent="0.25">
      <c r="A1109" s="947">
        <v>1108</v>
      </c>
      <c r="B1109" s="947" t="s">
        <v>1516</v>
      </c>
      <c r="C1109" s="1018" t="s">
        <v>2114</v>
      </c>
      <c r="D1109" s="1018" t="s">
        <v>1675</v>
      </c>
      <c r="E1109" s="947" t="s">
        <v>1482</v>
      </c>
    </row>
    <row r="1110" spans="1:5" x14ac:dyDescent="0.25">
      <c r="A1110" s="947">
        <v>1109</v>
      </c>
      <c r="B1110" s="947" t="s">
        <v>1516</v>
      </c>
      <c r="C1110" s="1018" t="s">
        <v>2115</v>
      </c>
      <c r="D1110" s="1018" t="s">
        <v>1675</v>
      </c>
      <c r="E1110" s="947" t="s">
        <v>1481</v>
      </c>
    </row>
    <row r="1111" spans="1:5" x14ac:dyDescent="0.25">
      <c r="A1111" s="947">
        <v>1110</v>
      </c>
      <c r="B1111" s="947" t="s">
        <v>1516</v>
      </c>
      <c r="C1111" s="1018" t="s">
        <v>2115</v>
      </c>
      <c r="D1111" s="1018" t="s">
        <v>1675</v>
      </c>
      <c r="E1111" s="947" t="s">
        <v>727</v>
      </c>
    </row>
    <row r="1112" spans="1:5" x14ac:dyDescent="0.25">
      <c r="A1112" s="947">
        <v>1111</v>
      </c>
      <c r="B1112" s="947" t="s">
        <v>1516</v>
      </c>
      <c r="C1112" s="1018" t="s">
        <v>2115</v>
      </c>
      <c r="D1112" s="1018" t="s">
        <v>1675</v>
      </c>
      <c r="E1112" s="947" t="s">
        <v>1482</v>
      </c>
    </row>
    <row r="1113" spans="1:5" x14ac:dyDescent="0.25">
      <c r="A1113" s="947">
        <v>1112</v>
      </c>
      <c r="B1113" s="947" t="s">
        <v>1516</v>
      </c>
      <c r="C1113" s="1018" t="s">
        <v>2116</v>
      </c>
      <c r="D1113" s="1018" t="s">
        <v>1675</v>
      </c>
      <c r="E1113" s="947" t="s">
        <v>1481</v>
      </c>
    </row>
    <row r="1114" spans="1:5" x14ac:dyDescent="0.25">
      <c r="A1114" s="947">
        <v>1113</v>
      </c>
      <c r="B1114" s="947" t="s">
        <v>1516</v>
      </c>
      <c r="C1114" s="1018" t="s">
        <v>2116</v>
      </c>
      <c r="D1114" s="1018" t="s">
        <v>1675</v>
      </c>
      <c r="E1114" s="947" t="s">
        <v>727</v>
      </c>
    </row>
    <row r="1115" spans="1:5" x14ac:dyDescent="0.25">
      <c r="A1115" s="947">
        <v>1114</v>
      </c>
      <c r="B1115" s="947" t="s">
        <v>1516</v>
      </c>
      <c r="C1115" s="1018" t="s">
        <v>2116</v>
      </c>
      <c r="D1115" s="1018" t="s">
        <v>1675</v>
      </c>
      <c r="E1115" s="947" t="s">
        <v>1482</v>
      </c>
    </row>
    <row r="1116" spans="1:5" x14ac:dyDescent="0.25">
      <c r="A1116" s="947">
        <v>1115</v>
      </c>
      <c r="B1116" s="947" t="s">
        <v>1516</v>
      </c>
      <c r="C1116" s="1018" t="s">
        <v>2104</v>
      </c>
      <c r="D1116" s="1018" t="s">
        <v>1675</v>
      </c>
      <c r="E1116" s="947" t="s">
        <v>1491</v>
      </c>
    </row>
    <row r="1117" spans="1:5" x14ac:dyDescent="0.25">
      <c r="A1117" s="947">
        <v>1116</v>
      </c>
      <c r="B1117" s="947" t="s">
        <v>1516</v>
      </c>
      <c r="C1117" s="1018" t="s">
        <v>2104</v>
      </c>
      <c r="D1117" s="1018" t="s">
        <v>1675</v>
      </c>
      <c r="E1117" s="947" t="s">
        <v>1705</v>
      </c>
    </row>
    <row r="1118" spans="1:5" x14ac:dyDescent="0.25">
      <c r="A1118" s="947">
        <v>1117</v>
      </c>
      <c r="B1118" s="947" t="s">
        <v>1516</v>
      </c>
      <c r="C1118" s="1018" t="s">
        <v>2104</v>
      </c>
      <c r="D1118" s="1018" t="s">
        <v>1675</v>
      </c>
      <c r="E1118" s="947" t="s">
        <v>1383</v>
      </c>
    </row>
    <row r="1119" spans="1:5" x14ac:dyDescent="0.25">
      <c r="A1119" s="947">
        <v>1118</v>
      </c>
      <c r="B1119" s="947" t="s">
        <v>1516</v>
      </c>
      <c r="C1119" s="1018" t="s">
        <v>2104</v>
      </c>
      <c r="D1119" s="1018" t="s">
        <v>1674</v>
      </c>
      <c r="E1119" s="947" t="s">
        <v>1380</v>
      </c>
    </row>
    <row r="1120" spans="1:5" x14ac:dyDescent="0.25">
      <c r="A1120" s="947">
        <v>1119</v>
      </c>
      <c r="B1120" s="947" t="s">
        <v>1516</v>
      </c>
      <c r="C1120" s="1018" t="s">
        <v>2104</v>
      </c>
      <c r="D1120" s="1018" t="s">
        <v>1675</v>
      </c>
      <c r="E1120" s="947" t="s">
        <v>1381</v>
      </c>
    </row>
    <row r="1121" spans="1:5" x14ac:dyDescent="0.25">
      <c r="A1121" s="947">
        <v>1120</v>
      </c>
      <c r="B1121" s="947" t="s">
        <v>1516</v>
      </c>
      <c r="C1121" s="1018" t="s">
        <v>2104</v>
      </c>
      <c r="D1121" s="1018" t="s">
        <v>1410</v>
      </c>
      <c r="E1121" s="947" t="s">
        <v>1382</v>
      </c>
    </row>
    <row r="1122" spans="1:5" x14ac:dyDescent="0.25">
      <c r="A1122" s="947">
        <v>1121</v>
      </c>
      <c r="B1122" s="947" t="s">
        <v>1516</v>
      </c>
      <c r="C1122" s="1018" t="s">
        <v>2104</v>
      </c>
      <c r="D1122" s="1018" t="s">
        <v>1675</v>
      </c>
      <c r="E1122" s="947" t="s">
        <v>1487</v>
      </c>
    </row>
    <row r="1123" spans="1:5" x14ac:dyDescent="0.25">
      <c r="A1123" s="947">
        <v>1122</v>
      </c>
      <c r="B1123" s="947" t="s">
        <v>1516</v>
      </c>
      <c r="C1123" s="1018" t="s">
        <v>2104</v>
      </c>
      <c r="D1123" s="1018" t="s">
        <v>1410</v>
      </c>
      <c r="E1123" s="947" t="s">
        <v>1488</v>
      </c>
    </row>
    <row r="1124" spans="1:5" ht="30" x14ac:dyDescent="0.25">
      <c r="A1124" s="947">
        <v>1123</v>
      </c>
      <c r="B1124" s="947" t="s">
        <v>1516</v>
      </c>
      <c r="C1124" s="1018" t="s">
        <v>2104</v>
      </c>
      <c r="D1124" s="1018" t="s">
        <v>1544</v>
      </c>
      <c r="E1124" s="947" t="s">
        <v>1385</v>
      </c>
    </row>
    <row r="1125" spans="1:5" ht="30" x14ac:dyDescent="0.25">
      <c r="A1125" s="947">
        <v>1124</v>
      </c>
      <c r="B1125" s="947" t="s">
        <v>1516</v>
      </c>
      <c r="C1125" s="1018" t="s">
        <v>2104</v>
      </c>
      <c r="D1125" s="1018" t="s">
        <v>1544</v>
      </c>
      <c r="E1125" s="947" t="s">
        <v>1386</v>
      </c>
    </row>
    <row r="1126" spans="1:5" ht="30" x14ac:dyDescent="0.25">
      <c r="A1126" s="947">
        <v>1125</v>
      </c>
      <c r="B1126" s="947" t="s">
        <v>1516</v>
      </c>
      <c r="C1126" s="1018" t="s">
        <v>2104</v>
      </c>
      <c r="D1126" s="1018" t="s">
        <v>1544</v>
      </c>
      <c r="E1126" s="947" t="s">
        <v>1495</v>
      </c>
    </row>
    <row r="1127" spans="1:5" x14ac:dyDescent="0.25">
      <c r="A1127" s="947">
        <v>1126</v>
      </c>
      <c r="B1127" s="947" t="s">
        <v>1516</v>
      </c>
      <c r="C1127" s="1018" t="s">
        <v>2104</v>
      </c>
      <c r="D1127" s="1018" t="s">
        <v>1410</v>
      </c>
      <c r="E1127" s="947" t="s">
        <v>1492</v>
      </c>
    </row>
    <row r="1128" spans="1:5" x14ac:dyDescent="0.25">
      <c r="A1128" s="947">
        <v>1127</v>
      </c>
      <c r="B1128" s="947" t="s">
        <v>1516</v>
      </c>
      <c r="C1128" s="1018" t="s">
        <v>2104</v>
      </c>
      <c r="D1128" s="1018" t="s">
        <v>1675</v>
      </c>
      <c r="E1128" s="947" t="s">
        <v>1389</v>
      </c>
    </row>
    <row r="1129" spans="1:5" x14ac:dyDescent="0.25">
      <c r="A1129" s="947">
        <v>1128</v>
      </c>
      <c r="B1129" s="947" t="s">
        <v>1516</v>
      </c>
      <c r="C1129" s="1018" t="s">
        <v>2104</v>
      </c>
      <c r="D1129" s="1018" t="s">
        <v>1675</v>
      </c>
      <c r="E1129" s="947" t="s">
        <v>1396</v>
      </c>
    </row>
    <row r="1130" spans="1:5" x14ac:dyDescent="0.25">
      <c r="A1130" s="947">
        <v>1129</v>
      </c>
      <c r="B1130" s="947" t="s">
        <v>1516</v>
      </c>
      <c r="C1130" s="1018" t="s">
        <v>2117</v>
      </c>
      <c r="D1130" s="1018" t="s">
        <v>1675</v>
      </c>
      <c r="E1130" s="947" t="s">
        <v>1481</v>
      </c>
    </row>
    <row r="1131" spans="1:5" x14ac:dyDescent="0.25">
      <c r="A1131" s="947">
        <v>1130</v>
      </c>
      <c r="B1131" s="947" t="s">
        <v>1516</v>
      </c>
      <c r="C1131" s="1018" t="s">
        <v>2117</v>
      </c>
      <c r="D1131" s="1018" t="s">
        <v>1675</v>
      </c>
      <c r="E1131" s="947" t="s">
        <v>727</v>
      </c>
    </row>
    <row r="1132" spans="1:5" x14ac:dyDescent="0.25">
      <c r="A1132" s="947">
        <v>1131</v>
      </c>
      <c r="B1132" s="947" t="s">
        <v>1516</v>
      </c>
      <c r="C1132" s="1018" t="s">
        <v>2117</v>
      </c>
      <c r="D1132" s="1018" t="s">
        <v>1675</v>
      </c>
      <c r="E1132" s="947" t="s">
        <v>1482</v>
      </c>
    </row>
    <row r="1133" spans="1:5" x14ac:dyDescent="0.25">
      <c r="A1133" s="947">
        <v>1132</v>
      </c>
      <c r="B1133" s="947" t="s">
        <v>1516</v>
      </c>
      <c r="C1133" s="1018" t="s">
        <v>2118</v>
      </c>
      <c r="D1133" s="1018" t="s">
        <v>1675</v>
      </c>
      <c r="E1133" s="947" t="s">
        <v>1481</v>
      </c>
    </row>
    <row r="1134" spans="1:5" x14ac:dyDescent="0.25">
      <c r="A1134" s="947">
        <v>1133</v>
      </c>
      <c r="B1134" s="947" t="s">
        <v>1516</v>
      </c>
      <c r="C1134" s="1018" t="s">
        <v>2118</v>
      </c>
      <c r="D1134" s="1018" t="s">
        <v>1675</v>
      </c>
      <c r="E1134" s="947" t="s">
        <v>727</v>
      </c>
    </row>
    <row r="1135" spans="1:5" x14ac:dyDescent="0.25">
      <c r="A1135" s="947">
        <v>1134</v>
      </c>
      <c r="B1135" s="947" t="s">
        <v>1516</v>
      </c>
      <c r="C1135" s="1018" t="s">
        <v>2118</v>
      </c>
      <c r="D1135" s="1018" t="s">
        <v>1675</v>
      </c>
      <c r="E1135" s="947" t="s">
        <v>1482</v>
      </c>
    </row>
    <row r="1136" spans="1:5" x14ac:dyDescent="0.25">
      <c r="A1136" s="947">
        <v>1135</v>
      </c>
      <c r="B1136" s="947" t="s">
        <v>1516</v>
      </c>
      <c r="C1136" s="1018" t="s">
        <v>2119</v>
      </c>
      <c r="D1136" s="1018" t="s">
        <v>1675</v>
      </c>
      <c r="E1136" s="947" t="s">
        <v>1481</v>
      </c>
    </row>
    <row r="1137" spans="1:5" x14ac:dyDescent="0.25">
      <c r="A1137" s="947">
        <v>1136</v>
      </c>
      <c r="B1137" s="947" t="s">
        <v>1516</v>
      </c>
      <c r="C1137" s="1018" t="s">
        <v>2119</v>
      </c>
      <c r="D1137" s="1018" t="s">
        <v>1675</v>
      </c>
      <c r="E1137" s="947" t="s">
        <v>727</v>
      </c>
    </row>
    <row r="1138" spans="1:5" x14ac:dyDescent="0.25">
      <c r="A1138" s="947">
        <v>1137</v>
      </c>
      <c r="B1138" s="947" t="s">
        <v>1516</v>
      </c>
      <c r="C1138" s="1018" t="s">
        <v>2119</v>
      </c>
      <c r="D1138" s="1018" t="s">
        <v>1675</v>
      </c>
      <c r="E1138" s="947" t="s">
        <v>1482</v>
      </c>
    </row>
    <row r="1139" spans="1:5" x14ac:dyDescent="0.25">
      <c r="A1139" s="947">
        <v>1138</v>
      </c>
      <c r="B1139" s="947" t="s">
        <v>1516</v>
      </c>
      <c r="C1139" s="1018" t="s">
        <v>2120</v>
      </c>
      <c r="D1139" s="1018" t="s">
        <v>1675</v>
      </c>
      <c r="E1139" s="947" t="s">
        <v>1481</v>
      </c>
    </row>
    <row r="1140" spans="1:5" x14ac:dyDescent="0.25">
      <c r="A1140" s="947">
        <v>1139</v>
      </c>
      <c r="B1140" s="947" t="s">
        <v>1516</v>
      </c>
      <c r="C1140" s="1018" t="s">
        <v>2120</v>
      </c>
      <c r="D1140" s="1018" t="s">
        <v>1675</v>
      </c>
      <c r="E1140" s="947" t="s">
        <v>727</v>
      </c>
    </row>
    <row r="1141" spans="1:5" x14ac:dyDescent="0.25">
      <c r="A1141" s="947">
        <v>1140</v>
      </c>
      <c r="B1141" s="947" t="s">
        <v>1516</v>
      </c>
      <c r="C1141" s="1018" t="s">
        <v>2120</v>
      </c>
      <c r="D1141" s="1018" t="s">
        <v>1675</v>
      </c>
      <c r="E1141" s="947" t="s">
        <v>1482</v>
      </c>
    </row>
    <row r="1142" spans="1:5" x14ac:dyDescent="0.25">
      <c r="A1142" s="947">
        <v>1141</v>
      </c>
      <c r="B1142" s="947" t="s">
        <v>1516</v>
      </c>
      <c r="C1142" s="1018" t="s">
        <v>2121</v>
      </c>
      <c r="D1142" s="1018" t="s">
        <v>1675</v>
      </c>
      <c r="E1142" s="947" t="s">
        <v>1481</v>
      </c>
    </row>
    <row r="1143" spans="1:5" x14ac:dyDescent="0.25">
      <c r="A1143" s="947">
        <v>1142</v>
      </c>
      <c r="B1143" s="947" t="s">
        <v>1516</v>
      </c>
      <c r="C1143" s="1018" t="s">
        <v>2121</v>
      </c>
      <c r="D1143" s="1018" t="s">
        <v>1675</v>
      </c>
      <c r="E1143" s="947" t="s">
        <v>727</v>
      </c>
    </row>
    <row r="1144" spans="1:5" x14ac:dyDescent="0.25">
      <c r="A1144" s="947">
        <v>1143</v>
      </c>
      <c r="B1144" s="947" t="s">
        <v>1516</v>
      </c>
      <c r="C1144" s="1018" t="s">
        <v>2121</v>
      </c>
      <c r="D1144" s="1018" t="s">
        <v>1675</v>
      </c>
      <c r="E1144" s="947" t="s">
        <v>1482</v>
      </c>
    </row>
    <row r="1145" spans="1:5" x14ac:dyDescent="0.25">
      <c r="A1145" s="947">
        <v>1144</v>
      </c>
      <c r="B1145" s="947" t="s">
        <v>1516</v>
      </c>
      <c r="C1145" s="1018" t="s">
        <v>2122</v>
      </c>
      <c r="D1145" s="1018" t="s">
        <v>1676</v>
      </c>
      <c r="E1145" s="947" t="s">
        <v>1491</v>
      </c>
    </row>
    <row r="1146" spans="1:5" x14ac:dyDescent="0.25">
      <c r="A1146" s="947">
        <v>1145</v>
      </c>
      <c r="B1146" s="947" t="s">
        <v>1516</v>
      </c>
      <c r="C1146" s="1018" t="s">
        <v>2122</v>
      </c>
      <c r="D1146" s="1018" t="s">
        <v>1676</v>
      </c>
      <c r="E1146" s="947" t="s">
        <v>1705</v>
      </c>
    </row>
    <row r="1147" spans="1:5" x14ac:dyDescent="0.25">
      <c r="A1147" s="947">
        <v>1146</v>
      </c>
      <c r="B1147" s="947" t="s">
        <v>1516</v>
      </c>
      <c r="C1147" s="1018" t="s">
        <v>2122</v>
      </c>
      <c r="D1147" s="1018" t="s">
        <v>1676</v>
      </c>
      <c r="E1147" s="947" t="s">
        <v>1383</v>
      </c>
    </row>
    <row r="1148" spans="1:5" x14ac:dyDescent="0.25">
      <c r="A1148" s="947">
        <v>1147</v>
      </c>
      <c r="B1148" s="947" t="s">
        <v>1516</v>
      </c>
      <c r="C1148" s="1018" t="s">
        <v>2122</v>
      </c>
      <c r="D1148" s="1018" t="s">
        <v>1676</v>
      </c>
      <c r="E1148" s="947" t="s">
        <v>1381</v>
      </c>
    </row>
    <row r="1149" spans="1:5" x14ac:dyDescent="0.25">
      <c r="A1149" s="947">
        <v>1148</v>
      </c>
      <c r="B1149" s="947" t="s">
        <v>1516</v>
      </c>
      <c r="C1149" s="1018" t="s">
        <v>2122</v>
      </c>
      <c r="D1149" s="1018" t="s">
        <v>1410</v>
      </c>
      <c r="E1149" s="947" t="s">
        <v>1382</v>
      </c>
    </row>
    <row r="1150" spans="1:5" ht="30" x14ac:dyDescent="0.25">
      <c r="A1150" s="947">
        <v>1149</v>
      </c>
      <c r="B1150" s="947" t="s">
        <v>1516</v>
      </c>
      <c r="C1150" s="1018" t="s">
        <v>2122</v>
      </c>
      <c r="D1150" s="1018" t="s">
        <v>1544</v>
      </c>
      <c r="E1150" s="947" t="s">
        <v>1385</v>
      </c>
    </row>
    <row r="1151" spans="1:5" ht="30" x14ac:dyDescent="0.25">
      <c r="A1151" s="947">
        <v>1150</v>
      </c>
      <c r="B1151" s="947" t="s">
        <v>1516</v>
      </c>
      <c r="C1151" s="1018" t="s">
        <v>2122</v>
      </c>
      <c r="D1151" s="1018" t="s">
        <v>1544</v>
      </c>
      <c r="E1151" s="947" t="s">
        <v>1386</v>
      </c>
    </row>
    <row r="1152" spans="1:5" ht="30" x14ac:dyDescent="0.25">
      <c r="A1152" s="947">
        <v>1151</v>
      </c>
      <c r="B1152" s="947" t="s">
        <v>1516</v>
      </c>
      <c r="C1152" s="1018" t="s">
        <v>2122</v>
      </c>
      <c r="D1152" s="1018" t="s">
        <v>1544</v>
      </c>
      <c r="E1152" s="947" t="s">
        <v>1495</v>
      </c>
    </row>
    <row r="1153" spans="1:5" x14ac:dyDescent="0.25">
      <c r="A1153" s="947">
        <v>1152</v>
      </c>
      <c r="B1153" s="947" t="s">
        <v>1516</v>
      </c>
      <c r="C1153" s="1018" t="s">
        <v>2122</v>
      </c>
      <c r="D1153" s="1018" t="s">
        <v>1410</v>
      </c>
      <c r="E1153" s="947" t="s">
        <v>1492</v>
      </c>
    </row>
    <row r="1154" spans="1:5" x14ac:dyDescent="0.25">
      <c r="A1154" s="947">
        <v>1153</v>
      </c>
      <c r="B1154" s="947" t="s">
        <v>1516</v>
      </c>
      <c r="C1154" s="1018" t="s">
        <v>2122</v>
      </c>
      <c r="D1154" s="1018" t="s">
        <v>1676</v>
      </c>
      <c r="E1154" s="947" t="s">
        <v>1396</v>
      </c>
    </row>
    <row r="1155" spans="1:5" x14ac:dyDescent="0.25">
      <c r="A1155" s="947">
        <v>1154</v>
      </c>
      <c r="B1155" s="947" t="s">
        <v>1516</v>
      </c>
      <c r="C1155" s="1018" t="s">
        <v>2123</v>
      </c>
      <c r="D1155" s="1018" t="s">
        <v>1676</v>
      </c>
      <c r="E1155" s="947" t="s">
        <v>1481</v>
      </c>
    </row>
    <row r="1156" spans="1:5" x14ac:dyDescent="0.25">
      <c r="A1156" s="947">
        <v>1155</v>
      </c>
      <c r="B1156" s="947" t="s">
        <v>1516</v>
      </c>
      <c r="C1156" s="1018" t="s">
        <v>2123</v>
      </c>
      <c r="D1156" s="1018" t="s">
        <v>1676</v>
      </c>
      <c r="E1156" s="947" t="s">
        <v>727</v>
      </c>
    </row>
    <row r="1157" spans="1:5" x14ac:dyDescent="0.25">
      <c r="A1157" s="947">
        <v>1156</v>
      </c>
      <c r="B1157" s="947" t="s">
        <v>1516</v>
      </c>
      <c r="C1157" s="1018" t="s">
        <v>2123</v>
      </c>
      <c r="D1157" s="1018" t="s">
        <v>1676</v>
      </c>
      <c r="E1157" s="947" t="s">
        <v>1677</v>
      </c>
    </row>
    <row r="1158" spans="1:5" x14ac:dyDescent="0.25">
      <c r="A1158" s="947">
        <v>1157</v>
      </c>
      <c r="B1158" s="947" t="s">
        <v>1516</v>
      </c>
      <c r="C1158" s="1018" t="s">
        <v>2124</v>
      </c>
      <c r="D1158" s="1018" t="s">
        <v>1676</v>
      </c>
      <c r="E1158" s="947" t="s">
        <v>1481</v>
      </c>
    </row>
    <row r="1159" spans="1:5" x14ac:dyDescent="0.25">
      <c r="A1159" s="947">
        <v>1158</v>
      </c>
      <c r="B1159" s="947" t="s">
        <v>1516</v>
      </c>
      <c r="C1159" s="1018" t="s">
        <v>2124</v>
      </c>
      <c r="D1159" s="1018" t="s">
        <v>1676</v>
      </c>
      <c r="E1159" s="947" t="s">
        <v>727</v>
      </c>
    </row>
    <row r="1160" spans="1:5" x14ac:dyDescent="0.25">
      <c r="A1160" s="947">
        <v>1159</v>
      </c>
      <c r="B1160" s="947" t="s">
        <v>1516</v>
      </c>
      <c r="C1160" s="1018" t="s">
        <v>2124</v>
      </c>
      <c r="D1160" s="1018" t="s">
        <v>1676</v>
      </c>
      <c r="E1160" s="947" t="s">
        <v>1677</v>
      </c>
    </row>
    <row r="1161" spans="1:5" x14ac:dyDescent="0.25">
      <c r="A1161" s="947">
        <v>1160</v>
      </c>
      <c r="B1161" s="947" t="s">
        <v>1516</v>
      </c>
      <c r="C1161" s="1018" t="s">
        <v>2125</v>
      </c>
      <c r="D1161" s="1018" t="s">
        <v>1676</v>
      </c>
      <c r="E1161" s="947" t="s">
        <v>1481</v>
      </c>
    </row>
    <row r="1162" spans="1:5" x14ac:dyDescent="0.25">
      <c r="A1162" s="947">
        <v>1161</v>
      </c>
      <c r="B1162" s="947" t="s">
        <v>1516</v>
      </c>
      <c r="C1162" s="1018" t="s">
        <v>2125</v>
      </c>
      <c r="D1162" s="1018" t="s">
        <v>1676</v>
      </c>
      <c r="E1162" s="947" t="s">
        <v>727</v>
      </c>
    </row>
    <row r="1163" spans="1:5" x14ac:dyDescent="0.25">
      <c r="A1163" s="947">
        <v>1162</v>
      </c>
      <c r="B1163" s="947" t="s">
        <v>1516</v>
      </c>
      <c r="C1163" s="1018" t="s">
        <v>2125</v>
      </c>
      <c r="D1163" s="1018" t="s">
        <v>1676</v>
      </c>
      <c r="E1163" s="947" t="s">
        <v>1677</v>
      </c>
    </row>
    <row r="1164" spans="1:5" x14ac:dyDescent="0.25">
      <c r="A1164" s="947">
        <v>1163</v>
      </c>
      <c r="B1164" s="947" t="s">
        <v>1516</v>
      </c>
      <c r="C1164" s="1018" t="s">
        <v>2126</v>
      </c>
      <c r="D1164" s="1018" t="s">
        <v>1676</v>
      </c>
      <c r="E1164" s="947" t="s">
        <v>1481</v>
      </c>
    </row>
    <row r="1165" spans="1:5" x14ac:dyDescent="0.25">
      <c r="A1165" s="947">
        <v>1164</v>
      </c>
      <c r="B1165" s="947" t="s">
        <v>1516</v>
      </c>
      <c r="C1165" s="1018" t="s">
        <v>2126</v>
      </c>
      <c r="D1165" s="1018" t="s">
        <v>1676</v>
      </c>
      <c r="E1165" s="947" t="s">
        <v>727</v>
      </c>
    </row>
    <row r="1166" spans="1:5" x14ac:dyDescent="0.25">
      <c r="A1166" s="947">
        <v>1165</v>
      </c>
      <c r="B1166" s="947" t="s">
        <v>1516</v>
      </c>
      <c r="C1166" s="1018" t="s">
        <v>2126</v>
      </c>
      <c r="D1166" s="1018" t="s">
        <v>1676</v>
      </c>
      <c r="E1166" s="947" t="s">
        <v>1677</v>
      </c>
    </row>
    <row r="1167" spans="1:5" x14ac:dyDescent="0.25">
      <c r="A1167" s="947">
        <v>1166</v>
      </c>
      <c r="B1167" s="947" t="s">
        <v>1516</v>
      </c>
      <c r="C1167" s="1018" t="s">
        <v>2127</v>
      </c>
      <c r="D1167" s="1018" t="s">
        <v>1676</v>
      </c>
      <c r="E1167" s="947" t="s">
        <v>1481</v>
      </c>
    </row>
    <row r="1168" spans="1:5" x14ac:dyDescent="0.25">
      <c r="A1168" s="947">
        <v>1167</v>
      </c>
      <c r="B1168" s="947" t="s">
        <v>1516</v>
      </c>
      <c r="C1168" s="1018" t="s">
        <v>2127</v>
      </c>
      <c r="D1168" s="1018" t="s">
        <v>1676</v>
      </c>
      <c r="E1168" s="947" t="s">
        <v>727</v>
      </c>
    </row>
    <row r="1169" spans="1:5" x14ac:dyDescent="0.25">
      <c r="A1169" s="947">
        <v>1168</v>
      </c>
      <c r="B1169" s="947" t="s">
        <v>1516</v>
      </c>
      <c r="C1169" s="1018" t="s">
        <v>2127</v>
      </c>
      <c r="D1169" s="1018" t="s">
        <v>1676</v>
      </c>
      <c r="E1169" s="947" t="s">
        <v>1677</v>
      </c>
    </row>
    <row r="1170" spans="1:5" x14ac:dyDescent="0.25">
      <c r="A1170" s="947">
        <v>1169</v>
      </c>
      <c r="B1170" s="947" t="s">
        <v>1516</v>
      </c>
      <c r="C1170" s="1018" t="s">
        <v>2128</v>
      </c>
      <c r="D1170" s="1018" t="s">
        <v>1676</v>
      </c>
      <c r="E1170" s="947" t="s">
        <v>1491</v>
      </c>
    </row>
    <row r="1171" spans="1:5" x14ac:dyDescent="0.25">
      <c r="A1171" s="947">
        <v>1170</v>
      </c>
      <c r="B1171" s="947" t="s">
        <v>1516</v>
      </c>
      <c r="C1171" s="1018" t="s">
        <v>2128</v>
      </c>
      <c r="D1171" s="1018" t="s">
        <v>1676</v>
      </c>
      <c r="E1171" s="947" t="s">
        <v>1705</v>
      </c>
    </row>
    <row r="1172" spans="1:5" x14ac:dyDescent="0.25">
      <c r="A1172" s="947">
        <v>1171</v>
      </c>
      <c r="B1172" s="947" t="s">
        <v>1516</v>
      </c>
      <c r="C1172" s="1018" t="s">
        <v>2128</v>
      </c>
      <c r="D1172" s="1018" t="s">
        <v>1676</v>
      </c>
      <c r="E1172" s="947" t="s">
        <v>1383</v>
      </c>
    </row>
    <row r="1173" spans="1:5" x14ac:dyDescent="0.25">
      <c r="A1173" s="947">
        <v>1172</v>
      </c>
      <c r="B1173" s="947" t="s">
        <v>1516</v>
      </c>
      <c r="C1173" s="1018" t="s">
        <v>2128</v>
      </c>
      <c r="D1173" s="1018" t="s">
        <v>1676</v>
      </c>
      <c r="E1173" s="947" t="s">
        <v>1381</v>
      </c>
    </row>
    <row r="1174" spans="1:5" x14ac:dyDescent="0.25">
      <c r="A1174" s="947">
        <v>1173</v>
      </c>
      <c r="B1174" s="947" t="s">
        <v>1516</v>
      </c>
      <c r="C1174" s="1018" t="s">
        <v>2128</v>
      </c>
      <c r="D1174" s="1018" t="s">
        <v>1410</v>
      </c>
      <c r="E1174" s="947" t="s">
        <v>1382</v>
      </c>
    </row>
    <row r="1175" spans="1:5" ht="30" x14ac:dyDescent="0.25">
      <c r="A1175" s="947">
        <v>1174</v>
      </c>
      <c r="B1175" s="947" t="s">
        <v>1516</v>
      </c>
      <c r="C1175" s="1018" t="s">
        <v>2128</v>
      </c>
      <c r="D1175" s="1018" t="s">
        <v>1544</v>
      </c>
      <c r="E1175" s="947" t="s">
        <v>1385</v>
      </c>
    </row>
    <row r="1176" spans="1:5" ht="30" x14ac:dyDescent="0.25">
      <c r="A1176" s="947">
        <v>1175</v>
      </c>
      <c r="B1176" s="947" t="s">
        <v>1516</v>
      </c>
      <c r="C1176" s="1018" t="s">
        <v>2128</v>
      </c>
      <c r="D1176" s="1018" t="s">
        <v>1544</v>
      </c>
      <c r="E1176" s="947" t="s">
        <v>1386</v>
      </c>
    </row>
    <row r="1177" spans="1:5" ht="30" x14ac:dyDescent="0.25">
      <c r="A1177" s="947">
        <v>1176</v>
      </c>
      <c r="B1177" s="947" t="s">
        <v>1516</v>
      </c>
      <c r="C1177" s="1018" t="s">
        <v>2128</v>
      </c>
      <c r="D1177" s="1018" t="s">
        <v>1544</v>
      </c>
      <c r="E1177" s="947" t="s">
        <v>1495</v>
      </c>
    </row>
    <row r="1178" spans="1:5" x14ac:dyDescent="0.25">
      <c r="A1178" s="947">
        <v>1177</v>
      </c>
      <c r="B1178" s="947" t="s">
        <v>1516</v>
      </c>
      <c r="C1178" s="1018" t="s">
        <v>2128</v>
      </c>
      <c r="D1178" s="1018" t="s">
        <v>1410</v>
      </c>
      <c r="E1178" s="947" t="s">
        <v>1492</v>
      </c>
    </row>
    <row r="1179" spans="1:5" x14ac:dyDescent="0.25">
      <c r="A1179" s="947">
        <v>1178</v>
      </c>
      <c r="B1179" s="947" t="s">
        <v>1516</v>
      </c>
      <c r="C1179" s="1018" t="s">
        <v>2128</v>
      </c>
      <c r="D1179" s="1018" t="s">
        <v>1676</v>
      </c>
      <c r="E1179" s="947" t="s">
        <v>1396</v>
      </c>
    </row>
    <row r="1180" spans="1:5" x14ac:dyDescent="0.25">
      <c r="A1180" s="947">
        <v>1179</v>
      </c>
      <c r="B1180" s="947" t="s">
        <v>1516</v>
      </c>
      <c r="C1180" s="1018" t="s">
        <v>2129</v>
      </c>
      <c r="D1180" s="1018" t="s">
        <v>1676</v>
      </c>
      <c r="E1180" s="947" t="s">
        <v>1481</v>
      </c>
    </row>
    <row r="1181" spans="1:5" x14ac:dyDescent="0.25">
      <c r="A1181" s="947">
        <v>1180</v>
      </c>
      <c r="B1181" s="947" t="s">
        <v>1516</v>
      </c>
      <c r="C1181" s="1018" t="s">
        <v>2129</v>
      </c>
      <c r="D1181" s="1018" t="s">
        <v>1676</v>
      </c>
      <c r="E1181" s="947" t="s">
        <v>727</v>
      </c>
    </row>
    <row r="1182" spans="1:5" x14ac:dyDescent="0.25">
      <c r="A1182" s="947">
        <v>1181</v>
      </c>
      <c r="B1182" s="947" t="s">
        <v>1516</v>
      </c>
      <c r="C1182" s="1018" t="s">
        <v>2129</v>
      </c>
      <c r="D1182" s="1018" t="s">
        <v>1676</v>
      </c>
      <c r="E1182" s="947" t="s">
        <v>1677</v>
      </c>
    </row>
    <row r="1183" spans="1:5" x14ac:dyDescent="0.25">
      <c r="A1183" s="947">
        <v>1182</v>
      </c>
      <c r="B1183" s="947" t="s">
        <v>1516</v>
      </c>
      <c r="C1183" s="1018" t="s">
        <v>2130</v>
      </c>
      <c r="D1183" s="1018" t="s">
        <v>1676</v>
      </c>
      <c r="E1183" s="947" t="s">
        <v>1481</v>
      </c>
    </row>
    <row r="1184" spans="1:5" x14ac:dyDescent="0.25">
      <c r="A1184" s="947">
        <v>1183</v>
      </c>
      <c r="B1184" s="947" t="s">
        <v>1516</v>
      </c>
      <c r="C1184" s="1018" t="s">
        <v>2130</v>
      </c>
      <c r="D1184" s="1018" t="s">
        <v>1676</v>
      </c>
      <c r="E1184" s="947" t="s">
        <v>727</v>
      </c>
    </row>
    <row r="1185" spans="1:5" x14ac:dyDescent="0.25">
      <c r="A1185" s="947">
        <v>1184</v>
      </c>
      <c r="B1185" s="947" t="s">
        <v>1516</v>
      </c>
      <c r="C1185" s="1018" t="s">
        <v>2130</v>
      </c>
      <c r="D1185" s="1018" t="s">
        <v>1676</v>
      </c>
      <c r="E1185" s="947" t="s">
        <v>1677</v>
      </c>
    </row>
    <row r="1186" spans="1:5" x14ac:dyDescent="0.25">
      <c r="A1186" s="947">
        <v>1185</v>
      </c>
      <c r="B1186" s="947" t="s">
        <v>1516</v>
      </c>
      <c r="C1186" s="1018" t="s">
        <v>2131</v>
      </c>
      <c r="D1186" s="1018" t="s">
        <v>1676</v>
      </c>
      <c r="E1186" s="947" t="s">
        <v>1481</v>
      </c>
    </row>
    <row r="1187" spans="1:5" x14ac:dyDescent="0.25">
      <c r="A1187" s="947">
        <v>1186</v>
      </c>
      <c r="B1187" s="947" t="s">
        <v>1516</v>
      </c>
      <c r="C1187" s="1018" t="s">
        <v>2131</v>
      </c>
      <c r="D1187" s="1018" t="s">
        <v>1676</v>
      </c>
      <c r="E1187" s="947" t="s">
        <v>727</v>
      </c>
    </row>
    <row r="1188" spans="1:5" x14ac:dyDescent="0.25">
      <c r="A1188" s="947">
        <v>1187</v>
      </c>
      <c r="B1188" s="947" t="s">
        <v>1516</v>
      </c>
      <c r="C1188" s="1018" t="s">
        <v>2131</v>
      </c>
      <c r="D1188" s="1018" t="s">
        <v>1676</v>
      </c>
      <c r="E1188" s="947" t="s">
        <v>1677</v>
      </c>
    </row>
    <row r="1189" spans="1:5" x14ac:dyDescent="0.25">
      <c r="A1189" s="947">
        <v>1188</v>
      </c>
      <c r="B1189" s="947" t="s">
        <v>1516</v>
      </c>
      <c r="C1189" s="1018" t="s">
        <v>2132</v>
      </c>
      <c r="D1189" s="1018" t="s">
        <v>1676</v>
      </c>
      <c r="E1189" s="947" t="s">
        <v>1481</v>
      </c>
    </row>
    <row r="1190" spans="1:5" x14ac:dyDescent="0.25">
      <c r="A1190" s="947">
        <v>1189</v>
      </c>
      <c r="B1190" s="947" t="s">
        <v>1516</v>
      </c>
      <c r="C1190" s="1018" t="s">
        <v>2132</v>
      </c>
      <c r="D1190" s="1018" t="s">
        <v>1676</v>
      </c>
      <c r="E1190" s="947" t="s">
        <v>727</v>
      </c>
    </row>
    <row r="1191" spans="1:5" x14ac:dyDescent="0.25">
      <c r="A1191" s="947">
        <v>1190</v>
      </c>
      <c r="B1191" s="947" t="s">
        <v>1516</v>
      </c>
      <c r="C1191" s="1018" t="s">
        <v>2132</v>
      </c>
      <c r="D1191" s="1018" t="s">
        <v>1676</v>
      </c>
      <c r="E1191" s="947" t="s">
        <v>1677</v>
      </c>
    </row>
    <row r="1192" spans="1:5" x14ac:dyDescent="0.25">
      <c r="A1192" s="947">
        <v>1191</v>
      </c>
      <c r="B1192" s="947" t="s">
        <v>1516</v>
      </c>
      <c r="C1192" s="1018" t="s">
        <v>2133</v>
      </c>
      <c r="D1192" s="1018" t="s">
        <v>1676</v>
      </c>
      <c r="E1192" s="947" t="s">
        <v>1481</v>
      </c>
    </row>
    <row r="1193" spans="1:5" x14ac:dyDescent="0.25">
      <c r="A1193" s="947">
        <v>1192</v>
      </c>
      <c r="B1193" s="947" t="s">
        <v>1516</v>
      </c>
      <c r="C1193" s="1018" t="s">
        <v>2133</v>
      </c>
      <c r="D1193" s="1018" t="s">
        <v>1676</v>
      </c>
      <c r="E1193" s="947" t="s">
        <v>727</v>
      </c>
    </row>
    <row r="1194" spans="1:5" x14ac:dyDescent="0.25">
      <c r="A1194" s="947">
        <v>1193</v>
      </c>
      <c r="B1194" s="947" t="s">
        <v>1516</v>
      </c>
      <c r="C1194" s="1018" t="s">
        <v>2133</v>
      </c>
      <c r="D1194" s="1018" t="s">
        <v>1676</v>
      </c>
      <c r="E1194" s="947" t="s">
        <v>1677</v>
      </c>
    </row>
    <row r="1195" spans="1:5" ht="30" x14ac:dyDescent="0.25">
      <c r="A1195" s="947">
        <v>1194</v>
      </c>
      <c r="B1195" s="947" t="s">
        <v>1516</v>
      </c>
      <c r="C1195" s="1018" t="s">
        <v>2134</v>
      </c>
      <c r="D1195" s="1018" t="s">
        <v>1678</v>
      </c>
      <c r="E1195" s="947" t="s">
        <v>1491</v>
      </c>
    </row>
    <row r="1196" spans="1:5" ht="30" x14ac:dyDescent="0.25">
      <c r="A1196" s="947">
        <v>1195</v>
      </c>
      <c r="B1196" s="947" t="s">
        <v>1516</v>
      </c>
      <c r="C1196" s="1018" t="s">
        <v>2134</v>
      </c>
      <c r="D1196" s="1018" t="s">
        <v>1678</v>
      </c>
      <c r="E1196" s="947" t="s">
        <v>1705</v>
      </c>
    </row>
    <row r="1197" spans="1:5" ht="30" x14ac:dyDescent="0.25">
      <c r="A1197" s="947">
        <v>1196</v>
      </c>
      <c r="B1197" s="947" t="s">
        <v>1516</v>
      </c>
      <c r="C1197" s="1018" t="s">
        <v>2134</v>
      </c>
      <c r="D1197" s="1018" t="s">
        <v>1678</v>
      </c>
      <c r="E1197" s="947" t="s">
        <v>1383</v>
      </c>
    </row>
    <row r="1198" spans="1:5" ht="30" x14ac:dyDescent="0.25">
      <c r="A1198" s="947">
        <v>1197</v>
      </c>
      <c r="B1198" s="947" t="s">
        <v>1516</v>
      </c>
      <c r="C1198" s="1018" t="s">
        <v>2134</v>
      </c>
      <c r="D1198" s="1018" t="s">
        <v>1678</v>
      </c>
      <c r="E1198" s="947" t="s">
        <v>1381</v>
      </c>
    </row>
    <row r="1199" spans="1:5" ht="30" x14ac:dyDescent="0.25">
      <c r="A1199" s="947">
        <v>1198</v>
      </c>
      <c r="B1199" s="947" t="s">
        <v>1516</v>
      </c>
      <c r="C1199" s="1018" t="s">
        <v>2134</v>
      </c>
      <c r="D1199" s="1018" t="s">
        <v>1544</v>
      </c>
      <c r="E1199" s="947" t="s">
        <v>1385</v>
      </c>
    </row>
    <row r="1200" spans="1:5" ht="30" x14ac:dyDescent="0.25">
      <c r="A1200" s="947">
        <v>1199</v>
      </c>
      <c r="B1200" s="947" t="s">
        <v>1516</v>
      </c>
      <c r="C1200" s="1018" t="s">
        <v>2134</v>
      </c>
      <c r="D1200" s="1018" t="s">
        <v>1544</v>
      </c>
      <c r="E1200" s="947" t="s">
        <v>1386</v>
      </c>
    </row>
    <row r="1201" spans="1:59" ht="30" x14ac:dyDescent="0.25">
      <c r="A1201" s="947">
        <v>1200</v>
      </c>
      <c r="B1201" s="947" t="s">
        <v>1516</v>
      </c>
      <c r="C1201" s="1018" t="s">
        <v>2134</v>
      </c>
      <c r="D1201" s="1018" t="s">
        <v>1544</v>
      </c>
      <c r="E1201" s="947" t="s">
        <v>1495</v>
      </c>
    </row>
    <row r="1202" spans="1:59" ht="30" x14ac:dyDescent="0.25">
      <c r="A1202" s="947">
        <v>1201</v>
      </c>
      <c r="B1202" s="947" t="s">
        <v>1516</v>
      </c>
      <c r="C1202" s="1018" t="s">
        <v>2134</v>
      </c>
      <c r="D1202" s="1018" t="s">
        <v>1678</v>
      </c>
      <c r="E1202" s="947" t="s">
        <v>1389</v>
      </c>
    </row>
    <row r="1203" spans="1:59" s="1441" customFormat="1" x14ac:dyDescent="0.25">
      <c r="A1203" s="947">
        <v>1202</v>
      </c>
      <c r="B1203" s="1016" t="s">
        <v>1742</v>
      </c>
      <c r="C1203" s="1016" t="s">
        <v>1742</v>
      </c>
      <c r="D1203" s="1017" t="s">
        <v>1768</v>
      </c>
      <c r="E1203" s="1016" t="s">
        <v>1768</v>
      </c>
      <c r="F1203" s="79"/>
      <c r="G1203" s="79"/>
      <c r="H1203" s="79"/>
      <c r="I1203" s="79"/>
      <c r="J1203" s="79"/>
      <c r="K1203" s="79"/>
      <c r="L1203" s="79"/>
      <c r="M1203" s="79"/>
      <c r="N1203" s="79"/>
      <c r="O1203" s="79"/>
      <c r="P1203" s="79"/>
      <c r="Q1203" s="79"/>
      <c r="R1203" s="79"/>
      <c r="S1203" s="79"/>
      <c r="T1203" s="79"/>
      <c r="U1203" s="79"/>
      <c r="V1203" s="79"/>
      <c r="W1203" s="79"/>
      <c r="X1203" s="79"/>
      <c r="Y1203" s="79"/>
      <c r="Z1203" s="79"/>
      <c r="AA1203" s="79"/>
      <c r="AB1203" s="79"/>
      <c r="AC1203" s="79"/>
      <c r="AD1203" s="79"/>
      <c r="AE1203" s="79"/>
      <c r="AF1203" s="79"/>
      <c r="AG1203" s="79"/>
      <c r="AH1203" s="79"/>
      <c r="AI1203" s="79"/>
      <c r="AJ1203" s="79"/>
      <c r="AK1203" s="79"/>
      <c r="AL1203" s="79"/>
      <c r="AM1203" s="79"/>
      <c r="AN1203" s="79"/>
      <c r="AO1203" s="79"/>
      <c r="AP1203" s="79"/>
      <c r="AQ1203" s="79"/>
      <c r="AR1203" s="79"/>
      <c r="AS1203" s="79"/>
      <c r="AT1203" s="79"/>
      <c r="AU1203" s="79"/>
      <c r="AV1203" s="79"/>
      <c r="AW1203" s="79"/>
      <c r="AX1203" s="79"/>
      <c r="AY1203" s="79"/>
      <c r="AZ1203" s="79"/>
      <c r="BA1203" s="79"/>
      <c r="BB1203" s="79"/>
      <c r="BC1203" s="79"/>
      <c r="BD1203" s="79"/>
      <c r="BE1203" s="79"/>
      <c r="BF1203" s="79"/>
      <c r="BG1203" s="79"/>
    </row>
    <row r="1204" spans="1:59" s="1441" customFormat="1" x14ac:dyDescent="0.25">
      <c r="A1204" s="947">
        <v>1203</v>
      </c>
      <c r="B1204" s="1016" t="s">
        <v>1742</v>
      </c>
      <c r="C1204" s="1016" t="s">
        <v>1742</v>
      </c>
      <c r="D1204" s="1016" t="s">
        <v>2052</v>
      </c>
      <c r="E1204" s="1016" t="s">
        <v>2052</v>
      </c>
      <c r="F1204" s="79"/>
      <c r="G1204" s="79"/>
      <c r="H1204" s="79"/>
      <c r="I1204" s="79"/>
      <c r="J1204" s="79"/>
      <c r="K1204" s="79"/>
      <c r="L1204" s="79"/>
      <c r="M1204" s="79"/>
      <c r="N1204" s="79"/>
      <c r="O1204" s="79"/>
      <c r="P1204" s="79"/>
      <c r="Q1204" s="79"/>
      <c r="R1204" s="79"/>
      <c r="S1204" s="79"/>
      <c r="T1204" s="79"/>
      <c r="U1204" s="79"/>
      <c r="V1204" s="79"/>
      <c r="W1204" s="79"/>
      <c r="X1204" s="79"/>
      <c r="Y1204" s="79"/>
      <c r="Z1204" s="79"/>
      <c r="AA1204" s="79"/>
      <c r="AB1204" s="79"/>
      <c r="AC1204" s="79"/>
      <c r="AD1204" s="79"/>
      <c r="AE1204" s="79"/>
      <c r="AF1204" s="79"/>
      <c r="AG1204" s="79"/>
      <c r="AH1204" s="79"/>
      <c r="AI1204" s="79"/>
      <c r="AJ1204" s="79"/>
      <c r="AK1204" s="79"/>
      <c r="AL1204" s="79"/>
      <c r="AM1204" s="79"/>
      <c r="AN1204" s="79"/>
      <c r="AO1204" s="79"/>
      <c r="AP1204" s="79"/>
      <c r="AQ1204" s="79"/>
      <c r="AR1204" s="79"/>
      <c r="AS1204" s="79"/>
      <c r="AT1204" s="79"/>
      <c r="AU1204" s="79"/>
      <c r="AV1204" s="79"/>
      <c r="AW1204" s="79"/>
      <c r="AX1204" s="79"/>
      <c r="AY1204" s="79"/>
      <c r="AZ1204" s="79"/>
      <c r="BA1204" s="79"/>
      <c r="BB1204" s="79"/>
      <c r="BC1204" s="79"/>
      <c r="BD1204" s="79"/>
      <c r="BE1204" s="79"/>
      <c r="BF1204" s="79"/>
      <c r="BG1204" s="79"/>
    </row>
    <row r="1205" spans="1:59" s="1441" customFormat="1" x14ac:dyDescent="0.25">
      <c r="A1205" s="947">
        <v>1204</v>
      </c>
      <c r="B1205" s="947" t="s">
        <v>1516</v>
      </c>
      <c r="C1205" s="1018" t="s">
        <v>2107</v>
      </c>
      <c r="D1205" s="1017" t="s">
        <v>1410</v>
      </c>
      <c r="E1205" s="1016" t="s">
        <v>1380</v>
      </c>
      <c r="F1205" s="79"/>
      <c r="G1205" s="79"/>
      <c r="H1205" s="79"/>
      <c r="I1205" s="79"/>
      <c r="J1205" s="79"/>
      <c r="K1205" s="79"/>
      <c r="L1205" s="79"/>
      <c r="M1205" s="79"/>
      <c r="N1205" s="79"/>
      <c r="O1205" s="79"/>
      <c r="P1205" s="79"/>
      <c r="Q1205" s="79"/>
      <c r="R1205" s="79"/>
      <c r="S1205" s="79"/>
      <c r="T1205" s="79"/>
      <c r="U1205" s="79"/>
      <c r="V1205" s="79"/>
      <c r="W1205" s="79"/>
      <c r="X1205" s="79"/>
      <c r="Y1205" s="79"/>
      <c r="Z1205" s="79"/>
      <c r="AA1205" s="79"/>
      <c r="AB1205" s="79"/>
      <c r="AC1205" s="79"/>
      <c r="AD1205" s="79"/>
      <c r="AE1205" s="79"/>
      <c r="AF1205" s="79"/>
      <c r="AG1205" s="79"/>
      <c r="AH1205" s="79"/>
      <c r="AI1205" s="79"/>
      <c r="AJ1205" s="79"/>
      <c r="AK1205" s="79"/>
      <c r="AL1205" s="79"/>
      <c r="AM1205" s="79"/>
      <c r="AN1205" s="79"/>
      <c r="AO1205" s="79"/>
      <c r="AP1205" s="79"/>
      <c r="AQ1205" s="79"/>
      <c r="AR1205" s="79"/>
      <c r="AS1205" s="79"/>
      <c r="AT1205" s="79"/>
      <c r="AU1205" s="79"/>
      <c r="AV1205" s="79"/>
      <c r="AW1205" s="79"/>
      <c r="AX1205" s="79"/>
      <c r="AY1205" s="79"/>
      <c r="AZ1205" s="79"/>
      <c r="BA1205" s="79"/>
      <c r="BB1205" s="79"/>
      <c r="BC1205" s="79"/>
      <c r="BD1205" s="79"/>
      <c r="BE1205" s="79"/>
      <c r="BF1205" s="79"/>
      <c r="BG1205" s="79"/>
    </row>
    <row r="1206" spans="1:59" s="1441" customFormat="1" x14ac:dyDescent="0.25">
      <c r="A1206" s="947">
        <v>1205</v>
      </c>
      <c r="B1206" s="947" t="s">
        <v>1516</v>
      </c>
      <c r="C1206" s="1018" t="s">
        <v>2108</v>
      </c>
      <c r="D1206" s="1017" t="s">
        <v>1410</v>
      </c>
      <c r="E1206" s="1016" t="s">
        <v>1478</v>
      </c>
      <c r="F1206" s="79"/>
      <c r="G1206" s="79"/>
      <c r="H1206" s="79"/>
      <c r="I1206" s="79"/>
      <c r="J1206" s="79"/>
      <c r="K1206" s="79"/>
      <c r="L1206" s="79"/>
      <c r="M1206" s="79"/>
      <c r="N1206" s="79"/>
      <c r="O1206" s="79"/>
      <c r="P1206" s="79"/>
      <c r="Q1206" s="79"/>
      <c r="R1206" s="79"/>
      <c r="S1206" s="79"/>
      <c r="T1206" s="79"/>
      <c r="U1206" s="79"/>
      <c r="V1206" s="79"/>
      <c r="W1206" s="79"/>
      <c r="X1206" s="79"/>
      <c r="Y1206" s="79"/>
      <c r="Z1206" s="79"/>
      <c r="AA1206" s="79"/>
      <c r="AB1206" s="79"/>
      <c r="AC1206" s="79"/>
      <c r="AD1206" s="79"/>
      <c r="AE1206" s="79"/>
      <c r="AF1206" s="79"/>
      <c r="AG1206" s="79"/>
      <c r="AH1206" s="79"/>
      <c r="AI1206" s="79"/>
      <c r="AJ1206" s="79"/>
      <c r="AK1206" s="79"/>
      <c r="AL1206" s="79"/>
      <c r="AM1206" s="79"/>
      <c r="AN1206" s="79"/>
      <c r="AO1206" s="79"/>
      <c r="AP1206" s="79"/>
      <c r="AQ1206" s="79"/>
      <c r="AR1206" s="79"/>
      <c r="AS1206" s="79"/>
      <c r="AT1206" s="79"/>
      <c r="AU1206" s="79"/>
      <c r="AV1206" s="79"/>
      <c r="AW1206" s="79"/>
      <c r="AX1206" s="79"/>
      <c r="AY1206" s="79"/>
      <c r="AZ1206" s="79"/>
      <c r="BA1206" s="79"/>
      <c r="BB1206" s="79"/>
      <c r="BC1206" s="79"/>
      <c r="BD1206" s="79"/>
      <c r="BE1206" s="79"/>
      <c r="BF1206" s="79"/>
      <c r="BG1206" s="79"/>
    </row>
    <row r="1207" spans="1:59" s="1441" customFormat="1" x14ac:dyDescent="0.25">
      <c r="A1207" s="947">
        <v>1206</v>
      </c>
      <c r="B1207" s="947" t="s">
        <v>1516</v>
      </c>
      <c r="C1207" s="1018" t="s">
        <v>2109</v>
      </c>
      <c r="D1207" s="1017" t="s">
        <v>1410</v>
      </c>
      <c r="E1207" s="1016" t="s">
        <v>1478</v>
      </c>
      <c r="F1207" s="79"/>
      <c r="G1207" s="79"/>
      <c r="H1207" s="79"/>
      <c r="I1207" s="79"/>
      <c r="J1207" s="79"/>
      <c r="K1207" s="79"/>
      <c r="L1207" s="79"/>
      <c r="M1207" s="79"/>
      <c r="N1207" s="79"/>
      <c r="O1207" s="79"/>
      <c r="P1207" s="79"/>
      <c r="Q1207" s="79"/>
      <c r="R1207" s="79"/>
      <c r="S1207" s="79"/>
      <c r="T1207" s="79"/>
      <c r="U1207" s="79"/>
      <c r="V1207" s="79"/>
      <c r="W1207" s="79"/>
      <c r="X1207" s="79"/>
      <c r="Y1207" s="79"/>
      <c r="Z1207" s="79"/>
      <c r="AA1207" s="79"/>
      <c r="AB1207" s="79"/>
      <c r="AC1207" s="79"/>
      <c r="AD1207" s="79"/>
      <c r="AE1207" s="79"/>
      <c r="AF1207" s="79"/>
      <c r="AG1207" s="79"/>
      <c r="AH1207" s="79"/>
      <c r="AI1207" s="79"/>
      <c r="AJ1207" s="79"/>
      <c r="AK1207" s="79"/>
      <c r="AL1207" s="79"/>
      <c r="AM1207" s="79"/>
      <c r="AN1207" s="79"/>
      <c r="AO1207" s="79"/>
      <c r="AP1207" s="79"/>
      <c r="AQ1207" s="79"/>
      <c r="AR1207" s="79"/>
      <c r="AS1207" s="79"/>
      <c r="AT1207" s="79"/>
      <c r="AU1207" s="79"/>
      <c r="AV1207" s="79"/>
      <c r="AW1207" s="79"/>
      <c r="AX1207" s="79"/>
      <c r="AY1207" s="79"/>
      <c r="AZ1207" s="79"/>
      <c r="BA1207" s="79"/>
      <c r="BB1207" s="79"/>
      <c r="BC1207" s="79"/>
      <c r="BD1207" s="79"/>
      <c r="BE1207" s="79"/>
      <c r="BF1207" s="79"/>
      <c r="BG1207" s="79"/>
    </row>
    <row r="1208" spans="1:59" s="1441" customFormat="1" x14ac:dyDescent="0.25">
      <c r="A1208" s="947">
        <v>1207</v>
      </c>
      <c r="B1208" s="1287" t="s">
        <v>1351</v>
      </c>
      <c r="C1208" s="1288" t="s">
        <v>2072</v>
      </c>
      <c r="D1208" s="1288" t="s">
        <v>1410</v>
      </c>
      <c r="E1208" s="1288" t="s">
        <v>2072</v>
      </c>
      <c r="F1208" s="79"/>
      <c r="G1208" s="79"/>
      <c r="H1208" s="79"/>
      <c r="I1208" s="79"/>
      <c r="J1208" s="79"/>
      <c r="K1208" s="79"/>
      <c r="L1208" s="79"/>
      <c r="M1208" s="79"/>
      <c r="N1208" s="79"/>
      <c r="O1208" s="79"/>
      <c r="P1208" s="79"/>
      <c r="Q1208" s="79"/>
      <c r="R1208" s="79"/>
      <c r="S1208" s="79"/>
      <c r="T1208" s="79"/>
      <c r="U1208" s="79"/>
      <c r="V1208" s="79"/>
      <c r="W1208" s="79"/>
      <c r="X1208" s="79"/>
      <c r="Y1208" s="79"/>
      <c r="Z1208" s="79"/>
      <c r="AA1208" s="79"/>
      <c r="AB1208" s="79"/>
      <c r="AC1208" s="79"/>
      <c r="AD1208" s="79"/>
      <c r="AE1208" s="79"/>
      <c r="AF1208" s="79"/>
      <c r="AG1208" s="79"/>
      <c r="AH1208" s="79"/>
      <c r="AI1208" s="79"/>
      <c r="AJ1208" s="79"/>
      <c r="AK1208" s="79"/>
      <c r="AL1208" s="79"/>
      <c r="AM1208" s="79"/>
      <c r="AN1208" s="79"/>
      <c r="AO1208" s="79"/>
      <c r="AP1208" s="79"/>
      <c r="AQ1208" s="79"/>
      <c r="AR1208" s="79"/>
      <c r="AS1208" s="79"/>
      <c r="AT1208" s="79"/>
      <c r="AU1208" s="79"/>
      <c r="AV1208" s="79"/>
      <c r="AW1208" s="79"/>
      <c r="AX1208" s="79"/>
      <c r="AY1208" s="79"/>
      <c r="AZ1208" s="79"/>
      <c r="BA1208" s="79"/>
      <c r="BB1208" s="79"/>
      <c r="BC1208" s="79"/>
      <c r="BD1208" s="79"/>
      <c r="BE1208" s="79"/>
      <c r="BF1208" s="79"/>
      <c r="BG1208" s="79"/>
    </row>
    <row r="1209" spans="1:59" x14ac:dyDescent="0.25">
      <c r="A1209" s="947">
        <v>1208</v>
      </c>
      <c r="B1209" s="947" t="s">
        <v>1516</v>
      </c>
      <c r="C1209" s="1018" t="s">
        <v>2017</v>
      </c>
      <c r="D1209" s="1018" t="s">
        <v>1775</v>
      </c>
      <c r="E1209" s="947" t="s">
        <v>1491</v>
      </c>
    </row>
    <row r="1210" spans="1:59" x14ac:dyDescent="0.25">
      <c r="A1210" s="947">
        <v>1209</v>
      </c>
      <c r="B1210" s="947" t="s">
        <v>1516</v>
      </c>
      <c r="C1210" s="1018" t="s">
        <v>2017</v>
      </c>
      <c r="D1210" s="1018" t="s">
        <v>1410</v>
      </c>
      <c r="E1210" s="947" t="s">
        <v>1705</v>
      </c>
    </row>
    <row r="1211" spans="1:59" x14ac:dyDescent="0.25">
      <c r="A1211" s="947">
        <v>1210</v>
      </c>
      <c r="B1211" s="947" t="s">
        <v>1516</v>
      </c>
      <c r="C1211" s="1018" t="s">
        <v>2017</v>
      </c>
      <c r="D1211" s="1018" t="s">
        <v>1410</v>
      </c>
      <c r="E1211" s="947" t="s">
        <v>1383</v>
      </c>
    </row>
    <row r="1212" spans="1:59" x14ac:dyDescent="0.25">
      <c r="A1212" s="947">
        <v>1211</v>
      </c>
      <c r="B1212" s="947" t="s">
        <v>1516</v>
      </c>
      <c r="C1212" s="1018" t="s">
        <v>2017</v>
      </c>
      <c r="D1212" s="1018" t="s">
        <v>1775</v>
      </c>
      <c r="E1212" s="947" t="s">
        <v>1381</v>
      </c>
    </row>
    <row r="1213" spans="1:59" x14ac:dyDescent="0.25">
      <c r="A1213" s="947">
        <v>1212</v>
      </c>
      <c r="B1213" s="947" t="s">
        <v>1516</v>
      </c>
      <c r="C1213" s="1018" t="s">
        <v>2017</v>
      </c>
      <c r="D1213" s="1018" t="s">
        <v>1410</v>
      </c>
      <c r="E1213" s="947" t="s">
        <v>1382</v>
      </c>
    </row>
    <row r="1214" spans="1:59" ht="30" x14ac:dyDescent="0.25">
      <c r="A1214" s="947">
        <v>1213</v>
      </c>
      <c r="B1214" s="947" t="s">
        <v>1516</v>
      </c>
      <c r="C1214" s="1018" t="s">
        <v>2017</v>
      </c>
      <c r="D1214" s="1018" t="s">
        <v>1544</v>
      </c>
      <c r="E1214" s="947" t="s">
        <v>1385</v>
      </c>
    </row>
    <row r="1215" spans="1:59" ht="30" x14ac:dyDescent="0.25">
      <c r="A1215" s="947">
        <v>1214</v>
      </c>
      <c r="B1215" s="947" t="s">
        <v>1516</v>
      </c>
      <c r="C1215" s="1018" t="s">
        <v>2017</v>
      </c>
      <c r="D1215" s="1018" t="s">
        <v>1544</v>
      </c>
      <c r="E1215" s="947" t="s">
        <v>1386</v>
      </c>
    </row>
    <row r="1216" spans="1:59" x14ac:dyDescent="0.25">
      <c r="A1216" s="947">
        <v>1215</v>
      </c>
      <c r="B1216" s="947" t="s">
        <v>1516</v>
      </c>
      <c r="C1216" s="1018" t="s">
        <v>2017</v>
      </c>
      <c r="D1216" s="1018" t="s">
        <v>1775</v>
      </c>
      <c r="E1216" s="947" t="s">
        <v>1396</v>
      </c>
    </row>
    <row r="1217" spans="1:5" x14ac:dyDescent="0.25">
      <c r="A1217" s="947">
        <v>1216</v>
      </c>
      <c r="B1217" s="947" t="s">
        <v>1516</v>
      </c>
      <c r="C1217" s="1018" t="s">
        <v>2017</v>
      </c>
      <c r="D1217" s="1018" t="s">
        <v>1775</v>
      </c>
      <c r="E1217" s="947" t="s">
        <v>2005</v>
      </c>
    </row>
    <row r="1218" spans="1:5" x14ac:dyDescent="0.25">
      <c r="A1218" s="947">
        <v>1217</v>
      </c>
      <c r="B1218" s="947" t="s">
        <v>1516</v>
      </c>
      <c r="C1218" s="1018" t="s">
        <v>2017</v>
      </c>
      <c r="D1218" s="1018" t="s">
        <v>1775</v>
      </c>
      <c r="E1218" s="947" t="s">
        <v>1482</v>
      </c>
    </row>
    <row r="1219" spans="1:5" x14ac:dyDescent="0.25">
      <c r="A1219" s="947">
        <v>1218</v>
      </c>
      <c r="B1219" s="947" t="s">
        <v>1516</v>
      </c>
      <c r="C1219" s="1018" t="s">
        <v>2017</v>
      </c>
      <c r="D1219" s="1018" t="s">
        <v>1775</v>
      </c>
      <c r="E1219" s="947" t="s">
        <v>1397</v>
      </c>
    </row>
    <row r="1220" spans="1:5" x14ac:dyDescent="0.25">
      <c r="A1220" s="947">
        <v>1219</v>
      </c>
      <c r="B1220" s="947" t="s">
        <v>1516</v>
      </c>
      <c r="C1220" s="1018" t="s">
        <v>2018</v>
      </c>
      <c r="D1220" s="1018" t="s">
        <v>1410</v>
      </c>
      <c r="E1220" s="947" t="s">
        <v>1491</v>
      </c>
    </row>
    <row r="1221" spans="1:5" x14ac:dyDescent="0.25">
      <c r="A1221" s="947">
        <v>1220</v>
      </c>
      <c r="B1221" s="947" t="s">
        <v>1516</v>
      </c>
      <c r="C1221" s="1018" t="s">
        <v>2018</v>
      </c>
      <c r="D1221" s="1018" t="s">
        <v>1410</v>
      </c>
      <c r="E1221" s="947" t="s">
        <v>1705</v>
      </c>
    </row>
    <row r="1222" spans="1:5" x14ac:dyDescent="0.25">
      <c r="A1222" s="947">
        <v>1221</v>
      </c>
      <c r="B1222" s="947" t="s">
        <v>1516</v>
      </c>
      <c r="C1222" s="1018" t="s">
        <v>2018</v>
      </c>
      <c r="D1222" s="1018" t="s">
        <v>1410</v>
      </c>
      <c r="E1222" s="947" t="s">
        <v>1383</v>
      </c>
    </row>
    <row r="1223" spans="1:5" x14ac:dyDescent="0.25">
      <c r="A1223" s="947">
        <v>1222</v>
      </c>
      <c r="B1223" s="947" t="s">
        <v>1516</v>
      </c>
      <c r="C1223" s="1018" t="s">
        <v>2018</v>
      </c>
      <c r="D1223" s="1018" t="s">
        <v>1775</v>
      </c>
      <c r="E1223" s="947" t="s">
        <v>1381</v>
      </c>
    </row>
    <row r="1224" spans="1:5" x14ac:dyDescent="0.25">
      <c r="A1224" s="947">
        <v>1223</v>
      </c>
      <c r="B1224" s="947" t="s">
        <v>1516</v>
      </c>
      <c r="C1224" s="1018" t="s">
        <v>2018</v>
      </c>
      <c r="D1224" s="1018" t="s">
        <v>1410</v>
      </c>
      <c r="E1224" s="947" t="s">
        <v>1382</v>
      </c>
    </row>
    <row r="1225" spans="1:5" ht="30" x14ac:dyDescent="0.25">
      <c r="A1225" s="947">
        <v>1224</v>
      </c>
      <c r="B1225" s="947" t="s">
        <v>1516</v>
      </c>
      <c r="C1225" s="1018" t="s">
        <v>2018</v>
      </c>
      <c r="D1225" s="1018" t="s">
        <v>1544</v>
      </c>
      <c r="E1225" s="947" t="s">
        <v>1385</v>
      </c>
    </row>
    <row r="1226" spans="1:5" ht="30" x14ac:dyDescent="0.25">
      <c r="A1226" s="947">
        <v>1225</v>
      </c>
      <c r="B1226" s="947" t="s">
        <v>1516</v>
      </c>
      <c r="C1226" s="1018" t="s">
        <v>2018</v>
      </c>
      <c r="D1226" s="1018" t="s">
        <v>1544</v>
      </c>
      <c r="E1226" s="947" t="s">
        <v>1386</v>
      </c>
    </row>
    <row r="1227" spans="1:5" x14ac:dyDescent="0.25">
      <c r="A1227" s="947">
        <v>1226</v>
      </c>
      <c r="B1227" s="947" t="s">
        <v>1516</v>
      </c>
      <c r="C1227" s="1018" t="s">
        <v>2018</v>
      </c>
      <c r="D1227" s="1018" t="s">
        <v>1775</v>
      </c>
      <c r="E1227" s="947" t="s">
        <v>1396</v>
      </c>
    </row>
    <row r="1228" spans="1:5" x14ac:dyDescent="0.25">
      <c r="A1228" s="947">
        <v>1227</v>
      </c>
      <c r="B1228" s="947" t="s">
        <v>1516</v>
      </c>
      <c r="C1228" s="1018" t="s">
        <v>2018</v>
      </c>
      <c r="D1228" s="1018" t="s">
        <v>1775</v>
      </c>
      <c r="E1228" s="947" t="s">
        <v>2005</v>
      </c>
    </row>
    <row r="1229" spans="1:5" x14ac:dyDescent="0.25">
      <c r="A1229" s="947">
        <v>1228</v>
      </c>
      <c r="B1229" s="947" t="s">
        <v>1516</v>
      </c>
      <c r="C1229" s="1018" t="s">
        <v>2018</v>
      </c>
      <c r="D1229" s="1018" t="s">
        <v>1775</v>
      </c>
      <c r="E1229" s="947" t="s">
        <v>1482</v>
      </c>
    </row>
    <row r="1230" spans="1:5" x14ac:dyDescent="0.25">
      <c r="A1230" s="947">
        <v>1229</v>
      </c>
      <c r="B1230" s="947" t="s">
        <v>1516</v>
      </c>
      <c r="C1230" s="1018" t="s">
        <v>2018</v>
      </c>
      <c r="D1230" s="1018" t="s">
        <v>1775</v>
      </c>
      <c r="E1230" s="947" t="s">
        <v>1397</v>
      </c>
    </row>
    <row r="1231" spans="1:5" x14ac:dyDescent="0.25">
      <c r="A1231" s="947">
        <v>1230</v>
      </c>
      <c r="B1231" s="947" t="s">
        <v>1516</v>
      </c>
      <c r="C1231" s="1018" t="s">
        <v>2019</v>
      </c>
      <c r="D1231" s="1018" t="s">
        <v>1410</v>
      </c>
      <c r="E1231" s="947" t="s">
        <v>1491</v>
      </c>
    </row>
    <row r="1232" spans="1:5" x14ac:dyDescent="0.25">
      <c r="A1232" s="947">
        <v>1231</v>
      </c>
      <c r="B1232" s="947" t="s">
        <v>1516</v>
      </c>
      <c r="C1232" s="1018" t="s">
        <v>2019</v>
      </c>
      <c r="D1232" s="1018" t="s">
        <v>1410</v>
      </c>
      <c r="E1232" s="947" t="s">
        <v>1705</v>
      </c>
    </row>
    <row r="1233" spans="1:5" x14ac:dyDescent="0.25">
      <c r="A1233" s="947">
        <v>1232</v>
      </c>
      <c r="B1233" s="947" t="s">
        <v>1516</v>
      </c>
      <c r="C1233" s="1018" t="s">
        <v>2019</v>
      </c>
      <c r="D1233" s="1018" t="s">
        <v>1410</v>
      </c>
      <c r="E1233" s="947" t="s">
        <v>1383</v>
      </c>
    </row>
    <row r="1234" spans="1:5" x14ac:dyDescent="0.25">
      <c r="A1234" s="947">
        <v>1233</v>
      </c>
      <c r="B1234" s="947" t="s">
        <v>1516</v>
      </c>
      <c r="C1234" s="1018" t="s">
        <v>2019</v>
      </c>
      <c r="D1234" s="1018" t="s">
        <v>1775</v>
      </c>
      <c r="E1234" s="947" t="s">
        <v>1381</v>
      </c>
    </row>
    <row r="1235" spans="1:5" x14ac:dyDescent="0.25">
      <c r="A1235" s="947">
        <v>1234</v>
      </c>
      <c r="B1235" s="947" t="s">
        <v>1516</v>
      </c>
      <c r="C1235" s="1018" t="s">
        <v>2019</v>
      </c>
      <c r="D1235" s="1018" t="s">
        <v>1410</v>
      </c>
      <c r="E1235" s="947" t="s">
        <v>1382</v>
      </c>
    </row>
    <row r="1236" spans="1:5" ht="30" x14ac:dyDescent="0.25">
      <c r="A1236" s="947">
        <v>1235</v>
      </c>
      <c r="B1236" s="947" t="s">
        <v>1516</v>
      </c>
      <c r="C1236" s="1018" t="s">
        <v>2019</v>
      </c>
      <c r="D1236" s="1018" t="s">
        <v>1544</v>
      </c>
      <c r="E1236" s="947" t="s">
        <v>1385</v>
      </c>
    </row>
    <row r="1237" spans="1:5" ht="30" x14ac:dyDescent="0.25">
      <c r="A1237" s="947">
        <v>1236</v>
      </c>
      <c r="B1237" s="947" t="s">
        <v>1516</v>
      </c>
      <c r="C1237" s="1018" t="s">
        <v>2019</v>
      </c>
      <c r="D1237" s="1018" t="s">
        <v>1544</v>
      </c>
      <c r="E1237" s="947" t="s">
        <v>1386</v>
      </c>
    </row>
    <row r="1238" spans="1:5" x14ac:dyDescent="0.25">
      <c r="A1238" s="947">
        <v>1237</v>
      </c>
      <c r="B1238" s="947" t="s">
        <v>1516</v>
      </c>
      <c r="C1238" s="1018" t="s">
        <v>2019</v>
      </c>
      <c r="D1238" s="1018" t="s">
        <v>1775</v>
      </c>
      <c r="E1238" s="947" t="s">
        <v>1396</v>
      </c>
    </row>
    <row r="1239" spans="1:5" x14ac:dyDescent="0.25">
      <c r="A1239" s="947">
        <v>1238</v>
      </c>
      <c r="B1239" s="947" t="s">
        <v>1516</v>
      </c>
      <c r="C1239" s="1018" t="s">
        <v>2019</v>
      </c>
      <c r="D1239" s="1018" t="s">
        <v>1775</v>
      </c>
      <c r="E1239" s="947" t="s">
        <v>2005</v>
      </c>
    </row>
    <row r="1240" spans="1:5" x14ac:dyDescent="0.25">
      <c r="A1240" s="947">
        <v>1239</v>
      </c>
      <c r="B1240" s="947" t="s">
        <v>1516</v>
      </c>
      <c r="C1240" s="1018" t="s">
        <v>2019</v>
      </c>
      <c r="D1240" s="1018" t="s">
        <v>1775</v>
      </c>
      <c r="E1240" s="947" t="s">
        <v>1482</v>
      </c>
    </row>
    <row r="1241" spans="1:5" x14ac:dyDescent="0.25">
      <c r="A1241" s="947">
        <v>1240</v>
      </c>
      <c r="B1241" s="947" t="s">
        <v>1516</v>
      </c>
      <c r="C1241" s="1018" t="s">
        <v>2019</v>
      </c>
      <c r="D1241" s="1018" t="s">
        <v>1775</v>
      </c>
      <c r="E1241" s="947" t="s">
        <v>1397</v>
      </c>
    </row>
    <row r="1242" spans="1:5" x14ac:dyDescent="0.25">
      <c r="A1242" s="947">
        <v>1241</v>
      </c>
      <c r="B1242" s="947" t="s">
        <v>1516</v>
      </c>
      <c r="C1242" s="1018" t="s">
        <v>2020</v>
      </c>
      <c r="D1242" s="1018" t="s">
        <v>1410</v>
      </c>
      <c r="E1242" s="947" t="s">
        <v>1491</v>
      </c>
    </row>
    <row r="1243" spans="1:5" x14ac:dyDescent="0.25">
      <c r="A1243" s="947">
        <v>1242</v>
      </c>
      <c r="B1243" s="947" t="s">
        <v>1516</v>
      </c>
      <c r="C1243" s="1018" t="s">
        <v>2020</v>
      </c>
      <c r="D1243" s="1018" t="s">
        <v>1410</v>
      </c>
      <c r="E1243" s="947" t="s">
        <v>1705</v>
      </c>
    </row>
    <row r="1244" spans="1:5" x14ac:dyDescent="0.25">
      <c r="A1244" s="947">
        <v>1243</v>
      </c>
      <c r="B1244" s="947" t="s">
        <v>1516</v>
      </c>
      <c r="C1244" s="1018" t="s">
        <v>2020</v>
      </c>
      <c r="D1244" s="1018" t="s">
        <v>1410</v>
      </c>
      <c r="E1244" s="947" t="s">
        <v>1383</v>
      </c>
    </row>
    <row r="1245" spans="1:5" x14ac:dyDescent="0.25">
      <c r="A1245" s="947">
        <v>1244</v>
      </c>
      <c r="B1245" s="947" t="s">
        <v>1516</v>
      </c>
      <c r="C1245" s="1018" t="s">
        <v>2020</v>
      </c>
      <c r="D1245" s="1018" t="s">
        <v>1775</v>
      </c>
      <c r="E1245" s="947" t="s">
        <v>1381</v>
      </c>
    </row>
    <row r="1246" spans="1:5" x14ac:dyDescent="0.25">
      <c r="A1246" s="947">
        <v>1245</v>
      </c>
      <c r="B1246" s="947" t="s">
        <v>1516</v>
      </c>
      <c r="C1246" s="1018" t="s">
        <v>2020</v>
      </c>
      <c r="D1246" s="1018" t="s">
        <v>1410</v>
      </c>
      <c r="E1246" s="947" t="s">
        <v>1382</v>
      </c>
    </row>
    <row r="1247" spans="1:5" ht="30" x14ac:dyDescent="0.25">
      <c r="A1247" s="947">
        <v>1246</v>
      </c>
      <c r="B1247" s="947" t="s">
        <v>1516</v>
      </c>
      <c r="C1247" s="1018" t="s">
        <v>2020</v>
      </c>
      <c r="D1247" s="1018" t="s">
        <v>1544</v>
      </c>
      <c r="E1247" s="947" t="s">
        <v>1385</v>
      </c>
    </row>
    <row r="1248" spans="1:5" ht="30" x14ac:dyDescent="0.25">
      <c r="A1248" s="947">
        <v>1247</v>
      </c>
      <c r="B1248" s="947" t="s">
        <v>1516</v>
      </c>
      <c r="C1248" s="1018" t="s">
        <v>2020</v>
      </c>
      <c r="D1248" s="1018" t="s">
        <v>1544</v>
      </c>
      <c r="E1248" s="947" t="s">
        <v>1386</v>
      </c>
    </row>
    <row r="1249" spans="1:5" x14ac:dyDescent="0.25">
      <c r="A1249" s="947">
        <v>1248</v>
      </c>
      <c r="B1249" s="947" t="s">
        <v>1516</v>
      </c>
      <c r="C1249" s="1018" t="s">
        <v>2020</v>
      </c>
      <c r="D1249" s="1018" t="s">
        <v>1775</v>
      </c>
      <c r="E1249" s="947" t="s">
        <v>1396</v>
      </c>
    </row>
    <row r="1250" spans="1:5" x14ac:dyDescent="0.25">
      <c r="A1250" s="947">
        <v>1249</v>
      </c>
      <c r="B1250" s="947" t="s">
        <v>1516</v>
      </c>
      <c r="C1250" s="1018" t="s">
        <v>2020</v>
      </c>
      <c r="D1250" s="1018" t="s">
        <v>1775</v>
      </c>
      <c r="E1250" s="947" t="s">
        <v>2005</v>
      </c>
    </row>
    <row r="1251" spans="1:5" x14ac:dyDescent="0.25">
      <c r="A1251" s="947">
        <v>1250</v>
      </c>
      <c r="B1251" s="947" t="s">
        <v>1516</v>
      </c>
      <c r="C1251" s="1018" t="s">
        <v>2020</v>
      </c>
      <c r="D1251" s="1018" t="s">
        <v>1775</v>
      </c>
      <c r="E1251" s="947" t="s">
        <v>1482</v>
      </c>
    </row>
    <row r="1252" spans="1:5" x14ac:dyDescent="0.25">
      <c r="A1252" s="947">
        <v>1251</v>
      </c>
      <c r="B1252" s="947" t="s">
        <v>1516</v>
      </c>
      <c r="C1252" s="1018" t="s">
        <v>2020</v>
      </c>
      <c r="D1252" s="1018" t="s">
        <v>1775</v>
      </c>
      <c r="E1252" s="947" t="s">
        <v>1397</v>
      </c>
    </row>
    <row r="1253" spans="1:5" x14ac:dyDescent="0.25">
      <c r="A1253" s="947">
        <v>1252</v>
      </c>
      <c r="B1253" s="947" t="s">
        <v>1516</v>
      </c>
      <c r="C1253" s="1018" t="s">
        <v>2021</v>
      </c>
      <c r="D1253" s="1018" t="s">
        <v>1410</v>
      </c>
      <c r="E1253" s="947" t="s">
        <v>1491</v>
      </c>
    </row>
    <row r="1254" spans="1:5" x14ac:dyDescent="0.25">
      <c r="A1254" s="947">
        <v>1253</v>
      </c>
      <c r="B1254" s="947" t="s">
        <v>1516</v>
      </c>
      <c r="C1254" s="1018" t="s">
        <v>2021</v>
      </c>
      <c r="D1254" s="1018" t="s">
        <v>1410</v>
      </c>
      <c r="E1254" s="947" t="s">
        <v>1705</v>
      </c>
    </row>
    <row r="1255" spans="1:5" x14ac:dyDescent="0.25">
      <c r="A1255" s="947">
        <v>1254</v>
      </c>
      <c r="B1255" s="947" t="s">
        <v>1516</v>
      </c>
      <c r="C1255" s="1018" t="s">
        <v>2021</v>
      </c>
      <c r="D1255" s="1018" t="s">
        <v>1410</v>
      </c>
      <c r="E1255" s="947" t="s">
        <v>1383</v>
      </c>
    </row>
    <row r="1256" spans="1:5" x14ac:dyDescent="0.25">
      <c r="A1256" s="947">
        <v>1255</v>
      </c>
      <c r="B1256" s="947" t="s">
        <v>1516</v>
      </c>
      <c r="C1256" s="1018" t="s">
        <v>2021</v>
      </c>
      <c r="D1256" s="1018" t="s">
        <v>1775</v>
      </c>
      <c r="E1256" s="947" t="s">
        <v>1381</v>
      </c>
    </row>
    <row r="1257" spans="1:5" x14ac:dyDescent="0.25">
      <c r="A1257" s="947">
        <v>1256</v>
      </c>
      <c r="B1257" s="947" t="s">
        <v>1516</v>
      </c>
      <c r="C1257" s="1018" t="s">
        <v>2021</v>
      </c>
      <c r="D1257" s="1018" t="s">
        <v>1410</v>
      </c>
      <c r="E1257" s="947" t="s">
        <v>1382</v>
      </c>
    </row>
    <row r="1258" spans="1:5" ht="30" x14ac:dyDescent="0.25">
      <c r="A1258" s="947">
        <v>1257</v>
      </c>
      <c r="B1258" s="947" t="s">
        <v>1516</v>
      </c>
      <c r="C1258" s="1018" t="s">
        <v>2021</v>
      </c>
      <c r="D1258" s="1018" t="s">
        <v>1544</v>
      </c>
      <c r="E1258" s="947" t="s">
        <v>1385</v>
      </c>
    </row>
    <row r="1259" spans="1:5" ht="30" x14ac:dyDescent="0.25">
      <c r="A1259" s="947">
        <v>1258</v>
      </c>
      <c r="B1259" s="947" t="s">
        <v>1516</v>
      </c>
      <c r="C1259" s="1018" t="s">
        <v>2021</v>
      </c>
      <c r="D1259" s="1018" t="s">
        <v>1544</v>
      </c>
      <c r="E1259" s="947" t="s">
        <v>1386</v>
      </c>
    </row>
    <row r="1260" spans="1:5" x14ac:dyDescent="0.25">
      <c r="A1260" s="947">
        <v>1259</v>
      </c>
      <c r="B1260" s="947" t="s">
        <v>1516</v>
      </c>
      <c r="C1260" s="1018" t="s">
        <v>2021</v>
      </c>
      <c r="D1260" s="1018" t="s">
        <v>1775</v>
      </c>
      <c r="E1260" s="947" t="s">
        <v>1396</v>
      </c>
    </row>
    <row r="1261" spans="1:5" x14ac:dyDescent="0.25">
      <c r="A1261" s="947">
        <v>1260</v>
      </c>
      <c r="B1261" s="947" t="s">
        <v>1516</v>
      </c>
      <c r="C1261" s="1018" t="s">
        <v>2021</v>
      </c>
      <c r="D1261" s="1018" t="s">
        <v>1775</v>
      </c>
      <c r="E1261" s="947" t="s">
        <v>2005</v>
      </c>
    </row>
    <row r="1262" spans="1:5" x14ac:dyDescent="0.25">
      <c r="A1262" s="947">
        <v>1261</v>
      </c>
      <c r="B1262" s="947" t="s">
        <v>1516</v>
      </c>
      <c r="C1262" s="1018" t="s">
        <v>2021</v>
      </c>
      <c r="D1262" s="1018" t="s">
        <v>1775</v>
      </c>
      <c r="E1262" s="947" t="s">
        <v>1482</v>
      </c>
    </row>
    <row r="1263" spans="1:5" x14ac:dyDescent="0.25">
      <c r="A1263" s="947">
        <v>1262</v>
      </c>
      <c r="B1263" s="947" t="s">
        <v>1516</v>
      </c>
      <c r="C1263" s="1018" t="s">
        <v>2021</v>
      </c>
      <c r="D1263" s="1018" t="s">
        <v>1775</v>
      </c>
      <c r="E1263" s="947" t="s">
        <v>1397</v>
      </c>
    </row>
    <row r="1264" spans="1:5" x14ac:dyDescent="0.25">
      <c r="A1264" s="947">
        <v>1263</v>
      </c>
      <c r="B1264" s="947" t="s">
        <v>1516</v>
      </c>
      <c r="C1264" s="1018" t="s">
        <v>2022</v>
      </c>
      <c r="D1264" s="1018" t="s">
        <v>1410</v>
      </c>
      <c r="E1264" s="947" t="s">
        <v>1491</v>
      </c>
    </row>
    <row r="1265" spans="1:5" x14ac:dyDescent="0.25">
      <c r="A1265" s="947">
        <v>1264</v>
      </c>
      <c r="B1265" s="947" t="s">
        <v>1516</v>
      </c>
      <c r="C1265" s="1018" t="s">
        <v>2022</v>
      </c>
      <c r="D1265" s="1018" t="s">
        <v>1410</v>
      </c>
      <c r="E1265" s="947" t="s">
        <v>1705</v>
      </c>
    </row>
    <row r="1266" spans="1:5" x14ac:dyDescent="0.25">
      <c r="A1266" s="947">
        <v>1265</v>
      </c>
      <c r="B1266" s="947" t="s">
        <v>1516</v>
      </c>
      <c r="C1266" s="1018" t="s">
        <v>2022</v>
      </c>
      <c r="D1266" s="1018" t="s">
        <v>1410</v>
      </c>
      <c r="E1266" s="947" t="s">
        <v>1383</v>
      </c>
    </row>
    <row r="1267" spans="1:5" x14ac:dyDescent="0.25">
      <c r="A1267" s="947">
        <v>1266</v>
      </c>
      <c r="B1267" s="947" t="s">
        <v>1516</v>
      </c>
      <c r="C1267" s="1018" t="s">
        <v>2022</v>
      </c>
      <c r="D1267" s="1018" t="s">
        <v>1775</v>
      </c>
      <c r="E1267" s="947" t="s">
        <v>1381</v>
      </c>
    </row>
    <row r="1268" spans="1:5" x14ac:dyDescent="0.25">
      <c r="A1268" s="947">
        <v>1267</v>
      </c>
      <c r="B1268" s="947" t="s">
        <v>1516</v>
      </c>
      <c r="C1268" s="1018" t="s">
        <v>2022</v>
      </c>
      <c r="D1268" s="1018" t="s">
        <v>1410</v>
      </c>
      <c r="E1268" s="947" t="s">
        <v>1382</v>
      </c>
    </row>
    <row r="1269" spans="1:5" ht="30" x14ac:dyDescent="0.25">
      <c r="A1269" s="947">
        <v>1268</v>
      </c>
      <c r="B1269" s="947" t="s">
        <v>1516</v>
      </c>
      <c r="C1269" s="1018" t="s">
        <v>2022</v>
      </c>
      <c r="D1269" s="1018" t="s">
        <v>1544</v>
      </c>
      <c r="E1269" s="947" t="s">
        <v>1385</v>
      </c>
    </row>
    <row r="1270" spans="1:5" ht="30" x14ac:dyDescent="0.25">
      <c r="A1270" s="947">
        <v>1269</v>
      </c>
      <c r="B1270" s="947" t="s">
        <v>1516</v>
      </c>
      <c r="C1270" s="1018" t="s">
        <v>2022</v>
      </c>
      <c r="D1270" s="1018" t="s">
        <v>1544</v>
      </c>
      <c r="E1270" s="947" t="s">
        <v>1386</v>
      </c>
    </row>
    <row r="1271" spans="1:5" x14ac:dyDescent="0.25">
      <c r="A1271" s="947">
        <v>1270</v>
      </c>
      <c r="B1271" s="947" t="s">
        <v>1516</v>
      </c>
      <c r="C1271" s="1018" t="s">
        <v>2022</v>
      </c>
      <c r="D1271" s="1018" t="s">
        <v>1775</v>
      </c>
      <c r="E1271" s="947" t="s">
        <v>1396</v>
      </c>
    </row>
    <row r="1272" spans="1:5" x14ac:dyDescent="0.25">
      <c r="A1272" s="947">
        <v>1271</v>
      </c>
      <c r="B1272" s="947" t="s">
        <v>1516</v>
      </c>
      <c r="C1272" s="1018" t="s">
        <v>2022</v>
      </c>
      <c r="D1272" s="1018" t="s">
        <v>1775</v>
      </c>
      <c r="E1272" s="947" t="s">
        <v>2005</v>
      </c>
    </row>
    <row r="1273" spans="1:5" x14ac:dyDescent="0.25">
      <c r="A1273" s="947">
        <v>1272</v>
      </c>
      <c r="B1273" s="947" t="s">
        <v>1516</v>
      </c>
      <c r="C1273" s="1018" t="s">
        <v>2022</v>
      </c>
      <c r="D1273" s="1018" t="s">
        <v>1775</v>
      </c>
      <c r="E1273" s="947" t="s">
        <v>1482</v>
      </c>
    </row>
    <row r="1274" spans="1:5" x14ac:dyDescent="0.25">
      <c r="A1274" s="947">
        <v>1273</v>
      </c>
      <c r="B1274" s="947" t="s">
        <v>1516</v>
      </c>
      <c r="C1274" s="1018" t="s">
        <v>2022</v>
      </c>
      <c r="D1274" s="1018" t="s">
        <v>1775</v>
      </c>
      <c r="E1274" s="947" t="s">
        <v>1397</v>
      </c>
    </row>
    <row r="1275" spans="1:5" x14ac:dyDescent="0.25">
      <c r="A1275" s="947">
        <v>1274</v>
      </c>
      <c r="B1275" s="947" t="s">
        <v>1516</v>
      </c>
      <c r="C1275" s="1018" t="s">
        <v>2023</v>
      </c>
      <c r="D1275" s="1018" t="s">
        <v>1410</v>
      </c>
      <c r="E1275" s="947" t="s">
        <v>1491</v>
      </c>
    </row>
    <row r="1276" spans="1:5" x14ac:dyDescent="0.25">
      <c r="A1276" s="947">
        <v>1275</v>
      </c>
      <c r="B1276" s="947" t="s">
        <v>1516</v>
      </c>
      <c r="C1276" s="1018" t="s">
        <v>2023</v>
      </c>
      <c r="D1276" s="1018" t="s">
        <v>1410</v>
      </c>
      <c r="E1276" s="947" t="s">
        <v>1705</v>
      </c>
    </row>
    <row r="1277" spans="1:5" x14ac:dyDescent="0.25">
      <c r="A1277" s="947">
        <v>1276</v>
      </c>
      <c r="B1277" s="947" t="s">
        <v>1516</v>
      </c>
      <c r="C1277" s="1018" t="s">
        <v>2023</v>
      </c>
      <c r="D1277" s="1018" t="s">
        <v>1410</v>
      </c>
      <c r="E1277" s="947" t="s">
        <v>1383</v>
      </c>
    </row>
    <row r="1278" spans="1:5" x14ac:dyDescent="0.25">
      <c r="A1278" s="947">
        <v>1277</v>
      </c>
      <c r="B1278" s="947" t="s">
        <v>1516</v>
      </c>
      <c r="C1278" s="1018" t="s">
        <v>2023</v>
      </c>
      <c r="D1278" s="1018" t="s">
        <v>1775</v>
      </c>
      <c r="E1278" s="947" t="s">
        <v>1381</v>
      </c>
    </row>
    <row r="1279" spans="1:5" x14ac:dyDescent="0.25">
      <c r="A1279" s="947">
        <v>1278</v>
      </c>
      <c r="B1279" s="947" t="s">
        <v>1516</v>
      </c>
      <c r="C1279" s="1018" t="s">
        <v>2023</v>
      </c>
      <c r="D1279" s="1018" t="s">
        <v>1410</v>
      </c>
      <c r="E1279" s="947" t="s">
        <v>1382</v>
      </c>
    </row>
    <row r="1280" spans="1:5" ht="30" x14ac:dyDescent="0.25">
      <c r="A1280" s="947">
        <v>1279</v>
      </c>
      <c r="B1280" s="947" t="s">
        <v>1516</v>
      </c>
      <c r="C1280" s="1018" t="s">
        <v>2023</v>
      </c>
      <c r="D1280" s="1018" t="s">
        <v>1544</v>
      </c>
      <c r="E1280" s="947" t="s">
        <v>1385</v>
      </c>
    </row>
    <row r="1281" spans="1:5" ht="30" x14ac:dyDescent="0.25">
      <c r="A1281" s="947">
        <v>1280</v>
      </c>
      <c r="B1281" s="947" t="s">
        <v>1516</v>
      </c>
      <c r="C1281" s="1018" t="s">
        <v>2023</v>
      </c>
      <c r="D1281" s="1018" t="s">
        <v>1544</v>
      </c>
      <c r="E1281" s="947" t="s">
        <v>1386</v>
      </c>
    </row>
    <row r="1282" spans="1:5" x14ac:dyDescent="0.25">
      <c r="A1282" s="947">
        <v>1281</v>
      </c>
      <c r="B1282" s="947" t="s">
        <v>1516</v>
      </c>
      <c r="C1282" s="1018" t="s">
        <v>2023</v>
      </c>
      <c r="D1282" s="1018" t="s">
        <v>1775</v>
      </c>
      <c r="E1282" s="947" t="s">
        <v>1396</v>
      </c>
    </row>
    <row r="1283" spans="1:5" x14ac:dyDescent="0.25">
      <c r="A1283" s="947">
        <v>1282</v>
      </c>
      <c r="B1283" s="947" t="s">
        <v>1516</v>
      </c>
      <c r="C1283" s="1018" t="s">
        <v>2023</v>
      </c>
      <c r="D1283" s="1018" t="s">
        <v>1775</v>
      </c>
      <c r="E1283" s="947" t="s">
        <v>2005</v>
      </c>
    </row>
    <row r="1284" spans="1:5" x14ac:dyDescent="0.25">
      <c r="A1284" s="947">
        <v>1283</v>
      </c>
      <c r="B1284" s="947" t="s">
        <v>1516</v>
      </c>
      <c r="C1284" s="1018" t="s">
        <v>2023</v>
      </c>
      <c r="D1284" s="1018" t="s">
        <v>1775</v>
      </c>
      <c r="E1284" s="947" t="s">
        <v>1482</v>
      </c>
    </row>
    <row r="1285" spans="1:5" x14ac:dyDescent="0.25">
      <c r="A1285" s="947">
        <v>1284</v>
      </c>
      <c r="B1285" s="947" t="s">
        <v>1516</v>
      </c>
      <c r="C1285" s="1018" t="s">
        <v>2023</v>
      </c>
      <c r="D1285" s="1018" t="s">
        <v>1775</v>
      </c>
      <c r="E1285" s="947" t="s">
        <v>1397</v>
      </c>
    </row>
    <row r="1286" spans="1:5" x14ac:dyDescent="0.25">
      <c r="A1286" s="947">
        <v>1285</v>
      </c>
      <c r="B1286" s="947" t="s">
        <v>1516</v>
      </c>
      <c r="C1286" s="1018" t="s">
        <v>2024</v>
      </c>
      <c r="D1286" s="1018" t="s">
        <v>1410</v>
      </c>
      <c r="E1286" s="947" t="s">
        <v>1491</v>
      </c>
    </row>
    <row r="1287" spans="1:5" x14ac:dyDescent="0.25">
      <c r="A1287" s="947">
        <v>1286</v>
      </c>
      <c r="B1287" s="947" t="s">
        <v>1516</v>
      </c>
      <c r="C1287" s="1018" t="s">
        <v>2024</v>
      </c>
      <c r="D1287" s="1018" t="s">
        <v>1410</v>
      </c>
      <c r="E1287" s="947" t="s">
        <v>1705</v>
      </c>
    </row>
    <row r="1288" spans="1:5" x14ac:dyDescent="0.25">
      <c r="A1288" s="947">
        <v>1287</v>
      </c>
      <c r="B1288" s="947" t="s">
        <v>1516</v>
      </c>
      <c r="C1288" s="1018" t="s">
        <v>2024</v>
      </c>
      <c r="D1288" s="1018" t="s">
        <v>1410</v>
      </c>
      <c r="E1288" s="947" t="s">
        <v>1383</v>
      </c>
    </row>
    <row r="1289" spans="1:5" x14ac:dyDescent="0.25">
      <c r="A1289" s="947">
        <v>1288</v>
      </c>
      <c r="B1289" s="947" t="s">
        <v>1516</v>
      </c>
      <c r="C1289" s="1018" t="s">
        <v>2024</v>
      </c>
      <c r="D1289" s="1018" t="s">
        <v>1775</v>
      </c>
      <c r="E1289" s="947" t="s">
        <v>1381</v>
      </c>
    </row>
    <row r="1290" spans="1:5" x14ac:dyDescent="0.25">
      <c r="A1290" s="947">
        <v>1289</v>
      </c>
      <c r="B1290" s="947" t="s">
        <v>1516</v>
      </c>
      <c r="C1290" s="1018" t="s">
        <v>2024</v>
      </c>
      <c r="D1290" s="1018" t="s">
        <v>1410</v>
      </c>
      <c r="E1290" s="947" t="s">
        <v>1382</v>
      </c>
    </row>
    <row r="1291" spans="1:5" ht="30" x14ac:dyDescent="0.25">
      <c r="A1291" s="947">
        <v>1290</v>
      </c>
      <c r="B1291" s="947" t="s">
        <v>1516</v>
      </c>
      <c r="C1291" s="1018" t="s">
        <v>2024</v>
      </c>
      <c r="D1291" s="1018" t="s">
        <v>1544</v>
      </c>
      <c r="E1291" s="947" t="s">
        <v>1385</v>
      </c>
    </row>
    <row r="1292" spans="1:5" ht="30" x14ac:dyDescent="0.25">
      <c r="A1292" s="947">
        <v>1291</v>
      </c>
      <c r="B1292" s="947" t="s">
        <v>1516</v>
      </c>
      <c r="C1292" s="1018" t="s">
        <v>2024</v>
      </c>
      <c r="D1292" s="1018" t="s">
        <v>1544</v>
      </c>
      <c r="E1292" s="947" t="s">
        <v>1386</v>
      </c>
    </row>
    <row r="1293" spans="1:5" x14ac:dyDescent="0.25">
      <c r="A1293" s="947">
        <v>1292</v>
      </c>
      <c r="B1293" s="947" t="s">
        <v>1516</v>
      </c>
      <c r="C1293" s="1018" t="s">
        <v>2024</v>
      </c>
      <c r="D1293" s="1018" t="s">
        <v>1775</v>
      </c>
      <c r="E1293" s="947" t="s">
        <v>1396</v>
      </c>
    </row>
    <row r="1294" spans="1:5" x14ac:dyDescent="0.25">
      <c r="A1294" s="947">
        <v>1293</v>
      </c>
      <c r="B1294" s="947" t="s">
        <v>1516</v>
      </c>
      <c r="C1294" s="1018" t="s">
        <v>2024</v>
      </c>
      <c r="D1294" s="1018" t="s">
        <v>1775</v>
      </c>
      <c r="E1294" s="947" t="s">
        <v>2005</v>
      </c>
    </row>
    <row r="1295" spans="1:5" x14ac:dyDescent="0.25">
      <c r="A1295" s="947">
        <v>1294</v>
      </c>
      <c r="B1295" s="947" t="s">
        <v>1516</v>
      </c>
      <c r="C1295" s="1018" t="s">
        <v>2024</v>
      </c>
      <c r="D1295" s="1018" t="s">
        <v>1775</v>
      </c>
      <c r="E1295" s="947" t="s">
        <v>1482</v>
      </c>
    </row>
    <row r="1296" spans="1:5" x14ac:dyDescent="0.25">
      <c r="A1296" s="947">
        <v>1295</v>
      </c>
      <c r="B1296" s="947" t="s">
        <v>1516</v>
      </c>
      <c r="C1296" s="1018" t="s">
        <v>2024</v>
      </c>
      <c r="D1296" s="1018" t="s">
        <v>1775</v>
      </c>
      <c r="E1296" s="947" t="s">
        <v>1397</v>
      </c>
    </row>
    <row r="1297" spans="1:5" x14ac:dyDescent="0.25">
      <c r="A1297" s="947">
        <v>1296</v>
      </c>
      <c r="B1297" s="947" t="s">
        <v>1516</v>
      </c>
      <c r="C1297" s="1018" t="s">
        <v>2025</v>
      </c>
      <c r="D1297" s="1018" t="s">
        <v>1410</v>
      </c>
      <c r="E1297" s="947" t="s">
        <v>1491</v>
      </c>
    </row>
    <row r="1298" spans="1:5" x14ac:dyDescent="0.25">
      <c r="A1298" s="947">
        <v>1297</v>
      </c>
      <c r="B1298" s="947" t="s">
        <v>1516</v>
      </c>
      <c r="C1298" s="1018" t="s">
        <v>2025</v>
      </c>
      <c r="D1298" s="1018" t="s">
        <v>1410</v>
      </c>
      <c r="E1298" s="947" t="s">
        <v>1705</v>
      </c>
    </row>
    <row r="1299" spans="1:5" x14ac:dyDescent="0.25">
      <c r="A1299" s="947">
        <v>1298</v>
      </c>
      <c r="B1299" s="947" t="s">
        <v>1516</v>
      </c>
      <c r="C1299" s="1018" t="s">
        <v>2025</v>
      </c>
      <c r="D1299" s="1018" t="s">
        <v>1410</v>
      </c>
      <c r="E1299" s="947" t="s">
        <v>1383</v>
      </c>
    </row>
    <row r="1300" spans="1:5" x14ac:dyDescent="0.25">
      <c r="A1300" s="947">
        <v>1299</v>
      </c>
      <c r="B1300" s="947" t="s">
        <v>1516</v>
      </c>
      <c r="C1300" s="1018" t="s">
        <v>2025</v>
      </c>
      <c r="D1300" s="1018" t="s">
        <v>1775</v>
      </c>
      <c r="E1300" s="947" t="s">
        <v>1381</v>
      </c>
    </row>
    <row r="1301" spans="1:5" x14ac:dyDescent="0.25">
      <c r="A1301" s="947">
        <v>1300</v>
      </c>
      <c r="B1301" s="947" t="s">
        <v>1516</v>
      </c>
      <c r="C1301" s="1018" t="s">
        <v>2025</v>
      </c>
      <c r="D1301" s="1018" t="s">
        <v>1410</v>
      </c>
      <c r="E1301" s="947" t="s">
        <v>1382</v>
      </c>
    </row>
    <row r="1302" spans="1:5" ht="30" x14ac:dyDescent="0.25">
      <c r="A1302" s="947">
        <v>1301</v>
      </c>
      <c r="B1302" s="947" t="s">
        <v>1516</v>
      </c>
      <c r="C1302" s="1018" t="s">
        <v>2025</v>
      </c>
      <c r="D1302" s="1018" t="s">
        <v>1544</v>
      </c>
      <c r="E1302" s="947" t="s">
        <v>1385</v>
      </c>
    </row>
    <row r="1303" spans="1:5" ht="30" x14ac:dyDescent="0.25">
      <c r="A1303" s="947">
        <v>1302</v>
      </c>
      <c r="B1303" s="947" t="s">
        <v>1516</v>
      </c>
      <c r="C1303" s="1018" t="s">
        <v>2025</v>
      </c>
      <c r="D1303" s="1018" t="s">
        <v>1544</v>
      </c>
      <c r="E1303" s="947" t="s">
        <v>1386</v>
      </c>
    </row>
    <row r="1304" spans="1:5" x14ac:dyDescent="0.25">
      <c r="A1304" s="947">
        <v>1303</v>
      </c>
      <c r="B1304" s="947" t="s">
        <v>1516</v>
      </c>
      <c r="C1304" s="1018" t="s">
        <v>2025</v>
      </c>
      <c r="D1304" s="1018" t="s">
        <v>1775</v>
      </c>
      <c r="E1304" s="947" t="s">
        <v>1396</v>
      </c>
    </row>
    <row r="1305" spans="1:5" x14ac:dyDescent="0.25">
      <c r="A1305" s="947">
        <v>1304</v>
      </c>
      <c r="B1305" s="947" t="s">
        <v>1516</v>
      </c>
      <c r="C1305" s="1018" t="s">
        <v>2025</v>
      </c>
      <c r="D1305" s="1018" t="s">
        <v>1775</v>
      </c>
      <c r="E1305" s="947" t="s">
        <v>2005</v>
      </c>
    </row>
    <row r="1306" spans="1:5" x14ac:dyDescent="0.25">
      <c r="A1306" s="947">
        <v>1305</v>
      </c>
      <c r="B1306" s="947" t="s">
        <v>1516</v>
      </c>
      <c r="C1306" s="1018" t="s">
        <v>2025</v>
      </c>
      <c r="D1306" s="1018" t="s">
        <v>1775</v>
      </c>
      <c r="E1306" s="947" t="s">
        <v>1482</v>
      </c>
    </row>
    <row r="1307" spans="1:5" x14ac:dyDescent="0.25">
      <c r="A1307" s="947">
        <v>1306</v>
      </c>
      <c r="B1307" s="947" t="s">
        <v>1516</v>
      </c>
      <c r="C1307" s="1018" t="s">
        <v>2025</v>
      </c>
      <c r="D1307" s="1018" t="s">
        <v>1775</v>
      </c>
      <c r="E1307" s="947" t="s">
        <v>1397</v>
      </c>
    </row>
    <row r="1308" spans="1:5" x14ac:dyDescent="0.25">
      <c r="A1308" s="1287">
        <v>1307</v>
      </c>
      <c r="B1308" s="1287" t="s">
        <v>1742</v>
      </c>
      <c r="C1308" s="1287" t="s">
        <v>1742</v>
      </c>
      <c r="D1308" s="1288" t="s">
        <v>1410</v>
      </c>
      <c r="E1308" s="1288" t="s">
        <v>1926</v>
      </c>
    </row>
    <row r="1309" spans="1:5" x14ac:dyDescent="0.25">
      <c r="A1309" s="1287">
        <v>1308</v>
      </c>
      <c r="B1309" s="947" t="s">
        <v>1516</v>
      </c>
      <c r="C1309" s="1546" t="s">
        <v>1710</v>
      </c>
      <c r="D1309" s="1547" t="s">
        <v>1543</v>
      </c>
      <c r="E1309" s="1288" t="s">
        <v>2102</v>
      </c>
    </row>
    <row r="1310" spans="1:5" x14ac:dyDescent="0.25">
      <c r="A1310" s="1287">
        <v>1309</v>
      </c>
      <c r="B1310" s="947" t="s">
        <v>1516</v>
      </c>
      <c r="C1310" s="1546" t="s">
        <v>1711</v>
      </c>
      <c r="D1310" s="1548" t="s">
        <v>1543</v>
      </c>
      <c r="E1310" s="1288" t="s">
        <v>2102</v>
      </c>
    </row>
    <row r="1311" spans="1:5" x14ac:dyDescent="0.25">
      <c r="A1311" s="1287">
        <v>1310</v>
      </c>
      <c r="B1311" s="947" t="s">
        <v>1516</v>
      </c>
      <c r="C1311" s="1546" t="s">
        <v>1546</v>
      </c>
      <c r="D1311" s="1548" t="s">
        <v>1500</v>
      </c>
      <c r="E1311" s="1288" t="s">
        <v>2102</v>
      </c>
    </row>
    <row r="1312" spans="1:5" x14ac:dyDescent="0.25">
      <c r="A1312" s="1287">
        <v>1311</v>
      </c>
      <c r="B1312" s="947" t="s">
        <v>1516</v>
      </c>
      <c r="C1312" s="1546" t="s">
        <v>1548</v>
      </c>
      <c r="D1312" s="1548" t="s">
        <v>1500</v>
      </c>
      <c r="E1312" s="1288" t="s">
        <v>2102</v>
      </c>
    </row>
    <row r="1313" spans="1:5" x14ac:dyDescent="0.25">
      <c r="A1313" s="1287">
        <v>1312</v>
      </c>
      <c r="B1313" s="947" t="s">
        <v>1516</v>
      </c>
      <c r="C1313" s="1546" t="s">
        <v>1550</v>
      </c>
      <c r="D1313" s="1548" t="s">
        <v>1513</v>
      </c>
      <c r="E1313" s="1288" t="s">
        <v>2102</v>
      </c>
    </row>
    <row r="1314" spans="1:5" x14ac:dyDescent="0.25">
      <c r="A1314" s="1287">
        <v>1313</v>
      </c>
      <c r="B1314" s="947" t="s">
        <v>1516</v>
      </c>
      <c r="C1314" s="1546" t="s">
        <v>1556</v>
      </c>
      <c r="D1314" s="1548" t="s">
        <v>1513</v>
      </c>
      <c r="E1314" s="1288" t="s">
        <v>2102</v>
      </c>
    </row>
    <row r="1315" spans="1:5" x14ac:dyDescent="0.25">
      <c r="A1315" s="1287">
        <v>1314</v>
      </c>
      <c r="B1315" s="947" t="s">
        <v>1516</v>
      </c>
      <c r="C1315" s="1546" t="s">
        <v>1562</v>
      </c>
      <c r="D1315" s="1548" t="s">
        <v>1522</v>
      </c>
      <c r="E1315" s="1288" t="s">
        <v>2102</v>
      </c>
    </row>
    <row r="1316" spans="1:5" x14ac:dyDescent="0.25">
      <c r="A1316" s="1287">
        <v>1315</v>
      </c>
      <c r="B1316" s="947" t="s">
        <v>1516</v>
      </c>
      <c r="C1316" s="1546" t="s">
        <v>1564</v>
      </c>
      <c r="D1316" s="1548" t="s">
        <v>1522</v>
      </c>
      <c r="E1316" s="1288" t="s">
        <v>2102</v>
      </c>
    </row>
    <row r="1317" spans="1:5" x14ac:dyDescent="0.25">
      <c r="A1317" s="1287">
        <v>1316</v>
      </c>
      <c r="B1317" s="947" t="s">
        <v>1516</v>
      </c>
      <c r="C1317" s="1546" t="s">
        <v>1566</v>
      </c>
      <c r="D1317" s="1548" t="s">
        <v>1523</v>
      </c>
      <c r="E1317" s="1288" t="s">
        <v>2102</v>
      </c>
    </row>
    <row r="1318" spans="1:5" x14ac:dyDescent="0.25">
      <c r="A1318" s="1287">
        <v>1317</v>
      </c>
      <c r="B1318" s="947" t="s">
        <v>1516</v>
      </c>
      <c r="C1318" s="1546" t="s">
        <v>1572</v>
      </c>
      <c r="D1318" s="1548" t="s">
        <v>1523</v>
      </c>
      <c r="E1318" s="1288" t="s">
        <v>2102</v>
      </c>
    </row>
    <row r="1319" spans="1:5" x14ac:dyDescent="0.25">
      <c r="A1319" s="1287">
        <v>1318</v>
      </c>
      <c r="B1319" s="947" t="s">
        <v>1516</v>
      </c>
      <c r="C1319" s="1546" t="s">
        <v>1712</v>
      </c>
      <c r="D1319" s="1546" t="s">
        <v>1530</v>
      </c>
      <c r="E1319" s="1288" t="s">
        <v>2102</v>
      </c>
    </row>
    <row r="1320" spans="1:5" x14ac:dyDescent="0.25">
      <c r="A1320" s="1287">
        <v>1319</v>
      </c>
      <c r="B1320" s="947" t="s">
        <v>1516</v>
      </c>
      <c r="C1320" s="1546" t="s">
        <v>1713</v>
      </c>
      <c r="D1320" s="1546" t="s">
        <v>1530</v>
      </c>
      <c r="E1320" s="1288" t="s">
        <v>2102</v>
      </c>
    </row>
    <row r="1321" spans="1:5" x14ac:dyDescent="0.25">
      <c r="A1321" s="1287">
        <v>1320</v>
      </c>
      <c r="B1321" s="947" t="s">
        <v>1516</v>
      </c>
      <c r="C1321" s="1546" t="s">
        <v>1580</v>
      </c>
      <c r="D1321" s="1548" t="s">
        <v>1534</v>
      </c>
      <c r="E1321" s="1288" t="s">
        <v>2102</v>
      </c>
    </row>
    <row r="1322" spans="1:5" x14ac:dyDescent="0.25">
      <c r="A1322" s="1287">
        <v>1321</v>
      </c>
      <c r="B1322" s="947" t="s">
        <v>1516</v>
      </c>
      <c r="C1322" s="1546" t="s">
        <v>1582</v>
      </c>
      <c r="D1322" s="1548" t="s">
        <v>1534</v>
      </c>
      <c r="E1322" s="1288" t="s">
        <v>2102</v>
      </c>
    </row>
    <row r="1323" spans="1:5" x14ac:dyDescent="0.25">
      <c r="A1323" s="1287">
        <v>1322</v>
      </c>
      <c r="B1323" s="947" t="s">
        <v>1516</v>
      </c>
      <c r="C1323" s="1546" t="s">
        <v>1584</v>
      </c>
      <c r="D1323" s="1548" t="s">
        <v>1537</v>
      </c>
      <c r="E1323" s="1288" t="s">
        <v>2102</v>
      </c>
    </row>
    <row r="1324" spans="1:5" x14ac:dyDescent="0.25">
      <c r="A1324" s="1287">
        <v>1323</v>
      </c>
      <c r="B1324" s="947" t="s">
        <v>1516</v>
      </c>
      <c r="C1324" s="1546" t="s">
        <v>1590</v>
      </c>
      <c r="D1324" s="1548" t="s">
        <v>1537</v>
      </c>
      <c r="E1324" s="1288" t="s">
        <v>2102</v>
      </c>
    </row>
    <row r="1325" spans="1:5" x14ac:dyDescent="0.25">
      <c r="A1325" s="1287">
        <v>1324</v>
      </c>
      <c r="B1325" s="947" t="s">
        <v>1516</v>
      </c>
      <c r="C1325" s="1546" t="s">
        <v>1597</v>
      </c>
      <c r="D1325" s="1548" t="s">
        <v>1596</v>
      </c>
      <c r="E1325" s="1288" t="s">
        <v>2102</v>
      </c>
    </row>
    <row r="1326" spans="1:5" x14ac:dyDescent="0.25">
      <c r="A1326" s="1287">
        <v>1325</v>
      </c>
      <c r="B1326" s="947" t="s">
        <v>1516</v>
      </c>
      <c r="C1326" s="1546" t="s">
        <v>1714</v>
      </c>
      <c r="D1326" s="1548" t="s">
        <v>1596</v>
      </c>
      <c r="E1326" s="1288" t="s">
        <v>2102</v>
      </c>
    </row>
    <row r="1327" spans="1:5" x14ac:dyDescent="0.25">
      <c r="A1327" s="1287">
        <v>1326</v>
      </c>
      <c r="B1327" s="947" t="s">
        <v>1516</v>
      </c>
      <c r="C1327" s="1546" t="s">
        <v>1716</v>
      </c>
      <c r="D1327" s="1548" t="s">
        <v>1596</v>
      </c>
      <c r="E1327" s="1288" t="s">
        <v>2102</v>
      </c>
    </row>
    <row r="1328" spans="1:5" x14ac:dyDescent="0.25">
      <c r="A1328" s="1287">
        <v>1327</v>
      </c>
      <c r="B1328" s="947" t="s">
        <v>1516</v>
      </c>
      <c r="C1328" s="1546" t="s">
        <v>1718</v>
      </c>
      <c r="D1328" s="1548" t="s">
        <v>1596</v>
      </c>
      <c r="E1328" s="1288" t="s">
        <v>2102</v>
      </c>
    </row>
    <row r="1329" spans="1:5" x14ac:dyDescent="0.25">
      <c r="A1329" s="1287">
        <v>1328</v>
      </c>
      <c r="B1329" s="947" t="s">
        <v>1516</v>
      </c>
      <c r="C1329" s="1546" t="s">
        <v>1720</v>
      </c>
      <c r="D1329" s="1548" t="s">
        <v>1596</v>
      </c>
      <c r="E1329" s="1288" t="s">
        <v>2102</v>
      </c>
    </row>
    <row r="1330" spans="1:5" x14ac:dyDescent="0.25">
      <c r="A1330" s="1287">
        <v>1329</v>
      </c>
      <c r="B1330" s="947" t="s">
        <v>1516</v>
      </c>
      <c r="C1330" s="1546" t="s">
        <v>1664</v>
      </c>
      <c r="D1330" s="1548" t="s">
        <v>1540</v>
      </c>
      <c r="E1330" s="1288" t="s">
        <v>2102</v>
      </c>
    </row>
    <row r="1331" spans="1:5" x14ac:dyDescent="0.25">
      <c r="A1331" s="1287">
        <v>1330</v>
      </c>
      <c r="B1331" s="947" t="s">
        <v>1516</v>
      </c>
      <c r="C1331" s="1546" t="s">
        <v>2103</v>
      </c>
      <c r="D1331" s="1548" t="s">
        <v>1675</v>
      </c>
      <c r="E1331" s="1288" t="s">
        <v>2102</v>
      </c>
    </row>
    <row r="1332" spans="1:5" x14ac:dyDescent="0.25">
      <c r="A1332" s="1287">
        <v>1331</v>
      </c>
      <c r="B1332" s="947" t="s">
        <v>1516</v>
      </c>
      <c r="C1332" s="1546" t="s">
        <v>2104</v>
      </c>
      <c r="D1332" s="1548" t="s">
        <v>1675</v>
      </c>
      <c r="E1332" s="1288" t="s">
        <v>2102</v>
      </c>
    </row>
    <row r="1333" spans="1:5" x14ac:dyDescent="0.25">
      <c r="A1333" s="1287">
        <v>1332</v>
      </c>
      <c r="B1333" s="947" t="s">
        <v>1516</v>
      </c>
      <c r="C1333" s="1018" t="s">
        <v>2017</v>
      </c>
      <c r="D1333" s="1288" t="s">
        <v>1410</v>
      </c>
      <c r="E1333" s="1288" t="s">
        <v>2135</v>
      </c>
    </row>
    <row r="1334" spans="1:5" x14ac:dyDescent="0.25">
      <c r="A1334" s="1287">
        <v>1333</v>
      </c>
      <c r="B1334" s="947" t="s">
        <v>1516</v>
      </c>
      <c r="C1334" s="1018" t="s">
        <v>2018</v>
      </c>
      <c r="D1334" s="1288" t="s">
        <v>1410</v>
      </c>
      <c r="E1334" s="1288" t="s">
        <v>2135</v>
      </c>
    </row>
    <row r="1335" spans="1:5" x14ac:dyDescent="0.25">
      <c r="A1335" s="1287">
        <v>1334</v>
      </c>
      <c r="B1335" s="947" t="s">
        <v>1516</v>
      </c>
      <c r="C1335" s="1018" t="s">
        <v>2019</v>
      </c>
      <c r="D1335" s="1288" t="s">
        <v>1410</v>
      </c>
      <c r="E1335" s="1288" t="s">
        <v>2135</v>
      </c>
    </row>
    <row r="1336" spans="1:5" x14ac:dyDescent="0.25">
      <c r="A1336" s="1287">
        <v>1335</v>
      </c>
      <c r="B1336" s="947" t="s">
        <v>1516</v>
      </c>
      <c r="C1336" s="1018" t="s">
        <v>2020</v>
      </c>
      <c r="D1336" s="1288" t="s">
        <v>1410</v>
      </c>
      <c r="E1336" s="1288" t="s">
        <v>2135</v>
      </c>
    </row>
    <row r="1337" spans="1:5" x14ac:dyDescent="0.25">
      <c r="A1337" s="1287">
        <v>1336</v>
      </c>
      <c r="B1337" s="947" t="s">
        <v>1516</v>
      </c>
      <c r="C1337" s="1018" t="s">
        <v>2021</v>
      </c>
      <c r="D1337" s="1288" t="s">
        <v>1410</v>
      </c>
      <c r="E1337" s="1288" t="s">
        <v>2135</v>
      </c>
    </row>
    <row r="1338" spans="1:5" x14ac:dyDescent="0.25">
      <c r="A1338" s="1287">
        <v>1337</v>
      </c>
      <c r="B1338" s="947" t="s">
        <v>1516</v>
      </c>
      <c r="C1338" s="1018" t="s">
        <v>2022</v>
      </c>
      <c r="D1338" s="1288" t="s">
        <v>1410</v>
      </c>
      <c r="E1338" s="1288" t="s">
        <v>2135</v>
      </c>
    </row>
    <row r="1339" spans="1:5" x14ac:dyDescent="0.25">
      <c r="A1339" s="1287">
        <v>1338</v>
      </c>
      <c r="B1339" s="947" t="s">
        <v>1516</v>
      </c>
      <c r="C1339" s="1018" t="s">
        <v>2023</v>
      </c>
      <c r="D1339" s="1288" t="s">
        <v>1410</v>
      </c>
      <c r="E1339" s="1288" t="s">
        <v>2135</v>
      </c>
    </row>
    <row r="1340" spans="1:5" x14ac:dyDescent="0.25">
      <c r="A1340" s="1287">
        <v>1339</v>
      </c>
      <c r="B1340" s="947" t="s">
        <v>1516</v>
      </c>
      <c r="C1340" s="1018" t="s">
        <v>2024</v>
      </c>
      <c r="D1340" s="1288" t="s">
        <v>1410</v>
      </c>
      <c r="E1340" s="1288" t="s">
        <v>2135</v>
      </c>
    </row>
    <row r="1341" spans="1:5" x14ac:dyDescent="0.25">
      <c r="A1341" s="1287">
        <v>1340</v>
      </c>
      <c r="B1341" s="947" t="s">
        <v>1516</v>
      </c>
      <c r="C1341" s="1018" t="s">
        <v>2025</v>
      </c>
      <c r="D1341" s="1288" t="s">
        <v>1410</v>
      </c>
      <c r="E1341" s="1288" t="s">
        <v>2135</v>
      </c>
    </row>
    <row r="1342" spans="1:5" x14ac:dyDescent="0.25">
      <c r="A1342" s="1287">
        <v>1341</v>
      </c>
      <c r="B1342" s="947" t="s">
        <v>1516</v>
      </c>
      <c r="C1342" s="1018" t="s">
        <v>2142</v>
      </c>
      <c r="D1342" s="1018" t="s">
        <v>2146</v>
      </c>
      <c r="E1342" s="1014" t="s">
        <v>1491</v>
      </c>
    </row>
    <row r="1343" spans="1:5" x14ac:dyDescent="0.25">
      <c r="A1343" s="1287">
        <v>1342</v>
      </c>
      <c r="B1343" s="947" t="s">
        <v>1516</v>
      </c>
      <c r="C1343" s="1018" t="s">
        <v>2142</v>
      </c>
      <c r="D1343" s="1018" t="s">
        <v>1410</v>
      </c>
      <c r="E1343" s="1014" t="s">
        <v>1705</v>
      </c>
    </row>
    <row r="1344" spans="1:5" x14ac:dyDescent="0.25">
      <c r="A1344" s="1287">
        <v>1343</v>
      </c>
      <c r="B1344" s="947" t="s">
        <v>1516</v>
      </c>
      <c r="C1344" s="1018" t="s">
        <v>2142</v>
      </c>
      <c r="D1344" s="1018" t="s">
        <v>2146</v>
      </c>
      <c r="E1344" s="1014" t="s">
        <v>1383</v>
      </c>
    </row>
    <row r="1345" spans="1:5" x14ac:dyDescent="0.25">
      <c r="A1345" s="1287">
        <v>1344</v>
      </c>
      <c r="B1345" s="947" t="s">
        <v>1516</v>
      </c>
      <c r="C1345" s="1018" t="s">
        <v>2142</v>
      </c>
      <c r="D1345" s="1018" t="s">
        <v>2146</v>
      </c>
      <c r="E1345" s="1014" t="s">
        <v>1380</v>
      </c>
    </row>
    <row r="1346" spans="1:5" x14ac:dyDescent="0.25">
      <c r="A1346" s="1287">
        <v>1345</v>
      </c>
      <c r="B1346" s="947" t="s">
        <v>1516</v>
      </c>
      <c r="C1346" s="1018" t="s">
        <v>2142</v>
      </c>
      <c r="D1346" s="1018" t="s">
        <v>2146</v>
      </c>
      <c r="E1346" s="1014" t="s">
        <v>1381</v>
      </c>
    </row>
    <row r="1347" spans="1:5" x14ac:dyDescent="0.25">
      <c r="A1347" s="1287">
        <v>1346</v>
      </c>
      <c r="B1347" s="947" t="s">
        <v>1516</v>
      </c>
      <c r="C1347" s="1018" t="s">
        <v>2142</v>
      </c>
      <c r="D1347" s="1018" t="s">
        <v>2146</v>
      </c>
      <c r="E1347" s="1014" t="s">
        <v>1397</v>
      </c>
    </row>
    <row r="1348" spans="1:5" x14ac:dyDescent="0.25">
      <c r="A1348" s="1287">
        <v>1347</v>
      </c>
      <c r="B1348" s="947" t="s">
        <v>1516</v>
      </c>
      <c r="C1348" s="1018" t="s">
        <v>2142</v>
      </c>
      <c r="D1348" s="1018" t="s">
        <v>1410</v>
      </c>
      <c r="E1348" s="1014" t="s">
        <v>1382</v>
      </c>
    </row>
    <row r="1349" spans="1:5" x14ac:dyDescent="0.25">
      <c r="A1349" s="1287">
        <v>1348</v>
      </c>
      <c r="B1349" s="947" t="s">
        <v>1516</v>
      </c>
      <c r="C1349" s="1018" t="s">
        <v>2142</v>
      </c>
      <c r="D1349" s="1018" t="s">
        <v>2146</v>
      </c>
      <c r="E1349" s="1014" t="s">
        <v>1487</v>
      </c>
    </row>
    <row r="1350" spans="1:5" x14ac:dyDescent="0.25">
      <c r="A1350" s="1287">
        <v>1349</v>
      </c>
      <c r="B1350" s="947" t="s">
        <v>1516</v>
      </c>
      <c r="C1350" s="1018" t="s">
        <v>2142</v>
      </c>
      <c r="D1350" s="1018" t="s">
        <v>1410</v>
      </c>
      <c r="E1350" s="1014" t="s">
        <v>1488</v>
      </c>
    </row>
    <row r="1351" spans="1:5" ht="30" x14ac:dyDescent="0.25">
      <c r="A1351" s="1287">
        <v>1350</v>
      </c>
      <c r="B1351" s="947" t="s">
        <v>1516</v>
      </c>
      <c r="C1351" s="1018" t="s">
        <v>2142</v>
      </c>
      <c r="D1351" s="1018" t="s">
        <v>1544</v>
      </c>
      <c r="E1351" s="1014" t="s">
        <v>1385</v>
      </c>
    </row>
    <row r="1352" spans="1:5" ht="30" x14ac:dyDescent="0.25">
      <c r="A1352" s="1287">
        <v>1351</v>
      </c>
      <c r="B1352" s="947" t="s">
        <v>1516</v>
      </c>
      <c r="C1352" s="1018" t="s">
        <v>2142</v>
      </c>
      <c r="D1352" s="1018" t="s">
        <v>1544</v>
      </c>
      <c r="E1352" s="1014" t="s">
        <v>1386</v>
      </c>
    </row>
    <row r="1353" spans="1:5" ht="30" x14ac:dyDescent="0.25">
      <c r="A1353" s="1287">
        <v>1352</v>
      </c>
      <c r="B1353" s="947" t="s">
        <v>1516</v>
      </c>
      <c r="C1353" s="1018" t="s">
        <v>2142</v>
      </c>
      <c r="D1353" s="1018" t="s">
        <v>1544</v>
      </c>
      <c r="E1353" s="1014" t="s">
        <v>1495</v>
      </c>
    </row>
    <row r="1354" spans="1:5" x14ac:dyDescent="0.25">
      <c r="A1354" s="1287">
        <v>1353</v>
      </c>
      <c r="B1354" s="947" t="s">
        <v>1516</v>
      </c>
      <c r="C1354" s="1018" t="s">
        <v>2142</v>
      </c>
      <c r="D1354" s="1018" t="s">
        <v>2146</v>
      </c>
      <c r="E1354" s="1014" t="s">
        <v>1389</v>
      </c>
    </row>
    <row r="1355" spans="1:5" x14ac:dyDescent="0.25">
      <c r="A1355" s="1287">
        <v>1354</v>
      </c>
      <c r="B1355" s="947" t="s">
        <v>1516</v>
      </c>
      <c r="C1355" s="1018" t="s">
        <v>2156</v>
      </c>
      <c r="D1355" s="1018" t="s">
        <v>2146</v>
      </c>
      <c r="E1355" s="1014" t="s">
        <v>1491</v>
      </c>
    </row>
    <row r="1356" spans="1:5" x14ac:dyDescent="0.25">
      <c r="A1356" s="1287">
        <v>1355</v>
      </c>
      <c r="B1356" s="947" t="s">
        <v>1516</v>
      </c>
      <c r="C1356" s="1018" t="s">
        <v>2156</v>
      </c>
      <c r="D1356" s="1018" t="s">
        <v>1410</v>
      </c>
      <c r="E1356" s="1014" t="s">
        <v>1705</v>
      </c>
    </row>
    <row r="1357" spans="1:5" x14ac:dyDescent="0.25">
      <c r="A1357" s="1287">
        <v>1356</v>
      </c>
      <c r="B1357" s="947" t="s">
        <v>1516</v>
      </c>
      <c r="C1357" s="1018" t="s">
        <v>2156</v>
      </c>
      <c r="D1357" s="1018" t="s">
        <v>2146</v>
      </c>
      <c r="E1357" s="1014" t="s">
        <v>1383</v>
      </c>
    </row>
    <row r="1358" spans="1:5" x14ac:dyDescent="0.25">
      <c r="A1358" s="1287">
        <v>1357</v>
      </c>
      <c r="B1358" s="947" t="s">
        <v>1516</v>
      </c>
      <c r="C1358" s="1018" t="s">
        <v>2156</v>
      </c>
      <c r="D1358" s="1018" t="s">
        <v>2146</v>
      </c>
      <c r="E1358" s="1014" t="s">
        <v>1380</v>
      </c>
    </row>
    <row r="1359" spans="1:5" x14ac:dyDescent="0.25">
      <c r="A1359" s="1287">
        <v>1358</v>
      </c>
      <c r="B1359" s="947" t="s">
        <v>1516</v>
      </c>
      <c r="C1359" s="1018" t="s">
        <v>2156</v>
      </c>
      <c r="D1359" s="1018" t="s">
        <v>2146</v>
      </c>
      <c r="E1359" s="1014" t="s">
        <v>1381</v>
      </c>
    </row>
    <row r="1360" spans="1:5" x14ac:dyDescent="0.25">
      <c r="A1360" s="1287">
        <v>1359</v>
      </c>
      <c r="B1360" s="947" t="s">
        <v>1516</v>
      </c>
      <c r="C1360" s="1018" t="s">
        <v>2156</v>
      </c>
      <c r="D1360" s="1018" t="s">
        <v>2146</v>
      </c>
      <c r="E1360" s="1014" t="s">
        <v>1397</v>
      </c>
    </row>
    <row r="1361" spans="1:5" x14ac:dyDescent="0.25">
      <c r="A1361" s="1287">
        <v>1360</v>
      </c>
      <c r="B1361" s="947" t="s">
        <v>1516</v>
      </c>
      <c r="C1361" s="1018" t="s">
        <v>2156</v>
      </c>
      <c r="D1361" s="1018" t="s">
        <v>1410</v>
      </c>
      <c r="E1361" s="1014" t="s">
        <v>1382</v>
      </c>
    </row>
    <row r="1362" spans="1:5" x14ac:dyDescent="0.25">
      <c r="A1362" s="1287">
        <v>1361</v>
      </c>
      <c r="B1362" s="947" t="s">
        <v>1516</v>
      </c>
      <c r="C1362" s="1018" t="s">
        <v>2156</v>
      </c>
      <c r="D1362" s="1018" t="s">
        <v>2146</v>
      </c>
      <c r="E1362" s="1014" t="s">
        <v>1487</v>
      </c>
    </row>
    <row r="1363" spans="1:5" x14ac:dyDescent="0.25">
      <c r="A1363" s="1287">
        <v>1362</v>
      </c>
      <c r="B1363" s="947" t="s">
        <v>1516</v>
      </c>
      <c r="C1363" s="1018" t="s">
        <v>2156</v>
      </c>
      <c r="D1363" s="1018" t="s">
        <v>1410</v>
      </c>
      <c r="E1363" s="1014" t="s">
        <v>1488</v>
      </c>
    </row>
    <row r="1364" spans="1:5" ht="30" x14ac:dyDescent="0.25">
      <c r="A1364" s="1287">
        <v>1363</v>
      </c>
      <c r="B1364" s="947" t="s">
        <v>1516</v>
      </c>
      <c r="C1364" s="1018" t="s">
        <v>2156</v>
      </c>
      <c r="D1364" s="1018" t="s">
        <v>1544</v>
      </c>
      <c r="E1364" s="1014" t="s">
        <v>1385</v>
      </c>
    </row>
    <row r="1365" spans="1:5" ht="30" x14ac:dyDescent="0.25">
      <c r="A1365" s="1287">
        <v>1364</v>
      </c>
      <c r="B1365" s="947" t="s">
        <v>1516</v>
      </c>
      <c r="C1365" s="1018" t="s">
        <v>2156</v>
      </c>
      <c r="D1365" s="1018" t="s">
        <v>1544</v>
      </c>
      <c r="E1365" s="1014" t="s">
        <v>1386</v>
      </c>
    </row>
    <row r="1366" spans="1:5" ht="30" x14ac:dyDescent="0.25">
      <c r="A1366" s="1287">
        <v>1365</v>
      </c>
      <c r="B1366" s="947" t="s">
        <v>1516</v>
      </c>
      <c r="C1366" s="1018" t="s">
        <v>2156</v>
      </c>
      <c r="D1366" s="1018" t="s">
        <v>1544</v>
      </c>
      <c r="E1366" s="1014" t="s">
        <v>1495</v>
      </c>
    </row>
    <row r="1367" spans="1:5" x14ac:dyDescent="0.25">
      <c r="A1367" s="1287">
        <v>1366</v>
      </c>
      <c r="B1367" s="947" t="s">
        <v>1516</v>
      </c>
      <c r="C1367" s="1018" t="s">
        <v>2156</v>
      </c>
      <c r="D1367" s="1018" t="s">
        <v>2146</v>
      </c>
      <c r="E1367" s="1014" t="s">
        <v>1389</v>
      </c>
    </row>
    <row r="1368" spans="1:5" x14ac:dyDescent="0.25">
      <c r="A1368" s="1287">
        <v>1367</v>
      </c>
      <c r="B1368" s="947" t="s">
        <v>1516</v>
      </c>
      <c r="C1368" s="1018" t="s">
        <v>2157</v>
      </c>
      <c r="D1368" s="1018" t="s">
        <v>2146</v>
      </c>
      <c r="E1368" s="1014" t="s">
        <v>1491</v>
      </c>
    </row>
    <row r="1369" spans="1:5" x14ac:dyDescent="0.25">
      <c r="A1369" s="1287">
        <v>1368</v>
      </c>
      <c r="B1369" s="947" t="s">
        <v>1516</v>
      </c>
      <c r="C1369" s="1018" t="s">
        <v>2157</v>
      </c>
      <c r="D1369" s="1018" t="s">
        <v>1410</v>
      </c>
      <c r="E1369" s="1014" t="s">
        <v>1705</v>
      </c>
    </row>
    <row r="1370" spans="1:5" x14ac:dyDescent="0.25">
      <c r="A1370" s="1287">
        <v>1369</v>
      </c>
      <c r="B1370" s="947" t="s">
        <v>1516</v>
      </c>
      <c r="C1370" s="1018" t="s">
        <v>2157</v>
      </c>
      <c r="D1370" s="1018" t="s">
        <v>2146</v>
      </c>
      <c r="E1370" s="1014" t="s">
        <v>1383</v>
      </c>
    </row>
    <row r="1371" spans="1:5" x14ac:dyDescent="0.25">
      <c r="A1371" s="1287">
        <v>1370</v>
      </c>
      <c r="B1371" s="947" t="s">
        <v>1516</v>
      </c>
      <c r="C1371" s="1018" t="s">
        <v>2157</v>
      </c>
      <c r="D1371" s="1018" t="s">
        <v>2146</v>
      </c>
      <c r="E1371" s="1014" t="s">
        <v>1380</v>
      </c>
    </row>
    <row r="1372" spans="1:5" x14ac:dyDescent="0.25">
      <c r="A1372" s="1287">
        <v>1371</v>
      </c>
      <c r="B1372" s="947" t="s">
        <v>1516</v>
      </c>
      <c r="C1372" s="1018" t="s">
        <v>2157</v>
      </c>
      <c r="D1372" s="1018" t="s">
        <v>2146</v>
      </c>
      <c r="E1372" s="1014" t="s">
        <v>1381</v>
      </c>
    </row>
    <row r="1373" spans="1:5" x14ac:dyDescent="0.25">
      <c r="A1373" s="1287">
        <v>1372</v>
      </c>
      <c r="B1373" s="947" t="s">
        <v>1516</v>
      </c>
      <c r="C1373" s="1018" t="s">
        <v>2157</v>
      </c>
      <c r="D1373" s="1018" t="s">
        <v>2146</v>
      </c>
      <c r="E1373" s="1014" t="s">
        <v>1397</v>
      </c>
    </row>
    <row r="1374" spans="1:5" x14ac:dyDescent="0.25">
      <c r="A1374" s="1287">
        <v>1373</v>
      </c>
      <c r="B1374" s="947" t="s">
        <v>1516</v>
      </c>
      <c r="C1374" s="1018" t="s">
        <v>2157</v>
      </c>
      <c r="D1374" s="1018" t="s">
        <v>1410</v>
      </c>
      <c r="E1374" s="1014" t="s">
        <v>1382</v>
      </c>
    </row>
    <row r="1375" spans="1:5" x14ac:dyDescent="0.25">
      <c r="A1375" s="1287">
        <v>1374</v>
      </c>
      <c r="B1375" s="947" t="s">
        <v>1516</v>
      </c>
      <c r="C1375" s="1018" t="s">
        <v>2157</v>
      </c>
      <c r="D1375" s="1018" t="s">
        <v>2146</v>
      </c>
      <c r="E1375" s="1014" t="s">
        <v>1487</v>
      </c>
    </row>
    <row r="1376" spans="1:5" x14ac:dyDescent="0.25">
      <c r="A1376" s="1287">
        <v>1375</v>
      </c>
      <c r="B1376" s="947" t="s">
        <v>1516</v>
      </c>
      <c r="C1376" s="1018" t="s">
        <v>2157</v>
      </c>
      <c r="D1376" s="1018" t="s">
        <v>1410</v>
      </c>
      <c r="E1376" s="1014" t="s">
        <v>1488</v>
      </c>
    </row>
    <row r="1377" spans="1:5" ht="30" x14ac:dyDescent="0.25">
      <c r="A1377" s="1287">
        <v>1376</v>
      </c>
      <c r="B1377" s="947" t="s">
        <v>1516</v>
      </c>
      <c r="C1377" s="1018" t="s">
        <v>2157</v>
      </c>
      <c r="D1377" s="1018" t="s">
        <v>1544</v>
      </c>
      <c r="E1377" s="1014" t="s">
        <v>1385</v>
      </c>
    </row>
    <row r="1378" spans="1:5" ht="30" x14ac:dyDescent="0.25">
      <c r="A1378" s="1287">
        <v>1377</v>
      </c>
      <c r="B1378" s="947" t="s">
        <v>1516</v>
      </c>
      <c r="C1378" s="1018" t="s">
        <v>2157</v>
      </c>
      <c r="D1378" s="1018" t="s">
        <v>1544</v>
      </c>
      <c r="E1378" s="1014" t="s">
        <v>1386</v>
      </c>
    </row>
    <row r="1379" spans="1:5" ht="30" x14ac:dyDescent="0.25">
      <c r="A1379" s="1287">
        <v>1378</v>
      </c>
      <c r="B1379" s="947" t="s">
        <v>1516</v>
      </c>
      <c r="C1379" s="1018" t="s">
        <v>2157</v>
      </c>
      <c r="D1379" s="1018" t="s">
        <v>1544</v>
      </c>
      <c r="E1379" s="1014" t="s">
        <v>1495</v>
      </c>
    </row>
    <row r="1380" spans="1:5" x14ac:dyDescent="0.25">
      <c r="A1380" s="1287">
        <v>1379</v>
      </c>
      <c r="B1380" s="947" t="s">
        <v>1516</v>
      </c>
      <c r="C1380" s="1018" t="s">
        <v>2157</v>
      </c>
      <c r="D1380" s="1018" t="s">
        <v>2146</v>
      </c>
      <c r="E1380" s="1014" t="s">
        <v>1389</v>
      </c>
    </row>
    <row r="1381" spans="1:5" x14ac:dyDescent="0.25">
      <c r="A1381" s="1287">
        <v>1380</v>
      </c>
      <c r="B1381" s="947" t="s">
        <v>1516</v>
      </c>
      <c r="C1381" s="1018" t="s">
        <v>2158</v>
      </c>
      <c r="D1381" s="1018" t="s">
        <v>2146</v>
      </c>
      <c r="E1381" s="1014" t="s">
        <v>1491</v>
      </c>
    </row>
    <row r="1382" spans="1:5" x14ac:dyDescent="0.25">
      <c r="A1382" s="1287">
        <v>1381</v>
      </c>
      <c r="B1382" s="947" t="s">
        <v>1516</v>
      </c>
      <c r="C1382" s="1018" t="s">
        <v>2158</v>
      </c>
      <c r="D1382" s="1018" t="s">
        <v>1410</v>
      </c>
      <c r="E1382" s="1014" t="s">
        <v>1705</v>
      </c>
    </row>
    <row r="1383" spans="1:5" x14ac:dyDescent="0.25">
      <c r="A1383" s="1287">
        <v>1382</v>
      </c>
      <c r="B1383" s="947" t="s">
        <v>1516</v>
      </c>
      <c r="C1383" s="1018" t="s">
        <v>2158</v>
      </c>
      <c r="D1383" s="1018" t="s">
        <v>2146</v>
      </c>
      <c r="E1383" s="1014" t="s">
        <v>1383</v>
      </c>
    </row>
    <row r="1384" spans="1:5" x14ac:dyDescent="0.25">
      <c r="A1384" s="1287">
        <v>1383</v>
      </c>
      <c r="B1384" s="947" t="s">
        <v>1516</v>
      </c>
      <c r="C1384" s="1018" t="s">
        <v>2158</v>
      </c>
      <c r="D1384" s="1018" t="s">
        <v>2146</v>
      </c>
      <c r="E1384" s="1014" t="s">
        <v>1380</v>
      </c>
    </row>
    <row r="1385" spans="1:5" x14ac:dyDescent="0.25">
      <c r="A1385" s="1287">
        <v>1384</v>
      </c>
      <c r="B1385" s="947" t="s">
        <v>1516</v>
      </c>
      <c r="C1385" s="1018" t="s">
        <v>2158</v>
      </c>
      <c r="D1385" s="1018" t="s">
        <v>2146</v>
      </c>
      <c r="E1385" s="1014" t="s">
        <v>1381</v>
      </c>
    </row>
    <row r="1386" spans="1:5" x14ac:dyDescent="0.25">
      <c r="A1386" s="1287">
        <v>1385</v>
      </c>
      <c r="B1386" s="947" t="s">
        <v>1516</v>
      </c>
      <c r="C1386" s="1018" t="s">
        <v>2158</v>
      </c>
      <c r="D1386" s="1018" t="s">
        <v>2146</v>
      </c>
      <c r="E1386" s="1014" t="s">
        <v>1397</v>
      </c>
    </row>
    <row r="1387" spans="1:5" x14ac:dyDescent="0.25">
      <c r="A1387" s="1287">
        <v>1386</v>
      </c>
      <c r="B1387" s="947" t="s">
        <v>1516</v>
      </c>
      <c r="C1387" s="1018" t="s">
        <v>2158</v>
      </c>
      <c r="D1387" s="1018" t="s">
        <v>1410</v>
      </c>
      <c r="E1387" s="1014" t="s">
        <v>1382</v>
      </c>
    </row>
    <row r="1388" spans="1:5" x14ac:dyDescent="0.25">
      <c r="A1388" s="1287">
        <v>1387</v>
      </c>
      <c r="B1388" s="947" t="s">
        <v>1516</v>
      </c>
      <c r="C1388" s="1018" t="s">
        <v>2158</v>
      </c>
      <c r="D1388" s="1018" t="s">
        <v>2146</v>
      </c>
      <c r="E1388" s="1014" t="s">
        <v>1487</v>
      </c>
    </row>
    <row r="1389" spans="1:5" x14ac:dyDescent="0.25">
      <c r="A1389" s="1287">
        <v>1388</v>
      </c>
      <c r="B1389" s="947" t="s">
        <v>1516</v>
      </c>
      <c r="C1389" s="1018" t="s">
        <v>2158</v>
      </c>
      <c r="D1389" s="1018" t="s">
        <v>1410</v>
      </c>
      <c r="E1389" s="1014" t="s">
        <v>1488</v>
      </c>
    </row>
    <row r="1390" spans="1:5" ht="30" x14ac:dyDescent="0.25">
      <c r="A1390" s="1287">
        <v>1389</v>
      </c>
      <c r="B1390" s="947" t="s">
        <v>1516</v>
      </c>
      <c r="C1390" s="1018" t="s">
        <v>2158</v>
      </c>
      <c r="D1390" s="1018" t="s">
        <v>1544</v>
      </c>
      <c r="E1390" s="1014" t="s">
        <v>1385</v>
      </c>
    </row>
    <row r="1391" spans="1:5" ht="30" x14ac:dyDescent="0.25">
      <c r="A1391" s="1287">
        <v>1390</v>
      </c>
      <c r="B1391" s="947" t="s">
        <v>1516</v>
      </c>
      <c r="C1391" s="1018" t="s">
        <v>2158</v>
      </c>
      <c r="D1391" s="1018" t="s">
        <v>1544</v>
      </c>
      <c r="E1391" s="1014" t="s">
        <v>1386</v>
      </c>
    </row>
    <row r="1392" spans="1:5" ht="30" x14ac:dyDescent="0.25">
      <c r="A1392" s="1287">
        <v>1391</v>
      </c>
      <c r="B1392" s="947" t="s">
        <v>1516</v>
      </c>
      <c r="C1392" s="1018" t="s">
        <v>2158</v>
      </c>
      <c r="D1392" s="1018" t="s">
        <v>1544</v>
      </c>
      <c r="E1392" s="1014" t="s">
        <v>1495</v>
      </c>
    </row>
    <row r="1393" spans="1:5" x14ac:dyDescent="0.25">
      <c r="A1393" s="1287">
        <v>1392</v>
      </c>
      <c r="B1393" s="947" t="s">
        <v>1516</v>
      </c>
      <c r="C1393" s="1018" t="s">
        <v>2158</v>
      </c>
      <c r="D1393" s="1018" t="s">
        <v>2146</v>
      </c>
      <c r="E1393" s="1014" t="s">
        <v>1389</v>
      </c>
    </row>
    <row r="1394" spans="1:5" x14ac:dyDescent="0.25">
      <c r="A1394" s="1287">
        <v>1393</v>
      </c>
      <c r="B1394" s="947" t="s">
        <v>1516</v>
      </c>
      <c r="C1394" s="1018" t="s">
        <v>2159</v>
      </c>
      <c r="D1394" s="1018" t="s">
        <v>2146</v>
      </c>
      <c r="E1394" s="1014" t="s">
        <v>1491</v>
      </c>
    </row>
    <row r="1395" spans="1:5" x14ac:dyDescent="0.25">
      <c r="A1395" s="1287">
        <v>1394</v>
      </c>
      <c r="B1395" s="947" t="s">
        <v>1516</v>
      </c>
      <c r="C1395" s="1018" t="s">
        <v>2159</v>
      </c>
      <c r="D1395" s="1018" t="s">
        <v>1410</v>
      </c>
      <c r="E1395" s="1014" t="s">
        <v>1705</v>
      </c>
    </row>
    <row r="1396" spans="1:5" x14ac:dyDescent="0.25">
      <c r="A1396" s="1287">
        <v>1395</v>
      </c>
      <c r="B1396" s="947" t="s">
        <v>1516</v>
      </c>
      <c r="C1396" s="1018" t="s">
        <v>2159</v>
      </c>
      <c r="D1396" s="1018" t="s">
        <v>2146</v>
      </c>
      <c r="E1396" s="1014" t="s">
        <v>1383</v>
      </c>
    </row>
    <row r="1397" spans="1:5" x14ac:dyDescent="0.25">
      <c r="A1397" s="1287">
        <v>1396</v>
      </c>
      <c r="B1397" s="947" t="s">
        <v>1516</v>
      </c>
      <c r="C1397" s="1018" t="s">
        <v>2159</v>
      </c>
      <c r="D1397" s="1018" t="s">
        <v>2146</v>
      </c>
      <c r="E1397" s="1014" t="s">
        <v>1380</v>
      </c>
    </row>
    <row r="1398" spans="1:5" x14ac:dyDescent="0.25">
      <c r="A1398" s="1287">
        <v>1397</v>
      </c>
      <c r="B1398" s="947" t="s">
        <v>1516</v>
      </c>
      <c r="C1398" s="1018" t="s">
        <v>2159</v>
      </c>
      <c r="D1398" s="1018" t="s">
        <v>2146</v>
      </c>
      <c r="E1398" s="1014" t="s">
        <v>1381</v>
      </c>
    </row>
    <row r="1399" spans="1:5" x14ac:dyDescent="0.25">
      <c r="A1399" s="1287">
        <v>1398</v>
      </c>
      <c r="B1399" s="947" t="s">
        <v>1516</v>
      </c>
      <c r="C1399" s="1018" t="s">
        <v>2159</v>
      </c>
      <c r="D1399" s="1018" t="s">
        <v>2146</v>
      </c>
      <c r="E1399" s="1014" t="s">
        <v>1397</v>
      </c>
    </row>
    <row r="1400" spans="1:5" x14ac:dyDescent="0.25">
      <c r="A1400" s="1287">
        <v>1399</v>
      </c>
      <c r="B1400" s="947" t="s">
        <v>1516</v>
      </c>
      <c r="C1400" s="1018" t="s">
        <v>2159</v>
      </c>
      <c r="D1400" s="1018" t="s">
        <v>1410</v>
      </c>
      <c r="E1400" s="1014" t="s">
        <v>1382</v>
      </c>
    </row>
    <row r="1401" spans="1:5" x14ac:dyDescent="0.25">
      <c r="A1401" s="1287">
        <v>1400</v>
      </c>
      <c r="B1401" s="947" t="s">
        <v>1516</v>
      </c>
      <c r="C1401" s="1018" t="s">
        <v>2159</v>
      </c>
      <c r="D1401" s="1018" t="s">
        <v>2146</v>
      </c>
      <c r="E1401" s="1014" t="s">
        <v>1487</v>
      </c>
    </row>
    <row r="1402" spans="1:5" x14ac:dyDescent="0.25">
      <c r="A1402" s="1287">
        <v>1401</v>
      </c>
      <c r="B1402" s="947" t="s">
        <v>1516</v>
      </c>
      <c r="C1402" s="1018" t="s">
        <v>2159</v>
      </c>
      <c r="D1402" s="1018" t="s">
        <v>1410</v>
      </c>
      <c r="E1402" s="1014" t="s">
        <v>1488</v>
      </c>
    </row>
    <row r="1403" spans="1:5" ht="30" x14ac:dyDescent="0.25">
      <c r="A1403" s="1287">
        <v>1402</v>
      </c>
      <c r="B1403" s="947" t="s">
        <v>1516</v>
      </c>
      <c r="C1403" s="1018" t="s">
        <v>2159</v>
      </c>
      <c r="D1403" s="1018" t="s">
        <v>1544</v>
      </c>
      <c r="E1403" s="1014" t="s">
        <v>1385</v>
      </c>
    </row>
    <row r="1404" spans="1:5" ht="30" x14ac:dyDescent="0.25">
      <c r="A1404" s="1287">
        <v>1403</v>
      </c>
      <c r="B1404" s="947" t="s">
        <v>1516</v>
      </c>
      <c r="C1404" s="1018" t="s">
        <v>2159</v>
      </c>
      <c r="D1404" s="1018" t="s">
        <v>1544</v>
      </c>
      <c r="E1404" s="1014" t="s">
        <v>1386</v>
      </c>
    </row>
    <row r="1405" spans="1:5" ht="30" x14ac:dyDescent="0.25">
      <c r="A1405" s="1287">
        <v>1404</v>
      </c>
      <c r="B1405" s="947" t="s">
        <v>1516</v>
      </c>
      <c r="C1405" s="1018" t="s">
        <v>2159</v>
      </c>
      <c r="D1405" s="1018" t="s">
        <v>1544</v>
      </c>
      <c r="E1405" s="1014" t="s">
        <v>1495</v>
      </c>
    </row>
    <row r="1406" spans="1:5" x14ac:dyDescent="0.25">
      <c r="A1406" s="1287">
        <v>1405</v>
      </c>
      <c r="B1406" s="947" t="s">
        <v>1516</v>
      </c>
      <c r="C1406" s="1018" t="s">
        <v>2159</v>
      </c>
      <c r="D1406" s="1018" t="s">
        <v>2146</v>
      </c>
      <c r="E1406" s="1014" t="s">
        <v>1389</v>
      </c>
    </row>
    <row r="1407" spans="1:5" x14ac:dyDescent="0.25">
      <c r="A1407" s="1287">
        <v>1406</v>
      </c>
      <c r="B1407" s="947" t="s">
        <v>1401</v>
      </c>
      <c r="C1407" s="1018" t="s">
        <v>2160</v>
      </c>
      <c r="D1407" s="1018" t="s">
        <v>1410</v>
      </c>
      <c r="E1407" s="1015" t="s">
        <v>1178</v>
      </c>
    </row>
    <row r="1408" spans="1:5" x14ac:dyDescent="0.25">
      <c r="A1408" s="1287">
        <v>1407</v>
      </c>
      <c r="B1408" s="947" t="s">
        <v>870</v>
      </c>
      <c r="C1408" s="1018" t="s">
        <v>2160</v>
      </c>
      <c r="D1408" s="1018" t="s">
        <v>1410</v>
      </c>
      <c r="E1408" s="1015" t="s">
        <v>1182</v>
      </c>
    </row>
    <row r="1409" spans="1:5" x14ac:dyDescent="0.25">
      <c r="A1409" s="1287">
        <v>1408</v>
      </c>
      <c r="B1409" s="947" t="s">
        <v>1401</v>
      </c>
      <c r="C1409" s="1018" t="s">
        <v>2160</v>
      </c>
      <c r="D1409" s="1018" t="s">
        <v>1410</v>
      </c>
      <c r="E1409" s="1015" t="s">
        <v>766</v>
      </c>
    </row>
    <row r="1410" spans="1:5" x14ac:dyDescent="0.25">
      <c r="A1410" s="1287">
        <v>1409</v>
      </c>
      <c r="B1410" s="947" t="s">
        <v>870</v>
      </c>
      <c r="C1410" s="1018" t="s">
        <v>2160</v>
      </c>
      <c r="D1410" s="1018" t="s">
        <v>1410</v>
      </c>
      <c r="E1410" s="1017" t="s">
        <v>1262</v>
      </c>
    </row>
    <row r="1411" spans="1:5" ht="30" x14ac:dyDescent="0.25">
      <c r="A1411" s="1287">
        <v>1410</v>
      </c>
      <c r="B1411" s="947" t="s">
        <v>870</v>
      </c>
      <c r="C1411" s="1018" t="s">
        <v>2160</v>
      </c>
      <c r="D1411" s="1018" t="s">
        <v>1410</v>
      </c>
      <c r="E1411" s="1017" t="s">
        <v>1263</v>
      </c>
    </row>
    <row r="1412" spans="1:5" x14ac:dyDescent="0.25">
      <c r="A1412" s="1287">
        <v>1411</v>
      </c>
      <c r="B1412" s="947" t="s">
        <v>870</v>
      </c>
      <c r="C1412" s="1018" t="s">
        <v>2160</v>
      </c>
      <c r="D1412" s="1018" t="s">
        <v>1410</v>
      </c>
      <c r="E1412" s="1017" t="s">
        <v>1185</v>
      </c>
    </row>
    <row r="1413" spans="1:5" x14ac:dyDescent="0.25">
      <c r="A1413" s="1287">
        <v>1412</v>
      </c>
      <c r="B1413" s="947" t="s">
        <v>870</v>
      </c>
      <c r="C1413" s="1018" t="s">
        <v>2160</v>
      </c>
      <c r="D1413" s="1018" t="s">
        <v>1410</v>
      </c>
      <c r="E1413" s="1017" t="s">
        <v>1186</v>
      </c>
    </row>
    <row r="1414" spans="1:5" x14ac:dyDescent="0.25">
      <c r="A1414" s="1287">
        <v>1413</v>
      </c>
      <c r="B1414" s="947" t="s">
        <v>870</v>
      </c>
      <c r="C1414" s="1018" t="s">
        <v>2160</v>
      </c>
      <c r="D1414" s="1018" t="s">
        <v>1410</v>
      </c>
      <c r="E1414" s="1017" t="s">
        <v>1187</v>
      </c>
    </row>
    <row r="1415" spans="1:5" x14ac:dyDescent="0.25">
      <c r="A1415" s="1287">
        <v>1414</v>
      </c>
      <c r="B1415" s="947" t="s">
        <v>870</v>
      </c>
      <c r="C1415" s="1018" t="s">
        <v>2160</v>
      </c>
      <c r="D1415" s="1018" t="s">
        <v>1410</v>
      </c>
      <c r="E1415" s="1017" t="s">
        <v>1188</v>
      </c>
    </row>
    <row r="1416" spans="1:5" x14ac:dyDescent="0.25">
      <c r="A1416" s="1287">
        <v>1415</v>
      </c>
      <c r="B1416" s="947" t="s">
        <v>870</v>
      </c>
      <c r="C1416" s="1018" t="s">
        <v>2160</v>
      </c>
      <c r="D1416" s="1018" t="s">
        <v>1410</v>
      </c>
      <c r="E1416" s="1017" t="s">
        <v>1189</v>
      </c>
    </row>
    <row r="1417" spans="1:5" x14ac:dyDescent="0.25">
      <c r="A1417" s="1287">
        <v>1416</v>
      </c>
      <c r="B1417" s="947" t="s">
        <v>870</v>
      </c>
      <c r="C1417" s="1018" t="s">
        <v>2160</v>
      </c>
      <c r="D1417" s="1018" t="s">
        <v>1410</v>
      </c>
      <c r="E1417" s="1017" t="s">
        <v>1428</v>
      </c>
    </row>
    <row r="1418" spans="1:5" x14ac:dyDescent="0.25">
      <c r="A1418" s="1287">
        <v>1417</v>
      </c>
      <c r="B1418" s="947" t="s">
        <v>870</v>
      </c>
      <c r="C1418" s="1018" t="s">
        <v>2160</v>
      </c>
      <c r="D1418" s="1018" t="s">
        <v>1410</v>
      </c>
      <c r="E1418" s="1017" t="s">
        <v>1631</v>
      </c>
    </row>
    <row r="1419" spans="1:5" x14ac:dyDescent="0.25">
      <c r="A1419" s="1287">
        <v>1418</v>
      </c>
      <c r="B1419" s="947" t="s">
        <v>1401</v>
      </c>
      <c r="C1419" s="1018" t="s">
        <v>2160</v>
      </c>
      <c r="D1419" s="1018" t="s">
        <v>1429</v>
      </c>
      <c r="E1419" s="1015" t="s">
        <v>765</v>
      </c>
    </row>
    <row r="1420" spans="1:5" x14ac:dyDescent="0.25">
      <c r="A1420" s="1287">
        <v>1419</v>
      </c>
      <c r="B1420" s="947" t="s">
        <v>1401</v>
      </c>
      <c r="C1420" s="1018" t="s">
        <v>2160</v>
      </c>
      <c r="D1420" s="1018" t="s">
        <v>1429</v>
      </c>
      <c r="E1420" s="1015" t="s">
        <v>1179</v>
      </c>
    </row>
    <row r="1421" spans="1:5" x14ac:dyDescent="0.25">
      <c r="A1421" s="1287">
        <v>1420</v>
      </c>
      <c r="B1421" s="947" t="s">
        <v>1401</v>
      </c>
      <c r="C1421" s="1018" t="s">
        <v>2160</v>
      </c>
      <c r="D1421" s="1018" t="s">
        <v>1410</v>
      </c>
      <c r="E1421" s="1015" t="s">
        <v>1180</v>
      </c>
    </row>
    <row r="1422" spans="1:5" x14ac:dyDescent="0.25">
      <c r="A1422" s="1287">
        <v>1421</v>
      </c>
      <c r="B1422" s="947" t="s">
        <v>1401</v>
      </c>
      <c r="C1422" s="1018" t="s">
        <v>2160</v>
      </c>
      <c r="D1422" s="1018" t="s">
        <v>1410</v>
      </c>
      <c r="E1422" s="1015" t="s">
        <v>1367</v>
      </c>
    </row>
    <row r="1423" spans="1:5" x14ac:dyDescent="0.25">
      <c r="A1423" s="1287">
        <v>1422</v>
      </c>
      <c r="B1423" s="947" t="s">
        <v>1401</v>
      </c>
      <c r="C1423" s="1018" t="s">
        <v>2160</v>
      </c>
      <c r="D1423" s="1018" t="s">
        <v>1410</v>
      </c>
      <c r="E1423" s="1015" t="s">
        <v>1297</v>
      </c>
    </row>
    <row r="1424" spans="1:5" x14ac:dyDescent="0.25">
      <c r="A1424" s="1287">
        <v>1423</v>
      </c>
      <c r="B1424" s="947" t="s">
        <v>1401</v>
      </c>
      <c r="C1424" s="1018" t="s">
        <v>2160</v>
      </c>
      <c r="D1424" s="1018" t="s">
        <v>1410</v>
      </c>
      <c r="E1424" s="1015" t="s">
        <v>767</v>
      </c>
    </row>
    <row r="1425" spans="1:5" x14ac:dyDescent="0.25">
      <c r="A1425" s="1287">
        <v>1424</v>
      </c>
      <c r="B1425" s="947" t="s">
        <v>1401</v>
      </c>
      <c r="C1425" s="1018" t="s">
        <v>2160</v>
      </c>
      <c r="D1425" s="1018" t="s">
        <v>1410</v>
      </c>
      <c r="E1425" s="1015" t="s">
        <v>768</v>
      </c>
    </row>
    <row r="1426" spans="1:5" x14ac:dyDescent="0.25">
      <c r="A1426" s="1287">
        <v>1425</v>
      </c>
      <c r="B1426" s="947" t="s">
        <v>1401</v>
      </c>
      <c r="C1426" s="1018" t="s">
        <v>2160</v>
      </c>
      <c r="D1426" s="1018" t="s">
        <v>1410</v>
      </c>
      <c r="E1426" s="1015" t="s">
        <v>769</v>
      </c>
    </row>
    <row r="1427" spans="1:5" x14ac:dyDescent="0.25">
      <c r="A1427" s="1287">
        <v>1426</v>
      </c>
      <c r="B1427" s="947" t="s">
        <v>1401</v>
      </c>
      <c r="C1427" s="1018" t="s">
        <v>2160</v>
      </c>
      <c r="D1427" s="1018" t="s">
        <v>1410</v>
      </c>
      <c r="E1427" s="1015" t="s">
        <v>204</v>
      </c>
    </row>
    <row r="1428" spans="1:5" x14ac:dyDescent="0.25">
      <c r="A1428" s="1287">
        <v>1427</v>
      </c>
      <c r="B1428" s="947" t="s">
        <v>1401</v>
      </c>
      <c r="C1428" s="1018" t="s">
        <v>2161</v>
      </c>
      <c r="D1428" s="1018" t="s">
        <v>1410</v>
      </c>
      <c r="E1428" s="1015" t="s">
        <v>1178</v>
      </c>
    </row>
    <row r="1429" spans="1:5" x14ac:dyDescent="0.25">
      <c r="A1429" s="1287">
        <v>1428</v>
      </c>
      <c r="B1429" s="947" t="s">
        <v>870</v>
      </c>
      <c r="C1429" s="1018" t="s">
        <v>2161</v>
      </c>
      <c r="D1429" s="1018" t="s">
        <v>1410</v>
      </c>
      <c r="E1429" s="1015" t="s">
        <v>1182</v>
      </c>
    </row>
    <row r="1430" spans="1:5" x14ac:dyDescent="0.25">
      <c r="A1430" s="1287">
        <v>1429</v>
      </c>
      <c r="B1430" s="947" t="s">
        <v>1401</v>
      </c>
      <c r="C1430" s="1018" t="s">
        <v>2161</v>
      </c>
      <c r="D1430" s="1018" t="s">
        <v>1410</v>
      </c>
      <c r="E1430" s="1015" t="s">
        <v>766</v>
      </c>
    </row>
    <row r="1431" spans="1:5" x14ac:dyDescent="0.25">
      <c r="A1431" s="1287">
        <v>1430</v>
      </c>
      <c r="B1431" s="947" t="s">
        <v>870</v>
      </c>
      <c r="C1431" s="1018" t="s">
        <v>2161</v>
      </c>
      <c r="D1431" s="1018" t="s">
        <v>1410</v>
      </c>
      <c r="E1431" s="1017" t="s">
        <v>1262</v>
      </c>
    </row>
    <row r="1432" spans="1:5" ht="30" x14ac:dyDescent="0.25">
      <c r="A1432" s="1287">
        <v>1431</v>
      </c>
      <c r="B1432" s="947" t="s">
        <v>870</v>
      </c>
      <c r="C1432" s="1018" t="s">
        <v>2161</v>
      </c>
      <c r="D1432" s="1018" t="s">
        <v>1410</v>
      </c>
      <c r="E1432" s="1017" t="s">
        <v>1263</v>
      </c>
    </row>
    <row r="1433" spans="1:5" x14ac:dyDescent="0.25">
      <c r="A1433" s="1287">
        <v>1432</v>
      </c>
      <c r="B1433" s="947" t="s">
        <v>870</v>
      </c>
      <c r="C1433" s="1018" t="s">
        <v>2161</v>
      </c>
      <c r="D1433" s="1018" t="s">
        <v>1410</v>
      </c>
      <c r="E1433" s="1017" t="s">
        <v>1185</v>
      </c>
    </row>
    <row r="1434" spans="1:5" x14ac:dyDescent="0.25">
      <c r="A1434" s="1287">
        <v>1433</v>
      </c>
      <c r="B1434" s="947" t="s">
        <v>870</v>
      </c>
      <c r="C1434" s="1018" t="s">
        <v>2161</v>
      </c>
      <c r="D1434" s="1018" t="s">
        <v>1410</v>
      </c>
      <c r="E1434" s="1017" t="s">
        <v>1186</v>
      </c>
    </row>
    <row r="1435" spans="1:5" x14ac:dyDescent="0.25">
      <c r="A1435" s="1287">
        <v>1434</v>
      </c>
      <c r="B1435" s="947" t="s">
        <v>870</v>
      </c>
      <c r="C1435" s="1018" t="s">
        <v>2161</v>
      </c>
      <c r="D1435" s="1018" t="s">
        <v>1410</v>
      </c>
      <c r="E1435" s="1017" t="s">
        <v>1187</v>
      </c>
    </row>
    <row r="1436" spans="1:5" x14ac:dyDescent="0.25">
      <c r="A1436" s="1287">
        <v>1435</v>
      </c>
      <c r="B1436" s="947" t="s">
        <v>870</v>
      </c>
      <c r="C1436" s="1018" t="s">
        <v>2161</v>
      </c>
      <c r="D1436" s="1018" t="s">
        <v>1410</v>
      </c>
      <c r="E1436" s="1017" t="s">
        <v>1188</v>
      </c>
    </row>
    <row r="1437" spans="1:5" x14ac:dyDescent="0.25">
      <c r="A1437" s="1287">
        <v>1436</v>
      </c>
      <c r="B1437" s="947" t="s">
        <v>870</v>
      </c>
      <c r="C1437" s="1018" t="s">
        <v>2161</v>
      </c>
      <c r="D1437" s="1018" t="s">
        <v>1410</v>
      </c>
      <c r="E1437" s="1017" t="s">
        <v>1189</v>
      </c>
    </row>
    <row r="1438" spans="1:5" x14ac:dyDescent="0.25">
      <c r="A1438" s="1287">
        <v>1437</v>
      </c>
      <c r="B1438" s="947" t="s">
        <v>870</v>
      </c>
      <c r="C1438" s="1018" t="s">
        <v>2161</v>
      </c>
      <c r="D1438" s="1018" t="s">
        <v>1410</v>
      </c>
      <c r="E1438" s="1017" t="s">
        <v>1428</v>
      </c>
    </row>
    <row r="1439" spans="1:5" x14ac:dyDescent="0.25">
      <c r="A1439" s="1287">
        <v>1438</v>
      </c>
      <c r="B1439" s="947" t="s">
        <v>870</v>
      </c>
      <c r="C1439" s="1018" t="s">
        <v>2161</v>
      </c>
      <c r="D1439" s="1018" t="s">
        <v>1410</v>
      </c>
      <c r="E1439" s="1017" t="s">
        <v>1631</v>
      </c>
    </row>
    <row r="1440" spans="1:5" x14ac:dyDescent="0.25">
      <c r="A1440" s="1287">
        <v>1439</v>
      </c>
      <c r="B1440" s="947" t="s">
        <v>1401</v>
      </c>
      <c r="C1440" s="1018" t="s">
        <v>2161</v>
      </c>
      <c r="D1440" s="1018" t="s">
        <v>1429</v>
      </c>
      <c r="E1440" s="1015" t="s">
        <v>765</v>
      </c>
    </row>
    <row r="1441" spans="1:5" x14ac:dyDescent="0.25">
      <c r="A1441" s="1287">
        <v>1440</v>
      </c>
      <c r="B1441" s="947" t="s">
        <v>1401</v>
      </c>
      <c r="C1441" s="1018" t="s">
        <v>2161</v>
      </c>
      <c r="D1441" s="1018" t="s">
        <v>1429</v>
      </c>
      <c r="E1441" s="1015" t="s">
        <v>1179</v>
      </c>
    </row>
    <row r="1442" spans="1:5" x14ac:dyDescent="0.25">
      <c r="A1442" s="1287">
        <v>1441</v>
      </c>
      <c r="B1442" s="947" t="s">
        <v>1401</v>
      </c>
      <c r="C1442" s="1018" t="s">
        <v>2161</v>
      </c>
      <c r="D1442" s="1018" t="s">
        <v>1410</v>
      </c>
      <c r="E1442" s="1015" t="s">
        <v>1180</v>
      </c>
    </row>
    <row r="1443" spans="1:5" x14ac:dyDescent="0.25">
      <c r="A1443" s="1287">
        <v>1442</v>
      </c>
      <c r="B1443" s="947" t="s">
        <v>1401</v>
      </c>
      <c r="C1443" s="1018" t="s">
        <v>2161</v>
      </c>
      <c r="D1443" s="1018" t="s">
        <v>1410</v>
      </c>
      <c r="E1443" s="1015" t="s">
        <v>1367</v>
      </c>
    </row>
    <row r="1444" spans="1:5" x14ac:dyDescent="0.25">
      <c r="A1444" s="1287">
        <v>1443</v>
      </c>
      <c r="B1444" s="947" t="s">
        <v>1401</v>
      </c>
      <c r="C1444" s="1018" t="s">
        <v>2161</v>
      </c>
      <c r="D1444" s="1018" t="s">
        <v>1410</v>
      </c>
      <c r="E1444" s="1015" t="s">
        <v>1297</v>
      </c>
    </row>
    <row r="1445" spans="1:5" x14ac:dyDescent="0.25">
      <c r="A1445" s="1287">
        <v>1444</v>
      </c>
      <c r="B1445" s="947" t="s">
        <v>1401</v>
      </c>
      <c r="C1445" s="1018" t="s">
        <v>2161</v>
      </c>
      <c r="D1445" s="1018" t="s">
        <v>1410</v>
      </c>
      <c r="E1445" s="1015" t="s">
        <v>767</v>
      </c>
    </row>
    <row r="1446" spans="1:5" x14ac:dyDescent="0.25">
      <c r="A1446" s="1287">
        <v>1445</v>
      </c>
      <c r="B1446" s="947" t="s">
        <v>1401</v>
      </c>
      <c r="C1446" s="1018" t="s">
        <v>2161</v>
      </c>
      <c r="D1446" s="1018" t="s">
        <v>1410</v>
      </c>
      <c r="E1446" s="1015" t="s">
        <v>768</v>
      </c>
    </row>
    <row r="1447" spans="1:5" x14ac:dyDescent="0.25">
      <c r="A1447" s="1287">
        <v>1446</v>
      </c>
      <c r="B1447" s="947" t="s">
        <v>1401</v>
      </c>
      <c r="C1447" s="1018" t="s">
        <v>2161</v>
      </c>
      <c r="D1447" s="1018" t="s">
        <v>1410</v>
      </c>
      <c r="E1447" s="1015" t="s">
        <v>769</v>
      </c>
    </row>
    <row r="1448" spans="1:5" x14ac:dyDescent="0.25">
      <c r="A1448" s="1287">
        <v>1447</v>
      </c>
      <c r="B1448" s="947" t="s">
        <v>1401</v>
      </c>
      <c r="C1448" s="1018" t="s">
        <v>2161</v>
      </c>
      <c r="D1448" s="1018" t="s">
        <v>1410</v>
      </c>
      <c r="E1448" s="1015" t="s">
        <v>204</v>
      </c>
    </row>
    <row r="1449" spans="1:5" x14ac:dyDescent="0.25">
      <c r="A1449" s="1287">
        <v>1448</v>
      </c>
      <c r="B1449" s="947" t="s">
        <v>1401</v>
      </c>
      <c r="C1449" s="1018" t="s">
        <v>2162</v>
      </c>
      <c r="D1449" s="1018" t="s">
        <v>1429</v>
      </c>
      <c r="E1449" s="1015" t="s">
        <v>1178</v>
      </c>
    </row>
    <row r="1450" spans="1:5" x14ac:dyDescent="0.25">
      <c r="A1450" s="1287">
        <v>1449</v>
      </c>
      <c r="B1450" s="947" t="s">
        <v>870</v>
      </c>
      <c r="C1450" s="1018" t="s">
        <v>2162</v>
      </c>
      <c r="D1450" s="1018" t="s">
        <v>1410</v>
      </c>
      <c r="E1450" s="1015" t="s">
        <v>1182</v>
      </c>
    </row>
    <row r="1451" spans="1:5" x14ac:dyDescent="0.25">
      <c r="A1451" s="1287">
        <v>1450</v>
      </c>
      <c r="B1451" s="947" t="s">
        <v>1401</v>
      </c>
      <c r="C1451" s="1018" t="s">
        <v>2162</v>
      </c>
      <c r="D1451" s="1018" t="s">
        <v>1410</v>
      </c>
      <c r="E1451" s="1015" t="s">
        <v>766</v>
      </c>
    </row>
    <row r="1452" spans="1:5" x14ac:dyDescent="0.25">
      <c r="A1452" s="1287">
        <v>1451</v>
      </c>
      <c r="B1452" s="947" t="s">
        <v>870</v>
      </c>
      <c r="C1452" s="1018" t="s">
        <v>2162</v>
      </c>
      <c r="D1452" s="1018" t="s">
        <v>1410</v>
      </c>
      <c r="E1452" s="1017" t="s">
        <v>1262</v>
      </c>
    </row>
    <row r="1453" spans="1:5" ht="30" x14ac:dyDescent="0.25">
      <c r="A1453" s="1287">
        <v>1452</v>
      </c>
      <c r="B1453" s="947" t="s">
        <v>870</v>
      </c>
      <c r="C1453" s="1018" t="s">
        <v>2162</v>
      </c>
      <c r="D1453" s="1018" t="s">
        <v>1410</v>
      </c>
      <c r="E1453" s="1017" t="s">
        <v>1263</v>
      </c>
    </row>
    <row r="1454" spans="1:5" x14ac:dyDescent="0.25">
      <c r="A1454" s="1287">
        <v>1453</v>
      </c>
      <c r="B1454" s="947" t="s">
        <v>870</v>
      </c>
      <c r="C1454" s="1018" t="s">
        <v>2162</v>
      </c>
      <c r="D1454" s="1018" t="s">
        <v>1410</v>
      </c>
      <c r="E1454" s="1017" t="s">
        <v>1185</v>
      </c>
    </row>
    <row r="1455" spans="1:5" x14ac:dyDescent="0.25">
      <c r="A1455" s="1287">
        <v>1454</v>
      </c>
      <c r="B1455" s="947" t="s">
        <v>870</v>
      </c>
      <c r="C1455" s="1018" t="s">
        <v>2162</v>
      </c>
      <c r="D1455" s="1018" t="s">
        <v>1410</v>
      </c>
      <c r="E1455" s="1017" t="s">
        <v>1186</v>
      </c>
    </row>
    <row r="1456" spans="1:5" x14ac:dyDescent="0.25">
      <c r="A1456" s="1287">
        <v>1455</v>
      </c>
      <c r="B1456" s="947" t="s">
        <v>870</v>
      </c>
      <c r="C1456" s="1018" t="s">
        <v>2162</v>
      </c>
      <c r="D1456" s="1018" t="s">
        <v>1410</v>
      </c>
      <c r="E1456" s="1017" t="s">
        <v>1187</v>
      </c>
    </row>
    <row r="1457" spans="1:5" x14ac:dyDescent="0.25">
      <c r="A1457" s="1287">
        <v>1456</v>
      </c>
      <c r="B1457" s="947" t="s">
        <v>870</v>
      </c>
      <c r="C1457" s="1018" t="s">
        <v>2162</v>
      </c>
      <c r="D1457" s="1018" t="s">
        <v>1410</v>
      </c>
      <c r="E1457" s="1017" t="s">
        <v>1188</v>
      </c>
    </row>
    <row r="1458" spans="1:5" x14ac:dyDescent="0.25">
      <c r="A1458" s="1287">
        <v>1457</v>
      </c>
      <c r="B1458" s="947" t="s">
        <v>870</v>
      </c>
      <c r="C1458" s="1018" t="s">
        <v>2162</v>
      </c>
      <c r="D1458" s="1018" t="s">
        <v>1410</v>
      </c>
      <c r="E1458" s="1017" t="s">
        <v>1189</v>
      </c>
    </row>
    <row r="1459" spans="1:5" x14ac:dyDescent="0.25">
      <c r="A1459" s="1287">
        <v>1458</v>
      </c>
      <c r="B1459" s="947" t="s">
        <v>870</v>
      </c>
      <c r="C1459" s="1018" t="s">
        <v>2162</v>
      </c>
      <c r="D1459" s="1018" t="s">
        <v>1410</v>
      </c>
      <c r="E1459" s="1017" t="s">
        <v>1428</v>
      </c>
    </row>
    <row r="1460" spans="1:5" x14ac:dyDescent="0.25">
      <c r="A1460" s="1287">
        <v>1459</v>
      </c>
      <c r="B1460" s="947" t="s">
        <v>870</v>
      </c>
      <c r="C1460" s="1018" t="s">
        <v>2162</v>
      </c>
      <c r="D1460" s="1018" t="s">
        <v>1410</v>
      </c>
      <c r="E1460" s="1017" t="s">
        <v>1631</v>
      </c>
    </row>
    <row r="1461" spans="1:5" x14ac:dyDescent="0.25">
      <c r="A1461" s="1287">
        <v>1460</v>
      </c>
      <c r="B1461" s="947" t="s">
        <v>1401</v>
      </c>
      <c r="C1461" s="1018" t="s">
        <v>2162</v>
      </c>
      <c r="D1461" s="1018" t="s">
        <v>1429</v>
      </c>
      <c r="E1461" s="1015" t="s">
        <v>765</v>
      </c>
    </row>
    <row r="1462" spans="1:5" x14ac:dyDescent="0.25">
      <c r="A1462" s="1287">
        <v>1461</v>
      </c>
      <c r="B1462" s="947" t="s">
        <v>1401</v>
      </c>
      <c r="C1462" s="1018" t="s">
        <v>2162</v>
      </c>
      <c r="D1462" s="1018" t="s">
        <v>1429</v>
      </c>
      <c r="E1462" s="1015" t="s">
        <v>1179</v>
      </c>
    </row>
    <row r="1463" spans="1:5" x14ac:dyDescent="0.25">
      <c r="A1463" s="1287">
        <v>1462</v>
      </c>
      <c r="B1463" s="947" t="s">
        <v>1401</v>
      </c>
      <c r="C1463" s="1018" t="s">
        <v>2162</v>
      </c>
      <c r="D1463" s="1018" t="s">
        <v>1410</v>
      </c>
      <c r="E1463" s="1015" t="s">
        <v>1180</v>
      </c>
    </row>
    <row r="1464" spans="1:5" x14ac:dyDescent="0.25">
      <c r="A1464" s="1287">
        <v>1463</v>
      </c>
      <c r="B1464" s="947" t="s">
        <v>1401</v>
      </c>
      <c r="C1464" s="1018" t="s">
        <v>2162</v>
      </c>
      <c r="D1464" s="1018" t="s">
        <v>1410</v>
      </c>
      <c r="E1464" s="1015" t="s">
        <v>1367</v>
      </c>
    </row>
    <row r="1465" spans="1:5" x14ac:dyDescent="0.25">
      <c r="A1465" s="1287">
        <v>1464</v>
      </c>
      <c r="B1465" s="947" t="s">
        <v>1401</v>
      </c>
      <c r="C1465" s="1018" t="s">
        <v>2162</v>
      </c>
      <c r="D1465" s="1018" t="s">
        <v>1410</v>
      </c>
      <c r="E1465" s="1015" t="s">
        <v>1297</v>
      </c>
    </row>
    <row r="1466" spans="1:5" x14ac:dyDescent="0.25">
      <c r="A1466" s="1287">
        <v>1465</v>
      </c>
      <c r="B1466" s="947" t="s">
        <v>1401</v>
      </c>
      <c r="C1466" s="1018" t="s">
        <v>2162</v>
      </c>
      <c r="D1466" s="1018" t="s">
        <v>1410</v>
      </c>
      <c r="E1466" s="1015" t="s">
        <v>767</v>
      </c>
    </row>
    <row r="1467" spans="1:5" x14ac:dyDescent="0.25">
      <c r="A1467" s="1287">
        <v>1466</v>
      </c>
      <c r="B1467" s="947" t="s">
        <v>1401</v>
      </c>
      <c r="C1467" s="1018" t="s">
        <v>2162</v>
      </c>
      <c r="D1467" s="1018" t="s">
        <v>1410</v>
      </c>
      <c r="E1467" s="1015" t="s">
        <v>768</v>
      </c>
    </row>
    <row r="1468" spans="1:5" x14ac:dyDescent="0.25">
      <c r="A1468" s="1287">
        <v>1467</v>
      </c>
      <c r="B1468" s="947" t="s">
        <v>1401</v>
      </c>
      <c r="C1468" s="1018" t="s">
        <v>2162</v>
      </c>
      <c r="D1468" s="1018" t="s">
        <v>1410</v>
      </c>
      <c r="E1468" s="1015" t="s">
        <v>769</v>
      </c>
    </row>
    <row r="1469" spans="1:5" x14ac:dyDescent="0.25">
      <c r="A1469" s="1287">
        <v>1468</v>
      </c>
      <c r="B1469" s="947" t="s">
        <v>1401</v>
      </c>
      <c r="C1469" s="1018" t="s">
        <v>2162</v>
      </c>
      <c r="D1469" s="1018" t="s">
        <v>1410</v>
      </c>
      <c r="E1469" s="1015" t="s">
        <v>204</v>
      </c>
    </row>
    <row r="1470" spans="1:5" x14ac:dyDescent="0.25">
      <c r="A1470" s="1287">
        <v>1469</v>
      </c>
      <c r="B1470" s="947" t="s">
        <v>1401</v>
      </c>
      <c r="C1470" s="1018" t="s">
        <v>2163</v>
      </c>
      <c r="D1470" s="1018" t="s">
        <v>1410</v>
      </c>
      <c r="E1470" s="1015" t="s">
        <v>1178</v>
      </c>
    </row>
    <row r="1471" spans="1:5" x14ac:dyDescent="0.25">
      <c r="A1471" s="1287">
        <v>1470</v>
      </c>
      <c r="B1471" s="947" t="s">
        <v>870</v>
      </c>
      <c r="C1471" s="1018" t="s">
        <v>2163</v>
      </c>
      <c r="D1471" s="1018" t="s">
        <v>1410</v>
      </c>
      <c r="E1471" s="1015" t="s">
        <v>1182</v>
      </c>
    </row>
    <row r="1472" spans="1:5" x14ac:dyDescent="0.25">
      <c r="A1472" s="1287">
        <v>1471</v>
      </c>
      <c r="B1472" s="947" t="s">
        <v>1401</v>
      </c>
      <c r="C1472" s="1018" t="s">
        <v>2163</v>
      </c>
      <c r="D1472" s="1018" t="s">
        <v>1410</v>
      </c>
      <c r="E1472" s="1015" t="s">
        <v>766</v>
      </c>
    </row>
    <row r="1473" spans="1:5" x14ac:dyDescent="0.25">
      <c r="A1473" s="1287">
        <v>1472</v>
      </c>
      <c r="B1473" s="947" t="s">
        <v>870</v>
      </c>
      <c r="C1473" s="1018" t="s">
        <v>2163</v>
      </c>
      <c r="D1473" s="1018" t="s">
        <v>1410</v>
      </c>
      <c r="E1473" s="1017" t="s">
        <v>1262</v>
      </c>
    </row>
    <row r="1474" spans="1:5" ht="30" x14ac:dyDescent="0.25">
      <c r="A1474" s="1287">
        <v>1473</v>
      </c>
      <c r="B1474" s="947" t="s">
        <v>870</v>
      </c>
      <c r="C1474" s="1018" t="s">
        <v>2163</v>
      </c>
      <c r="D1474" s="1018" t="s">
        <v>1410</v>
      </c>
      <c r="E1474" s="1017" t="s">
        <v>1263</v>
      </c>
    </row>
    <row r="1475" spans="1:5" x14ac:dyDescent="0.25">
      <c r="A1475" s="1287">
        <v>1474</v>
      </c>
      <c r="B1475" s="947" t="s">
        <v>870</v>
      </c>
      <c r="C1475" s="1018" t="s">
        <v>2163</v>
      </c>
      <c r="D1475" s="1018" t="s">
        <v>1410</v>
      </c>
      <c r="E1475" s="1017" t="s">
        <v>1185</v>
      </c>
    </row>
    <row r="1476" spans="1:5" x14ac:dyDescent="0.25">
      <c r="A1476" s="1287">
        <v>1475</v>
      </c>
      <c r="B1476" s="947" t="s">
        <v>870</v>
      </c>
      <c r="C1476" s="1018" t="s">
        <v>2163</v>
      </c>
      <c r="D1476" s="1018" t="s">
        <v>1410</v>
      </c>
      <c r="E1476" s="1017" t="s">
        <v>1186</v>
      </c>
    </row>
    <row r="1477" spans="1:5" x14ac:dyDescent="0.25">
      <c r="A1477" s="1287">
        <v>1476</v>
      </c>
      <c r="B1477" s="947" t="s">
        <v>870</v>
      </c>
      <c r="C1477" s="1018" t="s">
        <v>2163</v>
      </c>
      <c r="D1477" s="1018" t="s">
        <v>1410</v>
      </c>
      <c r="E1477" s="1017" t="s">
        <v>1187</v>
      </c>
    </row>
    <row r="1478" spans="1:5" x14ac:dyDescent="0.25">
      <c r="A1478" s="1287">
        <v>1477</v>
      </c>
      <c r="B1478" s="947" t="s">
        <v>870</v>
      </c>
      <c r="C1478" s="1018" t="s">
        <v>2163</v>
      </c>
      <c r="D1478" s="1018" t="s">
        <v>1410</v>
      </c>
      <c r="E1478" s="1017" t="s">
        <v>1188</v>
      </c>
    </row>
    <row r="1479" spans="1:5" x14ac:dyDescent="0.25">
      <c r="A1479" s="1287">
        <v>1478</v>
      </c>
      <c r="B1479" s="947" t="s">
        <v>870</v>
      </c>
      <c r="C1479" s="1018" t="s">
        <v>2163</v>
      </c>
      <c r="D1479" s="1018" t="s">
        <v>1410</v>
      </c>
      <c r="E1479" s="1017" t="s">
        <v>1189</v>
      </c>
    </row>
    <row r="1480" spans="1:5" x14ac:dyDescent="0.25">
      <c r="A1480" s="1287">
        <v>1479</v>
      </c>
      <c r="B1480" s="947" t="s">
        <v>870</v>
      </c>
      <c r="C1480" s="1018" t="s">
        <v>2163</v>
      </c>
      <c r="D1480" s="1018" t="s">
        <v>1410</v>
      </c>
      <c r="E1480" s="1017" t="s">
        <v>1428</v>
      </c>
    </row>
    <row r="1481" spans="1:5" x14ac:dyDescent="0.25">
      <c r="A1481" s="1287">
        <v>1480</v>
      </c>
      <c r="B1481" s="947" t="s">
        <v>870</v>
      </c>
      <c r="C1481" s="1018" t="s">
        <v>2163</v>
      </c>
      <c r="D1481" s="1018" t="s">
        <v>1410</v>
      </c>
      <c r="E1481" s="1017" t="s">
        <v>1631</v>
      </c>
    </row>
    <row r="1482" spans="1:5" x14ac:dyDescent="0.25">
      <c r="A1482" s="1287">
        <v>1481</v>
      </c>
      <c r="B1482" s="947" t="s">
        <v>1401</v>
      </c>
      <c r="C1482" s="1018" t="s">
        <v>2163</v>
      </c>
      <c r="D1482" s="1018" t="s">
        <v>1429</v>
      </c>
      <c r="E1482" s="1015" t="s">
        <v>765</v>
      </c>
    </row>
    <row r="1483" spans="1:5" x14ac:dyDescent="0.25">
      <c r="A1483" s="1287">
        <v>1482</v>
      </c>
      <c r="B1483" s="947" t="s">
        <v>1401</v>
      </c>
      <c r="C1483" s="1018" t="s">
        <v>2163</v>
      </c>
      <c r="D1483" s="1018" t="s">
        <v>1429</v>
      </c>
      <c r="E1483" s="1015" t="s">
        <v>1179</v>
      </c>
    </row>
    <row r="1484" spans="1:5" x14ac:dyDescent="0.25">
      <c r="A1484" s="1287">
        <v>1483</v>
      </c>
      <c r="B1484" s="947" t="s">
        <v>1401</v>
      </c>
      <c r="C1484" s="1018" t="s">
        <v>2163</v>
      </c>
      <c r="D1484" s="1018" t="s">
        <v>1410</v>
      </c>
      <c r="E1484" s="1015" t="s">
        <v>1180</v>
      </c>
    </row>
    <row r="1485" spans="1:5" x14ac:dyDescent="0.25">
      <c r="A1485" s="1287">
        <v>1484</v>
      </c>
      <c r="B1485" s="947" t="s">
        <v>1401</v>
      </c>
      <c r="C1485" s="1018" t="s">
        <v>2163</v>
      </c>
      <c r="D1485" s="1018" t="s">
        <v>1410</v>
      </c>
      <c r="E1485" s="1015" t="s">
        <v>1367</v>
      </c>
    </row>
    <row r="1486" spans="1:5" x14ac:dyDescent="0.25">
      <c r="A1486" s="1287">
        <v>1485</v>
      </c>
      <c r="B1486" s="947" t="s">
        <v>1401</v>
      </c>
      <c r="C1486" s="1018" t="s">
        <v>2163</v>
      </c>
      <c r="D1486" s="1018" t="s">
        <v>1410</v>
      </c>
      <c r="E1486" s="1015" t="s">
        <v>1297</v>
      </c>
    </row>
    <row r="1487" spans="1:5" x14ac:dyDescent="0.25">
      <c r="A1487" s="1287">
        <v>1486</v>
      </c>
      <c r="B1487" s="947" t="s">
        <v>1401</v>
      </c>
      <c r="C1487" s="1018" t="s">
        <v>2163</v>
      </c>
      <c r="D1487" s="1018" t="s">
        <v>1410</v>
      </c>
      <c r="E1487" s="1015" t="s">
        <v>767</v>
      </c>
    </row>
    <row r="1488" spans="1:5" x14ac:dyDescent="0.25">
      <c r="A1488" s="1287">
        <v>1487</v>
      </c>
      <c r="B1488" s="947" t="s">
        <v>1401</v>
      </c>
      <c r="C1488" s="1018" t="s">
        <v>2163</v>
      </c>
      <c r="D1488" s="1018" t="s">
        <v>1410</v>
      </c>
      <c r="E1488" s="1015" t="s">
        <v>768</v>
      </c>
    </row>
    <row r="1489" spans="1:5" x14ac:dyDescent="0.25">
      <c r="A1489" s="1287">
        <v>1488</v>
      </c>
      <c r="B1489" s="947" t="s">
        <v>1401</v>
      </c>
      <c r="C1489" s="1018" t="s">
        <v>2163</v>
      </c>
      <c r="D1489" s="1018" t="s">
        <v>1410</v>
      </c>
      <c r="E1489" s="1015" t="s">
        <v>769</v>
      </c>
    </row>
    <row r="1490" spans="1:5" x14ac:dyDescent="0.25">
      <c r="A1490" s="1287">
        <v>1489</v>
      </c>
      <c r="B1490" s="947" t="s">
        <v>1401</v>
      </c>
      <c r="C1490" s="1018" t="s">
        <v>2163</v>
      </c>
      <c r="D1490" s="1018" t="s">
        <v>1410</v>
      </c>
      <c r="E1490" s="1015" t="s">
        <v>204</v>
      </c>
    </row>
    <row r="1491" spans="1:5" x14ac:dyDescent="0.25">
      <c r="A1491" s="1287">
        <v>1490</v>
      </c>
      <c r="B1491" s="947" t="s">
        <v>1401</v>
      </c>
      <c r="C1491" s="1018" t="s">
        <v>2164</v>
      </c>
      <c r="D1491" s="1018" t="s">
        <v>1410</v>
      </c>
      <c r="E1491" s="1015" t="s">
        <v>1178</v>
      </c>
    </row>
    <row r="1492" spans="1:5" x14ac:dyDescent="0.25">
      <c r="A1492" s="1287">
        <v>1491</v>
      </c>
      <c r="B1492" s="947" t="s">
        <v>870</v>
      </c>
      <c r="C1492" s="1018" t="s">
        <v>2164</v>
      </c>
      <c r="D1492" s="1018" t="s">
        <v>1410</v>
      </c>
      <c r="E1492" s="1015" t="s">
        <v>1182</v>
      </c>
    </row>
    <row r="1493" spans="1:5" x14ac:dyDescent="0.25">
      <c r="A1493" s="1287">
        <v>1492</v>
      </c>
      <c r="B1493" s="947" t="s">
        <v>1401</v>
      </c>
      <c r="C1493" s="1018" t="s">
        <v>2164</v>
      </c>
      <c r="D1493" s="1018" t="s">
        <v>1410</v>
      </c>
      <c r="E1493" s="1015" t="s">
        <v>766</v>
      </c>
    </row>
    <row r="1494" spans="1:5" x14ac:dyDescent="0.25">
      <c r="A1494" s="1287">
        <v>1493</v>
      </c>
      <c r="B1494" s="947" t="s">
        <v>870</v>
      </c>
      <c r="C1494" s="1018" t="s">
        <v>2164</v>
      </c>
      <c r="D1494" s="1018" t="s">
        <v>1410</v>
      </c>
      <c r="E1494" s="1017" t="s">
        <v>1262</v>
      </c>
    </row>
    <row r="1495" spans="1:5" ht="30" x14ac:dyDescent="0.25">
      <c r="A1495" s="1287">
        <v>1494</v>
      </c>
      <c r="B1495" s="947" t="s">
        <v>870</v>
      </c>
      <c r="C1495" s="1018" t="s">
        <v>2164</v>
      </c>
      <c r="D1495" s="1018" t="s">
        <v>1410</v>
      </c>
      <c r="E1495" s="1017" t="s">
        <v>1263</v>
      </c>
    </row>
    <row r="1496" spans="1:5" x14ac:dyDescent="0.25">
      <c r="A1496" s="1287">
        <v>1495</v>
      </c>
      <c r="B1496" s="947" t="s">
        <v>870</v>
      </c>
      <c r="C1496" s="1018" t="s">
        <v>2164</v>
      </c>
      <c r="D1496" s="1018" t="s">
        <v>1410</v>
      </c>
      <c r="E1496" s="1017" t="s">
        <v>1185</v>
      </c>
    </row>
    <row r="1497" spans="1:5" x14ac:dyDescent="0.25">
      <c r="A1497" s="1287">
        <v>1496</v>
      </c>
      <c r="B1497" s="947" t="s">
        <v>870</v>
      </c>
      <c r="C1497" s="1018" t="s">
        <v>2164</v>
      </c>
      <c r="D1497" s="1018" t="s">
        <v>1410</v>
      </c>
      <c r="E1497" s="1017" t="s">
        <v>1186</v>
      </c>
    </row>
    <row r="1498" spans="1:5" x14ac:dyDescent="0.25">
      <c r="A1498" s="1287">
        <v>1497</v>
      </c>
      <c r="B1498" s="947" t="s">
        <v>870</v>
      </c>
      <c r="C1498" s="1018" t="s">
        <v>2164</v>
      </c>
      <c r="D1498" s="1018" t="s">
        <v>1410</v>
      </c>
      <c r="E1498" s="1017" t="s">
        <v>1187</v>
      </c>
    </row>
    <row r="1499" spans="1:5" x14ac:dyDescent="0.25">
      <c r="A1499" s="1287">
        <v>1498</v>
      </c>
      <c r="B1499" s="947" t="s">
        <v>870</v>
      </c>
      <c r="C1499" s="1018" t="s">
        <v>2164</v>
      </c>
      <c r="D1499" s="1018" t="s">
        <v>1410</v>
      </c>
      <c r="E1499" s="1017" t="s">
        <v>1188</v>
      </c>
    </row>
    <row r="1500" spans="1:5" x14ac:dyDescent="0.25">
      <c r="A1500" s="1287">
        <v>1499</v>
      </c>
      <c r="B1500" s="947" t="s">
        <v>870</v>
      </c>
      <c r="C1500" s="1018" t="s">
        <v>2164</v>
      </c>
      <c r="D1500" s="1018" t="s">
        <v>1410</v>
      </c>
      <c r="E1500" s="1017" t="s">
        <v>1189</v>
      </c>
    </row>
    <row r="1501" spans="1:5" x14ac:dyDescent="0.25">
      <c r="A1501" s="1287">
        <v>1500</v>
      </c>
      <c r="B1501" s="947" t="s">
        <v>870</v>
      </c>
      <c r="C1501" s="1018" t="s">
        <v>2164</v>
      </c>
      <c r="D1501" s="1018" t="s">
        <v>1410</v>
      </c>
      <c r="E1501" s="1017" t="s">
        <v>1428</v>
      </c>
    </row>
    <row r="1502" spans="1:5" x14ac:dyDescent="0.25">
      <c r="A1502" s="1287">
        <v>1501</v>
      </c>
      <c r="B1502" s="947" t="s">
        <v>870</v>
      </c>
      <c r="C1502" s="1018" t="s">
        <v>2164</v>
      </c>
      <c r="D1502" s="1018" t="s">
        <v>1410</v>
      </c>
      <c r="E1502" s="1017" t="s">
        <v>1631</v>
      </c>
    </row>
    <row r="1503" spans="1:5" x14ac:dyDescent="0.25">
      <c r="A1503" s="1287">
        <v>1502</v>
      </c>
      <c r="B1503" s="947" t="s">
        <v>1401</v>
      </c>
      <c r="C1503" s="1018" t="s">
        <v>2164</v>
      </c>
      <c r="D1503" s="1018" t="s">
        <v>1429</v>
      </c>
      <c r="E1503" s="1015" t="s">
        <v>765</v>
      </c>
    </row>
    <row r="1504" spans="1:5" x14ac:dyDescent="0.25">
      <c r="A1504" s="1287">
        <v>1503</v>
      </c>
      <c r="B1504" s="947" t="s">
        <v>1401</v>
      </c>
      <c r="C1504" s="1018" t="s">
        <v>2164</v>
      </c>
      <c r="D1504" s="1018" t="s">
        <v>1429</v>
      </c>
      <c r="E1504" s="1015" t="s">
        <v>1179</v>
      </c>
    </row>
    <row r="1505" spans="1:5" x14ac:dyDescent="0.25">
      <c r="A1505" s="1287">
        <v>1504</v>
      </c>
      <c r="B1505" s="947" t="s">
        <v>1401</v>
      </c>
      <c r="C1505" s="1018" t="s">
        <v>2164</v>
      </c>
      <c r="D1505" s="1018" t="s">
        <v>1410</v>
      </c>
      <c r="E1505" s="1015" t="s">
        <v>1180</v>
      </c>
    </row>
    <row r="1506" spans="1:5" x14ac:dyDescent="0.25">
      <c r="A1506" s="1287">
        <v>1505</v>
      </c>
      <c r="B1506" s="947" t="s">
        <v>1401</v>
      </c>
      <c r="C1506" s="1018" t="s">
        <v>2164</v>
      </c>
      <c r="D1506" s="1018" t="s">
        <v>1410</v>
      </c>
      <c r="E1506" s="1015" t="s">
        <v>1367</v>
      </c>
    </row>
    <row r="1507" spans="1:5" x14ac:dyDescent="0.25">
      <c r="A1507" s="1287">
        <v>1506</v>
      </c>
      <c r="B1507" s="947" t="s">
        <v>1401</v>
      </c>
      <c r="C1507" s="1018" t="s">
        <v>2164</v>
      </c>
      <c r="D1507" s="1018" t="s">
        <v>1410</v>
      </c>
      <c r="E1507" s="1015" t="s">
        <v>1297</v>
      </c>
    </row>
    <row r="1508" spans="1:5" x14ac:dyDescent="0.25">
      <c r="A1508" s="1287">
        <v>1507</v>
      </c>
      <c r="B1508" s="947" t="s">
        <v>1401</v>
      </c>
      <c r="C1508" s="1018" t="s">
        <v>2164</v>
      </c>
      <c r="D1508" s="1018" t="s">
        <v>1410</v>
      </c>
      <c r="E1508" s="1015" t="s">
        <v>767</v>
      </c>
    </row>
    <row r="1509" spans="1:5" x14ac:dyDescent="0.25">
      <c r="A1509" s="1287">
        <v>1508</v>
      </c>
      <c r="B1509" s="947" t="s">
        <v>1401</v>
      </c>
      <c r="C1509" s="1018" t="s">
        <v>2164</v>
      </c>
      <c r="D1509" s="1018" t="s">
        <v>1410</v>
      </c>
      <c r="E1509" s="1015" t="s">
        <v>768</v>
      </c>
    </row>
    <row r="1510" spans="1:5" x14ac:dyDescent="0.25">
      <c r="A1510" s="1287">
        <v>1509</v>
      </c>
      <c r="B1510" s="947" t="s">
        <v>1401</v>
      </c>
      <c r="C1510" s="1018" t="s">
        <v>2164</v>
      </c>
      <c r="D1510" s="1018" t="s">
        <v>1410</v>
      </c>
      <c r="E1510" s="1015" t="s">
        <v>769</v>
      </c>
    </row>
    <row r="1511" spans="1:5" x14ac:dyDescent="0.25">
      <c r="A1511" s="1287">
        <v>1510</v>
      </c>
      <c r="B1511" s="947" t="s">
        <v>1401</v>
      </c>
      <c r="C1511" s="1018" t="s">
        <v>2164</v>
      </c>
      <c r="D1511" s="1018" t="s">
        <v>1410</v>
      </c>
      <c r="E1511" s="1015" t="s">
        <v>204</v>
      </c>
    </row>
    <row r="1512" spans="1:5" x14ac:dyDescent="0.25">
      <c r="A1512" s="1287">
        <v>1511</v>
      </c>
      <c r="B1512" s="947" t="s">
        <v>1401</v>
      </c>
      <c r="C1512" s="1018" t="s">
        <v>2165</v>
      </c>
      <c r="D1512" s="1018" t="s">
        <v>1410</v>
      </c>
      <c r="E1512" s="1015" t="s">
        <v>1178</v>
      </c>
    </row>
    <row r="1513" spans="1:5" x14ac:dyDescent="0.25">
      <c r="A1513" s="1287">
        <v>1512</v>
      </c>
      <c r="B1513" s="947" t="s">
        <v>870</v>
      </c>
      <c r="C1513" s="1018" t="s">
        <v>2165</v>
      </c>
      <c r="D1513" s="1018" t="s">
        <v>1410</v>
      </c>
      <c r="E1513" s="1015" t="s">
        <v>1182</v>
      </c>
    </row>
    <row r="1514" spans="1:5" x14ac:dyDescent="0.25">
      <c r="A1514" s="1287">
        <v>1513</v>
      </c>
      <c r="B1514" s="947" t="s">
        <v>1401</v>
      </c>
      <c r="C1514" s="1018" t="s">
        <v>2165</v>
      </c>
      <c r="D1514" s="1018" t="s">
        <v>1410</v>
      </c>
      <c r="E1514" s="1015" t="s">
        <v>766</v>
      </c>
    </row>
    <row r="1515" spans="1:5" x14ac:dyDescent="0.25">
      <c r="A1515" s="1287">
        <v>1514</v>
      </c>
      <c r="B1515" s="947" t="s">
        <v>870</v>
      </c>
      <c r="C1515" s="1018" t="s">
        <v>2165</v>
      </c>
      <c r="D1515" s="1018" t="s">
        <v>1410</v>
      </c>
      <c r="E1515" s="1017" t="s">
        <v>1262</v>
      </c>
    </row>
    <row r="1516" spans="1:5" ht="30" x14ac:dyDescent="0.25">
      <c r="A1516" s="1287">
        <v>1515</v>
      </c>
      <c r="B1516" s="947" t="s">
        <v>870</v>
      </c>
      <c r="C1516" s="1018" t="s">
        <v>2165</v>
      </c>
      <c r="D1516" s="1018" t="s">
        <v>1410</v>
      </c>
      <c r="E1516" s="1017" t="s">
        <v>1263</v>
      </c>
    </row>
    <row r="1517" spans="1:5" x14ac:dyDescent="0.25">
      <c r="A1517" s="1287">
        <v>1516</v>
      </c>
      <c r="B1517" s="947" t="s">
        <v>870</v>
      </c>
      <c r="C1517" s="1018" t="s">
        <v>2165</v>
      </c>
      <c r="D1517" s="1018" t="s">
        <v>1410</v>
      </c>
      <c r="E1517" s="1017" t="s">
        <v>1185</v>
      </c>
    </row>
    <row r="1518" spans="1:5" x14ac:dyDescent="0.25">
      <c r="A1518" s="1287">
        <v>1517</v>
      </c>
      <c r="B1518" s="947" t="s">
        <v>870</v>
      </c>
      <c r="C1518" s="1018" t="s">
        <v>2165</v>
      </c>
      <c r="D1518" s="1018" t="s">
        <v>1410</v>
      </c>
      <c r="E1518" s="1017" t="s">
        <v>1186</v>
      </c>
    </row>
    <row r="1519" spans="1:5" x14ac:dyDescent="0.25">
      <c r="A1519" s="1287">
        <v>1518</v>
      </c>
      <c r="B1519" s="947" t="s">
        <v>870</v>
      </c>
      <c r="C1519" s="1018" t="s">
        <v>2165</v>
      </c>
      <c r="D1519" s="1018" t="s">
        <v>1410</v>
      </c>
      <c r="E1519" s="1017" t="s">
        <v>1187</v>
      </c>
    </row>
    <row r="1520" spans="1:5" x14ac:dyDescent="0.25">
      <c r="A1520" s="1287">
        <v>1519</v>
      </c>
      <c r="B1520" s="947" t="s">
        <v>870</v>
      </c>
      <c r="C1520" s="1018" t="s">
        <v>2165</v>
      </c>
      <c r="D1520" s="1018" t="s">
        <v>1410</v>
      </c>
      <c r="E1520" s="1017" t="s">
        <v>1188</v>
      </c>
    </row>
    <row r="1521" spans="1:5" x14ac:dyDescent="0.25">
      <c r="A1521" s="1287">
        <v>1520</v>
      </c>
      <c r="B1521" s="947" t="s">
        <v>870</v>
      </c>
      <c r="C1521" s="1018" t="s">
        <v>2165</v>
      </c>
      <c r="D1521" s="1018" t="s">
        <v>1410</v>
      </c>
      <c r="E1521" s="1017" t="s">
        <v>1189</v>
      </c>
    </row>
    <row r="1522" spans="1:5" x14ac:dyDescent="0.25">
      <c r="A1522" s="1287">
        <v>1521</v>
      </c>
      <c r="B1522" s="947" t="s">
        <v>870</v>
      </c>
      <c r="C1522" s="1018" t="s">
        <v>2165</v>
      </c>
      <c r="D1522" s="1018" t="s">
        <v>1410</v>
      </c>
      <c r="E1522" s="1017" t="s">
        <v>1428</v>
      </c>
    </row>
    <row r="1523" spans="1:5" x14ac:dyDescent="0.25">
      <c r="A1523" s="1287">
        <v>1522</v>
      </c>
      <c r="B1523" s="947" t="s">
        <v>870</v>
      </c>
      <c r="C1523" s="1018" t="s">
        <v>2165</v>
      </c>
      <c r="D1523" s="1018" t="s">
        <v>1410</v>
      </c>
      <c r="E1523" s="1017" t="s">
        <v>1631</v>
      </c>
    </row>
    <row r="1524" spans="1:5" x14ac:dyDescent="0.25">
      <c r="A1524" s="1287">
        <v>1523</v>
      </c>
      <c r="B1524" s="947" t="s">
        <v>1401</v>
      </c>
      <c r="C1524" s="1018" t="s">
        <v>2165</v>
      </c>
      <c r="D1524" s="1018" t="s">
        <v>1429</v>
      </c>
      <c r="E1524" s="1015" t="s">
        <v>765</v>
      </c>
    </row>
    <row r="1525" spans="1:5" x14ac:dyDescent="0.25">
      <c r="A1525" s="1287">
        <v>1524</v>
      </c>
      <c r="B1525" s="947" t="s">
        <v>1401</v>
      </c>
      <c r="C1525" s="1018" t="s">
        <v>2165</v>
      </c>
      <c r="D1525" s="1018" t="s">
        <v>1429</v>
      </c>
      <c r="E1525" s="1015" t="s">
        <v>1179</v>
      </c>
    </row>
    <row r="1526" spans="1:5" x14ac:dyDescent="0.25">
      <c r="A1526" s="1287">
        <v>1525</v>
      </c>
      <c r="B1526" s="947" t="s">
        <v>1401</v>
      </c>
      <c r="C1526" s="1018" t="s">
        <v>2165</v>
      </c>
      <c r="D1526" s="1018" t="s">
        <v>1410</v>
      </c>
      <c r="E1526" s="1015" t="s">
        <v>1180</v>
      </c>
    </row>
    <row r="1527" spans="1:5" x14ac:dyDescent="0.25">
      <c r="A1527" s="1287">
        <v>1526</v>
      </c>
      <c r="B1527" s="947" t="s">
        <v>1401</v>
      </c>
      <c r="C1527" s="1018" t="s">
        <v>2165</v>
      </c>
      <c r="D1527" s="1018" t="s">
        <v>1410</v>
      </c>
      <c r="E1527" s="1015" t="s">
        <v>1367</v>
      </c>
    </row>
    <row r="1528" spans="1:5" x14ac:dyDescent="0.25">
      <c r="A1528" s="1287">
        <v>1527</v>
      </c>
      <c r="B1528" s="947" t="s">
        <v>1401</v>
      </c>
      <c r="C1528" s="1018" t="s">
        <v>2165</v>
      </c>
      <c r="D1528" s="1018" t="s">
        <v>1410</v>
      </c>
      <c r="E1528" s="1015" t="s">
        <v>1297</v>
      </c>
    </row>
    <row r="1529" spans="1:5" x14ac:dyDescent="0.25">
      <c r="A1529" s="1287">
        <v>1528</v>
      </c>
      <c r="B1529" s="947" t="s">
        <v>1401</v>
      </c>
      <c r="C1529" s="1018" t="s">
        <v>2165</v>
      </c>
      <c r="D1529" s="1018" t="s">
        <v>1410</v>
      </c>
      <c r="E1529" s="1015" t="s">
        <v>767</v>
      </c>
    </row>
    <row r="1530" spans="1:5" x14ac:dyDescent="0.25">
      <c r="A1530" s="1287">
        <v>1529</v>
      </c>
      <c r="B1530" s="947" t="s">
        <v>1401</v>
      </c>
      <c r="C1530" s="1018" t="s">
        <v>2165</v>
      </c>
      <c r="D1530" s="1018" t="s">
        <v>1410</v>
      </c>
      <c r="E1530" s="1015" t="s">
        <v>768</v>
      </c>
    </row>
    <row r="1531" spans="1:5" x14ac:dyDescent="0.25">
      <c r="A1531" s="1287">
        <v>1530</v>
      </c>
      <c r="B1531" s="947" t="s">
        <v>1401</v>
      </c>
      <c r="C1531" s="1018" t="s">
        <v>2165</v>
      </c>
      <c r="D1531" s="1018" t="s">
        <v>1410</v>
      </c>
      <c r="E1531" s="1015" t="s">
        <v>769</v>
      </c>
    </row>
    <row r="1532" spans="1:5" x14ac:dyDescent="0.25">
      <c r="A1532" s="1287">
        <v>1531</v>
      </c>
      <c r="B1532" s="947" t="s">
        <v>1401</v>
      </c>
      <c r="C1532" s="1018" t="s">
        <v>2165</v>
      </c>
      <c r="D1532" s="1018" t="s">
        <v>1410</v>
      </c>
      <c r="E1532" s="1015" t="s">
        <v>204</v>
      </c>
    </row>
    <row r="1533" spans="1:5" x14ac:dyDescent="0.25">
      <c r="A1533" s="1287">
        <v>1532</v>
      </c>
      <c r="B1533" s="947" t="s">
        <v>1401</v>
      </c>
      <c r="C1533" s="1018" t="s">
        <v>2166</v>
      </c>
      <c r="D1533" s="1018" t="s">
        <v>1410</v>
      </c>
      <c r="E1533" s="1015" t="s">
        <v>1178</v>
      </c>
    </row>
    <row r="1534" spans="1:5" x14ac:dyDescent="0.25">
      <c r="A1534" s="1287">
        <v>1533</v>
      </c>
      <c r="B1534" s="947" t="s">
        <v>870</v>
      </c>
      <c r="C1534" s="1018" t="s">
        <v>2166</v>
      </c>
      <c r="D1534" s="1018" t="s">
        <v>1410</v>
      </c>
      <c r="E1534" s="1015" t="s">
        <v>1182</v>
      </c>
    </row>
    <row r="1535" spans="1:5" x14ac:dyDescent="0.25">
      <c r="A1535" s="1287">
        <v>1534</v>
      </c>
      <c r="B1535" s="947" t="s">
        <v>1401</v>
      </c>
      <c r="C1535" s="1018" t="s">
        <v>2166</v>
      </c>
      <c r="D1535" s="1018" t="s">
        <v>1410</v>
      </c>
      <c r="E1535" s="1015" t="s">
        <v>766</v>
      </c>
    </row>
    <row r="1536" spans="1:5" x14ac:dyDescent="0.25">
      <c r="A1536" s="1287">
        <v>1535</v>
      </c>
      <c r="B1536" s="947" t="s">
        <v>870</v>
      </c>
      <c r="C1536" s="1018" t="s">
        <v>2166</v>
      </c>
      <c r="D1536" s="1018" t="s">
        <v>1410</v>
      </c>
      <c r="E1536" s="1017" t="s">
        <v>1262</v>
      </c>
    </row>
    <row r="1537" spans="1:5" ht="30" x14ac:dyDescent="0.25">
      <c r="A1537" s="1287">
        <v>1536</v>
      </c>
      <c r="B1537" s="947" t="s">
        <v>870</v>
      </c>
      <c r="C1537" s="1018" t="s">
        <v>2166</v>
      </c>
      <c r="D1537" s="1018" t="s">
        <v>1410</v>
      </c>
      <c r="E1537" s="1017" t="s">
        <v>1263</v>
      </c>
    </row>
    <row r="1538" spans="1:5" x14ac:dyDescent="0.25">
      <c r="A1538" s="1287">
        <v>1537</v>
      </c>
      <c r="B1538" s="947" t="s">
        <v>870</v>
      </c>
      <c r="C1538" s="1018" t="s">
        <v>2166</v>
      </c>
      <c r="D1538" s="1018" t="s">
        <v>1410</v>
      </c>
      <c r="E1538" s="1017" t="s">
        <v>1185</v>
      </c>
    </row>
    <row r="1539" spans="1:5" x14ac:dyDescent="0.25">
      <c r="A1539" s="1287">
        <v>1538</v>
      </c>
      <c r="B1539" s="947" t="s">
        <v>870</v>
      </c>
      <c r="C1539" s="1018" t="s">
        <v>2166</v>
      </c>
      <c r="D1539" s="1018" t="s">
        <v>1410</v>
      </c>
      <c r="E1539" s="1017" t="s">
        <v>1186</v>
      </c>
    </row>
    <row r="1540" spans="1:5" x14ac:dyDescent="0.25">
      <c r="A1540" s="1287">
        <v>1539</v>
      </c>
      <c r="B1540" s="947" t="s">
        <v>870</v>
      </c>
      <c r="C1540" s="1018" t="s">
        <v>2166</v>
      </c>
      <c r="D1540" s="1018" t="s">
        <v>1410</v>
      </c>
      <c r="E1540" s="1017" t="s">
        <v>1187</v>
      </c>
    </row>
    <row r="1541" spans="1:5" x14ac:dyDescent="0.25">
      <c r="A1541" s="1287">
        <v>1540</v>
      </c>
      <c r="B1541" s="947" t="s">
        <v>870</v>
      </c>
      <c r="C1541" s="1018" t="s">
        <v>2166</v>
      </c>
      <c r="D1541" s="1018" t="s">
        <v>1410</v>
      </c>
      <c r="E1541" s="1017" t="s">
        <v>1188</v>
      </c>
    </row>
    <row r="1542" spans="1:5" x14ac:dyDescent="0.25">
      <c r="A1542" s="1287">
        <v>1541</v>
      </c>
      <c r="B1542" s="947" t="s">
        <v>870</v>
      </c>
      <c r="C1542" s="1018" t="s">
        <v>2166</v>
      </c>
      <c r="D1542" s="1018" t="s">
        <v>1410</v>
      </c>
      <c r="E1542" s="1017" t="s">
        <v>1189</v>
      </c>
    </row>
    <row r="1543" spans="1:5" x14ac:dyDescent="0.25">
      <c r="A1543" s="1287">
        <v>1542</v>
      </c>
      <c r="B1543" s="947" t="s">
        <v>870</v>
      </c>
      <c r="C1543" s="1018" t="s">
        <v>2166</v>
      </c>
      <c r="D1543" s="1018" t="s">
        <v>1410</v>
      </c>
      <c r="E1543" s="1017" t="s">
        <v>1428</v>
      </c>
    </row>
    <row r="1544" spans="1:5" x14ac:dyDescent="0.25">
      <c r="A1544" s="1287">
        <v>1543</v>
      </c>
      <c r="B1544" s="947" t="s">
        <v>870</v>
      </c>
      <c r="C1544" s="1018" t="s">
        <v>2166</v>
      </c>
      <c r="D1544" s="1018" t="s">
        <v>1410</v>
      </c>
      <c r="E1544" s="1017" t="s">
        <v>1631</v>
      </c>
    </row>
    <row r="1545" spans="1:5" x14ac:dyDescent="0.25">
      <c r="A1545" s="1287">
        <v>1544</v>
      </c>
      <c r="B1545" s="947" t="s">
        <v>1401</v>
      </c>
      <c r="C1545" s="1018" t="s">
        <v>2166</v>
      </c>
      <c r="D1545" s="1018" t="s">
        <v>1429</v>
      </c>
      <c r="E1545" s="1015" t="s">
        <v>765</v>
      </c>
    </row>
    <row r="1546" spans="1:5" x14ac:dyDescent="0.25">
      <c r="A1546" s="1287">
        <v>1545</v>
      </c>
      <c r="B1546" s="947" t="s">
        <v>1401</v>
      </c>
      <c r="C1546" s="1018" t="s">
        <v>2166</v>
      </c>
      <c r="D1546" s="1018" t="s">
        <v>1429</v>
      </c>
      <c r="E1546" s="1015" t="s">
        <v>1179</v>
      </c>
    </row>
    <row r="1547" spans="1:5" x14ac:dyDescent="0.25">
      <c r="A1547" s="1287">
        <v>1546</v>
      </c>
      <c r="B1547" s="947" t="s">
        <v>1401</v>
      </c>
      <c r="C1547" s="1018" t="s">
        <v>2166</v>
      </c>
      <c r="D1547" s="1018" t="s">
        <v>1410</v>
      </c>
      <c r="E1547" s="1015" t="s">
        <v>1180</v>
      </c>
    </row>
    <row r="1548" spans="1:5" x14ac:dyDescent="0.25">
      <c r="A1548" s="1287">
        <v>1547</v>
      </c>
      <c r="B1548" s="947" t="s">
        <v>1401</v>
      </c>
      <c r="C1548" s="1018" t="s">
        <v>2166</v>
      </c>
      <c r="D1548" s="1018" t="s">
        <v>1410</v>
      </c>
      <c r="E1548" s="1015" t="s">
        <v>1367</v>
      </c>
    </row>
    <row r="1549" spans="1:5" x14ac:dyDescent="0.25">
      <c r="A1549" s="1287">
        <v>1548</v>
      </c>
      <c r="B1549" s="947" t="s">
        <v>1401</v>
      </c>
      <c r="C1549" s="1018" t="s">
        <v>2166</v>
      </c>
      <c r="D1549" s="1018" t="s">
        <v>1410</v>
      </c>
      <c r="E1549" s="1015" t="s">
        <v>1297</v>
      </c>
    </row>
    <row r="1550" spans="1:5" x14ac:dyDescent="0.25">
      <c r="A1550" s="1287">
        <v>1549</v>
      </c>
      <c r="B1550" s="947" t="s">
        <v>1401</v>
      </c>
      <c r="C1550" s="1018" t="s">
        <v>2166</v>
      </c>
      <c r="D1550" s="1018" t="s">
        <v>1410</v>
      </c>
      <c r="E1550" s="1015" t="s">
        <v>767</v>
      </c>
    </row>
    <row r="1551" spans="1:5" x14ac:dyDescent="0.25">
      <c r="A1551" s="1287">
        <v>1550</v>
      </c>
      <c r="B1551" s="947" t="s">
        <v>1401</v>
      </c>
      <c r="C1551" s="1018" t="s">
        <v>2166</v>
      </c>
      <c r="D1551" s="1018" t="s">
        <v>1410</v>
      </c>
      <c r="E1551" s="1015" t="s">
        <v>768</v>
      </c>
    </row>
    <row r="1552" spans="1:5" x14ac:dyDescent="0.25">
      <c r="A1552" s="1287">
        <v>1551</v>
      </c>
      <c r="B1552" s="947" t="s">
        <v>1401</v>
      </c>
      <c r="C1552" s="1018" t="s">
        <v>2166</v>
      </c>
      <c r="D1552" s="1018" t="s">
        <v>1410</v>
      </c>
      <c r="E1552" s="1015" t="s">
        <v>769</v>
      </c>
    </row>
    <row r="1553" spans="1:5" x14ac:dyDescent="0.25">
      <c r="A1553" s="1287">
        <v>1552</v>
      </c>
      <c r="B1553" s="947" t="s">
        <v>1401</v>
      </c>
      <c r="C1553" s="1018" t="s">
        <v>2166</v>
      </c>
      <c r="D1553" s="1018" t="s">
        <v>1410</v>
      </c>
      <c r="E1553" s="1015" t="s">
        <v>204</v>
      </c>
    </row>
    <row r="1554" spans="1:5" x14ac:dyDescent="0.25">
      <c r="A1554" s="1287">
        <v>1553</v>
      </c>
      <c r="B1554" s="947" t="s">
        <v>1401</v>
      </c>
      <c r="C1554" s="1018" t="s">
        <v>2167</v>
      </c>
      <c r="D1554" s="1018" t="s">
        <v>1410</v>
      </c>
      <c r="E1554" s="1015" t="s">
        <v>1178</v>
      </c>
    </row>
    <row r="1555" spans="1:5" x14ac:dyDescent="0.25">
      <c r="A1555" s="1287">
        <v>1554</v>
      </c>
      <c r="B1555" s="947" t="s">
        <v>870</v>
      </c>
      <c r="C1555" s="1018" t="s">
        <v>2167</v>
      </c>
      <c r="D1555" s="1018" t="s">
        <v>1410</v>
      </c>
      <c r="E1555" s="1015" t="s">
        <v>1182</v>
      </c>
    </row>
    <row r="1556" spans="1:5" x14ac:dyDescent="0.25">
      <c r="A1556" s="1287">
        <v>1555</v>
      </c>
      <c r="B1556" s="947" t="s">
        <v>1401</v>
      </c>
      <c r="C1556" s="1018" t="s">
        <v>2167</v>
      </c>
      <c r="D1556" s="1018" t="s">
        <v>1410</v>
      </c>
      <c r="E1556" s="1015" t="s">
        <v>766</v>
      </c>
    </row>
    <row r="1557" spans="1:5" x14ac:dyDescent="0.25">
      <c r="A1557" s="1287">
        <v>1556</v>
      </c>
      <c r="B1557" s="947" t="s">
        <v>870</v>
      </c>
      <c r="C1557" s="1018" t="s">
        <v>2167</v>
      </c>
      <c r="D1557" s="1018" t="s">
        <v>1410</v>
      </c>
      <c r="E1557" s="1017" t="s">
        <v>1262</v>
      </c>
    </row>
    <row r="1558" spans="1:5" ht="30" x14ac:dyDescent="0.25">
      <c r="A1558" s="1287">
        <v>1557</v>
      </c>
      <c r="B1558" s="947" t="s">
        <v>870</v>
      </c>
      <c r="C1558" s="1018" t="s">
        <v>2167</v>
      </c>
      <c r="D1558" s="1018" t="s">
        <v>1410</v>
      </c>
      <c r="E1558" s="1017" t="s">
        <v>1263</v>
      </c>
    </row>
    <row r="1559" spans="1:5" x14ac:dyDescent="0.25">
      <c r="A1559" s="1287">
        <v>1558</v>
      </c>
      <c r="B1559" s="947" t="s">
        <v>870</v>
      </c>
      <c r="C1559" s="1018" t="s">
        <v>2167</v>
      </c>
      <c r="D1559" s="1018" t="s">
        <v>1410</v>
      </c>
      <c r="E1559" s="1017" t="s">
        <v>1185</v>
      </c>
    </row>
    <row r="1560" spans="1:5" x14ac:dyDescent="0.25">
      <c r="A1560" s="1287">
        <v>1559</v>
      </c>
      <c r="B1560" s="947" t="s">
        <v>870</v>
      </c>
      <c r="C1560" s="1018" t="s">
        <v>2167</v>
      </c>
      <c r="D1560" s="1018" t="s">
        <v>1410</v>
      </c>
      <c r="E1560" s="1017" t="s">
        <v>1186</v>
      </c>
    </row>
    <row r="1561" spans="1:5" x14ac:dyDescent="0.25">
      <c r="A1561" s="1287">
        <v>1560</v>
      </c>
      <c r="B1561" s="947" t="s">
        <v>870</v>
      </c>
      <c r="C1561" s="1018" t="s">
        <v>2167</v>
      </c>
      <c r="D1561" s="1018" t="s">
        <v>1410</v>
      </c>
      <c r="E1561" s="1017" t="s">
        <v>1187</v>
      </c>
    </row>
    <row r="1562" spans="1:5" x14ac:dyDescent="0.25">
      <c r="A1562" s="1287">
        <v>1561</v>
      </c>
      <c r="B1562" s="947" t="s">
        <v>870</v>
      </c>
      <c r="C1562" s="1018" t="s">
        <v>2167</v>
      </c>
      <c r="D1562" s="1018" t="s">
        <v>1410</v>
      </c>
      <c r="E1562" s="1017" t="s">
        <v>1188</v>
      </c>
    </row>
    <row r="1563" spans="1:5" x14ac:dyDescent="0.25">
      <c r="A1563" s="1287">
        <v>1562</v>
      </c>
      <c r="B1563" s="947" t="s">
        <v>870</v>
      </c>
      <c r="C1563" s="1018" t="s">
        <v>2167</v>
      </c>
      <c r="D1563" s="1018" t="s">
        <v>1410</v>
      </c>
      <c r="E1563" s="1017" t="s">
        <v>1189</v>
      </c>
    </row>
    <row r="1564" spans="1:5" x14ac:dyDescent="0.25">
      <c r="A1564" s="1287">
        <v>1563</v>
      </c>
      <c r="B1564" s="947" t="s">
        <v>870</v>
      </c>
      <c r="C1564" s="1018" t="s">
        <v>2167</v>
      </c>
      <c r="D1564" s="1018" t="s">
        <v>1410</v>
      </c>
      <c r="E1564" s="1017" t="s">
        <v>1428</v>
      </c>
    </row>
    <row r="1565" spans="1:5" x14ac:dyDescent="0.25">
      <c r="A1565" s="1287">
        <v>1564</v>
      </c>
      <c r="B1565" s="947" t="s">
        <v>870</v>
      </c>
      <c r="C1565" s="1018" t="s">
        <v>2167</v>
      </c>
      <c r="D1565" s="1018" t="s">
        <v>1410</v>
      </c>
      <c r="E1565" s="1017" t="s">
        <v>1631</v>
      </c>
    </row>
    <row r="1566" spans="1:5" x14ac:dyDescent="0.25">
      <c r="A1566" s="1287">
        <v>1565</v>
      </c>
      <c r="B1566" s="947" t="s">
        <v>1401</v>
      </c>
      <c r="C1566" s="1018" t="s">
        <v>2167</v>
      </c>
      <c r="D1566" s="1018" t="s">
        <v>1429</v>
      </c>
      <c r="E1566" s="1015" t="s">
        <v>765</v>
      </c>
    </row>
    <row r="1567" spans="1:5" x14ac:dyDescent="0.25">
      <c r="A1567" s="1287">
        <v>1566</v>
      </c>
      <c r="B1567" s="947" t="s">
        <v>1401</v>
      </c>
      <c r="C1567" s="1018" t="s">
        <v>2167</v>
      </c>
      <c r="D1567" s="1018" t="s">
        <v>1429</v>
      </c>
      <c r="E1567" s="1015" t="s">
        <v>1179</v>
      </c>
    </row>
    <row r="1568" spans="1:5" x14ac:dyDescent="0.25">
      <c r="A1568" s="1287">
        <v>1567</v>
      </c>
      <c r="B1568" s="947" t="s">
        <v>1401</v>
      </c>
      <c r="C1568" s="1018" t="s">
        <v>2167</v>
      </c>
      <c r="D1568" s="1018" t="s">
        <v>1410</v>
      </c>
      <c r="E1568" s="1015" t="s">
        <v>1180</v>
      </c>
    </row>
    <row r="1569" spans="1:5" x14ac:dyDescent="0.25">
      <c r="A1569" s="1287">
        <v>1568</v>
      </c>
      <c r="B1569" s="947" t="s">
        <v>1401</v>
      </c>
      <c r="C1569" s="1018" t="s">
        <v>2167</v>
      </c>
      <c r="D1569" s="1018" t="s">
        <v>1410</v>
      </c>
      <c r="E1569" s="1015" t="s">
        <v>1367</v>
      </c>
    </row>
    <row r="1570" spans="1:5" x14ac:dyDescent="0.25">
      <c r="A1570" s="1287">
        <v>1569</v>
      </c>
      <c r="B1570" s="947" t="s">
        <v>1401</v>
      </c>
      <c r="C1570" s="1018" t="s">
        <v>2167</v>
      </c>
      <c r="D1570" s="1018" t="s">
        <v>1410</v>
      </c>
      <c r="E1570" s="1015" t="s">
        <v>1297</v>
      </c>
    </row>
    <row r="1571" spans="1:5" x14ac:dyDescent="0.25">
      <c r="A1571" s="1287">
        <v>1570</v>
      </c>
      <c r="B1571" s="947" t="s">
        <v>1401</v>
      </c>
      <c r="C1571" s="1018" t="s">
        <v>2167</v>
      </c>
      <c r="D1571" s="1018" t="s">
        <v>1410</v>
      </c>
      <c r="E1571" s="1015" t="s">
        <v>767</v>
      </c>
    </row>
    <row r="1572" spans="1:5" x14ac:dyDescent="0.25">
      <c r="A1572" s="1287">
        <v>1571</v>
      </c>
      <c r="B1572" s="947" t="s">
        <v>1401</v>
      </c>
      <c r="C1572" s="1018" t="s">
        <v>2167</v>
      </c>
      <c r="D1572" s="1018" t="s">
        <v>1410</v>
      </c>
      <c r="E1572" s="1015" t="s">
        <v>768</v>
      </c>
    </row>
    <row r="1573" spans="1:5" x14ac:dyDescent="0.25">
      <c r="A1573" s="1287">
        <v>1572</v>
      </c>
      <c r="B1573" s="947" t="s">
        <v>1401</v>
      </c>
      <c r="C1573" s="1018" t="s">
        <v>2167</v>
      </c>
      <c r="D1573" s="1018" t="s">
        <v>1410</v>
      </c>
      <c r="E1573" s="1015" t="s">
        <v>769</v>
      </c>
    </row>
    <row r="1574" spans="1:5" x14ac:dyDescent="0.25">
      <c r="A1574" s="1287">
        <v>1573</v>
      </c>
      <c r="B1574" s="947" t="s">
        <v>1401</v>
      </c>
      <c r="C1574" s="1018" t="s">
        <v>2167</v>
      </c>
      <c r="D1574" s="1018" t="s">
        <v>1410</v>
      </c>
      <c r="E1574" s="1015" t="s">
        <v>204</v>
      </c>
    </row>
    <row r="1575" spans="1:5" x14ac:dyDescent="0.25">
      <c r="A1575" s="1287">
        <v>1574</v>
      </c>
      <c r="B1575" s="947" t="s">
        <v>1401</v>
      </c>
      <c r="C1575" s="1018" t="s">
        <v>2168</v>
      </c>
      <c r="D1575" s="1018" t="s">
        <v>1410</v>
      </c>
      <c r="E1575" s="1015" t="s">
        <v>1178</v>
      </c>
    </row>
    <row r="1576" spans="1:5" x14ac:dyDescent="0.25">
      <c r="A1576" s="1287">
        <v>1575</v>
      </c>
      <c r="B1576" s="947" t="s">
        <v>870</v>
      </c>
      <c r="C1576" s="1018" t="s">
        <v>2168</v>
      </c>
      <c r="D1576" s="1018" t="s">
        <v>1410</v>
      </c>
      <c r="E1576" s="1015" t="s">
        <v>1182</v>
      </c>
    </row>
    <row r="1577" spans="1:5" x14ac:dyDescent="0.25">
      <c r="A1577" s="1287">
        <v>1576</v>
      </c>
      <c r="B1577" s="947" t="s">
        <v>1401</v>
      </c>
      <c r="C1577" s="1018" t="s">
        <v>2168</v>
      </c>
      <c r="D1577" s="1018" t="s">
        <v>1410</v>
      </c>
      <c r="E1577" s="1015" t="s">
        <v>766</v>
      </c>
    </row>
    <row r="1578" spans="1:5" x14ac:dyDescent="0.25">
      <c r="A1578" s="1287">
        <v>1577</v>
      </c>
      <c r="B1578" s="947" t="s">
        <v>870</v>
      </c>
      <c r="C1578" s="1018" t="s">
        <v>2168</v>
      </c>
      <c r="D1578" s="1018" t="s">
        <v>1410</v>
      </c>
      <c r="E1578" s="1017" t="s">
        <v>1262</v>
      </c>
    </row>
    <row r="1579" spans="1:5" ht="30" x14ac:dyDescent="0.25">
      <c r="A1579" s="1287">
        <v>1578</v>
      </c>
      <c r="B1579" s="947" t="s">
        <v>870</v>
      </c>
      <c r="C1579" s="1018" t="s">
        <v>2168</v>
      </c>
      <c r="D1579" s="1018" t="s">
        <v>1410</v>
      </c>
      <c r="E1579" s="1017" t="s">
        <v>1263</v>
      </c>
    </row>
    <row r="1580" spans="1:5" x14ac:dyDescent="0.25">
      <c r="A1580" s="1287">
        <v>1579</v>
      </c>
      <c r="B1580" s="947" t="s">
        <v>870</v>
      </c>
      <c r="C1580" s="1018" t="s">
        <v>2168</v>
      </c>
      <c r="D1580" s="1018" t="s">
        <v>1410</v>
      </c>
      <c r="E1580" s="1017" t="s">
        <v>1185</v>
      </c>
    </row>
    <row r="1581" spans="1:5" x14ac:dyDescent="0.25">
      <c r="A1581" s="1287">
        <v>1580</v>
      </c>
      <c r="B1581" s="947" t="s">
        <v>870</v>
      </c>
      <c r="C1581" s="1018" t="s">
        <v>2168</v>
      </c>
      <c r="D1581" s="1018" t="s">
        <v>1410</v>
      </c>
      <c r="E1581" s="1017" t="s">
        <v>1186</v>
      </c>
    </row>
    <row r="1582" spans="1:5" x14ac:dyDescent="0.25">
      <c r="A1582" s="1287">
        <v>1581</v>
      </c>
      <c r="B1582" s="947" t="s">
        <v>870</v>
      </c>
      <c r="C1582" s="1018" t="s">
        <v>2168</v>
      </c>
      <c r="D1582" s="1018" t="s">
        <v>1410</v>
      </c>
      <c r="E1582" s="1017" t="s">
        <v>1187</v>
      </c>
    </row>
    <row r="1583" spans="1:5" x14ac:dyDescent="0.25">
      <c r="A1583" s="1287">
        <v>1582</v>
      </c>
      <c r="B1583" s="947" t="s">
        <v>870</v>
      </c>
      <c r="C1583" s="1018" t="s">
        <v>2168</v>
      </c>
      <c r="D1583" s="1018" t="s">
        <v>1410</v>
      </c>
      <c r="E1583" s="1017" t="s">
        <v>1188</v>
      </c>
    </row>
    <row r="1584" spans="1:5" x14ac:dyDescent="0.25">
      <c r="A1584" s="1287">
        <v>1583</v>
      </c>
      <c r="B1584" s="947" t="s">
        <v>870</v>
      </c>
      <c r="C1584" s="1018" t="s">
        <v>2168</v>
      </c>
      <c r="D1584" s="1018" t="s">
        <v>1410</v>
      </c>
      <c r="E1584" s="1017" t="s">
        <v>1189</v>
      </c>
    </row>
    <row r="1585" spans="1:5" x14ac:dyDescent="0.25">
      <c r="A1585" s="1287">
        <v>1584</v>
      </c>
      <c r="B1585" s="947" t="s">
        <v>870</v>
      </c>
      <c r="C1585" s="1018" t="s">
        <v>2168</v>
      </c>
      <c r="D1585" s="1018" t="s">
        <v>1410</v>
      </c>
      <c r="E1585" s="1017" t="s">
        <v>1428</v>
      </c>
    </row>
    <row r="1586" spans="1:5" x14ac:dyDescent="0.25">
      <c r="A1586" s="1287">
        <v>1585</v>
      </c>
      <c r="B1586" s="947" t="s">
        <v>870</v>
      </c>
      <c r="C1586" s="1018" t="s">
        <v>2168</v>
      </c>
      <c r="D1586" s="1018" t="s">
        <v>1410</v>
      </c>
      <c r="E1586" s="1017" t="s">
        <v>1631</v>
      </c>
    </row>
    <row r="1587" spans="1:5" x14ac:dyDescent="0.25">
      <c r="A1587" s="1287">
        <v>1586</v>
      </c>
      <c r="B1587" s="947" t="s">
        <v>1401</v>
      </c>
      <c r="C1587" s="1018" t="s">
        <v>2168</v>
      </c>
      <c r="D1587" s="1018" t="s">
        <v>1429</v>
      </c>
      <c r="E1587" s="1015" t="s">
        <v>765</v>
      </c>
    </row>
    <row r="1588" spans="1:5" x14ac:dyDescent="0.25">
      <c r="A1588" s="1287">
        <v>1587</v>
      </c>
      <c r="B1588" s="947" t="s">
        <v>1401</v>
      </c>
      <c r="C1588" s="1018" t="s">
        <v>2168</v>
      </c>
      <c r="D1588" s="1018" t="s">
        <v>1429</v>
      </c>
      <c r="E1588" s="1015" t="s">
        <v>1179</v>
      </c>
    </row>
    <row r="1589" spans="1:5" x14ac:dyDescent="0.25">
      <c r="A1589" s="1287">
        <v>1588</v>
      </c>
      <c r="B1589" s="947" t="s">
        <v>1401</v>
      </c>
      <c r="C1589" s="1018" t="s">
        <v>2168</v>
      </c>
      <c r="D1589" s="1018" t="s">
        <v>1410</v>
      </c>
      <c r="E1589" s="1015" t="s">
        <v>1180</v>
      </c>
    </row>
    <row r="1590" spans="1:5" x14ac:dyDescent="0.25">
      <c r="A1590" s="1287">
        <v>1589</v>
      </c>
      <c r="B1590" s="947" t="s">
        <v>1401</v>
      </c>
      <c r="C1590" s="1018" t="s">
        <v>2168</v>
      </c>
      <c r="D1590" s="1018" t="s">
        <v>1410</v>
      </c>
      <c r="E1590" s="1015" t="s">
        <v>1367</v>
      </c>
    </row>
    <row r="1591" spans="1:5" x14ac:dyDescent="0.25">
      <c r="A1591" s="1287">
        <v>1590</v>
      </c>
      <c r="B1591" s="947" t="s">
        <v>1401</v>
      </c>
      <c r="C1591" s="1018" t="s">
        <v>2168</v>
      </c>
      <c r="D1591" s="1018" t="s">
        <v>1410</v>
      </c>
      <c r="E1591" s="1015" t="s">
        <v>1297</v>
      </c>
    </row>
    <row r="1592" spans="1:5" x14ac:dyDescent="0.25">
      <c r="A1592" s="1287">
        <v>1591</v>
      </c>
      <c r="B1592" s="947" t="s">
        <v>1401</v>
      </c>
      <c r="C1592" s="1018" t="s">
        <v>2168</v>
      </c>
      <c r="D1592" s="1018" t="s">
        <v>1410</v>
      </c>
      <c r="E1592" s="1015" t="s">
        <v>767</v>
      </c>
    </row>
    <row r="1593" spans="1:5" x14ac:dyDescent="0.25">
      <c r="A1593" s="1287">
        <v>1592</v>
      </c>
      <c r="B1593" s="947" t="s">
        <v>1401</v>
      </c>
      <c r="C1593" s="1018" t="s">
        <v>2168</v>
      </c>
      <c r="D1593" s="1018" t="s">
        <v>1410</v>
      </c>
      <c r="E1593" s="1015" t="s">
        <v>768</v>
      </c>
    </row>
    <row r="1594" spans="1:5" x14ac:dyDescent="0.25">
      <c r="A1594" s="1287">
        <v>1593</v>
      </c>
      <c r="B1594" s="947" t="s">
        <v>1401</v>
      </c>
      <c r="C1594" s="1018" t="s">
        <v>2168</v>
      </c>
      <c r="D1594" s="1018" t="s">
        <v>1410</v>
      </c>
      <c r="E1594" s="1015" t="s">
        <v>769</v>
      </c>
    </row>
    <row r="1595" spans="1:5" x14ac:dyDescent="0.25">
      <c r="A1595" s="1287">
        <v>1594</v>
      </c>
      <c r="B1595" s="947" t="s">
        <v>1401</v>
      </c>
      <c r="C1595" s="1018" t="s">
        <v>2168</v>
      </c>
      <c r="D1595" s="1018" t="s">
        <v>1410</v>
      </c>
      <c r="E1595" s="1015" t="s">
        <v>204</v>
      </c>
    </row>
    <row r="1596" spans="1:5" x14ac:dyDescent="0.25">
      <c r="A1596" s="1287">
        <v>1595</v>
      </c>
      <c r="B1596" s="947" t="s">
        <v>1401</v>
      </c>
      <c r="C1596" s="1018" t="s">
        <v>2169</v>
      </c>
      <c r="D1596" s="1018" t="s">
        <v>1410</v>
      </c>
      <c r="E1596" s="1015" t="s">
        <v>1178</v>
      </c>
    </row>
    <row r="1597" spans="1:5" x14ac:dyDescent="0.25">
      <c r="A1597" s="1287">
        <v>1596</v>
      </c>
      <c r="B1597" s="947" t="s">
        <v>870</v>
      </c>
      <c r="C1597" s="1018" t="s">
        <v>2169</v>
      </c>
      <c r="D1597" s="1018" t="s">
        <v>1410</v>
      </c>
      <c r="E1597" s="1015" t="s">
        <v>1182</v>
      </c>
    </row>
    <row r="1598" spans="1:5" x14ac:dyDescent="0.25">
      <c r="A1598" s="1287">
        <v>1597</v>
      </c>
      <c r="B1598" s="947" t="s">
        <v>1401</v>
      </c>
      <c r="C1598" s="1018" t="s">
        <v>2169</v>
      </c>
      <c r="D1598" s="1018" t="s">
        <v>1410</v>
      </c>
      <c r="E1598" s="1015" t="s">
        <v>766</v>
      </c>
    </row>
    <row r="1599" spans="1:5" x14ac:dyDescent="0.25">
      <c r="A1599" s="1287">
        <v>1598</v>
      </c>
      <c r="B1599" s="947" t="s">
        <v>870</v>
      </c>
      <c r="C1599" s="1018" t="s">
        <v>2169</v>
      </c>
      <c r="D1599" s="1018" t="s">
        <v>1410</v>
      </c>
      <c r="E1599" s="1017" t="s">
        <v>1262</v>
      </c>
    </row>
    <row r="1600" spans="1:5" ht="30" x14ac:dyDescent="0.25">
      <c r="A1600" s="1287">
        <v>1599</v>
      </c>
      <c r="B1600" s="947" t="s">
        <v>870</v>
      </c>
      <c r="C1600" s="1018" t="s">
        <v>2169</v>
      </c>
      <c r="D1600" s="1018" t="s">
        <v>1410</v>
      </c>
      <c r="E1600" s="1017" t="s">
        <v>1263</v>
      </c>
    </row>
    <row r="1601" spans="1:5" x14ac:dyDescent="0.25">
      <c r="A1601" s="1287">
        <v>1600</v>
      </c>
      <c r="B1601" s="947" t="s">
        <v>870</v>
      </c>
      <c r="C1601" s="1018" t="s">
        <v>2169</v>
      </c>
      <c r="D1601" s="1018" t="s">
        <v>1410</v>
      </c>
      <c r="E1601" s="1017" t="s">
        <v>1185</v>
      </c>
    </row>
    <row r="1602" spans="1:5" x14ac:dyDescent="0.25">
      <c r="A1602" s="1287">
        <v>1601</v>
      </c>
      <c r="B1602" s="947" t="s">
        <v>870</v>
      </c>
      <c r="C1602" s="1018" t="s">
        <v>2169</v>
      </c>
      <c r="D1602" s="1018" t="s">
        <v>1410</v>
      </c>
      <c r="E1602" s="1017" t="s">
        <v>1186</v>
      </c>
    </row>
    <row r="1603" spans="1:5" x14ac:dyDescent="0.25">
      <c r="A1603" s="1287">
        <v>1602</v>
      </c>
      <c r="B1603" s="947" t="s">
        <v>870</v>
      </c>
      <c r="C1603" s="1018" t="s">
        <v>2169</v>
      </c>
      <c r="D1603" s="1018" t="s">
        <v>1410</v>
      </c>
      <c r="E1603" s="1017" t="s">
        <v>1187</v>
      </c>
    </row>
    <row r="1604" spans="1:5" x14ac:dyDescent="0.25">
      <c r="A1604" s="1287">
        <v>1603</v>
      </c>
      <c r="B1604" s="947" t="s">
        <v>870</v>
      </c>
      <c r="C1604" s="1018" t="s">
        <v>2169</v>
      </c>
      <c r="D1604" s="1018" t="s">
        <v>1410</v>
      </c>
      <c r="E1604" s="1017" t="s">
        <v>1188</v>
      </c>
    </row>
    <row r="1605" spans="1:5" x14ac:dyDescent="0.25">
      <c r="A1605" s="1287">
        <v>1604</v>
      </c>
      <c r="B1605" s="947" t="s">
        <v>870</v>
      </c>
      <c r="C1605" s="1018" t="s">
        <v>2169</v>
      </c>
      <c r="D1605" s="1018" t="s">
        <v>1410</v>
      </c>
      <c r="E1605" s="1017" t="s">
        <v>1189</v>
      </c>
    </row>
    <row r="1606" spans="1:5" x14ac:dyDescent="0.25">
      <c r="A1606" s="1287">
        <v>1605</v>
      </c>
      <c r="B1606" s="947" t="s">
        <v>870</v>
      </c>
      <c r="C1606" s="1018" t="s">
        <v>2169</v>
      </c>
      <c r="D1606" s="1018" t="s">
        <v>1410</v>
      </c>
      <c r="E1606" s="1017" t="s">
        <v>1428</v>
      </c>
    </row>
    <row r="1607" spans="1:5" x14ac:dyDescent="0.25">
      <c r="A1607" s="1287">
        <v>1606</v>
      </c>
      <c r="B1607" s="947" t="s">
        <v>870</v>
      </c>
      <c r="C1607" s="1018" t="s">
        <v>2169</v>
      </c>
      <c r="D1607" s="1018" t="s">
        <v>1410</v>
      </c>
      <c r="E1607" s="1017" t="s">
        <v>1631</v>
      </c>
    </row>
    <row r="1608" spans="1:5" x14ac:dyDescent="0.25">
      <c r="A1608" s="1287">
        <v>1607</v>
      </c>
      <c r="B1608" s="947" t="s">
        <v>1401</v>
      </c>
      <c r="C1608" s="1018" t="s">
        <v>2169</v>
      </c>
      <c r="D1608" s="1018" t="s">
        <v>1429</v>
      </c>
      <c r="E1608" s="1015" t="s">
        <v>765</v>
      </c>
    </row>
    <row r="1609" spans="1:5" x14ac:dyDescent="0.25">
      <c r="A1609" s="1287">
        <v>1608</v>
      </c>
      <c r="B1609" s="947" t="s">
        <v>1401</v>
      </c>
      <c r="C1609" s="1018" t="s">
        <v>2169</v>
      </c>
      <c r="D1609" s="1018" t="s">
        <v>1429</v>
      </c>
      <c r="E1609" s="1015" t="s">
        <v>1179</v>
      </c>
    </row>
    <row r="1610" spans="1:5" x14ac:dyDescent="0.25">
      <c r="A1610" s="1287">
        <v>1609</v>
      </c>
      <c r="B1610" s="947" t="s">
        <v>1401</v>
      </c>
      <c r="C1610" s="1018" t="s">
        <v>2169</v>
      </c>
      <c r="D1610" s="1018" t="s">
        <v>1410</v>
      </c>
      <c r="E1610" s="1015" t="s">
        <v>1180</v>
      </c>
    </row>
    <row r="1611" spans="1:5" x14ac:dyDescent="0.25">
      <c r="A1611" s="1287">
        <v>1610</v>
      </c>
      <c r="B1611" s="947" t="s">
        <v>1401</v>
      </c>
      <c r="C1611" s="1018" t="s">
        <v>2169</v>
      </c>
      <c r="D1611" s="1018" t="s">
        <v>1410</v>
      </c>
      <c r="E1611" s="1015" t="s">
        <v>1367</v>
      </c>
    </row>
    <row r="1612" spans="1:5" x14ac:dyDescent="0.25">
      <c r="A1612" s="1287">
        <v>1611</v>
      </c>
      <c r="B1612" s="947" t="s">
        <v>1401</v>
      </c>
      <c r="C1612" s="1018" t="s">
        <v>2169</v>
      </c>
      <c r="D1612" s="1018" t="s">
        <v>1410</v>
      </c>
      <c r="E1612" s="1015" t="s">
        <v>1297</v>
      </c>
    </row>
    <row r="1613" spans="1:5" x14ac:dyDescent="0.25">
      <c r="A1613" s="1287">
        <v>1612</v>
      </c>
      <c r="B1613" s="947" t="s">
        <v>1401</v>
      </c>
      <c r="C1613" s="1018" t="s">
        <v>2169</v>
      </c>
      <c r="D1613" s="1018" t="s">
        <v>1410</v>
      </c>
      <c r="E1613" s="1015" t="s">
        <v>767</v>
      </c>
    </row>
    <row r="1614" spans="1:5" x14ac:dyDescent="0.25">
      <c r="A1614" s="1287">
        <v>1613</v>
      </c>
      <c r="B1614" s="947" t="s">
        <v>1401</v>
      </c>
      <c r="C1614" s="1018" t="s">
        <v>2169</v>
      </c>
      <c r="D1614" s="1018" t="s">
        <v>1410</v>
      </c>
      <c r="E1614" s="1015" t="s">
        <v>768</v>
      </c>
    </row>
    <row r="1615" spans="1:5" x14ac:dyDescent="0.25">
      <c r="A1615" s="1287">
        <v>1614</v>
      </c>
      <c r="B1615" s="947" t="s">
        <v>1401</v>
      </c>
      <c r="C1615" s="1018" t="s">
        <v>2169</v>
      </c>
      <c r="D1615" s="1018" t="s">
        <v>1410</v>
      </c>
      <c r="E1615" s="1015" t="s">
        <v>769</v>
      </c>
    </row>
    <row r="1616" spans="1:5" x14ac:dyDescent="0.25">
      <c r="A1616" s="1287">
        <v>1615</v>
      </c>
      <c r="B1616" s="947" t="s">
        <v>1401</v>
      </c>
      <c r="C1616" s="1018" t="s">
        <v>2169</v>
      </c>
      <c r="D1616" s="1018" t="s">
        <v>1410</v>
      </c>
      <c r="E1616" s="1015" t="s">
        <v>204</v>
      </c>
    </row>
    <row r="1617" spans="1:5" x14ac:dyDescent="0.25">
      <c r="A1617" s="1287">
        <v>1616</v>
      </c>
      <c r="B1617" s="947" t="s">
        <v>1516</v>
      </c>
      <c r="C1617" s="1018" t="s">
        <v>2181</v>
      </c>
      <c r="D1617" s="1018" t="s">
        <v>1410</v>
      </c>
      <c r="E1617" s="947" t="s">
        <v>1491</v>
      </c>
    </row>
    <row r="1618" spans="1:5" x14ac:dyDescent="0.25">
      <c r="A1618" s="1287">
        <v>1617</v>
      </c>
      <c r="B1618" s="947" t="s">
        <v>1516</v>
      </c>
      <c r="C1618" s="1018" t="s">
        <v>2181</v>
      </c>
      <c r="D1618" s="1018" t="s">
        <v>1410</v>
      </c>
      <c r="E1618" s="947" t="s">
        <v>1705</v>
      </c>
    </row>
    <row r="1619" spans="1:5" x14ac:dyDescent="0.25">
      <c r="A1619" s="1287">
        <v>1618</v>
      </c>
      <c r="B1619" s="947" t="s">
        <v>1516</v>
      </c>
      <c r="C1619" s="1018" t="s">
        <v>2181</v>
      </c>
      <c r="D1619" s="1018" t="s">
        <v>1410</v>
      </c>
      <c r="E1619" s="947" t="s">
        <v>1383</v>
      </c>
    </row>
    <row r="1620" spans="1:5" x14ac:dyDescent="0.25">
      <c r="A1620" s="1287">
        <v>1619</v>
      </c>
      <c r="B1620" s="947" t="s">
        <v>1516</v>
      </c>
      <c r="C1620" s="1018" t="s">
        <v>2181</v>
      </c>
      <c r="D1620" s="1018" t="s">
        <v>1775</v>
      </c>
      <c r="E1620" s="947" t="s">
        <v>1381</v>
      </c>
    </row>
    <row r="1621" spans="1:5" x14ac:dyDescent="0.25">
      <c r="A1621" s="1287">
        <v>1620</v>
      </c>
      <c r="B1621" s="947" t="s">
        <v>1516</v>
      </c>
      <c r="C1621" s="1018" t="s">
        <v>2181</v>
      </c>
      <c r="D1621" s="1018" t="s">
        <v>1410</v>
      </c>
      <c r="E1621" s="947" t="s">
        <v>1382</v>
      </c>
    </row>
    <row r="1622" spans="1:5" ht="30" x14ac:dyDescent="0.25">
      <c r="A1622" s="1287">
        <v>1621</v>
      </c>
      <c r="B1622" s="947" t="s">
        <v>1516</v>
      </c>
      <c r="C1622" s="1018" t="s">
        <v>2181</v>
      </c>
      <c r="D1622" s="1018" t="s">
        <v>1544</v>
      </c>
      <c r="E1622" s="947" t="s">
        <v>1385</v>
      </c>
    </row>
    <row r="1623" spans="1:5" ht="30" x14ac:dyDescent="0.25">
      <c r="A1623" s="1287">
        <v>1622</v>
      </c>
      <c r="B1623" s="947" t="s">
        <v>1516</v>
      </c>
      <c r="C1623" s="1018" t="s">
        <v>2181</v>
      </c>
      <c r="D1623" s="1018" t="s">
        <v>1544</v>
      </c>
      <c r="E1623" s="947" t="s">
        <v>1386</v>
      </c>
    </row>
    <row r="1624" spans="1:5" x14ac:dyDescent="0.25">
      <c r="A1624" s="1287">
        <v>1623</v>
      </c>
      <c r="B1624" s="947" t="s">
        <v>1516</v>
      </c>
      <c r="C1624" s="1018" t="s">
        <v>2181</v>
      </c>
      <c r="D1624" s="1018" t="s">
        <v>1775</v>
      </c>
      <c r="E1624" s="947" t="s">
        <v>1396</v>
      </c>
    </row>
    <row r="1625" spans="1:5" x14ac:dyDescent="0.25">
      <c r="A1625" s="1287">
        <v>1624</v>
      </c>
      <c r="B1625" s="947" t="s">
        <v>1516</v>
      </c>
      <c r="C1625" s="1018" t="s">
        <v>2181</v>
      </c>
      <c r="D1625" s="1018" t="s">
        <v>1775</v>
      </c>
      <c r="E1625" s="947" t="s">
        <v>2005</v>
      </c>
    </row>
    <row r="1626" spans="1:5" x14ac:dyDescent="0.25">
      <c r="A1626" s="1287">
        <v>1625</v>
      </c>
      <c r="B1626" s="947" t="s">
        <v>1516</v>
      </c>
      <c r="C1626" s="1018" t="s">
        <v>2181</v>
      </c>
      <c r="D1626" s="1018" t="s">
        <v>1775</v>
      </c>
      <c r="E1626" s="947" t="s">
        <v>1482</v>
      </c>
    </row>
    <row r="1627" spans="1:5" x14ac:dyDescent="0.25">
      <c r="A1627" s="1287">
        <v>1626</v>
      </c>
      <c r="B1627" s="947" t="s">
        <v>1516</v>
      </c>
      <c r="C1627" s="1018" t="s">
        <v>2181</v>
      </c>
      <c r="D1627" s="1018" t="s">
        <v>1775</v>
      </c>
      <c r="E1627" s="947" t="s">
        <v>1397</v>
      </c>
    </row>
    <row r="1628" spans="1:5" x14ac:dyDescent="0.25">
      <c r="A1628" s="1287">
        <v>1627</v>
      </c>
      <c r="B1628" s="947" t="s">
        <v>1516</v>
      </c>
      <c r="C1628" s="1018" t="s">
        <v>2181</v>
      </c>
      <c r="D1628" s="1288" t="s">
        <v>1410</v>
      </c>
      <c r="E1628" s="1288" t="s">
        <v>2135</v>
      </c>
    </row>
    <row r="1629" spans="1:5" x14ac:dyDescent="0.25">
      <c r="A1629" s="1287">
        <v>1628</v>
      </c>
      <c r="B1629" s="947" t="s">
        <v>1516</v>
      </c>
      <c r="C1629" s="1018" t="s">
        <v>2182</v>
      </c>
      <c r="D1629" s="1018" t="s">
        <v>1410</v>
      </c>
      <c r="E1629" s="947" t="s">
        <v>1491</v>
      </c>
    </row>
    <row r="1630" spans="1:5" x14ac:dyDescent="0.25">
      <c r="A1630" s="1287">
        <v>1629</v>
      </c>
      <c r="B1630" s="947" t="s">
        <v>1516</v>
      </c>
      <c r="C1630" s="1018" t="s">
        <v>2182</v>
      </c>
      <c r="D1630" s="1018" t="s">
        <v>1410</v>
      </c>
      <c r="E1630" s="947" t="s">
        <v>1705</v>
      </c>
    </row>
    <row r="1631" spans="1:5" x14ac:dyDescent="0.25">
      <c r="A1631" s="1287">
        <v>1630</v>
      </c>
      <c r="B1631" s="947" t="s">
        <v>1516</v>
      </c>
      <c r="C1631" s="1018" t="s">
        <v>2182</v>
      </c>
      <c r="D1631" s="1018" t="s">
        <v>1410</v>
      </c>
      <c r="E1631" s="947" t="s">
        <v>1383</v>
      </c>
    </row>
    <row r="1632" spans="1:5" x14ac:dyDescent="0.25">
      <c r="A1632" s="1287">
        <v>1631</v>
      </c>
      <c r="B1632" s="947" t="s">
        <v>1516</v>
      </c>
      <c r="C1632" s="1018" t="s">
        <v>2182</v>
      </c>
      <c r="D1632" s="1018" t="s">
        <v>1775</v>
      </c>
      <c r="E1632" s="947" t="s">
        <v>1381</v>
      </c>
    </row>
    <row r="1633" spans="1:5" x14ac:dyDescent="0.25">
      <c r="A1633" s="1287">
        <v>1632</v>
      </c>
      <c r="B1633" s="947" t="s">
        <v>1516</v>
      </c>
      <c r="C1633" s="1018" t="s">
        <v>2182</v>
      </c>
      <c r="D1633" s="1018" t="s">
        <v>1410</v>
      </c>
      <c r="E1633" s="947" t="s">
        <v>1382</v>
      </c>
    </row>
    <row r="1634" spans="1:5" ht="30" x14ac:dyDescent="0.25">
      <c r="A1634" s="1287">
        <v>1633</v>
      </c>
      <c r="B1634" s="947" t="s">
        <v>1516</v>
      </c>
      <c r="C1634" s="1018" t="s">
        <v>2182</v>
      </c>
      <c r="D1634" s="1018" t="s">
        <v>1544</v>
      </c>
      <c r="E1634" s="947" t="s">
        <v>1385</v>
      </c>
    </row>
    <row r="1635" spans="1:5" ht="30" x14ac:dyDescent="0.25">
      <c r="A1635" s="1287">
        <v>1634</v>
      </c>
      <c r="B1635" s="947" t="s">
        <v>1516</v>
      </c>
      <c r="C1635" s="1018" t="s">
        <v>2182</v>
      </c>
      <c r="D1635" s="1018" t="s">
        <v>1544</v>
      </c>
      <c r="E1635" s="947" t="s">
        <v>1386</v>
      </c>
    </row>
    <row r="1636" spans="1:5" x14ac:dyDescent="0.25">
      <c r="A1636" s="1287">
        <v>1635</v>
      </c>
      <c r="B1636" s="947" t="s">
        <v>1516</v>
      </c>
      <c r="C1636" s="1018" t="s">
        <v>2182</v>
      </c>
      <c r="D1636" s="1018" t="s">
        <v>1775</v>
      </c>
      <c r="E1636" s="947" t="s">
        <v>1396</v>
      </c>
    </row>
    <row r="1637" spans="1:5" x14ac:dyDescent="0.25">
      <c r="A1637" s="1287">
        <v>1636</v>
      </c>
      <c r="B1637" s="947" t="s">
        <v>1516</v>
      </c>
      <c r="C1637" s="1018" t="s">
        <v>2182</v>
      </c>
      <c r="D1637" s="1018" t="s">
        <v>1775</v>
      </c>
      <c r="E1637" s="947" t="s">
        <v>2005</v>
      </c>
    </row>
    <row r="1638" spans="1:5" x14ac:dyDescent="0.25">
      <c r="A1638" s="1287">
        <v>1637</v>
      </c>
      <c r="B1638" s="947" t="s">
        <v>1516</v>
      </c>
      <c r="C1638" s="1018" t="s">
        <v>2182</v>
      </c>
      <c r="D1638" s="1018" t="s">
        <v>1775</v>
      </c>
      <c r="E1638" s="947" t="s">
        <v>1482</v>
      </c>
    </row>
    <row r="1639" spans="1:5" x14ac:dyDescent="0.25">
      <c r="A1639" s="1287">
        <v>1638</v>
      </c>
      <c r="B1639" s="947" t="s">
        <v>1516</v>
      </c>
      <c r="C1639" s="1018" t="s">
        <v>2182</v>
      </c>
      <c r="D1639" s="1018" t="s">
        <v>1775</v>
      </c>
      <c r="E1639" s="947" t="s">
        <v>1397</v>
      </c>
    </row>
    <row r="1640" spans="1:5" x14ac:dyDescent="0.25">
      <c r="A1640" s="1287">
        <v>1639</v>
      </c>
      <c r="B1640" s="947" t="s">
        <v>1516</v>
      </c>
      <c r="C1640" s="1018" t="s">
        <v>2182</v>
      </c>
      <c r="D1640" s="1288" t="s">
        <v>1410</v>
      </c>
      <c r="E1640" s="1288" t="s">
        <v>2135</v>
      </c>
    </row>
    <row r="1641" spans="1:5" x14ac:dyDescent="0.25">
      <c r="A1641" s="1287">
        <v>1640</v>
      </c>
      <c r="B1641" s="947" t="s">
        <v>1516</v>
      </c>
      <c r="C1641" s="1018" t="s">
        <v>2183</v>
      </c>
      <c r="D1641" s="1018" t="s">
        <v>1410</v>
      </c>
      <c r="E1641" s="947" t="s">
        <v>1491</v>
      </c>
    </row>
    <row r="1642" spans="1:5" x14ac:dyDescent="0.25">
      <c r="A1642" s="1287">
        <v>1641</v>
      </c>
      <c r="B1642" s="947" t="s">
        <v>1516</v>
      </c>
      <c r="C1642" s="1018" t="s">
        <v>2183</v>
      </c>
      <c r="D1642" s="1018" t="s">
        <v>1410</v>
      </c>
      <c r="E1642" s="947" t="s">
        <v>1705</v>
      </c>
    </row>
    <row r="1643" spans="1:5" x14ac:dyDescent="0.25">
      <c r="A1643" s="1287">
        <v>1642</v>
      </c>
      <c r="B1643" s="947" t="s">
        <v>1516</v>
      </c>
      <c r="C1643" s="1018" t="s">
        <v>2183</v>
      </c>
      <c r="D1643" s="1018" t="s">
        <v>1410</v>
      </c>
      <c r="E1643" s="947" t="s">
        <v>1383</v>
      </c>
    </row>
    <row r="1644" spans="1:5" x14ac:dyDescent="0.25">
      <c r="A1644" s="1287">
        <v>1643</v>
      </c>
      <c r="B1644" s="947" t="s">
        <v>1516</v>
      </c>
      <c r="C1644" s="1018" t="s">
        <v>2183</v>
      </c>
      <c r="D1644" s="1018" t="s">
        <v>1775</v>
      </c>
      <c r="E1644" s="947" t="s">
        <v>1381</v>
      </c>
    </row>
    <row r="1645" spans="1:5" x14ac:dyDescent="0.25">
      <c r="A1645" s="1287">
        <v>1644</v>
      </c>
      <c r="B1645" s="947" t="s">
        <v>1516</v>
      </c>
      <c r="C1645" s="1018" t="s">
        <v>2183</v>
      </c>
      <c r="D1645" s="1018" t="s">
        <v>1410</v>
      </c>
      <c r="E1645" s="947" t="s">
        <v>1382</v>
      </c>
    </row>
    <row r="1646" spans="1:5" ht="30" x14ac:dyDescent="0.25">
      <c r="A1646" s="1287">
        <v>1645</v>
      </c>
      <c r="B1646" s="947" t="s">
        <v>1516</v>
      </c>
      <c r="C1646" s="1018" t="s">
        <v>2183</v>
      </c>
      <c r="D1646" s="1018" t="s">
        <v>1544</v>
      </c>
      <c r="E1646" s="947" t="s">
        <v>1385</v>
      </c>
    </row>
    <row r="1647" spans="1:5" ht="30" x14ac:dyDescent="0.25">
      <c r="A1647" s="1287">
        <v>1646</v>
      </c>
      <c r="B1647" s="947" t="s">
        <v>1516</v>
      </c>
      <c r="C1647" s="1018" t="s">
        <v>2183</v>
      </c>
      <c r="D1647" s="1018" t="s">
        <v>1544</v>
      </c>
      <c r="E1647" s="947" t="s">
        <v>1386</v>
      </c>
    </row>
    <row r="1648" spans="1:5" x14ac:dyDescent="0.25">
      <c r="A1648" s="1287">
        <v>1647</v>
      </c>
      <c r="B1648" s="947" t="s">
        <v>1516</v>
      </c>
      <c r="C1648" s="1018" t="s">
        <v>2183</v>
      </c>
      <c r="D1648" s="1018" t="s">
        <v>1775</v>
      </c>
      <c r="E1648" s="947" t="s">
        <v>1396</v>
      </c>
    </row>
    <row r="1649" spans="1:5" x14ac:dyDescent="0.25">
      <c r="A1649" s="1287">
        <v>1648</v>
      </c>
      <c r="B1649" s="947" t="s">
        <v>1516</v>
      </c>
      <c r="C1649" s="1018" t="s">
        <v>2183</v>
      </c>
      <c r="D1649" s="1018" t="s">
        <v>1775</v>
      </c>
      <c r="E1649" s="947" t="s">
        <v>2005</v>
      </c>
    </row>
    <row r="1650" spans="1:5" x14ac:dyDescent="0.25">
      <c r="A1650" s="1287">
        <v>1649</v>
      </c>
      <c r="B1650" s="947" t="s">
        <v>1516</v>
      </c>
      <c r="C1650" s="1018" t="s">
        <v>2183</v>
      </c>
      <c r="D1650" s="1018" t="s">
        <v>1775</v>
      </c>
      <c r="E1650" s="947" t="s">
        <v>1482</v>
      </c>
    </row>
    <row r="1651" spans="1:5" x14ac:dyDescent="0.25">
      <c r="A1651" s="1287">
        <v>1650</v>
      </c>
      <c r="B1651" s="947" t="s">
        <v>1516</v>
      </c>
      <c r="C1651" s="1018" t="s">
        <v>2183</v>
      </c>
      <c r="D1651" s="1018" t="s">
        <v>1775</v>
      </c>
      <c r="E1651" s="947" t="s">
        <v>1397</v>
      </c>
    </row>
    <row r="1652" spans="1:5" x14ac:dyDescent="0.25">
      <c r="A1652" s="1287">
        <v>1651</v>
      </c>
      <c r="B1652" s="947" t="s">
        <v>1516</v>
      </c>
      <c r="C1652" s="1018" t="s">
        <v>2183</v>
      </c>
      <c r="D1652" s="1288" t="s">
        <v>1410</v>
      </c>
      <c r="E1652" s="1288" t="s">
        <v>2135</v>
      </c>
    </row>
    <row r="1653" spans="1:5" x14ac:dyDescent="0.25">
      <c r="A1653" s="1287">
        <v>1652</v>
      </c>
      <c r="B1653" s="947" t="s">
        <v>1516</v>
      </c>
      <c r="C1653" s="1018" t="s">
        <v>2184</v>
      </c>
      <c r="D1653" s="1018" t="s">
        <v>1410</v>
      </c>
      <c r="E1653" s="947" t="s">
        <v>1491</v>
      </c>
    </row>
    <row r="1654" spans="1:5" x14ac:dyDescent="0.25">
      <c r="A1654" s="1287">
        <v>1653</v>
      </c>
      <c r="B1654" s="947" t="s">
        <v>1516</v>
      </c>
      <c r="C1654" s="1018" t="s">
        <v>2184</v>
      </c>
      <c r="D1654" s="1018" t="s">
        <v>1410</v>
      </c>
      <c r="E1654" s="947" t="s">
        <v>1705</v>
      </c>
    </row>
    <row r="1655" spans="1:5" x14ac:dyDescent="0.25">
      <c r="A1655" s="1287">
        <v>1654</v>
      </c>
      <c r="B1655" s="947" t="s">
        <v>1516</v>
      </c>
      <c r="C1655" s="1018" t="s">
        <v>2184</v>
      </c>
      <c r="D1655" s="1018" t="s">
        <v>1410</v>
      </c>
      <c r="E1655" s="947" t="s">
        <v>1383</v>
      </c>
    </row>
    <row r="1656" spans="1:5" x14ac:dyDescent="0.25">
      <c r="A1656" s="1287">
        <v>1655</v>
      </c>
      <c r="B1656" s="947" t="s">
        <v>1516</v>
      </c>
      <c r="C1656" s="1018" t="s">
        <v>2184</v>
      </c>
      <c r="D1656" s="1018" t="s">
        <v>1775</v>
      </c>
      <c r="E1656" s="947" t="s">
        <v>1381</v>
      </c>
    </row>
    <row r="1657" spans="1:5" x14ac:dyDescent="0.25">
      <c r="A1657" s="1287">
        <v>1656</v>
      </c>
      <c r="B1657" s="947" t="s">
        <v>1516</v>
      </c>
      <c r="C1657" s="1018" t="s">
        <v>2184</v>
      </c>
      <c r="D1657" s="1018" t="s">
        <v>1410</v>
      </c>
      <c r="E1657" s="947" t="s">
        <v>1382</v>
      </c>
    </row>
    <row r="1658" spans="1:5" ht="30" x14ac:dyDescent="0.25">
      <c r="A1658" s="1287">
        <v>1657</v>
      </c>
      <c r="B1658" s="947" t="s">
        <v>1516</v>
      </c>
      <c r="C1658" s="1018" t="s">
        <v>2184</v>
      </c>
      <c r="D1658" s="1018" t="s">
        <v>1544</v>
      </c>
      <c r="E1658" s="947" t="s">
        <v>1385</v>
      </c>
    </row>
    <row r="1659" spans="1:5" ht="30" x14ac:dyDescent="0.25">
      <c r="A1659" s="1287">
        <v>1658</v>
      </c>
      <c r="B1659" s="947" t="s">
        <v>1516</v>
      </c>
      <c r="C1659" s="1018" t="s">
        <v>2184</v>
      </c>
      <c r="D1659" s="1018" t="s">
        <v>1544</v>
      </c>
      <c r="E1659" s="947" t="s">
        <v>1386</v>
      </c>
    </row>
    <row r="1660" spans="1:5" x14ac:dyDescent="0.25">
      <c r="A1660" s="1287">
        <v>1659</v>
      </c>
      <c r="B1660" s="947" t="s">
        <v>1516</v>
      </c>
      <c r="C1660" s="1018" t="s">
        <v>2184</v>
      </c>
      <c r="D1660" s="1018" t="s">
        <v>1775</v>
      </c>
      <c r="E1660" s="947" t="s">
        <v>1396</v>
      </c>
    </row>
    <row r="1661" spans="1:5" x14ac:dyDescent="0.25">
      <c r="A1661" s="1287">
        <v>1660</v>
      </c>
      <c r="B1661" s="947" t="s">
        <v>1516</v>
      </c>
      <c r="C1661" s="1018" t="s">
        <v>2184</v>
      </c>
      <c r="D1661" s="1018" t="s">
        <v>1775</v>
      </c>
      <c r="E1661" s="947" t="s">
        <v>2005</v>
      </c>
    </row>
    <row r="1662" spans="1:5" x14ac:dyDescent="0.25">
      <c r="A1662" s="1287">
        <v>1661</v>
      </c>
      <c r="B1662" s="947" t="s">
        <v>1516</v>
      </c>
      <c r="C1662" s="1018" t="s">
        <v>2184</v>
      </c>
      <c r="D1662" s="1018" t="s">
        <v>1775</v>
      </c>
      <c r="E1662" s="947" t="s">
        <v>1482</v>
      </c>
    </row>
    <row r="1663" spans="1:5" x14ac:dyDescent="0.25">
      <c r="A1663" s="1287">
        <v>1662</v>
      </c>
      <c r="B1663" s="947" t="s">
        <v>1516</v>
      </c>
      <c r="C1663" s="1018" t="s">
        <v>2184</v>
      </c>
      <c r="D1663" s="1018" t="s">
        <v>1775</v>
      </c>
      <c r="E1663" s="947" t="s">
        <v>1397</v>
      </c>
    </row>
    <row r="1664" spans="1:5" x14ac:dyDescent="0.25">
      <c r="A1664" s="1287">
        <v>1663</v>
      </c>
      <c r="B1664" s="947" t="s">
        <v>1516</v>
      </c>
      <c r="C1664" s="1018" t="s">
        <v>2184</v>
      </c>
      <c r="D1664" s="1288" t="s">
        <v>1410</v>
      </c>
      <c r="E1664" s="1288" t="s">
        <v>2135</v>
      </c>
    </row>
    <row r="1665" spans="1:5" x14ac:dyDescent="0.25">
      <c r="A1665" s="1287">
        <v>1664</v>
      </c>
      <c r="B1665" s="947" t="s">
        <v>1516</v>
      </c>
      <c r="C1665" s="1018" t="s">
        <v>2185</v>
      </c>
      <c r="D1665" s="1018" t="s">
        <v>1410</v>
      </c>
      <c r="E1665" s="947" t="s">
        <v>1491</v>
      </c>
    </row>
    <row r="1666" spans="1:5" x14ac:dyDescent="0.25">
      <c r="A1666" s="1287">
        <v>1665</v>
      </c>
      <c r="B1666" s="947" t="s">
        <v>1516</v>
      </c>
      <c r="C1666" s="1018" t="s">
        <v>2185</v>
      </c>
      <c r="D1666" s="1018" t="s">
        <v>1410</v>
      </c>
      <c r="E1666" s="947" t="s">
        <v>1705</v>
      </c>
    </row>
    <row r="1667" spans="1:5" x14ac:dyDescent="0.25">
      <c r="A1667" s="1287">
        <v>1666</v>
      </c>
      <c r="B1667" s="947" t="s">
        <v>1516</v>
      </c>
      <c r="C1667" s="1018" t="s">
        <v>2185</v>
      </c>
      <c r="D1667" s="1018" t="s">
        <v>1410</v>
      </c>
      <c r="E1667" s="947" t="s">
        <v>1383</v>
      </c>
    </row>
    <row r="1668" spans="1:5" x14ac:dyDescent="0.25">
      <c r="A1668" s="1287">
        <v>1667</v>
      </c>
      <c r="B1668" s="947" t="s">
        <v>1516</v>
      </c>
      <c r="C1668" s="1018" t="s">
        <v>2185</v>
      </c>
      <c r="D1668" s="1018" t="s">
        <v>1775</v>
      </c>
      <c r="E1668" s="947" t="s">
        <v>1381</v>
      </c>
    </row>
    <row r="1669" spans="1:5" x14ac:dyDescent="0.25">
      <c r="A1669" s="1287">
        <v>1668</v>
      </c>
      <c r="B1669" s="947" t="s">
        <v>1516</v>
      </c>
      <c r="C1669" s="1018" t="s">
        <v>2185</v>
      </c>
      <c r="D1669" s="1018" t="s">
        <v>1410</v>
      </c>
      <c r="E1669" s="947" t="s">
        <v>1382</v>
      </c>
    </row>
    <row r="1670" spans="1:5" ht="30" x14ac:dyDescent="0.25">
      <c r="A1670" s="1287">
        <v>1669</v>
      </c>
      <c r="B1670" s="947" t="s">
        <v>1516</v>
      </c>
      <c r="C1670" s="1018" t="s">
        <v>2185</v>
      </c>
      <c r="D1670" s="1018" t="s">
        <v>1544</v>
      </c>
      <c r="E1670" s="947" t="s">
        <v>1385</v>
      </c>
    </row>
    <row r="1671" spans="1:5" ht="30" x14ac:dyDescent="0.25">
      <c r="A1671" s="1287">
        <v>1670</v>
      </c>
      <c r="B1671" s="947" t="s">
        <v>1516</v>
      </c>
      <c r="C1671" s="1018" t="s">
        <v>2185</v>
      </c>
      <c r="D1671" s="1018" t="s">
        <v>1544</v>
      </c>
      <c r="E1671" s="947" t="s">
        <v>1386</v>
      </c>
    </row>
    <row r="1672" spans="1:5" x14ac:dyDescent="0.25">
      <c r="A1672" s="1287">
        <v>1671</v>
      </c>
      <c r="B1672" s="947" t="s">
        <v>1516</v>
      </c>
      <c r="C1672" s="1018" t="s">
        <v>2185</v>
      </c>
      <c r="D1672" s="1018" t="s">
        <v>1775</v>
      </c>
      <c r="E1672" s="947" t="s">
        <v>1396</v>
      </c>
    </row>
    <row r="1673" spans="1:5" x14ac:dyDescent="0.25">
      <c r="A1673" s="1287">
        <v>1672</v>
      </c>
      <c r="B1673" s="947" t="s">
        <v>1516</v>
      </c>
      <c r="C1673" s="1018" t="s">
        <v>2185</v>
      </c>
      <c r="D1673" s="1018" t="s">
        <v>1775</v>
      </c>
      <c r="E1673" s="947" t="s">
        <v>2005</v>
      </c>
    </row>
    <row r="1674" spans="1:5" x14ac:dyDescent="0.25">
      <c r="A1674" s="1287">
        <v>1673</v>
      </c>
      <c r="B1674" s="947" t="s">
        <v>1516</v>
      </c>
      <c r="C1674" s="1018" t="s">
        <v>2185</v>
      </c>
      <c r="D1674" s="1018" t="s">
        <v>1775</v>
      </c>
      <c r="E1674" s="947" t="s">
        <v>1482</v>
      </c>
    </row>
    <row r="1675" spans="1:5" x14ac:dyDescent="0.25">
      <c r="A1675" s="1287">
        <v>1674</v>
      </c>
      <c r="B1675" s="947" t="s">
        <v>1516</v>
      </c>
      <c r="C1675" s="1018" t="s">
        <v>2185</v>
      </c>
      <c r="D1675" s="1018" t="s">
        <v>1775</v>
      </c>
      <c r="E1675" s="947" t="s">
        <v>1397</v>
      </c>
    </row>
    <row r="1676" spans="1:5" x14ac:dyDescent="0.25">
      <c r="A1676" s="1287">
        <v>1675</v>
      </c>
      <c r="B1676" s="947" t="s">
        <v>1516</v>
      </c>
      <c r="C1676" s="1018" t="s">
        <v>2185</v>
      </c>
      <c r="D1676" s="1288" t="s">
        <v>1410</v>
      </c>
      <c r="E1676" s="1288" t="s">
        <v>2135</v>
      </c>
    </row>
    <row r="1677" spans="1:5" x14ac:dyDescent="0.25">
      <c r="A1677" s="1287">
        <v>1676</v>
      </c>
      <c r="B1677" s="947" t="s">
        <v>1516</v>
      </c>
      <c r="C1677" s="1018" t="s">
        <v>2186</v>
      </c>
      <c r="D1677" s="1018" t="s">
        <v>1410</v>
      </c>
      <c r="E1677" s="947" t="s">
        <v>1491</v>
      </c>
    </row>
    <row r="1678" spans="1:5" x14ac:dyDescent="0.25">
      <c r="A1678" s="1287">
        <v>1677</v>
      </c>
      <c r="B1678" s="947" t="s">
        <v>1516</v>
      </c>
      <c r="C1678" s="1018" t="s">
        <v>2186</v>
      </c>
      <c r="D1678" s="1018" t="s">
        <v>1410</v>
      </c>
      <c r="E1678" s="947" t="s">
        <v>1705</v>
      </c>
    </row>
    <row r="1679" spans="1:5" x14ac:dyDescent="0.25">
      <c r="A1679" s="1287">
        <v>1678</v>
      </c>
      <c r="B1679" s="947" t="s">
        <v>1516</v>
      </c>
      <c r="C1679" s="1018" t="s">
        <v>2186</v>
      </c>
      <c r="D1679" s="1018" t="s">
        <v>1410</v>
      </c>
      <c r="E1679" s="947" t="s">
        <v>1383</v>
      </c>
    </row>
    <row r="1680" spans="1:5" x14ac:dyDescent="0.25">
      <c r="A1680" s="1287">
        <v>1679</v>
      </c>
      <c r="B1680" s="947" t="s">
        <v>1516</v>
      </c>
      <c r="C1680" s="1018" t="s">
        <v>2186</v>
      </c>
      <c r="D1680" s="1018" t="s">
        <v>1775</v>
      </c>
      <c r="E1680" s="947" t="s">
        <v>1381</v>
      </c>
    </row>
    <row r="1681" spans="1:5" x14ac:dyDescent="0.25">
      <c r="A1681" s="1287">
        <v>1680</v>
      </c>
      <c r="B1681" s="947" t="s">
        <v>1516</v>
      </c>
      <c r="C1681" s="1018" t="s">
        <v>2186</v>
      </c>
      <c r="D1681" s="1018" t="s">
        <v>1410</v>
      </c>
      <c r="E1681" s="947" t="s">
        <v>1382</v>
      </c>
    </row>
    <row r="1682" spans="1:5" ht="30" x14ac:dyDescent="0.25">
      <c r="A1682" s="1287">
        <v>1681</v>
      </c>
      <c r="B1682" s="947" t="s">
        <v>1516</v>
      </c>
      <c r="C1682" s="1018" t="s">
        <v>2186</v>
      </c>
      <c r="D1682" s="1018" t="s">
        <v>1544</v>
      </c>
      <c r="E1682" s="947" t="s">
        <v>1385</v>
      </c>
    </row>
    <row r="1683" spans="1:5" ht="30" x14ac:dyDescent="0.25">
      <c r="A1683" s="1287">
        <v>1682</v>
      </c>
      <c r="B1683" s="947" t="s">
        <v>1516</v>
      </c>
      <c r="C1683" s="1018" t="s">
        <v>2186</v>
      </c>
      <c r="D1683" s="1018" t="s">
        <v>1544</v>
      </c>
      <c r="E1683" s="947" t="s">
        <v>1386</v>
      </c>
    </row>
    <row r="1684" spans="1:5" x14ac:dyDescent="0.25">
      <c r="A1684" s="1287">
        <v>1683</v>
      </c>
      <c r="B1684" s="947" t="s">
        <v>1516</v>
      </c>
      <c r="C1684" s="1018" t="s">
        <v>2186</v>
      </c>
      <c r="D1684" s="1018" t="s">
        <v>1775</v>
      </c>
      <c r="E1684" s="947" t="s">
        <v>1396</v>
      </c>
    </row>
    <row r="1685" spans="1:5" x14ac:dyDescent="0.25">
      <c r="A1685" s="1287">
        <v>1684</v>
      </c>
      <c r="B1685" s="947" t="s">
        <v>1516</v>
      </c>
      <c r="C1685" s="1018" t="s">
        <v>2186</v>
      </c>
      <c r="D1685" s="1018" t="s">
        <v>1775</v>
      </c>
      <c r="E1685" s="947" t="s">
        <v>2005</v>
      </c>
    </row>
    <row r="1686" spans="1:5" x14ac:dyDescent="0.25">
      <c r="A1686" s="1287">
        <v>1685</v>
      </c>
      <c r="B1686" s="947" t="s">
        <v>1516</v>
      </c>
      <c r="C1686" s="1018" t="s">
        <v>2186</v>
      </c>
      <c r="D1686" s="1018" t="s">
        <v>1775</v>
      </c>
      <c r="E1686" s="947" t="s">
        <v>1482</v>
      </c>
    </row>
    <row r="1687" spans="1:5" x14ac:dyDescent="0.25">
      <c r="A1687" s="1287">
        <v>1686</v>
      </c>
      <c r="B1687" s="947" t="s">
        <v>1516</v>
      </c>
      <c r="C1687" s="1018" t="s">
        <v>2186</v>
      </c>
      <c r="D1687" s="1018" t="s">
        <v>1775</v>
      </c>
      <c r="E1687" s="947" t="s">
        <v>1397</v>
      </c>
    </row>
    <row r="1688" spans="1:5" x14ac:dyDescent="0.25">
      <c r="A1688" s="1287">
        <v>1687</v>
      </c>
      <c r="B1688" s="947" t="s">
        <v>1516</v>
      </c>
      <c r="C1688" s="1018" t="s">
        <v>2186</v>
      </c>
      <c r="D1688" s="1288" t="s">
        <v>1410</v>
      </c>
      <c r="E1688" s="1288" t="s">
        <v>2135</v>
      </c>
    </row>
    <row r="1689" spans="1:5" x14ac:dyDescent="0.25">
      <c r="A1689" s="1287">
        <v>1688</v>
      </c>
      <c r="B1689" s="947" t="s">
        <v>1516</v>
      </c>
      <c r="C1689" s="1018" t="s">
        <v>2187</v>
      </c>
      <c r="D1689" s="1018" t="s">
        <v>1410</v>
      </c>
      <c r="E1689" s="947" t="s">
        <v>1491</v>
      </c>
    </row>
    <row r="1690" spans="1:5" x14ac:dyDescent="0.25">
      <c r="A1690" s="1287">
        <v>1689</v>
      </c>
      <c r="B1690" s="947" t="s">
        <v>1516</v>
      </c>
      <c r="C1690" s="1018" t="s">
        <v>2187</v>
      </c>
      <c r="D1690" s="1018" t="s">
        <v>1410</v>
      </c>
      <c r="E1690" s="947" t="s">
        <v>1705</v>
      </c>
    </row>
    <row r="1691" spans="1:5" x14ac:dyDescent="0.25">
      <c r="A1691" s="1287">
        <v>1690</v>
      </c>
      <c r="B1691" s="947" t="s">
        <v>1516</v>
      </c>
      <c r="C1691" s="1018" t="s">
        <v>2187</v>
      </c>
      <c r="D1691" s="1018" t="s">
        <v>1410</v>
      </c>
      <c r="E1691" s="947" t="s">
        <v>1383</v>
      </c>
    </row>
    <row r="1692" spans="1:5" x14ac:dyDescent="0.25">
      <c r="A1692" s="1287">
        <v>1691</v>
      </c>
      <c r="B1692" s="947" t="s">
        <v>1516</v>
      </c>
      <c r="C1692" s="1018" t="s">
        <v>2187</v>
      </c>
      <c r="D1692" s="1018" t="s">
        <v>1775</v>
      </c>
      <c r="E1692" s="947" t="s">
        <v>1381</v>
      </c>
    </row>
    <row r="1693" spans="1:5" x14ac:dyDescent="0.25">
      <c r="A1693" s="1287">
        <v>1692</v>
      </c>
      <c r="B1693" s="947" t="s">
        <v>1516</v>
      </c>
      <c r="C1693" s="1018" t="s">
        <v>2187</v>
      </c>
      <c r="D1693" s="1018" t="s">
        <v>1410</v>
      </c>
      <c r="E1693" s="947" t="s">
        <v>1382</v>
      </c>
    </row>
    <row r="1694" spans="1:5" ht="30" x14ac:dyDescent="0.25">
      <c r="A1694" s="1287">
        <v>1693</v>
      </c>
      <c r="B1694" s="947" t="s">
        <v>1516</v>
      </c>
      <c r="C1694" s="1018" t="s">
        <v>2187</v>
      </c>
      <c r="D1694" s="1018" t="s">
        <v>1544</v>
      </c>
      <c r="E1694" s="947" t="s">
        <v>1385</v>
      </c>
    </row>
    <row r="1695" spans="1:5" ht="30" x14ac:dyDescent="0.25">
      <c r="A1695" s="1287">
        <v>1694</v>
      </c>
      <c r="B1695" s="947" t="s">
        <v>1516</v>
      </c>
      <c r="C1695" s="1018" t="s">
        <v>2187</v>
      </c>
      <c r="D1695" s="1018" t="s">
        <v>1544</v>
      </c>
      <c r="E1695" s="947" t="s">
        <v>1386</v>
      </c>
    </row>
    <row r="1696" spans="1:5" x14ac:dyDescent="0.25">
      <c r="A1696" s="1287">
        <v>1695</v>
      </c>
      <c r="B1696" s="947" t="s">
        <v>1516</v>
      </c>
      <c r="C1696" s="1018" t="s">
        <v>2187</v>
      </c>
      <c r="D1696" s="1018" t="s">
        <v>1775</v>
      </c>
      <c r="E1696" s="947" t="s">
        <v>1396</v>
      </c>
    </row>
    <row r="1697" spans="1:5" x14ac:dyDescent="0.25">
      <c r="A1697" s="1287">
        <v>1696</v>
      </c>
      <c r="B1697" s="947" t="s">
        <v>1516</v>
      </c>
      <c r="C1697" s="1018" t="s">
        <v>2187</v>
      </c>
      <c r="D1697" s="1018" t="s">
        <v>1775</v>
      </c>
      <c r="E1697" s="947" t="s">
        <v>2005</v>
      </c>
    </row>
    <row r="1698" spans="1:5" x14ac:dyDescent="0.25">
      <c r="A1698" s="1287">
        <v>1697</v>
      </c>
      <c r="B1698" s="947" t="s">
        <v>1516</v>
      </c>
      <c r="C1698" s="1018" t="s">
        <v>2187</v>
      </c>
      <c r="D1698" s="1018" t="s">
        <v>1775</v>
      </c>
      <c r="E1698" s="947" t="s">
        <v>1482</v>
      </c>
    </row>
    <row r="1699" spans="1:5" x14ac:dyDescent="0.25">
      <c r="A1699" s="1287">
        <v>1698</v>
      </c>
      <c r="B1699" s="947" t="s">
        <v>1516</v>
      </c>
      <c r="C1699" s="1018" t="s">
        <v>2187</v>
      </c>
      <c r="D1699" s="1018" t="s">
        <v>1775</v>
      </c>
      <c r="E1699" s="947" t="s">
        <v>1397</v>
      </c>
    </row>
    <row r="1700" spans="1:5" x14ac:dyDescent="0.25">
      <c r="A1700" s="1287">
        <v>1699</v>
      </c>
      <c r="B1700" s="947" t="s">
        <v>1516</v>
      </c>
      <c r="C1700" s="1018" t="s">
        <v>2187</v>
      </c>
      <c r="D1700" s="1288" t="s">
        <v>1410</v>
      </c>
      <c r="E1700" s="1288" t="s">
        <v>2135</v>
      </c>
    </row>
    <row r="1701" spans="1:5" x14ac:dyDescent="0.25">
      <c r="A1701" s="1287">
        <v>1700</v>
      </c>
      <c r="B1701" s="947" t="s">
        <v>1516</v>
      </c>
      <c r="C1701" s="1018" t="s">
        <v>2188</v>
      </c>
      <c r="D1701" s="1018" t="s">
        <v>1410</v>
      </c>
      <c r="E1701" s="947" t="s">
        <v>1491</v>
      </c>
    </row>
    <row r="1702" spans="1:5" x14ac:dyDescent="0.25">
      <c r="A1702" s="1287">
        <v>1701</v>
      </c>
      <c r="B1702" s="947" t="s">
        <v>1516</v>
      </c>
      <c r="C1702" s="1018" t="s">
        <v>2188</v>
      </c>
      <c r="D1702" s="1018" t="s">
        <v>1410</v>
      </c>
      <c r="E1702" s="947" t="s">
        <v>1705</v>
      </c>
    </row>
    <row r="1703" spans="1:5" x14ac:dyDescent="0.25">
      <c r="A1703" s="1287">
        <v>1702</v>
      </c>
      <c r="B1703" s="947" t="s">
        <v>1516</v>
      </c>
      <c r="C1703" s="1018" t="s">
        <v>2188</v>
      </c>
      <c r="D1703" s="1018" t="s">
        <v>1410</v>
      </c>
      <c r="E1703" s="947" t="s">
        <v>1383</v>
      </c>
    </row>
    <row r="1704" spans="1:5" x14ac:dyDescent="0.25">
      <c r="A1704" s="1287">
        <v>1703</v>
      </c>
      <c r="B1704" s="947" t="s">
        <v>1516</v>
      </c>
      <c r="C1704" s="1018" t="s">
        <v>2188</v>
      </c>
      <c r="D1704" s="1018" t="s">
        <v>1775</v>
      </c>
      <c r="E1704" s="947" t="s">
        <v>1381</v>
      </c>
    </row>
    <row r="1705" spans="1:5" x14ac:dyDescent="0.25">
      <c r="A1705" s="1287">
        <v>1704</v>
      </c>
      <c r="B1705" s="947" t="s">
        <v>1516</v>
      </c>
      <c r="C1705" s="1018" t="s">
        <v>2188</v>
      </c>
      <c r="D1705" s="1018" t="s">
        <v>1410</v>
      </c>
      <c r="E1705" s="947" t="s">
        <v>1382</v>
      </c>
    </row>
    <row r="1706" spans="1:5" ht="30" x14ac:dyDescent="0.25">
      <c r="A1706" s="1287">
        <v>1705</v>
      </c>
      <c r="B1706" s="947" t="s">
        <v>1516</v>
      </c>
      <c r="C1706" s="1018" t="s">
        <v>2188</v>
      </c>
      <c r="D1706" s="1018" t="s">
        <v>1544</v>
      </c>
      <c r="E1706" s="947" t="s">
        <v>1385</v>
      </c>
    </row>
    <row r="1707" spans="1:5" ht="30" x14ac:dyDescent="0.25">
      <c r="A1707" s="1287">
        <v>1706</v>
      </c>
      <c r="B1707" s="947" t="s">
        <v>1516</v>
      </c>
      <c r="C1707" s="1018" t="s">
        <v>2188</v>
      </c>
      <c r="D1707" s="1018" t="s">
        <v>1544</v>
      </c>
      <c r="E1707" s="947" t="s">
        <v>1386</v>
      </c>
    </row>
    <row r="1708" spans="1:5" x14ac:dyDescent="0.25">
      <c r="A1708" s="1287">
        <v>1707</v>
      </c>
      <c r="B1708" s="947" t="s">
        <v>1516</v>
      </c>
      <c r="C1708" s="1018" t="s">
        <v>2188</v>
      </c>
      <c r="D1708" s="1018" t="s">
        <v>1775</v>
      </c>
      <c r="E1708" s="947" t="s">
        <v>1396</v>
      </c>
    </row>
    <row r="1709" spans="1:5" x14ac:dyDescent="0.25">
      <c r="A1709" s="1287">
        <v>1708</v>
      </c>
      <c r="B1709" s="947" t="s">
        <v>1516</v>
      </c>
      <c r="C1709" s="1018" t="s">
        <v>2188</v>
      </c>
      <c r="D1709" s="1018" t="s">
        <v>1775</v>
      </c>
      <c r="E1709" s="947" t="s">
        <v>2005</v>
      </c>
    </row>
    <row r="1710" spans="1:5" x14ac:dyDescent="0.25">
      <c r="A1710" s="1287">
        <v>1709</v>
      </c>
      <c r="B1710" s="947" t="s">
        <v>1516</v>
      </c>
      <c r="C1710" s="1018" t="s">
        <v>2188</v>
      </c>
      <c r="D1710" s="1018" t="s">
        <v>1775</v>
      </c>
      <c r="E1710" s="947" t="s">
        <v>1482</v>
      </c>
    </row>
    <row r="1711" spans="1:5" x14ac:dyDescent="0.25">
      <c r="A1711" s="1287">
        <v>1710</v>
      </c>
      <c r="B1711" s="947" t="s">
        <v>1516</v>
      </c>
      <c r="C1711" s="1018" t="s">
        <v>2188</v>
      </c>
      <c r="D1711" s="1018" t="s">
        <v>1775</v>
      </c>
      <c r="E1711" s="947" t="s">
        <v>1397</v>
      </c>
    </row>
    <row r="1712" spans="1:5" x14ac:dyDescent="0.25">
      <c r="A1712" s="1287">
        <v>1711</v>
      </c>
      <c r="B1712" s="947" t="s">
        <v>1516</v>
      </c>
      <c r="C1712" s="1018" t="s">
        <v>2188</v>
      </c>
      <c r="D1712" s="1288" t="s">
        <v>1410</v>
      </c>
      <c r="E1712" s="1288" t="s">
        <v>2135</v>
      </c>
    </row>
    <row r="1713" spans="1:5" x14ac:dyDescent="0.25">
      <c r="A1713" s="1287">
        <v>1712</v>
      </c>
      <c r="B1713" s="947" t="s">
        <v>1516</v>
      </c>
      <c r="C1713" s="1018" t="s">
        <v>2189</v>
      </c>
      <c r="D1713" s="1018" t="s">
        <v>1410</v>
      </c>
      <c r="E1713" s="947" t="s">
        <v>1491</v>
      </c>
    </row>
    <row r="1714" spans="1:5" x14ac:dyDescent="0.25">
      <c r="A1714" s="1287">
        <v>1713</v>
      </c>
      <c r="B1714" s="947" t="s">
        <v>1516</v>
      </c>
      <c r="C1714" s="1018" t="s">
        <v>2189</v>
      </c>
      <c r="D1714" s="1018" t="s">
        <v>1410</v>
      </c>
      <c r="E1714" s="947" t="s">
        <v>1705</v>
      </c>
    </row>
    <row r="1715" spans="1:5" x14ac:dyDescent="0.25">
      <c r="A1715" s="1287">
        <v>1714</v>
      </c>
      <c r="B1715" s="947" t="s">
        <v>1516</v>
      </c>
      <c r="C1715" s="1018" t="s">
        <v>2189</v>
      </c>
      <c r="D1715" s="1018" t="s">
        <v>1410</v>
      </c>
      <c r="E1715" s="947" t="s">
        <v>1383</v>
      </c>
    </row>
    <row r="1716" spans="1:5" x14ac:dyDescent="0.25">
      <c r="A1716" s="1287">
        <v>1715</v>
      </c>
      <c r="B1716" s="947" t="s">
        <v>1516</v>
      </c>
      <c r="C1716" s="1018" t="s">
        <v>2189</v>
      </c>
      <c r="D1716" s="1018" t="s">
        <v>1775</v>
      </c>
      <c r="E1716" s="947" t="s">
        <v>1381</v>
      </c>
    </row>
    <row r="1717" spans="1:5" x14ac:dyDescent="0.25">
      <c r="A1717" s="1287">
        <v>1716</v>
      </c>
      <c r="B1717" s="947" t="s">
        <v>1516</v>
      </c>
      <c r="C1717" s="1018" t="s">
        <v>2189</v>
      </c>
      <c r="D1717" s="1018" t="s">
        <v>1410</v>
      </c>
      <c r="E1717" s="947" t="s">
        <v>1382</v>
      </c>
    </row>
    <row r="1718" spans="1:5" ht="30" x14ac:dyDescent="0.25">
      <c r="A1718" s="1287">
        <v>1717</v>
      </c>
      <c r="B1718" s="947" t="s">
        <v>1516</v>
      </c>
      <c r="C1718" s="1018" t="s">
        <v>2189</v>
      </c>
      <c r="D1718" s="1018" t="s">
        <v>1544</v>
      </c>
      <c r="E1718" s="947" t="s">
        <v>1385</v>
      </c>
    </row>
    <row r="1719" spans="1:5" ht="30" x14ac:dyDescent="0.25">
      <c r="A1719" s="1287">
        <v>1718</v>
      </c>
      <c r="B1719" s="947" t="s">
        <v>1516</v>
      </c>
      <c r="C1719" s="1018" t="s">
        <v>2189</v>
      </c>
      <c r="D1719" s="1018" t="s">
        <v>1544</v>
      </c>
      <c r="E1719" s="947" t="s">
        <v>1386</v>
      </c>
    </row>
    <row r="1720" spans="1:5" x14ac:dyDescent="0.25">
      <c r="A1720" s="1287">
        <v>1719</v>
      </c>
      <c r="B1720" s="947" t="s">
        <v>1516</v>
      </c>
      <c r="C1720" s="1018" t="s">
        <v>2189</v>
      </c>
      <c r="D1720" s="1018" t="s">
        <v>1775</v>
      </c>
      <c r="E1720" s="947" t="s">
        <v>1396</v>
      </c>
    </row>
    <row r="1721" spans="1:5" x14ac:dyDescent="0.25">
      <c r="A1721" s="1287">
        <v>1720</v>
      </c>
      <c r="B1721" s="947" t="s">
        <v>1516</v>
      </c>
      <c r="C1721" s="1018" t="s">
        <v>2189</v>
      </c>
      <c r="D1721" s="1018" t="s">
        <v>1775</v>
      </c>
      <c r="E1721" s="947" t="s">
        <v>2005</v>
      </c>
    </row>
    <row r="1722" spans="1:5" x14ac:dyDescent="0.25">
      <c r="A1722" s="1287">
        <v>1721</v>
      </c>
      <c r="B1722" s="947" t="s">
        <v>1516</v>
      </c>
      <c r="C1722" s="1018" t="s">
        <v>2189</v>
      </c>
      <c r="D1722" s="1018" t="s">
        <v>1775</v>
      </c>
      <c r="E1722" s="947" t="s">
        <v>1482</v>
      </c>
    </row>
    <row r="1723" spans="1:5" x14ac:dyDescent="0.25">
      <c r="A1723" s="1287">
        <v>1722</v>
      </c>
      <c r="B1723" s="947" t="s">
        <v>1516</v>
      </c>
      <c r="C1723" s="1018" t="s">
        <v>2189</v>
      </c>
      <c r="D1723" s="1018" t="s">
        <v>1775</v>
      </c>
      <c r="E1723" s="947" t="s">
        <v>1397</v>
      </c>
    </row>
    <row r="1724" spans="1:5" x14ac:dyDescent="0.25">
      <c r="A1724" s="1287">
        <v>1723</v>
      </c>
      <c r="B1724" s="947" t="s">
        <v>1516</v>
      </c>
      <c r="C1724" s="1018" t="s">
        <v>2189</v>
      </c>
      <c r="D1724" s="1288" t="s">
        <v>1410</v>
      </c>
      <c r="E1724" s="1288" t="s">
        <v>2135</v>
      </c>
    </row>
    <row r="1725" spans="1:5" x14ac:dyDescent="0.25">
      <c r="A1725" s="1287">
        <v>1724</v>
      </c>
      <c r="B1725" s="947" t="s">
        <v>1516</v>
      </c>
      <c r="C1725" s="1018" t="s">
        <v>2190</v>
      </c>
      <c r="D1725" s="1018" t="s">
        <v>1410</v>
      </c>
      <c r="E1725" s="947" t="s">
        <v>1491</v>
      </c>
    </row>
    <row r="1726" spans="1:5" x14ac:dyDescent="0.25">
      <c r="A1726" s="1287">
        <v>1725</v>
      </c>
      <c r="B1726" s="947" t="s">
        <v>1516</v>
      </c>
      <c r="C1726" s="1018" t="s">
        <v>2190</v>
      </c>
      <c r="D1726" s="1018" t="s">
        <v>1410</v>
      </c>
      <c r="E1726" s="947" t="s">
        <v>1705</v>
      </c>
    </row>
    <row r="1727" spans="1:5" x14ac:dyDescent="0.25">
      <c r="A1727" s="1287">
        <v>1726</v>
      </c>
      <c r="B1727" s="947" t="s">
        <v>1516</v>
      </c>
      <c r="C1727" s="1018" t="s">
        <v>2190</v>
      </c>
      <c r="D1727" s="1018" t="s">
        <v>1410</v>
      </c>
      <c r="E1727" s="947" t="s">
        <v>1383</v>
      </c>
    </row>
    <row r="1728" spans="1:5" x14ac:dyDescent="0.25">
      <c r="A1728" s="1287">
        <v>1727</v>
      </c>
      <c r="B1728" s="947" t="s">
        <v>1516</v>
      </c>
      <c r="C1728" s="1018" t="s">
        <v>2190</v>
      </c>
      <c r="D1728" s="1018" t="s">
        <v>1775</v>
      </c>
      <c r="E1728" s="947" t="s">
        <v>1381</v>
      </c>
    </row>
    <row r="1729" spans="1:5" x14ac:dyDescent="0.25">
      <c r="A1729" s="1287">
        <v>1728</v>
      </c>
      <c r="B1729" s="947" t="s">
        <v>1516</v>
      </c>
      <c r="C1729" s="1018" t="s">
        <v>2190</v>
      </c>
      <c r="D1729" s="1018" t="s">
        <v>1410</v>
      </c>
      <c r="E1729" s="947" t="s">
        <v>1382</v>
      </c>
    </row>
    <row r="1730" spans="1:5" ht="30" x14ac:dyDescent="0.25">
      <c r="A1730" s="1287">
        <v>1729</v>
      </c>
      <c r="B1730" s="947" t="s">
        <v>1516</v>
      </c>
      <c r="C1730" s="1018" t="s">
        <v>2190</v>
      </c>
      <c r="D1730" s="1018" t="s">
        <v>1544</v>
      </c>
      <c r="E1730" s="947" t="s">
        <v>1385</v>
      </c>
    </row>
    <row r="1731" spans="1:5" ht="30" x14ac:dyDescent="0.25">
      <c r="A1731" s="1287">
        <v>1730</v>
      </c>
      <c r="B1731" s="947" t="s">
        <v>1516</v>
      </c>
      <c r="C1731" s="1018" t="s">
        <v>2190</v>
      </c>
      <c r="D1731" s="1018" t="s">
        <v>1544</v>
      </c>
      <c r="E1731" s="947" t="s">
        <v>1386</v>
      </c>
    </row>
    <row r="1732" spans="1:5" x14ac:dyDescent="0.25">
      <c r="A1732" s="1287">
        <v>1731</v>
      </c>
      <c r="B1732" s="947" t="s">
        <v>1516</v>
      </c>
      <c r="C1732" s="1018" t="s">
        <v>2190</v>
      </c>
      <c r="D1732" s="1018" t="s">
        <v>1775</v>
      </c>
      <c r="E1732" s="947" t="s">
        <v>1396</v>
      </c>
    </row>
    <row r="1733" spans="1:5" x14ac:dyDescent="0.25">
      <c r="A1733" s="1287">
        <v>1732</v>
      </c>
      <c r="B1733" s="947" t="s">
        <v>1516</v>
      </c>
      <c r="C1733" s="1018" t="s">
        <v>2190</v>
      </c>
      <c r="D1733" s="1018" t="s">
        <v>1775</v>
      </c>
      <c r="E1733" s="947" t="s">
        <v>2005</v>
      </c>
    </row>
    <row r="1734" spans="1:5" x14ac:dyDescent="0.25">
      <c r="A1734" s="1287">
        <v>1733</v>
      </c>
      <c r="B1734" s="947" t="s">
        <v>1516</v>
      </c>
      <c r="C1734" s="1018" t="s">
        <v>2190</v>
      </c>
      <c r="D1734" s="1018" t="s">
        <v>1775</v>
      </c>
      <c r="E1734" s="947" t="s">
        <v>1482</v>
      </c>
    </row>
    <row r="1735" spans="1:5" x14ac:dyDescent="0.25">
      <c r="A1735" s="1287">
        <v>1734</v>
      </c>
      <c r="B1735" s="947" t="s">
        <v>1516</v>
      </c>
      <c r="C1735" s="1018" t="s">
        <v>2190</v>
      </c>
      <c r="D1735" s="1018" t="s">
        <v>1775</v>
      </c>
      <c r="E1735" s="947" t="s">
        <v>1397</v>
      </c>
    </row>
    <row r="1736" spans="1:5" x14ac:dyDescent="0.25">
      <c r="A1736" s="1287">
        <v>1735</v>
      </c>
      <c r="B1736" s="947" t="s">
        <v>1516</v>
      </c>
      <c r="C1736" s="1018" t="s">
        <v>2190</v>
      </c>
      <c r="D1736" s="1288" t="s">
        <v>1410</v>
      </c>
      <c r="E1736" s="1288" t="s">
        <v>2135</v>
      </c>
    </row>
  </sheetData>
  <sheetProtection algorithmName="SHA-512" hashValue="MTZdvE8iwOvwOFArMAHoNUIzpHAftIQa63ifDL5ka4iLnGGkivvKLElwBDadaIMf1DaGxIvADsx6Us5C6YIjXA==" saltValue="Tp9F9zwx3uz3JzCceATUTw==" spinCount="100000" sheet="1" objects="1" scenarios="1"/>
  <autoFilter ref="A1:BG1736" xr:uid="{00000000-0001-0000-1800-000000000000}">
    <filterColumn colId="2">
      <colorFilter dxfId="0" cellColor="0"/>
    </filterColumn>
  </autoFilter>
  <phoneticPr fontId="87" type="noConversion"/>
  <conditionalFormatting sqref="E248:E250">
    <cfRule type="expression" dxfId="99" priority="27">
      <formula>$G248="EXCLUDE"</formula>
    </cfRule>
  </conditionalFormatting>
  <conditionalFormatting sqref="E261:E262">
    <cfRule type="expression" dxfId="98" priority="26">
      <formula>$G261="EXCLUDE"</formula>
    </cfRule>
  </conditionalFormatting>
  <conditionalFormatting sqref="E285:E286">
    <cfRule type="expression" dxfId="97" priority="25">
      <formula>$G285="EXCLUDE"</formula>
    </cfRule>
  </conditionalFormatting>
  <conditionalFormatting sqref="E297:E298">
    <cfRule type="expression" dxfId="96" priority="24">
      <formula>$G297="EXCLUDE"</formula>
    </cfRule>
  </conditionalFormatting>
  <conditionalFormatting sqref="E309:E310">
    <cfRule type="expression" dxfId="95" priority="23">
      <formula>$G309="EXCLUDE"</formula>
    </cfRule>
  </conditionalFormatting>
  <conditionalFormatting sqref="E321:E322">
    <cfRule type="expression" dxfId="94" priority="22">
      <formula>$G321="EXCLUDE"</formula>
    </cfRule>
  </conditionalFormatting>
  <conditionalFormatting sqref="E333:E334">
    <cfRule type="expression" dxfId="93" priority="21">
      <formula>$G333="EXCLUDE"</formula>
    </cfRule>
  </conditionalFormatting>
  <conditionalFormatting sqref="E345:E346">
    <cfRule type="expression" dxfId="92" priority="20">
      <formula>$G345="EXCLUDE"</formula>
    </cfRule>
  </conditionalFormatting>
  <conditionalFormatting sqref="E357:E358">
    <cfRule type="expression" dxfId="91" priority="19">
      <formula>$G357="EXCLUDE"</formula>
    </cfRule>
  </conditionalFormatting>
  <conditionalFormatting sqref="E369:E370">
    <cfRule type="expression" dxfId="90" priority="18">
      <formula>$G369="EXCLUDE"</formula>
    </cfRule>
  </conditionalFormatting>
  <conditionalFormatting sqref="E381:E382">
    <cfRule type="expression" dxfId="89" priority="17">
      <formula>$G381="EXCLUDE"</formula>
    </cfRule>
  </conditionalFormatting>
  <conditionalFormatting sqref="E7:E8">
    <cfRule type="expression" dxfId="88" priority="28">
      <formula>#REF!="EXCLUDE"</formula>
    </cfRule>
  </conditionalFormatting>
  <conditionalFormatting sqref="E503:E505">
    <cfRule type="expression" dxfId="87" priority="29">
      <formula>#REF!="EXCLUDE"</formula>
    </cfRule>
  </conditionalFormatting>
  <conditionalFormatting sqref="E502">
    <cfRule type="expression" dxfId="86" priority="30">
      <formula>#REF!="EXCLUDE"</formula>
    </cfRule>
  </conditionalFormatting>
  <conditionalFormatting sqref="E506:E508">
    <cfRule type="expression" dxfId="85" priority="31">
      <formula>#REF!="EXCLUDE"</formula>
    </cfRule>
  </conditionalFormatting>
  <conditionalFormatting sqref="E393:E394">
    <cfRule type="expression" dxfId="84" priority="16">
      <formula>$G393="EXCLUDE"</formula>
    </cfRule>
  </conditionalFormatting>
  <conditionalFormatting sqref="E405:E406">
    <cfRule type="expression" dxfId="83" priority="15">
      <formula>$G405="EXCLUDE"</formula>
    </cfRule>
  </conditionalFormatting>
  <conditionalFormatting sqref="E417:E418">
    <cfRule type="expression" dxfId="82" priority="14">
      <formula>$G417="EXCLUDE"</formula>
    </cfRule>
  </conditionalFormatting>
  <conditionalFormatting sqref="E429:E430">
    <cfRule type="expression" dxfId="81" priority="13">
      <formula>$G429="EXCLUDE"</formula>
    </cfRule>
  </conditionalFormatting>
  <conditionalFormatting sqref="E441:E442">
    <cfRule type="expression" dxfId="80" priority="12">
      <formula>$G441="EXCLUDE"</formula>
    </cfRule>
  </conditionalFormatting>
  <conditionalFormatting sqref="E453:E454">
    <cfRule type="expression" dxfId="79" priority="11">
      <formula>$G453="EXCLUDE"</formula>
    </cfRule>
  </conditionalFormatting>
  <conditionalFormatting sqref="E465:E466">
    <cfRule type="expression" dxfId="78" priority="10">
      <formula>$G465="EXCLUDE"</formula>
    </cfRule>
  </conditionalFormatting>
  <conditionalFormatting sqref="E477:E478">
    <cfRule type="expression" dxfId="77" priority="9">
      <formula>$G477="EXCLUDE"</formula>
    </cfRule>
  </conditionalFormatting>
  <conditionalFormatting sqref="E489:E490">
    <cfRule type="expression" dxfId="76" priority="8">
      <formula>$G489="EXCLUDE"</formula>
    </cfRule>
  </conditionalFormatting>
  <conditionalFormatting sqref="E273:E274">
    <cfRule type="expression" dxfId="75" priority="7">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4E0E93-7911-4950-98E2-6E7A8A0BBC0D}">
  <sheetPr codeName="Sheet35"/>
  <dimension ref="A1:Z2933"/>
  <sheetViews>
    <sheetView showGridLines="0" zoomScaleNormal="100" workbookViewId="0">
      <selection sqref="A1:E1"/>
    </sheetView>
  </sheetViews>
  <sheetFormatPr defaultRowHeight="15" x14ac:dyDescent="0.25"/>
  <cols>
    <col min="1" max="1" width="55" customWidth="1"/>
    <col min="2" max="2" width="15" customWidth="1"/>
    <col min="3" max="3" width="15.140625" customWidth="1"/>
    <col min="4" max="4" width="15" customWidth="1"/>
    <col min="5" max="5" width="27.28515625" customWidth="1"/>
    <col min="6" max="6" width="55" customWidth="1"/>
    <col min="7" max="7" width="18.28515625" customWidth="1"/>
    <col min="8" max="8" width="27.28515625" customWidth="1"/>
    <col min="9" max="9" width="45.7109375" customWidth="1"/>
    <col min="10" max="10" width="18.42578125" customWidth="1"/>
    <col min="11" max="11" width="27.5703125" customWidth="1"/>
    <col min="12" max="12" width="54.5703125" customWidth="1"/>
    <col min="13" max="13" width="18.28515625" style="1328" customWidth="1"/>
    <col min="14" max="14" width="27.42578125" customWidth="1"/>
    <col min="15" max="17" width="9.140625" customWidth="1"/>
    <col min="18" max="18" width="11.42578125" customWidth="1"/>
    <col min="19" max="19" width="32.140625" customWidth="1"/>
    <col min="20" max="20" width="9.140625" customWidth="1"/>
    <col min="21" max="21" width="28.7109375" customWidth="1"/>
    <col min="22" max="22" width="9.140625" customWidth="1"/>
    <col min="23" max="23" width="26.85546875" customWidth="1"/>
    <col min="24" max="27" width="9.140625" customWidth="1"/>
  </cols>
  <sheetData>
    <row r="1" spans="1:26" ht="18.75" x14ac:dyDescent="0.3">
      <c r="A1" s="2150" t="s">
        <v>1341</v>
      </c>
      <c r="B1" s="2150"/>
      <c r="C1" s="2150"/>
      <c r="D1" s="2150"/>
      <c r="E1" s="2150"/>
      <c r="F1" s="2150" t="s">
        <v>1342</v>
      </c>
      <c r="G1" s="2150"/>
      <c r="H1" s="2150"/>
      <c r="I1" s="2150" t="s">
        <v>1343</v>
      </c>
      <c r="J1" s="2150"/>
      <c r="K1" s="2150"/>
      <c r="L1" s="2150" t="s">
        <v>1344</v>
      </c>
      <c r="M1" s="2151"/>
      <c r="N1" s="2150"/>
      <c r="O1" s="134">
        <v>0</v>
      </c>
      <c r="P1" s="1049">
        <v>6</v>
      </c>
      <c r="Q1" s="1049" t="str">
        <f>IFERROR(SUBSTITUTE(ADDRESS(1,P1,4),"1",""),"")</f>
        <v>F</v>
      </c>
      <c r="R1" s="1314"/>
      <c r="S1" s="1311"/>
      <c r="T1" s="1311"/>
      <c r="U1" s="1311"/>
      <c r="V1" s="1311"/>
      <c r="W1" s="1311"/>
      <c r="X1" s="1311"/>
      <c r="Y1" s="1311"/>
      <c r="Z1" s="1311"/>
    </row>
    <row r="2" spans="1:26" x14ac:dyDescent="0.25">
      <c r="A2" s="788" t="s">
        <v>1345</v>
      </c>
      <c r="B2" s="788" t="s">
        <v>1346</v>
      </c>
      <c r="C2" s="788" t="s">
        <v>1347</v>
      </c>
      <c r="D2" s="788" t="s">
        <v>131</v>
      </c>
      <c r="E2" s="788" t="s">
        <v>1348</v>
      </c>
      <c r="F2" s="788" t="s">
        <v>1345</v>
      </c>
      <c r="G2" s="788" t="s">
        <v>1349</v>
      </c>
      <c r="H2" s="788" t="s">
        <v>1348</v>
      </c>
      <c r="I2" s="788" t="s">
        <v>1345</v>
      </c>
      <c r="J2" s="789" t="s">
        <v>1349</v>
      </c>
      <c r="K2" s="789" t="s">
        <v>1348</v>
      </c>
      <c r="L2" s="789" t="s">
        <v>1345</v>
      </c>
      <c r="M2" s="1331" t="s">
        <v>1470</v>
      </c>
      <c r="N2" s="789" t="s">
        <v>1348</v>
      </c>
      <c r="O2" s="134"/>
      <c r="P2" s="1049">
        <v>0</v>
      </c>
      <c r="Q2" s="1049" t="str">
        <f>IFERROR(SUBSTITUTE(ADDRESS(1,P2,4),"1",""),"")</f>
        <v/>
      </c>
      <c r="R2" s="1314"/>
      <c r="S2" s="1311"/>
      <c r="T2" s="1311"/>
      <c r="U2" s="1311"/>
      <c r="V2" s="1311"/>
      <c r="W2" s="1311"/>
      <c r="X2" s="1311"/>
      <c r="Y2" s="1311"/>
      <c r="Z2" s="1311"/>
    </row>
    <row r="3" spans="1:26" x14ac:dyDescent="0.25">
      <c r="A3" s="791" t="s">
        <v>374</v>
      </c>
      <c r="B3" s="791" t="str">
        <f ca="1">_xlfn.CONCAT(IFERROR(SUBSTITUTE(ADDRESS(1,MATCH(A3,INDIRECT("'"&amp;E3&amp;"'"&amp;"!A4:Z4"),0),4),1,""),IFERROR(SUBSTITUTE(ADDRESS(1,MATCH(A3,INDIRECT("'"&amp;E3&amp;"'"&amp;"!A9:Z9"),0),4),1,""),IFERROR(SUBSTITUTE(ADDRESS(1,MATCH(A3,INDIRECT("'"&amp;E3&amp;"'"&amp;"!A12:Z12"),0),4),1,""),IFERROR(SUBSTITUTE(ADDRESS(1,MATCH(A3,INDIRECT("'"&amp;E3&amp;"'"&amp;"!A15:Z15"),0),4),1,""),IFERROR(SUBSTITUTE(ADDRESS(1,MATCH(A3,INDIRECT("'"&amp;E3&amp;"'"&amp;"!A17:Z17"),0),4),1,""),""))))),4)</f>
        <v>B4</v>
      </c>
      <c r="C3" s="791" t="str">
        <f ca="1">_xlfn.CONCAT(IFERROR(SUBSTITUTE(ADDRESS(1,MATCH(A3,INDIRECT("'"&amp;E3&amp;"'"&amp;"!A4:Z4"),0),4),1,""),IFERROR(SUBSTITUTE(ADDRESS(1,MATCH(A3,INDIRECT("'"&amp;E3&amp;"'"&amp;"!A9:Z9"),0),4),1,""),IFERROR(SUBSTITUTE(ADDRESS(1,MATCH(A3,INDIRECT("'"&amp;E3&amp;"'"&amp;"!A12:Z12"),0),4),1,""),IFERROR(SUBSTITUTE(ADDRESS(1,MATCH(A3,INDIRECT("'"&amp;E3&amp;"'"&amp;"!A15:Z15"),0),4),1,""),"")))),5)</f>
        <v>B5</v>
      </c>
      <c r="D3" s="791" t="s">
        <v>1350</v>
      </c>
      <c r="E3" s="791" t="s">
        <v>1351</v>
      </c>
      <c r="F3" s="791" t="s">
        <v>1352</v>
      </c>
      <c r="G3" s="791" t="s">
        <v>1353</v>
      </c>
      <c r="H3" s="791" t="s">
        <v>1354</v>
      </c>
      <c r="I3" s="1274" t="str">
        <f>IF(J3&lt;&gt;"",A3,"")</f>
        <v/>
      </c>
      <c r="J3" s="1314"/>
      <c r="K3" s="1314" t="str">
        <f>IF(J3&lt;&gt;"",E3,"")</f>
        <v/>
      </c>
      <c r="L3" s="1314"/>
      <c r="M3" s="1314"/>
      <c r="N3" s="1314"/>
      <c r="O3" s="134"/>
      <c r="P3" s="1049">
        <v>0</v>
      </c>
      <c r="Q3" s="1049" t="str">
        <f>IFERROR(SUBSTITUTE(ADDRESS(1,P3,4),"1",""),"")</f>
        <v/>
      </c>
      <c r="R3" s="1311"/>
      <c r="S3" s="1311"/>
      <c r="T3" s="1311"/>
      <c r="U3" s="1311"/>
      <c r="V3" s="1311"/>
      <c r="W3" s="1311"/>
      <c r="X3" s="1311"/>
      <c r="Y3" s="1311"/>
      <c r="Z3" s="1311"/>
    </row>
    <row r="4" spans="1:26" x14ac:dyDescent="0.25">
      <c r="A4" s="791" t="s">
        <v>1200</v>
      </c>
      <c r="B4" s="791" t="str">
        <f ca="1">_xlfn.CONCAT(IFERROR(SUBSTITUTE(ADDRESS(1,MATCH(A4,INDIRECT("'"&amp;E4&amp;"'"&amp;"!A4:Z4"),0),4),1,""),IFERROR(SUBSTITUTE(ADDRESS(1,MATCH(A4,INDIRECT("'"&amp;E4&amp;"'"&amp;"!A9:Z9"),0),4),1,""),IFERROR(SUBSTITUTE(ADDRESS(1,MATCH(A4,INDIRECT("'"&amp;E4&amp;"'"&amp;"!A12:Z12"),0),4),1,""),IFERROR(SUBSTITUTE(ADDRESS(1,MATCH(A4,INDIRECT("'"&amp;E4&amp;"'"&amp;"!A15:Z15"),0),4),1,""),IFERROR(SUBSTITUTE(ADDRESS(1,MATCH(A4,INDIRECT("'"&amp;E4&amp;"'"&amp;"!A17:Z17"),0),4),1,""),""))))),4)</f>
        <v>C4</v>
      </c>
      <c r="C4" s="791" t="str">
        <f ca="1">_xlfn.CONCAT(IFERROR(SUBSTITUTE(ADDRESS(1,MATCH(A4,INDIRECT("'"&amp;E4&amp;"'"&amp;"!A4:Z4"),0),4),1,""),IFERROR(SUBSTITUTE(ADDRESS(1,MATCH(A4,INDIRECT("'"&amp;E4&amp;"'"&amp;"!A9:Z9"),0),4),1,""),IFERROR(SUBSTITUTE(ADDRESS(1,MATCH(A4,INDIRECT("'"&amp;E4&amp;"'"&amp;"!A12:Z12"),0),4),1,""),IFERROR(SUBSTITUTE(ADDRESS(1,MATCH(A4,INDIRECT("'"&amp;E4&amp;"'"&amp;"!A15:Z15"),0),4),1,""),"")))),5)</f>
        <v>C5</v>
      </c>
      <c r="D4" s="791" t="s">
        <v>1350</v>
      </c>
      <c r="E4" s="791" t="s">
        <v>1351</v>
      </c>
      <c r="F4" s="791" t="s">
        <v>1200</v>
      </c>
      <c r="G4" s="791" t="s">
        <v>1355</v>
      </c>
      <c r="H4" s="791" t="s">
        <v>1354</v>
      </c>
      <c r="I4" s="1274" t="str">
        <f t="shared" ref="I4" si="0">IF(J4&lt;&gt;"",A4,"")</f>
        <v>Lead Market</v>
      </c>
      <c r="J4" s="1314" t="str">
        <f t="shared" ref="J4" si="1">IF(M4&lt;&gt;"",Q$1&amp;M4,"")</f>
        <v>F22</v>
      </c>
      <c r="K4" s="1314" t="str">
        <f t="shared" ref="K4" si="2">IF(J4&lt;&gt;"",E4,"")</f>
        <v>Agreement Worksheet</v>
      </c>
      <c r="L4" s="1314" t="s">
        <v>1200</v>
      </c>
      <c r="M4" s="1314">
        <v>22</v>
      </c>
      <c r="N4" s="1314"/>
      <c r="O4" s="1311"/>
      <c r="P4" s="1049" cm="1">
        <f t="array" ref="P4">IFERROR(MATCH(2,1/(Audit!4:4="X")),IF(IFERROR(MATCH(2,1/(Audit!2:2="Copied Agreement")),0)&lt;&gt;6,IFERROR(MATCH(2,1/(Audit!2:2="Copied Agreement")),0),0))</f>
        <v>0</v>
      </c>
      <c r="Q4" s="1049" t="str">
        <f>IFERROR(SUBSTITUTE(ADDRESS(1,P4,4),"1",""),"")</f>
        <v/>
      </c>
      <c r="R4" s="1311"/>
      <c r="S4" s="1311"/>
      <c r="T4" s="1311"/>
      <c r="U4" s="1311"/>
      <c r="V4" s="1311"/>
      <c r="W4" s="1311"/>
      <c r="X4" s="1311"/>
      <c r="Y4" s="1311"/>
      <c r="Z4" s="1311"/>
    </row>
    <row r="5" spans="1:26" x14ac:dyDescent="0.25">
      <c r="A5" s="790" t="s">
        <v>1178</v>
      </c>
      <c r="B5" s="791" t="str">
        <f ca="1">_xlfn.IFNA(_xlfn.CONCAT(SUBSTITUTE(ADDRESS(1,MATCH(A5,INDIRECT("'"&amp;E5&amp;"'"&amp;"!A22:Z22"),0),4),1,""),23),"")</f>
        <v>E23</v>
      </c>
      <c r="C5" s="791" t="str">
        <f ca="1">_xlfn.IFNA(SUBSTITUTE(ADDRESS(1,MATCH(A5,INDIRECT("'"&amp;E5&amp;"'"&amp;"!A22:Z22"),0),4),1,""),"")</f>
        <v>E</v>
      </c>
      <c r="D5" s="791" t="s">
        <v>1357</v>
      </c>
      <c r="E5" s="791" t="s">
        <v>1358</v>
      </c>
      <c r="F5" s="790" t="s">
        <v>1178</v>
      </c>
      <c r="G5" s="791" t="s">
        <v>1356</v>
      </c>
      <c r="H5" s="791" t="s">
        <v>1359</v>
      </c>
      <c r="I5" s="1274" t="str">
        <f t="shared" ref="I5:I67" si="3">IF(J5&lt;&gt;"",A5,"")</f>
        <v/>
      </c>
      <c r="J5" s="1314"/>
      <c r="K5" s="1314" t="str">
        <f t="shared" ref="K5:K67" si="4">IF(J5&lt;&gt;"",E5,"")</f>
        <v/>
      </c>
      <c r="L5" s="1314"/>
      <c r="M5" s="1314"/>
      <c r="N5" s="1314"/>
      <c r="O5" s="1311"/>
      <c r="P5" s="1311"/>
      <c r="Q5" s="1311"/>
      <c r="R5" s="1311"/>
      <c r="S5" s="1311"/>
      <c r="T5" s="1311"/>
      <c r="U5" s="1311"/>
      <c r="V5" s="1311"/>
      <c r="W5" s="1311"/>
      <c r="X5" s="1311"/>
      <c r="Y5" s="1311"/>
      <c r="Z5" s="1311"/>
    </row>
    <row r="6" spans="1:26" x14ac:dyDescent="0.25">
      <c r="A6" s="790" t="s">
        <v>765</v>
      </c>
      <c r="B6" s="791" t="str">
        <f ca="1">_xlfn.IFNA(_xlfn.CONCAT(SUBSTITUTE(ADDRESS(1,MATCH(A6,INDIRECT("'"&amp;E6&amp;"'"&amp;"!A22:Z22"),0),4),1,""),23),"")</f>
        <v>K23</v>
      </c>
      <c r="C6" s="791" t="str">
        <f ca="1">_xlfn.IFNA(SUBSTITUTE(ADDRESS(1,MATCH(A6,INDIRECT("'"&amp;E6&amp;"'"&amp;"!A22:Z22"),0),4),1,""),"")</f>
        <v>K</v>
      </c>
      <c r="D6" s="791" t="s">
        <v>1357</v>
      </c>
      <c r="E6" s="791" t="s">
        <v>1358</v>
      </c>
      <c r="F6" s="790" t="s">
        <v>765</v>
      </c>
      <c r="G6" s="791" t="s">
        <v>1361</v>
      </c>
      <c r="H6" s="791" t="s">
        <v>1359</v>
      </c>
      <c r="I6" s="1274" t="str">
        <f t="shared" si="3"/>
        <v/>
      </c>
      <c r="J6" s="1314"/>
      <c r="K6" s="1314" t="str">
        <f t="shared" si="4"/>
        <v/>
      </c>
      <c r="L6" s="1314"/>
      <c r="M6" s="1314"/>
      <c r="N6" s="1314"/>
      <c r="O6" s="1311"/>
      <c r="P6" s="1311"/>
      <c r="Q6" s="1311"/>
      <c r="R6" s="1311"/>
      <c r="S6" s="1311"/>
      <c r="T6" s="1311"/>
      <c r="U6" s="1311"/>
      <c r="V6" s="1311"/>
      <c r="W6" s="1311"/>
      <c r="X6" s="1311"/>
      <c r="Y6" s="1311"/>
      <c r="Z6" s="1311"/>
    </row>
    <row r="7" spans="1:26" x14ac:dyDescent="0.25">
      <c r="A7" s="790" t="s">
        <v>1179</v>
      </c>
      <c r="B7" s="791" t="str">
        <f ca="1">_xlfn.IFNA(_xlfn.CONCAT(SUBSTITUTE(ADDRESS(1,MATCH(A7,INDIRECT("'"&amp;E7&amp;"'"&amp;"!A22:Z22"),0),4),1,""),23),"")</f>
        <v>L23</v>
      </c>
      <c r="C7" s="791" t="str">
        <f ca="1">_xlfn.IFNA(SUBSTITUTE(ADDRESS(1,MATCH(A7,INDIRECT("'"&amp;E7&amp;"'"&amp;"!A22:Z22"),0),4),1,""),"")</f>
        <v>L</v>
      </c>
      <c r="D7" s="791" t="s">
        <v>1357</v>
      </c>
      <c r="E7" s="791" t="s">
        <v>1358</v>
      </c>
      <c r="F7" s="790" t="s">
        <v>1179</v>
      </c>
      <c r="G7" s="791" t="s">
        <v>1362</v>
      </c>
      <c r="H7" s="791" t="s">
        <v>1359</v>
      </c>
      <c r="I7" s="1274" t="str">
        <f t="shared" si="3"/>
        <v/>
      </c>
      <c r="J7" s="1314"/>
      <c r="K7" s="1314" t="str">
        <f t="shared" si="4"/>
        <v/>
      </c>
      <c r="L7" s="1314"/>
      <c r="M7" s="1314"/>
      <c r="N7" s="1314"/>
      <c r="O7" s="1311"/>
      <c r="P7" s="1311"/>
      <c r="Q7" s="1311"/>
      <c r="R7" s="1311"/>
      <c r="S7" s="1311"/>
      <c r="T7" s="1311"/>
      <c r="U7" s="1311"/>
      <c r="V7" s="1311"/>
      <c r="W7" s="1311"/>
      <c r="X7" s="1311"/>
      <c r="Y7" s="1311"/>
      <c r="Z7" s="1311"/>
    </row>
    <row r="8" spans="1:26" x14ac:dyDescent="0.25">
      <c r="A8" s="790" t="s">
        <v>1180</v>
      </c>
      <c r="B8" s="791" t="str">
        <f ca="1">_xlfn.IFNA(_xlfn.CONCAT(SUBSTITUTE(ADDRESS(1,MATCH(A8,INDIRECT("'"&amp;E8&amp;"'"&amp;"!A22:Z22"),0),4),1,""),23),"")</f>
        <v>M23</v>
      </c>
      <c r="C8" s="791" t="str">
        <f ca="1">_xlfn.IFNA(SUBSTITUTE(ADDRESS(1,MATCH(A8,INDIRECT("'"&amp;E8&amp;"'"&amp;"!A22:Z22"),0),4),1,""),"")</f>
        <v>M</v>
      </c>
      <c r="D8" s="791" t="s">
        <v>1357</v>
      </c>
      <c r="E8" s="791" t="s">
        <v>1358</v>
      </c>
      <c r="F8" s="790" t="s">
        <v>1180</v>
      </c>
      <c r="G8" s="791" t="s">
        <v>1363</v>
      </c>
      <c r="H8" s="791" t="s">
        <v>1359</v>
      </c>
      <c r="I8" s="1274" t="str">
        <f t="shared" si="3"/>
        <v/>
      </c>
      <c r="J8" s="1314"/>
      <c r="K8" s="1314" t="str">
        <f t="shared" si="4"/>
        <v/>
      </c>
      <c r="L8" s="1314"/>
      <c r="M8" s="1314"/>
      <c r="N8" s="1314"/>
      <c r="O8" s="1311"/>
      <c r="P8" s="1311"/>
      <c r="Q8" s="1311"/>
      <c r="R8" s="1311"/>
      <c r="S8" s="1311"/>
      <c r="T8" s="1311"/>
      <c r="U8" s="1311"/>
      <c r="V8" s="1311"/>
      <c r="W8" s="1311"/>
      <c r="X8" s="1311"/>
      <c r="Y8" s="1311"/>
      <c r="Z8" s="1311"/>
    </row>
    <row r="9" spans="1:26" x14ac:dyDescent="0.25">
      <c r="A9" s="790" t="s">
        <v>1265</v>
      </c>
      <c r="B9" s="791" t="str">
        <f ca="1">_xlfn.CONCAT(IFERROR(SUBSTITUTE(ADDRESS(1,MATCH(A9,INDIRECT("'"&amp;E9&amp;"'"&amp;"!A4:Z4"),0),4),1,""),""),4)</f>
        <v>B4</v>
      </c>
      <c r="C9" s="791" t="str">
        <f ca="1">_xlfn.CONCAT(IFERROR(SUBSTITUTE(ADDRESS(1,MATCH(A9,INDIRECT("'"&amp;E9&amp;"'"&amp;"!A4:Z4"),0),4),1,""),""),5)</f>
        <v>B5</v>
      </c>
      <c r="D9" s="791" t="s">
        <v>1350</v>
      </c>
      <c r="E9" s="791" t="s">
        <v>1279</v>
      </c>
      <c r="F9" s="790" t="s">
        <v>1265</v>
      </c>
      <c r="G9" s="791" t="s">
        <v>1364</v>
      </c>
      <c r="H9" s="791" t="s">
        <v>1359</v>
      </c>
      <c r="I9" s="1274" t="str">
        <f t="shared" si="3"/>
        <v/>
      </c>
      <c r="J9" s="1314"/>
      <c r="K9" s="1314" t="str">
        <f t="shared" si="4"/>
        <v/>
      </c>
      <c r="L9" s="1314"/>
      <c r="M9" s="1314"/>
      <c r="N9" s="1314"/>
      <c r="O9" s="1311"/>
      <c r="P9" s="1311"/>
      <c r="Q9" s="1311"/>
      <c r="R9" s="1311"/>
      <c r="S9" s="1311"/>
      <c r="T9" s="1311"/>
      <c r="U9" s="1311"/>
      <c r="V9" s="1311"/>
      <c r="W9" s="1311"/>
      <c r="X9" s="1311"/>
      <c r="Y9" s="1311"/>
      <c r="Z9" s="1311"/>
    </row>
    <row r="10" spans="1:26" x14ac:dyDescent="0.25">
      <c r="A10" s="790" t="s">
        <v>1297</v>
      </c>
      <c r="B10" s="791" t="str">
        <f ca="1">_xlfn.IFNA(_xlfn.CONCAT(SUBSTITUTE(ADDRESS(1,MATCH(A10,INDIRECT("'"&amp;E10&amp;"'"&amp;"!A22:Z22"),0),4),1,""),23),"")</f>
        <v>O23</v>
      </c>
      <c r="C10" s="791" t="str">
        <f ca="1">_xlfn.IFNA(SUBSTITUTE(ADDRESS(1,MATCH(A10,INDIRECT("'"&amp;E10&amp;"'"&amp;"!A22:Z22"),0),4),1,""),"")</f>
        <v>O</v>
      </c>
      <c r="D10" s="791" t="s">
        <v>1357</v>
      </c>
      <c r="E10" s="791" t="s">
        <v>1358</v>
      </c>
      <c r="F10" s="790" t="s">
        <v>1297</v>
      </c>
      <c r="G10" s="791" t="s">
        <v>1366</v>
      </c>
      <c r="H10" s="791" t="s">
        <v>1359</v>
      </c>
      <c r="I10" s="1274" t="str">
        <f t="shared" si="3"/>
        <v/>
      </c>
      <c r="J10" s="1314"/>
      <c r="K10" s="1314" t="str">
        <f t="shared" si="4"/>
        <v/>
      </c>
      <c r="L10" s="1314"/>
      <c r="M10" s="1314"/>
      <c r="N10" s="1314"/>
      <c r="O10" s="1311"/>
      <c r="P10" s="1311"/>
      <c r="Q10" s="1311"/>
      <c r="R10" s="1311"/>
      <c r="S10" s="1311"/>
      <c r="T10" s="1311"/>
      <c r="U10" s="1311"/>
      <c r="V10" s="1311"/>
      <c r="W10" s="1311"/>
      <c r="X10" s="1311"/>
      <c r="Y10" s="1311"/>
      <c r="Z10" s="1311"/>
    </row>
    <row r="11" spans="1:26" x14ac:dyDescent="0.25">
      <c r="A11" s="790" t="s">
        <v>1181</v>
      </c>
      <c r="B11" s="791" t="str">
        <f ca="1">_xlfn.IFNA(_xlfn.CONCAT(SUBSTITUTE(ADDRESS(1,MATCH(A11,INDIRECT("'"&amp;E11&amp;"'"&amp;"!A22:Z22"),0),4),1,""),23),"")</f>
        <v>N23</v>
      </c>
      <c r="C11" s="791" t="str">
        <f ca="1">_xlfn.IFNA(SUBSTITUTE(ADDRESS(1,MATCH(A11,INDIRECT("'"&amp;E11&amp;"'"&amp;"!A22:Z22"),0),4),1,""),"")</f>
        <v>N</v>
      </c>
      <c r="D11" s="791" t="s">
        <v>1357</v>
      </c>
      <c r="E11" s="791" t="s">
        <v>1358</v>
      </c>
      <c r="F11" s="790" t="s">
        <v>1367</v>
      </c>
      <c r="G11" s="791" t="s">
        <v>1360</v>
      </c>
      <c r="H11" s="791" t="s">
        <v>1359</v>
      </c>
      <c r="I11" s="1274" t="str">
        <f t="shared" si="3"/>
        <v/>
      </c>
      <c r="J11" s="1314"/>
      <c r="K11" s="1314" t="str">
        <f t="shared" si="4"/>
        <v/>
      </c>
      <c r="L11" s="1314"/>
      <c r="M11" s="1314"/>
      <c r="N11" s="1314"/>
      <c r="O11" s="1311"/>
      <c r="P11" s="1311"/>
      <c r="Q11" s="1311"/>
      <c r="R11" s="1311"/>
      <c r="S11" s="1311"/>
      <c r="T11" s="1311"/>
      <c r="U11" s="1311"/>
      <c r="V11" s="1311"/>
      <c r="W11" s="1311"/>
      <c r="X11" s="1311"/>
      <c r="Y11" s="1311"/>
      <c r="Z11" s="1311"/>
    </row>
    <row r="12" spans="1:26" ht="30" x14ac:dyDescent="0.25">
      <c r="A12" s="791" t="s">
        <v>1214</v>
      </c>
      <c r="B12" s="791" t="str">
        <f ca="1">_xlfn.CONCAT(IFERROR(SUBSTITUTE(ADDRESS(1,MATCH(A12,INDIRECT("'"&amp;E12&amp;"'"&amp;"!A4:Z4"),0),4),1,""),IFERROR(SUBSTITUTE(ADDRESS(1,MATCH(A12,INDIRECT("'"&amp;E12&amp;"'"&amp;"!A9:Z9"),0),4),1,""),IFERROR(SUBSTITUTE(ADDRESS(1,MATCH(A12,INDIRECT("'"&amp;E12&amp;"'"&amp;"!A12:Z12"),0),4),1,""),IFERROR(SUBSTITUTE(ADDRESS(1,MATCH(A12,INDIRECT("'"&amp;E12&amp;"'"&amp;"!A15:Z15"),0),4),1,""),"")))),9)</f>
        <v>B9</v>
      </c>
      <c r="C12" s="791" t="str">
        <f ca="1">_xlfn.CONCAT(IFERROR(SUBSTITUTE(ADDRESS(1,MATCH(A12,INDIRECT("'"&amp;E12&amp;"'"&amp;"!A4:Z4"),0),4),1,""),IFERROR(SUBSTITUTE(ADDRESS(1,MATCH(A12,INDIRECT("'"&amp;E12&amp;"'"&amp;"!A9:Z9"),0),4),1,""),IFERROR(SUBSTITUTE(ADDRESS(1,MATCH(A12,INDIRECT("'"&amp;E12&amp;"'"&amp;"!A12:Z12"),0),4),1,""),IFERROR(SUBSTITUTE(ADDRESS(1,MATCH(A12,INDIRECT("'"&amp;E12&amp;"'"&amp;"!A15:Z15"),0),4),1,""),"")))),10)</f>
        <v>B10</v>
      </c>
      <c r="D12" s="791" t="s">
        <v>1350</v>
      </c>
      <c r="E12" s="791" t="s">
        <v>1351</v>
      </c>
      <c r="F12" s="791" t="s">
        <v>1214</v>
      </c>
      <c r="G12" s="791" t="s">
        <v>1353</v>
      </c>
      <c r="H12" s="791" t="s">
        <v>1368</v>
      </c>
      <c r="I12" s="1274" t="str">
        <f t="shared" si="3"/>
        <v>Minimum Percentage of Purchases to be Directed to USF</v>
      </c>
      <c r="J12" s="1314" t="str">
        <f t="shared" ref="J12:J62" si="5">IF(M12&lt;&gt;"",Q$1&amp;M12,"")</f>
        <v>F9</v>
      </c>
      <c r="K12" s="1314" t="str">
        <f t="shared" si="4"/>
        <v>Agreement Worksheet</v>
      </c>
      <c r="L12" s="791" t="s">
        <v>1214</v>
      </c>
      <c r="M12" s="1314">
        <v>9</v>
      </c>
      <c r="N12" s="1314"/>
      <c r="O12" s="1311"/>
      <c r="P12" s="1311"/>
      <c r="Q12" s="1311"/>
      <c r="R12" s="1311"/>
      <c r="S12" s="1311"/>
      <c r="T12" s="1311"/>
      <c r="U12" s="1311"/>
      <c r="V12" s="1311"/>
      <c r="W12" s="1311"/>
      <c r="X12" s="1311"/>
      <c r="Y12" s="1311"/>
      <c r="Z12" s="1311"/>
    </row>
    <row r="13" spans="1:26" x14ac:dyDescent="0.25">
      <c r="A13" s="791" t="s">
        <v>1164</v>
      </c>
      <c r="B13" s="52" t="str">
        <f>IFERROR(_xlfn.CONCAT("D",MATCH(A13,'Tracking &amp; Profitability'!C$1:C$62,0)),"")</f>
        <v>D8</v>
      </c>
      <c r="C13" s="52" t="str">
        <f>IFERROR(_xlfn.CONCAT("E",MATCH(A13,'Tracking &amp; Profitability'!C$1:C$62,0)),"")</f>
        <v>E8</v>
      </c>
      <c r="D13" s="791" t="s">
        <v>1350</v>
      </c>
      <c r="E13" s="791" t="s">
        <v>129</v>
      </c>
      <c r="F13" s="791" t="s">
        <v>1369</v>
      </c>
      <c r="G13" s="791" t="s">
        <v>1355</v>
      </c>
      <c r="H13" s="791" t="s">
        <v>1368</v>
      </c>
      <c r="I13" s="1274" t="str">
        <f t="shared" si="3"/>
        <v/>
      </c>
      <c r="J13" s="1314" t="str">
        <f t="shared" si="5"/>
        <v/>
      </c>
      <c r="K13" s="1314" t="str">
        <f t="shared" si="4"/>
        <v/>
      </c>
      <c r="L13" s="1314"/>
      <c r="M13" s="1314"/>
      <c r="N13" s="1314"/>
      <c r="O13" s="1311"/>
      <c r="P13" s="1311"/>
      <c r="Q13" s="1311"/>
      <c r="R13" s="1311"/>
      <c r="S13" s="1311"/>
      <c r="T13" s="1311"/>
      <c r="U13" s="1311"/>
      <c r="V13" s="1311"/>
      <c r="W13" s="1311"/>
      <c r="X13" s="1311"/>
      <c r="Y13" s="1311"/>
      <c r="Z13" s="1311"/>
    </row>
    <row r="14" spans="1:26" x14ac:dyDescent="0.25">
      <c r="A14" s="1097" t="s">
        <v>1204</v>
      </c>
      <c r="B14" s="791" t="str">
        <f ca="1">_xlfn.CONCAT(IFERROR(SUBSTITUTE(ADDRESS(1,MATCH(A14,INDIRECT("'"&amp;E14&amp;"'"&amp;"!A4:Z4"),0),4),1,""),IFERROR(SUBSTITUTE(ADDRESS(1,MATCH(A14,INDIRECT("'"&amp;E14&amp;"'"&amp;"!A9:Z9"),0),4),1,""),IFERROR(SUBSTITUTE(ADDRESS(1,MATCH(A14,INDIRECT("'"&amp;E14&amp;"'"&amp;"!A12:Z12"),0),4),1,""),IFERROR(SUBSTITUTE(ADDRESS(1,MATCH(A14,INDIRECT("'"&amp;E14&amp;"'"&amp;"!A15:Z15"),0),4),1,""),"")))),4)</f>
        <v>G4</v>
      </c>
      <c r="C14" s="791" t="str">
        <f ca="1">_xlfn.CONCAT(IFERROR(SUBSTITUTE(ADDRESS(1,MATCH(A14,INDIRECT("'"&amp;E14&amp;"'"&amp;"!A4:Z4"),0),4),1,""),IFERROR(SUBSTITUTE(ADDRESS(1,MATCH(A14,INDIRECT("'"&amp;E14&amp;"'"&amp;"!A9:Z9"),0),4),1,""),IFERROR(SUBSTITUTE(ADDRESS(1,MATCH(A14,INDIRECT("'"&amp;E14&amp;"'"&amp;"!A12:Z12"),0),4),1,""),IFERROR(SUBSTITUTE(ADDRESS(1,MATCH(A14,INDIRECT("'"&amp;E14&amp;"'"&amp;"!A15:Z15"),0),4),1,""),"")))),5)</f>
        <v>G5</v>
      </c>
      <c r="D14" s="791" t="s">
        <v>1350</v>
      </c>
      <c r="E14" s="791" t="s">
        <v>1351</v>
      </c>
      <c r="F14" s="791" t="s">
        <v>1204</v>
      </c>
      <c r="G14" s="791" t="s">
        <v>1370</v>
      </c>
      <c r="H14" s="791" t="s">
        <v>1368</v>
      </c>
      <c r="I14" s="1274" t="str">
        <f t="shared" si="3"/>
        <v/>
      </c>
      <c r="J14" s="1314" t="str">
        <f t="shared" si="5"/>
        <v/>
      </c>
      <c r="K14" s="1314" t="str">
        <f t="shared" si="4"/>
        <v/>
      </c>
      <c r="L14" s="1314"/>
      <c r="M14" s="1314"/>
      <c r="N14" s="1314"/>
      <c r="O14" s="1311"/>
      <c r="P14" s="1311"/>
      <c r="Q14" s="1311"/>
      <c r="R14" s="1311"/>
      <c r="S14" s="1311"/>
      <c r="T14" s="1311"/>
      <c r="U14" s="1311"/>
      <c r="V14" s="1311"/>
      <c r="W14" s="1311"/>
      <c r="X14" s="1311"/>
      <c r="Y14" s="1311"/>
      <c r="Z14" s="1311"/>
    </row>
    <row r="15" spans="1:26" x14ac:dyDescent="0.25">
      <c r="A15" s="1097" t="s">
        <v>1205</v>
      </c>
      <c r="B15" s="791" t="str">
        <f ca="1">_xlfn.CONCAT(IFERROR(SUBSTITUTE(ADDRESS(1,MATCH(A15,INDIRECT("'"&amp;E15&amp;"'"&amp;"!A4:Z4"),0),4),1,""),IFERROR(SUBSTITUTE(ADDRESS(1,MATCH(A15,INDIRECT("'"&amp;E15&amp;"'"&amp;"!A9:Z9"),0),4),1,""),IFERROR(SUBSTITUTE(ADDRESS(1,MATCH(A15,INDIRECT("'"&amp;E15&amp;"'"&amp;"!A12:Z12"),0),4),1,""),IFERROR(SUBSTITUTE(ADDRESS(1,MATCH(A15,INDIRECT("'"&amp;E15&amp;"'"&amp;"!A15:Z15"),0),4),1,""),"")))),4)</f>
        <v>H4</v>
      </c>
      <c r="C15" s="791" t="str">
        <f ca="1">_xlfn.CONCAT(IFERROR(SUBSTITUTE(ADDRESS(1,MATCH(A15,INDIRECT("'"&amp;E15&amp;"'"&amp;"!A4:Z4"),0),4),1,""),IFERROR(SUBSTITUTE(ADDRESS(1,MATCH(A15,INDIRECT("'"&amp;E15&amp;"'"&amp;"!A9:Z9"),0),4),1,""),IFERROR(SUBSTITUTE(ADDRESS(1,MATCH(A15,INDIRECT("'"&amp;E15&amp;"'"&amp;"!A12:Z12"),0),4),1,""),IFERROR(SUBSTITUTE(ADDRESS(1,MATCH(A15,INDIRECT("'"&amp;E15&amp;"'"&amp;"!A15:Z15"),0),4),1,""),"")))),5)</f>
        <v>H5</v>
      </c>
      <c r="D15" s="791" t="s">
        <v>1350</v>
      </c>
      <c r="E15" s="791" t="s">
        <v>1351</v>
      </c>
      <c r="F15" s="791" t="s">
        <v>1205</v>
      </c>
      <c r="G15" s="791" t="s">
        <v>656</v>
      </c>
      <c r="H15" s="791" t="s">
        <v>1368</v>
      </c>
      <c r="I15" s="1274" t="str">
        <f t="shared" si="3"/>
        <v/>
      </c>
      <c r="J15" s="1314" t="str">
        <f t="shared" si="5"/>
        <v/>
      </c>
      <c r="K15" s="1314" t="str">
        <f t="shared" si="4"/>
        <v/>
      </c>
      <c r="L15" s="1314"/>
      <c r="M15" s="1314"/>
      <c r="N15" s="1314"/>
      <c r="O15" s="1311"/>
      <c r="P15" s="1311"/>
      <c r="Q15" s="1311"/>
      <c r="R15" s="1311"/>
      <c r="S15" s="1311"/>
      <c r="T15" s="1311"/>
      <c r="U15" s="1311"/>
      <c r="V15" s="1311"/>
      <c r="W15" s="1311"/>
      <c r="X15" s="1311"/>
      <c r="Y15" s="1311"/>
      <c r="Z15" s="1311"/>
    </row>
    <row r="16" spans="1:26" x14ac:dyDescent="0.25">
      <c r="A16" s="791" t="s">
        <v>1206</v>
      </c>
      <c r="B16" s="791" t="str">
        <f ca="1">_xlfn.CONCAT(IFERROR(SUBSTITUTE(ADDRESS(1,MATCH(A16,INDIRECT("'"&amp;E16&amp;"'"&amp;"!A4:Z4"),0),4),1,""),IFERROR(SUBSTITUTE(ADDRESS(1,MATCH(A16,INDIRECT("'"&amp;E16&amp;"'"&amp;"!A9:Z9"),0),4),1,""),IFERROR(SUBSTITUTE(ADDRESS(1,MATCH(A16,INDIRECT("'"&amp;E16&amp;"'"&amp;"!A12:Z12"),0),4),1,""),IFERROR(SUBSTITUTE(ADDRESS(1,MATCH(A16,INDIRECT("'"&amp;E16&amp;"'"&amp;"!A15:Z15"),0),4),1,""),"")))),4)</f>
        <v>I4</v>
      </c>
      <c r="C16" s="791" t="str">
        <f ca="1">_xlfn.CONCAT(IFERROR(SUBSTITUTE(ADDRESS(1,MATCH(A16,INDIRECT("'"&amp;E16&amp;"'"&amp;"!A4:Z4"),0),4),1,""),IFERROR(SUBSTITUTE(ADDRESS(1,MATCH(A16,INDIRECT("'"&amp;E16&amp;"'"&amp;"!A9:Z9"),0),4),1,""),IFERROR(SUBSTITUTE(ADDRESS(1,MATCH(A16,INDIRECT("'"&amp;E16&amp;"'"&amp;"!A12:Z12"),0),4),1,""),IFERROR(SUBSTITUTE(ADDRESS(1,MATCH(A16,INDIRECT("'"&amp;E16&amp;"'"&amp;"!A15:Z15"),0),4),1,""),"")))),5)</f>
        <v>I5</v>
      </c>
      <c r="D16" s="791" t="s">
        <v>1350</v>
      </c>
      <c r="E16" s="791" t="s">
        <v>1351</v>
      </c>
      <c r="F16" s="791" t="s">
        <v>1206</v>
      </c>
      <c r="G16" s="791" t="s">
        <v>1356</v>
      </c>
      <c r="H16" s="791" t="s">
        <v>1368</v>
      </c>
      <c r="I16" s="1274" t="str">
        <f t="shared" si="3"/>
        <v/>
      </c>
      <c r="J16" s="1314"/>
      <c r="K16" s="1314" t="str">
        <f t="shared" si="4"/>
        <v/>
      </c>
      <c r="L16" s="1314"/>
      <c r="M16" s="1314"/>
      <c r="N16" s="1314"/>
      <c r="O16" s="1311"/>
      <c r="P16" s="1311"/>
      <c r="Q16" s="1311"/>
      <c r="R16" s="1311"/>
      <c r="S16" s="1311"/>
      <c r="T16" s="1311"/>
      <c r="U16" s="1311"/>
      <c r="V16" s="1311"/>
      <c r="W16" s="1311"/>
      <c r="X16" s="1311"/>
      <c r="Y16" s="1311"/>
      <c r="Z16" s="1311"/>
    </row>
    <row r="17" spans="1:26" x14ac:dyDescent="0.25">
      <c r="A17" s="791" t="s">
        <v>1163</v>
      </c>
      <c r="B17" s="52" t="str">
        <f>IFERROR(_xlfn.CONCAT("D",MATCH(A17,'Tracking &amp; Profitability'!C$1:C$62,0)),"")</f>
        <v>D7</v>
      </c>
      <c r="C17" s="52" t="str">
        <f>IFERROR(_xlfn.CONCAT("E",MATCH(A17,'Tracking &amp; Profitability'!C$1:C$62,0)),"")</f>
        <v>E7</v>
      </c>
      <c r="D17" s="791" t="s">
        <v>1350</v>
      </c>
      <c r="E17" s="791" t="s">
        <v>129</v>
      </c>
      <c r="F17" s="791" t="s">
        <v>1186</v>
      </c>
      <c r="G17" s="791" t="s">
        <v>1361</v>
      </c>
      <c r="H17" s="791" t="s">
        <v>1368</v>
      </c>
      <c r="I17" s="1274" t="str">
        <f t="shared" si="3"/>
        <v/>
      </c>
      <c r="J17" s="1314" t="str">
        <f t="shared" si="5"/>
        <v/>
      </c>
      <c r="K17" s="1314" t="str">
        <f t="shared" si="4"/>
        <v/>
      </c>
      <c r="L17" s="1314"/>
      <c r="M17" s="1314"/>
      <c r="N17" s="1314"/>
      <c r="O17" s="1311"/>
      <c r="P17" s="1311"/>
      <c r="Q17" s="1311"/>
      <c r="R17" s="1311"/>
      <c r="S17" s="1311"/>
      <c r="T17" s="1311"/>
      <c r="U17" s="1311"/>
      <c r="V17" s="1311"/>
      <c r="W17" s="1311"/>
      <c r="X17" s="1311"/>
      <c r="Y17" s="1311"/>
      <c r="Z17" s="1311"/>
    </row>
    <row r="18" spans="1:26" ht="30" x14ac:dyDescent="0.25">
      <c r="A18" s="791" t="s">
        <v>1215</v>
      </c>
      <c r="B18" s="791"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9)</f>
        <v>C9</v>
      </c>
      <c r="C18" s="791"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10)</f>
        <v>C10</v>
      </c>
      <c r="D18" s="791" t="s">
        <v>1350</v>
      </c>
      <c r="E18" s="791" t="s">
        <v>1351</v>
      </c>
      <c r="F18" s="791" t="s">
        <v>1215</v>
      </c>
      <c r="G18" s="791" t="s">
        <v>1362</v>
      </c>
      <c r="H18" s="791" t="s">
        <v>1368</v>
      </c>
      <c r="I18" s="1274" t="str">
        <f t="shared" si="3"/>
        <v>Maximum Distance From USF DC to Shipping Locations (miles)</v>
      </c>
      <c r="J18" s="1314" t="str">
        <f t="shared" si="5"/>
        <v>F10</v>
      </c>
      <c r="K18" s="1314" t="str">
        <f t="shared" si="4"/>
        <v>Agreement Worksheet</v>
      </c>
      <c r="L18" s="791" t="s">
        <v>1215</v>
      </c>
      <c r="M18" s="1314">
        <v>10</v>
      </c>
      <c r="N18" s="1314"/>
      <c r="O18" s="1311"/>
      <c r="P18" s="1311"/>
      <c r="Q18" s="1311"/>
      <c r="R18" s="1311"/>
      <c r="S18" s="1311"/>
      <c r="T18" s="1311"/>
      <c r="U18" s="1311"/>
      <c r="V18" s="1311"/>
      <c r="W18" s="1311"/>
      <c r="X18" s="1311"/>
      <c r="Y18" s="1311"/>
      <c r="Z18" s="1311"/>
    </row>
    <row r="19" spans="1:26" x14ac:dyDescent="0.25">
      <c r="A19" s="791" t="s">
        <v>1217</v>
      </c>
      <c r="B19" s="791"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9)</f>
        <v>E9</v>
      </c>
      <c r="C19" s="791"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10)</f>
        <v>E10</v>
      </c>
      <c r="D19" s="791" t="s">
        <v>1350</v>
      </c>
      <c r="E19" s="791" t="s">
        <v>1351</v>
      </c>
      <c r="F19" s="791" t="s">
        <v>1217</v>
      </c>
      <c r="G19" s="791" t="s">
        <v>1363</v>
      </c>
      <c r="H19" s="791" t="s">
        <v>1368</v>
      </c>
      <c r="I19" s="1274" t="str">
        <f t="shared" si="3"/>
        <v/>
      </c>
      <c r="J19" s="1314" t="str">
        <f t="shared" si="5"/>
        <v/>
      </c>
      <c r="K19" s="1314" t="str">
        <f t="shared" si="4"/>
        <v/>
      </c>
      <c r="L19" s="1314"/>
      <c r="M19" s="1314"/>
      <c r="N19" s="1314"/>
      <c r="O19" s="1311"/>
      <c r="P19" s="1311"/>
      <c r="Q19" s="1311"/>
      <c r="R19" s="1311"/>
      <c r="S19" s="1311"/>
      <c r="T19" s="1311"/>
      <c r="U19" s="1311"/>
      <c r="V19" s="1311"/>
      <c r="W19" s="1311"/>
      <c r="X19" s="1311"/>
      <c r="Y19" s="1311"/>
      <c r="Z19" s="1311"/>
    </row>
    <row r="20" spans="1:26" x14ac:dyDescent="0.25">
      <c r="A20" s="791" t="s">
        <v>1218</v>
      </c>
      <c r="B20" s="791"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9)</f>
        <v>F9</v>
      </c>
      <c r="C20" s="791"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10)</f>
        <v>F10</v>
      </c>
      <c r="D20" s="791" t="s">
        <v>1350</v>
      </c>
      <c r="E20" s="791" t="s">
        <v>1351</v>
      </c>
      <c r="F20" s="791" t="s">
        <v>1218</v>
      </c>
      <c r="G20" s="791" t="s">
        <v>1364</v>
      </c>
      <c r="H20" s="791" t="s">
        <v>1368</v>
      </c>
      <c r="I20" s="1274" t="str">
        <f t="shared" si="3"/>
        <v/>
      </c>
      <c r="J20" s="1314" t="str">
        <f t="shared" si="5"/>
        <v/>
      </c>
      <c r="K20" s="1314" t="str">
        <f t="shared" si="4"/>
        <v/>
      </c>
      <c r="L20" s="1314"/>
      <c r="M20" s="1314"/>
      <c r="N20" s="1314"/>
      <c r="O20" s="1311"/>
      <c r="P20" s="1311"/>
      <c r="Q20" s="1311"/>
      <c r="R20" s="1311"/>
      <c r="S20" s="1311"/>
      <c r="T20" s="1311"/>
      <c r="U20" s="1311"/>
      <c r="V20" s="1311"/>
      <c r="W20" s="1311"/>
      <c r="X20" s="1311"/>
      <c r="Y20" s="1311"/>
      <c r="Z20" s="1311"/>
    </row>
    <row r="21" spans="1:26" x14ac:dyDescent="0.25">
      <c r="A21" s="791" t="s">
        <v>1227</v>
      </c>
      <c r="B21" s="791"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12)</f>
        <v>C12</v>
      </c>
      <c r="C21" s="791"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13)</f>
        <v>C13</v>
      </c>
      <c r="D21" s="791" t="s">
        <v>1350</v>
      </c>
      <c r="E21" s="791" t="s">
        <v>1351</v>
      </c>
      <c r="F21" s="791" t="s">
        <v>1227</v>
      </c>
      <c r="G21" s="791" t="s">
        <v>1366</v>
      </c>
      <c r="H21" s="791" t="s">
        <v>1368</v>
      </c>
      <c r="I21" s="1274" t="str">
        <f t="shared" si="3"/>
        <v>Split Case Surcharge Amount</v>
      </c>
      <c r="J21" s="1314" t="str">
        <f t="shared" si="5"/>
        <v>F13</v>
      </c>
      <c r="K21" s="1314" t="str">
        <f t="shared" si="4"/>
        <v>Agreement Worksheet</v>
      </c>
      <c r="L21" s="791" t="s">
        <v>1227</v>
      </c>
      <c r="M21" s="1314">
        <v>13</v>
      </c>
      <c r="N21" s="1314"/>
      <c r="O21" s="1311"/>
      <c r="P21" s="1311"/>
      <c r="Q21" s="1311"/>
      <c r="R21" s="1311"/>
      <c r="S21" s="1311"/>
      <c r="T21" s="1311"/>
      <c r="U21" s="1311"/>
      <c r="V21" s="1311"/>
      <c r="W21" s="1311"/>
      <c r="X21" s="1311"/>
      <c r="Y21" s="1311"/>
      <c r="Z21" s="1311"/>
    </row>
    <row r="22" spans="1:26" x14ac:dyDescent="0.25">
      <c r="A22" s="791" t="s">
        <v>1228</v>
      </c>
      <c r="B22" s="791"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12)</f>
        <v>D12</v>
      </c>
      <c r="C22" s="791"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13)</f>
        <v>D13</v>
      </c>
      <c r="D22" s="791" t="s">
        <v>1350</v>
      </c>
      <c r="E22" s="791" t="s">
        <v>1351</v>
      </c>
      <c r="F22" s="791" t="s">
        <v>1228</v>
      </c>
      <c r="G22" s="791" t="s">
        <v>1360</v>
      </c>
      <c r="H22" s="791" t="s">
        <v>1368</v>
      </c>
      <c r="I22" s="1274" t="str">
        <f t="shared" si="3"/>
        <v>Split Case Per</v>
      </c>
      <c r="J22" s="1314" t="str">
        <f t="shared" si="5"/>
        <v>F14</v>
      </c>
      <c r="K22" s="1314" t="str">
        <f t="shared" si="4"/>
        <v>Agreement Worksheet</v>
      </c>
      <c r="L22" s="791" t="s">
        <v>1228</v>
      </c>
      <c r="M22" s="1314">
        <v>14</v>
      </c>
      <c r="N22" s="1314"/>
      <c r="O22" s="1311"/>
      <c r="P22" s="1311"/>
      <c r="Q22" s="1311"/>
      <c r="R22" s="1311"/>
      <c r="S22" s="1311"/>
      <c r="T22" s="1311"/>
      <c r="U22" s="1311"/>
      <c r="V22" s="1311"/>
      <c r="W22" s="1311"/>
      <c r="X22" s="1311"/>
      <c r="Y22" s="1311"/>
      <c r="Z22" s="1311"/>
    </row>
    <row r="23" spans="1:26" x14ac:dyDescent="0.25">
      <c r="A23" s="791" t="s">
        <v>1371</v>
      </c>
      <c r="B23" s="791"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12)</f>
        <v>F12</v>
      </c>
      <c r="C23" s="791"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13)</f>
        <v>F13</v>
      </c>
      <c r="D23" s="791" t="s">
        <v>1350</v>
      </c>
      <c r="E23" s="791" t="s">
        <v>1351</v>
      </c>
      <c r="F23" s="791" t="s">
        <v>1371</v>
      </c>
      <c r="G23" s="791" t="s">
        <v>134</v>
      </c>
      <c r="H23" s="791" t="s">
        <v>1368</v>
      </c>
      <c r="I23" s="1274" t="str">
        <f t="shared" si="3"/>
        <v>Minimum per Case Markup</v>
      </c>
      <c r="J23" s="1314" t="str">
        <f t="shared" si="5"/>
        <v>F15</v>
      </c>
      <c r="K23" s="1314" t="str">
        <f t="shared" si="4"/>
        <v>Agreement Worksheet</v>
      </c>
      <c r="L23" s="791" t="s">
        <v>1371</v>
      </c>
      <c r="M23" s="1314">
        <v>15</v>
      </c>
      <c r="N23" s="1314"/>
      <c r="O23" s="1311"/>
      <c r="P23" s="1311"/>
      <c r="Q23" s="1311"/>
      <c r="R23" s="1311"/>
      <c r="S23" s="1311"/>
      <c r="T23" s="1311"/>
      <c r="U23" s="1311"/>
      <c r="V23" s="1311"/>
      <c r="W23" s="1311"/>
      <c r="X23" s="1311"/>
      <c r="Y23" s="1311"/>
      <c r="Z23" s="1311"/>
    </row>
    <row r="24" spans="1:26" x14ac:dyDescent="0.25">
      <c r="A24" s="791" t="s">
        <v>1231</v>
      </c>
      <c r="B24" s="791"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12)</f>
        <v>G12</v>
      </c>
      <c r="C24" s="791"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13)</f>
        <v>G13</v>
      </c>
      <c r="D24" s="791" t="s">
        <v>1350</v>
      </c>
      <c r="E24" s="791" t="s">
        <v>1351</v>
      </c>
      <c r="F24" s="791" t="s">
        <v>1372</v>
      </c>
      <c r="G24" s="791" t="s">
        <v>657</v>
      </c>
      <c r="H24" s="791" t="s">
        <v>1368</v>
      </c>
      <c r="I24" s="1274" t="str">
        <f t="shared" si="3"/>
        <v>Special Order Product Surcharge Amount</v>
      </c>
      <c r="J24" s="1314" t="str">
        <f t="shared" si="5"/>
        <v>F16</v>
      </c>
      <c r="K24" s="1314" t="str">
        <f t="shared" si="4"/>
        <v>Agreement Worksheet</v>
      </c>
      <c r="L24" s="791" t="s">
        <v>1231</v>
      </c>
      <c r="M24" s="1314">
        <v>16</v>
      </c>
      <c r="N24" s="1314"/>
      <c r="O24" s="1311"/>
      <c r="P24" s="1311"/>
      <c r="Q24" s="1311"/>
      <c r="R24" s="1311"/>
      <c r="S24" s="1311"/>
      <c r="T24" s="1311"/>
      <c r="U24" s="1311"/>
      <c r="V24" s="1311"/>
      <c r="W24" s="1311"/>
      <c r="X24" s="1311"/>
      <c r="Y24" s="1311"/>
      <c r="Z24" s="1311"/>
    </row>
    <row r="25" spans="1:26" ht="30" x14ac:dyDescent="0.25">
      <c r="A25" s="791" t="s">
        <v>1232</v>
      </c>
      <c r="B25" s="791"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12)</f>
        <v>H12</v>
      </c>
      <c r="C25" s="791"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13)</f>
        <v>H13</v>
      </c>
      <c r="D25" s="791" t="s">
        <v>1350</v>
      </c>
      <c r="E25" s="791" t="s">
        <v>1351</v>
      </c>
      <c r="F25" s="791" t="s">
        <v>1232</v>
      </c>
      <c r="G25" s="791" t="s">
        <v>240</v>
      </c>
      <c r="H25" s="791" t="s">
        <v>1368</v>
      </c>
      <c r="I25" s="1274" t="str">
        <f t="shared" si="3"/>
        <v>Special Order Products Surcharge Amount Type Code</v>
      </c>
      <c r="J25" s="1314" t="str">
        <f t="shared" si="5"/>
        <v>F17</v>
      </c>
      <c r="K25" s="1314" t="str">
        <f t="shared" si="4"/>
        <v>Agreement Worksheet</v>
      </c>
      <c r="L25" s="791" t="s">
        <v>1232</v>
      </c>
      <c r="M25" s="1314">
        <v>17</v>
      </c>
      <c r="N25" s="1314"/>
      <c r="O25" s="1311"/>
      <c r="P25" s="1311"/>
      <c r="Q25" s="1311"/>
      <c r="R25" s="1311"/>
      <c r="S25" s="1311"/>
      <c r="T25" s="1311"/>
      <c r="U25" s="1311"/>
      <c r="V25" s="1311"/>
      <c r="W25" s="1311"/>
      <c r="X25" s="1311"/>
      <c r="Y25" s="1311"/>
      <c r="Z25" s="1311"/>
    </row>
    <row r="26" spans="1:26" x14ac:dyDescent="0.25">
      <c r="A26" s="791" t="s">
        <v>1219</v>
      </c>
      <c r="B26" s="791"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9)</f>
        <v>G9</v>
      </c>
      <c r="C26" s="791"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10)</f>
        <v>G10</v>
      </c>
      <c r="D26" s="791" t="s">
        <v>1350</v>
      </c>
      <c r="E26" s="791" t="s">
        <v>1351</v>
      </c>
      <c r="F26" s="791" t="s">
        <v>1219</v>
      </c>
      <c r="G26" s="791" t="s">
        <v>1365</v>
      </c>
      <c r="H26" s="791" t="s">
        <v>1368</v>
      </c>
      <c r="I26" s="1274" t="str">
        <f t="shared" si="3"/>
        <v>Primary Form of Payment</v>
      </c>
      <c r="J26" s="1314" t="str">
        <f t="shared" si="5"/>
        <v>F11</v>
      </c>
      <c r="K26" s="1314" t="str">
        <f t="shared" si="4"/>
        <v>Agreement Worksheet</v>
      </c>
      <c r="L26" s="791" t="s">
        <v>1219</v>
      </c>
      <c r="M26" s="1314">
        <v>11</v>
      </c>
      <c r="N26" s="1314"/>
      <c r="O26" s="1311"/>
      <c r="P26" s="1311"/>
      <c r="Q26" s="1311"/>
      <c r="R26" s="1311"/>
      <c r="S26" s="1311"/>
      <c r="T26" s="1311"/>
      <c r="U26" s="1311"/>
      <c r="V26" s="1311"/>
      <c r="W26" s="1311"/>
      <c r="X26" s="1311"/>
      <c r="Y26" s="1311"/>
      <c r="Z26" s="1311"/>
    </row>
    <row r="27" spans="1:26" x14ac:dyDescent="0.25">
      <c r="A27" s="791" t="s">
        <v>1233</v>
      </c>
      <c r="B27" s="791"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12)</f>
        <v>I12</v>
      </c>
      <c r="C27" s="791"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13)</f>
        <v>I13</v>
      </c>
      <c r="D27" s="791" t="s">
        <v>1350</v>
      </c>
      <c r="E27" s="791" t="s">
        <v>1351</v>
      </c>
      <c r="F27" s="791" t="s">
        <v>1233</v>
      </c>
      <c r="G27" s="791" t="s">
        <v>1373</v>
      </c>
      <c r="H27" s="791" t="s">
        <v>1368</v>
      </c>
      <c r="I27" s="1274" t="str">
        <f t="shared" si="3"/>
        <v/>
      </c>
      <c r="J27" s="1314" t="str">
        <f t="shared" si="5"/>
        <v/>
      </c>
      <c r="K27" s="1314" t="str">
        <f t="shared" si="4"/>
        <v/>
      </c>
      <c r="L27" s="1314"/>
      <c r="M27" s="1314"/>
      <c r="N27" s="1314"/>
      <c r="O27" s="1311"/>
      <c r="P27" s="1311"/>
      <c r="Q27" s="1311"/>
      <c r="R27" s="1311"/>
      <c r="S27" s="1311"/>
      <c r="T27" s="1311"/>
      <c r="U27" s="1311"/>
      <c r="V27" s="1311"/>
      <c r="W27" s="1311"/>
      <c r="X27" s="1311"/>
      <c r="Y27" s="1311"/>
      <c r="Z27" s="1311"/>
    </row>
    <row r="28" spans="1:26" x14ac:dyDescent="0.25">
      <c r="A28" s="791" t="s">
        <v>1266</v>
      </c>
      <c r="B28" s="791" t="str">
        <f ca="1">_xlfn.CONCAT(IFERROR(SUBSTITUTE(ADDRESS(1,MATCH(A28,INDIRECT("'"&amp;E28&amp;"'"&amp;"!A4:Z4"),0),4),1,""),""),4)</f>
        <v>C4</v>
      </c>
      <c r="C28" s="791" t="str">
        <f ca="1">_xlfn.CONCAT(IFERROR(SUBSTITUTE(ADDRESS(1,MATCH(A28,INDIRECT("'"&amp;E28&amp;"'"&amp;"!A4:Z4"),0),4),1,""),""),5)</f>
        <v>C5</v>
      </c>
      <c r="D28" s="791" t="s">
        <v>1350</v>
      </c>
      <c r="E28" s="791" t="s">
        <v>1279</v>
      </c>
      <c r="F28" s="791" t="s">
        <v>1266</v>
      </c>
      <c r="G28" s="791" t="s">
        <v>1353</v>
      </c>
      <c r="H28" s="791" t="s">
        <v>1264</v>
      </c>
      <c r="I28" s="1274" t="str">
        <f t="shared" si="3"/>
        <v xml:space="preserve">Cost Basis </v>
      </c>
      <c r="J28" s="1314" t="str">
        <f t="shared" si="5"/>
        <v>F244</v>
      </c>
      <c r="K28" s="1314" t="str">
        <f t="shared" si="4"/>
        <v>Pricing Schedule</v>
      </c>
      <c r="L28" s="826" t="s">
        <v>1440</v>
      </c>
      <c r="M28" s="1314">
        <v>244</v>
      </c>
      <c r="N28" s="1314"/>
      <c r="O28" s="1311"/>
      <c r="P28" s="1311"/>
      <c r="Q28" s="1311"/>
      <c r="R28" s="1311"/>
      <c r="S28" s="1311"/>
      <c r="T28" s="1311"/>
      <c r="U28" s="1311"/>
      <c r="V28" s="1311"/>
      <c r="W28" s="1311"/>
      <c r="X28" s="1311"/>
      <c r="Y28" s="1311"/>
      <c r="Z28" s="1311"/>
    </row>
    <row r="29" spans="1:26" x14ac:dyDescent="0.25">
      <c r="A29" s="791" t="s">
        <v>1377</v>
      </c>
      <c r="B29" s="791" t="str">
        <f ca="1">_xlfn.CONCAT(IFERROR(SUBSTITUTE(ADDRESS(1,MATCH(A29,INDIRECT("'"&amp;E29&amp;"'"&amp;"!A4:Z4"),0),4),1,""),""),4)</f>
        <v>D4</v>
      </c>
      <c r="C29" s="791" t="str">
        <f ca="1">_xlfn.CONCAT(IFERROR(SUBSTITUTE(ADDRESS(1,MATCH(A29,INDIRECT("'"&amp;E29&amp;"'"&amp;"!A4:Z4"),0),4),1,""),""),5)</f>
        <v>D5</v>
      </c>
      <c r="D29" s="791" t="s">
        <v>1350</v>
      </c>
      <c r="E29" s="791" t="s">
        <v>1279</v>
      </c>
      <c r="F29" s="791" t="s">
        <v>1377</v>
      </c>
      <c r="G29" s="791" t="s">
        <v>1355</v>
      </c>
      <c r="H29" s="791" t="s">
        <v>1264</v>
      </c>
      <c r="I29" s="1274" t="str">
        <f t="shared" si="3"/>
        <v>Margin Basis Code</v>
      </c>
      <c r="J29" s="1314" t="str">
        <f t="shared" si="5"/>
        <v>F245</v>
      </c>
      <c r="K29" s="1314" t="str">
        <f t="shared" si="4"/>
        <v>Pricing Schedule</v>
      </c>
      <c r="L29" s="826" t="s">
        <v>1377</v>
      </c>
      <c r="M29" s="1314">
        <v>245</v>
      </c>
      <c r="N29" s="1314"/>
      <c r="O29" s="1311"/>
      <c r="P29" s="1311"/>
      <c r="Q29" s="1311"/>
      <c r="R29" s="1311"/>
      <c r="S29" s="1311"/>
      <c r="T29" s="1311"/>
      <c r="U29" s="1311"/>
      <c r="V29" s="1311"/>
      <c r="W29" s="1311"/>
      <c r="X29" s="1311"/>
      <c r="Y29" s="1311"/>
      <c r="Z29" s="1311"/>
    </row>
    <row r="30" spans="1:26" x14ac:dyDescent="0.25">
      <c r="A30" s="791" t="s">
        <v>1267</v>
      </c>
      <c r="B30" s="791" t="str">
        <f ca="1">_xlfn.CONCAT(IFERROR(SUBSTITUTE(ADDRESS(1,MATCH(A30,INDIRECT("'"&amp;E30&amp;"'"&amp;"!A4:Z4"),0),4),1,""),""),4)</f>
        <v>E4</v>
      </c>
      <c r="C30" s="791" t="str">
        <f ca="1">_xlfn.CONCAT(IFERROR(SUBSTITUTE(ADDRESS(1,MATCH(A30,INDIRECT("'"&amp;E30&amp;"'"&amp;"!A4:Z4"),0),4),1,""),""),5)</f>
        <v>E5</v>
      </c>
      <c r="D30" s="791" t="s">
        <v>1350</v>
      </c>
      <c r="E30" s="791" t="s">
        <v>1279</v>
      </c>
      <c r="F30" s="791" t="s">
        <v>1267</v>
      </c>
      <c r="G30" s="791" t="s">
        <v>1370</v>
      </c>
      <c r="H30" s="791" t="s">
        <v>1264</v>
      </c>
      <c r="I30" s="1274" t="str">
        <f t="shared" si="3"/>
        <v>Margin Calculation Code</v>
      </c>
      <c r="J30" s="1314" t="str">
        <f t="shared" si="5"/>
        <v>F246</v>
      </c>
      <c r="K30" s="1314" t="str">
        <f t="shared" si="4"/>
        <v>Pricing Schedule</v>
      </c>
      <c r="L30" s="826" t="s">
        <v>1267</v>
      </c>
      <c r="M30" s="1314">
        <v>246</v>
      </c>
      <c r="N30" s="1314"/>
      <c r="O30" s="1311"/>
      <c r="P30" s="1311"/>
      <c r="Q30" s="1311"/>
      <c r="R30" s="1311"/>
      <c r="S30" s="1311"/>
      <c r="T30" s="1311"/>
      <c r="U30" s="1311"/>
      <c r="V30" s="1311"/>
      <c r="W30" s="1311"/>
      <c r="X30" s="1311"/>
      <c r="Y30" s="1311"/>
      <c r="Z30" s="1311"/>
    </row>
    <row r="31" spans="1:26" x14ac:dyDescent="0.25">
      <c r="A31" s="791" t="s">
        <v>1469</v>
      </c>
      <c r="B31" s="791" t="str">
        <f>IFERROR(_xlfn.CONCAT("C",MATCH(A31,Welcome!C$1:C$60,0)),"")</f>
        <v>C24</v>
      </c>
      <c r="C31" s="791" t="str">
        <f>IFERROR(_xlfn.CONCAT("D",MATCH(A31,Welcome!C$1:C$61,0)),"")</f>
        <v>D24</v>
      </c>
      <c r="D31" s="791" t="s">
        <v>1350</v>
      </c>
      <c r="E31" s="791" t="s">
        <v>1374</v>
      </c>
      <c r="F31" s="791" t="s">
        <v>1375</v>
      </c>
      <c r="G31" s="791" t="s">
        <v>1376</v>
      </c>
      <c r="H31" s="791" t="s">
        <v>1368</v>
      </c>
      <c r="I31" s="1274" t="str">
        <f t="shared" si="3"/>
        <v>Proprietary Slots Additional Markup:</v>
      </c>
      <c r="J31" s="1314" t="str">
        <f t="shared" si="5"/>
        <v>F28</v>
      </c>
      <c r="K31" s="1314" t="str">
        <f t="shared" si="4"/>
        <v>Welcome</v>
      </c>
      <c r="L31" s="1314" t="s">
        <v>1425</v>
      </c>
      <c r="M31" s="1314">
        <v>28</v>
      </c>
      <c r="N31" s="1314"/>
      <c r="O31" s="1311"/>
      <c r="P31" s="1311"/>
      <c r="Q31" s="1311"/>
      <c r="R31" s="1311"/>
      <c r="S31" s="1311"/>
      <c r="T31" s="1311"/>
      <c r="U31" s="1311"/>
      <c r="V31" s="1311"/>
      <c r="W31" s="1311"/>
      <c r="X31" s="1311"/>
      <c r="Y31" s="1311"/>
      <c r="Z31" s="1311"/>
    </row>
    <row r="32" spans="1:26" x14ac:dyDescent="0.25">
      <c r="A32" s="791" t="s">
        <v>243</v>
      </c>
      <c r="B32" s="791" t="str">
        <f t="shared" ref="B32:B37" ca="1" si="6">_xlfn.CONCAT(IFERROR(SUBSTITUTE(ADDRESS(1,MATCH(A32,INDIRECT("'"&amp;E32&amp;"'"&amp;"!A29:Z29"),0),4),1,""),""),29)</f>
        <v>C29</v>
      </c>
      <c r="C32" s="791" t="str">
        <f t="shared" ref="C32:C37" ca="1" si="7">_xlfn.CONCAT(IFERROR(SUBSTITUTE(ADDRESS(1,MATCH(A32,INDIRECT("'"&amp;E32&amp;"'"&amp;"!A29:Z29"),0),4),1,""),""),30)</f>
        <v>C30</v>
      </c>
      <c r="D32" s="791" t="s">
        <v>1350</v>
      </c>
      <c r="E32" s="791" t="s">
        <v>1374</v>
      </c>
      <c r="F32" s="791"/>
      <c r="G32" s="791"/>
      <c r="H32" s="791"/>
      <c r="I32" s="1274" t="str">
        <f t="shared" si="3"/>
        <v/>
      </c>
      <c r="J32" s="1314" t="str">
        <f t="shared" si="5"/>
        <v/>
      </c>
      <c r="K32" s="1314" t="str">
        <f t="shared" si="4"/>
        <v/>
      </c>
      <c r="L32" s="1314"/>
      <c r="M32" s="1314"/>
      <c r="N32" s="1314"/>
      <c r="O32" s="1311"/>
      <c r="P32" s="1311"/>
      <c r="Q32" s="1311"/>
      <c r="R32" s="1311"/>
      <c r="S32" s="1311"/>
      <c r="T32" s="1311"/>
      <c r="U32" s="1311"/>
      <c r="V32" s="1311"/>
      <c r="W32" s="1311"/>
      <c r="X32" s="1311"/>
      <c r="Y32" s="1311"/>
      <c r="Z32" s="1311"/>
    </row>
    <row r="33" spans="1:26" ht="30" x14ac:dyDescent="0.25">
      <c r="A33" s="791" t="s">
        <v>264</v>
      </c>
      <c r="B33" s="791" t="str">
        <f t="shared" ca="1" si="6"/>
        <v>G29</v>
      </c>
      <c r="C33" s="791" t="str">
        <f t="shared" ca="1" si="7"/>
        <v>G30</v>
      </c>
      <c r="D33" s="791" t="s">
        <v>1350</v>
      </c>
      <c r="E33" s="791" t="s">
        <v>1374</v>
      </c>
      <c r="F33" s="791" t="s">
        <v>264</v>
      </c>
      <c r="G33" s="791" t="s">
        <v>1355</v>
      </c>
      <c r="H33" s="791" t="s">
        <v>2078</v>
      </c>
      <c r="I33" s="1274" t="str">
        <f t="shared" si="3"/>
        <v/>
      </c>
      <c r="J33" s="1314" t="str">
        <f t="shared" si="5"/>
        <v/>
      </c>
      <c r="K33" s="1314" t="str">
        <f t="shared" si="4"/>
        <v/>
      </c>
      <c r="L33" s="1314"/>
      <c r="M33" s="1314"/>
      <c r="N33" s="1314"/>
      <c r="O33" s="1311"/>
      <c r="P33" s="1311"/>
      <c r="Q33" s="1311"/>
      <c r="R33" s="1311"/>
      <c r="S33" s="1311"/>
      <c r="T33" s="1311"/>
      <c r="U33" s="1311"/>
      <c r="V33" s="1311"/>
      <c r="W33" s="1311"/>
      <c r="X33" s="1311"/>
      <c r="Y33" s="1311"/>
      <c r="Z33" s="1311"/>
    </row>
    <row r="34" spans="1:26" ht="30" x14ac:dyDescent="0.25">
      <c r="A34" s="791" t="s">
        <v>651</v>
      </c>
      <c r="B34" s="791" t="str">
        <f t="shared" ca="1" si="6"/>
        <v>D29</v>
      </c>
      <c r="C34" s="791" t="str">
        <f t="shared" ca="1" si="7"/>
        <v>D30</v>
      </c>
      <c r="D34" s="791" t="s">
        <v>1350</v>
      </c>
      <c r="E34" s="791" t="s">
        <v>1374</v>
      </c>
      <c r="F34" s="791" t="s">
        <v>651</v>
      </c>
      <c r="G34" s="791" t="s">
        <v>1370</v>
      </c>
      <c r="H34" s="791" t="s">
        <v>2078</v>
      </c>
      <c r="I34" s="1274" t="str">
        <f t="shared" si="3"/>
        <v>Dry</v>
      </c>
      <c r="J34" s="1314" t="str">
        <f t="shared" si="5"/>
        <v>F29</v>
      </c>
      <c r="K34" s="1314" t="str">
        <f t="shared" si="4"/>
        <v>Welcome</v>
      </c>
      <c r="L34" s="1314" t="s">
        <v>651</v>
      </c>
      <c r="M34" s="1314">
        <v>29</v>
      </c>
      <c r="N34" s="1314"/>
      <c r="O34" s="1311"/>
      <c r="P34" s="1311"/>
      <c r="Q34" s="1311"/>
      <c r="R34" s="1311"/>
      <c r="S34" s="1311"/>
      <c r="T34" s="1311"/>
      <c r="U34" s="1311"/>
      <c r="V34" s="1311"/>
      <c r="W34" s="1311"/>
      <c r="X34" s="1311"/>
      <c r="Y34" s="1311"/>
      <c r="Z34" s="1311"/>
    </row>
    <row r="35" spans="1:26" ht="30" x14ac:dyDescent="0.25">
      <c r="A35" s="791" t="s">
        <v>1158</v>
      </c>
      <c r="B35" s="791" t="str">
        <f t="shared" ca="1" si="6"/>
        <v>E29</v>
      </c>
      <c r="C35" s="791" t="str">
        <f t="shared" ca="1" si="7"/>
        <v>E30</v>
      </c>
      <c r="D35" s="791" t="s">
        <v>1350</v>
      </c>
      <c r="E35" s="791" t="s">
        <v>1374</v>
      </c>
      <c r="F35" s="791" t="s">
        <v>1158</v>
      </c>
      <c r="G35" s="791" t="s">
        <v>656</v>
      </c>
      <c r="H35" s="791" t="s">
        <v>2078</v>
      </c>
      <c r="I35" s="1274" t="str">
        <f t="shared" si="3"/>
        <v>Frozen</v>
      </c>
      <c r="J35" s="1314" t="str">
        <f t="shared" si="5"/>
        <v>F30</v>
      </c>
      <c r="K35" s="1314" t="str">
        <f t="shared" si="4"/>
        <v>Welcome</v>
      </c>
      <c r="L35" s="1314" t="s">
        <v>1158</v>
      </c>
      <c r="M35" s="1314">
        <v>30</v>
      </c>
      <c r="N35" s="1314"/>
      <c r="O35" s="1311"/>
      <c r="P35" s="1311"/>
      <c r="Q35" s="1311"/>
      <c r="R35" s="1311"/>
      <c r="S35" s="1311"/>
      <c r="T35" s="1311"/>
      <c r="U35" s="1311"/>
      <c r="V35" s="1311"/>
      <c r="W35" s="1311"/>
      <c r="X35" s="1311"/>
      <c r="Y35" s="1311"/>
      <c r="Z35" s="1311"/>
    </row>
    <row r="36" spans="1:26" ht="30" x14ac:dyDescent="0.25">
      <c r="A36" s="791" t="s">
        <v>1159</v>
      </c>
      <c r="B36" s="791" t="str">
        <f t="shared" ca="1" si="6"/>
        <v>F29</v>
      </c>
      <c r="C36" s="791" t="str">
        <f t="shared" ca="1" si="7"/>
        <v>F30</v>
      </c>
      <c r="D36" s="791" t="s">
        <v>1350</v>
      </c>
      <c r="E36" s="791" t="s">
        <v>1374</v>
      </c>
      <c r="F36" s="791" t="s">
        <v>1159</v>
      </c>
      <c r="G36" s="791" t="s">
        <v>1356</v>
      </c>
      <c r="H36" s="791" t="s">
        <v>2078</v>
      </c>
      <c r="I36" s="1274" t="str">
        <f t="shared" si="3"/>
        <v>Refrigerated</v>
      </c>
      <c r="J36" s="1314" t="str">
        <f t="shared" si="5"/>
        <v>F31</v>
      </c>
      <c r="K36" s="1314" t="str">
        <f t="shared" si="4"/>
        <v>Welcome</v>
      </c>
      <c r="L36" s="1314" t="s">
        <v>1159</v>
      </c>
      <c r="M36" s="1314">
        <v>31</v>
      </c>
      <c r="N36" s="1314"/>
      <c r="O36" s="1311"/>
      <c r="P36" s="1311"/>
      <c r="Q36" s="1311"/>
      <c r="R36" s="1311"/>
      <c r="S36" s="1311"/>
      <c r="T36" s="1311"/>
      <c r="U36" s="1311"/>
      <c r="V36" s="1311"/>
      <c r="W36" s="1311"/>
      <c r="X36" s="1311"/>
      <c r="Y36" s="1311"/>
      <c r="Z36" s="1311"/>
    </row>
    <row r="37" spans="1:26" ht="30" x14ac:dyDescent="0.25">
      <c r="A37" s="791" t="s">
        <v>1160</v>
      </c>
      <c r="B37" s="791" t="str">
        <f t="shared" ca="1" si="6"/>
        <v>H29</v>
      </c>
      <c r="C37" s="791" t="str">
        <f t="shared" ca="1" si="7"/>
        <v>H30</v>
      </c>
      <c r="D37" s="791" t="s">
        <v>1350</v>
      </c>
      <c r="E37" s="791" t="s">
        <v>1374</v>
      </c>
      <c r="F37" s="791" t="s">
        <v>1160</v>
      </c>
      <c r="G37" s="791" t="s">
        <v>1361</v>
      </c>
      <c r="H37" s="791" t="s">
        <v>2078</v>
      </c>
      <c r="I37" s="1274" t="str">
        <f t="shared" si="3"/>
        <v>Proprietary Inventory Turn</v>
      </c>
      <c r="J37" s="1314" t="str">
        <f t="shared" si="5"/>
        <v>F32</v>
      </c>
      <c r="K37" s="1314" t="str">
        <f t="shared" si="4"/>
        <v>Welcome</v>
      </c>
      <c r="L37" s="1314" t="s">
        <v>1160</v>
      </c>
      <c r="M37" s="1314">
        <v>32</v>
      </c>
      <c r="N37" s="1314"/>
      <c r="O37" s="1311"/>
      <c r="P37" s="1311"/>
      <c r="Q37" s="1311"/>
      <c r="R37" s="1311"/>
      <c r="S37" s="1311"/>
      <c r="T37" s="1311"/>
      <c r="U37" s="1311"/>
      <c r="V37" s="1311"/>
      <c r="W37" s="1311"/>
      <c r="X37" s="1311"/>
      <c r="Y37" s="1311"/>
      <c r="Z37" s="1311"/>
    </row>
    <row r="38" spans="1:26" x14ac:dyDescent="0.25">
      <c r="A38" s="791" t="s">
        <v>1177</v>
      </c>
      <c r="B38" s="791" t="str">
        <f>IFERROR(_xlfn.CONCAT("C",MATCH(A38,Welcome!C$1:C$60,0)),"")</f>
        <v>C10</v>
      </c>
      <c r="C38" s="791" t="str">
        <f>IFERROR(_xlfn.CONCAT("D",MATCH(A38,Welcome!C$1:C$61,0)),"")</f>
        <v>D10</v>
      </c>
      <c r="D38" s="791" t="s">
        <v>1350</v>
      </c>
      <c r="E38" s="791" t="s">
        <v>1374</v>
      </c>
      <c r="F38" s="791"/>
      <c r="G38" s="791"/>
      <c r="H38" s="791"/>
      <c r="I38" s="1274" t="str">
        <f t="shared" si="3"/>
        <v>Agreement Classification:</v>
      </c>
      <c r="J38" s="1314" t="str">
        <f t="shared" si="5"/>
        <v>F5</v>
      </c>
      <c r="K38" s="1314" t="str">
        <f t="shared" si="4"/>
        <v>Welcome</v>
      </c>
      <c r="L38" s="1314" t="s">
        <v>1402</v>
      </c>
      <c r="M38" s="1314">
        <v>5</v>
      </c>
      <c r="N38" s="1314"/>
      <c r="O38" s="1311"/>
      <c r="P38" s="1311"/>
      <c r="Q38" s="1311"/>
      <c r="R38" s="1311"/>
      <c r="S38" s="1311"/>
      <c r="T38" s="1311"/>
      <c r="U38" s="1311"/>
      <c r="V38" s="1311"/>
      <c r="W38" s="1311"/>
      <c r="X38" s="1311"/>
      <c r="Y38" s="1311"/>
      <c r="Z38" s="1311"/>
    </row>
    <row r="39" spans="1:26" x14ac:dyDescent="0.25">
      <c r="A39" s="791" t="s">
        <v>1398</v>
      </c>
      <c r="B39" s="791" t="str">
        <f>IFERROR(_xlfn.CONCAT("C",MATCH(A39,Welcome!C$1:C$60,0)),"")</f>
        <v>C16</v>
      </c>
      <c r="C39" s="791" t="str">
        <f>IFERROR(_xlfn.CONCAT("D",MATCH(A39,Welcome!C$1:C$61,0)),"")</f>
        <v>D16</v>
      </c>
      <c r="D39" s="791" t="s">
        <v>1350</v>
      </c>
      <c r="E39" s="791" t="s">
        <v>1374</v>
      </c>
      <c r="F39" s="791" t="s">
        <v>1403</v>
      </c>
      <c r="G39" s="791" t="s">
        <v>1356</v>
      </c>
      <c r="H39" s="791" t="s">
        <v>1783</v>
      </c>
      <c r="I39" s="1274" t="str">
        <f t="shared" si="3"/>
        <v>Initial Agreement Terms:</v>
      </c>
      <c r="J39" s="1314" t="str">
        <f t="shared" si="5"/>
        <v>F6</v>
      </c>
      <c r="K39" s="1314" t="str">
        <f t="shared" si="4"/>
        <v>Welcome</v>
      </c>
      <c r="L39" s="1314" t="s">
        <v>1403</v>
      </c>
      <c r="M39" s="1314">
        <v>6</v>
      </c>
      <c r="N39" s="1314"/>
      <c r="O39" s="1311"/>
      <c r="P39" s="1311"/>
      <c r="Q39" s="1311"/>
      <c r="R39" s="1311"/>
      <c r="S39" s="1311"/>
      <c r="T39" s="1311"/>
      <c r="U39" s="1311"/>
      <c r="V39" s="1311"/>
      <c r="W39" s="1311"/>
      <c r="X39" s="1311"/>
      <c r="Y39" s="1311"/>
      <c r="Z39" s="1311"/>
    </row>
    <row r="40" spans="1:26" x14ac:dyDescent="0.25">
      <c r="A40" s="791" t="s">
        <v>1399</v>
      </c>
      <c r="B40" s="791" t="str">
        <f>IFERROR(_xlfn.CONCAT("C",MATCH(A40,Welcome!C$1:C$60,0)),"")</f>
        <v>C20</v>
      </c>
      <c r="C40" s="791" t="str">
        <f>IFERROR(_xlfn.CONCAT("D",MATCH(A40,Welcome!C$1:C$61,0)),"")</f>
        <v>D20</v>
      </c>
      <c r="D40" s="791" t="s">
        <v>1350</v>
      </c>
      <c r="E40" s="791" t="s">
        <v>1374</v>
      </c>
      <c r="F40" s="52" t="s">
        <v>1822</v>
      </c>
      <c r="G40" s="791" t="s">
        <v>1809</v>
      </c>
      <c r="H40" s="791" t="s">
        <v>1783</v>
      </c>
      <c r="I40" s="1274" t="str">
        <f t="shared" si="3"/>
        <v>Credit Card Payment:</v>
      </c>
      <c r="J40" s="1314" t="str">
        <f t="shared" si="5"/>
        <v>F26</v>
      </c>
      <c r="K40" s="1314" t="str">
        <f t="shared" si="4"/>
        <v>Welcome</v>
      </c>
      <c r="L40" s="1314" t="s">
        <v>1404</v>
      </c>
      <c r="M40" s="1314">
        <v>26</v>
      </c>
      <c r="N40" s="1314"/>
      <c r="O40" s="1311"/>
      <c r="P40" s="1311"/>
      <c r="Q40" s="1311"/>
      <c r="R40" s="1311"/>
      <c r="S40" s="1311"/>
      <c r="T40" s="1311"/>
      <c r="U40" s="1311"/>
      <c r="V40" s="1311"/>
      <c r="W40" s="1311"/>
      <c r="X40" s="1311"/>
      <c r="Y40" s="1311"/>
      <c r="Z40" s="1311"/>
    </row>
    <row r="41" spans="1:26" x14ac:dyDescent="0.25">
      <c r="A41" s="791" t="s">
        <v>1400</v>
      </c>
      <c r="B41" s="791" t="str">
        <f>IFERROR(_xlfn.CONCAT("C",MATCH(A41,Welcome!C$1:C$60,0)),"")</f>
        <v>C22</v>
      </c>
      <c r="C41" s="791" t="str">
        <f>IFERROR(_xlfn.CONCAT("D",MATCH(A41,Welcome!C$1:C$61,0)),"")</f>
        <v>D22</v>
      </c>
      <c r="D41" s="791" t="s">
        <v>1350</v>
      </c>
      <c r="E41" s="791" t="s">
        <v>1374</v>
      </c>
      <c r="F41" s="791" t="s">
        <v>1405</v>
      </c>
      <c r="G41" s="791" t="s">
        <v>1819</v>
      </c>
      <c r="H41" s="791" t="s">
        <v>1783</v>
      </c>
      <c r="I41" s="1274" t="str">
        <f t="shared" si="3"/>
        <v>Proprietary Slots Included Flag:</v>
      </c>
      <c r="J41" s="1314" t="str">
        <f t="shared" si="5"/>
        <v>F27</v>
      </c>
      <c r="K41" s="1314" t="str">
        <f t="shared" si="4"/>
        <v>Welcome</v>
      </c>
      <c r="L41" s="1314" t="s">
        <v>1405</v>
      </c>
      <c r="M41" s="1314">
        <v>27</v>
      </c>
      <c r="N41" s="1314"/>
      <c r="O41" s="1311"/>
      <c r="P41" s="1311"/>
      <c r="Q41" s="1311"/>
      <c r="R41" s="1311"/>
      <c r="S41" s="1311"/>
      <c r="T41" s="1311"/>
      <c r="U41" s="1311"/>
      <c r="V41" s="1311"/>
      <c r="W41" s="1311"/>
      <c r="X41" s="1311"/>
      <c r="Y41" s="1311"/>
      <c r="Z41" s="1311"/>
    </row>
    <row r="42" spans="1:26" x14ac:dyDescent="0.25">
      <c r="A42" s="791" t="s">
        <v>1467</v>
      </c>
      <c r="B42" s="1274" t="str">
        <f>IFERROR(_xlfn.CONCAT("C",MATCH(A42,Welcome!C$1:C$60,0)),"")</f>
        <v>C18</v>
      </c>
      <c r="C42" s="1274" t="str">
        <f>IFERROR(_xlfn.CONCAT("D",MATCH(A42,Welcome!C$1:C$61,0)),"")</f>
        <v>D18</v>
      </c>
      <c r="D42" s="791" t="s">
        <v>1350</v>
      </c>
      <c r="E42" s="791" t="s">
        <v>1374</v>
      </c>
      <c r="F42" s="791" t="s">
        <v>1969</v>
      </c>
      <c r="G42" s="791" t="s">
        <v>1970</v>
      </c>
      <c r="H42" s="791" t="s">
        <v>1927</v>
      </c>
      <c r="I42" s="1274" t="str">
        <f t="shared" si="3"/>
        <v># of Locations:</v>
      </c>
      <c r="J42" s="1314" t="str">
        <f t="shared" si="5"/>
        <v>F33</v>
      </c>
      <c r="K42" s="1314" t="str">
        <f t="shared" si="4"/>
        <v>Welcome</v>
      </c>
      <c r="L42" s="1314" t="s">
        <v>1471</v>
      </c>
      <c r="M42" s="1314">
        <v>33</v>
      </c>
      <c r="N42" s="1314"/>
      <c r="O42" s="1311"/>
      <c r="P42" s="1311"/>
      <c r="Q42" s="1311"/>
      <c r="R42" s="1311"/>
      <c r="S42" s="1311"/>
      <c r="T42" s="1311"/>
      <c r="U42" s="1311"/>
      <c r="V42" s="1311"/>
      <c r="W42" s="1311"/>
      <c r="X42" s="1311"/>
      <c r="Y42" s="1311"/>
      <c r="Z42" s="1311"/>
    </row>
    <row r="43" spans="1:26" x14ac:dyDescent="0.25">
      <c r="A43" s="835" t="s">
        <v>1182</v>
      </c>
      <c r="B43" s="791" t="str">
        <f ca="1">_xlfn.IFNA(_xlfn.CONCAT(SUBSTITUTE(ADDRESS(1,MATCH(A43,INDIRECT("'"&amp;E43&amp;"'"&amp;"!A5:Z5"),0),4),1,""),6),"")</f>
        <v>H6</v>
      </c>
      <c r="C43" s="791" t="str">
        <f ca="1">_xlfn.IFNA(SUBSTITUTE(ADDRESS(1,MATCH(A43,INDIRECT("'"&amp;E43&amp;"'"&amp;"!A5:Z5"),0),4),1,""),"")</f>
        <v>H</v>
      </c>
      <c r="D43" s="791" t="s">
        <v>1357</v>
      </c>
      <c r="E43" s="791" t="s">
        <v>870</v>
      </c>
      <c r="F43" s="791"/>
      <c r="G43" s="791"/>
      <c r="H43" s="791"/>
      <c r="I43" s="1274" t="str">
        <f t="shared" si="3"/>
        <v>Pyramid Segment</v>
      </c>
      <c r="J43" s="1314" t="str">
        <f>IF(AND(P1221="",M43&lt;&gt;""),Q$1&amp;M43,"")</f>
        <v>F35</v>
      </c>
      <c r="K43" s="1314" t="str">
        <f t="shared" si="4"/>
        <v>Customer Inputs</v>
      </c>
      <c r="L43" s="791" t="s">
        <v>1182</v>
      </c>
      <c r="M43" s="1314">
        <v>35</v>
      </c>
      <c r="N43" s="791"/>
      <c r="O43" s="1311"/>
      <c r="P43" s="1311"/>
      <c r="Q43" s="1311"/>
      <c r="R43" s="1311"/>
      <c r="S43" s="1311"/>
      <c r="T43" s="1311"/>
      <c r="U43" s="1311"/>
      <c r="V43" s="1311"/>
      <c r="W43" s="1311"/>
      <c r="X43" s="1311"/>
      <c r="Y43" s="1311"/>
      <c r="Z43" s="1311"/>
    </row>
    <row r="44" spans="1:26" x14ac:dyDescent="0.25">
      <c r="A44" s="836" t="s">
        <v>1262</v>
      </c>
      <c r="B44" s="791" t="str">
        <f ca="1">_xlfn.IFNA(_xlfn.CONCAT(SUBSTITUTE(ADDRESS(1,MATCH(A44,INDIRECT("'"&amp;E44&amp;"'"&amp;"!A5:Z5"),0),4),1,""),6),"")</f>
        <v>I6</v>
      </c>
      <c r="C44" s="791" t="str">
        <f ca="1">_xlfn.IFNA(SUBSTITUTE(ADDRESS(1,MATCH(A44,INDIRECT("'"&amp;E44&amp;"'"&amp;"!A5:Z5"),0),4),1,""),"")</f>
        <v>I</v>
      </c>
      <c r="D44" s="791" t="s">
        <v>1357</v>
      </c>
      <c r="E44" s="791" t="s">
        <v>870</v>
      </c>
      <c r="F44" s="791"/>
      <c r="G44" s="791"/>
      <c r="H44" s="791"/>
      <c r="I44" s="1274" t="str">
        <f t="shared" si="3"/>
        <v>Agreement Annual Purchase Commitment</v>
      </c>
      <c r="J44" s="1314" t="str">
        <f>Q$1&amp;IF(Q44&lt;&gt;"",M44,M46)</f>
        <v>F39</v>
      </c>
      <c r="K44" s="1314" t="str">
        <f t="shared" si="4"/>
        <v>Customer Inputs</v>
      </c>
      <c r="L44" s="52" t="s">
        <v>1262</v>
      </c>
      <c r="M44" s="1314">
        <v>37</v>
      </c>
      <c r="N44" s="791"/>
      <c r="O44" s="1311"/>
      <c r="P44" s="1311"/>
      <c r="Q44" s="1311"/>
      <c r="R44" s="1311"/>
      <c r="S44" s="1311"/>
      <c r="T44" s="1311"/>
      <c r="U44" s="1311"/>
      <c r="V44" s="1311"/>
      <c r="W44" s="1311"/>
      <c r="X44" s="1311"/>
      <c r="Y44" s="1311"/>
      <c r="Z44" s="1311"/>
    </row>
    <row r="45" spans="1:26" ht="30" x14ac:dyDescent="0.25">
      <c r="A45" s="835" t="s">
        <v>1263</v>
      </c>
      <c r="B45" s="791" t="str">
        <f ca="1">_xlfn.IFNA(_xlfn.CONCAT(SUBSTITUTE(ADDRESS(1,MATCH(A45,INDIRECT("'"&amp;E45&amp;"'"&amp;"!A5:Z5"),0),4),1,""),6),"")</f>
        <v>J6</v>
      </c>
      <c r="C45" s="791" t="str">
        <f ca="1">_xlfn.IFNA(SUBSTITUTE(ADDRESS(1,MATCH(A45,INDIRECT("'"&amp;E45&amp;"'"&amp;"!A5:Z5"),0),4),1,""),"")</f>
        <v>J</v>
      </c>
      <c r="D45" s="791" t="s">
        <v>1357</v>
      </c>
      <c r="E45" s="791" t="s">
        <v>870</v>
      </c>
      <c r="F45" s="791"/>
      <c r="G45" s="791"/>
      <c r="H45" s="791"/>
      <c r="I45" s="1274" t="str">
        <f t="shared" si="3"/>
        <v>Agreement Deliveries Per Customer Unit Per Week</v>
      </c>
      <c r="J45" s="1314" t="str">
        <f>Q$1&amp;IF(Q45&lt;&gt;"",M45,M47)</f>
        <v>F40</v>
      </c>
      <c r="K45" s="1314" t="str">
        <f t="shared" si="4"/>
        <v>Customer Inputs</v>
      </c>
      <c r="L45" s="791" t="s">
        <v>1263</v>
      </c>
      <c r="M45" s="1314">
        <v>38</v>
      </c>
      <c r="N45" s="791"/>
      <c r="O45" s="1311"/>
      <c r="P45" s="1311"/>
      <c r="Q45" s="1311"/>
      <c r="R45" s="1311"/>
      <c r="S45" s="1311"/>
      <c r="T45" s="1311"/>
      <c r="U45" s="1311"/>
      <c r="V45" s="1311"/>
      <c r="W45" s="1311"/>
      <c r="X45" s="1311"/>
      <c r="Y45" s="1311"/>
      <c r="Z45" s="1311"/>
    </row>
    <row r="46" spans="1:26" x14ac:dyDescent="0.25">
      <c r="A46" s="835" t="s">
        <v>1185</v>
      </c>
      <c r="B46" s="791" t="str">
        <f ca="1">IFERROR(_xlfn.CONCAT(IF('Customer Inputs'!$U$6="Existing",IF('Customer Inputs'!P6=0,SUBSTITUTE(ADDRESS(1,MATCH(O46,INDIRECT("'"&amp;E46&amp;"'"&amp;"!$A$5:$Z$5"),0),4),1,""),SUBSTITUTE(ADDRESS(1,MATCH(A46,INDIRECT("'"&amp;E46&amp;"'"&amp;"!A$5:Z$5"),0),4),1,"")),SUBSTITUTE(ADDRESS(1,MATCH(A46,INDIRECT("'"&amp;E46&amp;"'"&amp;"!A$5:Z$5"),0),4),1,"")),6),"")</f>
        <v>P6</v>
      </c>
      <c r="C46" s="791" t="str">
        <f ca="1">IFERROR(IF('Customer Inputs'!$U$6="Existing",IF('Customer Inputs'!P6=0,SUBSTITUTE(ADDRESS(1,MATCH(O46,INDIRECT("'"&amp;E46&amp;"'"&amp;"!$A$5:$Z$5"),0),4),1,""),SUBSTITUTE(ADDRESS(1,MATCH(A46,INDIRECT("'"&amp;E46&amp;"'"&amp;"!A$5:Z$5"),0),4),1,"")),SUBSTITUTE(ADDRESS(1,MATCH(A46,INDIRECT("'"&amp;E46&amp;"'"&amp;"!A$5:Z$5"),0),4),1,"")),"")</f>
        <v>P</v>
      </c>
      <c r="D46" s="791" t="s">
        <v>1357</v>
      </c>
      <c r="E46" s="791" t="s">
        <v>870</v>
      </c>
      <c r="F46" s="791"/>
      <c r="G46" s="791"/>
      <c r="H46" s="791"/>
      <c r="I46" s="1274" t="str">
        <f t="shared" si="3"/>
        <v/>
      </c>
      <c r="J46" s="1314"/>
      <c r="K46" s="1314" t="str">
        <f t="shared" si="4"/>
        <v/>
      </c>
      <c r="L46" s="791" t="s">
        <v>1185</v>
      </c>
      <c r="M46" s="1314">
        <v>39</v>
      </c>
      <c r="N46" s="791"/>
      <c r="O46" s="1311" t="s">
        <v>868</v>
      </c>
      <c r="P46" s="1311"/>
      <c r="Q46" s="1311"/>
      <c r="R46" s="1311"/>
      <c r="S46" s="1311"/>
      <c r="T46" s="1311"/>
      <c r="U46" s="1311"/>
      <c r="V46" s="1311"/>
      <c r="W46" s="1311"/>
      <c r="X46" s="1311"/>
      <c r="Y46" s="1311"/>
      <c r="Z46" s="1311"/>
    </row>
    <row r="47" spans="1:26" x14ac:dyDescent="0.25">
      <c r="A47" s="837" t="s">
        <v>1186</v>
      </c>
      <c r="B47" s="791" t="str">
        <f ca="1">IFERROR(_xlfn.CONCAT(IF('Customer Inputs'!$U$6="Existing",IF('Customer Inputs'!Q6=0,SUBSTITUTE(ADDRESS(1,MATCH(O47,INDIRECT("'"&amp;E47&amp;"'"&amp;"!$A$5:$Z$5"),0),4),1,""),SUBSTITUTE(ADDRESS(1,MATCH(A47,INDIRECT("'"&amp;E47&amp;"'"&amp;"!A$5:Z$5"),0),4),1,"")),SUBSTITUTE(ADDRESS(1,MATCH(A47,INDIRECT("'"&amp;E47&amp;"'"&amp;"!A$5:Z$5"),0),4),1,"")),6),"")</f>
        <v>Q6</v>
      </c>
      <c r="C47" s="791" t="str">
        <f ca="1">IFERROR(IF('Customer Inputs'!$U$6="Existing",IF('Customer Inputs'!Q6=0,SUBSTITUTE(ADDRESS(1,MATCH(O47,INDIRECT("'"&amp;E47&amp;"'"&amp;"!$A$5:$Z$5"),0),4),1,""),SUBSTITUTE(ADDRESS(1,MATCH(A47,INDIRECT("'"&amp;E47&amp;"'"&amp;"!A$5:Z$5"),0),4),1,"")),SUBSTITUTE(ADDRESS(1,MATCH(A47,INDIRECT("'"&amp;E47&amp;"'"&amp;"!A$5:Z$5"),0),4),1,"")),"")</f>
        <v>Q</v>
      </c>
      <c r="D47" s="791" t="s">
        <v>1357</v>
      </c>
      <c r="E47" s="791" t="s">
        <v>870</v>
      </c>
      <c r="F47" s="791"/>
      <c r="G47" s="791"/>
      <c r="H47" s="791"/>
      <c r="I47" s="1274" t="str">
        <f t="shared" si="3"/>
        <v/>
      </c>
      <c r="J47" s="1314"/>
      <c r="K47" s="1314" t="str">
        <f t="shared" si="4"/>
        <v/>
      </c>
      <c r="L47" s="825" t="s">
        <v>1186</v>
      </c>
      <c r="M47" s="1314">
        <v>40</v>
      </c>
      <c r="N47" s="791"/>
      <c r="O47" s="1311" t="s">
        <v>1183</v>
      </c>
      <c r="P47" s="1311"/>
      <c r="Q47" s="1311"/>
      <c r="R47" s="1311"/>
      <c r="S47" s="1311"/>
      <c r="T47" s="1311"/>
      <c r="U47" s="1311"/>
      <c r="V47" s="1311"/>
      <c r="W47" s="1311"/>
      <c r="X47" s="1311"/>
      <c r="Y47" s="1311"/>
      <c r="Z47" s="1311"/>
    </row>
    <row r="48" spans="1:26" x14ac:dyDescent="0.25">
      <c r="A48" s="837" t="s">
        <v>1187</v>
      </c>
      <c r="B48" s="791" t="str">
        <f ca="1">IFERROR(_xlfn.CONCAT(IF('Customer Inputs'!$U$6="Existing",IF('Customer Inputs'!R6=0,SUBSTITUTE(ADDRESS(1,MATCH(O48,INDIRECT("'"&amp;E48&amp;"'"&amp;"!$A$5:$Z$5"),0),4),1,""),SUBSTITUTE(ADDRESS(1,MATCH(A48,INDIRECT("'"&amp;E48&amp;"'"&amp;"!A$5:Z$5"),0),4),1,"")),SUBSTITUTE(ADDRESS(1,MATCH(A48,INDIRECT("'"&amp;E48&amp;"'"&amp;"!A$5:Z$5"),0),4),1,"")),6),"")</f>
        <v>R6</v>
      </c>
      <c r="C48" s="791" t="str">
        <f ca="1">IFERROR(IF('Customer Inputs'!$U$6="Existing",IF('Customer Inputs'!R6=0,SUBSTITUTE(ADDRESS(1,MATCH(O48,INDIRECT("'"&amp;E48&amp;"'"&amp;"!$A$5:$Z$5"),0),4),1,""),SUBSTITUTE(ADDRESS(1,MATCH(A48,INDIRECT("'"&amp;E48&amp;"'"&amp;"!A$5:Z$5"),0),4),1,"")),SUBSTITUTE(ADDRESS(1,MATCH(A48,INDIRECT("'"&amp;E48&amp;"'"&amp;"!A$5:Z$5"),0),4),1,"")),"")</f>
        <v>R</v>
      </c>
      <c r="D48" s="791" t="s">
        <v>1357</v>
      </c>
      <c r="E48" s="791" t="s">
        <v>870</v>
      </c>
      <c r="F48" s="791"/>
      <c r="G48" s="791"/>
      <c r="H48" s="791"/>
      <c r="I48" s="1274" t="str">
        <f t="shared" ref="I48" si="8">IF(J48&lt;&gt;"",A48,"")</f>
        <v/>
      </c>
      <c r="J48" s="1490"/>
      <c r="K48" s="1490" t="str">
        <f t="shared" ref="K48" si="9">IF(J48&lt;&gt;"",E48,"")</f>
        <v/>
      </c>
      <c r="L48" s="825" t="s">
        <v>1187</v>
      </c>
      <c r="M48" s="1314">
        <v>41</v>
      </c>
      <c r="N48" s="791"/>
      <c r="O48" s="1311" t="s">
        <v>1190</v>
      </c>
      <c r="P48" s="1311"/>
      <c r="Q48" s="1311"/>
      <c r="R48" s="1311"/>
      <c r="S48" s="1311"/>
      <c r="T48" s="1311"/>
      <c r="U48" s="1311"/>
      <c r="V48" s="1311"/>
      <c r="W48" s="1311"/>
      <c r="X48" s="1311"/>
      <c r="Y48" s="1311"/>
      <c r="Z48" s="1311"/>
    </row>
    <row r="49" spans="1:26" x14ac:dyDescent="0.25">
      <c r="A49" s="837" t="s">
        <v>1188</v>
      </c>
      <c r="B49" s="791" t="str">
        <f ca="1">IFERROR(_xlfn.CONCAT(IF('Customer Inputs'!$U$6="Existing",IF('Customer Inputs'!T6=0,SUBSTITUTE(ADDRESS(1,MATCH(O49,INDIRECT("'"&amp;E49&amp;"'"&amp;"!$A$5:$Z$5"),0),4),1,""),SUBSTITUTE(ADDRESS(1,MATCH(A49,INDIRECT("'"&amp;E49&amp;"'"&amp;"!A$5:Z$5"),0),4),1,"")),SUBSTITUTE(ADDRESS(1,MATCH(A49,INDIRECT("'"&amp;E49&amp;"'"&amp;"!A$5:Z$5"),0),4),1,"")),6),"")</f>
        <v>T6</v>
      </c>
      <c r="C49" s="791" t="str">
        <f ca="1">IFERROR(IF('Customer Inputs'!$U$6="Existing",IF('Customer Inputs'!T6=0,SUBSTITUTE(ADDRESS(1,MATCH(O49,INDIRECT("'"&amp;E49&amp;"'"&amp;"!$A$5:$Z$5"),0),4),1,""),SUBSTITUTE(ADDRESS(1,MATCH(A49,INDIRECT("'"&amp;E49&amp;"'"&amp;"!A$5:Z$5"),0),4),1,"")),SUBSTITUTE(ADDRESS(1,MATCH(A49,INDIRECT("'"&amp;E49&amp;"'"&amp;"!A$5:Z$5"),0),4),1,"")),"")</f>
        <v>T</v>
      </c>
      <c r="D49" s="791" t="s">
        <v>1357</v>
      </c>
      <c r="E49" s="791" t="s">
        <v>870</v>
      </c>
      <c r="F49" s="791"/>
      <c r="G49" s="791"/>
      <c r="H49" s="791"/>
      <c r="I49" s="1274" t="str">
        <f t="shared" si="3"/>
        <v/>
      </c>
      <c r="J49" s="1314"/>
      <c r="K49" s="1314" t="str">
        <f t="shared" si="4"/>
        <v/>
      </c>
      <c r="L49" s="825" t="s">
        <v>1188</v>
      </c>
      <c r="M49" s="1314">
        <v>42</v>
      </c>
      <c r="N49" s="791"/>
      <c r="O49" s="1311" t="s">
        <v>1184</v>
      </c>
      <c r="P49" s="1311"/>
      <c r="Q49" s="1311"/>
      <c r="R49" s="1311"/>
      <c r="S49" s="1311"/>
      <c r="T49" s="1311"/>
      <c r="U49" s="1311"/>
      <c r="V49" s="1311"/>
      <c r="W49" s="1311"/>
      <c r="X49" s="1311"/>
      <c r="Y49" s="1311"/>
      <c r="Z49" s="1311"/>
    </row>
    <row r="50" spans="1:26" x14ac:dyDescent="0.25">
      <c r="A50" s="837" t="s">
        <v>1189</v>
      </c>
      <c r="B50" s="791" t="str">
        <f ca="1">_xlfn.IFNA(_xlfn.CONCAT(SUBSTITUTE(ADDRESS(1,MATCH(A50,INDIRECT("'"&amp;E50&amp;"'"&amp;"!A5:Z5"),0),4),1,""),6),"")</f>
        <v>U6</v>
      </c>
      <c r="C50" s="791" t="str">
        <f ca="1">_xlfn.IFNA(SUBSTITUTE(ADDRESS(1,MATCH(A50,INDIRECT("'"&amp;E50&amp;"'"&amp;"!A5:Z5"),0),4),1,""),"")</f>
        <v>U</v>
      </c>
      <c r="D50" s="791" t="s">
        <v>1357</v>
      </c>
      <c r="E50" s="791" t="s">
        <v>870</v>
      </c>
      <c r="F50" s="791"/>
      <c r="G50" s="791"/>
      <c r="H50" s="791"/>
      <c r="I50" s="1274" t="str">
        <f t="shared" si="3"/>
        <v/>
      </c>
      <c r="J50" s="1314"/>
      <c r="K50" s="1314" t="str">
        <f t="shared" si="4"/>
        <v/>
      </c>
      <c r="L50" s="825" t="s">
        <v>1189</v>
      </c>
      <c r="M50" s="1314">
        <v>43</v>
      </c>
      <c r="N50" s="791"/>
      <c r="O50" s="1311"/>
      <c r="P50" s="1311"/>
      <c r="Q50" s="1311"/>
      <c r="R50" s="1311"/>
      <c r="S50" s="1311"/>
      <c r="T50" s="1311"/>
      <c r="U50" s="1311"/>
      <c r="V50" s="1311"/>
      <c r="W50" s="1311"/>
      <c r="X50" s="1311"/>
      <c r="Y50" s="1311"/>
      <c r="Z50" s="1311"/>
    </row>
    <row r="51" spans="1:26" x14ac:dyDescent="0.25">
      <c r="A51" s="837" t="s">
        <v>1339</v>
      </c>
      <c r="B51" s="791" t="str">
        <f ca="1">_xlfn.IFNA(_xlfn.CONCAT(SUBSTITUTE(ADDRESS(1,MATCH(A51,INDIRECT("'"&amp;E51&amp;"'"&amp;"!A5:Z5"),0),4),1,""),6),"")</f>
        <v>V6</v>
      </c>
      <c r="C51" s="791" t="str">
        <f ca="1">_xlfn.IFNA(SUBSTITUTE(ADDRESS(1,MATCH(A51,INDIRECT("'"&amp;E51&amp;"'"&amp;"!A5:Z5"),0),4),1,""),"")</f>
        <v>V</v>
      </c>
      <c r="D51" s="791" t="s">
        <v>1357</v>
      </c>
      <c r="E51" s="791" t="s">
        <v>870</v>
      </c>
      <c r="F51" s="791"/>
      <c r="G51" s="791"/>
      <c r="H51" s="791"/>
      <c r="I51" s="1274" t="str">
        <f t="shared" si="3"/>
        <v/>
      </c>
      <c r="J51" s="1314"/>
      <c r="K51" s="1314" t="str">
        <f t="shared" si="4"/>
        <v/>
      </c>
      <c r="L51" s="825" t="s">
        <v>1428</v>
      </c>
      <c r="M51" s="1314">
        <v>44</v>
      </c>
      <c r="N51" s="791"/>
      <c r="O51" s="1311"/>
      <c r="P51" s="1311"/>
      <c r="Q51" s="1311"/>
      <c r="R51" s="1311"/>
      <c r="S51" s="1311"/>
      <c r="T51" s="1311"/>
      <c r="U51" s="1311"/>
      <c r="V51" s="1311"/>
      <c r="W51" s="1311"/>
      <c r="X51" s="1311"/>
      <c r="Y51" s="1311"/>
      <c r="Z51" s="1311"/>
    </row>
    <row r="52" spans="1:26" x14ac:dyDescent="0.25">
      <c r="A52" s="837" t="s">
        <v>1631</v>
      </c>
      <c r="B52" s="791" t="str">
        <f ca="1">_xlfn.IFNA(_xlfn.CONCAT(SUBSTITUTE(ADDRESS(1,MATCH(A52,INDIRECT("'"&amp;E52&amp;"'"&amp;"!A5:Z5"),0),4),1,""),6),"")</f>
        <v>W6</v>
      </c>
      <c r="C52" s="791" t="str">
        <f ca="1">_xlfn.IFNA(SUBSTITUTE(ADDRESS(1,MATCH(A52,INDIRECT("'"&amp;E52&amp;"'"&amp;"!A5:Z5"),0),4),1,""),"")</f>
        <v>W</v>
      </c>
      <c r="D52" s="791" t="s">
        <v>1357</v>
      </c>
      <c r="E52" s="791" t="s">
        <v>870</v>
      </c>
      <c r="F52" s="791"/>
      <c r="G52" s="791"/>
      <c r="H52" s="791"/>
      <c r="I52" s="1274" t="str">
        <f t="shared" si="3"/>
        <v>Add or End Customer</v>
      </c>
      <c r="J52" s="1314" t="str">
        <f t="shared" si="5"/>
        <v>F45</v>
      </c>
      <c r="K52" s="1314" t="str">
        <f t="shared" si="4"/>
        <v>Customer Inputs</v>
      </c>
      <c r="L52" s="825" t="s">
        <v>1631</v>
      </c>
      <c r="M52" s="1314">
        <v>45</v>
      </c>
      <c r="N52" s="791"/>
      <c r="O52" s="1311"/>
      <c r="P52" s="1311"/>
      <c r="Q52" s="1311"/>
      <c r="R52" s="1311"/>
      <c r="S52" s="1311"/>
      <c r="T52" s="1311"/>
      <c r="U52" s="1311"/>
      <c r="V52" s="1311"/>
      <c r="W52" s="1311"/>
      <c r="X52" s="1311"/>
      <c r="Y52" s="1311"/>
      <c r="Z52" s="1311"/>
    </row>
    <row r="53" spans="1:26" x14ac:dyDescent="0.25">
      <c r="A53" s="838" t="s">
        <v>1182</v>
      </c>
      <c r="B53" s="791" t="str">
        <f ca="1">_xlfn.IFNA(_xlfn.CONCAT(SUBSTITUTE(ADDRESS(1,MATCH(A53,INDIRECT("'"&amp;E53&amp;"'"&amp;"!A5:Z5"),0),4),1,""),7),"")</f>
        <v>H7</v>
      </c>
      <c r="C53" s="791" t="str">
        <f t="shared" ref="C53:C115" ca="1" si="10">_xlfn.IFNA(SUBSTITUTE(ADDRESS(1,MATCH(A53,INDIRECT("'"&amp;E53&amp;"'"&amp;"!A5:Z5"),0),4),1,""),"")</f>
        <v>H</v>
      </c>
      <c r="D53" s="791" t="s">
        <v>1357</v>
      </c>
      <c r="E53" s="791" t="s">
        <v>870</v>
      </c>
      <c r="F53" s="791"/>
      <c r="G53" s="791"/>
      <c r="H53" s="791"/>
      <c r="I53" s="1274" t="str">
        <f t="shared" si="3"/>
        <v>Pyramid Segment</v>
      </c>
      <c r="J53" s="1314" t="str">
        <f>IF(AND(P1222="",M53&lt;&gt;""),Q$1&amp;M53,"")</f>
        <v>F56</v>
      </c>
      <c r="K53" s="1314" t="str">
        <f t="shared" si="4"/>
        <v>Customer Inputs</v>
      </c>
      <c r="L53" s="791" t="s">
        <v>1182</v>
      </c>
      <c r="M53" s="1314">
        <v>56</v>
      </c>
      <c r="N53" s="791"/>
      <c r="O53" s="1311"/>
      <c r="P53" s="1311"/>
      <c r="Q53" s="1311"/>
      <c r="R53" s="1311"/>
      <c r="S53" s="1311"/>
      <c r="T53" s="1311"/>
      <c r="U53" s="1311"/>
      <c r="V53" s="1311"/>
      <c r="W53" s="1311"/>
      <c r="X53" s="1311"/>
      <c r="Y53" s="1311"/>
      <c r="Z53" s="1311"/>
    </row>
    <row r="54" spans="1:26" x14ac:dyDescent="0.25">
      <c r="A54" s="839" t="s">
        <v>1262</v>
      </c>
      <c r="B54" s="791" t="str">
        <f t="shared" ref="B54:B62" ca="1" si="11">_xlfn.IFNA(_xlfn.CONCAT(SUBSTITUTE(ADDRESS(1,MATCH(A54,INDIRECT("'"&amp;E54&amp;"'"&amp;"!A5:Z5"),0),4),1,""),7),"")</f>
        <v>I7</v>
      </c>
      <c r="C54" s="791" t="str">
        <f t="shared" ca="1" si="10"/>
        <v>I</v>
      </c>
      <c r="D54" s="791" t="s">
        <v>1357</v>
      </c>
      <c r="E54" s="791" t="s">
        <v>870</v>
      </c>
      <c r="F54" s="791"/>
      <c r="G54" s="791"/>
      <c r="H54" s="791"/>
      <c r="I54" s="1274" t="str">
        <f t="shared" si="3"/>
        <v>Agreement Annual Purchase Commitment</v>
      </c>
      <c r="J54" s="1314" t="str">
        <f>Q$1&amp;IF(Q54&lt;&gt;"",M54,M56)</f>
        <v>F60</v>
      </c>
      <c r="K54" s="1314" t="str">
        <f t="shared" si="4"/>
        <v>Customer Inputs</v>
      </c>
      <c r="L54" s="52" t="s">
        <v>1262</v>
      </c>
      <c r="M54" s="1314">
        <v>58</v>
      </c>
      <c r="N54" s="791"/>
      <c r="O54" s="1311"/>
      <c r="P54" s="1311"/>
      <c r="Q54" s="1311"/>
      <c r="R54" s="1311"/>
      <c r="S54" s="1311"/>
      <c r="T54" s="1311"/>
      <c r="U54" s="1311"/>
      <c r="V54" s="1311"/>
      <c r="W54" s="1311"/>
      <c r="X54" s="1311"/>
      <c r="Y54" s="1311"/>
      <c r="Z54" s="1311"/>
    </row>
    <row r="55" spans="1:26" ht="30" x14ac:dyDescent="0.25">
      <c r="A55" s="838" t="s">
        <v>1263</v>
      </c>
      <c r="B55" s="791" t="str">
        <f t="shared" ca="1" si="11"/>
        <v>J7</v>
      </c>
      <c r="C55" s="791" t="str">
        <f t="shared" ca="1" si="10"/>
        <v>J</v>
      </c>
      <c r="D55" s="791" t="s">
        <v>1357</v>
      </c>
      <c r="E55" s="791" t="s">
        <v>870</v>
      </c>
      <c r="F55" s="791"/>
      <c r="G55" s="791"/>
      <c r="H55" s="791"/>
      <c r="I55" s="1274" t="str">
        <f t="shared" si="3"/>
        <v>Agreement Deliveries Per Customer Unit Per Week</v>
      </c>
      <c r="J55" s="1314" t="str">
        <f>Q$1&amp;IF(Q55&lt;&gt;"",M55,M57)</f>
        <v>F61</v>
      </c>
      <c r="K55" s="1314" t="str">
        <f t="shared" si="4"/>
        <v>Customer Inputs</v>
      </c>
      <c r="L55" s="791" t="s">
        <v>1263</v>
      </c>
      <c r="M55" s="1314">
        <v>59</v>
      </c>
      <c r="N55" s="791"/>
      <c r="O55" s="1311"/>
      <c r="P55" s="1311"/>
      <c r="Q55" s="1311"/>
      <c r="R55" s="1311"/>
      <c r="S55" s="1311"/>
      <c r="T55" s="1311"/>
      <c r="U55" s="1311"/>
      <c r="V55" s="1311"/>
      <c r="W55" s="1311"/>
      <c r="X55" s="1311"/>
      <c r="Y55" s="1311"/>
      <c r="Z55" s="1311"/>
    </row>
    <row r="56" spans="1:26" x14ac:dyDescent="0.25">
      <c r="A56" s="838" t="s">
        <v>1185</v>
      </c>
      <c r="B56" s="791" t="str">
        <f ca="1">IFERROR(_xlfn.CONCAT(IF('Customer Inputs'!$U$7="Existing",IF('Customer Inputs'!P7=0,SUBSTITUTE(ADDRESS(1,MATCH(O56,INDIRECT("'"&amp;E56&amp;"'"&amp;"!$A$5:$Z$5"),0),4),1,""),SUBSTITUTE(ADDRESS(1,MATCH(A56,INDIRECT("'"&amp;E56&amp;"'"&amp;"!A$5:Z$5"),0),4),1,"")),SUBSTITUTE(ADDRESS(1,MATCH(A56,INDIRECT("'"&amp;E56&amp;"'"&amp;"!A$5:Z$5"),0),4),1,"")),7),"")</f>
        <v>P7</v>
      </c>
      <c r="C56" s="791" t="str">
        <f ca="1">IFERROR(IF('Customer Inputs'!$U$7="Existing",IF('Customer Inputs'!P7=0,SUBSTITUTE(ADDRESS(1,MATCH(O56,INDIRECT("'"&amp;E56&amp;"'"&amp;"!$A$5:$Z$5"),0),4),1,""),SUBSTITUTE(ADDRESS(1,MATCH(A56,INDIRECT("'"&amp;E56&amp;"'"&amp;"!A$5:Z$5"),0),4),1,"")),SUBSTITUTE(ADDRESS(1,MATCH(A56,INDIRECT("'"&amp;E56&amp;"'"&amp;"!A$5:Z$5"),0),4),1,"")),"")</f>
        <v>P</v>
      </c>
      <c r="D56" s="791" t="s">
        <v>1357</v>
      </c>
      <c r="E56" s="791" t="s">
        <v>870</v>
      </c>
      <c r="F56" s="791"/>
      <c r="G56" s="791"/>
      <c r="H56" s="791"/>
      <c r="I56" s="1274" t="str">
        <f t="shared" si="3"/>
        <v/>
      </c>
      <c r="J56" s="1314"/>
      <c r="K56" s="1314" t="str">
        <f t="shared" si="4"/>
        <v/>
      </c>
      <c r="L56" s="791" t="s">
        <v>1185</v>
      </c>
      <c r="M56" s="1314">
        <v>60</v>
      </c>
      <c r="N56" s="791"/>
      <c r="O56" s="1311" t="s">
        <v>868</v>
      </c>
      <c r="P56" s="1311"/>
      <c r="Q56" s="1311"/>
      <c r="R56" s="1311"/>
      <c r="S56" s="1311"/>
      <c r="T56" s="1311"/>
      <c r="U56" s="1311"/>
      <c r="V56" s="1311"/>
      <c r="W56" s="1311"/>
      <c r="X56" s="1311"/>
      <c r="Y56" s="1311"/>
      <c r="Z56" s="1311"/>
    </row>
    <row r="57" spans="1:26" x14ac:dyDescent="0.25">
      <c r="A57" s="840" t="s">
        <v>1186</v>
      </c>
      <c r="B57" s="791" t="str">
        <f ca="1">IFERROR(_xlfn.CONCAT(IF('Customer Inputs'!$U$7="Existing",IF('Customer Inputs'!Q7=0,SUBSTITUTE(ADDRESS(1,MATCH(O57,INDIRECT("'"&amp;E57&amp;"'"&amp;"!$A$5:$Z$5"),0),4),1,""),SUBSTITUTE(ADDRESS(1,MATCH(A57,INDIRECT("'"&amp;E57&amp;"'"&amp;"!A$5:Z$5"),0),4),1,"")),SUBSTITUTE(ADDRESS(1,MATCH(A57,INDIRECT("'"&amp;E57&amp;"'"&amp;"!A$5:Z$5"),0),4),1,"")),7),"")</f>
        <v>Q7</v>
      </c>
      <c r="C57" s="791" t="str">
        <f ca="1">IFERROR(IF('Customer Inputs'!$U$7="Existing",IF('Customer Inputs'!Q7=0,SUBSTITUTE(ADDRESS(1,MATCH(O57,INDIRECT("'"&amp;E57&amp;"'"&amp;"!$A$5:$Z$5"),0),4),1,""),SUBSTITUTE(ADDRESS(1,MATCH(A57,INDIRECT("'"&amp;E57&amp;"'"&amp;"!A$5:Z$5"),0),4),1,"")),SUBSTITUTE(ADDRESS(1,MATCH(A57,INDIRECT("'"&amp;E57&amp;"'"&amp;"!A$5:Z$5"),0),4),1,"")),"")</f>
        <v>Q</v>
      </c>
      <c r="D57" s="791" t="s">
        <v>1357</v>
      </c>
      <c r="E57" s="791" t="s">
        <v>870</v>
      </c>
      <c r="F57" s="791"/>
      <c r="G57" s="791"/>
      <c r="H57" s="791"/>
      <c r="I57" s="1274" t="str">
        <f t="shared" si="3"/>
        <v/>
      </c>
      <c r="J57" s="1314"/>
      <c r="K57" s="1314" t="str">
        <f t="shared" si="4"/>
        <v/>
      </c>
      <c r="L57" s="825" t="s">
        <v>1186</v>
      </c>
      <c r="M57" s="1314">
        <v>61</v>
      </c>
      <c r="N57" s="791"/>
      <c r="O57" s="1311" t="s">
        <v>1183</v>
      </c>
      <c r="P57" s="1311"/>
      <c r="Q57" s="1311"/>
      <c r="R57" s="1311"/>
      <c r="S57" s="1311"/>
      <c r="T57" s="1311"/>
      <c r="U57" s="1311"/>
      <c r="V57" s="1311"/>
      <c r="W57" s="1311"/>
      <c r="X57" s="1311"/>
      <c r="Y57" s="1311"/>
      <c r="Z57" s="1311"/>
    </row>
    <row r="58" spans="1:26" x14ac:dyDescent="0.25">
      <c r="A58" s="840" t="s">
        <v>1187</v>
      </c>
      <c r="B58" s="791" t="str">
        <f ca="1">IFERROR(_xlfn.CONCAT(IF('Customer Inputs'!$U$7="Existing",IF('Customer Inputs'!R7=0,SUBSTITUTE(ADDRESS(1,MATCH(O58,INDIRECT("'"&amp;E58&amp;"'"&amp;"!$A$5:$Z$5"),0),4),1,""),SUBSTITUTE(ADDRESS(1,MATCH(A58,INDIRECT("'"&amp;E58&amp;"'"&amp;"!A$5:Z$5"),0),4),1,"")),SUBSTITUTE(ADDRESS(1,MATCH(A58,INDIRECT("'"&amp;E58&amp;"'"&amp;"!A$5:Z$5"),0),4),1,"")),7),"")</f>
        <v>R7</v>
      </c>
      <c r="C58" s="791" t="str">
        <f ca="1">IFERROR(IF('Customer Inputs'!$U$7="Existing",IF('Customer Inputs'!R7=0,SUBSTITUTE(ADDRESS(1,MATCH(O58,INDIRECT("'"&amp;E58&amp;"'"&amp;"!$A$5:$Z$5"),0),4),1,""),SUBSTITUTE(ADDRESS(1,MATCH(A58,INDIRECT("'"&amp;E58&amp;"'"&amp;"!A$5:Z$5"),0),4),1,"")),SUBSTITUTE(ADDRESS(1,MATCH(A58,INDIRECT("'"&amp;E58&amp;"'"&amp;"!A$5:Z$5"),0),4),1,"")),"")</f>
        <v>R</v>
      </c>
      <c r="D58" s="791" t="s">
        <v>1357</v>
      </c>
      <c r="E58" s="791" t="s">
        <v>870</v>
      </c>
      <c r="F58" s="791"/>
      <c r="G58" s="791"/>
      <c r="H58" s="791"/>
      <c r="I58" s="1274" t="str">
        <f t="shared" si="3"/>
        <v/>
      </c>
      <c r="J58" s="1490"/>
      <c r="K58" s="1314" t="str">
        <f t="shared" si="4"/>
        <v/>
      </c>
      <c r="L58" s="825" t="s">
        <v>1187</v>
      </c>
      <c r="M58" s="1314">
        <v>62</v>
      </c>
      <c r="N58" s="791"/>
      <c r="O58" s="1311" t="s">
        <v>1190</v>
      </c>
      <c r="P58" s="1311"/>
      <c r="Q58" s="1311"/>
      <c r="R58" s="1311"/>
      <c r="S58" s="1311"/>
      <c r="T58" s="1311"/>
      <c r="U58" s="1311"/>
      <c r="V58" s="1311"/>
      <c r="W58" s="1311"/>
      <c r="X58" s="1311"/>
      <c r="Y58" s="1311"/>
      <c r="Z58" s="1311"/>
    </row>
    <row r="59" spans="1:26" x14ac:dyDescent="0.25">
      <c r="A59" s="840" t="s">
        <v>1188</v>
      </c>
      <c r="B59" s="791" t="str">
        <f ca="1">IFERROR(_xlfn.CONCAT(IF('Customer Inputs'!$U$7="Existing",IF('Customer Inputs'!T7=0,SUBSTITUTE(ADDRESS(1,MATCH(O59,INDIRECT("'"&amp;E59&amp;"'"&amp;"!$A$5:$Z$5"),0),4),1,""),SUBSTITUTE(ADDRESS(1,MATCH(A59,INDIRECT("'"&amp;E59&amp;"'"&amp;"!A$5:Z$5"),0),4),1,"")),SUBSTITUTE(ADDRESS(1,MATCH(A59,INDIRECT("'"&amp;E59&amp;"'"&amp;"!A$5:Z$5"),0),4),1,"")),7),"")</f>
        <v>T7</v>
      </c>
      <c r="C59" s="791" t="str">
        <f ca="1">IFERROR(IF('Customer Inputs'!$U$7="Existing",IF('Customer Inputs'!T7=0,SUBSTITUTE(ADDRESS(1,MATCH(O59,INDIRECT("'"&amp;E59&amp;"'"&amp;"!$A$5:$Z$5"),0),4),1,""),SUBSTITUTE(ADDRESS(1,MATCH(A59,INDIRECT("'"&amp;E59&amp;"'"&amp;"!A$5:Z$5"),0),4),1,"")),SUBSTITUTE(ADDRESS(1,MATCH(A59,INDIRECT("'"&amp;E59&amp;"'"&amp;"!A$5:Z$5"),0),4),1,"")),"")</f>
        <v>T</v>
      </c>
      <c r="D59" s="791" t="s">
        <v>1357</v>
      </c>
      <c r="E59" s="791" t="s">
        <v>870</v>
      </c>
      <c r="F59" s="791"/>
      <c r="G59" s="791"/>
      <c r="H59" s="791"/>
      <c r="I59" s="1274" t="str">
        <f t="shared" si="3"/>
        <v/>
      </c>
      <c r="J59" s="1314"/>
      <c r="K59" s="1314" t="str">
        <f t="shared" si="4"/>
        <v/>
      </c>
      <c r="L59" s="825" t="s">
        <v>1188</v>
      </c>
      <c r="M59" s="1314">
        <v>63</v>
      </c>
      <c r="N59" s="791"/>
      <c r="O59" s="1311" t="s">
        <v>1184</v>
      </c>
      <c r="P59" s="1311"/>
      <c r="Q59" s="1311"/>
      <c r="R59" s="1311"/>
      <c r="S59" s="1311"/>
      <c r="T59" s="1311"/>
      <c r="U59" s="1311"/>
      <c r="V59" s="1311"/>
      <c r="W59" s="1311"/>
      <c r="X59" s="1311"/>
      <c r="Y59" s="1311"/>
      <c r="Z59" s="1311"/>
    </row>
    <row r="60" spans="1:26" x14ac:dyDescent="0.25">
      <c r="A60" s="840" t="s">
        <v>1189</v>
      </c>
      <c r="B60" s="791" t="str">
        <f t="shared" ca="1" si="11"/>
        <v>U7</v>
      </c>
      <c r="C60" s="791" t="str">
        <f t="shared" ca="1" si="10"/>
        <v>U</v>
      </c>
      <c r="D60" s="791" t="s">
        <v>1357</v>
      </c>
      <c r="E60" s="791" t="s">
        <v>870</v>
      </c>
      <c r="F60" s="791"/>
      <c r="G60" s="791"/>
      <c r="H60" s="791"/>
      <c r="I60" s="1274" t="str">
        <f t="shared" si="3"/>
        <v/>
      </c>
      <c r="J60" s="1314"/>
      <c r="K60" s="1314" t="str">
        <f t="shared" si="4"/>
        <v/>
      </c>
      <c r="L60" s="825" t="s">
        <v>1189</v>
      </c>
      <c r="M60" s="1314">
        <v>64</v>
      </c>
      <c r="N60" s="791"/>
      <c r="O60" s="1311"/>
      <c r="P60" s="1311"/>
      <c r="Q60" s="1311"/>
      <c r="R60" s="1311"/>
      <c r="S60" s="1311"/>
      <c r="T60" s="1311"/>
      <c r="U60" s="1311"/>
      <c r="V60" s="1311"/>
      <c r="W60" s="1311"/>
      <c r="X60" s="1311"/>
      <c r="Y60" s="1311"/>
      <c r="Z60" s="1311"/>
    </row>
    <row r="61" spans="1:26" x14ac:dyDescent="0.25">
      <c r="A61" s="840" t="s">
        <v>1339</v>
      </c>
      <c r="B61" s="791" t="str">
        <f t="shared" ca="1" si="11"/>
        <v>V7</v>
      </c>
      <c r="C61" s="791" t="str">
        <f t="shared" ca="1" si="10"/>
        <v>V</v>
      </c>
      <c r="D61" s="791" t="s">
        <v>1357</v>
      </c>
      <c r="E61" s="791" t="s">
        <v>870</v>
      </c>
      <c r="F61" s="791"/>
      <c r="G61" s="791"/>
      <c r="H61" s="791"/>
      <c r="I61" s="1274" t="str">
        <f t="shared" si="3"/>
        <v/>
      </c>
      <c r="J61" s="1314"/>
      <c r="K61" s="1314" t="str">
        <f t="shared" si="4"/>
        <v/>
      </c>
      <c r="L61" s="825" t="s">
        <v>1428</v>
      </c>
      <c r="M61" s="1314">
        <v>65</v>
      </c>
      <c r="N61" s="791"/>
      <c r="O61" s="1311"/>
      <c r="P61" s="1311"/>
      <c r="Q61" s="1311"/>
      <c r="R61" s="1311"/>
      <c r="S61" s="1311"/>
      <c r="T61" s="1311"/>
      <c r="U61" s="1311"/>
      <c r="V61" s="1311"/>
      <c r="W61" s="1311"/>
      <c r="X61" s="1311"/>
      <c r="Y61" s="1311"/>
      <c r="Z61" s="1311"/>
    </row>
    <row r="62" spans="1:26" x14ac:dyDescent="0.25">
      <c r="A62" s="840" t="s">
        <v>1631</v>
      </c>
      <c r="B62" s="791" t="str">
        <f t="shared" ca="1" si="11"/>
        <v>W7</v>
      </c>
      <c r="C62" s="791" t="str">
        <f t="shared" ca="1" si="10"/>
        <v>W</v>
      </c>
      <c r="D62" s="791" t="s">
        <v>1357</v>
      </c>
      <c r="E62" s="791" t="s">
        <v>870</v>
      </c>
      <c r="F62" s="791"/>
      <c r="G62" s="791"/>
      <c r="H62" s="791"/>
      <c r="I62" s="1274" t="str">
        <f t="shared" si="3"/>
        <v>Add or End Customer</v>
      </c>
      <c r="J62" s="1314" t="str">
        <f t="shared" si="5"/>
        <v>F66</v>
      </c>
      <c r="K62" s="1314" t="str">
        <f t="shared" si="4"/>
        <v>Customer Inputs</v>
      </c>
      <c r="L62" s="825" t="s">
        <v>1631</v>
      </c>
      <c r="M62" s="1314">
        <v>66</v>
      </c>
      <c r="N62" s="791"/>
      <c r="O62" s="1311"/>
      <c r="P62" s="1311"/>
      <c r="Q62" s="1311"/>
      <c r="R62" s="1311"/>
      <c r="S62" s="1311"/>
      <c r="T62" s="1311"/>
      <c r="U62" s="1311"/>
      <c r="V62" s="1311"/>
      <c r="W62" s="1311"/>
      <c r="X62" s="1311"/>
      <c r="Y62" s="1311"/>
      <c r="Z62" s="1311"/>
    </row>
    <row r="63" spans="1:26" x14ac:dyDescent="0.25">
      <c r="A63" s="835" t="s">
        <v>1182</v>
      </c>
      <c r="B63" s="791" t="str">
        <f ca="1">_xlfn.IFNA(_xlfn.CONCAT(SUBSTITUTE(ADDRESS(1,MATCH(A63,INDIRECT("'"&amp;E63&amp;"'"&amp;"!A5:Z5"),0),4),1,""),8),"")</f>
        <v>H8</v>
      </c>
      <c r="C63" s="791" t="str">
        <f t="shared" ca="1" si="10"/>
        <v>H</v>
      </c>
      <c r="D63" s="791" t="s">
        <v>1357</v>
      </c>
      <c r="E63" s="791" t="s">
        <v>870</v>
      </c>
      <c r="F63" s="791"/>
      <c r="G63" s="791"/>
      <c r="H63" s="791"/>
      <c r="I63" s="1274" t="str">
        <f t="shared" si="3"/>
        <v>Pyramid Segment</v>
      </c>
      <c r="J63" s="1314" t="str">
        <f>IF(AND(P1223="",M63&lt;&gt;""),Q$1&amp;M63,"")</f>
        <v>F77</v>
      </c>
      <c r="K63" s="1314" t="str">
        <f t="shared" si="4"/>
        <v>Customer Inputs</v>
      </c>
      <c r="L63" s="791" t="s">
        <v>1182</v>
      </c>
      <c r="M63" s="1314">
        <v>77</v>
      </c>
      <c r="N63" s="791"/>
      <c r="O63" s="1311"/>
      <c r="P63" s="1311"/>
      <c r="Q63" s="1311"/>
      <c r="R63" s="1311"/>
      <c r="S63" s="1311"/>
      <c r="T63" s="1311"/>
      <c r="U63" s="1311"/>
      <c r="V63" s="1311"/>
      <c r="W63" s="1311"/>
      <c r="X63" s="1311"/>
      <c r="Y63" s="1311"/>
      <c r="Z63" s="1311"/>
    </row>
    <row r="64" spans="1:26" x14ac:dyDescent="0.25">
      <c r="A64" s="836" t="s">
        <v>1262</v>
      </c>
      <c r="B64" s="791" t="str">
        <f t="shared" ref="B64:B72" ca="1" si="12">_xlfn.IFNA(_xlfn.CONCAT(SUBSTITUTE(ADDRESS(1,MATCH(A64,INDIRECT("'"&amp;E64&amp;"'"&amp;"!A5:Z5"),0),4),1,""),8),"")</f>
        <v>I8</v>
      </c>
      <c r="C64" s="791" t="str">
        <f t="shared" ca="1" si="10"/>
        <v>I</v>
      </c>
      <c r="D64" s="791" t="s">
        <v>1357</v>
      </c>
      <c r="E64" s="791" t="s">
        <v>870</v>
      </c>
      <c r="F64" s="791"/>
      <c r="G64" s="791"/>
      <c r="H64" s="791"/>
      <c r="I64" s="1274" t="str">
        <f t="shared" si="3"/>
        <v>Agreement Annual Purchase Commitment</v>
      </c>
      <c r="J64" s="1314" t="str">
        <f>Q$1&amp;IF(Q64&lt;&gt;"",M64,M66)</f>
        <v>F81</v>
      </c>
      <c r="K64" s="1314" t="str">
        <f t="shared" si="4"/>
        <v>Customer Inputs</v>
      </c>
      <c r="L64" s="52" t="s">
        <v>1262</v>
      </c>
      <c r="M64" s="1314">
        <v>79</v>
      </c>
      <c r="N64" s="791"/>
      <c r="O64" s="1311"/>
      <c r="P64" s="1311"/>
      <c r="Q64" s="1311"/>
      <c r="R64" s="1311"/>
      <c r="S64" s="1311"/>
      <c r="T64" s="1311"/>
      <c r="U64" s="1311"/>
      <c r="V64" s="1311"/>
      <c r="W64" s="1311"/>
      <c r="X64" s="1311"/>
      <c r="Y64" s="1311"/>
      <c r="Z64" s="1311"/>
    </row>
    <row r="65" spans="1:26" ht="30" x14ac:dyDescent="0.25">
      <c r="A65" s="835" t="s">
        <v>1263</v>
      </c>
      <c r="B65" s="791" t="str">
        <f t="shared" ca="1" si="12"/>
        <v>J8</v>
      </c>
      <c r="C65" s="791" t="str">
        <f t="shared" ca="1" si="10"/>
        <v>J</v>
      </c>
      <c r="D65" s="791" t="s">
        <v>1357</v>
      </c>
      <c r="E65" s="791" t="s">
        <v>870</v>
      </c>
      <c r="F65" s="791"/>
      <c r="G65" s="791"/>
      <c r="H65" s="791"/>
      <c r="I65" s="1274" t="str">
        <f t="shared" si="3"/>
        <v>Agreement Deliveries Per Customer Unit Per Week</v>
      </c>
      <c r="J65" s="1314" t="str">
        <f>Q$1&amp;IF(Q65&lt;&gt;"",M65,M67)</f>
        <v>F82</v>
      </c>
      <c r="K65" s="1314" t="str">
        <f t="shared" si="4"/>
        <v>Customer Inputs</v>
      </c>
      <c r="L65" s="791" t="s">
        <v>1263</v>
      </c>
      <c r="M65" s="1314">
        <v>80</v>
      </c>
      <c r="N65" s="791"/>
      <c r="O65" s="1311"/>
      <c r="P65" s="1311"/>
      <c r="Q65" s="1311"/>
      <c r="R65" s="1311"/>
      <c r="S65" s="1311"/>
      <c r="T65" s="1311"/>
      <c r="U65" s="1311"/>
      <c r="V65" s="1311"/>
      <c r="W65" s="1311"/>
      <c r="X65" s="1311"/>
      <c r="Y65" s="1311"/>
      <c r="Z65" s="1311"/>
    </row>
    <row r="66" spans="1:26" x14ac:dyDescent="0.25">
      <c r="A66" s="835" t="s">
        <v>1185</v>
      </c>
      <c r="B66" s="791" t="str">
        <f ca="1">IFERROR(_xlfn.CONCAT(IF('Customer Inputs'!$U$8="Existing",IF('Customer Inputs'!P8=0,SUBSTITUTE(ADDRESS(1,MATCH(O66,INDIRECT("'"&amp;E66&amp;"'"&amp;"!$A$5:$Z$5"),0),4),1,""),SUBSTITUTE(ADDRESS(1,MATCH(A66,INDIRECT("'"&amp;E66&amp;"'"&amp;"!A$5:Z$5"),0),4),1,"")),SUBSTITUTE(ADDRESS(1,MATCH(A66,INDIRECT("'"&amp;E66&amp;"'"&amp;"!A$5:Z$5"),0),4),1,"")),8),"")</f>
        <v>P8</v>
      </c>
      <c r="C66" s="791" t="str">
        <f ca="1">IFERROR(IF('Customer Inputs'!$U$8="Existing",IF('Customer Inputs'!P8=0,SUBSTITUTE(ADDRESS(1,MATCH(O66,INDIRECT("'"&amp;E66&amp;"'"&amp;"!$A$5:$Z$5"),0),4),1,""),SUBSTITUTE(ADDRESS(1,MATCH(A66,INDIRECT("'"&amp;E66&amp;"'"&amp;"!A$5:Z$5"),0),4),1,"")),SUBSTITUTE(ADDRESS(1,MATCH(A66,INDIRECT("'"&amp;E66&amp;"'"&amp;"!A$5:Z$5"),0),4),1,"")),"")</f>
        <v>P</v>
      </c>
      <c r="D66" s="791" t="s">
        <v>1357</v>
      </c>
      <c r="E66" s="791" t="s">
        <v>870</v>
      </c>
      <c r="F66" s="791"/>
      <c r="G66" s="791"/>
      <c r="H66" s="791"/>
      <c r="I66" s="1274" t="str">
        <f t="shared" si="3"/>
        <v/>
      </c>
      <c r="J66" s="1314"/>
      <c r="K66" s="1314" t="str">
        <f t="shared" si="4"/>
        <v/>
      </c>
      <c r="L66" s="791" t="s">
        <v>1185</v>
      </c>
      <c r="M66" s="1314">
        <v>81</v>
      </c>
      <c r="N66" s="791"/>
      <c r="O66" s="1311" t="s">
        <v>868</v>
      </c>
      <c r="P66" s="1311"/>
      <c r="Q66" s="1311"/>
      <c r="R66" s="1311"/>
      <c r="S66" s="1311"/>
      <c r="T66" s="1311"/>
      <c r="U66" s="1311"/>
      <c r="V66" s="1311"/>
      <c r="W66" s="1311"/>
      <c r="X66" s="1311"/>
      <c r="Y66" s="1311"/>
      <c r="Z66" s="1311"/>
    </row>
    <row r="67" spans="1:26" x14ac:dyDescent="0.25">
      <c r="A67" s="837" t="s">
        <v>1186</v>
      </c>
      <c r="B67" s="791" t="str">
        <f ca="1">IFERROR(_xlfn.CONCAT(IF('Customer Inputs'!$U$8="Existing",IF('Customer Inputs'!Q8=0,SUBSTITUTE(ADDRESS(1,MATCH(O67,INDIRECT("'"&amp;E67&amp;"'"&amp;"!$A$5:$Z$5"),0),4),1,""),SUBSTITUTE(ADDRESS(1,MATCH(A67,INDIRECT("'"&amp;E67&amp;"'"&amp;"!A$5:Z$5"),0),4),1,"")),SUBSTITUTE(ADDRESS(1,MATCH(A67,INDIRECT("'"&amp;E67&amp;"'"&amp;"!A$5:Z$5"),0),4),1,"")),8),"")</f>
        <v>Q8</v>
      </c>
      <c r="C67" s="791" t="str">
        <f ca="1">IFERROR(IF('Customer Inputs'!$U$8="Existing",IF('Customer Inputs'!Q8=0,SUBSTITUTE(ADDRESS(1,MATCH(O67,INDIRECT("'"&amp;E67&amp;"'"&amp;"!$A$5:$Z$5"),0),4),1,""),SUBSTITUTE(ADDRESS(1,MATCH(A67,INDIRECT("'"&amp;E67&amp;"'"&amp;"!A$5:Z$5"),0),4),1,"")),SUBSTITUTE(ADDRESS(1,MATCH(A67,INDIRECT("'"&amp;E67&amp;"'"&amp;"!A$5:Z$5"),0),4),1,"")),"")</f>
        <v>Q</v>
      </c>
      <c r="D67" s="791" t="s">
        <v>1357</v>
      </c>
      <c r="E67" s="791" t="s">
        <v>870</v>
      </c>
      <c r="F67" s="791"/>
      <c r="G67" s="791"/>
      <c r="H67" s="791"/>
      <c r="I67" s="1274" t="str">
        <f t="shared" si="3"/>
        <v/>
      </c>
      <c r="J67" s="1314"/>
      <c r="K67" s="1314" t="str">
        <f t="shared" si="4"/>
        <v/>
      </c>
      <c r="L67" s="825" t="s">
        <v>1186</v>
      </c>
      <c r="M67" s="1314">
        <v>82</v>
      </c>
      <c r="N67" s="791"/>
      <c r="O67" s="1311" t="s">
        <v>1183</v>
      </c>
      <c r="P67" s="1311"/>
      <c r="Q67" s="1311"/>
      <c r="R67" s="1311"/>
      <c r="S67" s="1311"/>
      <c r="T67" s="1311"/>
      <c r="U67" s="1311"/>
      <c r="V67" s="1311"/>
      <c r="W67" s="1311"/>
      <c r="X67" s="1311"/>
      <c r="Y67" s="1311"/>
      <c r="Z67" s="1311"/>
    </row>
    <row r="68" spans="1:26" x14ac:dyDescent="0.25">
      <c r="A68" s="837" t="s">
        <v>1187</v>
      </c>
      <c r="B68" s="791" t="str">
        <f ca="1">IFERROR(_xlfn.CONCAT(IF('Customer Inputs'!$U$8="Existing",IF('Customer Inputs'!R8=0,SUBSTITUTE(ADDRESS(1,MATCH(O68,INDIRECT("'"&amp;E68&amp;"'"&amp;"!$A$5:$Z$5"),0),4),1,""),SUBSTITUTE(ADDRESS(1,MATCH(A68,INDIRECT("'"&amp;E68&amp;"'"&amp;"!A$5:Z$5"),0),4),1,"")),SUBSTITUTE(ADDRESS(1,MATCH(A68,INDIRECT("'"&amp;E68&amp;"'"&amp;"!A$5:Z$5"),0),4),1,"")),8),"")</f>
        <v>R8</v>
      </c>
      <c r="C68" s="791" t="str">
        <f ca="1">IFERROR(IF('Customer Inputs'!$U$8="Existing",IF('Customer Inputs'!R8=0,SUBSTITUTE(ADDRESS(1,MATCH(O68,INDIRECT("'"&amp;E68&amp;"'"&amp;"!$A$5:$Z$5"),0),4),1,""),SUBSTITUTE(ADDRESS(1,MATCH(A68,INDIRECT("'"&amp;E68&amp;"'"&amp;"!A$5:Z$5"),0),4),1,"")),SUBSTITUTE(ADDRESS(1,MATCH(A68,INDIRECT("'"&amp;E68&amp;"'"&amp;"!A$5:Z$5"),0),4),1,"")),"")</f>
        <v>R</v>
      </c>
      <c r="D68" s="791" t="s">
        <v>1357</v>
      </c>
      <c r="E68" s="791" t="s">
        <v>870</v>
      </c>
      <c r="F68" s="791"/>
      <c r="G68" s="791"/>
      <c r="H68" s="791"/>
      <c r="I68" s="1274" t="str">
        <f t="shared" ref="I68:I131" si="13">IF(J68&lt;&gt;"",A68,"")</f>
        <v/>
      </c>
      <c r="J68" s="1490"/>
      <c r="K68" s="1314" t="str">
        <f t="shared" ref="K68:K131" si="14">IF(J68&lt;&gt;"",E68,"")</f>
        <v/>
      </c>
      <c r="L68" s="825" t="s">
        <v>1187</v>
      </c>
      <c r="M68" s="1314">
        <v>83</v>
      </c>
      <c r="N68" s="791"/>
      <c r="O68" s="1311" t="s">
        <v>1190</v>
      </c>
      <c r="P68" s="1311"/>
      <c r="Q68" s="1311"/>
      <c r="R68" s="1311"/>
      <c r="S68" s="1311"/>
      <c r="T68" s="1311"/>
      <c r="U68" s="1311"/>
      <c r="V68" s="1311"/>
      <c r="W68" s="1311"/>
      <c r="X68" s="1311"/>
      <c r="Y68" s="1311"/>
      <c r="Z68" s="1311"/>
    </row>
    <row r="69" spans="1:26" x14ac:dyDescent="0.25">
      <c r="A69" s="837" t="s">
        <v>1188</v>
      </c>
      <c r="B69" s="791" t="str">
        <f ca="1">IFERROR(_xlfn.CONCAT(IF('Customer Inputs'!$U$8="Existing",IF('Customer Inputs'!T8=0,SUBSTITUTE(ADDRESS(1,MATCH(O69,INDIRECT("'"&amp;E69&amp;"'"&amp;"!$A$5:$Z$5"),0),4),1,""),SUBSTITUTE(ADDRESS(1,MATCH(A69,INDIRECT("'"&amp;E69&amp;"'"&amp;"!A$5:Z$5"),0),4),1,"")),SUBSTITUTE(ADDRESS(1,MATCH(A69,INDIRECT("'"&amp;E69&amp;"'"&amp;"!A$5:Z$5"),0),4),1,"")),8),"")</f>
        <v>T8</v>
      </c>
      <c r="C69" s="791" t="str">
        <f ca="1">IFERROR(IF('Customer Inputs'!$U$8="Existing",IF('Customer Inputs'!T8=0,SUBSTITUTE(ADDRESS(1,MATCH(O69,INDIRECT("'"&amp;E69&amp;"'"&amp;"!$A$5:$Z$5"),0),4),1,""),SUBSTITUTE(ADDRESS(1,MATCH(A69,INDIRECT("'"&amp;E69&amp;"'"&amp;"!A$5:Z$5"),0),4),1,"")),SUBSTITUTE(ADDRESS(1,MATCH(A69,INDIRECT("'"&amp;E69&amp;"'"&amp;"!A$5:Z$5"),0),4),1,"")),"")</f>
        <v>T</v>
      </c>
      <c r="D69" s="791" t="s">
        <v>1357</v>
      </c>
      <c r="E69" s="791" t="s">
        <v>870</v>
      </c>
      <c r="F69" s="791"/>
      <c r="G69" s="791"/>
      <c r="H69" s="791"/>
      <c r="I69" s="1274" t="str">
        <f t="shared" si="13"/>
        <v/>
      </c>
      <c r="J69" s="1314"/>
      <c r="K69" s="1314" t="str">
        <f t="shared" si="14"/>
        <v/>
      </c>
      <c r="L69" s="825" t="s">
        <v>1188</v>
      </c>
      <c r="M69" s="1314">
        <v>84</v>
      </c>
      <c r="N69" s="791"/>
      <c r="O69" s="1311" t="s">
        <v>1184</v>
      </c>
      <c r="P69" s="1311"/>
      <c r="Q69" s="1311"/>
      <c r="R69" s="1311"/>
      <c r="S69" s="1311"/>
      <c r="T69" s="1311"/>
      <c r="U69" s="1311"/>
      <c r="V69" s="1311"/>
      <c r="W69" s="1311"/>
      <c r="X69" s="1311"/>
      <c r="Y69" s="1311"/>
      <c r="Z69" s="1311"/>
    </row>
    <row r="70" spans="1:26" x14ac:dyDescent="0.25">
      <c r="A70" s="837" t="s">
        <v>1189</v>
      </c>
      <c r="B70" s="791" t="str">
        <f t="shared" ca="1" si="12"/>
        <v>U8</v>
      </c>
      <c r="C70" s="791" t="str">
        <f t="shared" ca="1" si="10"/>
        <v>U</v>
      </c>
      <c r="D70" s="791" t="s">
        <v>1357</v>
      </c>
      <c r="E70" s="791" t="s">
        <v>870</v>
      </c>
      <c r="F70" s="791"/>
      <c r="G70" s="791"/>
      <c r="H70" s="791"/>
      <c r="I70" s="1274" t="str">
        <f t="shared" si="13"/>
        <v/>
      </c>
      <c r="J70" s="1314"/>
      <c r="K70" s="1314" t="str">
        <f t="shared" si="14"/>
        <v/>
      </c>
      <c r="L70" s="825" t="s">
        <v>1189</v>
      </c>
      <c r="M70" s="1314">
        <v>85</v>
      </c>
      <c r="N70" s="791"/>
      <c r="O70" s="1311"/>
      <c r="P70" s="1311"/>
      <c r="Q70" s="1311"/>
      <c r="R70" s="1311"/>
      <c r="S70" s="1311"/>
      <c r="T70" s="1311"/>
      <c r="U70" s="1311"/>
      <c r="V70" s="1311"/>
      <c r="W70" s="1311"/>
      <c r="X70" s="1311"/>
      <c r="Y70" s="1311"/>
      <c r="Z70" s="1311"/>
    </row>
    <row r="71" spans="1:26" x14ac:dyDescent="0.25">
      <c r="A71" s="837" t="s">
        <v>1339</v>
      </c>
      <c r="B71" s="791" t="str">
        <f t="shared" ca="1" si="12"/>
        <v>V8</v>
      </c>
      <c r="C71" s="791" t="str">
        <f t="shared" ca="1" si="10"/>
        <v>V</v>
      </c>
      <c r="D71" s="791" t="s">
        <v>1357</v>
      </c>
      <c r="E71" s="791" t="s">
        <v>870</v>
      </c>
      <c r="F71" s="791"/>
      <c r="G71" s="791"/>
      <c r="H71" s="791"/>
      <c r="I71" s="1274" t="str">
        <f t="shared" si="13"/>
        <v/>
      </c>
      <c r="J71" s="1314"/>
      <c r="K71" s="1314" t="str">
        <f t="shared" si="14"/>
        <v/>
      </c>
      <c r="L71" s="825" t="s">
        <v>1428</v>
      </c>
      <c r="M71" s="1314">
        <v>86</v>
      </c>
      <c r="N71" s="791"/>
      <c r="O71" s="1311"/>
      <c r="P71" s="1311"/>
      <c r="Q71" s="1311"/>
      <c r="R71" s="1311"/>
      <c r="S71" s="1311"/>
      <c r="T71" s="1311"/>
      <c r="U71" s="1311"/>
      <c r="V71" s="1311"/>
      <c r="W71" s="1311"/>
      <c r="X71" s="1311"/>
      <c r="Y71" s="1311"/>
      <c r="Z71" s="1311"/>
    </row>
    <row r="72" spans="1:26" x14ac:dyDescent="0.25">
      <c r="A72" s="837" t="s">
        <v>1631</v>
      </c>
      <c r="B72" s="791" t="str">
        <f t="shared" ca="1" si="12"/>
        <v>W8</v>
      </c>
      <c r="C72" s="791" t="str">
        <f t="shared" ca="1" si="10"/>
        <v>W</v>
      </c>
      <c r="D72" s="791" t="s">
        <v>1357</v>
      </c>
      <c r="E72" s="791" t="s">
        <v>870</v>
      </c>
      <c r="F72" s="791"/>
      <c r="G72" s="791"/>
      <c r="H72" s="791"/>
      <c r="I72" s="1274" t="str">
        <f t="shared" si="13"/>
        <v>Add or End Customer</v>
      </c>
      <c r="J72" s="1314" t="str">
        <f>IF(M72&lt;&gt;"",Q$1&amp;M72,"")</f>
        <v>F87</v>
      </c>
      <c r="K72" s="1314" t="str">
        <f t="shared" si="14"/>
        <v>Customer Inputs</v>
      </c>
      <c r="L72" s="825" t="s">
        <v>1631</v>
      </c>
      <c r="M72" s="1314">
        <v>87</v>
      </c>
      <c r="N72" s="791"/>
      <c r="O72" s="1311"/>
      <c r="P72" s="1311"/>
      <c r="Q72" s="1311"/>
      <c r="R72" s="1311"/>
      <c r="S72" s="1311"/>
      <c r="T72" s="1311"/>
      <c r="U72" s="1311"/>
      <c r="V72" s="1311"/>
      <c r="W72" s="1311"/>
      <c r="X72" s="1311"/>
      <c r="Y72" s="1311"/>
      <c r="Z72" s="1311"/>
    </row>
    <row r="73" spans="1:26" x14ac:dyDescent="0.25">
      <c r="A73" s="838" t="s">
        <v>1182</v>
      </c>
      <c r="B73" s="791" t="str">
        <f ca="1">_xlfn.IFNA(_xlfn.CONCAT(SUBSTITUTE(ADDRESS(1,MATCH(A73,INDIRECT("'"&amp;E73&amp;"'"&amp;"!A5:Z5"),0),4),1,""),9),"")</f>
        <v>H9</v>
      </c>
      <c r="C73" s="791" t="str">
        <f t="shared" ca="1" si="10"/>
        <v>H</v>
      </c>
      <c r="D73" s="791" t="s">
        <v>1357</v>
      </c>
      <c r="E73" s="791" t="s">
        <v>870</v>
      </c>
      <c r="F73" s="791"/>
      <c r="G73" s="791"/>
      <c r="H73" s="791"/>
      <c r="I73" s="1274" t="str">
        <f t="shared" si="13"/>
        <v>Pyramid Segment</v>
      </c>
      <c r="J73" s="1314" t="str">
        <f>IF(AND(P1224="",M73&lt;&gt;""),Q$1&amp;M73,"")</f>
        <v>F98</v>
      </c>
      <c r="K73" s="1314" t="str">
        <f t="shared" si="14"/>
        <v>Customer Inputs</v>
      </c>
      <c r="L73" s="791" t="s">
        <v>1182</v>
      </c>
      <c r="M73" s="1314">
        <v>98</v>
      </c>
      <c r="N73" s="791"/>
      <c r="O73" s="1311"/>
      <c r="P73" s="1311"/>
      <c r="Q73" s="1311"/>
      <c r="R73" s="1311"/>
      <c r="S73" s="1311"/>
      <c r="T73" s="1311"/>
      <c r="U73" s="1311"/>
      <c r="V73" s="1311"/>
      <c r="W73" s="1311"/>
      <c r="X73" s="1311"/>
      <c r="Y73" s="1311"/>
      <c r="Z73" s="1311"/>
    </row>
    <row r="74" spans="1:26" x14ac:dyDescent="0.25">
      <c r="A74" s="839" t="s">
        <v>1262</v>
      </c>
      <c r="B74" s="791" t="str">
        <f t="shared" ref="B74:B82" ca="1" si="15">_xlfn.IFNA(_xlfn.CONCAT(SUBSTITUTE(ADDRESS(1,MATCH(A74,INDIRECT("'"&amp;E74&amp;"'"&amp;"!A5:Z5"),0),4),1,""),9),"")</f>
        <v>I9</v>
      </c>
      <c r="C74" s="791" t="str">
        <f t="shared" ca="1" si="10"/>
        <v>I</v>
      </c>
      <c r="D74" s="791" t="s">
        <v>1357</v>
      </c>
      <c r="E74" s="791" t="s">
        <v>870</v>
      </c>
      <c r="F74" s="791"/>
      <c r="G74" s="791"/>
      <c r="H74" s="791"/>
      <c r="I74" s="1274" t="str">
        <f t="shared" si="13"/>
        <v>Agreement Annual Purchase Commitment</v>
      </c>
      <c r="J74" s="1314" t="str">
        <f>Q$1&amp;IF(Q74&lt;&gt;"",M74,M76)</f>
        <v>F102</v>
      </c>
      <c r="K74" s="1314" t="str">
        <f t="shared" si="14"/>
        <v>Customer Inputs</v>
      </c>
      <c r="L74" s="52" t="s">
        <v>1262</v>
      </c>
      <c r="M74" s="1314">
        <v>100</v>
      </c>
      <c r="N74" s="791"/>
      <c r="O74" s="1311"/>
      <c r="P74" s="1311"/>
      <c r="Q74" s="1311"/>
      <c r="R74" s="1311"/>
      <c r="S74" s="1311"/>
      <c r="T74" s="1311"/>
      <c r="U74" s="1311"/>
      <c r="V74" s="1311"/>
      <c r="W74" s="1311"/>
      <c r="X74" s="1311"/>
      <c r="Y74" s="1311"/>
      <c r="Z74" s="1311"/>
    </row>
    <row r="75" spans="1:26" ht="30" x14ac:dyDescent="0.25">
      <c r="A75" s="838" t="s">
        <v>1263</v>
      </c>
      <c r="B75" s="791" t="str">
        <f t="shared" ca="1" si="15"/>
        <v>J9</v>
      </c>
      <c r="C75" s="791" t="str">
        <f t="shared" ca="1" si="10"/>
        <v>J</v>
      </c>
      <c r="D75" s="791" t="s">
        <v>1357</v>
      </c>
      <c r="E75" s="791" t="s">
        <v>870</v>
      </c>
      <c r="F75" s="791"/>
      <c r="G75" s="791"/>
      <c r="H75" s="791"/>
      <c r="I75" s="1274" t="str">
        <f t="shared" si="13"/>
        <v>Agreement Deliveries Per Customer Unit Per Week</v>
      </c>
      <c r="J75" s="1314" t="str">
        <f>Q$1&amp;IF(Q75&lt;&gt;"",M75,M77)</f>
        <v>F103</v>
      </c>
      <c r="K75" s="1314" t="str">
        <f t="shared" si="14"/>
        <v>Customer Inputs</v>
      </c>
      <c r="L75" s="791" t="s">
        <v>1263</v>
      </c>
      <c r="M75" s="1314">
        <v>101</v>
      </c>
      <c r="N75" s="791"/>
      <c r="O75" s="1311"/>
      <c r="P75" s="1311"/>
      <c r="Q75" s="1311"/>
      <c r="R75" s="1311"/>
      <c r="S75" s="1311"/>
      <c r="T75" s="1311"/>
      <c r="U75" s="1311"/>
      <c r="V75" s="1311"/>
      <c r="W75" s="1311"/>
      <c r="X75" s="1311"/>
      <c r="Y75" s="1311"/>
      <c r="Z75" s="1311"/>
    </row>
    <row r="76" spans="1:26" x14ac:dyDescent="0.25">
      <c r="A76" s="838" t="s">
        <v>1185</v>
      </c>
      <c r="B76" s="791" t="str">
        <f ca="1">IFERROR(_xlfn.CONCAT(IF('Customer Inputs'!$U$9="Existing",IF('Customer Inputs'!P9=0,SUBSTITUTE(ADDRESS(1,MATCH(O76,INDIRECT("'"&amp;E76&amp;"'"&amp;"!$A$5:$Z$5"),0),4),1,""),SUBSTITUTE(ADDRESS(1,MATCH(A76,INDIRECT("'"&amp;E76&amp;"'"&amp;"!A$5:Z$5"),0),4),1,"")),SUBSTITUTE(ADDRESS(1,MATCH(A76,INDIRECT("'"&amp;E76&amp;"'"&amp;"!A$5:Z$5"),0),4),1,"")),9),"")</f>
        <v>P9</v>
      </c>
      <c r="C76" s="791" t="str">
        <f ca="1">IFERROR(IF('Customer Inputs'!$U$9="Existing",IF('Customer Inputs'!P9=0,SUBSTITUTE(ADDRESS(1,MATCH(O76,INDIRECT("'"&amp;E76&amp;"'"&amp;"!$A$5:$Z$5"),0),4),1,""),SUBSTITUTE(ADDRESS(1,MATCH(A76,INDIRECT("'"&amp;E76&amp;"'"&amp;"!A$5:Z$5"),0),4),1,"")),SUBSTITUTE(ADDRESS(1,MATCH(A76,INDIRECT("'"&amp;E76&amp;"'"&amp;"!A$5:Z$5"),0),4),1,"")),"")</f>
        <v>P</v>
      </c>
      <c r="D76" s="791" t="s">
        <v>1357</v>
      </c>
      <c r="E76" s="791" t="s">
        <v>870</v>
      </c>
      <c r="F76" s="791"/>
      <c r="G76" s="791"/>
      <c r="H76" s="791"/>
      <c r="I76" s="1274" t="str">
        <f t="shared" si="13"/>
        <v/>
      </c>
      <c r="J76" s="1314"/>
      <c r="K76" s="1314" t="str">
        <f t="shared" si="14"/>
        <v/>
      </c>
      <c r="L76" s="791" t="s">
        <v>1185</v>
      </c>
      <c r="M76" s="1314">
        <v>102</v>
      </c>
      <c r="N76" s="791"/>
      <c r="O76" s="1311" t="s">
        <v>868</v>
      </c>
      <c r="P76" s="1311"/>
      <c r="Q76" s="1311"/>
      <c r="R76" s="1311"/>
      <c r="S76" s="1311"/>
      <c r="T76" s="1311"/>
      <c r="U76" s="1311"/>
      <c r="V76" s="1311"/>
      <c r="W76" s="1311"/>
      <c r="X76" s="1311"/>
      <c r="Y76" s="1311"/>
      <c r="Z76" s="1311"/>
    </row>
    <row r="77" spans="1:26" x14ac:dyDescent="0.25">
      <c r="A77" s="840" t="s">
        <v>1186</v>
      </c>
      <c r="B77" s="791" t="str">
        <f ca="1">IFERROR(_xlfn.CONCAT(IF('Customer Inputs'!$U$9="Existing",IF('Customer Inputs'!Q9=0,SUBSTITUTE(ADDRESS(1,MATCH(O77,INDIRECT("'"&amp;E77&amp;"'"&amp;"!$A$5:$Z$5"),0),4),1,""),SUBSTITUTE(ADDRESS(1,MATCH(A77,INDIRECT("'"&amp;E77&amp;"'"&amp;"!A$5:Z$5"),0),4),1,"")),SUBSTITUTE(ADDRESS(1,MATCH(A77,INDIRECT("'"&amp;E77&amp;"'"&amp;"!A$5:Z$5"),0),4),1,"")),9),"")</f>
        <v>Q9</v>
      </c>
      <c r="C77" s="791" t="str">
        <f ca="1">IFERROR(IF('Customer Inputs'!$U$9="Existing",IF('Customer Inputs'!Q9=0,SUBSTITUTE(ADDRESS(1,MATCH(O77,INDIRECT("'"&amp;E77&amp;"'"&amp;"!$A$5:$Z$5"),0),4),1,""),SUBSTITUTE(ADDRESS(1,MATCH(A77,INDIRECT("'"&amp;E77&amp;"'"&amp;"!A$5:Z$5"),0),4),1,"")),SUBSTITUTE(ADDRESS(1,MATCH(A77,INDIRECT("'"&amp;E77&amp;"'"&amp;"!A$5:Z$5"),0),4),1,"")),"")</f>
        <v>Q</v>
      </c>
      <c r="D77" s="791" t="s">
        <v>1357</v>
      </c>
      <c r="E77" s="791" t="s">
        <v>870</v>
      </c>
      <c r="F77" s="791"/>
      <c r="G77" s="791"/>
      <c r="H77" s="791"/>
      <c r="I77" s="1274" t="str">
        <f t="shared" si="13"/>
        <v/>
      </c>
      <c r="J77" s="1314"/>
      <c r="K77" s="1314" t="str">
        <f t="shared" si="14"/>
        <v/>
      </c>
      <c r="L77" s="825" t="s">
        <v>1186</v>
      </c>
      <c r="M77" s="1314">
        <v>103</v>
      </c>
      <c r="N77" s="791"/>
      <c r="O77" s="1311" t="s">
        <v>1183</v>
      </c>
      <c r="P77" s="1311"/>
      <c r="Q77" s="1311"/>
      <c r="R77" s="1311"/>
      <c r="S77" s="1311"/>
      <c r="T77" s="1311"/>
      <c r="U77" s="1311"/>
      <c r="V77" s="1311"/>
      <c r="W77" s="1311"/>
      <c r="X77" s="1311"/>
      <c r="Y77" s="1311"/>
      <c r="Z77" s="1311"/>
    </row>
    <row r="78" spans="1:26" x14ac:dyDescent="0.25">
      <c r="A78" s="840" t="s">
        <v>1187</v>
      </c>
      <c r="B78" s="791" t="str">
        <f ca="1">IFERROR(_xlfn.CONCAT(IF('Customer Inputs'!$U$9="Existing",IF('Customer Inputs'!R9=0,SUBSTITUTE(ADDRESS(1,MATCH(O78,INDIRECT("'"&amp;E78&amp;"'"&amp;"!$A$5:$Z$5"),0),4),1,""),SUBSTITUTE(ADDRESS(1,MATCH(A78,INDIRECT("'"&amp;E78&amp;"'"&amp;"!A$5:Z$5"),0),4),1,"")),SUBSTITUTE(ADDRESS(1,MATCH(A78,INDIRECT("'"&amp;E78&amp;"'"&amp;"!A$5:Z$5"),0),4),1,"")),9),"")</f>
        <v>R9</v>
      </c>
      <c r="C78" s="791" t="str">
        <f ca="1">IFERROR(IF('Customer Inputs'!$U$9="Existing",IF('Customer Inputs'!R9=0,SUBSTITUTE(ADDRESS(1,MATCH(O78,INDIRECT("'"&amp;E78&amp;"'"&amp;"!$A$5:$Z$5"),0),4),1,""),SUBSTITUTE(ADDRESS(1,MATCH(A78,INDIRECT("'"&amp;E78&amp;"'"&amp;"!A$5:Z$5"),0),4),1,"")),SUBSTITUTE(ADDRESS(1,MATCH(A78,INDIRECT("'"&amp;E78&amp;"'"&amp;"!A$5:Z$5"),0),4),1,"")),"")</f>
        <v>R</v>
      </c>
      <c r="D78" s="791" t="s">
        <v>1357</v>
      </c>
      <c r="E78" s="791" t="s">
        <v>870</v>
      </c>
      <c r="F78" s="791"/>
      <c r="G78" s="791"/>
      <c r="H78" s="791"/>
      <c r="I78" s="1274" t="str">
        <f t="shared" si="13"/>
        <v/>
      </c>
      <c r="J78" s="1490"/>
      <c r="K78" s="1314" t="str">
        <f t="shared" si="14"/>
        <v/>
      </c>
      <c r="L78" s="825" t="s">
        <v>1187</v>
      </c>
      <c r="M78" s="1314">
        <v>104</v>
      </c>
      <c r="N78" s="791"/>
      <c r="O78" s="1311" t="s">
        <v>1190</v>
      </c>
      <c r="P78" s="1311"/>
      <c r="Q78" s="1311"/>
      <c r="R78" s="1311"/>
      <c r="S78" s="1311"/>
      <c r="T78" s="1311"/>
      <c r="U78" s="1311"/>
      <c r="V78" s="1311"/>
      <c r="W78" s="1311"/>
      <c r="X78" s="1311"/>
      <c r="Y78" s="1311"/>
      <c r="Z78" s="1311"/>
    </row>
    <row r="79" spans="1:26" x14ac:dyDescent="0.25">
      <c r="A79" s="840" t="s">
        <v>1188</v>
      </c>
      <c r="B79" s="791" t="str">
        <f ca="1">IFERROR(_xlfn.CONCAT(IF('Customer Inputs'!$U$9="Existing",IF('Customer Inputs'!T9=0,SUBSTITUTE(ADDRESS(1,MATCH(O79,INDIRECT("'"&amp;E79&amp;"'"&amp;"!$A$5:$Z$5"),0),4),1,""),SUBSTITUTE(ADDRESS(1,MATCH(A79,INDIRECT("'"&amp;E79&amp;"'"&amp;"!A$5:Z$5"),0),4),1,"")),SUBSTITUTE(ADDRESS(1,MATCH(A79,INDIRECT("'"&amp;E79&amp;"'"&amp;"!A$5:Z$5"),0),4),1,"")),9),"")</f>
        <v>T9</v>
      </c>
      <c r="C79" s="791" t="str">
        <f ca="1">IFERROR(IF('Customer Inputs'!$U$9="Existing",IF('Customer Inputs'!T9=0,SUBSTITUTE(ADDRESS(1,MATCH(O79,INDIRECT("'"&amp;E79&amp;"'"&amp;"!$A$5:$Z$5"),0),4),1,""),SUBSTITUTE(ADDRESS(1,MATCH(A79,INDIRECT("'"&amp;E79&amp;"'"&amp;"!A$5:Z$5"),0),4),1,"")),SUBSTITUTE(ADDRESS(1,MATCH(A79,INDIRECT("'"&amp;E79&amp;"'"&amp;"!A$5:Z$5"),0),4),1,"")),"")</f>
        <v>T</v>
      </c>
      <c r="D79" s="791" t="s">
        <v>1357</v>
      </c>
      <c r="E79" s="791" t="s">
        <v>870</v>
      </c>
      <c r="F79" s="791"/>
      <c r="G79" s="791"/>
      <c r="H79" s="791"/>
      <c r="I79" s="1274" t="str">
        <f t="shared" si="13"/>
        <v/>
      </c>
      <c r="J79" s="1314"/>
      <c r="K79" s="1314" t="str">
        <f t="shared" si="14"/>
        <v/>
      </c>
      <c r="L79" s="825" t="s">
        <v>1188</v>
      </c>
      <c r="M79" s="1314">
        <v>105</v>
      </c>
      <c r="N79" s="791"/>
      <c r="O79" s="1311" t="s">
        <v>1184</v>
      </c>
      <c r="P79" s="1311"/>
      <c r="Q79" s="1311"/>
      <c r="R79" s="1311"/>
      <c r="S79" s="1311"/>
      <c r="T79" s="1311"/>
      <c r="U79" s="1311"/>
      <c r="V79" s="1311"/>
      <c r="W79" s="1311"/>
      <c r="X79" s="1311"/>
      <c r="Y79" s="1311"/>
      <c r="Z79" s="1311"/>
    </row>
    <row r="80" spans="1:26" x14ac:dyDescent="0.25">
      <c r="A80" s="840" t="s">
        <v>1189</v>
      </c>
      <c r="B80" s="791" t="str">
        <f t="shared" ca="1" si="15"/>
        <v>U9</v>
      </c>
      <c r="C80" s="791" t="str">
        <f t="shared" ca="1" si="10"/>
        <v>U</v>
      </c>
      <c r="D80" s="791" t="s">
        <v>1357</v>
      </c>
      <c r="E80" s="791" t="s">
        <v>870</v>
      </c>
      <c r="F80" s="791"/>
      <c r="G80" s="791"/>
      <c r="H80" s="791"/>
      <c r="I80" s="1274" t="str">
        <f t="shared" si="13"/>
        <v/>
      </c>
      <c r="J80" s="1314"/>
      <c r="K80" s="1314" t="str">
        <f t="shared" si="14"/>
        <v/>
      </c>
      <c r="L80" s="825" t="s">
        <v>1189</v>
      </c>
      <c r="M80" s="1314">
        <v>106</v>
      </c>
      <c r="N80" s="791"/>
      <c r="O80" s="1311"/>
      <c r="P80" s="1311"/>
      <c r="Q80" s="1311"/>
      <c r="R80" s="1311"/>
      <c r="S80" s="1311"/>
      <c r="T80" s="1311"/>
      <c r="U80" s="1311"/>
      <c r="V80" s="1311"/>
      <c r="W80" s="1311"/>
      <c r="X80" s="1311"/>
      <c r="Y80" s="1311"/>
      <c r="Z80" s="1311"/>
    </row>
    <row r="81" spans="1:26" x14ac:dyDescent="0.25">
      <c r="A81" s="840" t="s">
        <v>1339</v>
      </c>
      <c r="B81" s="791" t="str">
        <f t="shared" ca="1" si="15"/>
        <v>V9</v>
      </c>
      <c r="C81" s="791" t="str">
        <f t="shared" ca="1" si="10"/>
        <v>V</v>
      </c>
      <c r="D81" s="791" t="s">
        <v>1357</v>
      </c>
      <c r="E81" s="791" t="s">
        <v>870</v>
      </c>
      <c r="F81" s="791"/>
      <c r="G81" s="791"/>
      <c r="H81" s="791"/>
      <c r="I81" s="1274" t="str">
        <f t="shared" si="13"/>
        <v/>
      </c>
      <c r="J81" s="1314"/>
      <c r="K81" s="1314" t="str">
        <f t="shared" si="14"/>
        <v/>
      </c>
      <c r="L81" s="825" t="s">
        <v>1428</v>
      </c>
      <c r="M81" s="1314">
        <v>107</v>
      </c>
      <c r="N81" s="791"/>
      <c r="O81" s="1311"/>
      <c r="P81" s="1311"/>
      <c r="Q81" s="1311"/>
      <c r="R81" s="1311"/>
      <c r="S81" s="1311"/>
      <c r="T81" s="1311"/>
      <c r="U81" s="1311"/>
      <c r="V81" s="1311"/>
      <c r="W81" s="1311"/>
      <c r="X81" s="1311"/>
      <c r="Y81" s="1311"/>
      <c r="Z81" s="1311"/>
    </row>
    <row r="82" spans="1:26" x14ac:dyDescent="0.25">
      <c r="A82" s="840" t="s">
        <v>1631</v>
      </c>
      <c r="B82" s="791" t="str">
        <f t="shared" ca="1" si="15"/>
        <v>W9</v>
      </c>
      <c r="C82" s="791" t="str">
        <f t="shared" ca="1" si="10"/>
        <v>W</v>
      </c>
      <c r="D82" s="791" t="s">
        <v>1357</v>
      </c>
      <c r="E82" s="791" t="s">
        <v>870</v>
      </c>
      <c r="F82" s="791"/>
      <c r="G82" s="791"/>
      <c r="H82" s="791"/>
      <c r="I82" s="1274" t="str">
        <f t="shared" si="13"/>
        <v>Add or End Customer</v>
      </c>
      <c r="J82" s="1314" t="str">
        <f>IF(M82&lt;&gt;"",Q$1&amp;M82,"")</f>
        <v>F108</v>
      </c>
      <c r="K82" s="1314" t="str">
        <f t="shared" si="14"/>
        <v>Customer Inputs</v>
      </c>
      <c r="L82" s="825" t="s">
        <v>1631</v>
      </c>
      <c r="M82" s="1314">
        <v>108</v>
      </c>
      <c r="N82" s="791"/>
      <c r="O82" s="1311"/>
      <c r="P82" s="1311"/>
      <c r="Q82" s="1311"/>
      <c r="R82" s="1311"/>
      <c r="S82" s="1311"/>
      <c r="T82" s="1311"/>
      <c r="U82" s="1311"/>
      <c r="V82" s="1311"/>
      <c r="W82" s="1311"/>
      <c r="X82" s="1311"/>
      <c r="Y82" s="1311"/>
      <c r="Z82" s="1311"/>
    </row>
    <row r="83" spans="1:26" x14ac:dyDescent="0.25">
      <c r="A83" s="835" t="s">
        <v>1182</v>
      </c>
      <c r="B83" s="791" t="str">
        <f ca="1">_xlfn.IFNA(_xlfn.CONCAT(SUBSTITUTE(ADDRESS(1,MATCH(A83,INDIRECT("'"&amp;E83&amp;"'"&amp;"!A5:Z5"),0),4),1,""),10),"")</f>
        <v>H10</v>
      </c>
      <c r="C83" s="791" t="str">
        <f t="shared" ca="1" si="10"/>
        <v>H</v>
      </c>
      <c r="D83" s="791" t="s">
        <v>1357</v>
      </c>
      <c r="E83" s="791" t="s">
        <v>870</v>
      </c>
      <c r="F83" s="791"/>
      <c r="G83" s="791"/>
      <c r="H83" s="791"/>
      <c r="I83" s="1274" t="str">
        <f t="shared" si="13"/>
        <v>Pyramid Segment</v>
      </c>
      <c r="J83" s="1314" t="str">
        <f>IF(AND(P1225="",M83&lt;&gt;""),Q$1&amp;M83,"")</f>
        <v>F119</v>
      </c>
      <c r="K83" s="1314" t="str">
        <f t="shared" si="14"/>
        <v>Customer Inputs</v>
      </c>
      <c r="L83" s="791" t="s">
        <v>1182</v>
      </c>
      <c r="M83" s="1314">
        <v>119</v>
      </c>
      <c r="N83" s="791"/>
      <c r="O83" s="1311"/>
      <c r="P83" s="1311"/>
      <c r="Q83" s="1311"/>
      <c r="R83" s="1311"/>
      <c r="S83" s="1311"/>
      <c r="T83" s="1311"/>
      <c r="U83" s="1311"/>
      <c r="V83" s="1311"/>
      <c r="W83" s="1311"/>
      <c r="X83" s="1311"/>
      <c r="Y83" s="1311"/>
      <c r="Z83" s="1311"/>
    </row>
    <row r="84" spans="1:26" x14ac:dyDescent="0.25">
      <c r="A84" s="836" t="s">
        <v>1262</v>
      </c>
      <c r="B84" s="791" t="str">
        <f t="shared" ref="B84:B92" ca="1" si="16">_xlfn.IFNA(_xlfn.CONCAT(SUBSTITUTE(ADDRESS(1,MATCH(A84,INDIRECT("'"&amp;E84&amp;"'"&amp;"!A5:Z5"),0),4),1,""),10),"")</f>
        <v>I10</v>
      </c>
      <c r="C84" s="791" t="str">
        <f t="shared" ca="1" si="10"/>
        <v>I</v>
      </c>
      <c r="D84" s="791" t="s">
        <v>1357</v>
      </c>
      <c r="E84" s="791" t="s">
        <v>870</v>
      </c>
      <c r="F84" s="791"/>
      <c r="G84" s="791"/>
      <c r="H84" s="791"/>
      <c r="I84" s="1274" t="str">
        <f t="shared" si="13"/>
        <v>Agreement Annual Purchase Commitment</v>
      </c>
      <c r="J84" s="1314" t="str">
        <f>Q$1&amp;IF(Q84&lt;&gt;"",M84,M86)</f>
        <v>F123</v>
      </c>
      <c r="K84" s="1314" t="str">
        <f t="shared" si="14"/>
        <v>Customer Inputs</v>
      </c>
      <c r="L84" s="52" t="s">
        <v>1262</v>
      </c>
      <c r="M84" s="1314">
        <v>121</v>
      </c>
      <c r="N84" s="791"/>
      <c r="O84" s="1311"/>
      <c r="P84" s="1311"/>
      <c r="Q84" s="1311"/>
      <c r="R84" s="1311"/>
      <c r="S84" s="1311"/>
      <c r="T84" s="1311"/>
      <c r="U84" s="1311"/>
      <c r="V84" s="1311"/>
      <c r="W84" s="1311"/>
      <c r="X84" s="1311"/>
      <c r="Y84" s="1311"/>
      <c r="Z84" s="1311"/>
    </row>
    <row r="85" spans="1:26" ht="30" x14ac:dyDescent="0.25">
      <c r="A85" s="835" t="s">
        <v>1263</v>
      </c>
      <c r="B85" s="791" t="str">
        <f t="shared" ca="1" si="16"/>
        <v>J10</v>
      </c>
      <c r="C85" s="791" t="str">
        <f t="shared" ca="1" si="10"/>
        <v>J</v>
      </c>
      <c r="D85" s="791" t="s">
        <v>1357</v>
      </c>
      <c r="E85" s="791" t="s">
        <v>870</v>
      </c>
      <c r="F85" s="791"/>
      <c r="G85" s="791"/>
      <c r="H85" s="791"/>
      <c r="I85" s="1274" t="str">
        <f t="shared" si="13"/>
        <v>Agreement Deliveries Per Customer Unit Per Week</v>
      </c>
      <c r="J85" s="1314" t="str">
        <f>Q$1&amp;IF(Q85&lt;&gt;"",M85,M87)</f>
        <v>F124</v>
      </c>
      <c r="K85" s="1314" t="str">
        <f t="shared" si="14"/>
        <v>Customer Inputs</v>
      </c>
      <c r="L85" s="791" t="s">
        <v>1263</v>
      </c>
      <c r="M85" s="1314">
        <v>122</v>
      </c>
      <c r="N85" s="791"/>
      <c r="O85" s="1311"/>
      <c r="P85" s="1311"/>
      <c r="Q85" s="1311"/>
      <c r="R85" s="1311"/>
      <c r="S85" s="1311"/>
      <c r="T85" s="1311"/>
      <c r="U85" s="1311"/>
      <c r="V85" s="1311"/>
      <c r="W85" s="1311"/>
      <c r="X85" s="1311"/>
      <c r="Y85" s="1311"/>
      <c r="Z85" s="1311"/>
    </row>
    <row r="86" spans="1:26" x14ac:dyDescent="0.25">
      <c r="A86" s="835" t="s">
        <v>1185</v>
      </c>
      <c r="B86" s="791" t="str">
        <f ca="1">IFERROR(_xlfn.CONCAT(IF('Customer Inputs'!$U$10="Existing",IF('Customer Inputs'!P10=0,SUBSTITUTE(ADDRESS(1,MATCH(O86,INDIRECT("'"&amp;E86&amp;"'"&amp;"!$A$5:$Z$5"),0),4),1,""),SUBSTITUTE(ADDRESS(1,MATCH(A86,INDIRECT("'"&amp;E86&amp;"'"&amp;"!A$5:Z$5"),0),4),1,"")),SUBSTITUTE(ADDRESS(1,MATCH(A86,INDIRECT("'"&amp;E86&amp;"'"&amp;"!A$5:Z$5"),0),4),1,"")),10),"")</f>
        <v>P10</v>
      </c>
      <c r="C86" s="791" t="str">
        <f ca="1">IFERROR(IF('Customer Inputs'!$U$10="Existing",IF('Customer Inputs'!P10=0,SUBSTITUTE(ADDRESS(1,MATCH(O86,INDIRECT("'"&amp;E86&amp;"'"&amp;"!$A$5:$Z$5"),0),4),1,""),SUBSTITUTE(ADDRESS(1,MATCH(A86,INDIRECT("'"&amp;E86&amp;"'"&amp;"!A$5:Z$5"),0),4),1,"")),SUBSTITUTE(ADDRESS(1,MATCH(A86,INDIRECT("'"&amp;E86&amp;"'"&amp;"!A$5:Z$5"),0),4),1,"")),"")</f>
        <v>P</v>
      </c>
      <c r="D86" s="791" t="s">
        <v>1357</v>
      </c>
      <c r="E86" s="791" t="s">
        <v>870</v>
      </c>
      <c r="F86" s="791"/>
      <c r="G86" s="791"/>
      <c r="H86" s="791"/>
      <c r="I86" s="1274" t="str">
        <f t="shared" si="13"/>
        <v/>
      </c>
      <c r="J86" s="1314"/>
      <c r="K86" s="1314" t="str">
        <f t="shared" si="14"/>
        <v/>
      </c>
      <c r="L86" s="791" t="s">
        <v>1185</v>
      </c>
      <c r="M86" s="1314">
        <v>123</v>
      </c>
      <c r="N86" s="791"/>
      <c r="O86" s="1311" t="s">
        <v>868</v>
      </c>
      <c r="P86" s="1311"/>
      <c r="Q86" s="1311"/>
      <c r="R86" s="1311"/>
      <c r="S86" s="1311"/>
      <c r="T86" s="1311"/>
      <c r="U86" s="1311"/>
      <c r="V86" s="1311"/>
      <c r="W86" s="1311"/>
      <c r="X86" s="1311"/>
      <c r="Y86" s="1311"/>
      <c r="Z86" s="1311"/>
    </row>
    <row r="87" spans="1:26" x14ac:dyDescent="0.25">
      <c r="A87" s="837" t="s">
        <v>1186</v>
      </c>
      <c r="B87" s="791" t="str">
        <f ca="1">IFERROR(_xlfn.CONCAT(IF('Customer Inputs'!$U$10="Existing",IF('Customer Inputs'!Q10=0,SUBSTITUTE(ADDRESS(1,MATCH(O87,INDIRECT("'"&amp;E87&amp;"'"&amp;"!$A$5:$Z$5"),0),4),1,""),SUBSTITUTE(ADDRESS(1,MATCH(A87,INDIRECT("'"&amp;E87&amp;"'"&amp;"!A$5:Z$5"),0),4),1,"")),SUBSTITUTE(ADDRESS(1,MATCH(A87,INDIRECT("'"&amp;E87&amp;"'"&amp;"!A$5:Z$5"),0),4),1,"")),10),"")</f>
        <v>Q10</v>
      </c>
      <c r="C87" s="791" t="str">
        <f ca="1">IFERROR(IF('Customer Inputs'!$U$10="Existing",IF('Customer Inputs'!Q10=0,SUBSTITUTE(ADDRESS(1,MATCH(O87,INDIRECT("'"&amp;E87&amp;"'"&amp;"!$A$5:$Z$5"),0),4),1,""),SUBSTITUTE(ADDRESS(1,MATCH(A87,INDIRECT("'"&amp;E87&amp;"'"&amp;"!A$5:Z$5"),0),4),1,"")),SUBSTITUTE(ADDRESS(1,MATCH(A87,INDIRECT("'"&amp;E87&amp;"'"&amp;"!A$5:Z$5"),0),4),1,"")),"")</f>
        <v>Q</v>
      </c>
      <c r="D87" s="791" t="s">
        <v>1357</v>
      </c>
      <c r="E87" s="791" t="s">
        <v>870</v>
      </c>
      <c r="F87" s="791"/>
      <c r="G87" s="791"/>
      <c r="H87" s="791"/>
      <c r="I87" s="1274" t="str">
        <f t="shared" si="13"/>
        <v/>
      </c>
      <c r="J87" s="1314"/>
      <c r="K87" s="1314" t="str">
        <f t="shared" si="14"/>
        <v/>
      </c>
      <c r="L87" s="825" t="s">
        <v>1186</v>
      </c>
      <c r="M87" s="1314">
        <v>124</v>
      </c>
      <c r="N87" s="791"/>
      <c r="O87" s="1311" t="s">
        <v>1183</v>
      </c>
      <c r="P87" s="1311"/>
      <c r="Q87" s="1311"/>
      <c r="R87" s="1311"/>
      <c r="S87" s="1311"/>
      <c r="T87" s="1311"/>
      <c r="U87" s="1311"/>
      <c r="V87" s="1311"/>
      <c r="W87" s="1311"/>
      <c r="X87" s="1311"/>
      <c r="Y87" s="1311"/>
      <c r="Z87" s="1311"/>
    </row>
    <row r="88" spans="1:26" x14ac:dyDescent="0.25">
      <c r="A88" s="837" t="s">
        <v>1187</v>
      </c>
      <c r="B88" s="791" t="str">
        <f ca="1">IFERROR(_xlfn.CONCAT(IF('Customer Inputs'!$U$10="Existing",IF('Customer Inputs'!R10=0,SUBSTITUTE(ADDRESS(1,MATCH(O88,INDIRECT("'"&amp;E88&amp;"'"&amp;"!$A$5:$Z$5"),0),4),1,""),SUBSTITUTE(ADDRESS(1,MATCH(A88,INDIRECT("'"&amp;E88&amp;"'"&amp;"!A$5:Z$5"),0),4),1,"")),SUBSTITUTE(ADDRESS(1,MATCH(A88,INDIRECT("'"&amp;E88&amp;"'"&amp;"!A$5:Z$5"),0),4),1,"")),10),"")</f>
        <v>R10</v>
      </c>
      <c r="C88" s="791" t="str">
        <f ca="1">IFERROR(IF('Customer Inputs'!$U$10="Existing",IF('Customer Inputs'!R10=0,SUBSTITUTE(ADDRESS(1,MATCH(O88,INDIRECT("'"&amp;E88&amp;"'"&amp;"!$A$5:$Z$5"),0),4),1,""),SUBSTITUTE(ADDRESS(1,MATCH(A88,INDIRECT("'"&amp;E88&amp;"'"&amp;"!A$5:Z$5"),0),4),1,"")),SUBSTITUTE(ADDRESS(1,MATCH(A88,INDIRECT("'"&amp;E88&amp;"'"&amp;"!A$5:Z$5"),0),4),1,"")),"")</f>
        <v>R</v>
      </c>
      <c r="D88" s="791" t="s">
        <v>1357</v>
      </c>
      <c r="E88" s="791" t="s">
        <v>870</v>
      </c>
      <c r="F88" s="791"/>
      <c r="G88" s="791"/>
      <c r="H88" s="791"/>
      <c r="I88" s="1274" t="str">
        <f t="shared" si="13"/>
        <v/>
      </c>
      <c r="J88" s="1490"/>
      <c r="K88" s="1314" t="str">
        <f t="shared" si="14"/>
        <v/>
      </c>
      <c r="L88" s="825" t="s">
        <v>1187</v>
      </c>
      <c r="M88" s="1314">
        <v>125</v>
      </c>
      <c r="N88" s="791"/>
      <c r="O88" s="1311" t="s">
        <v>1190</v>
      </c>
      <c r="P88" s="1311"/>
      <c r="Q88" s="1311"/>
      <c r="R88" s="1311"/>
      <c r="S88" s="1311"/>
      <c r="T88" s="1311"/>
      <c r="U88" s="1311"/>
      <c r="V88" s="1311"/>
      <c r="W88" s="1311"/>
      <c r="X88" s="1311"/>
      <c r="Y88" s="1311"/>
      <c r="Z88" s="1311"/>
    </row>
    <row r="89" spans="1:26" x14ac:dyDescent="0.25">
      <c r="A89" s="837" t="s">
        <v>1188</v>
      </c>
      <c r="B89" s="791" t="str">
        <f ca="1">IFERROR(_xlfn.CONCAT(IF('Customer Inputs'!$U$10="Existing",IF('Customer Inputs'!T10=0,SUBSTITUTE(ADDRESS(1,MATCH(O89,INDIRECT("'"&amp;E89&amp;"'"&amp;"!$A$5:$Z$5"),0),4),1,""),SUBSTITUTE(ADDRESS(1,MATCH(A89,INDIRECT("'"&amp;E89&amp;"'"&amp;"!A$5:Z$5"),0),4),1,"")),SUBSTITUTE(ADDRESS(1,MATCH(A89,INDIRECT("'"&amp;E89&amp;"'"&amp;"!A$5:Z$5"),0),4),1,"")),10),"")</f>
        <v>T10</v>
      </c>
      <c r="C89" s="791" t="str">
        <f ca="1">IFERROR(IF('Customer Inputs'!$U$10="Existing",IF('Customer Inputs'!T10=0,SUBSTITUTE(ADDRESS(1,MATCH(O89,INDIRECT("'"&amp;E89&amp;"'"&amp;"!$A$5:$Z$5"),0),4),1,""),SUBSTITUTE(ADDRESS(1,MATCH(A89,INDIRECT("'"&amp;E89&amp;"'"&amp;"!A$5:Z$5"),0),4),1,"")),SUBSTITUTE(ADDRESS(1,MATCH(A89,INDIRECT("'"&amp;E89&amp;"'"&amp;"!A$5:Z$5"),0),4),1,"")),"")</f>
        <v>T</v>
      </c>
      <c r="D89" s="791" t="s">
        <v>1357</v>
      </c>
      <c r="E89" s="791" t="s">
        <v>870</v>
      </c>
      <c r="F89" s="791"/>
      <c r="G89" s="791"/>
      <c r="H89" s="791"/>
      <c r="I89" s="1274" t="str">
        <f t="shared" si="13"/>
        <v/>
      </c>
      <c r="J89" s="1314"/>
      <c r="K89" s="1314" t="str">
        <f t="shared" si="14"/>
        <v/>
      </c>
      <c r="L89" s="825" t="s">
        <v>1188</v>
      </c>
      <c r="M89" s="1314">
        <v>126</v>
      </c>
      <c r="N89" s="791"/>
      <c r="O89" s="1311" t="s">
        <v>1184</v>
      </c>
      <c r="P89" s="1311"/>
      <c r="Q89" s="1311"/>
      <c r="R89" s="1311"/>
      <c r="S89" s="1311"/>
      <c r="T89" s="1311"/>
      <c r="U89" s="1311"/>
      <c r="V89" s="1311"/>
      <c r="W89" s="1311"/>
      <c r="X89" s="1311"/>
      <c r="Y89" s="1311"/>
      <c r="Z89" s="1311"/>
    </row>
    <row r="90" spans="1:26" x14ac:dyDescent="0.25">
      <c r="A90" s="837" t="s">
        <v>1189</v>
      </c>
      <c r="B90" s="791" t="str">
        <f t="shared" ca="1" si="16"/>
        <v>U10</v>
      </c>
      <c r="C90" s="791" t="str">
        <f t="shared" ca="1" si="10"/>
        <v>U</v>
      </c>
      <c r="D90" s="791" t="s">
        <v>1357</v>
      </c>
      <c r="E90" s="791" t="s">
        <v>870</v>
      </c>
      <c r="F90" s="791"/>
      <c r="G90" s="791"/>
      <c r="H90" s="791"/>
      <c r="I90" s="1274" t="str">
        <f t="shared" si="13"/>
        <v/>
      </c>
      <c r="J90" s="1314"/>
      <c r="K90" s="1314" t="str">
        <f t="shared" si="14"/>
        <v/>
      </c>
      <c r="L90" s="825" t="s">
        <v>1189</v>
      </c>
      <c r="M90" s="1314">
        <v>127</v>
      </c>
      <c r="N90" s="791"/>
      <c r="O90" s="1311"/>
      <c r="P90" s="1311"/>
      <c r="Q90" s="1311"/>
      <c r="R90" s="1311"/>
      <c r="S90" s="1311"/>
      <c r="T90" s="1311"/>
      <c r="U90" s="1311"/>
      <c r="V90" s="1311"/>
      <c r="W90" s="1311"/>
      <c r="X90" s="1311"/>
      <c r="Y90" s="1311"/>
      <c r="Z90" s="1311"/>
    </row>
    <row r="91" spans="1:26" x14ac:dyDescent="0.25">
      <c r="A91" s="837" t="s">
        <v>1339</v>
      </c>
      <c r="B91" s="791" t="str">
        <f t="shared" ca="1" si="16"/>
        <v>V10</v>
      </c>
      <c r="C91" s="791" t="str">
        <f t="shared" ca="1" si="10"/>
        <v>V</v>
      </c>
      <c r="D91" s="791" t="s">
        <v>1357</v>
      </c>
      <c r="E91" s="791" t="s">
        <v>870</v>
      </c>
      <c r="F91" s="791"/>
      <c r="G91" s="791"/>
      <c r="H91" s="791"/>
      <c r="I91" s="1274" t="str">
        <f t="shared" si="13"/>
        <v/>
      </c>
      <c r="J91" s="1314"/>
      <c r="K91" s="1314" t="str">
        <f t="shared" si="14"/>
        <v/>
      </c>
      <c r="L91" s="825" t="s">
        <v>1428</v>
      </c>
      <c r="M91" s="1314">
        <v>128</v>
      </c>
      <c r="N91" s="791"/>
      <c r="O91" s="1311"/>
      <c r="P91" s="1311"/>
      <c r="Q91" s="1311"/>
      <c r="R91" s="1311"/>
      <c r="S91" s="1311"/>
      <c r="T91" s="1311"/>
      <c r="U91" s="1311"/>
      <c r="V91" s="1311"/>
      <c r="W91" s="1311"/>
      <c r="X91" s="1311"/>
      <c r="Y91" s="1311"/>
      <c r="Z91" s="1311"/>
    </row>
    <row r="92" spans="1:26" x14ac:dyDescent="0.25">
      <c r="A92" s="837" t="s">
        <v>1631</v>
      </c>
      <c r="B92" s="791" t="str">
        <f t="shared" ca="1" si="16"/>
        <v>W10</v>
      </c>
      <c r="C92" s="791" t="str">
        <f t="shared" ca="1" si="10"/>
        <v>W</v>
      </c>
      <c r="D92" s="791" t="s">
        <v>1357</v>
      </c>
      <c r="E92" s="791" t="s">
        <v>870</v>
      </c>
      <c r="F92" s="791"/>
      <c r="G92" s="791"/>
      <c r="H92" s="791"/>
      <c r="I92" s="1274" t="str">
        <f t="shared" si="13"/>
        <v>Add or End Customer</v>
      </c>
      <c r="J92" s="1314" t="str">
        <f>IF(M92&lt;&gt;"",Q$1&amp;M92,"")</f>
        <v>F129</v>
      </c>
      <c r="K92" s="1314" t="str">
        <f t="shared" si="14"/>
        <v>Customer Inputs</v>
      </c>
      <c r="L92" s="825" t="s">
        <v>1631</v>
      </c>
      <c r="M92" s="1314">
        <v>129</v>
      </c>
      <c r="N92" s="791"/>
      <c r="O92" s="1311"/>
      <c r="P92" s="1311"/>
      <c r="Q92" s="1311"/>
      <c r="R92" s="1311"/>
      <c r="S92" s="1311"/>
      <c r="T92" s="1311"/>
      <c r="U92" s="1311"/>
      <c r="V92" s="1311"/>
      <c r="W92" s="1311"/>
      <c r="X92" s="1311"/>
      <c r="Y92" s="1311"/>
      <c r="Z92" s="1311"/>
    </row>
    <row r="93" spans="1:26" x14ac:dyDescent="0.25">
      <c r="A93" s="838" t="s">
        <v>1182</v>
      </c>
      <c r="B93" s="791" t="str">
        <f ca="1">_xlfn.IFNA(_xlfn.CONCAT(SUBSTITUTE(ADDRESS(1,MATCH(A93,INDIRECT("'"&amp;E93&amp;"'"&amp;"!A5:Z5"),0),4),1,""),11),"")</f>
        <v>H11</v>
      </c>
      <c r="C93" s="791" t="str">
        <f t="shared" ca="1" si="10"/>
        <v>H</v>
      </c>
      <c r="D93" s="791" t="s">
        <v>1357</v>
      </c>
      <c r="E93" s="791" t="s">
        <v>870</v>
      </c>
      <c r="F93" s="791"/>
      <c r="G93" s="791"/>
      <c r="H93" s="791"/>
      <c r="I93" s="1274" t="str">
        <f t="shared" si="13"/>
        <v>Pyramid Segment</v>
      </c>
      <c r="J93" s="1314" t="str">
        <f>IF(AND(P1226="",M93&lt;&gt;""),Q$1&amp;M93,"")</f>
        <v>F140</v>
      </c>
      <c r="K93" s="1314" t="str">
        <f t="shared" si="14"/>
        <v>Customer Inputs</v>
      </c>
      <c r="L93" s="791" t="s">
        <v>1182</v>
      </c>
      <c r="M93" s="1314">
        <v>140</v>
      </c>
      <c r="N93" s="791"/>
      <c r="O93" s="1311"/>
      <c r="P93" s="1311"/>
      <c r="Q93" s="1311"/>
      <c r="R93" s="1311"/>
      <c r="S93" s="1311"/>
      <c r="T93" s="1311"/>
      <c r="U93" s="1311"/>
      <c r="V93" s="1311"/>
      <c r="W93" s="1311"/>
      <c r="X93" s="1311"/>
      <c r="Y93" s="1311"/>
      <c r="Z93" s="1311"/>
    </row>
    <row r="94" spans="1:26" x14ac:dyDescent="0.25">
      <c r="A94" s="839" t="s">
        <v>1262</v>
      </c>
      <c r="B94" s="791" t="str">
        <f t="shared" ref="B94:B102" ca="1" si="17">_xlfn.IFNA(_xlfn.CONCAT(SUBSTITUTE(ADDRESS(1,MATCH(A94,INDIRECT("'"&amp;E94&amp;"'"&amp;"!A5:Z5"),0),4),1,""),11),"")</f>
        <v>I11</v>
      </c>
      <c r="C94" s="791" t="str">
        <f t="shared" ca="1" si="10"/>
        <v>I</v>
      </c>
      <c r="D94" s="791" t="s">
        <v>1357</v>
      </c>
      <c r="E94" s="791" t="s">
        <v>870</v>
      </c>
      <c r="F94" s="791"/>
      <c r="G94" s="791"/>
      <c r="H94" s="791"/>
      <c r="I94" s="1274" t="str">
        <f t="shared" si="13"/>
        <v>Agreement Annual Purchase Commitment</v>
      </c>
      <c r="J94" s="1314" t="str">
        <f>Q$1&amp;IF(Q94&lt;&gt;"",M94,M96)</f>
        <v>F144</v>
      </c>
      <c r="K94" s="1314" t="str">
        <f t="shared" si="14"/>
        <v>Customer Inputs</v>
      </c>
      <c r="L94" s="52" t="s">
        <v>1262</v>
      </c>
      <c r="M94" s="1314">
        <v>142</v>
      </c>
      <c r="N94" s="791"/>
      <c r="O94" s="1311"/>
      <c r="P94" s="1311"/>
      <c r="Q94" s="1311"/>
      <c r="R94" s="1311"/>
      <c r="S94" s="1311"/>
      <c r="T94" s="1311"/>
      <c r="U94" s="1311"/>
      <c r="V94" s="1311"/>
      <c r="W94" s="1311"/>
      <c r="X94" s="1311"/>
      <c r="Y94" s="1311"/>
      <c r="Z94" s="1311"/>
    </row>
    <row r="95" spans="1:26" ht="30" x14ac:dyDescent="0.25">
      <c r="A95" s="838" t="s">
        <v>1263</v>
      </c>
      <c r="B95" s="791" t="str">
        <f t="shared" ca="1" si="17"/>
        <v>J11</v>
      </c>
      <c r="C95" s="791" t="str">
        <f t="shared" ca="1" si="10"/>
        <v>J</v>
      </c>
      <c r="D95" s="791" t="s">
        <v>1357</v>
      </c>
      <c r="E95" s="791" t="s">
        <v>870</v>
      </c>
      <c r="F95" s="791"/>
      <c r="G95" s="791"/>
      <c r="H95" s="791"/>
      <c r="I95" s="1274" t="str">
        <f t="shared" si="13"/>
        <v>Agreement Deliveries Per Customer Unit Per Week</v>
      </c>
      <c r="J95" s="1314" t="str">
        <f>Q$1&amp;IF(Q95&lt;&gt;"",M95,M97)</f>
        <v>F145</v>
      </c>
      <c r="K95" s="1314" t="str">
        <f t="shared" si="14"/>
        <v>Customer Inputs</v>
      </c>
      <c r="L95" s="791" t="s">
        <v>1263</v>
      </c>
      <c r="M95" s="1314">
        <v>143</v>
      </c>
      <c r="N95" s="791"/>
      <c r="O95" s="1311"/>
      <c r="P95" s="1311"/>
      <c r="Q95" s="1311"/>
      <c r="R95" s="1311"/>
      <c r="S95" s="1311"/>
      <c r="T95" s="1311"/>
      <c r="U95" s="1311"/>
      <c r="V95" s="1311"/>
      <c r="W95" s="1311"/>
      <c r="X95" s="1311"/>
      <c r="Y95" s="1311"/>
      <c r="Z95" s="1311"/>
    </row>
    <row r="96" spans="1:26" x14ac:dyDescent="0.25">
      <c r="A96" s="838" t="s">
        <v>1185</v>
      </c>
      <c r="B96" s="791" t="str">
        <f ca="1">IFERROR(_xlfn.CONCAT(IF('Customer Inputs'!$U$11="Existing",IF('Customer Inputs'!P11=0,SUBSTITUTE(ADDRESS(1,MATCH(O96,INDIRECT("'"&amp;E96&amp;"'"&amp;"!$A$5:$Z$5"),0),4),1,""),SUBSTITUTE(ADDRESS(1,MATCH(A96,INDIRECT("'"&amp;E96&amp;"'"&amp;"!A$5:Z$5"),0),4),1,"")),SUBSTITUTE(ADDRESS(1,MATCH(A96,INDIRECT("'"&amp;E96&amp;"'"&amp;"!A$5:Z$5"),0),4),1,"")),11),"")</f>
        <v>P11</v>
      </c>
      <c r="C96" s="791" t="str">
        <f ca="1">IFERROR(IF('Customer Inputs'!$U$11="Existing",IF('Customer Inputs'!P11=0,SUBSTITUTE(ADDRESS(1,MATCH(O96,INDIRECT("'"&amp;E96&amp;"'"&amp;"!$A$5:$Z$5"),0),4),1,""),SUBSTITUTE(ADDRESS(1,MATCH(A96,INDIRECT("'"&amp;E96&amp;"'"&amp;"!A$5:Z$5"),0),4),1,"")),SUBSTITUTE(ADDRESS(1,MATCH(A96,INDIRECT("'"&amp;E96&amp;"'"&amp;"!A$5:Z$5"),0),4),1,"")),"")</f>
        <v>P</v>
      </c>
      <c r="D96" s="791" t="s">
        <v>1357</v>
      </c>
      <c r="E96" s="791" t="s">
        <v>870</v>
      </c>
      <c r="F96" s="791"/>
      <c r="G96" s="791"/>
      <c r="H96" s="791"/>
      <c r="I96" s="1274" t="str">
        <f t="shared" si="13"/>
        <v/>
      </c>
      <c r="J96" s="1314"/>
      <c r="K96" s="1314" t="str">
        <f t="shared" si="14"/>
        <v/>
      </c>
      <c r="L96" s="791" t="s">
        <v>1185</v>
      </c>
      <c r="M96" s="1314">
        <v>144</v>
      </c>
      <c r="N96" s="791"/>
      <c r="O96" s="1311" t="s">
        <v>868</v>
      </c>
      <c r="P96" s="1311"/>
      <c r="Q96" s="1311"/>
      <c r="R96" s="1311"/>
      <c r="S96" s="1311"/>
      <c r="T96" s="1311"/>
      <c r="U96" s="1311"/>
      <c r="V96" s="1311"/>
      <c r="W96" s="1311"/>
      <c r="X96" s="1311"/>
      <c r="Y96" s="1311"/>
      <c r="Z96" s="1311"/>
    </row>
    <row r="97" spans="1:26" x14ac:dyDescent="0.25">
      <c r="A97" s="840" t="s">
        <v>1186</v>
      </c>
      <c r="B97" s="791" t="str">
        <f ca="1">IFERROR(_xlfn.CONCAT(IF('Customer Inputs'!$U$11="Existing",IF('Customer Inputs'!Q11=0,SUBSTITUTE(ADDRESS(1,MATCH(O97,INDIRECT("'"&amp;E97&amp;"'"&amp;"!$A$5:$Z$5"),0),4),1,""),SUBSTITUTE(ADDRESS(1,MATCH(A97,INDIRECT("'"&amp;E97&amp;"'"&amp;"!A$5:Z$5"),0),4),1,"")),SUBSTITUTE(ADDRESS(1,MATCH(A97,INDIRECT("'"&amp;E97&amp;"'"&amp;"!A$5:Z$5"),0),4),1,"")),11),"")</f>
        <v>Q11</v>
      </c>
      <c r="C97" s="791" t="str">
        <f ca="1">IFERROR(IF('Customer Inputs'!$U$11="Existing",IF('Customer Inputs'!Q11=0,SUBSTITUTE(ADDRESS(1,MATCH(O97,INDIRECT("'"&amp;E97&amp;"'"&amp;"!$A$5:$Z$5"),0),4),1,""),SUBSTITUTE(ADDRESS(1,MATCH(A97,INDIRECT("'"&amp;E97&amp;"'"&amp;"!A$5:Z$5"),0),4),1,"")),SUBSTITUTE(ADDRESS(1,MATCH(A97,INDIRECT("'"&amp;E97&amp;"'"&amp;"!A$5:Z$5"),0),4),1,"")),"")</f>
        <v>Q</v>
      </c>
      <c r="D97" s="791" t="s">
        <v>1357</v>
      </c>
      <c r="E97" s="791" t="s">
        <v>870</v>
      </c>
      <c r="F97" s="791"/>
      <c r="G97" s="791"/>
      <c r="H97" s="791"/>
      <c r="I97" s="1274" t="str">
        <f t="shared" si="13"/>
        <v/>
      </c>
      <c r="J97" s="1314"/>
      <c r="K97" s="1314" t="str">
        <f t="shared" si="14"/>
        <v/>
      </c>
      <c r="L97" s="825" t="s">
        <v>1186</v>
      </c>
      <c r="M97" s="1314">
        <v>145</v>
      </c>
      <c r="N97" s="791"/>
      <c r="O97" s="1311" t="s">
        <v>1183</v>
      </c>
      <c r="P97" s="1311"/>
      <c r="Q97" s="1311"/>
      <c r="R97" s="1311"/>
      <c r="S97" s="1311"/>
      <c r="T97" s="1311"/>
      <c r="U97" s="1311"/>
      <c r="V97" s="1311"/>
      <c r="W97" s="1311"/>
      <c r="X97" s="1311"/>
      <c r="Y97" s="1311"/>
      <c r="Z97" s="1311"/>
    </row>
    <row r="98" spans="1:26" x14ac:dyDescent="0.25">
      <c r="A98" s="840" t="s">
        <v>1187</v>
      </c>
      <c r="B98" s="791" t="str">
        <f ca="1">IFERROR(_xlfn.CONCAT(IF('Customer Inputs'!$U$11="Existing",IF('Customer Inputs'!R11=0,SUBSTITUTE(ADDRESS(1,MATCH(O98,INDIRECT("'"&amp;E98&amp;"'"&amp;"!$A$5:$Z$5"),0),4),1,""),SUBSTITUTE(ADDRESS(1,MATCH(A98,INDIRECT("'"&amp;E98&amp;"'"&amp;"!A$5:Z$5"),0),4),1,"")),SUBSTITUTE(ADDRESS(1,MATCH(A98,INDIRECT("'"&amp;E98&amp;"'"&amp;"!A$5:Z$5"),0),4),1,"")),11),"")</f>
        <v>R11</v>
      </c>
      <c r="C98" s="791" t="str">
        <f ca="1">IFERROR(IF('Customer Inputs'!$U$11="Existing",IF('Customer Inputs'!R11=0,SUBSTITUTE(ADDRESS(1,MATCH(O98,INDIRECT("'"&amp;E98&amp;"'"&amp;"!$A$5:$Z$5"),0),4),1,""),SUBSTITUTE(ADDRESS(1,MATCH(A98,INDIRECT("'"&amp;E98&amp;"'"&amp;"!A$5:Z$5"),0),4),1,"")),SUBSTITUTE(ADDRESS(1,MATCH(A98,INDIRECT("'"&amp;E98&amp;"'"&amp;"!A$5:Z$5"),0),4),1,"")),"")</f>
        <v>R</v>
      </c>
      <c r="D98" s="791" t="s">
        <v>1357</v>
      </c>
      <c r="E98" s="791" t="s">
        <v>870</v>
      </c>
      <c r="F98" s="791"/>
      <c r="G98" s="791"/>
      <c r="H98" s="791"/>
      <c r="I98" s="1274" t="str">
        <f t="shared" si="13"/>
        <v/>
      </c>
      <c r="J98" s="1490"/>
      <c r="K98" s="1314" t="str">
        <f t="shared" si="14"/>
        <v/>
      </c>
      <c r="L98" s="825" t="s">
        <v>1187</v>
      </c>
      <c r="M98" s="1314">
        <v>146</v>
      </c>
      <c r="N98" s="791"/>
      <c r="O98" s="1311" t="s">
        <v>1190</v>
      </c>
      <c r="P98" s="1311"/>
      <c r="Q98" s="1311"/>
      <c r="R98" s="1311"/>
      <c r="S98" s="1311"/>
      <c r="T98" s="1311"/>
      <c r="U98" s="1311"/>
      <c r="V98" s="1311"/>
      <c r="W98" s="1311"/>
      <c r="X98" s="1311"/>
      <c r="Y98" s="1311"/>
      <c r="Z98" s="1311"/>
    </row>
    <row r="99" spans="1:26" x14ac:dyDescent="0.25">
      <c r="A99" s="840" t="s">
        <v>1188</v>
      </c>
      <c r="B99" s="791" t="str">
        <f ca="1">IFERROR(_xlfn.CONCAT(IF('Customer Inputs'!$U$11="Existing",IF('Customer Inputs'!T11=0,SUBSTITUTE(ADDRESS(1,MATCH(O99,INDIRECT("'"&amp;E99&amp;"'"&amp;"!$A$5:$Z$5"),0),4),1,""),SUBSTITUTE(ADDRESS(1,MATCH(A99,INDIRECT("'"&amp;E99&amp;"'"&amp;"!A$5:Z$5"),0),4),1,"")),SUBSTITUTE(ADDRESS(1,MATCH(A99,INDIRECT("'"&amp;E99&amp;"'"&amp;"!A$5:Z$5"),0),4),1,"")),11),"")</f>
        <v>T11</v>
      </c>
      <c r="C99" s="791" t="str">
        <f ca="1">IFERROR(IF('Customer Inputs'!$U$11="Existing",IF('Customer Inputs'!T11=0,SUBSTITUTE(ADDRESS(1,MATCH(O99,INDIRECT("'"&amp;E99&amp;"'"&amp;"!$A$5:$Z$5"),0),4),1,""),SUBSTITUTE(ADDRESS(1,MATCH(A99,INDIRECT("'"&amp;E99&amp;"'"&amp;"!A$5:Z$5"),0),4),1,"")),SUBSTITUTE(ADDRESS(1,MATCH(A99,INDIRECT("'"&amp;E99&amp;"'"&amp;"!A$5:Z$5"),0),4),1,"")),"")</f>
        <v>T</v>
      </c>
      <c r="D99" s="791" t="s">
        <v>1357</v>
      </c>
      <c r="E99" s="791" t="s">
        <v>870</v>
      </c>
      <c r="F99" s="1314"/>
      <c r="G99" s="1314"/>
      <c r="H99" s="1314"/>
      <c r="I99" s="1274" t="str">
        <f t="shared" si="13"/>
        <v/>
      </c>
      <c r="J99" s="1314"/>
      <c r="K99" s="1314" t="str">
        <f t="shared" si="14"/>
        <v/>
      </c>
      <c r="L99" s="825" t="s">
        <v>1188</v>
      </c>
      <c r="M99" s="1314">
        <v>147</v>
      </c>
      <c r="N99" s="1314"/>
      <c r="O99" s="1311" t="s">
        <v>1184</v>
      </c>
      <c r="P99" s="1311"/>
      <c r="Q99" s="1311"/>
      <c r="R99" s="1311"/>
      <c r="S99" s="1311"/>
      <c r="T99" s="1311"/>
      <c r="U99" s="1311"/>
      <c r="V99" s="1311"/>
      <c r="W99" s="1311"/>
      <c r="X99" s="1311"/>
      <c r="Y99" s="1311"/>
      <c r="Z99" s="1311"/>
    </row>
    <row r="100" spans="1:26" x14ac:dyDescent="0.25">
      <c r="A100" s="840" t="s">
        <v>1189</v>
      </c>
      <c r="B100" s="791" t="str">
        <f t="shared" ca="1" si="17"/>
        <v>U11</v>
      </c>
      <c r="C100" s="791" t="str">
        <f t="shared" ca="1" si="10"/>
        <v>U</v>
      </c>
      <c r="D100" s="791" t="s">
        <v>1357</v>
      </c>
      <c r="E100" s="791" t="s">
        <v>870</v>
      </c>
      <c r="F100" s="1314"/>
      <c r="G100" s="1314"/>
      <c r="H100" s="1314"/>
      <c r="I100" s="1274" t="str">
        <f t="shared" si="13"/>
        <v/>
      </c>
      <c r="J100" s="1314"/>
      <c r="K100" s="1314" t="str">
        <f t="shared" si="14"/>
        <v/>
      </c>
      <c r="L100" s="825" t="s">
        <v>1189</v>
      </c>
      <c r="M100" s="1314">
        <v>148</v>
      </c>
      <c r="N100" s="1314"/>
      <c r="O100" s="1311"/>
      <c r="P100" s="1311"/>
      <c r="Q100" s="1311"/>
      <c r="R100" s="1311"/>
      <c r="S100" s="1311"/>
      <c r="T100" s="1311"/>
      <c r="U100" s="1311"/>
      <c r="V100" s="1311"/>
      <c r="W100" s="1311"/>
      <c r="X100" s="1311"/>
      <c r="Y100" s="1311"/>
      <c r="Z100" s="1311"/>
    </row>
    <row r="101" spans="1:26" x14ac:dyDescent="0.25">
      <c r="A101" s="840" t="s">
        <v>1339</v>
      </c>
      <c r="B101" s="791" t="str">
        <f t="shared" ca="1" si="17"/>
        <v>V11</v>
      </c>
      <c r="C101" s="791" t="str">
        <f t="shared" ca="1" si="10"/>
        <v>V</v>
      </c>
      <c r="D101" s="791" t="s">
        <v>1357</v>
      </c>
      <c r="E101" s="791" t="s">
        <v>870</v>
      </c>
      <c r="F101" s="1314"/>
      <c r="G101" s="1314"/>
      <c r="H101" s="1314"/>
      <c r="I101" s="1274" t="str">
        <f t="shared" si="13"/>
        <v/>
      </c>
      <c r="J101" s="1314"/>
      <c r="K101" s="1314" t="str">
        <f t="shared" si="14"/>
        <v/>
      </c>
      <c r="L101" s="825" t="s">
        <v>1428</v>
      </c>
      <c r="M101" s="1314">
        <v>149</v>
      </c>
      <c r="N101" s="1314"/>
      <c r="O101" s="1311"/>
      <c r="P101" s="1311"/>
      <c r="Q101" s="1311"/>
      <c r="R101" s="1311"/>
      <c r="S101" s="1311"/>
      <c r="T101" s="1311"/>
      <c r="U101" s="1311"/>
      <c r="V101" s="1311"/>
      <c r="W101" s="1311"/>
      <c r="X101" s="1311"/>
      <c r="Y101" s="1311"/>
      <c r="Z101" s="1311"/>
    </row>
    <row r="102" spans="1:26" x14ac:dyDescent="0.25">
      <c r="A102" s="840" t="s">
        <v>1631</v>
      </c>
      <c r="B102" s="791" t="str">
        <f t="shared" ca="1" si="17"/>
        <v>W11</v>
      </c>
      <c r="C102" s="791" t="str">
        <f t="shared" ca="1" si="10"/>
        <v>W</v>
      </c>
      <c r="D102" s="791" t="s">
        <v>1357</v>
      </c>
      <c r="E102" s="791" t="s">
        <v>870</v>
      </c>
      <c r="F102" s="1314"/>
      <c r="G102" s="1314"/>
      <c r="H102" s="1314"/>
      <c r="I102" s="1274" t="str">
        <f t="shared" si="13"/>
        <v>Add or End Customer</v>
      </c>
      <c r="J102" s="1314" t="str">
        <f>IF(M102&lt;&gt;"",Q$1&amp;M102,"")</f>
        <v>F150</v>
      </c>
      <c r="K102" s="1314" t="str">
        <f t="shared" si="14"/>
        <v>Customer Inputs</v>
      </c>
      <c r="L102" s="825" t="s">
        <v>1631</v>
      </c>
      <c r="M102" s="1314">
        <v>150</v>
      </c>
      <c r="N102" s="1314"/>
      <c r="O102" s="1311"/>
      <c r="P102" s="1311"/>
      <c r="Q102" s="1311"/>
      <c r="R102" s="1311"/>
      <c r="S102" s="1311"/>
      <c r="T102" s="1311"/>
      <c r="U102" s="1311"/>
      <c r="V102" s="1311"/>
      <c r="W102" s="1311"/>
      <c r="X102" s="1311"/>
      <c r="Y102" s="1311"/>
      <c r="Z102" s="1311"/>
    </row>
    <row r="103" spans="1:26" x14ac:dyDescent="0.25">
      <c r="A103" s="835" t="s">
        <v>1182</v>
      </c>
      <c r="B103" s="791" t="str">
        <f ca="1">_xlfn.IFNA(_xlfn.CONCAT(SUBSTITUTE(ADDRESS(1,MATCH(A103,INDIRECT("'"&amp;E103&amp;"'"&amp;"!A5:Z5"),0),4),1,""),12),"")</f>
        <v>H12</v>
      </c>
      <c r="C103" s="791" t="str">
        <f t="shared" ca="1" si="10"/>
        <v>H</v>
      </c>
      <c r="D103" s="791" t="s">
        <v>1357</v>
      </c>
      <c r="E103" s="791" t="s">
        <v>870</v>
      </c>
      <c r="F103" s="1314"/>
      <c r="G103" s="1314"/>
      <c r="H103" s="1314"/>
      <c r="I103" s="1274" t="str">
        <f t="shared" si="13"/>
        <v>Pyramid Segment</v>
      </c>
      <c r="J103" s="1314" t="str">
        <f>IF(AND(P1227="",M103&lt;&gt;""),Q$1&amp;M103,"")</f>
        <v>F161</v>
      </c>
      <c r="K103" s="1314" t="str">
        <f t="shared" si="14"/>
        <v>Customer Inputs</v>
      </c>
      <c r="L103" s="791" t="s">
        <v>1182</v>
      </c>
      <c r="M103" s="1314">
        <v>161</v>
      </c>
      <c r="N103" s="1314"/>
      <c r="O103" s="1311"/>
      <c r="P103" s="1311"/>
      <c r="Q103" s="1311"/>
      <c r="R103" s="1311"/>
      <c r="S103" s="1311"/>
      <c r="T103" s="1311"/>
      <c r="U103" s="1311"/>
      <c r="V103" s="1311"/>
      <c r="W103" s="1311"/>
      <c r="X103" s="1311"/>
      <c r="Y103" s="1311"/>
      <c r="Z103" s="1311"/>
    </row>
    <row r="104" spans="1:26" x14ac:dyDescent="0.25">
      <c r="A104" s="836" t="s">
        <v>1262</v>
      </c>
      <c r="B104" s="791" t="str">
        <f t="shared" ref="B104:B112" ca="1" si="18">_xlfn.IFNA(_xlfn.CONCAT(SUBSTITUTE(ADDRESS(1,MATCH(A104,INDIRECT("'"&amp;E104&amp;"'"&amp;"!A5:Z5"),0),4),1,""),12),"")</f>
        <v>I12</v>
      </c>
      <c r="C104" s="791" t="str">
        <f t="shared" ca="1" si="10"/>
        <v>I</v>
      </c>
      <c r="D104" s="791" t="s">
        <v>1357</v>
      </c>
      <c r="E104" s="791" t="s">
        <v>870</v>
      </c>
      <c r="F104" s="1314"/>
      <c r="G104" s="1314"/>
      <c r="H104" s="1314"/>
      <c r="I104" s="1274" t="str">
        <f t="shared" si="13"/>
        <v>Agreement Annual Purchase Commitment</v>
      </c>
      <c r="J104" s="1314" t="str">
        <f>Q$1&amp;IF(Q104&lt;&gt;"",M104,M106)</f>
        <v>F165</v>
      </c>
      <c r="K104" s="1314" t="str">
        <f t="shared" si="14"/>
        <v>Customer Inputs</v>
      </c>
      <c r="L104" s="52" t="s">
        <v>1262</v>
      </c>
      <c r="M104" s="1314">
        <v>163</v>
      </c>
      <c r="N104" s="1314"/>
      <c r="O104" s="1311"/>
      <c r="P104" s="1311"/>
      <c r="Q104" s="1311"/>
      <c r="R104" s="1311"/>
      <c r="S104" s="1311"/>
      <c r="T104" s="1311"/>
      <c r="U104" s="1311"/>
      <c r="V104" s="1311"/>
      <c r="W104" s="1311"/>
      <c r="X104" s="1311"/>
      <c r="Y104" s="1311"/>
      <c r="Z104" s="1311"/>
    </row>
    <row r="105" spans="1:26" ht="30" x14ac:dyDescent="0.25">
      <c r="A105" s="835" t="s">
        <v>1263</v>
      </c>
      <c r="B105" s="791" t="str">
        <f t="shared" ca="1" si="18"/>
        <v>J12</v>
      </c>
      <c r="C105" s="791" t="str">
        <f t="shared" ca="1" si="10"/>
        <v>J</v>
      </c>
      <c r="D105" s="791" t="s">
        <v>1357</v>
      </c>
      <c r="E105" s="791" t="s">
        <v>870</v>
      </c>
      <c r="F105" s="1314"/>
      <c r="G105" s="1314"/>
      <c r="H105" s="1314"/>
      <c r="I105" s="1274" t="str">
        <f t="shared" si="13"/>
        <v>Agreement Deliveries Per Customer Unit Per Week</v>
      </c>
      <c r="J105" s="1314" t="str">
        <f>Q$1&amp;IF(Q105&lt;&gt;"",M105,M107)</f>
        <v>F166</v>
      </c>
      <c r="K105" s="1314" t="str">
        <f t="shared" si="14"/>
        <v>Customer Inputs</v>
      </c>
      <c r="L105" s="791" t="s">
        <v>1263</v>
      </c>
      <c r="M105" s="1314">
        <v>164</v>
      </c>
      <c r="N105" s="1314"/>
      <c r="O105" s="1311"/>
      <c r="P105" s="1311"/>
      <c r="Q105" s="1311"/>
      <c r="R105" s="1311"/>
      <c r="S105" s="1311"/>
      <c r="T105" s="1311"/>
      <c r="U105" s="1311"/>
      <c r="V105" s="1311"/>
      <c r="W105" s="1311"/>
      <c r="X105" s="1311"/>
      <c r="Y105" s="1311"/>
      <c r="Z105" s="1311"/>
    </row>
    <row r="106" spans="1:26" x14ac:dyDescent="0.25">
      <c r="A106" s="835" t="s">
        <v>1185</v>
      </c>
      <c r="B106" s="791" t="str">
        <f ca="1">IFERROR(_xlfn.CONCAT(IF('Customer Inputs'!$U$12="Existing",IF('Customer Inputs'!P12=0,SUBSTITUTE(ADDRESS(1,MATCH(O106,INDIRECT("'"&amp;E106&amp;"'"&amp;"!$A$5:$Z$5"),0),4),1,""),SUBSTITUTE(ADDRESS(1,MATCH(A106,INDIRECT("'"&amp;E106&amp;"'"&amp;"!A$5:Z$5"),0),4),1,"")),SUBSTITUTE(ADDRESS(1,MATCH(A106,INDIRECT("'"&amp;E106&amp;"'"&amp;"!A$5:Z$5"),0),4),1,"")),12),"")</f>
        <v>P12</v>
      </c>
      <c r="C106" s="791" t="str">
        <f ca="1">IFERROR(IF('Customer Inputs'!$U$12="Existing",IF('Customer Inputs'!P12=0,SUBSTITUTE(ADDRESS(1,MATCH(O106,INDIRECT("'"&amp;E106&amp;"'"&amp;"!$A$5:$Z$5"),0),4),1,""),SUBSTITUTE(ADDRESS(1,MATCH(A106,INDIRECT("'"&amp;E106&amp;"'"&amp;"!A$5:Z$5"),0),4),1,"")),SUBSTITUTE(ADDRESS(1,MATCH(A106,INDIRECT("'"&amp;E106&amp;"'"&amp;"!A$5:Z$5"),0),4),1,"")),"")</f>
        <v>P</v>
      </c>
      <c r="D106" s="791" t="s">
        <v>1357</v>
      </c>
      <c r="E106" s="791" t="s">
        <v>870</v>
      </c>
      <c r="F106" s="1314"/>
      <c r="G106" s="1314"/>
      <c r="H106" s="1314"/>
      <c r="I106" s="1274" t="str">
        <f t="shared" si="13"/>
        <v/>
      </c>
      <c r="J106" s="1314"/>
      <c r="K106" s="1314" t="str">
        <f t="shared" si="14"/>
        <v/>
      </c>
      <c r="L106" s="791" t="s">
        <v>1185</v>
      </c>
      <c r="M106" s="1314">
        <v>165</v>
      </c>
      <c r="N106" s="1314"/>
      <c r="O106" s="1311" t="s">
        <v>868</v>
      </c>
      <c r="P106" s="1311"/>
      <c r="Q106" s="1311"/>
      <c r="R106" s="1311"/>
      <c r="S106" s="1311"/>
      <c r="T106" s="1311"/>
      <c r="U106" s="1311"/>
      <c r="V106" s="1311"/>
      <c r="W106" s="1311"/>
      <c r="X106" s="1311"/>
      <c r="Y106" s="1311"/>
      <c r="Z106" s="1311"/>
    </row>
    <row r="107" spans="1:26" x14ac:dyDescent="0.25">
      <c r="A107" s="837" t="s">
        <v>1186</v>
      </c>
      <c r="B107" s="791" t="str">
        <f ca="1">IFERROR(_xlfn.CONCAT(IF('Customer Inputs'!$U$12="Existing",IF('Customer Inputs'!Q12=0,SUBSTITUTE(ADDRESS(1,MATCH(O107,INDIRECT("'"&amp;E107&amp;"'"&amp;"!$A$5:$Z$5"),0),4),1,""),SUBSTITUTE(ADDRESS(1,MATCH(A107,INDIRECT("'"&amp;E107&amp;"'"&amp;"!A$5:Z$5"),0),4),1,"")),SUBSTITUTE(ADDRESS(1,MATCH(A107,INDIRECT("'"&amp;E107&amp;"'"&amp;"!A$5:Z$5"),0),4),1,"")),12),"")</f>
        <v>Q12</v>
      </c>
      <c r="C107" s="791" t="str">
        <f ca="1">IFERROR(IF('Customer Inputs'!$U$12="Existing",IF('Customer Inputs'!Q12=0,SUBSTITUTE(ADDRESS(1,MATCH(O107,INDIRECT("'"&amp;E107&amp;"'"&amp;"!$A$5:$Z$5"),0),4),1,""),SUBSTITUTE(ADDRESS(1,MATCH(A107,INDIRECT("'"&amp;E107&amp;"'"&amp;"!A$5:Z$5"),0),4),1,"")),SUBSTITUTE(ADDRESS(1,MATCH(A107,INDIRECT("'"&amp;E107&amp;"'"&amp;"!A$5:Z$5"),0),4),1,"")),"")</f>
        <v>Q</v>
      </c>
      <c r="D107" s="791" t="s">
        <v>1357</v>
      </c>
      <c r="E107" s="791" t="s">
        <v>870</v>
      </c>
      <c r="F107" s="1314"/>
      <c r="G107" s="1314"/>
      <c r="H107" s="1314"/>
      <c r="I107" s="1274" t="str">
        <f t="shared" si="13"/>
        <v/>
      </c>
      <c r="J107" s="1314"/>
      <c r="K107" s="1314" t="str">
        <f t="shared" si="14"/>
        <v/>
      </c>
      <c r="L107" s="825" t="s">
        <v>1186</v>
      </c>
      <c r="M107" s="1314">
        <v>166</v>
      </c>
      <c r="N107" s="1314"/>
      <c r="O107" s="1311" t="s">
        <v>1183</v>
      </c>
      <c r="P107" s="1311"/>
      <c r="Q107" s="1311"/>
      <c r="R107" s="1311"/>
      <c r="S107" s="1311"/>
      <c r="T107" s="1311"/>
      <c r="U107" s="1311"/>
      <c r="V107" s="1311"/>
      <c r="W107" s="1311"/>
      <c r="X107" s="1311"/>
      <c r="Y107" s="1311"/>
      <c r="Z107" s="1311"/>
    </row>
    <row r="108" spans="1:26" x14ac:dyDescent="0.25">
      <c r="A108" s="837" t="s">
        <v>1187</v>
      </c>
      <c r="B108" s="791" t="str">
        <f ca="1">IFERROR(_xlfn.CONCAT(IF('Customer Inputs'!$U$12="Existing",IF('Customer Inputs'!R12=0,SUBSTITUTE(ADDRESS(1,MATCH(O108,INDIRECT("'"&amp;E108&amp;"'"&amp;"!$A$5:$Z$5"),0),4),1,""),SUBSTITUTE(ADDRESS(1,MATCH(A108,INDIRECT("'"&amp;E108&amp;"'"&amp;"!A$5:Z$5"),0),4),1,"")),SUBSTITUTE(ADDRESS(1,MATCH(A108,INDIRECT("'"&amp;E108&amp;"'"&amp;"!A$5:Z$5"),0),4),1,"")),12),"")</f>
        <v>R12</v>
      </c>
      <c r="C108" s="791" t="str">
        <f ca="1">IFERROR(IF('Customer Inputs'!$U$12="Existing",IF('Customer Inputs'!R12=0,SUBSTITUTE(ADDRESS(1,MATCH(O108,INDIRECT("'"&amp;E108&amp;"'"&amp;"!$A$5:$Z$5"),0),4),1,""),SUBSTITUTE(ADDRESS(1,MATCH(A108,INDIRECT("'"&amp;E108&amp;"'"&amp;"!A$5:Z$5"),0),4),1,"")),SUBSTITUTE(ADDRESS(1,MATCH(A108,INDIRECT("'"&amp;E108&amp;"'"&amp;"!A$5:Z$5"),0),4),1,"")),"")</f>
        <v>R</v>
      </c>
      <c r="D108" s="791" t="s">
        <v>1357</v>
      </c>
      <c r="E108" s="791" t="s">
        <v>870</v>
      </c>
      <c r="F108" s="1314"/>
      <c r="G108" s="1314"/>
      <c r="H108" s="1314"/>
      <c r="I108" s="1274" t="str">
        <f t="shared" si="13"/>
        <v/>
      </c>
      <c r="J108" s="1490"/>
      <c r="K108" s="1314" t="str">
        <f t="shared" si="14"/>
        <v/>
      </c>
      <c r="L108" s="825" t="s">
        <v>1187</v>
      </c>
      <c r="M108" s="1314">
        <v>167</v>
      </c>
      <c r="N108" s="1314"/>
      <c r="O108" s="1311" t="s">
        <v>1190</v>
      </c>
      <c r="P108" s="1311"/>
      <c r="Q108" s="1311"/>
      <c r="R108" s="1311"/>
      <c r="S108" s="1311"/>
      <c r="T108" s="1311"/>
      <c r="U108" s="1311"/>
      <c r="V108" s="1311"/>
      <c r="W108" s="1311"/>
      <c r="X108" s="1311"/>
      <c r="Y108" s="1311"/>
      <c r="Z108" s="1311"/>
    </row>
    <row r="109" spans="1:26" x14ac:dyDescent="0.25">
      <c r="A109" s="837" t="s">
        <v>1188</v>
      </c>
      <c r="B109" s="791" t="str">
        <f ca="1">IFERROR(_xlfn.CONCAT(IF('Customer Inputs'!$U$12="Existing",IF('Customer Inputs'!T12=0,SUBSTITUTE(ADDRESS(1,MATCH(O109,INDIRECT("'"&amp;E109&amp;"'"&amp;"!$A$5:$Z$5"),0),4),1,""),SUBSTITUTE(ADDRESS(1,MATCH(A109,INDIRECT("'"&amp;E109&amp;"'"&amp;"!A$5:Z$5"),0),4),1,"")),SUBSTITUTE(ADDRESS(1,MATCH(A109,INDIRECT("'"&amp;E109&amp;"'"&amp;"!A$5:Z$5"),0),4),1,"")),12),"")</f>
        <v>T12</v>
      </c>
      <c r="C109" s="791" t="str">
        <f ca="1">IFERROR(IF('Customer Inputs'!$U$12="Existing",IF('Customer Inputs'!T12=0,SUBSTITUTE(ADDRESS(1,MATCH(O109,INDIRECT("'"&amp;E109&amp;"'"&amp;"!$A$5:$Z$5"),0),4),1,""),SUBSTITUTE(ADDRESS(1,MATCH(A109,INDIRECT("'"&amp;E109&amp;"'"&amp;"!A$5:Z$5"),0),4),1,"")),SUBSTITUTE(ADDRESS(1,MATCH(A109,INDIRECT("'"&amp;E109&amp;"'"&amp;"!A$5:Z$5"),0),4),1,"")),"")</f>
        <v>T</v>
      </c>
      <c r="D109" s="791" t="s">
        <v>1357</v>
      </c>
      <c r="E109" s="791" t="s">
        <v>870</v>
      </c>
      <c r="F109" s="1314"/>
      <c r="G109" s="1314"/>
      <c r="H109" s="1314"/>
      <c r="I109" s="1274" t="str">
        <f t="shared" si="13"/>
        <v/>
      </c>
      <c r="J109" s="1314"/>
      <c r="K109" s="1314" t="str">
        <f t="shared" si="14"/>
        <v/>
      </c>
      <c r="L109" s="825" t="s">
        <v>1188</v>
      </c>
      <c r="M109" s="1314">
        <v>168</v>
      </c>
      <c r="N109" s="1314"/>
      <c r="O109" s="1311" t="s">
        <v>1184</v>
      </c>
      <c r="P109" s="1311"/>
      <c r="Q109" s="1311"/>
      <c r="R109" s="1311"/>
      <c r="S109" s="1311"/>
      <c r="T109" s="1311"/>
      <c r="U109" s="1311"/>
      <c r="V109" s="1311"/>
      <c r="W109" s="1311"/>
      <c r="X109" s="1311"/>
      <c r="Y109" s="1311"/>
      <c r="Z109" s="1311"/>
    </row>
    <row r="110" spans="1:26" x14ac:dyDescent="0.25">
      <c r="A110" s="837" t="s">
        <v>1189</v>
      </c>
      <c r="B110" s="791" t="str">
        <f t="shared" ca="1" si="18"/>
        <v>U12</v>
      </c>
      <c r="C110" s="791" t="str">
        <f t="shared" ca="1" si="10"/>
        <v>U</v>
      </c>
      <c r="D110" s="791" t="s">
        <v>1357</v>
      </c>
      <c r="E110" s="791" t="s">
        <v>870</v>
      </c>
      <c r="F110" s="1314"/>
      <c r="G110" s="1314"/>
      <c r="H110" s="1314"/>
      <c r="I110" s="1274" t="str">
        <f t="shared" si="13"/>
        <v/>
      </c>
      <c r="J110" s="1314"/>
      <c r="K110" s="1314" t="str">
        <f t="shared" si="14"/>
        <v/>
      </c>
      <c r="L110" s="825" t="s">
        <v>1189</v>
      </c>
      <c r="M110" s="1314">
        <v>169</v>
      </c>
      <c r="N110" s="1314"/>
      <c r="O110" s="1311"/>
      <c r="P110" s="1311"/>
      <c r="Q110" s="1311"/>
      <c r="R110" s="1311"/>
      <c r="S110" s="1311"/>
      <c r="T110" s="1311"/>
      <c r="U110" s="1311"/>
      <c r="V110" s="1311"/>
      <c r="W110" s="1311"/>
      <c r="X110" s="1311"/>
      <c r="Y110" s="1311"/>
      <c r="Z110" s="1311"/>
    </row>
    <row r="111" spans="1:26" x14ac:dyDescent="0.25">
      <c r="A111" s="837" t="s">
        <v>1339</v>
      </c>
      <c r="B111" s="791" t="str">
        <f t="shared" ca="1" si="18"/>
        <v>V12</v>
      </c>
      <c r="C111" s="791" t="str">
        <f t="shared" ca="1" si="10"/>
        <v>V</v>
      </c>
      <c r="D111" s="791" t="s">
        <v>1357</v>
      </c>
      <c r="E111" s="791" t="s">
        <v>870</v>
      </c>
      <c r="F111" s="1314"/>
      <c r="G111" s="1314"/>
      <c r="H111" s="1314"/>
      <c r="I111" s="1274" t="str">
        <f t="shared" si="13"/>
        <v/>
      </c>
      <c r="J111" s="1314"/>
      <c r="K111" s="1314" t="str">
        <f t="shared" si="14"/>
        <v/>
      </c>
      <c r="L111" s="825" t="s">
        <v>1428</v>
      </c>
      <c r="M111" s="1314">
        <v>170</v>
      </c>
      <c r="N111" s="1314"/>
      <c r="O111" s="1311"/>
      <c r="P111" s="1311"/>
      <c r="Q111" s="1311"/>
      <c r="R111" s="1311"/>
      <c r="S111" s="1311"/>
      <c r="T111" s="1311"/>
      <c r="U111" s="1311"/>
      <c r="V111" s="1311"/>
      <c r="W111" s="1311"/>
      <c r="X111" s="1311"/>
      <c r="Y111" s="1311"/>
      <c r="Z111" s="1311"/>
    </row>
    <row r="112" spans="1:26" x14ac:dyDescent="0.25">
      <c r="A112" s="837" t="s">
        <v>1631</v>
      </c>
      <c r="B112" s="791" t="str">
        <f t="shared" ca="1" si="18"/>
        <v>W12</v>
      </c>
      <c r="C112" s="791" t="str">
        <f t="shared" ca="1" si="10"/>
        <v>W</v>
      </c>
      <c r="D112" s="791" t="s">
        <v>1357</v>
      </c>
      <c r="E112" s="791" t="s">
        <v>870</v>
      </c>
      <c r="F112" s="1314"/>
      <c r="G112" s="1314"/>
      <c r="H112" s="1314"/>
      <c r="I112" s="1274" t="str">
        <f t="shared" si="13"/>
        <v>Add or End Customer</v>
      </c>
      <c r="J112" s="1314" t="str">
        <f>IF(M112&lt;&gt;"",Q$1&amp;M112,"")</f>
        <v>F171</v>
      </c>
      <c r="K112" s="1314" t="str">
        <f t="shared" si="14"/>
        <v>Customer Inputs</v>
      </c>
      <c r="L112" s="825" t="s">
        <v>1631</v>
      </c>
      <c r="M112" s="1314">
        <v>171</v>
      </c>
      <c r="N112" s="1314"/>
      <c r="O112" s="1311"/>
      <c r="P112" s="1311"/>
      <c r="Q112" s="1311"/>
      <c r="R112" s="1311"/>
      <c r="S112" s="1311"/>
      <c r="T112" s="1311"/>
      <c r="U112" s="1311"/>
      <c r="V112" s="1311"/>
      <c r="W112" s="1311"/>
      <c r="X112" s="1311"/>
      <c r="Y112" s="1311"/>
      <c r="Z112" s="1311"/>
    </row>
    <row r="113" spans="1:26" x14ac:dyDescent="0.25">
      <c r="A113" s="838" t="s">
        <v>1182</v>
      </c>
      <c r="B113" s="791" t="str">
        <f ca="1">_xlfn.IFNA(_xlfn.CONCAT(SUBSTITUTE(ADDRESS(1,MATCH(A113,INDIRECT("'"&amp;E113&amp;"'"&amp;"!A5:Z5"),0),4),1,""),13),"")</f>
        <v>H13</v>
      </c>
      <c r="C113" s="791" t="str">
        <f t="shared" ca="1" si="10"/>
        <v>H</v>
      </c>
      <c r="D113" s="791" t="s">
        <v>1357</v>
      </c>
      <c r="E113" s="791" t="s">
        <v>870</v>
      </c>
      <c r="F113" s="1314"/>
      <c r="G113" s="1314"/>
      <c r="H113" s="1314"/>
      <c r="I113" s="1274" t="str">
        <f t="shared" si="13"/>
        <v>Pyramid Segment</v>
      </c>
      <c r="J113" s="1314" t="str">
        <f>IF(AND(P1228="",M113&lt;&gt;""),Q$1&amp;M113,"")</f>
        <v>F182</v>
      </c>
      <c r="K113" s="1314" t="str">
        <f t="shared" si="14"/>
        <v>Customer Inputs</v>
      </c>
      <c r="L113" s="791" t="s">
        <v>1182</v>
      </c>
      <c r="M113" s="1314">
        <v>182</v>
      </c>
      <c r="N113" s="1314"/>
      <c r="O113" s="1311"/>
      <c r="P113" s="1311"/>
      <c r="Q113" s="1311"/>
      <c r="R113" s="1311"/>
      <c r="S113" s="1311"/>
      <c r="T113" s="1311"/>
      <c r="U113" s="1311"/>
      <c r="V113" s="1311"/>
      <c r="W113" s="1311"/>
      <c r="X113" s="1311"/>
      <c r="Y113" s="1311"/>
      <c r="Z113" s="1311"/>
    </row>
    <row r="114" spans="1:26" x14ac:dyDescent="0.25">
      <c r="A114" s="839" t="s">
        <v>1262</v>
      </c>
      <c r="B114" s="791" t="str">
        <f t="shared" ref="B114:B122" ca="1" si="19">_xlfn.IFNA(_xlfn.CONCAT(SUBSTITUTE(ADDRESS(1,MATCH(A114,INDIRECT("'"&amp;E114&amp;"'"&amp;"!A5:Z5"),0),4),1,""),13),"")</f>
        <v>I13</v>
      </c>
      <c r="C114" s="791" t="str">
        <f t="shared" ca="1" si="10"/>
        <v>I</v>
      </c>
      <c r="D114" s="791" t="s">
        <v>1357</v>
      </c>
      <c r="E114" s="791" t="s">
        <v>870</v>
      </c>
      <c r="F114" s="1314"/>
      <c r="G114" s="1314"/>
      <c r="H114" s="1314"/>
      <c r="I114" s="1274" t="str">
        <f t="shared" si="13"/>
        <v>Agreement Annual Purchase Commitment</v>
      </c>
      <c r="J114" s="1314" t="str">
        <f>Q$1&amp;IF(Q114&lt;&gt;"",M114,M116)</f>
        <v>F186</v>
      </c>
      <c r="K114" s="1314" t="str">
        <f t="shared" si="14"/>
        <v>Customer Inputs</v>
      </c>
      <c r="L114" s="52" t="s">
        <v>1262</v>
      </c>
      <c r="M114" s="1314">
        <v>184</v>
      </c>
      <c r="N114" s="1314"/>
      <c r="O114" s="1311"/>
      <c r="P114" s="1311"/>
      <c r="Q114" s="1311"/>
      <c r="R114" s="1311"/>
      <c r="S114" s="1311"/>
      <c r="T114" s="1311"/>
      <c r="U114" s="1311"/>
      <c r="V114" s="1311"/>
      <c r="W114" s="1311"/>
      <c r="X114" s="1311"/>
      <c r="Y114" s="1311"/>
      <c r="Z114" s="1311"/>
    </row>
    <row r="115" spans="1:26" ht="30" x14ac:dyDescent="0.25">
      <c r="A115" s="838" t="s">
        <v>1263</v>
      </c>
      <c r="B115" s="791" t="str">
        <f t="shared" ca="1" si="19"/>
        <v>J13</v>
      </c>
      <c r="C115" s="791" t="str">
        <f t="shared" ca="1" si="10"/>
        <v>J</v>
      </c>
      <c r="D115" s="791" t="s">
        <v>1357</v>
      </c>
      <c r="E115" s="791" t="s">
        <v>870</v>
      </c>
      <c r="F115" s="1314"/>
      <c r="G115" s="1314"/>
      <c r="H115" s="1314"/>
      <c r="I115" s="1274" t="str">
        <f t="shared" si="13"/>
        <v>Agreement Deliveries Per Customer Unit Per Week</v>
      </c>
      <c r="J115" s="1314" t="str">
        <f>Q$1&amp;IF(Q115&lt;&gt;"",M115,M117)</f>
        <v>F187</v>
      </c>
      <c r="K115" s="1314" t="str">
        <f t="shared" si="14"/>
        <v>Customer Inputs</v>
      </c>
      <c r="L115" s="791" t="s">
        <v>1263</v>
      </c>
      <c r="M115" s="1314">
        <v>185</v>
      </c>
      <c r="N115" s="1314"/>
      <c r="O115" s="1311"/>
      <c r="P115" s="1311"/>
      <c r="Q115" s="1311"/>
      <c r="R115" s="1311"/>
      <c r="S115" s="1311"/>
      <c r="T115" s="1311"/>
      <c r="U115" s="1311"/>
      <c r="V115" s="1311"/>
      <c r="W115" s="1311"/>
      <c r="X115" s="1311"/>
      <c r="Y115" s="1311"/>
      <c r="Z115" s="1311"/>
    </row>
    <row r="116" spans="1:26" x14ac:dyDescent="0.25">
      <c r="A116" s="838" t="s">
        <v>1185</v>
      </c>
      <c r="B116" s="791" t="str">
        <f ca="1">IFERROR(_xlfn.CONCAT(IF('Customer Inputs'!$U$13="Existing",IF('Customer Inputs'!P13=0,SUBSTITUTE(ADDRESS(1,MATCH(O116,INDIRECT("'"&amp;E116&amp;"'"&amp;"!$A$5:$Z$5"),0),4),1,""),SUBSTITUTE(ADDRESS(1,MATCH(A116,INDIRECT("'"&amp;E116&amp;"'"&amp;"!A$5:Z$5"),0),4),1,"")),SUBSTITUTE(ADDRESS(1,MATCH(A116,INDIRECT("'"&amp;E116&amp;"'"&amp;"!A$5:Z$5"),0),4),1,"")),13),"")</f>
        <v>P13</v>
      </c>
      <c r="C116" s="791" t="str">
        <f ca="1">IFERROR(IF('Customer Inputs'!$U$13="Existing",IF('Customer Inputs'!P13=0,SUBSTITUTE(ADDRESS(1,MATCH(O116,INDIRECT("'"&amp;E116&amp;"'"&amp;"!$A$5:$Z$5"),0),4),1,""),SUBSTITUTE(ADDRESS(1,MATCH(A116,INDIRECT("'"&amp;E116&amp;"'"&amp;"!A$5:Z$5"),0),4),1,"")),SUBSTITUTE(ADDRESS(1,MATCH(A116,INDIRECT("'"&amp;E116&amp;"'"&amp;"!A$5:Z$5"),0),4),1,"")),"")</f>
        <v>P</v>
      </c>
      <c r="D116" s="791" t="s">
        <v>1357</v>
      </c>
      <c r="E116" s="791" t="s">
        <v>870</v>
      </c>
      <c r="F116" s="1314"/>
      <c r="G116" s="1314"/>
      <c r="H116" s="1314"/>
      <c r="I116" s="1274" t="str">
        <f t="shared" si="13"/>
        <v/>
      </c>
      <c r="J116" s="1314"/>
      <c r="K116" s="1314" t="str">
        <f t="shared" si="14"/>
        <v/>
      </c>
      <c r="L116" s="791" t="s">
        <v>1185</v>
      </c>
      <c r="M116" s="1314">
        <v>186</v>
      </c>
      <c r="N116" s="1314"/>
      <c r="O116" s="1311" t="s">
        <v>868</v>
      </c>
      <c r="P116" s="1311"/>
      <c r="Q116" s="1311"/>
      <c r="R116" s="1311"/>
      <c r="S116" s="1311"/>
      <c r="T116" s="1311"/>
      <c r="U116" s="1311"/>
      <c r="V116" s="1311"/>
      <c r="W116" s="1311"/>
      <c r="X116" s="1311"/>
      <c r="Y116" s="1311"/>
      <c r="Z116" s="1311"/>
    </row>
    <row r="117" spans="1:26" x14ac:dyDescent="0.25">
      <c r="A117" s="840" t="s">
        <v>1186</v>
      </c>
      <c r="B117" s="791" t="str">
        <f ca="1">IFERROR(_xlfn.CONCAT(IF('Customer Inputs'!$U$13="Existing",IF('Customer Inputs'!Q13=0,SUBSTITUTE(ADDRESS(1,MATCH(O117,INDIRECT("'"&amp;E117&amp;"'"&amp;"!$A$5:$Z$5"),0),4),1,""),SUBSTITUTE(ADDRESS(1,MATCH(A117,INDIRECT("'"&amp;E117&amp;"'"&amp;"!A$5:Z$5"),0),4),1,"")),SUBSTITUTE(ADDRESS(1,MATCH(A117,INDIRECT("'"&amp;E117&amp;"'"&amp;"!A$5:Z$5"),0),4),1,"")),13),"")</f>
        <v>Q13</v>
      </c>
      <c r="C117" s="791" t="str">
        <f ca="1">IFERROR(IF('Customer Inputs'!$U$13="Existing",IF('Customer Inputs'!Q13=0,SUBSTITUTE(ADDRESS(1,MATCH(O117,INDIRECT("'"&amp;E117&amp;"'"&amp;"!$A$5:$Z$5"),0),4),1,""),SUBSTITUTE(ADDRESS(1,MATCH(A117,INDIRECT("'"&amp;E117&amp;"'"&amp;"!A$5:Z$5"),0),4),1,"")),SUBSTITUTE(ADDRESS(1,MATCH(A117,INDIRECT("'"&amp;E117&amp;"'"&amp;"!A$5:Z$5"),0),4),1,"")),"")</f>
        <v>Q</v>
      </c>
      <c r="D117" s="791" t="s">
        <v>1357</v>
      </c>
      <c r="E117" s="791" t="s">
        <v>870</v>
      </c>
      <c r="F117" s="1314"/>
      <c r="G117" s="1314"/>
      <c r="H117" s="1314"/>
      <c r="I117" s="1274" t="str">
        <f t="shared" si="13"/>
        <v/>
      </c>
      <c r="J117" s="1314"/>
      <c r="K117" s="1314" t="str">
        <f t="shared" si="14"/>
        <v/>
      </c>
      <c r="L117" s="825" t="s">
        <v>1186</v>
      </c>
      <c r="M117" s="1314">
        <v>187</v>
      </c>
      <c r="N117" s="1314"/>
      <c r="O117" s="1311" t="s">
        <v>1183</v>
      </c>
      <c r="P117" s="1311"/>
      <c r="Q117" s="1311"/>
      <c r="R117" s="1311"/>
      <c r="S117" s="1311"/>
      <c r="T117" s="1311"/>
      <c r="U117" s="1311"/>
      <c r="V117" s="1311"/>
      <c r="W117" s="1311"/>
      <c r="X117" s="1311"/>
      <c r="Y117" s="1311"/>
      <c r="Z117" s="1311"/>
    </row>
    <row r="118" spans="1:26" x14ac:dyDescent="0.25">
      <c r="A118" s="840" t="s">
        <v>1187</v>
      </c>
      <c r="B118" s="791" t="str">
        <f ca="1">IFERROR(_xlfn.CONCAT(IF('Customer Inputs'!$U$13="Existing",IF('Customer Inputs'!R13=0,SUBSTITUTE(ADDRESS(1,MATCH(O118,INDIRECT("'"&amp;E118&amp;"'"&amp;"!$A$5:$Z$5"),0),4),1,""),SUBSTITUTE(ADDRESS(1,MATCH(A118,INDIRECT("'"&amp;E118&amp;"'"&amp;"!A$5:Z$5"),0),4),1,"")),SUBSTITUTE(ADDRESS(1,MATCH(A118,INDIRECT("'"&amp;E118&amp;"'"&amp;"!A$5:Z$5"),0),4),1,"")),13),"")</f>
        <v>R13</v>
      </c>
      <c r="C118" s="791" t="str">
        <f ca="1">IFERROR(IF('Customer Inputs'!$U$13="Existing",IF('Customer Inputs'!R13=0,SUBSTITUTE(ADDRESS(1,MATCH(O118,INDIRECT("'"&amp;E118&amp;"'"&amp;"!$A$5:$Z$5"),0),4),1,""),SUBSTITUTE(ADDRESS(1,MATCH(A118,INDIRECT("'"&amp;E118&amp;"'"&amp;"!A$5:Z$5"),0),4),1,"")),SUBSTITUTE(ADDRESS(1,MATCH(A118,INDIRECT("'"&amp;E118&amp;"'"&amp;"!A$5:Z$5"),0),4),1,"")),"")</f>
        <v>R</v>
      </c>
      <c r="D118" s="791" t="s">
        <v>1357</v>
      </c>
      <c r="E118" s="791" t="s">
        <v>870</v>
      </c>
      <c r="F118" s="1314"/>
      <c r="G118" s="1314"/>
      <c r="H118" s="1314"/>
      <c r="I118" s="1274" t="str">
        <f t="shared" si="13"/>
        <v/>
      </c>
      <c r="J118" s="1490"/>
      <c r="K118" s="1314" t="str">
        <f t="shared" si="14"/>
        <v/>
      </c>
      <c r="L118" s="825" t="s">
        <v>1187</v>
      </c>
      <c r="M118" s="1314">
        <v>188</v>
      </c>
      <c r="N118" s="1314"/>
      <c r="O118" s="1311" t="s">
        <v>1190</v>
      </c>
      <c r="P118" s="1311"/>
      <c r="Q118" s="1311"/>
      <c r="R118" s="1311"/>
      <c r="S118" s="1311"/>
      <c r="T118" s="1311"/>
      <c r="U118" s="1311"/>
      <c r="V118" s="1311"/>
      <c r="W118" s="1311"/>
      <c r="X118" s="1311"/>
      <c r="Y118" s="1311"/>
      <c r="Z118" s="1311"/>
    </row>
    <row r="119" spans="1:26" x14ac:dyDescent="0.25">
      <c r="A119" s="840" t="s">
        <v>1188</v>
      </c>
      <c r="B119" s="791" t="str">
        <f ca="1">IFERROR(_xlfn.CONCAT(IF('Customer Inputs'!$U$13="Existing",IF('Customer Inputs'!T13=0,SUBSTITUTE(ADDRESS(1,MATCH(O119,INDIRECT("'"&amp;E119&amp;"'"&amp;"!$A$5:$Z$5"),0),4),1,""),SUBSTITUTE(ADDRESS(1,MATCH(A119,INDIRECT("'"&amp;E119&amp;"'"&amp;"!A$5:Z$5"),0),4),1,"")),SUBSTITUTE(ADDRESS(1,MATCH(A119,INDIRECT("'"&amp;E119&amp;"'"&amp;"!A$5:Z$5"),0),4),1,"")),13),"")</f>
        <v>T13</v>
      </c>
      <c r="C119" s="791" t="str">
        <f ca="1">IFERROR(IF('Customer Inputs'!$U$13="Existing",IF('Customer Inputs'!T13=0,SUBSTITUTE(ADDRESS(1,MATCH(O119,INDIRECT("'"&amp;E119&amp;"'"&amp;"!$A$5:$Z$5"),0),4),1,""),SUBSTITUTE(ADDRESS(1,MATCH(A119,INDIRECT("'"&amp;E119&amp;"'"&amp;"!A$5:Z$5"),0),4),1,"")),SUBSTITUTE(ADDRESS(1,MATCH(A119,INDIRECT("'"&amp;E119&amp;"'"&amp;"!A$5:Z$5"),0),4),1,"")),"")</f>
        <v>T</v>
      </c>
      <c r="D119" s="791" t="s">
        <v>1357</v>
      </c>
      <c r="E119" s="791" t="s">
        <v>870</v>
      </c>
      <c r="F119" s="1314"/>
      <c r="G119" s="1314"/>
      <c r="H119" s="1314"/>
      <c r="I119" s="1274" t="str">
        <f t="shared" si="13"/>
        <v/>
      </c>
      <c r="J119" s="1314"/>
      <c r="K119" s="1314" t="str">
        <f t="shared" si="14"/>
        <v/>
      </c>
      <c r="L119" s="825" t="s">
        <v>1188</v>
      </c>
      <c r="M119" s="1314">
        <v>189</v>
      </c>
      <c r="N119" s="1314"/>
      <c r="O119" s="1311" t="s">
        <v>1184</v>
      </c>
      <c r="P119" s="1311"/>
      <c r="Q119" s="1311"/>
      <c r="R119" s="1311"/>
      <c r="S119" s="1311"/>
      <c r="T119" s="1311"/>
      <c r="U119" s="1311"/>
      <c r="V119" s="1311"/>
      <c r="W119" s="1311"/>
      <c r="X119" s="1311"/>
      <c r="Y119" s="1311"/>
      <c r="Z119" s="1311"/>
    </row>
    <row r="120" spans="1:26" x14ac:dyDescent="0.25">
      <c r="A120" s="840" t="s">
        <v>1189</v>
      </c>
      <c r="B120" s="791" t="str">
        <f t="shared" ca="1" si="19"/>
        <v>U13</v>
      </c>
      <c r="C120" s="791" t="str">
        <f t="shared" ref="C120:C135" ca="1" si="20">_xlfn.IFNA(SUBSTITUTE(ADDRESS(1,MATCH(A120,INDIRECT("'"&amp;E120&amp;"'"&amp;"!A5:Z5"),0),4),1,""),"")</f>
        <v>U</v>
      </c>
      <c r="D120" s="791" t="s">
        <v>1357</v>
      </c>
      <c r="E120" s="791" t="s">
        <v>870</v>
      </c>
      <c r="F120" s="1314"/>
      <c r="G120" s="1314"/>
      <c r="H120" s="1314"/>
      <c r="I120" s="1274" t="str">
        <f t="shared" si="13"/>
        <v/>
      </c>
      <c r="J120" s="1314"/>
      <c r="K120" s="1314" t="str">
        <f t="shared" si="14"/>
        <v/>
      </c>
      <c r="L120" s="825" t="s">
        <v>1189</v>
      </c>
      <c r="M120" s="1314">
        <v>190</v>
      </c>
      <c r="N120" s="1314"/>
      <c r="O120" s="1311"/>
      <c r="P120" s="1311"/>
      <c r="Q120" s="1311"/>
      <c r="R120" s="1311"/>
      <c r="S120" s="1311"/>
      <c r="T120" s="1311"/>
      <c r="U120" s="1311"/>
      <c r="V120" s="1311"/>
      <c r="W120" s="1311"/>
      <c r="X120" s="1311"/>
      <c r="Y120" s="1311"/>
      <c r="Z120" s="1311"/>
    </row>
    <row r="121" spans="1:26" x14ac:dyDescent="0.25">
      <c r="A121" s="840" t="s">
        <v>1339</v>
      </c>
      <c r="B121" s="791" t="str">
        <f t="shared" ca="1" si="19"/>
        <v>V13</v>
      </c>
      <c r="C121" s="791" t="str">
        <f t="shared" ca="1" si="20"/>
        <v>V</v>
      </c>
      <c r="D121" s="791" t="s">
        <v>1357</v>
      </c>
      <c r="E121" s="791" t="s">
        <v>870</v>
      </c>
      <c r="F121" s="1314"/>
      <c r="G121" s="1314"/>
      <c r="H121" s="1314"/>
      <c r="I121" s="1274" t="str">
        <f t="shared" si="13"/>
        <v/>
      </c>
      <c r="J121" s="1314"/>
      <c r="K121" s="1314" t="str">
        <f t="shared" si="14"/>
        <v/>
      </c>
      <c r="L121" s="825" t="s">
        <v>1428</v>
      </c>
      <c r="M121" s="1314">
        <v>191</v>
      </c>
      <c r="N121" s="1314"/>
      <c r="O121" s="1311"/>
      <c r="P121" s="1311"/>
      <c r="Q121" s="1311"/>
      <c r="R121" s="1311"/>
      <c r="S121" s="1311"/>
      <c r="T121" s="1311"/>
      <c r="U121" s="1311"/>
      <c r="V121" s="1311"/>
      <c r="W121" s="1311"/>
      <c r="X121" s="1311"/>
      <c r="Y121" s="1311"/>
      <c r="Z121" s="1311"/>
    </row>
    <row r="122" spans="1:26" x14ac:dyDescent="0.25">
      <c r="A122" s="840" t="s">
        <v>1631</v>
      </c>
      <c r="B122" s="791" t="str">
        <f t="shared" ca="1" si="19"/>
        <v>W13</v>
      </c>
      <c r="C122" s="791" t="str">
        <f t="shared" ca="1" si="20"/>
        <v>W</v>
      </c>
      <c r="D122" s="791" t="s">
        <v>1357</v>
      </c>
      <c r="E122" s="791" t="s">
        <v>870</v>
      </c>
      <c r="F122" s="1314"/>
      <c r="G122" s="1314"/>
      <c r="H122" s="1314"/>
      <c r="I122" s="1274" t="str">
        <f t="shared" si="13"/>
        <v>Add or End Customer</v>
      </c>
      <c r="J122" s="1314" t="str">
        <f>IF(M122&lt;&gt;"",Q$1&amp;M122,"")</f>
        <v>F192</v>
      </c>
      <c r="K122" s="1314" t="str">
        <f t="shared" si="14"/>
        <v>Customer Inputs</v>
      </c>
      <c r="L122" s="825" t="s">
        <v>1631</v>
      </c>
      <c r="M122" s="1314">
        <v>192</v>
      </c>
      <c r="N122" s="1314"/>
      <c r="O122" s="1311"/>
      <c r="P122" s="1311"/>
      <c r="Q122" s="1311"/>
      <c r="R122" s="1311"/>
      <c r="S122" s="1311"/>
      <c r="T122" s="1311"/>
      <c r="U122" s="1311"/>
      <c r="V122" s="1311"/>
      <c r="W122" s="1311"/>
      <c r="X122" s="1311"/>
      <c r="Y122" s="1311"/>
      <c r="Z122" s="1311"/>
    </row>
    <row r="123" spans="1:26" x14ac:dyDescent="0.25">
      <c r="A123" s="835" t="s">
        <v>1182</v>
      </c>
      <c r="B123" s="791" t="str">
        <f ca="1">_xlfn.IFNA(_xlfn.CONCAT(SUBSTITUTE(ADDRESS(1,MATCH(A123,INDIRECT("'"&amp;E123&amp;"'"&amp;"!A5:Z5"),0),4),1,""),14),"")</f>
        <v>H14</v>
      </c>
      <c r="C123" s="791" t="str">
        <f t="shared" ca="1" si="20"/>
        <v>H</v>
      </c>
      <c r="D123" s="791" t="s">
        <v>1357</v>
      </c>
      <c r="E123" s="791" t="s">
        <v>870</v>
      </c>
      <c r="F123" s="1314"/>
      <c r="G123" s="1314"/>
      <c r="H123" s="1314"/>
      <c r="I123" s="1274" t="str">
        <f t="shared" si="13"/>
        <v>Pyramid Segment</v>
      </c>
      <c r="J123" s="1314" t="str">
        <f>IF(AND(P1229="",M123&lt;&gt;""),Q$1&amp;M123,"")</f>
        <v>F203</v>
      </c>
      <c r="K123" s="1314" t="str">
        <f t="shared" si="14"/>
        <v>Customer Inputs</v>
      </c>
      <c r="L123" s="791" t="s">
        <v>1182</v>
      </c>
      <c r="M123" s="1314">
        <v>203</v>
      </c>
      <c r="N123" s="1314"/>
      <c r="O123" s="1311"/>
      <c r="P123" s="1311"/>
      <c r="Q123" s="1311"/>
      <c r="R123" s="1311"/>
      <c r="S123" s="1311"/>
      <c r="T123" s="1311"/>
      <c r="U123" s="1311"/>
      <c r="V123" s="1311"/>
      <c r="W123" s="1311"/>
      <c r="X123" s="1311"/>
      <c r="Y123" s="1311"/>
      <c r="Z123" s="1311"/>
    </row>
    <row r="124" spans="1:26" x14ac:dyDescent="0.25">
      <c r="A124" s="836" t="s">
        <v>1262</v>
      </c>
      <c r="B124" s="791" t="str">
        <f t="shared" ref="B124:B132" ca="1" si="21">_xlfn.IFNA(_xlfn.CONCAT(SUBSTITUTE(ADDRESS(1,MATCH(A124,INDIRECT("'"&amp;E124&amp;"'"&amp;"!A5:Z5"),0),4),1,""),14),"")</f>
        <v>I14</v>
      </c>
      <c r="C124" s="791" t="str">
        <f t="shared" ca="1" si="20"/>
        <v>I</v>
      </c>
      <c r="D124" s="791" t="s">
        <v>1357</v>
      </c>
      <c r="E124" s="791" t="s">
        <v>870</v>
      </c>
      <c r="F124" s="1314"/>
      <c r="G124" s="1314"/>
      <c r="H124" s="1314"/>
      <c r="I124" s="1274" t="str">
        <f t="shared" si="13"/>
        <v>Agreement Annual Purchase Commitment</v>
      </c>
      <c r="J124" s="1314" t="str">
        <f>Q$1&amp;IF(Q124&lt;&gt;"",M124,M126)</f>
        <v>F207</v>
      </c>
      <c r="K124" s="1314" t="str">
        <f t="shared" si="14"/>
        <v>Customer Inputs</v>
      </c>
      <c r="L124" s="52" t="s">
        <v>1262</v>
      </c>
      <c r="M124" s="1314">
        <v>205</v>
      </c>
      <c r="N124" s="1314"/>
      <c r="O124" s="1311"/>
      <c r="P124" s="1311"/>
      <c r="Q124" s="1311"/>
      <c r="R124" s="1311"/>
      <c r="S124" s="1311"/>
      <c r="T124" s="1311"/>
      <c r="U124" s="1311"/>
      <c r="V124" s="1311"/>
      <c r="W124" s="1311"/>
      <c r="X124" s="1311"/>
      <c r="Y124" s="1311"/>
      <c r="Z124" s="1311"/>
    </row>
    <row r="125" spans="1:26" ht="30" x14ac:dyDescent="0.25">
      <c r="A125" s="835" t="s">
        <v>1263</v>
      </c>
      <c r="B125" s="791" t="str">
        <f t="shared" ca="1" si="21"/>
        <v>J14</v>
      </c>
      <c r="C125" s="791" t="str">
        <f t="shared" ca="1" si="20"/>
        <v>J</v>
      </c>
      <c r="D125" s="791" t="s">
        <v>1357</v>
      </c>
      <c r="E125" s="791" t="s">
        <v>870</v>
      </c>
      <c r="F125" s="1314"/>
      <c r="G125" s="1314"/>
      <c r="H125" s="1314"/>
      <c r="I125" s="1274" t="str">
        <f t="shared" si="13"/>
        <v>Agreement Deliveries Per Customer Unit Per Week</v>
      </c>
      <c r="J125" s="1314" t="str">
        <f>Q$1&amp;IF(Q125&lt;&gt;"",M125,M127)</f>
        <v>F208</v>
      </c>
      <c r="K125" s="1314" t="str">
        <f t="shared" si="14"/>
        <v>Customer Inputs</v>
      </c>
      <c r="L125" s="791" t="s">
        <v>1263</v>
      </c>
      <c r="M125" s="1314">
        <v>206</v>
      </c>
      <c r="N125" s="1314"/>
      <c r="O125" s="1311"/>
      <c r="P125" s="1311"/>
      <c r="Q125" s="1311"/>
      <c r="R125" s="1311"/>
      <c r="S125" s="1311"/>
      <c r="T125" s="1311"/>
      <c r="U125" s="1311"/>
      <c r="V125" s="1311"/>
      <c r="W125" s="1311"/>
      <c r="X125" s="1311"/>
      <c r="Y125" s="1311"/>
      <c r="Z125" s="1311"/>
    </row>
    <row r="126" spans="1:26" x14ac:dyDescent="0.25">
      <c r="A126" s="835" t="s">
        <v>1185</v>
      </c>
      <c r="B126" s="791" t="str">
        <f ca="1">IFERROR(_xlfn.CONCAT(IF('Customer Inputs'!$U$14="Existing",IF('Customer Inputs'!P14=0,SUBSTITUTE(ADDRESS(1,MATCH(O126,INDIRECT("'"&amp;E126&amp;"'"&amp;"!$A$5:$Z$5"),0),4),1,""),SUBSTITUTE(ADDRESS(1,MATCH(A126,INDIRECT("'"&amp;E126&amp;"'"&amp;"!A$5:Z$5"),0),4),1,"")),SUBSTITUTE(ADDRESS(1,MATCH(A126,INDIRECT("'"&amp;E126&amp;"'"&amp;"!A$5:Z$5"),0),4),1,"")),14),"")</f>
        <v>P14</v>
      </c>
      <c r="C126" s="791" t="str">
        <f ca="1">IFERROR(IF('Customer Inputs'!$U$14="Existing",IF('Customer Inputs'!P14=0,SUBSTITUTE(ADDRESS(1,MATCH(O126,INDIRECT("'"&amp;E126&amp;"'"&amp;"!$A$5:$Z$5"),0),4),1,""),SUBSTITUTE(ADDRESS(1,MATCH(A126,INDIRECT("'"&amp;E126&amp;"'"&amp;"!A$5:Z$5"),0),4),1,"")),SUBSTITUTE(ADDRESS(1,MATCH(A126,INDIRECT("'"&amp;E126&amp;"'"&amp;"!A$5:Z$5"),0),4),1,"")),"")</f>
        <v>P</v>
      </c>
      <c r="D126" s="791" t="s">
        <v>1357</v>
      </c>
      <c r="E126" s="791" t="s">
        <v>870</v>
      </c>
      <c r="F126" s="1314"/>
      <c r="G126" s="1314"/>
      <c r="H126" s="1314"/>
      <c r="I126" s="1274" t="str">
        <f t="shared" si="13"/>
        <v/>
      </c>
      <c r="J126" s="1314"/>
      <c r="K126" s="1314" t="str">
        <f t="shared" si="14"/>
        <v/>
      </c>
      <c r="L126" s="791" t="s">
        <v>1185</v>
      </c>
      <c r="M126" s="1314">
        <v>207</v>
      </c>
      <c r="N126" s="1314"/>
      <c r="O126" s="1311" t="s">
        <v>868</v>
      </c>
      <c r="P126" s="1311"/>
      <c r="Q126" s="1311"/>
      <c r="R126" s="1311"/>
      <c r="S126" s="1311"/>
      <c r="T126" s="1311"/>
      <c r="U126" s="1311"/>
      <c r="V126" s="1311"/>
      <c r="W126" s="1311"/>
      <c r="X126" s="1311"/>
      <c r="Y126" s="1311"/>
      <c r="Z126" s="1311"/>
    </row>
    <row r="127" spans="1:26" x14ac:dyDescent="0.25">
      <c r="A127" s="837" t="s">
        <v>1186</v>
      </c>
      <c r="B127" s="791" t="str">
        <f ca="1">IFERROR(_xlfn.CONCAT(IF('Customer Inputs'!$U$14="Existing",IF('Customer Inputs'!Q14=0,SUBSTITUTE(ADDRESS(1,MATCH(O127,INDIRECT("'"&amp;E127&amp;"'"&amp;"!$A$5:$Z$5"),0),4),1,""),SUBSTITUTE(ADDRESS(1,MATCH(A127,INDIRECT("'"&amp;E127&amp;"'"&amp;"!A$5:Z$5"),0),4),1,"")),SUBSTITUTE(ADDRESS(1,MATCH(A127,INDIRECT("'"&amp;E127&amp;"'"&amp;"!A$5:Z$5"),0),4),1,"")),14),"")</f>
        <v>Q14</v>
      </c>
      <c r="C127" s="791" t="str">
        <f ca="1">IFERROR(IF('Customer Inputs'!$U$14="Existing",IF('Customer Inputs'!Q14=0,SUBSTITUTE(ADDRESS(1,MATCH(O127,INDIRECT("'"&amp;E127&amp;"'"&amp;"!$A$5:$Z$5"),0),4),1,""),SUBSTITUTE(ADDRESS(1,MATCH(A127,INDIRECT("'"&amp;E127&amp;"'"&amp;"!A$5:Z$5"),0),4),1,"")),SUBSTITUTE(ADDRESS(1,MATCH(A127,INDIRECT("'"&amp;E127&amp;"'"&amp;"!A$5:Z$5"),0),4),1,"")),"")</f>
        <v>Q</v>
      </c>
      <c r="D127" s="791" t="s">
        <v>1357</v>
      </c>
      <c r="E127" s="791" t="s">
        <v>870</v>
      </c>
      <c r="F127" s="1314"/>
      <c r="G127" s="1314"/>
      <c r="H127" s="1314"/>
      <c r="I127" s="1274" t="str">
        <f t="shared" si="13"/>
        <v/>
      </c>
      <c r="J127" s="1314"/>
      <c r="K127" s="1314" t="str">
        <f t="shared" si="14"/>
        <v/>
      </c>
      <c r="L127" s="825" t="s">
        <v>1186</v>
      </c>
      <c r="M127" s="1314">
        <v>208</v>
      </c>
      <c r="N127" s="1314"/>
      <c r="O127" s="1311" t="s">
        <v>1183</v>
      </c>
      <c r="P127" s="1311"/>
      <c r="Q127" s="1311"/>
      <c r="R127" s="1311"/>
      <c r="S127" s="1311"/>
      <c r="T127" s="1311"/>
      <c r="U127" s="1311"/>
      <c r="V127" s="1311"/>
      <c r="W127" s="1311"/>
      <c r="X127" s="1311"/>
      <c r="Y127" s="1311"/>
      <c r="Z127" s="1311"/>
    </row>
    <row r="128" spans="1:26" x14ac:dyDescent="0.25">
      <c r="A128" s="837" t="s">
        <v>1187</v>
      </c>
      <c r="B128" s="791" t="str">
        <f ca="1">IFERROR(_xlfn.CONCAT(IF('Customer Inputs'!$U$14="Existing",IF('Customer Inputs'!R14=0,SUBSTITUTE(ADDRESS(1,MATCH(O128,INDIRECT("'"&amp;E128&amp;"'"&amp;"!$A$5:$Z$5"),0),4),1,""),SUBSTITUTE(ADDRESS(1,MATCH(A128,INDIRECT("'"&amp;E128&amp;"'"&amp;"!A$5:Z$5"),0),4),1,"")),SUBSTITUTE(ADDRESS(1,MATCH(A128,INDIRECT("'"&amp;E128&amp;"'"&amp;"!A$5:Z$5"),0),4),1,"")),14),"")</f>
        <v>R14</v>
      </c>
      <c r="C128" s="791" t="str">
        <f ca="1">IFERROR(IF('Customer Inputs'!$U$14="Existing",IF('Customer Inputs'!R14=0,SUBSTITUTE(ADDRESS(1,MATCH(O128,INDIRECT("'"&amp;E128&amp;"'"&amp;"!$A$5:$Z$5"),0),4),1,""),SUBSTITUTE(ADDRESS(1,MATCH(A128,INDIRECT("'"&amp;E128&amp;"'"&amp;"!A$5:Z$5"),0),4),1,"")),SUBSTITUTE(ADDRESS(1,MATCH(A128,INDIRECT("'"&amp;E128&amp;"'"&amp;"!A$5:Z$5"),0),4),1,"")),"")</f>
        <v>R</v>
      </c>
      <c r="D128" s="791" t="s">
        <v>1357</v>
      </c>
      <c r="E128" s="791" t="s">
        <v>870</v>
      </c>
      <c r="F128" s="1314"/>
      <c r="G128" s="1314"/>
      <c r="H128" s="1314"/>
      <c r="I128" s="1274" t="str">
        <f t="shared" si="13"/>
        <v/>
      </c>
      <c r="J128" s="1490"/>
      <c r="K128" s="1314" t="str">
        <f t="shared" si="14"/>
        <v/>
      </c>
      <c r="L128" s="825" t="s">
        <v>1187</v>
      </c>
      <c r="M128" s="1314">
        <v>209</v>
      </c>
      <c r="N128" s="1314"/>
      <c r="O128" s="1311" t="s">
        <v>1190</v>
      </c>
      <c r="P128" s="1311"/>
      <c r="Q128" s="1311"/>
      <c r="R128" s="1311"/>
      <c r="S128" s="1311"/>
      <c r="T128" s="1311"/>
      <c r="U128" s="1311"/>
      <c r="V128" s="1311"/>
      <c r="W128" s="1311"/>
      <c r="X128" s="1311"/>
      <c r="Y128" s="1311"/>
      <c r="Z128" s="1311"/>
    </row>
    <row r="129" spans="1:26" x14ac:dyDescent="0.25">
      <c r="A129" s="837" t="s">
        <v>1188</v>
      </c>
      <c r="B129" s="791" t="str">
        <f ca="1">IFERROR(_xlfn.CONCAT(IF('Customer Inputs'!$U$14="Existing",IF('Customer Inputs'!T14=0,SUBSTITUTE(ADDRESS(1,MATCH(O129,INDIRECT("'"&amp;E129&amp;"'"&amp;"!$A$5:$Z$5"),0),4),1,""),SUBSTITUTE(ADDRESS(1,MATCH(A129,INDIRECT("'"&amp;E129&amp;"'"&amp;"!A$5:Z$5"),0),4),1,"")),SUBSTITUTE(ADDRESS(1,MATCH(A129,INDIRECT("'"&amp;E129&amp;"'"&amp;"!A$5:Z$5"),0),4),1,"")),14),"")</f>
        <v>T14</v>
      </c>
      <c r="C129" s="791" t="str">
        <f ca="1">IFERROR(IF('Customer Inputs'!$U$14="Existing",IF('Customer Inputs'!T14=0,SUBSTITUTE(ADDRESS(1,MATCH(O129,INDIRECT("'"&amp;E129&amp;"'"&amp;"!$A$5:$Z$5"),0),4),1,""),SUBSTITUTE(ADDRESS(1,MATCH(A129,INDIRECT("'"&amp;E129&amp;"'"&amp;"!A$5:Z$5"),0),4),1,"")),SUBSTITUTE(ADDRESS(1,MATCH(A129,INDIRECT("'"&amp;E129&amp;"'"&amp;"!A$5:Z$5"),0),4),1,"")),"")</f>
        <v>T</v>
      </c>
      <c r="D129" s="791" t="s">
        <v>1357</v>
      </c>
      <c r="E129" s="791" t="s">
        <v>870</v>
      </c>
      <c r="F129" s="1314"/>
      <c r="G129" s="1314"/>
      <c r="H129" s="1314"/>
      <c r="I129" s="1274" t="str">
        <f t="shared" si="13"/>
        <v/>
      </c>
      <c r="J129" s="1314"/>
      <c r="K129" s="1314" t="str">
        <f t="shared" si="14"/>
        <v/>
      </c>
      <c r="L129" s="825" t="s">
        <v>1188</v>
      </c>
      <c r="M129" s="1314">
        <v>210</v>
      </c>
      <c r="N129" s="1314"/>
      <c r="O129" s="1311" t="s">
        <v>1184</v>
      </c>
      <c r="P129" s="1311"/>
      <c r="Q129" s="1311"/>
      <c r="R129" s="1311"/>
      <c r="S129" s="1311"/>
      <c r="T129" s="1311"/>
      <c r="U129" s="1311"/>
      <c r="V129" s="1311"/>
      <c r="W129" s="1311"/>
      <c r="X129" s="1311"/>
      <c r="Y129" s="1311"/>
      <c r="Z129" s="1311"/>
    </row>
    <row r="130" spans="1:26" x14ac:dyDescent="0.25">
      <c r="A130" s="837" t="s">
        <v>1189</v>
      </c>
      <c r="B130" s="791" t="str">
        <f t="shared" ca="1" si="21"/>
        <v>U14</v>
      </c>
      <c r="C130" s="791" t="str">
        <f t="shared" ca="1" si="20"/>
        <v>U</v>
      </c>
      <c r="D130" s="791" t="s">
        <v>1357</v>
      </c>
      <c r="E130" s="791" t="s">
        <v>870</v>
      </c>
      <c r="F130" s="1314"/>
      <c r="G130" s="1314"/>
      <c r="H130" s="1314"/>
      <c r="I130" s="1274" t="str">
        <f t="shared" si="13"/>
        <v/>
      </c>
      <c r="J130" s="1314"/>
      <c r="K130" s="1314" t="str">
        <f t="shared" si="14"/>
        <v/>
      </c>
      <c r="L130" s="825" t="s">
        <v>1189</v>
      </c>
      <c r="M130" s="1314">
        <v>211</v>
      </c>
      <c r="N130" s="1314"/>
      <c r="O130" s="1311"/>
      <c r="P130" s="1311"/>
      <c r="Q130" s="1311"/>
      <c r="R130" s="1311"/>
      <c r="S130" s="1311"/>
      <c r="T130" s="1311"/>
      <c r="U130" s="1311"/>
      <c r="V130" s="1311"/>
      <c r="W130" s="1311"/>
      <c r="X130" s="1311"/>
      <c r="Y130" s="1311"/>
      <c r="Z130" s="1311"/>
    </row>
    <row r="131" spans="1:26" x14ac:dyDescent="0.25">
      <c r="A131" s="837" t="s">
        <v>1339</v>
      </c>
      <c r="B131" s="791" t="str">
        <f t="shared" ca="1" si="21"/>
        <v>V14</v>
      </c>
      <c r="C131" s="791" t="str">
        <f t="shared" ca="1" si="20"/>
        <v>V</v>
      </c>
      <c r="D131" s="791" t="s">
        <v>1357</v>
      </c>
      <c r="E131" s="791" t="s">
        <v>870</v>
      </c>
      <c r="F131" s="1314"/>
      <c r="G131" s="1314"/>
      <c r="H131" s="1314"/>
      <c r="I131" s="1274" t="str">
        <f t="shared" si="13"/>
        <v/>
      </c>
      <c r="J131" s="1314"/>
      <c r="K131" s="1314" t="str">
        <f t="shared" si="14"/>
        <v/>
      </c>
      <c r="L131" s="825" t="s">
        <v>1428</v>
      </c>
      <c r="M131" s="1314">
        <v>212</v>
      </c>
      <c r="N131" s="1314"/>
      <c r="O131" s="1311"/>
      <c r="P131" s="1311"/>
      <c r="Q131" s="1311"/>
      <c r="R131" s="1311"/>
      <c r="S131" s="1311"/>
      <c r="T131" s="1311"/>
      <c r="U131" s="1311"/>
      <c r="V131" s="1311"/>
      <c r="W131" s="1311"/>
      <c r="X131" s="1311"/>
      <c r="Y131" s="1311"/>
      <c r="Z131" s="1311"/>
    </row>
    <row r="132" spans="1:26" x14ac:dyDescent="0.25">
      <c r="A132" s="837" t="s">
        <v>1631</v>
      </c>
      <c r="B132" s="791" t="str">
        <f t="shared" ca="1" si="21"/>
        <v>W14</v>
      </c>
      <c r="C132" s="791" t="str">
        <f t="shared" ca="1" si="20"/>
        <v>W</v>
      </c>
      <c r="D132" s="791" t="s">
        <v>1357</v>
      </c>
      <c r="E132" s="791" t="s">
        <v>870</v>
      </c>
      <c r="F132" s="1314"/>
      <c r="G132" s="1314"/>
      <c r="H132" s="1314"/>
      <c r="I132" s="1274" t="str">
        <f t="shared" ref="I132:I195" si="22">IF(J132&lt;&gt;"",A132,"")</f>
        <v>Add or End Customer</v>
      </c>
      <c r="J132" s="1314" t="str">
        <f t="shared" ref="J132:J166" si="23">IF(M132&lt;&gt;"",Q$1&amp;M132,"")</f>
        <v>F213</v>
      </c>
      <c r="K132" s="1314" t="str">
        <f t="shared" ref="K132:K195" si="24">IF(J132&lt;&gt;"",E132,"")</f>
        <v>Customer Inputs</v>
      </c>
      <c r="L132" s="825" t="s">
        <v>1631</v>
      </c>
      <c r="M132" s="1314">
        <v>213</v>
      </c>
      <c r="N132" s="1314"/>
      <c r="O132" s="1311"/>
      <c r="P132" s="1311"/>
      <c r="Q132" s="1311"/>
      <c r="R132" s="1311"/>
      <c r="S132" s="1311"/>
      <c r="T132" s="1311"/>
      <c r="U132" s="1311"/>
      <c r="V132" s="1311"/>
      <c r="W132" s="1311"/>
      <c r="X132" s="1311"/>
      <c r="Y132" s="1311"/>
      <c r="Z132" s="1311"/>
    </row>
    <row r="133" spans="1:26" x14ac:dyDescent="0.25">
      <c r="A133" s="838" t="s">
        <v>1182</v>
      </c>
      <c r="B133" s="791" t="str">
        <f ca="1">_xlfn.IFNA(_xlfn.CONCAT(SUBSTITUTE(ADDRESS(1,MATCH(A133,INDIRECT("'"&amp;E133&amp;"'"&amp;"!A5:Z5"),0),4),1,""),15),"")</f>
        <v>H15</v>
      </c>
      <c r="C133" s="791" t="str">
        <f t="shared" ca="1" si="20"/>
        <v>H</v>
      </c>
      <c r="D133" s="791" t="s">
        <v>1357</v>
      </c>
      <c r="E133" s="791" t="s">
        <v>870</v>
      </c>
      <c r="F133" s="1314"/>
      <c r="G133" s="1314"/>
      <c r="H133" s="1314"/>
      <c r="I133" s="1274" t="str">
        <f t="shared" si="22"/>
        <v>Pyramid Segment</v>
      </c>
      <c r="J133" s="1314" t="str">
        <f>IF(AND(P1230="",M133&lt;&gt;""),Q$1&amp;M133,"")</f>
        <v>F224</v>
      </c>
      <c r="K133" s="1314" t="str">
        <f t="shared" si="24"/>
        <v>Customer Inputs</v>
      </c>
      <c r="L133" s="791" t="s">
        <v>1182</v>
      </c>
      <c r="M133" s="1314">
        <v>224</v>
      </c>
      <c r="N133" s="1314"/>
      <c r="O133" s="1311"/>
      <c r="P133" s="1311"/>
      <c r="Q133" s="1311"/>
      <c r="R133" s="1311"/>
      <c r="S133" s="1311"/>
      <c r="T133" s="1311"/>
      <c r="U133" s="1311"/>
      <c r="V133" s="1311"/>
      <c r="W133" s="1311"/>
      <c r="X133" s="1311"/>
      <c r="Y133" s="1311"/>
      <c r="Z133" s="1311"/>
    </row>
    <row r="134" spans="1:26" x14ac:dyDescent="0.25">
      <c r="A134" s="839" t="s">
        <v>1262</v>
      </c>
      <c r="B134" s="791" t="str">
        <f ca="1">_xlfn.IFNA(_xlfn.CONCAT(SUBSTITUTE(ADDRESS(1,MATCH(A134,INDIRECT("'"&amp;E134&amp;"'"&amp;"!A5:Z5"),0),4),1,""),15),"")</f>
        <v>I15</v>
      </c>
      <c r="C134" s="791" t="str">
        <f t="shared" ca="1" si="20"/>
        <v>I</v>
      </c>
      <c r="D134" s="791" t="s">
        <v>1357</v>
      </c>
      <c r="E134" s="791" t="s">
        <v>870</v>
      </c>
      <c r="F134" s="1314"/>
      <c r="G134" s="1314"/>
      <c r="H134" s="1314"/>
      <c r="I134" s="1274" t="str">
        <f t="shared" si="22"/>
        <v>Agreement Annual Purchase Commitment</v>
      </c>
      <c r="J134" s="1314" t="str">
        <f>Q$1&amp;IF(Q134&lt;&gt;"",M134,M136)</f>
        <v>F228</v>
      </c>
      <c r="K134" s="1314" t="str">
        <f t="shared" si="24"/>
        <v>Customer Inputs</v>
      </c>
      <c r="L134" s="52" t="s">
        <v>1262</v>
      </c>
      <c r="M134" s="1314">
        <v>226</v>
      </c>
      <c r="N134" s="1314"/>
      <c r="O134" s="1311"/>
      <c r="P134" s="1311"/>
      <c r="Q134" s="1311"/>
      <c r="R134" s="1311"/>
      <c r="S134" s="1311"/>
      <c r="T134" s="1311"/>
      <c r="U134" s="1311"/>
      <c r="V134" s="1311"/>
      <c r="W134" s="1311"/>
      <c r="X134" s="1311"/>
      <c r="Y134" s="1311"/>
      <c r="Z134" s="1311"/>
    </row>
    <row r="135" spans="1:26" ht="30" x14ac:dyDescent="0.25">
      <c r="A135" s="838" t="s">
        <v>1263</v>
      </c>
      <c r="B135" s="791" t="str">
        <f ca="1">_xlfn.IFNA(_xlfn.CONCAT(SUBSTITUTE(ADDRESS(1,MATCH(A135,INDIRECT("'"&amp;E135&amp;"'"&amp;"!A5:Z5"),0),4),1,""),15),"")</f>
        <v>J15</v>
      </c>
      <c r="C135" s="791" t="str">
        <f t="shared" ca="1" si="20"/>
        <v>J</v>
      </c>
      <c r="D135" s="791" t="s">
        <v>1357</v>
      </c>
      <c r="E135" s="791" t="s">
        <v>870</v>
      </c>
      <c r="F135" s="1314"/>
      <c r="G135" s="1314"/>
      <c r="H135" s="1314"/>
      <c r="I135" s="1274" t="str">
        <f t="shared" si="22"/>
        <v>Agreement Deliveries Per Customer Unit Per Week</v>
      </c>
      <c r="J135" s="1314" t="str">
        <f>Q$1&amp;IF(Q135&lt;&gt;"",M135,M137)</f>
        <v>F229</v>
      </c>
      <c r="K135" s="1314" t="str">
        <f t="shared" si="24"/>
        <v>Customer Inputs</v>
      </c>
      <c r="L135" s="791" t="s">
        <v>1263</v>
      </c>
      <c r="M135" s="1314">
        <v>227</v>
      </c>
      <c r="N135" s="1314"/>
      <c r="O135" s="1311"/>
      <c r="P135" s="1311"/>
      <c r="Q135" s="1311"/>
      <c r="R135" s="1311"/>
      <c r="S135" s="1311"/>
      <c r="T135" s="1311"/>
      <c r="U135" s="1311"/>
      <c r="V135" s="1311"/>
      <c r="W135" s="1311"/>
      <c r="X135" s="1311"/>
      <c r="Y135" s="1311"/>
      <c r="Z135" s="1311"/>
    </row>
    <row r="136" spans="1:26" x14ac:dyDescent="0.25">
      <c r="A136" s="838" t="s">
        <v>1185</v>
      </c>
      <c r="B136" s="791" t="str">
        <f ca="1">IFERROR(_xlfn.CONCAT(IF('Customer Inputs'!$U$15="Existing",IF('Customer Inputs'!P15=0,SUBSTITUTE(ADDRESS(1,MATCH(O136,INDIRECT("'"&amp;E136&amp;"'"&amp;"!$A$5:$Z$5"),0),4),1,""),SUBSTITUTE(ADDRESS(1,MATCH(A136,INDIRECT("'"&amp;E136&amp;"'"&amp;"!A$5:Z$5"),0),4),1,"")),SUBSTITUTE(ADDRESS(1,MATCH(A136,INDIRECT("'"&amp;E136&amp;"'"&amp;"!A$5:Z$5"),0),4),1,"")),15),"")</f>
        <v>P15</v>
      </c>
      <c r="C136" s="791" t="str">
        <f ca="1">IFERROR(IF('Customer Inputs'!$U$15="Existing",IF('Customer Inputs'!P15=0,SUBSTITUTE(ADDRESS(1,MATCH(O136,INDIRECT("'"&amp;E136&amp;"'"&amp;"!$A$5:$Z$5"),0),4),1,""),SUBSTITUTE(ADDRESS(1,MATCH(A136,INDIRECT("'"&amp;E136&amp;"'"&amp;"!A$5:Z$5"),0),4),1,"")),SUBSTITUTE(ADDRESS(1,MATCH(A136,INDIRECT("'"&amp;E136&amp;"'"&amp;"!A$5:Z$5"),0),4),1,"")),"")</f>
        <v>P</v>
      </c>
      <c r="D136" s="791" t="s">
        <v>1357</v>
      </c>
      <c r="E136" s="791" t="s">
        <v>870</v>
      </c>
      <c r="F136" s="1314"/>
      <c r="G136" s="1314"/>
      <c r="H136" s="1314"/>
      <c r="I136" s="1274" t="str">
        <f t="shared" si="22"/>
        <v/>
      </c>
      <c r="J136" s="1314"/>
      <c r="K136" s="1314" t="str">
        <f t="shared" si="24"/>
        <v/>
      </c>
      <c r="L136" s="791" t="s">
        <v>1185</v>
      </c>
      <c r="M136" s="1314">
        <v>228</v>
      </c>
      <c r="N136" s="1314"/>
      <c r="O136" s="1311" t="s">
        <v>868</v>
      </c>
      <c r="P136" s="1311"/>
      <c r="Q136" s="1311"/>
      <c r="R136" s="1311"/>
      <c r="S136" s="1311"/>
      <c r="T136" s="1311"/>
      <c r="U136" s="1311"/>
      <c r="V136" s="1311"/>
      <c r="W136" s="1311"/>
      <c r="X136" s="1311"/>
      <c r="Y136" s="1311"/>
      <c r="Z136" s="1311"/>
    </row>
    <row r="137" spans="1:26" x14ac:dyDescent="0.25">
      <c r="A137" s="840" t="s">
        <v>1186</v>
      </c>
      <c r="B137" s="791" t="str">
        <f ca="1">IFERROR(_xlfn.CONCAT(IF('Customer Inputs'!$U$15="Existing",IF('Customer Inputs'!Q15=0,SUBSTITUTE(ADDRESS(1,MATCH(O137,INDIRECT("'"&amp;E137&amp;"'"&amp;"!$A$5:$Z$5"),0),4),1,""),SUBSTITUTE(ADDRESS(1,MATCH(A137,INDIRECT("'"&amp;E137&amp;"'"&amp;"!A$5:Z$5"),0),4),1,"")),SUBSTITUTE(ADDRESS(1,MATCH(A137,INDIRECT("'"&amp;E137&amp;"'"&amp;"!A$5:Z$5"),0),4),1,"")),15),"")</f>
        <v>Q15</v>
      </c>
      <c r="C137" s="791" t="str">
        <f ca="1">IFERROR(IF('Customer Inputs'!$U$15="Existing",IF('Customer Inputs'!Q15=0,SUBSTITUTE(ADDRESS(1,MATCH(O137,INDIRECT("'"&amp;E137&amp;"'"&amp;"!$A$5:$Z$5"),0),4),1,""),SUBSTITUTE(ADDRESS(1,MATCH(A137,INDIRECT("'"&amp;E137&amp;"'"&amp;"!A$5:Z$5"),0),4),1,"")),SUBSTITUTE(ADDRESS(1,MATCH(A137,INDIRECT("'"&amp;E137&amp;"'"&amp;"!A$5:Z$5"),0),4),1,"")),"")</f>
        <v>Q</v>
      </c>
      <c r="D137" s="791" t="s">
        <v>1357</v>
      </c>
      <c r="E137" s="791" t="s">
        <v>870</v>
      </c>
      <c r="F137" s="1314"/>
      <c r="G137" s="1314"/>
      <c r="H137" s="1314"/>
      <c r="I137" s="1274" t="str">
        <f t="shared" si="22"/>
        <v/>
      </c>
      <c r="J137" s="1314"/>
      <c r="K137" s="1314" t="str">
        <f t="shared" si="24"/>
        <v/>
      </c>
      <c r="L137" s="825" t="s">
        <v>1186</v>
      </c>
      <c r="M137" s="1314">
        <v>229</v>
      </c>
      <c r="N137" s="1314"/>
      <c r="O137" s="1311" t="s">
        <v>1183</v>
      </c>
      <c r="P137" s="1311"/>
      <c r="Q137" s="1311"/>
      <c r="R137" s="1311"/>
      <c r="S137" s="1311"/>
      <c r="T137" s="1311"/>
      <c r="U137" s="1311"/>
      <c r="V137" s="1311"/>
      <c r="W137" s="1311"/>
      <c r="X137" s="1311"/>
      <c r="Y137" s="1311"/>
      <c r="Z137" s="1311"/>
    </row>
    <row r="138" spans="1:26" x14ac:dyDescent="0.25">
      <c r="A138" s="840" t="s">
        <v>1187</v>
      </c>
      <c r="B138" s="791" t="str">
        <f ca="1">IFERROR(_xlfn.CONCAT(IF('Customer Inputs'!$U$15="Existing",IF('Customer Inputs'!R15=0,SUBSTITUTE(ADDRESS(1,MATCH(O138,INDIRECT("'"&amp;E138&amp;"'"&amp;"!$A$5:$Z$5"),0),4),1,""),SUBSTITUTE(ADDRESS(1,MATCH(A138,INDIRECT("'"&amp;E138&amp;"'"&amp;"!A$5:Z$5"),0),4),1,"")),SUBSTITUTE(ADDRESS(1,MATCH(A138,INDIRECT("'"&amp;E138&amp;"'"&amp;"!A$5:Z$5"),0),4),1,"")),15),"")</f>
        <v>R15</v>
      </c>
      <c r="C138" s="791" t="str">
        <f ca="1">IFERROR(IF('Customer Inputs'!$U$15="Existing",IF('Customer Inputs'!R15=0,SUBSTITUTE(ADDRESS(1,MATCH(O138,INDIRECT("'"&amp;E138&amp;"'"&amp;"!$A$5:$Z$5"),0),4),1,""),SUBSTITUTE(ADDRESS(1,MATCH(A138,INDIRECT("'"&amp;E138&amp;"'"&amp;"!A$5:Z$5"),0),4),1,"")),SUBSTITUTE(ADDRESS(1,MATCH(A138,INDIRECT("'"&amp;E138&amp;"'"&amp;"!A$5:Z$5"),0),4),1,"")),"")</f>
        <v>R</v>
      </c>
      <c r="D138" s="791" t="s">
        <v>1357</v>
      </c>
      <c r="E138" s="791" t="s">
        <v>870</v>
      </c>
      <c r="F138" s="1314"/>
      <c r="G138" s="1314"/>
      <c r="H138" s="1314"/>
      <c r="I138" s="1274" t="str">
        <f t="shared" si="22"/>
        <v/>
      </c>
      <c r="J138" s="1490"/>
      <c r="K138" s="1314" t="str">
        <f t="shared" si="24"/>
        <v/>
      </c>
      <c r="L138" s="825" t="s">
        <v>1187</v>
      </c>
      <c r="M138" s="1314">
        <v>230</v>
      </c>
      <c r="N138" s="1314"/>
      <c r="O138" s="1311" t="s">
        <v>1190</v>
      </c>
      <c r="P138" s="1311"/>
      <c r="Q138" s="1311"/>
      <c r="R138" s="1311"/>
      <c r="S138" s="1311"/>
      <c r="T138" s="1311"/>
      <c r="U138" s="1311"/>
      <c r="V138" s="1311"/>
      <c r="W138" s="1311"/>
      <c r="X138" s="1311"/>
      <c r="Y138" s="1311"/>
      <c r="Z138" s="1311"/>
    </row>
    <row r="139" spans="1:26" x14ac:dyDescent="0.25">
      <c r="A139" s="840" t="s">
        <v>1188</v>
      </c>
      <c r="B139" s="791" t="str">
        <f ca="1">IFERROR(_xlfn.CONCAT(IF('Customer Inputs'!$U$15="Existing",IF('Customer Inputs'!T15=0,SUBSTITUTE(ADDRESS(1,MATCH(O139,INDIRECT("'"&amp;E139&amp;"'"&amp;"!$A$5:$Z$5"),0),4),1,""),SUBSTITUTE(ADDRESS(1,MATCH(A139,INDIRECT("'"&amp;E139&amp;"'"&amp;"!A$5:Z$5"),0),4),1,"")),SUBSTITUTE(ADDRESS(1,MATCH(A139,INDIRECT("'"&amp;E139&amp;"'"&amp;"!A$5:Z$5"),0),4),1,"")),15),"")</f>
        <v>T15</v>
      </c>
      <c r="C139" s="791" t="str">
        <f ca="1">IFERROR(IF('Customer Inputs'!$U$15="Existing",IF('Customer Inputs'!T15=0,SUBSTITUTE(ADDRESS(1,MATCH(O139,INDIRECT("'"&amp;E139&amp;"'"&amp;"!$A$5:$Z$5"),0),4),1,""),SUBSTITUTE(ADDRESS(1,MATCH(A139,INDIRECT("'"&amp;E139&amp;"'"&amp;"!A$5:Z$5"),0),4),1,"")),SUBSTITUTE(ADDRESS(1,MATCH(A139,INDIRECT("'"&amp;E139&amp;"'"&amp;"!A$5:Z$5"),0),4),1,"")),"")</f>
        <v>T</v>
      </c>
      <c r="D139" s="791" t="s">
        <v>1357</v>
      </c>
      <c r="E139" s="791" t="s">
        <v>870</v>
      </c>
      <c r="F139" s="1314"/>
      <c r="G139" s="1314"/>
      <c r="H139" s="1314"/>
      <c r="I139" s="1274" t="str">
        <f t="shared" si="22"/>
        <v/>
      </c>
      <c r="J139" s="1314"/>
      <c r="K139" s="1314" t="str">
        <f t="shared" si="24"/>
        <v/>
      </c>
      <c r="L139" s="825" t="s">
        <v>1188</v>
      </c>
      <c r="M139" s="1314">
        <v>231</v>
      </c>
      <c r="N139" s="1314"/>
      <c r="O139" s="1311" t="s">
        <v>1184</v>
      </c>
      <c r="P139" s="1311"/>
      <c r="Q139" s="1311"/>
      <c r="R139" s="1311"/>
      <c r="S139" s="1311"/>
      <c r="T139" s="1311"/>
      <c r="U139" s="1311"/>
      <c r="V139" s="1311"/>
      <c r="W139" s="1311"/>
      <c r="X139" s="1311"/>
      <c r="Y139" s="1311"/>
      <c r="Z139" s="1311"/>
    </row>
    <row r="140" spans="1:26" x14ac:dyDescent="0.25">
      <c r="A140" s="840" t="s">
        <v>1189</v>
      </c>
      <c r="B140" s="791" t="str">
        <f ca="1">_xlfn.IFNA(_xlfn.CONCAT(SUBSTITUTE(ADDRESS(1,MATCH(A140,INDIRECT("'"&amp;E140&amp;"'"&amp;"!A5:Z5"),0),4),1,""),15),"")</f>
        <v>U15</v>
      </c>
      <c r="C140" s="791" t="str">
        <f ca="1">_xlfn.IFNA(SUBSTITUTE(ADDRESS(1,MATCH(A140,INDIRECT("'"&amp;E140&amp;"'"&amp;"!A5:Z5"),0),4),1,""),"")</f>
        <v>U</v>
      </c>
      <c r="D140" s="791" t="s">
        <v>1357</v>
      </c>
      <c r="E140" s="791" t="s">
        <v>870</v>
      </c>
      <c r="F140" s="1314"/>
      <c r="G140" s="1314"/>
      <c r="H140" s="1314"/>
      <c r="I140" s="1274" t="str">
        <f t="shared" si="22"/>
        <v/>
      </c>
      <c r="J140" s="1314"/>
      <c r="K140" s="1314" t="str">
        <f t="shared" si="24"/>
        <v/>
      </c>
      <c r="L140" s="825" t="s">
        <v>1189</v>
      </c>
      <c r="M140" s="1314">
        <v>232</v>
      </c>
      <c r="N140" s="1314"/>
      <c r="O140" s="1311"/>
      <c r="P140" s="1311"/>
      <c r="Q140" s="1311"/>
      <c r="R140" s="1311"/>
      <c r="S140" s="1311"/>
      <c r="T140" s="1311"/>
      <c r="U140" s="1311"/>
      <c r="V140" s="1311"/>
      <c r="W140" s="1311"/>
      <c r="X140" s="1311"/>
      <c r="Y140" s="1311"/>
      <c r="Z140" s="1311"/>
    </row>
    <row r="141" spans="1:26" x14ac:dyDescent="0.25">
      <c r="A141" s="840" t="s">
        <v>1339</v>
      </c>
      <c r="B141" s="791" t="str">
        <f ca="1">_xlfn.IFNA(_xlfn.CONCAT(SUBSTITUTE(ADDRESS(1,MATCH(A141,INDIRECT("'"&amp;E141&amp;"'"&amp;"!A5:Z5"),0),4),1,""),15),"")</f>
        <v>V15</v>
      </c>
      <c r="C141" s="791" t="str">
        <f ca="1">_xlfn.IFNA(SUBSTITUTE(ADDRESS(1,MATCH(A141,INDIRECT("'"&amp;E141&amp;"'"&amp;"!A5:Z5"),0),4),1,""),"")</f>
        <v>V</v>
      </c>
      <c r="D141" s="791" t="s">
        <v>1357</v>
      </c>
      <c r="E141" s="791" t="s">
        <v>870</v>
      </c>
      <c r="F141" s="1314"/>
      <c r="G141" s="1314"/>
      <c r="H141" s="1314"/>
      <c r="I141" s="1274" t="str">
        <f t="shared" si="22"/>
        <v/>
      </c>
      <c r="J141" s="1314"/>
      <c r="K141" s="1314" t="str">
        <f t="shared" si="24"/>
        <v/>
      </c>
      <c r="L141" s="825" t="s">
        <v>1428</v>
      </c>
      <c r="M141" s="1314">
        <v>233</v>
      </c>
      <c r="N141" s="1314"/>
      <c r="O141" s="1311"/>
      <c r="P141" s="1311"/>
      <c r="Q141" s="1311"/>
      <c r="R141" s="1311"/>
      <c r="S141" s="1311"/>
      <c r="T141" s="1311"/>
      <c r="U141" s="1311"/>
      <c r="V141" s="1311"/>
      <c r="W141" s="1311"/>
      <c r="X141" s="1311"/>
      <c r="Y141" s="1311"/>
      <c r="Z141" s="1311"/>
    </row>
    <row r="142" spans="1:26" x14ac:dyDescent="0.25">
      <c r="A142" s="840" t="s">
        <v>1631</v>
      </c>
      <c r="B142" s="791" t="str">
        <f ca="1">_xlfn.IFNA(_xlfn.CONCAT(SUBSTITUTE(ADDRESS(1,MATCH(A142,INDIRECT("'"&amp;E142&amp;"'"&amp;"!A5:Z5"),0),4),1,""),15),"")</f>
        <v>W15</v>
      </c>
      <c r="C142" s="791" t="str">
        <f ca="1">_xlfn.IFNA(SUBSTITUTE(ADDRESS(1,MATCH(A142,INDIRECT("'"&amp;E142&amp;"'"&amp;"!A5:Z5"),0),4),1,""),"")</f>
        <v>W</v>
      </c>
      <c r="D142" s="791" t="s">
        <v>1357</v>
      </c>
      <c r="E142" s="791" t="s">
        <v>870</v>
      </c>
      <c r="F142" s="1314"/>
      <c r="G142" s="1314"/>
      <c r="H142" s="1314"/>
      <c r="I142" s="1274" t="str">
        <f t="shared" si="22"/>
        <v>Add or End Customer</v>
      </c>
      <c r="J142" s="1314" t="str">
        <f t="shared" si="23"/>
        <v>F234</v>
      </c>
      <c r="K142" s="1314" t="str">
        <f t="shared" si="24"/>
        <v>Customer Inputs</v>
      </c>
      <c r="L142" s="825" t="s">
        <v>1631</v>
      </c>
      <c r="M142" s="1314">
        <v>234</v>
      </c>
      <c r="N142" s="1314"/>
      <c r="O142" s="1311"/>
      <c r="P142" s="1311"/>
      <c r="Q142" s="1311"/>
      <c r="R142" s="1311"/>
      <c r="S142" s="1311"/>
      <c r="T142" s="1311"/>
      <c r="U142" s="1311"/>
      <c r="V142" s="1311"/>
      <c r="W142" s="1311"/>
      <c r="X142" s="1311"/>
      <c r="Y142" s="1311"/>
      <c r="Z142" s="1311"/>
    </row>
    <row r="143" spans="1:26" x14ac:dyDescent="0.25">
      <c r="A143" s="1314" t="s">
        <v>1216</v>
      </c>
      <c r="B143" s="791"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9)</f>
        <v>D9</v>
      </c>
      <c r="C143" s="791"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10)</f>
        <v>D10</v>
      </c>
      <c r="D143" s="791" t="s">
        <v>1350</v>
      </c>
      <c r="E143" s="791" t="s">
        <v>1351</v>
      </c>
      <c r="F143" s="1314"/>
      <c r="G143" s="1314"/>
      <c r="H143" s="1314"/>
      <c r="I143" s="1274" t="str">
        <f t="shared" si="22"/>
        <v>Minimum Delivery Selection</v>
      </c>
      <c r="J143" s="1314" t="str">
        <f t="shared" si="23"/>
        <v>F12</v>
      </c>
      <c r="K143" s="1314" t="str">
        <f t="shared" si="24"/>
        <v>Agreement Worksheet</v>
      </c>
      <c r="L143" s="1314" t="s">
        <v>1216</v>
      </c>
      <c r="M143" s="1314">
        <v>12</v>
      </c>
      <c r="N143" s="1314"/>
      <c r="O143" s="1311"/>
      <c r="P143" s="1311"/>
      <c r="Q143" s="1311"/>
      <c r="R143" s="1311"/>
      <c r="S143" s="1311"/>
      <c r="T143" s="1311"/>
      <c r="U143" s="1311"/>
      <c r="V143" s="1311"/>
      <c r="W143" s="1311"/>
      <c r="X143" s="1311"/>
      <c r="Y143" s="1311"/>
      <c r="Z143" s="1311"/>
    </row>
    <row r="144" spans="1:26" x14ac:dyDescent="0.25">
      <c r="A144" s="841" t="s">
        <v>1220</v>
      </c>
      <c r="B144" s="791"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9)</f>
        <v>H9</v>
      </c>
      <c r="C144" s="791"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10)</f>
        <v>H10</v>
      </c>
      <c r="D144" s="791" t="s">
        <v>1350</v>
      </c>
      <c r="E144" s="791" t="s">
        <v>1351</v>
      </c>
      <c r="F144" s="790" t="s">
        <v>1220</v>
      </c>
      <c r="G144" s="791" t="s">
        <v>1814</v>
      </c>
      <c r="H144" s="791" t="s">
        <v>1783</v>
      </c>
      <c r="I144" s="1274" t="str">
        <f t="shared" si="22"/>
        <v>Fuel Surcharge Included</v>
      </c>
      <c r="J144" s="1314" t="str">
        <f t="shared" si="23"/>
        <v>F18</v>
      </c>
      <c r="K144" s="1314" t="str">
        <f t="shared" si="24"/>
        <v>Agreement Worksheet</v>
      </c>
      <c r="L144" s="841" t="s">
        <v>1220</v>
      </c>
      <c r="M144" s="1314">
        <v>18</v>
      </c>
      <c r="N144" s="1314"/>
      <c r="O144" s="1311"/>
      <c r="P144" s="1311"/>
      <c r="Q144" s="1311"/>
      <c r="R144" s="1311"/>
      <c r="S144" s="1311"/>
      <c r="T144" s="1311"/>
      <c r="U144" s="1311"/>
      <c r="V144" s="1311"/>
      <c r="W144" s="1311"/>
      <c r="X144" s="1311"/>
      <c r="Y144" s="1311"/>
      <c r="Z144" s="1311"/>
    </row>
    <row r="145" spans="1:26" x14ac:dyDescent="0.25">
      <c r="A145" s="841" t="s">
        <v>1221</v>
      </c>
      <c r="B145" s="791"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9)</f>
        <v>I9</v>
      </c>
      <c r="C145" s="791"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10)</f>
        <v>I10</v>
      </c>
      <c r="D145" s="791" t="s">
        <v>1350</v>
      </c>
      <c r="E145" s="791" t="s">
        <v>1351</v>
      </c>
      <c r="F145" s="790" t="s">
        <v>1221</v>
      </c>
      <c r="G145" s="791" t="s">
        <v>1815</v>
      </c>
      <c r="H145" s="791" t="s">
        <v>1783</v>
      </c>
      <c r="I145" s="1274" t="str">
        <f t="shared" si="22"/>
        <v>Fuel Surcharge Per</v>
      </c>
      <c r="J145" s="1314" t="str">
        <f t="shared" si="23"/>
        <v>F19</v>
      </c>
      <c r="K145" s="1314" t="str">
        <f t="shared" si="24"/>
        <v>Agreement Worksheet</v>
      </c>
      <c r="L145" s="841" t="s">
        <v>1221</v>
      </c>
      <c r="M145" s="1314">
        <v>19</v>
      </c>
      <c r="N145" s="1314"/>
      <c r="O145" s="1311"/>
      <c r="P145" s="1311"/>
      <c r="Q145" s="1311"/>
      <c r="R145" s="1311"/>
      <c r="S145" s="1311"/>
      <c r="T145" s="1311"/>
      <c r="U145" s="1311"/>
      <c r="V145" s="1311"/>
      <c r="W145" s="1311"/>
      <c r="X145" s="1311"/>
      <c r="Y145" s="1311"/>
      <c r="Z145" s="1311"/>
    </row>
    <row r="146" spans="1:26" x14ac:dyDescent="0.25">
      <c r="A146" s="841" t="s">
        <v>1243</v>
      </c>
      <c r="B146" s="791"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17)</f>
        <v>B17</v>
      </c>
      <c r="C146" s="791"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18)</f>
        <v>B18</v>
      </c>
      <c r="D146" s="791" t="s">
        <v>1350</v>
      </c>
      <c r="E146" s="791" t="s">
        <v>1351</v>
      </c>
      <c r="F146" s="841" t="s">
        <v>1243</v>
      </c>
      <c r="G146" s="1314" t="s">
        <v>1353</v>
      </c>
      <c r="H146" s="1314" t="s">
        <v>1238</v>
      </c>
      <c r="I146" s="1274" t="str">
        <f t="shared" si="22"/>
        <v>Audit Age of Invoices</v>
      </c>
      <c r="J146" s="1314" t="str">
        <f t="shared" si="23"/>
        <v>F509</v>
      </c>
      <c r="K146" s="1314" t="str">
        <f t="shared" si="24"/>
        <v>Agreement Worksheet</v>
      </c>
      <c r="L146" s="841" t="s">
        <v>1243</v>
      </c>
      <c r="M146" s="1314">
        <v>509</v>
      </c>
      <c r="N146" s="1314"/>
      <c r="O146" s="1311"/>
      <c r="P146" s="1311"/>
      <c r="Q146" s="1311"/>
      <c r="R146" s="1311"/>
      <c r="S146" s="1311"/>
      <c r="T146" s="1311"/>
      <c r="U146" s="1311"/>
      <c r="V146" s="1311"/>
      <c r="W146" s="1311"/>
      <c r="X146" s="1311"/>
      <c r="Y146" s="1311"/>
      <c r="Z146" s="1311"/>
    </row>
    <row r="147" spans="1:26" x14ac:dyDescent="0.25">
      <c r="A147" s="841" t="s">
        <v>1240</v>
      </c>
      <c r="B147" s="791"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17)</f>
        <v>C17</v>
      </c>
      <c r="C147" s="791"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18)</f>
        <v>C18</v>
      </c>
      <c r="D147" s="791" t="s">
        <v>1350</v>
      </c>
      <c r="E147" s="791" t="s">
        <v>1351</v>
      </c>
      <c r="F147" s="841" t="s">
        <v>1240</v>
      </c>
      <c r="G147" s="1314" t="s">
        <v>1355</v>
      </c>
      <c r="H147" s="1314" t="s">
        <v>1238</v>
      </c>
      <c r="I147" s="1274" t="str">
        <f t="shared" si="22"/>
        <v>Audit Frequency Code</v>
      </c>
      <c r="J147" s="1314" t="str">
        <f t="shared" si="23"/>
        <v>F510</v>
      </c>
      <c r="K147" s="1314" t="str">
        <f t="shared" si="24"/>
        <v>Agreement Worksheet</v>
      </c>
      <c r="L147" s="841" t="s">
        <v>1240</v>
      </c>
      <c r="M147" s="1314">
        <v>510</v>
      </c>
      <c r="N147" s="1314"/>
      <c r="O147" s="1311"/>
      <c r="P147" s="1311"/>
      <c r="Q147" s="1311"/>
      <c r="R147" s="1311"/>
      <c r="S147" s="1311"/>
      <c r="T147" s="1311"/>
      <c r="U147" s="1311"/>
      <c r="V147" s="1311"/>
      <c r="W147" s="1311"/>
      <c r="X147" s="1311"/>
      <c r="Y147" s="1311"/>
      <c r="Z147" s="1311"/>
    </row>
    <row r="148" spans="1:26" x14ac:dyDescent="0.25">
      <c r="A148" s="841" t="s">
        <v>1241</v>
      </c>
      <c r="B148" s="791"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17)</f>
        <v>D17</v>
      </c>
      <c r="C148" s="791"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18)</f>
        <v>D18</v>
      </c>
      <c r="D148" s="791" t="s">
        <v>1350</v>
      </c>
      <c r="E148" s="791" t="s">
        <v>1351</v>
      </c>
      <c r="F148" s="841" t="s">
        <v>1241</v>
      </c>
      <c r="G148" s="1314" t="s">
        <v>1370</v>
      </c>
      <c r="H148" s="1314" t="s">
        <v>1238</v>
      </c>
      <c r="I148" s="1274" t="str">
        <f t="shared" si="22"/>
        <v>Audit Nbr of Invoice Line Items</v>
      </c>
      <c r="J148" s="1314" t="str">
        <f t="shared" si="23"/>
        <v>F511</v>
      </c>
      <c r="K148" s="1314" t="str">
        <f t="shared" si="24"/>
        <v>Agreement Worksheet</v>
      </c>
      <c r="L148" s="841" t="s">
        <v>1241</v>
      </c>
      <c r="M148" s="1314">
        <v>511</v>
      </c>
      <c r="N148" s="1314"/>
      <c r="O148" s="1311"/>
      <c r="P148" s="1311"/>
      <c r="Q148" s="1311"/>
      <c r="R148" s="1311"/>
      <c r="S148" s="1311"/>
      <c r="T148" s="1311"/>
      <c r="U148" s="1311"/>
      <c r="V148" s="1311"/>
      <c r="W148" s="1311"/>
      <c r="X148" s="1311"/>
      <c r="Y148" s="1311"/>
      <c r="Z148" s="1311"/>
    </row>
    <row r="149" spans="1:26" x14ac:dyDescent="0.25">
      <c r="A149" s="841" t="s">
        <v>1244</v>
      </c>
      <c r="B149" s="791"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17)</f>
        <v>E17</v>
      </c>
      <c r="C149" s="791"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18)</f>
        <v>E18</v>
      </c>
      <c r="D149" s="791" t="s">
        <v>1350</v>
      </c>
      <c r="E149" s="791" t="s">
        <v>1351</v>
      </c>
      <c r="F149" s="841" t="s">
        <v>1244</v>
      </c>
      <c r="G149" s="1314" t="s">
        <v>656</v>
      </c>
      <c r="H149" s="1314" t="s">
        <v>1238</v>
      </c>
      <c r="I149" s="1274" t="str">
        <f t="shared" si="22"/>
        <v>CPI ECI</v>
      </c>
      <c r="J149" s="1314" t="str">
        <f t="shared" si="23"/>
        <v>F512</v>
      </c>
      <c r="K149" s="1314" t="str">
        <f t="shared" si="24"/>
        <v>Agreement Worksheet</v>
      </c>
      <c r="L149" s="841" t="s">
        <v>1244</v>
      </c>
      <c r="M149" s="1314">
        <v>512</v>
      </c>
      <c r="N149" s="1314"/>
      <c r="O149" s="1311"/>
      <c r="P149" s="1311"/>
      <c r="Q149" s="1311"/>
      <c r="R149" s="1311"/>
      <c r="S149" s="1311"/>
      <c r="T149" s="1311"/>
      <c r="U149" s="1311"/>
      <c r="V149" s="1311"/>
      <c r="W149" s="1311"/>
      <c r="X149" s="1311"/>
      <c r="Y149" s="1311"/>
      <c r="Z149" s="1311"/>
    </row>
    <row r="150" spans="1:26" x14ac:dyDescent="0.25">
      <c r="A150" s="841" t="s">
        <v>1242</v>
      </c>
      <c r="B150" s="791"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17)</f>
        <v>F17</v>
      </c>
      <c r="C150" s="791"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18)</f>
        <v>F18</v>
      </c>
      <c r="D150" s="791" t="s">
        <v>1350</v>
      </c>
      <c r="E150" s="791" t="s">
        <v>1351</v>
      </c>
      <c r="F150" s="841" t="s">
        <v>1242</v>
      </c>
      <c r="G150" s="1314" t="s">
        <v>1356</v>
      </c>
      <c r="H150" s="1314" t="s">
        <v>1238</v>
      </c>
      <c r="I150" s="1274" t="str">
        <f t="shared" si="22"/>
        <v>Margin Erosion Rate</v>
      </c>
      <c r="J150" s="1314" t="str">
        <f t="shared" si="23"/>
        <v>F513</v>
      </c>
      <c r="K150" s="1314" t="str">
        <f t="shared" si="24"/>
        <v>Agreement Worksheet</v>
      </c>
      <c r="L150" s="841" t="s">
        <v>1242</v>
      </c>
      <c r="M150" s="1314">
        <v>513</v>
      </c>
      <c r="N150" s="1314"/>
      <c r="O150" s="1311"/>
      <c r="P150" s="1311"/>
      <c r="Q150" s="1311"/>
      <c r="R150" s="1311"/>
      <c r="S150" s="1311"/>
      <c r="T150" s="1311"/>
      <c r="U150" s="1311"/>
      <c r="V150" s="1311"/>
      <c r="W150" s="1311"/>
      <c r="X150" s="1311"/>
      <c r="Y150" s="1311"/>
      <c r="Z150" s="1311"/>
    </row>
    <row r="151" spans="1:26" x14ac:dyDescent="0.25">
      <c r="A151" s="841" t="s">
        <v>1203</v>
      </c>
      <c r="B151" s="791"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4)</f>
        <v>F4</v>
      </c>
      <c r="C151" s="791"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5)</f>
        <v>F5</v>
      </c>
      <c r="D151" s="791" t="s">
        <v>1350</v>
      </c>
      <c r="E151" s="791" t="s">
        <v>1351</v>
      </c>
      <c r="F151" s="52" t="s">
        <v>1203</v>
      </c>
      <c r="G151" s="52" t="s">
        <v>1362</v>
      </c>
      <c r="H151" s="52" t="s">
        <v>1783</v>
      </c>
      <c r="I151" s="1274" t="str">
        <f t="shared" si="22"/>
        <v>Standard Agreement</v>
      </c>
      <c r="J151" s="1314" t="str">
        <f t="shared" si="23"/>
        <v>F516</v>
      </c>
      <c r="K151" s="1314" t="str">
        <f t="shared" si="24"/>
        <v>Agreement Worksheet</v>
      </c>
      <c r="L151" s="841" t="s">
        <v>1203</v>
      </c>
      <c r="M151" s="1314">
        <v>516</v>
      </c>
      <c r="N151" s="1314"/>
      <c r="O151" s="1311"/>
      <c r="P151" s="1311"/>
      <c r="Q151" s="1311"/>
      <c r="R151" s="1311"/>
      <c r="S151" s="1311"/>
      <c r="T151" s="1311"/>
      <c r="U151" s="1311"/>
      <c r="V151" s="1311"/>
      <c r="W151" s="1311"/>
      <c r="X151" s="1311"/>
      <c r="Y151" s="1311"/>
      <c r="Z151" s="1311"/>
    </row>
    <row r="152" spans="1:26" x14ac:dyDescent="0.25">
      <c r="A152" s="841" t="s">
        <v>1262</v>
      </c>
      <c r="B152" s="791"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17)</f>
        <v>H17</v>
      </c>
      <c r="C152" s="791"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18)</f>
        <v>H18</v>
      </c>
      <c r="D152" s="791" t="s">
        <v>1350</v>
      </c>
      <c r="E152" s="791" t="s">
        <v>1351</v>
      </c>
      <c r="F152" s="791" t="s">
        <v>1185</v>
      </c>
      <c r="G152" s="791" t="s">
        <v>1376</v>
      </c>
      <c r="H152" s="791" t="s">
        <v>1783</v>
      </c>
      <c r="I152" s="1274" t="str">
        <f t="shared" si="22"/>
        <v>Agreement Annual Purchase Commitment</v>
      </c>
      <c r="J152" s="1314" t="str">
        <f t="shared" si="23"/>
        <v>F20</v>
      </c>
      <c r="K152" s="1314" t="str">
        <f t="shared" si="24"/>
        <v>Agreement Worksheet</v>
      </c>
      <c r="L152" s="824" t="s">
        <v>1262</v>
      </c>
      <c r="M152" s="1314">
        <v>20</v>
      </c>
      <c r="N152" s="1314"/>
      <c r="O152" s="1311"/>
      <c r="P152" s="1311"/>
      <c r="Q152" s="1311"/>
      <c r="R152" s="1311"/>
      <c r="S152" s="1311"/>
      <c r="T152" s="1311"/>
      <c r="U152" s="1311"/>
      <c r="V152" s="1311"/>
      <c r="W152" s="1311"/>
      <c r="X152" s="1311"/>
      <c r="Y152" s="1311"/>
      <c r="Z152" s="1311"/>
    </row>
    <row r="153" spans="1:26" x14ac:dyDescent="0.25">
      <c r="A153" s="841" t="s">
        <v>1202</v>
      </c>
      <c r="B153" s="791"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4)</f>
        <v>E4</v>
      </c>
      <c r="C153" s="791"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5)</f>
        <v>E5</v>
      </c>
      <c r="D153" s="791" t="s">
        <v>1350</v>
      </c>
      <c r="E153" s="791" t="s">
        <v>1351</v>
      </c>
      <c r="F153" s="1097" t="s">
        <v>1202</v>
      </c>
      <c r="G153" s="791" t="s">
        <v>1361</v>
      </c>
      <c r="H153" s="52" t="s">
        <v>1783</v>
      </c>
      <c r="I153" s="1274" t="str">
        <f t="shared" si="22"/>
        <v>Multi Market Flag</v>
      </c>
      <c r="J153" s="1314" t="str">
        <f t="shared" si="23"/>
        <v>F21</v>
      </c>
      <c r="K153" s="1314" t="str">
        <f t="shared" si="24"/>
        <v>Agreement Worksheet</v>
      </c>
      <c r="L153" s="841" t="s">
        <v>1202</v>
      </c>
      <c r="M153" s="1314">
        <v>21</v>
      </c>
      <c r="N153" s="1314"/>
      <c r="O153" s="1311"/>
      <c r="P153" s="1311"/>
      <c r="Q153" s="1311"/>
      <c r="R153" s="1311"/>
      <c r="S153" s="1311"/>
      <c r="T153" s="1311"/>
      <c r="U153" s="1311"/>
      <c r="V153" s="1311"/>
      <c r="W153" s="1311"/>
      <c r="X153" s="1311"/>
      <c r="Y153" s="1311"/>
      <c r="Z153" s="1311"/>
    </row>
    <row r="154" spans="1:26" x14ac:dyDescent="0.25">
      <c r="A154" s="1356" t="s">
        <v>1845</v>
      </c>
      <c r="B154" s="791" t="str">
        <f ca="1">_xlfn.CONCAT(IFERROR(SUBSTITUTE(ADDRESS(1,MATCH(A154,INDIRECT("'"&amp;E154&amp;"'"&amp;"!A5:Z5"),0),4),1,""),""),5)</f>
        <v>D5</v>
      </c>
      <c r="C154" s="791" t="str">
        <f ca="1">_xlfn.CONCAT(IFERROR(SUBSTITUTE(ADDRESS(1,MATCH(A154,INDIRECT("'"&amp;E154&amp;"'"&amp;"!A5:Z5"),0),4),1,""),""),6)</f>
        <v>D6</v>
      </c>
      <c r="D154" s="791" t="s">
        <v>1350</v>
      </c>
      <c r="E154" s="791" t="s">
        <v>2001</v>
      </c>
      <c r="F154" s="790" t="s">
        <v>2057</v>
      </c>
      <c r="G154" s="791" t="s">
        <v>1825</v>
      </c>
      <c r="H154" s="791" t="s">
        <v>1783</v>
      </c>
      <c r="I154" s="1274"/>
      <c r="J154" s="1314"/>
      <c r="K154" s="1314"/>
      <c r="L154" s="841"/>
      <c r="M154" s="1314"/>
      <c r="N154" s="1314"/>
      <c r="O154" s="1311"/>
      <c r="P154" s="1311"/>
      <c r="Q154" s="1311"/>
      <c r="R154" s="1311"/>
      <c r="S154" s="1311"/>
      <c r="T154" s="1311"/>
      <c r="U154" s="1311"/>
      <c r="V154" s="1311"/>
      <c r="W154" s="1311"/>
      <c r="X154" s="1311"/>
      <c r="Y154" s="1311"/>
      <c r="Z154" s="1311"/>
    </row>
    <row r="155" spans="1:26" x14ac:dyDescent="0.25">
      <c r="A155" s="841" t="s">
        <v>1201</v>
      </c>
      <c r="B155" s="791"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4)</f>
        <v>D4</v>
      </c>
      <c r="C155" s="791"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5)</f>
        <v>D5</v>
      </c>
      <c r="D155" s="791" t="s">
        <v>1350</v>
      </c>
      <c r="E155" s="791" t="s">
        <v>1351</v>
      </c>
      <c r="F155" s="52" t="s">
        <v>1201</v>
      </c>
      <c r="G155" s="52" t="s">
        <v>1355</v>
      </c>
      <c r="H155" s="52" t="s">
        <v>1783</v>
      </c>
      <c r="I155" s="1274" t="str">
        <f t="shared" si="22"/>
        <v>Agreement Sub Classification</v>
      </c>
      <c r="J155" s="1314" t="str">
        <f t="shared" si="23"/>
        <v>F23</v>
      </c>
      <c r="K155" s="1314" t="str">
        <f t="shared" si="24"/>
        <v>Agreement Worksheet</v>
      </c>
      <c r="L155" s="841" t="s">
        <v>1201</v>
      </c>
      <c r="M155" s="1314">
        <v>23</v>
      </c>
      <c r="N155" s="1314"/>
      <c r="O155" s="1311"/>
      <c r="P155" s="1311"/>
      <c r="Q155" s="1311"/>
      <c r="R155" s="1311"/>
      <c r="S155" s="1311"/>
      <c r="T155" s="1311"/>
      <c r="U155" s="1311"/>
      <c r="V155" s="1311"/>
      <c r="W155" s="1311"/>
      <c r="X155" s="1311"/>
      <c r="Y155" s="1311"/>
      <c r="Z155" s="1311"/>
    </row>
    <row r="156" spans="1:26" x14ac:dyDescent="0.25">
      <c r="A156" s="841" t="s">
        <v>1725</v>
      </c>
      <c r="B156" s="791"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17)</f>
        <v>I17</v>
      </c>
      <c r="C156" s="791"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18)</f>
        <v>I18</v>
      </c>
      <c r="D156" s="791" t="s">
        <v>1350</v>
      </c>
      <c r="E156" s="791" t="s">
        <v>1351</v>
      </c>
      <c r="F156" s="790" t="s">
        <v>1725</v>
      </c>
      <c r="G156" s="791" t="s">
        <v>1802</v>
      </c>
      <c r="H156" s="791" t="s">
        <v>1783</v>
      </c>
      <c r="I156" s="1274" t="str">
        <f t="shared" si="22"/>
        <v>Legacy Agreement Flag</v>
      </c>
      <c r="J156" s="1314" t="str">
        <f t="shared" si="23"/>
        <v>F24</v>
      </c>
      <c r="K156" s="1314" t="str">
        <f t="shared" si="24"/>
        <v>Agreement Worksheet</v>
      </c>
      <c r="L156" s="841" t="s">
        <v>1725</v>
      </c>
      <c r="M156" s="1314">
        <v>24</v>
      </c>
      <c r="N156" s="1314"/>
      <c r="O156" s="1311"/>
      <c r="P156" s="1311"/>
      <c r="Q156" s="1311"/>
      <c r="R156" s="1311"/>
      <c r="S156" s="1311"/>
      <c r="T156" s="1311"/>
      <c r="U156" s="1311"/>
      <c r="V156" s="1311"/>
      <c r="W156" s="1311"/>
      <c r="X156" s="1311"/>
      <c r="Y156" s="1311"/>
      <c r="Z156" s="1311"/>
    </row>
    <row r="157" spans="1:26" x14ac:dyDescent="0.25">
      <c r="A157" s="841" t="s">
        <v>1723</v>
      </c>
      <c r="B157" s="791"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4)</f>
        <v>J4</v>
      </c>
      <c r="C157" s="791"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5)</f>
        <v>J5</v>
      </c>
      <c r="D157" s="791" t="s">
        <v>1350</v>
      </c>
      <c r="E157" s="791" t="s">
        <v>1351</v>
      </c>
      <c r="F157" s="841" t="s">
        <v>1723</v>
      </c>
      <c r="G157" s="52" t="s">
        <v>1366</v>
      </c>
      <c r="H157" s="52" t="s">
        <v>1783</v>
      </c>
      <c r="I157" s="1274" t="str">
        <f t="shared" si="22"/>
        <v>Agreement Calendar</v>
      </c>
      <c r="J157" s="1314" t="str">
        <f t="shared" si="23"/>
        <v>F25</v>
      </c>
      <c r="K157" s="1314" t="str">
        <f t="shared" si="24"/>
        <v>Agreement Worksheet</v>
      </c>
      <c r="L157" s="841" t="s">
        <v>1723</v>
      </c>
      <c r="M157" s="1314">
        <v>25</v>
      </c>
      <c r="N157" s="1314"/>
      <c r="O157" s="1311"/>
      <c r="P157" s="1311"/>
      <c r="Q157" s="1311"/>
      <c r="R157" s="1311"/>
      <c r="S157" s="1311"/>
      <c r="T157" s="1311"/>
      <c r="U157" s="1311"/>
      <c r="V157" s="1311"/>
      <c r="W157" s="1311"/>
      <c r="X157" s="1311"/>
      <c r="Y157" s="1311"/>
      <c r="Z157" s="1311"/>
    </row>
    <row r="158" spans="1:26" x14ac:dyDescent="0.25">
      <c r="A158" s="791" t="s">
        <v>1175</v>
      </c>
      <c r="B158" s="791" t="str">
        <f>IFERROR(_xlfn.CONCAT("E",MATCH(A158,'Required Info to Submit'!E$1:E$19,0)),"")</f>
        <v>E14</v>
      </c>
      <c r="C158" s="791" t="str">
        <f>IFERROR(_xlfn.CONCAT("F",MATCH(A158,'Required Info to Submit'!E$1:E$19,0)),"")</f>
        <v>F14</v>
      </c>
      <c r="D158" s="791" t="s">
        <v>1350</v>
      </c>
      <c r="E158" s="791" t="s">
        <v>1358</v>
      </c>
      <c r="F158" s="791" t="s">
        <v>1419</v>
      </c>
      <c r="G158" s="52" t="s">
        <v>1370</v>
      </c>
      <c r="H158" s="52" t="s">
        <v>1783</v>
      </c>
      <c r="I158" s="1274" t="str">
        <f t="shared" si="22"/>
        <v xml:space="preserve">Agreement Effective Date: </v>
      </c>
      <c r="J158" s="1314" t="str">
        <f t="shared" si="23"/>
        <v>F7</v>
      </c>
      <c r="K158" s="1314" t="str">
        <f t="shared" si="24"/>
        <v>Required Info to Submit</v>
      </c>
      <c r="L158" s="791" t="s">
        <v>1419</v>
      </c>
      <c r="M158" s="1314">
        <v>7</v>
      </c>
      <c r="N158" s="1314"/>
      <c r="O158" s="1311"/>
      <c r="P158" s="1311"/>
      <c r="Q158" s="1311"/>
      <c r="R158" s="1311"/>
      <c r="S158" s="1311"/>
      <c r="T158" s="1311"/>
      <c r="U158" s="1311"/>
      <c r="V158" s="1311"/>
      <c r="W158" s="1311"/>
      <c r="X158" s="1311"/>
      <c r="Y158" s="1311"/>
      <c r="Z158" s="1311"/>
    </row>
    <row r="159" spans="1:26" x14ac:dyDescent="0.25">
      <c r="A159" s="791" t="s">
        <v>1176</v>
      </c>
      <c r="B159" s="791" t="str">
        <f>IFERROR(_xlfn.CONCAT("E",MATCH(A159,'Required Info to Submit'!E$1:E$19,0)),"")</f>
        <v>E17</v>
      </c>
      <c r="C159" s="791" t="str">
        <f>IFERROR(_xlfn.CONCAT("F",MATCH(A159,'Required Info to Submit'!E$1:E$19,0)),"")</f>
        <v>F17</v>
      </c>
      <c r="D159" s="791" t="s">
        <v>1350</v>
      </c>
      <c r="E159" s="791" t="s">
        <v>1358</v>
      </c>
      <c r="F159" s="791" t="s">
        <v>1420</v>
      </c>
      <c r="G159" s="52" t="s">
        <v>656</v>
      </c>
      <c r="H159" s="52" t="s">
        <v>1783</v>
      </c>
      <c r="I159" s="1274" t="str">
        <f t="shared" si="22"/>
        <v>Agreement Expiration Date:</v>
      </c>
      <c r="J159" s="1314" t="str">
        <f t="shared" si="23"/>
        <v>F8</v>
      </c>
      <c r="K159" s="1314" t="str">
        <f t="shared" si="24"/>
        <v>Required Info to Submit</v>
      </c>
      <c r="L159" s="791" t="s">
        <v>1420</v>
      </c>
      <c r="M159" s="1314">
        <v>8</v>
      </c>
      <c r="N159" s="1314"/>
      <c r="O159" s="1311"/>
      <c r="P159" s="1311"/>
      <c r="Q159" s="1311"/>
      <c r="R159" s="1311"/>
      <c r="S159" s="1311"/>
      <c r="T159" s="1311"/>
      <c r="U159" s="1311"/>
      <c r="V159" s="1311"/>
      <c r="W159" s="1311"/>
      <c r="X159" s="1311"/>
      <c r="Y159" s="1311"/>
      <c r="Z159" s="1311"/>
    </row>
    <row r="160" spans="1:26" x14ac:dyDescent="0.25">
      <c r="A160" s="841" t="s">
        <v>844</v>
      </c>
      <c r="B160" s="791" t="str">
        <f>IFERROR(_xlfn.CONCAT("E",MATCH(A160,'Required Info to Submit'!E$1:E$19,0)),"")</f>
        <v>E4</v>
      </c>
      <c r="C160" s="791" t="str">
        <f>IFERROR(_xlfn.CONCAT("F",MATCH(A160,'Required Info to Submit'!E$1:E$19,0)),"")</f>
        <v>F4</v>
      </c>
      <c r="D160" s="791" t="s">
        <v>1350</v>
      </c>
      <c r="E160" s="791" t="s">
        <v>1358</v>
      </c>
      <c r="F160" s="1314"/>
      <c r="G160" s="1314"/>
      <c r="H160" s="1314"/>
      <c r="I160" s="1274" t="str">
        <f t="shared" si="22"/>
        <v xml:space="preserve">Market Contact: </v>
      </c>
      <c r="J160" s="1314" t="str">
        <f t="shared" si="23"/>
        <v>F502</v>
      </c>
      <c r="K160" s="1314" t="str">
        <f t="shared" si="24"/>
        <v>Required Info to Submit</v>
      </c>
      <c r="L160" s="841" t="s">
        <v>1446</v>
      </c>
      <c r="M160" s="1314">
        <v>502</v>
      </c>
      <c r="N160" s="1314"/>
      <c r="O160" s="1311"/>
      <c r="P160" s="1311"/>
      <c r="Q160" s="1311"/>
      <c r="R160" s="1311"/>
      <c r="S160" s="1311"/>
      <c r="T160" s="1311"/>
      <c r="U160" s="1311"/>
      <c r="V160" s="1311"/>
      <c r="W160" s="1311"/>
      <c r="X160" s="1311"/>
      <c r="Y160" s="1311"/>
      <c r="Z160" s="1311"/>
    </row>
    <row r="161" spans="1:26" x14ac:dyDescent="0.25">
      <c r="A161" s="841" t="s">
        <v>1171</v>
      </c>
      <c r="B161" s="791" t="str">
        <f>IFERROR(_xlfn.CONCAT("E",MATCH(A161,'Required Info to Submit'!E$1:E$19,0)),"")</f>
        <v>E6</v>
      </c>
      <c r="C161" s="791" t="str">
        <f>IFERROR(_xlfn.CONCAT("F",MATCH(A161,'Required Info to Submit'!E$1:E$19,0)),"")</f>
        <v>F6</v>
      </c>
      <c r="D161" s="791" t="s">
        <v>1350</v>
      </c>
      <c r="E161" s="791" t="s">
        <v>1358</v>
      </c>
      <c r="F161" s="1314"/>
      <c r="G161" s="1314"/>
      <c r="H161" s="1314"/>
      <c r="I161" s="1274" t="str">
        <f t="shared" si="22"/>
        <v xml:space="preserve">Legal Entity: </v>
      </c>
      <c r="J161" s="1314" t="str">
        <f t="shared" si="23"/>
        <v>F503</v>
      </c>
      <c r="K161" s="1314" t="str">
        <f t="shared" si="24"/>
        <v>Required Info to Submit</v>
      </c>
      <c r="L161" s="841" t="s">
        <v>1447</v>
      </c>
      <c r="M161" s="1314">
        <v>503</v>
      </c>
      <c r="N161" s="1314"/>
      <c r="O161" s="1311"/>
      <c r="P161" s="1311"/>
      <c r="Q161" s="1311"/>
      <c r="R161" s="1311"/>
      <c r="S161" s="1311"/>
      <c r="T161" s="1311"/>
      <c r="U161" s="1311"/>
      <c r="V161" s="1311"/>
      <c r="W161" s="1311"/>
      <c r="X161" s="1311"/>
      <c r="Y161" s="1311"/>
      <c r="Z161" s="1311"/>
    </row>
    <row r="162" spans="1:26" x14ac:dyDescent="0.25">
      <c r="A162" s="841" t="s">
        <v>1172</v>
      </c>
      <c r="B162" s="791" t="str">
        <f>IFERROR(_xlfn.CONCAT("E",MATCH(A162,'Required Info to Submit'!E$1:E$19,0)),"")</f>
        <v>E8</v>
      </c>
      <c r="C162" s="791" t="str">
        <f>IFERROR(_xlfn.CONCAT("F",MATCH(A162,'Required Info to Submit'!E$1:E$19,0)),"")</f>
        <v>F8</v>
      </c>
      <c r="D162" s="791" t="s">
        <v>1350</v>
      </c>
      <c r="E162" s="791" t="s">
        <v>1358</v>
      </c>
      <c r="F162" s="52" t="s">
        <v>1449</v>
      </c>
      <c r="G162" s="52" t="s">
        <v>1821</v>
      </c>
      <c r="H162" s="52" t="s">
        <v>1783</v>
      </c>
      <c r="I162" s="1274" t="str">
        <f t="shared" si="22"/>
        <v xml:space="preserve">DBA Name: </v>
      </c>
      <c r="J162" s="1314" t="str">
        <f t="shared" si="23"/>
        <v>F504</v>
      </c>
      <c r="K162" s="1314" t="str">
        <f t="shared" si="24"/>
        <v>Required Info to Submit</v>
      </c>
      <c r="L162" s="841" t="s">
        <v>1449</v>
      </c>
      <c r="M162" s="1314">
        <v>504</v>
      </c>
      <c r="N162" s="1314"/>
      <c r="O162" s="1311"/>
      <c r="P162" s="1311"/>
      <c r="Q162" s="1311"/>
      <c r="R162" s="1311"/>
      <c r="S162" s="1311"/>
      <c r="T162" s="1311"/>
      <c r="U162" s="1311"/>
      <c r="V162" s="1311"/>
      <c r="W162" s="1311"/>
      <c r="X162" s="1311"/>
      <c r="Y162" s="1311"/>
      <c r="Z162" s="1311"/>
    </row>
    <row r="163" spans="1:26" x14ac:dyDescent="0.25">
      <c r="A163" s="841" t="s">
        <v>1173</v>
      </c>
      <c r="B163" s="791" t="str">
        <f>IFERROR(_xlfn.CONCAT("E",MATCH(A163,'Required Info to Submit'!E$1:E$19,0)),"")</f>
        <v>E9</v>
      </c>
      <c r="C163" s="791" t="str">
        <f>IFERROR(_xlfn.CONCAT("F",MATCH(A163,'Required Info to Submit'!E$1:E$19,0)),"")</f>
        <v>F9</v>
      </c>
      <c r="D163" s="791" t="s">
        <v>1350</v>
      </c>
      <c r="E163" s="791" t="s">
        <v>1358</v>
      </c>
      <c r="F163" s="1314"/>
      <c r="G163" s="1314"/>
      <c r="H163" s="1314"/>
      <c r="I163" s="1274" t="str">
        <f t="shared" si="22"/>
        <v xml:space="preserve">Legal Entity Address: </v>
      </c>
      <c r="J163" s="1314" t="str">
        <f t="shared" si="23"/>
        <v>F505</v>
      </c>
      <c r="K163" s="1314" t="str">
        <f t="shared" si="24"/>
        <v>Required Info to Submit</v>
      </c>
      <c r="L163" s="841" t="s">
        <v>1450</v>
      </c>
      <c r="M163" s="1314">
        <v>505</v>
      </c>
      <c r="N163" s="1314"/>
      <c r="O163" s="1311"/>
      <c r="P163" s="1311"/>
      <c r="Q163" s="1311"/>
      <c r="R163" s="1311"/>
      <c r="S163" s="1311"/>
      <c r="T163" s="1311"/>
      <c r="U163" s="1311"/>
      <c r="V163" s="1311"/>
      <c r="W163" s="1311"/>
      <c r="X163" s="1311"/>
      <c r="Y163" s="1311"/>
      <c r="Z163" s="1311"/>
    </row>
    <row r="164" spans="1:26" x14ac:dyDescent="0.25">
      <c r="A164" s="841" t="s">
        <v>836</v>
      </c>
      <c r="B164" s="791" t="str">
        <f>IFERROR(_xlfn.CONCAT("E",MATCH(A164,'Required Info to Submit'!E$1:E$19,0)),"")</f>
        <v>E10</v>
      </c>
      <c r="C164" s="791" t="str">
        <f>IFERROR(_xlfn.CONCAT("F",MATCH(A164,'Required Info to Submit'!E$1:E$19,0)),"")</f>
        <v>F10</v>
      </c>
      <c r="D164" s="791" t="s">
        <v>1350</v>
      </c>
      <c r="E164" s="791" t="s">
        <v>1358</v>
      </c>
      <c r="F164" s="1314"/>
      <c r="G164" s="1314"/>
      <c r="H164" s="1314"/>
      <c r="I164" s="1274" t="str">
        <f t="shared" si="22"/>
        <v xml:space="preserve">Attention: </v>
      </c>
      <c r="J164" s="1314" t="str">
        <f t="shared" si="23"/>
        <v>F506</v>
      </c>
      <c r="K164" s="1314" t="str">
        <f t="shared" si="24"/>
        <v>Required Info to Submit</v>
      </c>
      <c r="L164" s="841" t="s">
        <v>1451</v>
      </c>
      <c r="M164" s="1314">
        <v>506</v>
      </c>
      <c r="N164" s="1314"/>
      <c r="O164" s="1311"/>
      <c r="P164" s="1311"/>
      <c r="Q164" s="1311"/>
      <c r="R164" s="1311"/>
      <c r="S164" s="1311"/>
      <c r="T164" s="1311"/>
      <c r="U164" s="1311"/>
      <c r="V164" s="1311"/>
      <c r="W164" s="1311"/>
      <c r="X164" s="1311"/>
      <c r="Y164" s="1311"/>
      <c r="Z164" s="1311"/>
    </row>
    <row r="165" spans="1:26" x14ac:dyDescent="0.25">
      <c r="A165" s="841" t="s">
        <v>798</v>
      </c>
      <c r="B165" s="791" t="str">
        <f>IFERROR(_xlfn.CONCAT("E",MATCH(A165,'Required Info to Submit'!E$1:E$19,0)),"")</f>
        <v>E11</v>
      </c>
      <c r="C165" s="791" t="str">
        <f>IFERROR(_xlfn.CONCAT("F",MATCH(A165,'Required Info to Submit'!E$1:E$19,0)),"")</f>
        <v>F11</v>
      </c>
      <c r="D165" s="791" t="s">
        <v>1350</v>
      </c>
      <c r="E165" s="791" t="s">
        <v>1358</v>
      </c>
      <c r="F165" s="1314"/>
      <c r="G165" s="1314"/>
      <c r="H165" s="1314"/>
      <c r="I165" s="1274" t="str">
        <f t="shared" si="22"/>
        <v xml:space="preserve">Phone Number: </v>
      </c>
      <c r="J165" s="1314" t="str">
        <f t="shared" si="23"/>
        <v>F507</v>
      </c>
      <c r="K165" s="1314" t="str">
        <f t="shared" si="24"/>
        <v>Required Info to Submit</v>
      </c>
      <c r="L165" s="841" t="s">
        <v>1452</v>
      </c>
      <c r="M165" s="1314">
        <v>507</v>
      </c>
      <c r="N165" s="1314"/>
      <c r="O165" s="1311"/>
      <c r="P165" s="1311"/>
      <c r="Q165" s="1311"/>
      <c r="R165" s="1311"/>
      <c r="S165" s="1311"/>
      <c r="T165" s="1311"/>
      <c r="U165" s="1311"/>
      <c r="V165" s="1311"/>
      <c r="W165" s="1311"/>
      <c r="X165" s="1311"/>
      <c r="Y165" s="1311"/>
      <c r="Z165" s="1311"/>
    </row>
    <row r="166" spans="1:26" x14ac:dyDescent="0.25">
      <c r="A166" s="841" t="s">
        <v>1174</v>
      </c>
      <c r="B166" s="791" t="str">
        <f>IFERROR(_xlfn.CONCAT("E",MATCH(A166,'Required Info to Submit'!E$1:E$19,0)),"")</f>
        <v>E12</v>
      </c>
      <c r="C166" s="791" t="str">
        <f>IFERROR(_xlfn.CONCAT("F",MATCH(A166,'Required Info to Submit'!E$1:E$19,0)),"")</f>
        <v>F12</v>
      </c>
      <c r="D166" s="791" t="s">
        <v>1350</v>
      </c>
      <c r="E166" s="791" t="s">
        <v>1358</v>
      </c>
      <c r="F166" s="1314"/>
      <c r="G166" s="1314"/>
      <c r="H166" s="1314"/>
      <c r="I166" s="1274" t="str">
        <f t="shared" si="22"/>
        <v xml:space="preserve">Legal Entity City, State, Zip: </v>
      </c>
      <c r="J166" s="1314" t="str">
        <f t="shared" si="23"/>
        <v>F508</v>
      </c>
      <c r="K166" s="1314" t="str">
        <f t="shared" si="24"/>
        <v>Required Info to Submit</v>
      </c>
      <c r="L166" s="841" t="s">
        <v>1453</v>
      </c>
      <c r="M166" s="1314">
        <v>508</v>
      </c>
      <c r="N166" s="1314"/>
      <c r="O166" s="1311"/>
      <c r="P166" s="1311"/>
      <c r="Q166" s="1311"/>
      <c r="R166" s="1311"/>
      <c r="S166" s="1311"/>
      <c r="T166" s="1311"/>
      <c r="U166" s="1311"/>
      <c r="V166" s="1311"/>
      <c r="W166" s="1311"/>
      <c r="X166" s="1311"/>
      <c r="Y166" s="1311"/>
      <c r="Z166" s="1311"/>
    </row>
    <row r="167" spans="1:26" x14ac:dyDescent="0.25">
      <c r="A167" s="842" t="s">
        <v>1178</v>
      </c>
      <c r="B167" s="791" t="str">
        <f ca="1">_xlfn.IFNA(_xlfn.CONCAT(SUBSTITUTE(ADDRESS(1,MATCH(A167,INDIRECT("'"&amp;E167&amp;"'"&amp;"!A22:Z22"),0),4),1,""),23),"")</f>
        <v>E23</v>
      </c>
      <c r="C167" s="791" t="str">
        <f ca="1">_xlfn.IFNA(SUBSTITUTE(ADDRESS(1,MATCH(A167,INDIRECT("'"&amp;E167&amp;"'"&amp;"!A22:Z22"),0),4),1,""),"")</f>
        <v>E</v>
      </c>
      <c r="D167" s="1314" t="s">
        <v>1357</v>
      </c>
      <c r="E167" s="791" t="s">
        <v>1358</v>
      </c>
      <c r="F167" s="1314"/>
      <c r="G167" s="1314"/>
      <c r="H167" s="1314"/>
      <c r="I167" s="1274" t="str">
        <f t="shared" si="22"/>
        <v/>
      </c>
      <c r="J167" s="1314"/>
      <c r="K167" s="1314" t="str">
        <f t="shared" si="24"/>
        <v/>
      </c>
      <c r="L167" s="824" t="s">
        <v>1178</v>
      </c>
      <c r="M167" s="1314">
        <v>34</v>
      </c>
      <c r="N167" s="1314"/>
      <c r="O167" s="1311"/>
      <c r="P167" s="1314" t="str">
        <f>IFERROR(VLOOKUP(Q$167,'Existing Customers'!$A:$F,1,FALSE),"")</f>
        <v/>
      </c>
      <c r="Q167" s="1314"/>
      <c r="R167" s="1311"/>
      <c r="S167" s="1311"/>
      <c r="T167" s="1311"/>
      <c r="U167" s="1311"/>
      <c r="V167" s="1311"/>
      <c r="W167" s="1311"/>
      <c r="X167" s="1311"/>
      <c r="Y167" s="1311"/>
      <c r="Z167" s="1311"/>
    </row>
    <row r="168" spans="1:26" x14ac:dyDescent="0.25">
      <c r="A168" s="843" t="s">
        <v>766</v>
      </c>
      <c r="B168" s="791" t="str">
        <f t="shared" ref="B168:B177" ca="1" si="25">_xlfn.IFNA(_xlfn.CONCAT(SUBSTITUTE(ADDRESS(1,MATCH(A168,INDIRECT("'"&amp;E168&amp;"'"&amp;"!A22:Z22"),0),4),1,""),23),"")</f>
        <v>F23</v>
      </c>
      <c r="C168" s="791" t="str">
        <f t="shared" ref="C168:C231" ca="1" si="26">_xlfn.IFNA(SUBSTITUTE(ADDRESS(1,MATCH(A168,INDIRECT("'"&amp;E168&amp;"'"&amp;"!A22:Z22"),0),4),1,""),"")</f>
        <v>F</v>
      </c>
      <c r="D168" s="1314" t="s">
        <v>1357</v>
      </c>
      <c r="E168" s="791" t="s">
        <v>1358</v>
      </c>
      <c r="F168" s="1314"/>
      <c r="G168" s="1314"/>
      <c r="H168" s="1314"/>
      <c r="I168" s="1274" t="str">
        <f t="shared" si="22"/>
        <v>Name</v>
      </c>
      <c r="J168" s="1314" t="str">
        <f>IF(P167="",Q$1&amp;M168,"")</f>
        <v>F36</v>
      </c>
      <c r="K168" s="1314" t="str">
        <f t="shared" si="24"/>
        <v>Required Info to Submit</v>
      </c>
      <c r="L168" s="824" t="s">
        <v>766</v>
      </c>
      <c r="M168" s="1314">
        <v>36</v>
      </c>
      <c r="N168" s="1314"/>
      <c r="O168" s="1311"/>
      <c r="P168" s="1311"/>
      <c r="Q168" s="1311"/>
      <c r="R168" s="1311"/>
      <c r="S168" s="1311"/>
      <c r="T168" s="1311"/>
      <c r="U168" s="1311"/>
      <c r="V168" s="1311"/>
      <c r="W168" s="1311"/>
      <c r="X168" s="1311"/>
      <c r="Y168" s="1311"/>
      <c r="Z168" s="1311"/>
    </row>
    <row r="169" spans="1:26" x14ac:dyDescent="0.25">
      <c r="A169" s="843" t="s">
        <v>765</v>
      </c>
      <c r="B169" s="791" t="str">
        <f t="shared" ca="1" si="25"/>
        <v>K23</v>
      </c>
      <c r="C169" s="791" t="str">
        <f t="shared" ca="1" si="26"/>
        <v>K</v>
      </c>
      <c r="D169" s="1314" t="s">
        <v>1357</v>
      </c>
      <c r="E169" s="791" t="s">
        <v>1358</v>
      </c>
      <c r="F169" s="1314"/>
      <c r="G169" s="1314"/>
      <c r="H169" s="1314"/>
      <c r="I169" s="1274" t="str">
        <f t="shared" si="22"/>
        <v/>
      </c>
      <c r="J169" s="1314"/>
      <c r="K169" s="1314" t="str">
        <f t="shared" si="24"/>
        <v/>
      </c>
      <c r="L169" s="824" t="s">
        <v>765</v>
      </c>
      <c r="M169" s="1314">
        <v>46</v>
      </c>
      <c r="N169" s="1314"/>
      <c r="O169" s="1311"/>
      <c r="P169" s="1311"/>
      <c r="Q169" s="1311"/>
      <c r="R169" s="1311"/>
      <c r="S169" s="1311"/>
      <c r="T169" s="1311"/>
      <c r="U169" s="1311"/>
      <c r="V169" s="1311"/>
      <c r="W169" s="1311"/>
      <c r="X169" s="1311"/>
      <c r="Y169" s="1311"/>
      <c r="Z169" s="1311"/>
    </row>
    <row r="170" spans="1:26" x14ac:dyDescent="0.25">
      <c r="A170" s="843" t="s">
        <v>1179</v>
      </c>
      <c r="B170" s="791" t="str">
        <f t="shared" ca="1" si="25"/>
        <v>L23</v>
      </c>
      <c r="C170" s="791" t="str">
        <f t="shared" ca="1" si="26"/>
        <v>L</v>
      </c>
      <c r="D170" s="1314" t="s">
        <v>1357</v>
      </c>
      <c r="E170" s="791" t="s">
        <v>1358</v>
      </c>
      <c r="F170" s="1314"/>
      <c r="G170" s="1314"/>
      <c r="H170" s="1314"/>
      <c r="I170" s="1274" t="str">
        <f t="shared" si="22"/>
        <v/>
      </c>
      <c r="J170" s="1314"/>
      <c r="K170" s="1314" t="str">
        <f t="shared" si="24"/>
        <v/>
      </c>
      <c r="L170" s="824" t="s">
        <v>1179</v>
      </c>
      <c r="M170" s="1314">
        <v>47</v>
      </c>
      <c r="N170" s="1314"/>
      <c r="O170" s="1311"/>
      <c r="P170" s="1311"/>
      <c r="Q170" s="1311"/>
      <c r="R170" s="1311"/>
      <c r="S170" s="1311"/>
      <c r="T170" s="1311"/>
      <c r="U170" s="1311"/>
      <c r="V170" s="1311"/>
      <c r="W170" s="1311"/>
      <c r="X170" s="1311"/>
      <c r="Y170" s="1311"/>
      <c r="Z170" s="1311"/>
    </row>
    <row r="171" spans="1:26" x14ac:dyDescent="0.25">
      <c r="A171" s="843" t="s">
        <v>1180</v>
      </c>
      <c r="B171" s="791" t="str">
        <f t="shared" ca="1" si="25"/>
        <v>M23</v>
      </c>
      <c r="C171" s="791" t="str">
        <f t="shared" ca="1" si="26"/>
        <v>M</v>
      </c>
      <c r="D171" s="1314" t="s">
        <v>1357</v>
      </c>
      <c r="E171" s="791" t="s">
        <v>1358</v>
      </c>
      <c r="F171" s="1314"/>
      <c r="G171" s="1314"/>
      <c r="H171" s="1314"/>
      <c r="I171" s="1274" t="str">
        <f t="shared" si="22"/>
        <v>Secondary or Internal Customer</v>
      </c>
      <c r="J171" s="1314" t="str">
        <f>IF(M171&lt;&gt;"",Q$1&amp;M171,"")</f>
        <v>F48</v>
      </c>
      <c r="K171" s="1314" t="str">
        <f t="shared" si="24"/>
        <v>Required Info to Submit</v>
      </c>
      <c r="L171" s="824" t="s">
        <v>1180</v>
      </c>
      <c r="M171" s="1314">
        <v>48</v>
      </c>
      <c r="N171" s="1314"/>
      <c r="O171" s="1311"/>
      <c r="P171" s="1311"/>
      <c r="Q171" s="1311"/>
      <c r="R171" s="1311"/>
      <c r="S171" s="1311"/>
      <c r="T171" s="1311"/>
      <c r="U171" s="1311"/>
      <c r="V171" s="1311"/>
      <c r="W171" s="1311"/>
      <c r="X171" s="1311"/>
      <c r="Y171" s="1311"/>
      <c r="Z171" s="1311"/>
    </row>
    <row r="172" spans="1:26" x14ac:dyDescent="0.25">
      <c r="A172" s="843" t="s">
        <v>1181</v>
      </c>
      <c r="B172" s="791" t="str">
        <f t="shared" ca="1" si="25"/>
        <v>N23</v>
      </c>
      <c r="C172" s="791" t="str">
        <f t="shared" ca="1" si="26"/>
        <v>N</v>
      </c>
      <c r="D172" s="1314" t="s">
        <v>1357</v>
      </c>
      <c r="E172" s="791" t="s">
        <v>1358</v>
      </c>
      <c r="F172" s="1314"/>
      <c r="G172" s="1314"/>
      <c r="H172" s="1314"/>
      <c r="I172" s="1274" t="str">
        <f t="shared" si="22"/>
        <v>Fuel Surcharge Applied</v>
      </c>
      <c r="J172" s="1314" t="str">
        <f>IF(M172&lt;&gt;"",Q$1&amp;M172,"")</f>
        <v>F49</v>
      </c>
      <c r="K172" s="1314" t="str">
        <f t="shared" si="24"/>
        <v>Required Info to Submit</v>
      </c>
      <c r="L172" s="824" t="s">
        <v>1367</v>
      </c>
      <c r="M172" s="1314">
        <v>49</v>
      </c>
      <c r="N172" s="1314"/>
      <c r="O172" s="1311"/>
      <c r="P172" s="1311"/>
      <c r="Q172" s="1311"/>
      <c r="R172" s="1311"/>
      <c r="S172" s="1311"/>
      <c r="T172" s="1311"/>
      <c r="U172" s="1311"/>
      <c r="V172" s="1311"/>
      <c r="W172" s="1311"/>
      <c r="X172" s="1311"/>
      <c r="Y172" s="1311"/>
      <c r="Z172" s="1311"/>
    </row>
    <row r="173" spans="1:26" x14ac:dyDescent="0.25">
      <c r="A173" s="843" t="s">
        <v>1297</v>
      </c>
      <c r="B173" s="791" t="str">
        <f t="shared" ca="1" si="25"/>
        <v>O23</v>
      </c>
      <c r="C173" s="791" t="str">
        <f t="shared" ca="1" si="26"/>
        <v>O</v>
      </c>
      <c r="D173" s="1314" t="s">
        <v>1357</v>
      </c>
      <c r="E173" s="791" t="s">
        <v>1358</v>
      </c>
      <c r="F173" s="1314"/>
      <c r="G173" s="1314"/>
      <c r="H173" s="1314"/>
      <c r="I173" s="1274" t="str">
        <f t="shared" si="22"/>
        <v>Minimum Delivery Charge Applied Flag</v>
      </c>
      <c r="J173" s="1314" t="str">
        <f>IF(M173&lt;&gt;"",Q$1&amp;M173,"")</f>
        <v>F50</v>
      </c>
      <c r="K173" s="1314" t="str">
        <f t="shared" si="24"/>
        <v>Required Info to Submit</v>
      </c>
      <c r="L173" s="824" t="s">
        <v>1297</v>
      </c>
      <c r="M173" s="1314">
        <v>50</v>
      </c>
      <c r="N173" s="1314"/>
      <c r="O173" s="1311"/>
      <c r="P173" s="1311"/>
      <c r="Q173" s="1311"/>
      <c r="R173" s="1311"/>
      <c r="S173" s="1311"/>
      <c r="T173" s="1311"/>
      <c r="U173" s="1311"/>
      <c r="V173" s="1311"/>
      <c r="W173" s="1311"/>
      <c r="X173" s="1311"/>
      <c r="Y173" s="1311"/>
      <c r="Z173" s="1311"/>
    </row>
    <row r="174" spans="1:26" x14ac:dyDescent="0.25">
      <c r="A174" s="843" t="s">
        <v>767</v>
      </c>
      <c r="B174" s="791" t="str">
        <f t="shared" ca="1" si="25"/>
        <v>G23</v>
      </c>
      <c r="C174" s="791" t="str">
        <f t="shared" ca="1" si="26"/>
        <v>G</v>
      </c>
      <c r="D174" s="1314" t="s">
        <v>1357</v>
      </c>
      <c r="E174" s="791" t="s">
        <v>1358</v>
      </c>
      <c r="F174" s="1314"/>
      <c r="G174" s="1314"/>
      <c r="H174" s="1314"/>
      <c r="I174" s="1274" t="str">
        <f t="shared" si="22"/>
        <v>Address</v>
      </c>
      <c r="J174" s="1314" t="str">
        <f>IF(P167="",Q$1&amp;M174,"")</f>
        <v>F51</v>
      </c>
      <c r="K174" s="1314" t="str">
        <f t="shared" si="24"/>
        <v>Required Info to Submit</v>
      </c>
      <c r="L174" s="824" t="s">
        <v>767</v>
      </c>
      <c r="M174" s="1314">
        <v>51</v>
      </c>
      <c r="N174" s="1314"/>
      <c r="O174" s="1311"/>
      <c r="P174" s="1311"/>
      <c r="Q174" s="1311"/>
      <c r="R174" s="1311"/>
      <c r="S174" s="1311"/>
      <c r="T174" s="1311"/>
      <c r="U174" s="1311"/>
      <c r="V174" s="1311"/>
      <c r="W174" s="1311"/>
      <c r="X174" s="1311"/>
      <c r="Y174" s="1311"/>
      <c r="Z174" s="1311"/>
    </row>
    <row r="175" spans="1:26" x14ac:dyDescent="0.25">
      <c r="A175" s="843" t="s">
        <v>768</v>
      </c>
      <c r="B175" s="791" t="str">
        <f t="shared" ca="1" si="25"/>
        <v>H23</v>
      </c>
      <c r="C175" s="791" t="str">
        <f t="shared" ca="1" si="26"/>
        <v>H</v>
      </c>
      <c r="D175" s="1314" t="s">
        <v>1357</v>
      </c>
      <c r="E175" s="791" t="s">
        <v>1358</v>
      </c>
      <c r="F175" s="1314"/>
      <c r="G175" s="1314"/>
      <c r="H175" s="1314"/>
      <c r="I175" s="1274" t="str">
        <f t="shared" si="22"/>
        <v>City</v>
      </c>
      <c r="J175" s="1314" t="str">
        <f>IF(P167="",Q$1&amp;M175,"")</f>
        <v>F52</v>
      </c>
      <c r="K175" s="1314" t="str">
        <f t="shared" si="24"/>
        <v>Required Info to Submit</v>
      </c>
      <c r="L175" s="824" t="s">
        <v>768</v>
      </c>
      <c r="M175" s="1314">
        <v>52</v>
      </c>
      <c r="N175" s="1314"/>
      <c r="O175" s="1311"/>
      <c r="P175" s="1311"/>
      <c r="Q175" s="1311"/>
      <c r="R175" s="1311"/>
      <c r="S175" s="1311"/>
      <c r="T175" s="1311"/>
      <c r="U175" s="1311"/>
      <c r="V175" s="1311"/>
      <c r="W175" s="1311"/>
      <c r="X175" s="1311"/>
      <c r="Y175" s="1311"/>
      <c r="Z175" s="1311"/>
    </row>
    <row r="176" spans="1:26" x14ac:dyDescent="0.25">
      <c r="A176" s="843" t="s">
        <v>769</v>
      </c>
      <c r="B176" s="791" t="str">
        <f t="shared" ca="1" si="25"/>
        <v>I23</v>
      </c>
      <c r="C176" s="791" t="str">
        <f t="shared" ca="1" si="26"/>
        <v>I</v>
      </c>
      <c r="D176" s="1314" t="s">
        <v>1357</v>
      </c>
      <c r="E176" s="791" t="s">
        <v>1358</v>
      </c>
      <c r="F176" s="1314"/>
      <c r="G176" s="1314"/>
      <c r="H176" s="1314"/>
      <c r="I176" s="1274" t="str">
        <f t="shared" si="22"/>
        <v>State</v>
      </c>
      <c r="J176" s="1314" t="str">
        <f>IF(P167="",Q$1&amp;M176,"")</f>
        <v>F53</v>
      </c>
      <c r="K176" s="1314" t="str">
        <f t="shared" si="24"/>
        <v>Required Info to Submit</v>
      </c>
      <c r="L176" s="824" t="s">
        <v>769</v>
      </c>
      <c r="M176" s="1314">
        <v>53</v>
      </c>
      <c r="N176" s="1314"/>
      <c r="O176" s="1311"/>
      <c r="P176" s="1311"/>
      <c r="Q176" s="1311"/>
      <c r="R176" s="1311"/>
      <c r="S176" s="1311"/>
      <c r="T176" s="1311"/>
      <c r="U176" s="1311"/>
      <c r="V176" s="1311"/>
      <c r="W176" s="1311"/>
      <c r="X176" s="1311"/>
      <c r="Y176" s="1311"/>
      <c r="Z176" s="1311"/>
    </row>
    <row r="177" spans="1:26" x14ac:dyDescent="0.25">
      <c r="A177" s="843" t="s">
        <v>204</v>
      </c>
      <c r="B177" s="791" t="str">
        <f t="shared" ca="1" si="25"/>
        <v>J23</v>
      </c>
      <c r="C177" s="791" t="str">
        <f t="shared" ca="1" si="26"/>
        <v>J</v>
      </c>
      <c r="D177" s="1314" t="s">
        <v>1357</v>
      </c>
      <c r="E177" s="791" t="s">
        <v>1358</v>
      </c>
      <c r="F177" s="1314"/>
      <c r="G177" s="1314"/>
      <c r="H177" s="1314"/>
      <c r="I177" s="1274" t="str">
        <f t="shared" si="22"/>
        <v>Zip Code</v>
      </c>
      <c r="J177" s="1314" t="str">
        <f>IF(P167="",Q$1&amp;M177,"")</f>
        <v>F54</v>
      </c>
      <c r="K177" s="1314" t="str">
        <f t="shared" si="24"/>
        <v>Required Info to Submit</v>
      </c>
      <c r="L177" s="824" t="s">
        <v>204</v>
      </c>
      <c r="M177" s="1314">
        <v>54</v>
      </c>
      <c r="N177" s="1314"/>
      <c r="O177" s="1311"/>
      <c r="P177" s="1311"/>
      <c r="Q177" s="1311"/>
      <c r="R177" s="1311"/>
      <c r="S177" s="1311"/>
      <c r="T177" s="1311"/>
      <c r="U177" s="1311"/>
      <c r="V177" s="1311"/>
      <c r="W177" s="1311"/>
      <c r="X177" s="1311"/>
      <c r="Y177" s="1311"/>
      <c r="Z177" s="1311"/>
    </row>
    <row r="178" spans="1:26" x14ac:dyDescent="0.25">
      <c r="A178" s="844" t="s">
        <v>1178</v>
      </c>
      <c r="B178" s="791" t="str">
        <f ca="1">_xlfn.IFNA(_xlfn.CONCAT(SUBSTITUTE(ADDRESS(1,MATCH(A178,INDIRECT("'"&amp;E178&amp;"'"&amp;"!A22:Z22"),0),4),1,""),24),"")</f>
        <v>E24</v>
      </c>
      <c r="C178" s="791" t="str">
        <f t="shared" ca="1" si="26"/>
        <v>E</v>
      </c>
      <c r="D178" s="1314" t="s">
        <v>1357</v>
      </c>
      <c r="E178" s="791" t="s">
        <v>1358</v>
      </c>
      <c r="F178" s="1314"/>
      <c r="G178" s="1314"/>
      <c r="H178" s="1314"/>
      <c r="I178" s="1274" t="str">
        <f t="shared" si="22"/>
        <v/>
      </c>
      <c r="J178" s="1314"/>
      <c r="K178" s="1314" t="str">
        <f t="shared" si="24"/>
        <v/>
      </c>
      <c r="L178" s="824" t="s">
        <v>1178</v>
      </c>
      <c r="M178" s="1314">
        <v>55</v>
      </c>
      <c r="N178" s="1314"/>
      <c r="O178" s="1311"/>
      <c r="P178" s="1314" t="str">
        <f>IFERROR(VLOOKUP(Q$178,'Existing Customers'!$A:$F,1,FALSE),"")</f>
        <v/>
      </c>
      <c r="Q178" s="1314"/>
      <c r="R178" s="1311"/>
      <c r="S178" s="1311"/>
      <c r="T178" s="1311"/>
      <c r="U178" s="1311"/>
      <c r="V178" s="1311"/>
      <c r="W178" s="1311"/>
      <c r="X178" s="1311"/>
      <c r="Y178" s="1311"/>
      <c r="Z178" s="1311"/>
    </row>
    <row r="179" spans="1:26" x14ac:dyDescent="0.25">
      <c r="A179" s="845" t="s">
        <v>766</v>
      </c>
      <c r="B179" s="791" t="str">
        <f t="shared" ref="B179:B188" ca="1" si="27">_xlfn.IFNA(_xlfn.CONCAT(SUBSTITUTE(ADDRESS(1,MATCH(A179,INDIRECT("'"&amp;E179&amp;"'"&amp;"!A22:Z22"),0),4),1,""),24),"")</f>
        <v>F24</v>
      </c>
      <c r="C179" s="791" t="str">
        <f t="shared" ca="1" si="26"/>
        <v>F</v>
      </c>
      <c r="D179" s="1314" t="s">
        <v>1357</v>
      </c>
      <c r="E179" s="791" t="s">
        <v>1358</v>
      </c>
      <c r="F179" s="1314"/>
      <c r="G179" s="1314"/>
      <c r="H179" s="1314"/>
      <c r="I179" s="1274" t="str">
        <f t="shared" si="22"/>
        <v>Name</v>
      </c>
      <c r="J179" s="1314" t="str">
        <f>IF(P178="",Q$1&amp;M179,"")</f>
        <v>F57</v>
      </c>
      <c r="K179" s="1314" t="str">
        <f t="shared" si="24"/>
        <v>Required Info to Submit</v>
      </c>
      <c r="L179" s="824" t="s">
        <v>766</v>
      </c>
      <c r="M179" s="1314">
        <v>57</v>
      </c>
      <c r="N179" s="1314"/>
      <c r="O179" s="1311"/>
      <c r="P179" s="1311"/>
      <c r="Q179" s="1311"/>
      <c r="R179" s="1311"/>
      <c r="S179" s="1311"/>
      <c r="T179" s="1311"/>
      <c r="U179" s="1311"/>
      <c r="V179" s="1311"/>
      <c r="W179" s="1311"/>
      <c r="X179" s="1311"/>
      <c r="Y179" s="1311"/>
      <c r="Z179" s="1311"/>
    </row>
    <row r="180" spans="1:26" x14ac:dyDescent="0.25">
      <c r="A180" s="845" t="s">
        <v>765</v>
      </c>
      <c r="B180" s="791" t="str">
        <f t="shared" ca="1" si="27"/>
        <v>K24</v>
      </c>
      <c r="C180" s="791" t="str">
        <f t="shared" ca="1" si="26"/>
        <v>K</v>
      </c>
      <c r="D180" s="1314" t="s">
        <v>1357</v>
      </c>
      <c r="E180" s="791" t="s">
        <v>1358</v>
      </c>
      <c r="F180" s="1314"/>
      <c r="G180" s="1314"/>
      <c r="H180" s="1314"/>
      <c r="I180" s="1274" t="str">
        <f t="shared" si="22"/>
        <v/>
      </c>
      <c r="J180" s="1314"/>
      <c r="K180" s="1314" t="str">
        <f t="shared" si="24"/>
        <v/>
      </c>
      <c r="L180" s="824" t="s">
        <v>765</v>
      </c>
      <c r="M180" s="1314">
        <v>67</v>
      </c>
      <c r="N180" s="1314"/>
      <c r="O180" s="1311"/>
      <c r="P180" s="1311"/>
      <c r="Q180" s="1311"/>
      <c r="R180" s="1311"/>
      <c r="S180" s="1311"/>
      <c r="T180" s="1311"/>
      <c r="U180" s="1311"/>
      <c r="V180" s="1311"/>
      <c r="W180" s="1311"/>
      <c r="X180" s="1311"/>
      <c r="Y180" s="1311"/>
      <c r="Z180" s="1311"/>
    </row>
    <row r="181" spans="1:26" x14ac:dyDescent="0.25">
      <c r="A181" s="845" t="s">
        <v>1179</v>
      </c>
      <c r="B181" s="791" t="str">
        <f t="shared" ca="1" si="27"/>
        <v>L24</v>
      </c>
      <c r="C181" s="791" t="str">
        <f t="shared" ca="1" si="26"/>
        <v>L</v>
      </c>
      <c r="D181" s="1314" t="s">
        <v>1357</v>
      </c>
      <c r="E181" s="791" t="s">
        <v>1358</v>
      </c>
      <c r="F181" s="1314"/>
      <c r="G181" s="1314"/>
      <c r="H181" s="1314"/>
      <c r="I181" s="1274" t="str">
        <f t="shared" si="22"/>
        <v/>
      </c>
      <c r="J181" s="1314"/>
      <c r="K181" s="1314" t="str">
        <f t="shared" si="24"/>
        <v/>
      </c>
      <c r="L181" s="824" t="s">
        <v>1179</v>
      </c>
      <c r="M181" s="1314">
        <v>68</v>
      </c>
      <c r="N181" s="1314"/>
      <c r="O181" s="1311"/>
      <c r="P181" s="1311"/>
      <c r="Q181" s="1311"/>
      <c r="R181" s="1311"/>
      <c r="S181" s="1311"/>
      <c r="T181" s="1311"/>
      <c r="U181" s="1311"/>
      <c r="V181" s="1311"/>
      <c r="W181" s="1311"/>
      <c r="X181" s="1311"/>
      <c r="Y181" s="1311"/>
      <c r="Z181" s="1311"/>
    </row>
    <row r="182" spans="1:26" x14ac:dyDescent="0.25">
      <c r="A182" s="845" t="s">
        <v>1180</v>
      </c>
      <c r="B182" s="791" t="str">
        <f t="shared" ca="1" si="27"/>
        <v>M24</v>
      </c>
      <c r="C182" s="791" t="str">
        <f t="shared" ca="1" si="26"/>
        <v>M</v>
      </c>
      <c r="D182" s="1314" t="s">
        <v>1357</v>
      </c>
      <c r="E182" s="791" t="s">
        <v>1358</v>
      </c>
      <c r="F182" s="1314"/>
      <c r="G182" s="1314"/>
      <c r="H182" s="1314"/>
      <c r="I182" s="1274" t="str">
        <f t="shared" si="22"/>
        <v>Secondary or Internal Customer</v>
      </c>
      <c r="J182" s="1314" t="str">
        <f>IF(M182&lt;&gt;"",Q$1&amp;M182,"")</f>
        <v>F69</v>
      </c>
      <c r="K182" s="1314" t="str">
        <f t="shared" si="24"/>
        <v>Required Info to Submit</v>
      </c>
      <c r="L182" s="824" t="s">
        <v>1180</v>
      </c>
      <c r="M182" s="1314">
        <v>69</v>
      </c>
      <c r="N182" s="1314"/>
      <c r="O182" s="1311"/>
      <c r="P182" s="1311"/>
      <c r="Q182" s="1311"/>
      <c r="R182" s="1311"/>
      <c r="S182" s="1311"/>
      <c r="T182" s="1311"/>
      <c r="U182" s="1311"/>
      <c r="V182" s="1311"/>
      <c r="W182" s="1311"/>
      <c r="X182" s="1311"/>
      <c r="Y182" s="1311"/>
      <c r="Z182" s="1311"/>
    </row>
    <row r="183" spans="1:26" x14ac:dyDescent="0.25">
      <c r="A183" s="845" t="s">
        <v>1181</v>
      </c>
      <c r="B183" s="791" t="str">
        <f t="shared" ca="1" si="27"/>
        <v>N24</v>
      </c>
      <c r="C183" s="791" t="str">
        <f t="shared" ca="1" si="26"/>
        <v>N</v>
      </c>
      <c r="D183" s="1314" t="s">
        <v>1357</v>
      </c>
      <c r="E183" s="791" t="s">
        <v>1358</v>
      </c>
      <c r="F183" s="1314"/>
      <c r="G183" s="1314"/>
      <c r="H183" s="1314"/>
      <c r="I183" s="1274" t="str">
        <f t="shared" si="22"/>
        <v>Fuel Surcharge Applied</v>
      </c>
      <c r="J183" s="1314" t="str">
        <f>IF(M183&lt;&gt;"",Q$1&amp;M183,"")</f>
        <v>F70</v>
      </c>
      <c r="K183" s="1314" t="str">
        <f t="shared" si="24"/>
        <v>Required Info to Submit</v>
      </c>
      <c r="L183" s="824" t="s">
        <v>1367</v>
      </c>
      <c r="M183" s="1314">
        <v>70</v>
      </c>
      <c r="N183" s="1314"/>
      <c r="O183" s="1311"/>
      <c r="P183" s="1311"/>
      <c r="Q183" s="1311"/>
      <c r="R183" s="1311"/>
      <c r="S183" s="1311"/>
      <c r="T183" s="1311"/>
      <c r="U183" s="1311"/>
      <c r="V183" s="1311"/>
      <c r="W183" s="1311"/>
      <c r="X183" s="1311"/>
      <c r="Y183" s="1311"/>
      <c r="Z183" s="1311"/>
    </row>
    <row r="184" spans="1:26" x14ac:dyDescent="0.25">
      <c r="A184" s="845" t="s">
        <v>1297</v>
      </c>
      <c r="B184" s="791" t="str">
        <f t="shared" ca="1" si="27"/>
        <v>O24</v>
      </c>
      <c r="C184" s="791" t="str">
        <f t="shared" ca="1" si="26"/>
        <v>O</v>
      </c>
      <c r="D184" s="1314" t="s">
        <v>1357</v>
      </c>
      <c r="E184" s="791" t="s">
        <v>1358</v>
      </c>
      <c r="F184" s="1314"/>
      <c r="G184" s="1314"/>
      <c r="H184" s="1314"/>
      <c r="I184" s="1274" t="str">
        <f t="shared" si="22"/>
        <v>Minimum Delivery Charge Applied Flag</v>
      </c>
      <c r="J184" s="1314" t="str">
        <f>IF(M184&lt;&gt;"",Q$1&amp;M184,"")</f>
        <v>F71</v>
      </c>
      <c r="K184" s="1314" t="str">
        <f t="shared" si="24"/>
        <v>Required Info to Submit</v>
      </c>
      <c r="L184" s="824" t="s">
        <v>1297</v>
      </c>
      <c r="M184" s="1314">
        <v>71</v>
      </c>
      <c r="N184" s="1314"/>
      <c r="O184" s="1311"/>
      <c r="P184" s="1311"/>
      <c r="Q184" s="1311"/>
      <c r="R184" s="1311"/>
      <c r="S184" s="1311"/>
      <c r="T184" s="1311"/>
      <c r="U184" s="1311"/>
      <c r="V184" s="1311"/>
      <c r="W184" s="1311"/>
      <c r="X184" s="1311"/>
      <c r="Y184" s="1311"/>
      <c r="Z184" s="1311"/>
    </row>
    <row r="185" spans="1:26" x14ac:dyDescent="0.25">
      <c r="A185" s="845" t="s">
        <v>767</v>
      </c>
      <c r="B185" s="791" t="str">
        <f t="shared" ca="1" si="27"/>
        <v>G24</v>
      </c>
      <c r="C185" s="791" t="str">
        <f t="shared" ca="1" si="26"/>
        <v>G</v>
      </c>
      <c r="D185" s="1314" t="s">
        <v>1357</v>
      </c>
      <c r="E185" s="791" t="s">
        <v>1358</v>
      </c>
      <c r="F185" s="1314"/>
      <c r="G185" s="1314"/>
      <c r="H185" s="1314"/>
      <c r="I185" s="1274" t="str">
        <f t="shared" si="22"/>
        <v>Address</v>
      </c>
      <c r="J185" s="1314" t="str">
        <f>IF(P178="",Q$1&amp;M185,"")</f>
        <v>F72</v>
      </c>
      <c r="K185" s="1314" t="str">
        <f t="shared" si="24"/>
        <v>Required Info to Submit</v>
      </c>
      <c r="L185" s="824" t="s">
        <v>767</v>
      </c>
      <c r="M185" s="1314">
        <v>72</v>
      </c>
      <c r="N185" s="1314"/>
      <c r="O185" s="1311"/>
      <c r="P185" s="1311"/>
      <c r="Q185" s="1311"/>
      <c r="R185" s="1311"/>
      <c r="S185" s="1311"/>
      <c r="T185" s="1311"/>
      <c r="U185" s="1311"/>
      <c r="V185" s="1311"/>
      <c r="W185" s="1311"/>
      <c r="X185" s="1311"/>
      <c r="Y185" s="1311"/>
      <c r="Z185" s="1311"/>
    </row>
    <row r="186" spans="1:26" x14ac:dyDescent="0.25">
      <c r="A186" s="845" t="s">
        <v>768</v>
      </c>
      <c r="B186" s="791" t="str">
        <f t="shared" ca="1" si="27"/>
        <v>H24</v>
      </c>
      <c r="C186" s="791" t="str">
        <f t="shared" ca="1" si="26"/>
        <v>H</v>
      </c>
      <c r="D186" s="1314" t="s">
        <v>1357</v>
      </c>
      <c r="E186" s="791" t="s">
        <v>1358</v>
      </c>
      <c r="F186" s="1314"/>
      <c r="G186" s="1314"/>
      <c r="H186" s="1314"/>
      <c r="I186" s="1274" t="str">
        <f t="shared" si="22"/>
        <v>City</v>
      </c>
      <c r="J186" s="1314" t="str">
        <f>IF(P178="",Q$1&amp;M186,"")</f>
        <v>F73</v>
      </c>
      <c r="K186" s="1314" t="str">
        <f t="shared" si="24"/>
        <v>Required Info to Submit</v>
      </c>
      <c r="L186" s="824" t="s">
        <v>768</v>
      </c>
      <c r="M186" s="1314">
        <v>73</v>
      </c>
      <c r="N186" s="1314"/>
      <c r="O186" s="1311"/>
      <c r="P186" s="1311"/>
      <c r="Q186" s="1311"/>
      <c r="R186" s="1311"/>
      <c r="S186" s="1311"/>
      <c r="T186" s="1311"/>
      <c r="U186" s="1311"/>
      <c r="V186" s="1311"/>
      <c r="W186" s="1311"/>
      <c r="X186" s="1311"/>
      <c r="Y186" s="1311"/>
      <c r="Z186" s="1311"/>
    </row>
    <row r="187" spans="1:26" x14ac:dyDescent="0.25">
      <c r="A187" s="845" t="s">
        <v>769</v>
      </c>
      <c r="B187" s="791" t="str">
        <f t="shared" ca="1" si="27"/>
        <v>I24</v>
      </c>
      <c r="C187" s="791" t="str">
        <f t="shared" ca="1" si="26"/>
        <v>I</v>
      </c>
      <c r="D187" s="1314" t="s">
        <v>1357</v>
      </c>
      <c r="E187" s="791" t="s">
        <v>1358</v>
      </c>
      <c r="F187" s="1314"/>
      <c r="G187" s="1314"/>
      <c r="H187" s="1314"/>
      <c r="I187" s="1274" t="str">
        <f t="shared" si="22"/>
        <v>State</v>
      </c>
      <c r="J187" s="1314" t="str">
        <f>IF(P178="",Q$1&amp;M187,"")</f>
        <v>F74</v>
      </c>
      <c r="K187" s="1314" t="str">
        <f t="shared" si="24"/>
        <v>Required Info to Submit</v>
      </c>
      <c r="L187" s="824" t="s">
        <v>769</v>
      </c>
      <c r="M187" s="1314">
        <v>74</v>
      </c>
      <c r="N187" s="1314"/>
      <c r="O187" s="1311"/>
      <c r="P187" s="1311"/>
      <c r="Q187" s="1311"/>
      <c r="R187" s="1311"/>
      <c r="S187" s="1311"/>
      <c r="T187" s="1311"/>
      <c r="U187" s="1311"/>
      <c r="V187" s="1311"/>
      <c r="W187" s="1311"/>
      <c r="X187" s="1311"/>
      <c r="Y187" s="1311"/>
      <c r="Z187" s="1311"/>
    </row>
    <row r="188" spans="1:26" x14ac:dyDescent="0.25">
      <c r="A188" s="845" t="s">
        <v>204</v>
      </c>
      <c r="B188" s="791" t="str">
        <f t="shared" ca="1" si="27"/>
        <v>J24</v>
      </c>
      <c r="C188" s="791" t="str">
        <f t="shared" ca="1" si="26"/>
        <v>J</v>
      </c>
      <c r="D188" s="1314" t="s">
        <v>1357</v>
      </c>
      <c r="E188" s="791" t="s">
        <v>1358</v>
      </c>
      <c r="F188" s="1314"/>
      <c r="G188" s="1314"/>
      <c r="H188" s="1314"/>
      <c r="I188" s="1274" t="str">
        <f t="shared" si="22"/>
        <v>Zip Code</v>
      </c>
      <c r="J188" s="1314" t="str">
        <f>IF(P178="",Q$1&amp;M188,"")</f>
        <v>F75</v>
      </c>
      <c r="K188" s="1314" t="str">
        <f t="shared" si="24"/>
        <v>Required Info to Submit</v>
      </c>
      <c r="L188" s="824" t="s">
        <v>204</v>
      </c>
      <c r="M188" s="1314">
        <v>75</v>
      </c>
      <c r="N188" s="1314"/>
      <c r="O188" s="1311"/>
      <c r="P188" s="1311"/>
      <c r="Q188" s="1311"/>
      <c r="R188" s="1311"/>
      <c r="S188" s="1311"/>
      <c r="T188" s="1311"/>
      <c r="U188" s="1311"/>
      <c r="V188" s="1311"/>
      <c r="W188" s="1311"/>
      <c r="X188" s="1311"/>
      <c r="Y188" s="1311"/>
      <c r="Z188" s="1311"/>
    </row>
    <row r="189" spans="1:26" x14ac:dyDescent="0.25">
      <c r="A189" s="842" t="s">
        <v>1178</v>
      </c>
      <c r="B189" s="791" t="str">
        <f ca="1">_xlfn.IFNA(_xlfn.CONCAT(SUBSTITUTE(ADDRESS(1,MATCH(A189,INDIRECT("'"&amp;E189&amp;"'"&amp;"!A22:Z22"),0),4),1,""),25),"")</f>
        <v>E25</v>
      </c>
      <c r="C189" s="791" t="str">
        <f t="shared" ca="1" si="26"/>
        <v>E</v>
      </c>
      <c r="D189" s="1314" t="s">
        <v>1357</v>
      </c>
      <c r="E189" s="791" t="s">
        <v>1358</v>
      </c>
      <c r="F189" s="1314"/>
      <c r="G189" s="1314"/>
      <c r="H189" s="1314"/>
      <c r="I189" s="1274" t="str">
        <f t="shared" si="22"/>
        <v/>
      </c>
      <c r="J189" s="1314"/>
      <c r="K189" s="1314" t="str">
        <f t="shared" si="24"/>
        <v/>
      </c>
      <c r="L189" s="824" t="s">
        <v>1178</v>
      </c>
      <c r="M189" s="1314">
        <v>76</v>
      </c>
      <c r="N189" s="1314"/>
      <c r="O189" s="1311"/>
      <c r="P189" s="1314" t="str">
        <f>IFERROR(VLOOKUP(Q$189,'Existing Customers'!$A:$F,1,FALSE),"")</f>
        <v/>
      </c>
      <c r="Q189" s="1314"/>
      <c r="R189" s="1311"/>
      <c r="S189" s="1311"/>
      <c r="T189" s="1311"/>
      <c r="U189" s="1311"/>
      <c r="V189" s="1311"/>
      <c r="W189" s="1311"/>
      <c r="X189" s="1311"/>
      <c r="Y189" s="1311"/>
      <c r="Z189" s="1311"/>
    </row>
    <row r="190" spans="1:26" x14ac:dyDescent="0.25">
      <c r="A190" s="843" t="s">
        <v>766</v>
      </c>
      <c r="B190" s="791" t="str">
        <f t="shared" ref="B190:B199" ca="1" si="28">_xlfn.IFNA(_xlfn.CONCAT(SUBSTITUTE(ADDRESS(1,MATCH(A190,INDIRECT("'"&amp;E190&amp;"'"&amp;"!A22:Z22"),0),4),1,""),25),"")</f>
        <v>F25</v>
      </c>
      <c r="C190" s="791" t="str">
        <f t="shared" ca="1" si="26"/>
        <v>F</v>
      </c>
      <c r="D190" s="1314" t="s">
        <v>1357</v>
      </c>
      <c r="E190" s="791" t="s">
        <v>1358</v>
      </c>
      <c r="F190" s="1314"/>
      <c r="G190" s="1314"/>
      <c r="H190" s="1314"/>
      <c r="I190" s="1274" t="str">
        <f t="shared" si="22"/>
        <v>Name</v>
      </c>
      <c r="J190" s="1314" t="str">
        <f>IF(P189="",Q$1&amp;M190,"")</f>
        <v>F78</v>
      </c>
      <c r="K190" s="1314" t="str">
        <f t="shared" si="24"/>
        <v>Required Info to Submit</v>
      </c>
      <c r="L190" s="824" t="s">
        <v>766</v>
      </c>
      <c r="M190" s="1314">
        <v>78</v>
      </c>
      <c r="N190" s="1314"/>
      <c r="O190" s="1311"/>
      <c r="P190" s="1311"/>
      <c r="Q190" s="1311"/>
      <c r="R190" s="1311"/>
      <c r="S190" s="1311"/>
      <c r="T190" s="1311"/>
      <c r="U190" s="1311"/>
      <c r="V190" s="1311"/>
      <c r="W190" s="1311"/>
      <c r="X190" s="1311"/>
      <c r="Y190" s="1311"/>
      <c r="Z190" s="1311"/>
    </row>
    <row r="191" spans="1:26" x14ac:dyDescent="0.25">
      <c r="A191" s="843" t="s">
        <v>765</v>
      </c>
      <c r="B191" s="791" t="str">
        <f t="shared" ca="1" si="28"/>
        <v>K25</v>
      </c>
      <c r="C191" s="791" t="str">
        <f t="shared" ca="1" si="26"/>
        <v>K</v>
      </c>
      <c r="D191" s="1314" t="s">
        <v>1357</v>
      </c>
      <c r="E191" s="791" t="s">
        <v>1358</v>
      </c>
      <c r="F191" s="1314"/>
      <c r="G191" s="1314"/>
      <c r="H191" s="1314"/>
      <c r="I191" s="1274" t="str">
        <f t="shared" si="22"/>
        <v/>
      </c>
      <c r="J191" s="1314"/>
      <c r="K191" s="1314" t="str">
        <f t="shared" si="24"/>
        <v/>
      </c>
      <c r="L191" s="824" t="s">
        <v>765</v>
      </c>
      <c r="M191" s="1314">
        <v>88</v>
      </c>
      <c r="N191" s="1314"/>
      <c r="O191" s="1311"/>
      <c r="P191" s="1311"/>
      <c r="Q191" s="1311"/>
      <c r="R191" s="1311"/>
      <c r="S191" s="1311"/>
      <c r="T191" s="1311"/>
      <c r="U191" s="1311"/>
      <c r="V191" s="1311"/>
      <c r="W191" s="1311"/>
      <c r="X191" s="1311"/>
      <c r="Y191" s="1311"/>
      <c r="Z191" s="1311"/>
    </row>
    <row r="192" spans="1:26" x14ac:dyDescent="0.25">
      <c r="A192" s="843" t="s">
        <v>1179</v>
      </c>
      <c r="B192" s="791" t="str">
        <f t="shared" ca="1" si="28"/>
        <v>L25</v>
      </c>
      <c r="C192" s="791" t="str">
        <f t="shared" ca="1" si="26"/>
        <v>L</v>
      </c>
      <c r="D192" s="1314" t="s">
        <v>1357</v>
      </c>
      <c r="E192" s="791" t="s">
        <v>1358</v>
      </c>
      <c r="F192" s="1314"/>
      <c r="G192" s="1314"/>
      <c r="H192" s="1314"/>
      <c r="I192" s="1274" t="str">
        <f t="shared" si="22"/>
        <v/>
      </c>
      <c r="J192" s="1314"/>
      <c r="K192" s="1314" t="str">
        <f t="shared" si="24"/>
        <v/>
      </c>
      <c r="L192" s="824" t="s">
        <v>1179</v>
      </c>
      <c r="M192" s="1314">
        <v>89</v>
      </c>
      <c r="N192" s="1314"/>
      <c r="O192" s="1311"/>
      <c r="P192" s="1311"/>
      <c r="Q192" s="1311"/>
      <c r="R192" s="1311"/>
      <c r="S192" s="1311"/>
      <c r="T192" s="1311"/>
      <c r="U192" s="1311"/>
      <c r="V192" s="1311"/>
      <c r="W192" s="1311"/>
      <c r="X192" s="1311"/>
      <c r="Y192" s="1311"/>
      <c r="Z192" s="1311"/>
    </row>
    <row r="193" spans="1:26" x14ac:dyDescent="0.25">
      <c r="A193" s="843" t="s">
        <v>1180</v>
      </c>
      <c r="B193" s="791" t="str">
        <f t="shared" ca="1" si="28"/>
        <v>M25</v>
      </c>
      <c r="C193" s="791" t="str">
        <f t="shared" ca="1" si="26"/>
        <v>M</v>
      </c>
      <c r="D193" s="1314" t="s">
        <v>1357</v>
      </c>
      <c r="E193" s="791" t="s">
        <v>1358</v>
      </c>
      <c r="F193" s="1314"/>
      <c r="G193" s="1314"/>
      <c r="H193" s="1314"/>
      <c r="I193" s="1274" t="str">
        <f t="shared" si="22"/>
        <v>Secondary or Internal Customer</v>
      </c>
      <c r="J193" s="1314" t="str">
        <f>IF(M193&lt;&gt;"",Q$1&amp;M193,"")</f>
        <v>F90</v>
      </c>
      <c r="K193" s="1314" t="str">
        <f t="shared" si="24"/>
        <v>Required Info to Submit</v>
      </c>
      <c r="L193" s="824" t="s">
        <v>1180</v>
      </c>
      <c r="M193" s="1314">
        <v>90</v>
      </c>
      <c r="N193" s="1314"/>
      <c r="O193" s="1311"/>
      <c r="P193" s="1311"/>
      <c r="Q193" s="1311"/>
      <c r="R193" s="1311"/>
      <c r="S193" s="1311"/>
      <c r="T193" s="1311"/>
      <c r="U193" s="1311"/>
      <c r="V193" s="1311"/>
      <c r="W193" s="1311"/>
      <c r="X193" s="1311"/>
      <c r="Y193" s="1311"/>
      <c r="Z193" s="1311"/>
    </row>
    <row r="194" spans="1:26" x14ac:dyDescent="0.25">
      <c r="A194" s="843" t="s">
        <v>1181</v>
      </c>
      <c r="B194" s="791" t="str">
        <f t="shared" ca="1" si="28"/>
        <v>N25</v>
      </c>
      <c r="C194" s="791" t="str">
        <f t="shared" ca="1" si="26"/>
        <v>N</v>
      </c>
      <c r="D194" s="1314" t="s">
        <v>1357</v>
      </c>
      <c r="E194" s="791" t="s">
        <v>1358</v>
      </c>
      <c r="F194" s="1314"/>
      <c r="G194" s="1314"/>
      <c r="H194" s="1314"/>
      <c r="I194" s="1274" t="str">
        <f t="shared" si="22"/>
        <v>Fuel Surcharge Applied</v>
      </c>
      <c r="J194" s="1314" t="str">
        <f>IF(M194&lt;&gt;"",Q$1&amp;M194,"")</f>
        <v>F91</v>
      </c>
      <c r="K194" s="1314" t="str">
        <f t="shared" si="24"/>
        <v>Required Info to Submit</v>
      </c>
      <c r="L194" s="824" t="s">
        <v>1367</v>
      </c>
      <c r="M194" s="1314">
        <v>91</v>
      </c>
      <c r="N194" s="1314"/>
      <c r="O194" s="1311"/>
      <c r="P194" s="1311"/>
      <c r="Q194" s="1311"/>
      <c r="R194" s="1311"/>
      <c r="S194" s="1311"/>
      <c r="T194" s="1311"/>
      <c r="U194" s="1311"/>
      <c r="V194" s="1311"/>
      <c r="W194" s="1311"/>
      <c r="X194" s="1311"/>
      <c r="Y194" s="1311"/>
      <c r="Z194" s="1311"/>
    </row>
    <row r="195" spans="1:26" x14ac:dyDescent="0.25">
      <c r="A195" s="843" t="s">
        <v>1297</v>
      </c>
      <c r="B195" s="791" t="str">
        <f t="shared" ca="1" si="28"/>
        <v>O25</v>
      </c>
      <c r="C195" s="791" t="str">
        <f t="shared" ca="1" si="26"/>
        <v>O</v>
      </c>
      <c r="D195" s="1314" t="s">
        <v>1357</v>
      </c>
      <c r="E195" s="791" t="s">
        <v>1358</v>
      </c>
      <c r="F195" s="1314"/>
      <c r="G195" s="1314"/>
      <c r="H195" s="1314"/>
      <c r="I195" s="1274" t="str">
        <f t="shared" si="22"/>
        <v>Minimum Delivery Charge Applied Flag</v>
      </c>
      <c r="J195" s="1314" t="str">
        <f>IF(M195&lt;&gt;"",Q$1&amp;M195,"")</f>
        <v>F92</v>
      </c>
      <c r="K195" s="1314" t="str">
        <f t="shared" si="24"/>
        <v>Required Info to Submit</v>
      </c>
      <c r="L195" s="824" t="s">
        <v>1297</v>
      </c>
      <c r="M195" s="1314">
        <v>92</v>
      </c>
      <c r="N195" s="1314"/>
      <c r="O195" s="1311"/>
      <c r="P195" s="1311"/>
      <c r="Q195" s="1311"/>
      <c r="R195" s="1311"/>
      <c r="S195" s="1311"/>
      <c r="T195" s="1311"/>
      <c r="U195" s="1311"/>
      <c r="V195" s="1311"/>
      <c r="W195" s="1311"/>
      <c r="X195" s="1311"/>
      <c r="Y195" s="1311"/>
      <c r="Z195" s="1311"/>
    </row>
    <row r="196" spans="1:26" x14ac:dyDescent="0.25">
      <c r="A196" s="843" t="s">
        <v>767</v>
      </c>
      <c r="B196" s="791" t="str">
        <f t="shared" ca="1" si="28"/>
        <v>G25</v>
      </c>
      <c r="C196" s="791" t="str">
        <f t="shared" ca="1" si="26"/>
        <v>G</v>
      </c>
      <c r="D196" s="1314" t="s">
        <v>1357</v>
      </c>
      <c r="E196" s="791" t="s">
        <v>1358</v>
      </c>
      <c r="F196" s="1314"/>
      <c r="G196" s="1314"/>
      <c r="H196" s="1314"/>
      <c r="I196" s="1274" t="str">
        <f t="shared" ref="I196:I259" si="29">IF(J196&lt;&gt;"",A196,"")</f>
        <v>Address</v>
      </c>
      <c r="J196" s="1314" t="str">
        <f>IF(P189="",Q$1&amp;M196,"")</f>
        <v>F93</v>
      </c>
      <c r="K196" s="1314" t="str">
        <f t="shared" ref="K196:K259" si="30">IF(J196&lt;&gt;"",E196,"")</f>
        <v>Required Info to Submit</v>
      </c>
      <c r="L196" s="824" t="s">
        <v>767</v>
      </c>
      <c r="M196" s="1314">
        <v>93</v>
      </c>
      <c r="N196" s="1314"/>
      <c r="O196" s="1311"/>
      <c r="P196" s="1311"/>
      <c r="Q196" s="1311"/>
      <c r="R196" s="1311"/>
      <c r="S196" s="1311"/>
      <c r="T196" s="1311"/>
      <c r="U196" s="1311"/>
      <c r="V196" s="1311"/>
      <c r="W196" s="1311"/>
      <c r="X196" s="1311"/>
      <c r="Y196" s="1311"/>
      <c r="Z196" s="1311"/>
    </row>
    <row r="197" spans="1:26" x14ac:dyDescent="0.25">
      <c r="A197" s="843" t="s">
        <v>768</v>
      </c>
      <c r="B197" s="791" t="str">
        <f t="shared" ca="1" si="28"/>
        <v>H25</v>
      </c>
      <c r="C197" s="791" t="str">
        <f t="shared" ca="1" si="26"/>
        <v>H</v>
      </c>
      <c r="D197" s="1314" t="s">
        <v>1357</v>
      </c>
      <c r="E197" s="791" t="s">
        <v>1358</v>
      </c>
      <c r="F197" s="1314"/>
      <c r="G197" s="1314"/>
      <c r="H197" s="1314"/>
      <c r="I197" s="1274" t="str">
        <f t="shared" si="29"/>
        <v>City</v>
      </c>
      <c r="J197" s="1314" t="str">
        <f>IF(P189="",Q$1&amp;M197,"")</f>
        <v>F94</v>
      </c>
      <c r="K197" s="1314" t="str">
        <f t="shared" si="30"/>
        <v>Required Info to Submit</v>
      </c>
      <c r="L197" s="824" t="s">
        <v>768</v>
      </c>
      <c r="M197" s="1314">
        <v>94</v>
      </c>
      <c r="N197" s="1314"/>
      <c r="O197" s="1311"/>
      <c r="P197" s="1311"/>
      <c r="Q197" s="1311"/>
      <c r="R197" s="1311"/>
      <c r="S197" s="1311"/>
      <c r="T197" s="1311"/>
      <c r="U197" s="1311"/>
      <c r="V197" s="1311"/>
      <c r="W197" s="1311"/>
      <c r="X197" s="1311"/>
      <c r="Y197" s="1311"/>
      <c r="Z197" s="1311"/>
    </row>
    <row r="198" spans="1:26" x14ac:dyDescent="0.25">
      <c r="A198" s="843" t="s">
        <v>769</v>
      </c>
      <c r="B198" s="791" t="str">
        <f t="shared" ca="1" si="28"/>
        <v>I25</v>
      </c>
      <c r="C198" s="791" t="str">
        <f t="shared" ca="1" si="26"/>
        <v>I</v>
      </c>
      <c r="D198" s="1314" t="s">
        <v>1357</v>
      </c>
      <c r="E198" s="791" t="s">
        <v>1358</v>
      </c>
      <c r="F198" s="1314"/>
      <c r="G198" s="1314"/>
      <c r="H198" s="1314"/>
      <c r="I198" s="1274" t="str">
        <f t="shared" si="29"/>
        <v>State</v>
      </c>
      <c r="J198" s="1314" t="str">
        <f>IF(P189="",Q$1&amp;M198,"")</f>
        <v>F95</v>
      </c>
      <c r="K198" s="1314" t="str">
        <f t="shared" si="30"/>
        <v>Required Info to Submit</v>
      </c>
      <c r="L198" s="824" t="s">
        <v>769</v>
      </c>
      <c r="M198" s="1314">
        <v>95</v>
      </c>
      <c r="N198" s="1314"/>
      <c r="O198" s="1311"/>
      <c r="P198" s="1311"/>
      <c r="Q198" s="1311"/>
      <c r="R198" s="1311"/>
      <c r="S198" s="1311"/>
      <c r="T198" s="1311"/>
      <c r="U198" s="1311"/>
      <c r="V198" s="1311"/>
      <c r="W198" s="1311"/>
      <c r="X198" s="1311"/>
      <c r="Y198" s="1311"/>
      <c r="Z198" s="1311"/>
    </row>
    <row r="199" spans="1:26" x14ac:dyDescent="0.25">
      <c r="A199" s="843" t="s">
        <v>204</v>
      </c>
      <c r="B199" s="791" t="str">
        <f t="shared" ca="1" si="28"/>
        <v>J25</v>
      </c>
      <c r="C199" s="791" t="str">
        <f t="shared" ca="1" si="26"/>
        <v>J</v>
      </c>
      <c r="D199" s="1314" t="s">
        <v>1357</v>
      </c>
      <c r="E199" s="791" t="s">
        <v>1358</v>
      </c>
      <c r="F199" s="1314"/>
      <c r="G199" s="1314"/>
      <c r="H199" s="1314"/>
      <c r="I199" s="1274" t="str">
        <f t="shared" si="29"/>
        <v>Zip Code</v>
      </c>
      <c r="J199" s="1314" t="str">
        <f>IF(P189="",Q$1&amp;M199,"")</f>
        <v>F96</v>
      </c>
      <c r="K199" s="1314" t="str">
        <f t="shared" si="30"/>
        <v>Required Info to Submit</v>
      </c>
      <c r="L199" s="824" t="s">
        <v>204</v>
      </c>
      <c r="M199" s="1314">
        <v>96</v>
      </c>
      <c r="N199" s="1314"/>
      <c r="O199" s="1311"/>
      <c r="P199" s="1311"/>
      <c r="Q199" s="1311"/>
      <c r="R199" s="1311"/>
      <c r="S199" s="1311"/>
      <c r="T199" s="1311"/>
      <c r="U199" s="1311"/>
      <c r="V199" s="1311"/>
      <c r="W199" s="1311"/>
      <c r="X199" s="1311"/>
      <c r="Y199" s="1311"/>
      <c r="Z199" s="1311"/>
    </row>
    <row r="200" spans="1:26" x14ac:dyDescent="0.25">
      <c r="A200" s="844" t="s">
        <v>1178</v>
      </c>
      <c r="B200" s="791" t="str">
        <f ca="1">_xlfn.IFNA(_xlfn.CONCAT(SUBSTITUTE(ADDRESS(1,MATCH(A200,INDIRECT("'"&amp;E200&amp;"'"&amp;"!A22:Z22"),0),4),1,""),26),"")</f>
        <v>E26</v>
      </c>
      <c r="C200" s="791" t="str">
        <f t="shared" ca="1" si="26"/>
        <v>E</v>
      </c>
      <c r="D200" s="1314" t="s">
        <v>1357</v>
      </c>
      <c r="E200" s="791" t="s">
        <v>1358</v>
      </c>
      <c r="F200" s="1314"/>
      <c r="G200" s="1314"/>
      <c r="H200" s="1314"/>
      <c r="I200" s="1274" t="str">
        <f t="shared" si="29"/>
        <v/>
      </c>
      <c r="J200" s="1314"/>
      <c r="K200" s="1314" t="str">
        <f t="shared" si="30"/>
        <v/>
      </c>
      <c r="L200" s="824" t="s">
        <v>1178</v>
      </c>
      <c r="M200" s="1314">
        <v>97</v>
      </c>
      <c r="N200" s="1314"/>
      <c r="O200" s="1311"/>
      <c r="P200" s="1314" t="str">
        <f>IFERROR(VLOOKUP(Q$200,'Existing Customers'!$A:$F,1,FALSE),"")</f>
        <v/>
      </c>
      <c r="Q200" s="1314"/>
      <c r="R200" s="1311"/>
      <c r="S200" s="1311"/>
      <c r="T200" s="1311"/>
      <c r="U200" s="1311"/>
      <c r="V200" s="1311"/>
      <c r="W200" s="1311"/>
      <c r="X200" s="1311"/>
      <c r="Y200" s="1311"/>
      <c r="Z200" s="1311"/>
    </row>
    <row r="201" spans="1:26" x14ac:dyDescent="0.25">
      <c r="A201" s="845" t="s">
        <v>766</v>
      </c>
      <c r="B201" s="791" t="str">
        <f t="shared" ref="B201:B210" ca="1" si="31">_xlfn.IFNA(_xlfn.CONCAT(SUBSTITUTE(ADDRESS(1,MATCH(A201,INDIRECT("'"&amp;E201&amp;"'"&amp;"!A22:Z22"),0),4),1,""),26),"")</f>
        <v>F26</v>
      </c>
      <c r="C201" s="791" t="str">
        <f t="shared" ca="1" si="26"/>
        <v>F</v>
      </c>
      <c r="D201" s="1314" t="s">
        <v>1357</v>
      </c>
      <c r="E201" s="791" t="s">
        <v>1358</v>
      </c>
      <c r="F201" s="1314"/>
      <c r="G201" s="1314"/>
      <c r="H201" s="1314"/>
      <c r="I201" s="1274" t="str">
        <f t="shared" si="29"/>
        <v>Name</v>
      </c>
      <c r="J201" s="1314" t="str">
        <f>IF(P200="",Q$1&amp;M201,"")</f>
        <v>F99</v>
      </c>
      <c r="K201" s="1314" t="str">
        <f t="shared" si="30"/>
        <v>Required Info to Submit</v>
      </c>
      <c r="L201" s="824" t="s">
        <v>766</v>
      </c>
      <c r="M201" s="1314">
        <v>99</v>
      </c>
      <c r="N201" s="1314"/>
      <c r="O201" s="1311"/>
      <c r="P201" s="1311"/>
      <c r="Q201" s="1311"/>
      <c r="R201" s="1311"/>
      <c r="S201" s="1311"/>
      <c r="T201" s="1311"/>
      <c r="U201" s="1311"/>
      <c r="V201" s="1311"/>
      <c r="W201" s="1311"/>
      <c r="X201" s="1311"/>
      <c r="Y201" s="1311"/>
      <c r="Z201" s="1311"/>
    </row>
    <row r="202" spans="1:26" x14ac:dyDescent="0.25">
      <c r="A202" s="845" t="s">
        <v>765</v>
      </c>
      <c r="B202" s="791" t="str">
        <f t="shared" ca="1" si="31"/>
        <v>K26</v>
      </c>
      <c r="C202" s="791" t="str">
        <f t="shared" ca="1" si="26"/>
        <v>K</v>
      </c>
      <c r="D202" s="1314" t="s">
        <v>1357</v>
      </c>
      <c r="E202" s="791" t="s">
        <v>1358</v>
      </c>
      <c r="F202" s="1314"/>
      <c r="G202" s="1314"/>
      <c r="H202" s="1314"/>
      <c r="I202" s="1274" t="str">
        <f t="shared" si="29"/>
        <v/>
      </c>
      <c r="J202" s="1314"/>
      <c r="K202" s="1314" t="str">
        <f t="shared" si="30"/>
        <v/>
      </c>
      <c r="L202" s="824" t="s">
        <v>765</v>
      </c>
      <c r="M202" s="1314">
        <v>109</v>
      </c>
      <c r="N202" s="1314"/>
      <c r="O202" s="1311"/>
      <c r="P202" s="1311"/>
      <c r="Q202" s="1311"/>
      <c r="R202" s="1311"/>
      <c r="S202" s="1311"/>
      <c r="T202" s="1311"/>
      <c r="U202" s="1311"/>
      <c r="V202" s="1311"/>
      <c r="W202" s="1311"/>
      <c r="X202" s="1311"/>
      <c r="Y202" s="1311"/>
      <c r="Z202" s="1311"/>
    </row>
    <row r="203" spans="1:26" x14ac:dyDescent="0.25">
      <c r="A203" s="845" t="s">
        <v>1179</v>
      </c>
      <c r="B203" s="791" t="str">
        <f t="shared" ca="1" si="31"/>
        <v>L26</v>
      </c>
      <c r="C203" s="791" t="str">
        <f t="shared" ca="1" si="26"/>
        <v>L</v>
      </c>
      <c r="D203" s="1314" t="s">
        <v>1357</v>
      </c>
      <c r="E203" s="791" t="s">
        <v>1358</v>
      </c>
      <c r="F203" s="1314"/>
      <c r="G203" s="1314"/>
      <c r="H203" s="1314"/>
      <c r="I203" s="1274" t="str">
        <f t="shared" si="29"/>
        <v/>
      </c>
      <c r="J203" s="1314"/>
      <c r="K203" s="1314" t="str">
        <f t="shared" si="30"/>
        <v/>
      </c>
      <c r="L203" s="824" t="s">
        <v>1179</v>
      </c>
      <c r="M203" s="1314">
        <v>110</v>
      </c>
      <c r="N203" s="1314"/>
      <c r="O203" s="1311"/>
      <c r="P203" s="1311"/>
      <c r="Q203" s="1311"/>
      <c r="R203" s="1311"/>
      <c r="S203" s="1311"/>
      <c r="T203" s="1311"/>
      <c r="U203" s="1311"/>
      <c r="V203" s="1311"/>
      <c r="W203" s="1311"/>
      <c r="X203" s="1311"/>
      <c r="Y203" s="1311"/>
      <c r="Z203" s="1311"/>
    </row>
    <row r="204" spans="1:26" x14ac:dyDescent="0.25">
      <c r="A204" s="845" t="s">
        <v>1180</v>
      </c>
      <c r="B204" s="791" t="str">
        <f t="shared" ca="1" si="31"/>
        <v>M26</v>
      </c>
      <c r="C204" s="791" t="str">
        <f t="shared" ca="1" si="26"/>
        <v>M</v>
      </c>
      <c r="D204" s="1314" t="s">
        <v>1357</v>
      </c>
      <c r="E204" s="791" t="s">
        <v>1358</v>
      </c>
      <c r="F204" s="1314"/>
      <c r="G204" s="1314"/>
      <c r="H204" s="1314"/>
      <c r="I204" s="1274" t="str">
        <f t="shared" si="29"/>
        <v>Secondary or Internal Customer</v>
      </c>
      <c r="J204" s="1314" t="str">
        <f>IF(M204&lt;&gt;"",Q$1&amp;M204,"")</f>
        <v>F111</v>
      </c>
      <c r="K204" s="1314" t="str">
        <f t="shared" si="30"/>
        <v>Required Info to Submit</v>
      </c>
      <c r="L204" s="824" t="s">
        <v>1180</v>
      </c>
      <c r="M204" s="1314">
        <v>111</v>
      </c>
      <c r="N204" s="1314"/>
      <c r="O204" s="1311"/>
      <c r="P204" s="1311"/>
      <c r="Q204" s="1311"/>
      <c r="R204" s="1311"/>
      <c r="S204" s="1311"/>
      <c r="T204" s="1311"/>
      <c r="U204" s="1311"/>
      <c r="V204" s="1311"/>
      <c r="W204" s="1311"/>
      <c r="X204" s="1311"/>
      <c r="Y204" s="1311"/>
      <c r="Z204" s="1311"/>
    </row>
    <row r="205" spans="1:26" x14ac:dyDescent="0.25">
      <c r="A205" s="845" t="s">
        <v>1181</v>
      </c>
      <c r="B205" s="791" t="str">
        <f t="shared" ca="1" si="31"/>
        <v>N26</v>
      </c>
      <c r="C205" s="791" t="str">
        <f t="shared" ca="1" si="26"/>
        <v>N</v>
      </c>
      <c r="D205" s="1314" t="s">
        <v>1357</v>
      </c>
      <c r="E205" s="791" t="s">
        <v>1358</v>
      </c>
      <c r="F205" s="1314"/>
      <c r="G205" s="1314"/>
      <c r="H205" s="1314"/>
      <c r="I205" s="1274" t="str">
        <f t="shared" si="29"/>
        <v>Fuel Surcharge Applied</v>
      </c>
      <c r="J205" s="1314" t="str">
        <f>IF(M205&lt;&gt;"",Q$1&amp;M205,"")</f>
        <v>F112</v>
      </c>
      <c r="K205" s="1314" t="str">
        <f t="shared" si="30"/>
        <v>Required Info to Submit</v>
      </c>
      <c r="L205" s="824" t="s">
        <v>1367</v>
      </c>
      <c r="M205" s="1314">
        <v>112</v>
      </c>
      <c r="N205" s="1314"/>
      <c r="O205" s="1311"/>
      <c r="P205" s="1311"/>
      <c r="Q205" s="1311"/>
      <c r="R205" s="1311"/>
      <c r="S205" s="1311"/>
      <c r="T205" s="1311"/>
      <c r="U205" s="1311"/>
      <c r="V205" s="1311"/>
      <c r="W205" s="1311"/>
      <c r="X205" s="1311"/>
      <c r="Y205" s="1311"/>
      <c r="Z205" s="1311"/>
    </row>
    <row r="206" spans="1:26" x14ac:dyDescent="0.25">
      <c r="A206" s="845" t="s">
        <v>1297</v>
      </c>
      <c r="B206" s="791" t="str">
        <f t="shared" ca="1" si="31"/>
        <v>O26</v>
      </c>
      <c r="C206" s="791" t="str">
        <f t="shared" ca="1" si="26"/>
        <v>O</v>
      </c>
      <c r="D206" s="1314" t="s">
        <v>1357</v>
      </c>
      <c r="E206" s="791" t="s">
        <v>1358</v>
      </c>
      <c r="F206" s="1314"/>
      <c r="G206" s="1314"/>
      <c r="H206" s="1314"/>
      <c r="I206" s="1274" t="str">
        <f t="shared" si="29"/>
        <v>Minimum Delivery Charge Applied Flag</v>
      </c>
      <c r="J206" s="1314" t="str">
        <f>IF(M206&lt;&gt;"",Q$1&amp;M206,"")</f>
        <v>F113</v>
      </c>
      <c r="K206" s="1314" t="str">
        <f t="shared" si="30"/>
        <v>Required Info to Submit</v>
      </c>
      <c r="L206" s="824" t="s">
        <v>1297</v>
      </c>
      <c r="M206" s="1314">
        <v>113</v>
      </c>
      <c r="N206" s="1314"/>
      <c r="O206" s="1311"/>
      <c r="P206" s="1311"/>
      <c r="Q206" s="1311"/>
      <c r="R206" s="1311"/>
      <c r="S206" s="1311"/>
      <c r="T206" s="1311"/>
      <c r="U206" s="1311"/>
      <c r="V206" s="1311"/>
      <c r="W206" s="1311"/>
      <c r="X206" s="1311"/>
      <c r="Y206" s="1311"/>
      <c r="Z206" s="1311"/>
    </row>
    <row r="207" spans="1:26" x14ac:dyDescent="0.25">
      <c r="A207" s="845" t="s">
        <v>767</v>
      </c>
      <c r="B207" s="791" t="str">
        <f t="shared" ca="1" si="31"/>
        <v>G26</v>
      </c>
      <c r="C207" s="791" t="str">
        <f t="shared" ca="1" si="26"/>
        <v>G</v>
      </c>
      <c r="D207" s="1314" t="s">
        <v>1357</v>
      </c>
      <c r="E207" s="791" t="s">
        <v>1358</v>
      </c>
      <c r="F207" s="1314"/>
      <c r="G207" s="1314"/>
      <c r="H207" s="1314"/>
      <c r="I207" s="1274" t="str">
        <f t="shared" si="29"/>
        <v>Address</v>
      </c>
      <c r="J207" s="1314" t="str">
        <f>IF(P200="",Q$1&amp;M207,"")</f>
        <v>F114</v>
      </c>
      <c r="K207" s="1314" t="str">
        <f t="shared" si="30"/>
        <v>Required Info to Submit</v>
      </c>
      <c r="L207" s="824" t="s">
        <v>767</v>
      </c>
      <c r="M207" s="1314">
        <v>114</v>
      </c>
      <c r="N207" s="1314"/>
      <c r="O207" s="1311"/>
      <c r="P207" s="1311"/>
      <c r="Q207" s="1311"/>
      <c r="R207" s="1311"/>
      <c r="S207" s="1311"/>
      <c r="T207" s="1311"/>
      <c r="U207" s="1311"/>
      <c r="V207" s="1311"/>
      <c r="W207" s="1311"/>
      <c r="X207" s="1311"/>
      <c r="Y207" s="1311"/>
      <c r="Z207" s="1311"/>
    </row>
    <row r="208" spans="1:26" x14ac:dyDescent="0.25">
      <c r="A208" s="845" t="s">
        <v>768</v>
      </c>
      <c r="B208" s="791" t="str">
        <f t="shared" ca="1" si="31"/>
        <v>H26</v>
      </c>
      <c r="C208" s="791" t="str">
        <f t="shared" ca="1" si="26"/>
        <v>H</v>
      </c>
      <c r="D208" s="1314" t="s">
        <v>1357</v>
      </c>
      <c r="E208" s="791" t="s">
        <v>1358</v>
      </c>
      <c r="F208" s="1314"/>
      <c r="G208" s="1314"/>
      <c r="H208" s="1314"/>
      <c r="I208" s="1274" t="str">
        <f t="shared" si="29"/>
        <v>City</v>
      </c>
      <c r="J208" s="1314" t="str">
        <f>IF(P200="",Q$1&amp;M208,"")</f>
        <v>F115</v>
      </c>
      <c r="K208" s="1314" t="str">
        <f t="shared" si="30"/>
        <v>Required Info to Submit</v>
      </c>
      <c r="L208" s="824" t="s">
        <v>768</v>
      </c>
      <c r="M208" s="1314">
        <v>115</v>
      </c>
      <c r="N208" s="1314"/>
      <c r="O208" s="1311"/>
      <c r="P208" s="1311"/>
      <c r="Q208" s="1311"/>
      <c r="R208" s="1311"/>
      <c r="S208" s="1311"/>
      <c r="T208" s="1311"/>
      <c r="U208" s="1311"/>
      <c r="V208" s="1311"/>
      <c r="W208" s="1311"/>
      <c r="X208" s="1311"/>
      <c r="Y208" s="1311"/>
      <c r="Z208" s="1311"/>
    </row>
    <row r="209" spans="1:26" x14ac:dyDescent="0.25">
      <c r="A209" s="845" t="s">
        <v>769</v>
      </c>
      <c r="B209" s="791" t="str">
        <f t="shared" ca="1" si="31"/>
        <v>I26</v>
      </c>
      <c r="C209" s="791" t="str">
        <f t="shared" ca="1" si="26"/>
        <v>I</v>
      </c>
      <c r="D209" s="1314" t="s">
        <v>1357</v>
      </c>
      <c r="E209" s="791" t="s">
        <v>1358</v>
      </c>
      <c r="F209" s="1314"/>
      <c r="G209" s="1314"/>
      <c r="H209" s="1314"/>
      <c r="I209" s="1274" t="str">
        <f t="shared" si="29"/>
        <v>State</v>
      </c>
      <c r="J209" s="1314" t="str">
        <f>IF(P200="",Q$1&amp;M209,"")</f>
        <v>F116</v>
      </c>
      <c r="K209" s="1314" t="str">
        <f t="shared" si="30"/>
        <v>Required Info to Submit</v>
      </c>
      <c r="L209" s="824" t="s">
        <v>769</v>
      </c>
      <c r="M209" s="1314">
        <v>116</v>
      </c>
      <c r="N209" s="1314"/>
      <c r="O209" s="1311"/>
      <c r="P209" s="1311"/>
      <c r="Q209" s="1311"/>
      <c r="R209" s="1311"/>
      <c r="S209" s="1311"/>
      <c r="T209" s="1311"/>
      <c r="U209" s="1311"/>
      <c r="V209" s="1311"/>
      <c r="W209" s="1311"/>
      <c r="X209" s="1311"/>
      <c r="Y209" s="1311"/>
      <c r="Z209" s="1311"/>
    </row>
    <row r="210" spans="1:26" x14ac:dyDescent="0.25">
      <c r="A210" s="845" t="s">
        <v>204</v>
      </c>
      <c r="B210" s="791" t="str">
        <f t="shared" ca="1" si="31"/>
        <v>J26</v>
      </c>
      <c r="C210" s="791" t="str">
        <f t="shared" ca="1" si="26"/>
        <v>J</v>
      </c>
      <c r="D210" s="1314" t="s">
        <v>1357</v>
      </c>
      <c r="E210" s="791" t="s">
        <v>1358</v>
      </c>
      <c r="F210" s="1314"/>
      <c r="G210" s="1314"/>
      <c r="H210" s="1314"/>
      <c r="I210" s="1274" t="str">
        <f t="shared" si="29"/>
        <v>Zip Code</v>
      </c>
      <c r="J210" s="1314" t="str">
        <f>IF(P200="",Q$1&amp;M210,"")</f>
        <v>F117</v>
      </c>
      <c r="K210" s="1314" t="str">
        <f t="shared" si="30"/>
        <v>Required Info to Submit</v>
      </c>
      <c r="L210" s="824" t="s">
        <v>204</v>
      </c>
      <c r="M210" s="1314">
        <v>117</v>
      </c>
      <c r="N210" s="1314"/>
      <c r="O210" s="1311"/>
      <c r="P210" s="1311"/>
      <c r="Q210" s="1311"/>
      <c r="R210" s="1311"/>
      <c r="S210" s="1311"/>
      <c r="T210" s="1311"/>
      <c r="U210" s="1311"/>
      <c r="V210" s="1311"/>
      <c r="W210" s="1311"/>
      <c r="X210" s="1311"/>
      <c r="Y210" s="1311"/>
      <c r="Z210" s="1311"/>
    </row>
    <row r="211" spans="1:26" x14ac:dyDescent="0.25">
      <c r="A211" s="842" t="s">
        <v>1178</v>
      </c>
      <c r="B211" s="791" t="str">
        <f ca="1">_xlfn.IFNA(_xlfn.CONCAT(SUBSTITUTE(ADDRESS(1,MATCH(A211,INDIRECT("'"&amp;E211&amp;"'"&amp;"!A22:Z22"),0),4),1,""),27),"")</f>
        <v>E27</v>
      </c>
      <c r="C211" s="791" t="str">
        <f t="shared" ca="1" si="26"/>
        <v>E</v>
      </c>
      <c r="D211" s="1314" t="s">
        <v>1357</v>
      </c>
      <c r="E211" s="791" t="s">
        <v>1358</v>
      </c>
      <c r="F211" s="1314"/>
      <c r="G211" s="1314"/>
      <c r="H211" s="1314"/>
      <c r="I211" s="1274" t="str">
        <f t="shared" si="29"/>
        <v/>
      </c>
      <c r="J211" s="1314"/>
      <c r="K211" s="1314" t="str">
        <f t="shared" si="30"/>
        <v/>
      </c>
      <c r="L211" s="824" t="s">
        <v>1178</v>
      </c>
      <c r="M211" s="1314">
        <v>118</v>
      </c>
      <c r="N211" s="1314"/>
      <c r="O211" s="1311"/>
      <c r="P211" s="1314" t="str">
        <f>IFERROR(VLOOKUP(Q$211,'Existing Customers'!$A:$F,1,FALSE),"")</f>
        <v/>
      </c>
      <c r="Q211" s="1314"/>
      <c r="R211" s="1311"/>
      <c r="S211" s="1311"/>
      <c r="T211" s="1311"/>
      <c r="U211" s="1311"/>
      <c r="V211" s="1311"/>
      <c r="W211" s="1311"/>
      <c r="X211" s="1311"/>
      <c r="Y211" s="1311"/>
      <c r="Z211" s="1311"/>
    </row>
    <row r="212" spans="1:26" x14ac:dyDescent="0.25">
      <c r="A212" s="843" t="s">
        <v>766</v>
      </c>
      <c r="B212" s="791" t="str">
        <f t="shared" ref="B212:B221" ca="1" si="32">_xlfn.IFNA(_xlfn.CONCAT(SUBSTITUTE(ADDRESS(1,MATCH(A212,INDIRECT("'"&amp;E212&amp;"'"&amp;"!A22:Z22"),0),4),1,""),27),"")</f>
        <v>F27</v>
      </c>
      <c r="C212" s="791" t="str">
        <f t="shared" ca="1" si="26"/>
        <v>F</v>
      </c>
      <c r="D212" s="1314" t="s">
        <v>1357</v>
      </c>
      <c r="E212" s="791" t="s">
        <v>1358</v>
      </c>
      <c r="F212" s="1314"/>
      <c r="G212" s="1314"/>
      <c r="H212" s="1314"/>
      <c r="I212" s="1274" t="str">
        <f t="shared" si="29"/>
        <v>Name</v>
      </c>
      <c r="J212" s="1314" t="str">
        <f>IF(P211="",Q$1&amp;M212,"")</f>
        <v>F120</v>
      </c>
      <c r="K212" s="1314" t="str">
        <f t="shared" si="30"/>
        <v>Required Info to Submit</v>
      </c>
      <c r="L212" s="824" t="s">
        <v>766</v>
      </c>
      <c r="M212" s="1314">
        <v>120</v>
      </c>
      <c r="N212" s="1314"/>
      <c r="O212" s="1311"/>
      <c r="P212" s="1311"/>
      <c r="Q212" s="1311"/>
      <c r="R212" s="1311"/>
      <c r="S212" s="1311"/>
      <c r="T212" s="1311"/>
      <c r="U212" s="1311"/>
      <c r="V212" s="1311"/>
      <c r="W212" s="1311"/>
      <c r="X212" s="1311"/>
      <c r="Y212" s="1311"/>
      <c r="Z212" s="1311"/>
    </row>
    <row r="213" spans="1:26" x14ac:dyDescent="0.25">
      <c r="A213" s="843" t="s">
        <v>765</v>
      </c>
      <c r="B213" s="791" t="str">
        <f t="shared" ca="1" si="32"/>
        <v>K27</v>
      </c>
      <c r="C213" s="791" t="str">
        <f t="shared" ca="1" si="26"/>
        <v>K</v>
      </c>
      <c r="D213" s="1314" t="s">
        <v>1357</v>
      </c>
      <c r="E213" s="791" t="s">
        <v>1358</v>
      </c>
      <c r="F213" s="1314"/>
      <c r="G213" s="1314"/>
      <c r="H213" s="1314"/>
      <c r="I213" s="1274" t="str">
        <f t="shared" si="29"/>
        <v/>
      </c>
      <c r="J213" s="1314"/>
      <c r="K213" s="1314" t="str">
        <f t="shared" si="30"/>
        <v/>
      </c>
      <c r="L213" s="824" t="s">
        <v>765</v>
      </c>
      <c r="M213" s="1314">
        <v>130</v>
      </c>
      <c r="N213" s="1314"/>
      <c r="O213" s="1311"/>
      <c r="P213" s="1311"/>
      <c r="Q213" s="1311"/>
      <c r="R213" s="1311"/>
      <c r="S213" s="1311"/>
      <c r="T213" s="1311"/>
      <c r="U213" s="1311"/>
      <c r="V213" s="1311"/>
      <c r="W213" s="1311"/>
      <c r="X213" s="1311"/>
      <c r="Y213" s="1311"/>
      <c r="Z213" s="1311"/>
    </row>
    <row r="214" spans="1:26" x14ac:dyDescent="0.25">
      <c r="A214" s="843" t="s">
        <v>1179</v>
      </c>
      <c r="B214" s="791" t="str">
        <f t="shared" ca="1" si="32"/>
        <v>L27</v>
      </c>
      <c r="C214" s="791" t="str">
        <f t="shared" ca="1" si="26"/>
        <v>L</v>
      </c>
      <c r="D214" s="1314" t="s">
        <v>1357</v>
      </c>
      <c r="E214" s="791" t="s">
        <v>1358</v>
      </c>
      <c r="F214" s="1314"/>
      <c r="G214" s="1314"/>
      <c r="H214" s="1314"/>
      <c r="I214" s="1274" t="str">
        <f t="shared" si="29"/>
        <v/>
      </c>
      <c r="J214" s="1314"/>
      <c r="K214" s="1314" t="str">
        <f t="shared" si="30"/>
        <v/>
      </c>
      <c r="L214" s="824" t="s">
        <v>1179</v>
      </c>
      <c r="M214" s="1314">
        <v>131</v>
      </c>
      <c r="N214" s="1314"/>
      <c r="O214" s="1311"/>
      <c r="P214" s="1311"/>
      <c r="Q214" s="1311"/>
      <c r="R214" s="1311"/>
      <c r="S214" s="1311"/>
      <c r="T214" s="1311"/>
      <c r="U214" s="1311"/>
      <c r="V214" s="1311"/>
      <c r="W214" s="1311"/>
      <c r="X214" s="1311"/>
      <c r="Y214" s="1311"/>
      <c r="Z214" s="1311"/>
    </row>
    <row r="215" spans="1:26" x14ac:dyDescent="0.25">
      <c r="A215" s="843" t="s">
        <v>1180</v>
      </c>
      <c r="B215" s="791" t="str">
        <f t="shared" ca="1" si="32"/>
        <v>M27</v>
      </c>
      <c r="C215" s="791" t="str">
        <f t="shared" ca="1" si="26"/>
        <v>M</v>
      </c>
      <c r="D215" s="1314" t="s">
        <v>1357</v>
      </c>
      <c r="E215" s="791" t="s">
        <v>1358</v>
      </c>
      <c r="F215" s="1314"/>
      <c r="G215" s="1314"/>
      <c r="H215" s="1314"/>
      <c r="I215" s="1274" t="str">
        <f t="shared" si="29"/>
        <v>Secondary or Internal Customer</v>
      </c>
      <c r="J215" s="1314" t="str">
        <f>IF(M215&lt;&gt;"",Q$1&amp;M215,"")</f>
        <v>F132</v>
      </c>
      <c r="K215" s="1314" t="str">
        <f t="shared" si="30"/>
        <v>Required Info to Submit</v>
      </c>
      <c r="L215" s="824" t="s">
        <v>1180</v>
      </c>
      <c r="M215" s="1314">
        <v>132</v>
      </c>
      <c r="N215" s="1314"/>
      <c r="O215" s="1311"/>
      <c r="P215" s="1311"/>
      <c r="Q215" s="1311"/>
      <c r="R215" s="1311"/>
      <c r="S215" s="1311"/>
      <c r="T215" s="1311"/>
      <c r="U215" s="1311"/>
      <c r="V215" s="1311"/>
      <c r="W215" s="1311"/>
      <c r="X215" s="1311"/>
      <c r="Y215" s="1311"/>
      <c r="Z215" s="1311"/>
    </row>
    <row r="216" spans="1:26" x14ac:dyDescent="0.25">
      <c r="A216" s="843" t="s">
        <v>1181</v>
      </c>
      <c r="B216" s="791" t="str">
        <f t="shared" ca="1" si="32"/>
        <v>N27</v>
      </c>
      <c r="C216" s="791" t="str">
        <f t="shared" ca="1" si="26"/>
        <v>N</v>
      </c>
      <c r="D216" s="1314" t="s">
        <v>1357</v>
      </c>
      <c r="E216" s="791" t="s">
        <v>1358</v>
      </c>
      <c r="F216" s="1314"/>
      <c r="G216" s="1314"/>
      <c r="H216" s="1314"/>
      <c r="I216" s="1274" t="str">
        <f t="shared" si="29"/>
        <v>Fuel Surcharge Applied</v>
      </c>
      <c r="J216" s="1314" t="str">
        <f>IF(M216&lt;&gt;"",Q$1&amp;M216,"")</f>
        <v>F133</v>
      </c>
      <c r="K216" s="1314" t="str">
        <f t="shared" si="30"/>
        <v>Required Info to Submit</v>
      </c>
      <c r="L216" s="824" t="s">
        <v>1367</v>
      </c>
      <c r="M216" s="1314">
        <v>133</v>
      </c>
      <c r="N216" s="1314"/>
      <c r="O216" s="1311"/>
      <c r="P216" s="1311"/>
      <c r="Q216" s="1311"/>
      <c r="R216" s="1311"/>
      <c r="S216" s="1311"/>
      <c r="T216" s="1311"/>
      <c r="U216" s="1311"/>
      <c r="V216" s="1311"/>
      <c r="W216" s="1311"/>
      <c r="X216" s="1311"/>
      <c r="Y216" s="1311"/>
      <c r="Z216" s="1311"/>
    </row>
    <row r="217" spans="1:26" x14ac:dyDescent="0.25">
      <c r="A217" s="843" t="s">
        <v>1297</v>
      </c>
      <c r="B217" s="791" t="str">
        <f t="shared" ca="1" si="32"/>
        <v>O27</v>
      </c>
      <c r="C217" s="791" t="str">
        <f t="shared" ca="1" si="26"/>
        <v>O</v>
      </c>
      <c r="D217" s="1314" t="s">
        <v>1357</v>
      </c>
      <c r="E217" s="791" t="s">
        <v>1358</v>
      </c>
      <c r="F217" s="1314"/>
      <c r="G217" s="1314"/>
      <c r="H217" s="1314"/>
      <c r="I217" s="1274" t="str">
        <f t="shared" si="29"/>
        <v>Minimum Delivery Charge Applied Flag</v>
      </c>
      <c r="J217" s="1314" t="str">
        <f>IF(M217&lt;&gt;"",Q$1&amp;M217,"")</f>
        <v>F134</v>
      </c>
      <c r="K217" s="1314" t="str">
        <f t="shared" si="30"/>
        <v>Required Info to Submit</v>
      </c>
      <c r="L217" s="824" t="s">
        <v>1297</v>
      </c>
      <c r="M217" s="1314">
        <v>134</v>
      </c>
      <c r="N217" s="1314"/>
      <c r="O217" s="1311"/>
      <c r="P217" s="1311"/>
      <c r="Q217" s="1311"/>
      <c r="R217" s="1311"/>
      <c r="S217" s="1311"/>
      <c r="T217" s="1311"/>
      <c r="U217" s="1311"/>
      <c r="V217" s="1311"/>
      <c r="W217" s="1311"/>
      <c r="X217" s="1311"/>
      <c r="Y217" s="1311"/>
      <c r="Z217" s="1311"/>
    </row>
    <row r="218" spans="1:26" x14ac:dyDescent="0.25">
      <c r="A218" s="843" t="s">
        <v>767</v>
      </c>
      <c r="B218" s="791" t="str">
        <f t="shared" ca="1" si="32"/>
        <v>G27</v>
      </c>
      <c r="C218" s="791" t="str">
        <f t="shared" ca="1" si="26"/>
        <v>G</v>
      </c>
      <c r="D218" s="1314" t="s">
        <v>1357</v>
      </c>
      <c r="E218" s="791" t="s">
        <v>1358</v>
      </c>
      <c r="F218" s="1314"/>
      <c r="G218" s="1314"/>
      <c r="H218" s="1314"/>
      <c r="I218" s="1274" t="str">
        <f t="shared" si="29"/>
        <v>Address</v>
      </c>
      <c r="J218" s="1314" t="str">
        <f>IF(P211="",Q$1&amp;M218,"")</f>
        <v>F135</v>
      </c>
      <c r="K218" s="1314" t="str">
        <f t="shared" si="30"/>
        <v>Required Info to Submit</v>
      </c>
      <c r="L218" s="824" t="s">
        <v>767</v>
      </c>
      <c r="M218" s="1314">
        <v>135</v>
      </c>
      <c r="N218" s="1314"/>
      <c r="O218" s="1311"/>
      <c r="P218" s="1311"/>
      <c r="Q218" s="1311"/>
      <c r="R218" s="1311"/>
      <c r="S218" s="1311"/>
      <c r="T218" s="1311"/>
      <c r="U218" s="1311"/>
      <c r="V218" s="1311"/>
      <c r="W218" s="1311"/>
      <c r="X218" s="1311"/>
      <c r="Y218" s="1311"/>
      <c r="Z218" s="1311"/>
    </row>
    <row r="219" spans="1:26" x14ac:dyDescent="0.25">
      <c r="A219" s="843" t="s">
        <v>768</v>
      </c>
      <c r="B219" s="791" t="str">
        <f t="shared" ca="1" si="32"/>
        <v>H27</v>
      </c>
      <c r="C219" s="791" t="str">
        <f t="shared" ca="1" si="26"/>
        <v>H</v>
      </c>
      <c r="D219" s="1314" t="s">
        <v>1357</v>
      </c>
      <c r="E219" s="791" t="s">
        <v>1358</v>
      </c>
      <c r="F219" s="1314"/>
      <c r="G219" s="1314"/>
      <c r="H219" s="1314"/>
      <c r="I219" s="1274" t="str">
        <f t="shared" si="29"/>
        <v>City</v>
      </c>
      <c r="J219" s="1314" t="str">
        <f>IF(P211="",Q$1&amp;M219,"")</f>
        <v>F136</v>
      </c>
      <c r="K219" s="1314" t="str">
        <f t="shared" si="30"/>
        <v>Required Info to Submit</v>
      </c>
      <c r="L219" s="824" t="s">
        <v>768</v>
      </c>
      <c r="M219" s="1314">
        <v>136</v>
      </c>
      <c r="N219" s="1314"/>
      <c r="O219" s="1311"/>
      <c r="P219" s="1311"/>
      <c r="Q219" s="1311"/>
      <c r="R219" s="1311"/>
      <c r="S219" s="1311"/>
      <c r="T219" s="1311"/>
      <c r="U219" s="1311"/>
      <c r="V219" s="1311"/>
      <c r="W219" s="1311"/>
      <c r="X219" s="1311"/>
      <c r="Y219" s="1311"/>
      <c r="Z219" s="1311"/>
    </row>
    <row r="220" spans="1:26" x14ac:dyDescent="0.25">
      <c r="A220" s="843" t="s">
        <v>769</v>
      </c>
      <c r="B220" s="791" t="str">
        <f t="shared" ca="1" si="32"/>
        <v>I27</v>
      </c>
      <c r="C220" s="791" t="str">
        <f t="shared" ca="1" si="26"/>
        <v>I</v>
      </c>
      <c r="D220" s="1314" t="s">
        <v>1357</v>
      </c>
      <c r="E220" s="791" t="s">
        <v>1358</v>
      </c>
      <c r="F220" s="1314"/>
      <c r="G220" s="1314"/>
      <c r="H220" s="1314"/>
      <c r="I220" s="1274" t="str">
        <f t="shared" si="29"/>
        <v>State</v>
      </c>
      <c r="J220" s="1314" t="str">
        <f>IF(P211="",Q$1&amp;M220,"")</f>
        <v>F137</v>
      </c>
      <c r="K220" s="1314" t="str">
        <f t="shared" si="30"/>
        <v>Required Info to Submit</v>
      </c>
      <c r="L220" s="824" t="s">
        <v>769</v>
      </c>
      <c r="M220" s="1314">
        <v>137</v>
      </c>
      <c r="N220" s="1314"/>
      <c r="O220" s="1311"/>
      <c r="P220" s="1311"/>
      <c r="Q220" s="1311"/>
      <c r="R220" s="1311"/>
      <c r="S220" s="1311"/>
      <c r="T220" s="1311"/>
      <c r="U220" s="1311"/>
      <c r="V220" s="1311"/>
      <c r="W220" s="1311"/>
      <c r="X220" s="1311"/>
      <c r="Y220" s="1311"/>
      <c r="Z220" s="1311"/>
    </row>
    <row r="221" spans="1:26" x14ac:dyDescent="0.25">
      <c r="A221" s="843" t="s">
        <v>204</v>
      </c>
      <c r="B221" s="791" t="str">
        <f t="shared" ca="1" si="32"/>
        <v>J27</v>
      </c>
      <c r="C221" s="791" t="str">
        <f t="shared" ca="1" si="26"/>
        <v>J</v>
      </c>
      <c r="D221" s="1314" t="s">
        <v>1357</v>
      </c>
      <c r="E221" s="791" t="s">
        <v>1358</v>
      </c>
      <c r="F221" s="1314"/>
      <c r="G221" s="1314"/>
      <c r="H221" s="1314"/>
      <c r="I221" s="1274" t="str">
        <f t="shared" si="29"/>
        <v>Zip Code</v>
      </c>
      <c r="J221" s="1314" t="str">
        <f>IF(P211="",Q$1&amp;M221,"")</f>
        <v>F138</v>
      </c>
      <c r="K221" s="1314" t="str">
        <f t="shared" si="30"/>
        <v>Required Info to Submit</v>
      </c>
      <c r="L221" s="824" t="s">
        <v>204</v>
      </c>
      <c r="M221" s="1314">
        <v>138</v>
      </c>
      <c r="N221" s="1314"/>
      <c r="O221" s="1311"/>
      <c r="P221" s="1311"/>
      <c r="Q221" s="1311"/>
      <c r="R221" s="1311"/>
      <c r="S221" s="1311"/>
      <c r="T221" s="1311"/>
      <c r="U221" s="1311"/>
      <c r="V221" s="1311"/>
      <c r="W221" s="1311"/>
      <c r="X221" s="1311"/>
      <c r="Y221" s="1311"/>
      <c r="Z221" s="1311"/>
    </row>
    <row r="222" spans="1:26" x14ac:dyDescent="0.25">
      <c r="A222" s="844" t="s">
        <v>1178</v>
      </c>
      <c r="B222" s="791" t="str">
        <f ca="1">_xlfn.IFNA(_xlfn.CONCAT(SUBSTITUTE(ADDRESS(1,MATCH(A222,INDIRECT("'"&amp;E222&amp;"'"&amp;"!A22:Z22"),0),4),1,""),28),"")</f>
        <v>E28</v>
      </c>
      <c r="C222" s="791" t="str">
        <f t="shared" ca="1" si="26"/>
        <v>E</v>
      </c>
      <c r="D222" s="1314" t="s">
        <v>1357</v>
      </c>
      <c r="E222" s="791" t="s">
        <v>1358</v>
      </c>
      <c r="F222" s="1314"/>
      <c r="G222" s="1314"/>
      <c r="H222" s="1314"/>
      <c r="I222" s="1274" t="str">
        <f t="shared" si="29"/>
        <v/>
      </c>
      <c r="J222" s="1314"/>
      <c r="K222" s="1314" t="str">
        <f t="shared" si="30"/>
        <v/>
      </c>
      <c r="L222" s="824" t="s">
        <v>1178</v>
      </c>
      <c r="M222" s="1314">
        <v>139</v>
      </c>
      <c r="N222" s="1314"/>
      <c r="O222" s="1311"/>
      <c r="P222" s="1314" t="str">
        <f>IFERROR(VLOOKUP(Q$222,'Existing Customers'!$A:$F,1,FALSE),"")</f>
        <v/>
      </c>
      <c r="Q222" s="1314"/>
      <c r="R222" s="1311"/>
      <c r="S222" s="1311"/>
      <c r="T222" s="1311"/>
      <c r="U222" s="1311"/>
      <c r="V222" s="1311"/>
      <c r="W222" s="1311"/>
      <c r="X222" s="1311"/>
      <c r="Y222" s="1311"/>
      <c r="Z222" s="1311"/>
    </row>
    <row r="223" spans="1:26" x14ac:dyDescent="0.25">
      <c r="A223" s="845" t="s">
        <v>766</v>
      </c>
      <c r="B223" s="791" t="str">
        <f t="shared" ref="B223:B232" ca="1" si="33">_xlfn.IFNA(_xlfn.CONCAT(SUBSTITUTE(ADDRESS(1,MATCH(A223,INDIRECT("'"&amp;E223&amp;"'"&amp;"!A22:Z22"),0),4),1,""),28),"")</f>
        <v>F28</v>
      </c>
      <c r="C223" s="791" t="str">
        <f t="shared" ca="1" si="26"/>
        <v>F</v>
      </c>
      <c r="D223" s="1314" t="s">
        <v>1357</v>
      </c>
      <c r="E223" s="791" t="s">
        <v>1358</v>
      </c>
      <c r="F223" s="1314"/>
      <c r="G223" s="1314"/>
      <c r="H223" s="1314"/>
      <c r="I223" s="1274" t="str">
        <f t="shared" si="29"/>
        <v>Name</v>
      </c>
      <c r="J223" s="1314" t="str">
        <f>IF(P222="",Q$1&amp;M223,"")</f>
        <v>F141</v>
      </c>
      <c r="K223" s="1314" t="str">
        <f t="shared" si="30"/>
        <v>Required Info to Submit</v>
      </c>
      <c r="L223" s="824" t="s">
        <v>766</v>
      </c>
      <c r="M223" s="1314">
        <v>141</v>
      </c>
      <c r="N223" s="1314"/>
      <c r="O223" s="1311"/>
      <c r="P223" s="1311"/>
      <c r="Q223" s="1311"/>
      <c r="R223" s="1311"/>
      <c r="S223" s="1311"/>
      <c r="T223" s="1311"/>
      <c r="U223" s="1311"/>
      <c r="V223" s="1311"/>
      <c r="W223" s="1311"/>
      <c r="X223" s="1311"/>
      <c r="Y223" s="1311"/>
      <c r="Z223" s="1311"/>
    </row>
    <row r="224" spans="1:26" x14ac:dyDescent="0.25">
      <c r="A224" s="845" t="s">
        <v>765</v>
      </c>
      <c r="B224" s="791" t="str">
        <f t="shared" ca="1" si="33"/>
        <v>K28</v>
      </c>
      <c r="C224" s="791" t="str">
        <f t="shared" ca="1" si="26"/>
        <v>K</v>
      </c>
      <c r="D224" s="1314" t="s">
        <v>1357</v>
      </c>
      <c r="E224" s="791" t="s">
        <v>1358</v>
      </c>
      <c r="F224" s="1314"/>
      <c r="G224" s="1314"/>
      <c r="H224" s="1314"/>
      <c r="I224" s="1274" t="str">
        <f t="shared" si="29"/>
        <v/>
      </c>
      <c r="J224" s="1314"/>
      <c r="K224" s="1314" t="str">
        <f t="shared" si="30"/>
        <v/>
      </c>
      <c r="L224" s="824" t="s">
        <v>765</v>
      </c>
      <c r="M224" s="1314">
        <v>151</v>
      </c>
      <c r="N224" s="1314"/>
      <c r="O224" s="1311"/>
      <c r="P224" s="1311"/>
      <c r="Q224" s="1311"/>
      <c r="R224" s="1311"/>
      <c r="S224" s="1311"/>
      <c r="T224" s="1311"/>
      <c r="U224" s="1311"/>
      <c r="V224" s="1311"/>
      <c r="W224" s="1311"/>
      <c r="X224" s="1311"/>
      <c r="Y224" s="1311"/>
      <c r="Z224" s="1311"/>
    </row>
    <row r="225" spans="1:26" x14ac:dyDescent="0.25">
      <c r="A225" s="845" t="s">
        <v>1179</v>
      </c>
      <c r="B225" s="791" t="str">
        <f t="shared" ca="1" si="33"/>
        <v>L28</v>
      </c>
      <c r="C225" s="791" t="str">
        <f t="shared" ca="1" si="26"/>
        <v>L</v>
      </c>
      <c r="D225" s="1314" t="s">
        <v>1357</v>
      </c>
      <c r="E225" s="791" t="s">
        <v>1358</v>
      </c>
      <c r="F225" s="1314"/>
      <c r="G225" s="1314"/>
      <c r="H225" s="1314"/>
      <c r="I225" s="1274" t="str">
        <f t="shared" si="29"/>
        <v/>
      </c>
      <c r="J225" s="1314"/>
      <c r="K225" s="1314" t="str">
        <f t="shared" si="30"/>
        <v/>
      </c>
      <c r="L225" s="824" t="s">
        <v>1179</v>
      </c>
      <c r="M225" s="1314">
        <v>152</v>
      </c>
      <c r="N225" s="1314"/>
      <c r="O225" s="1311"/>
      <c r="P225" s="1311"/>
      <c r="Q225" s="1311"/>
      <c r="R225" s="1311"/>
      <c r="S225" s="1311"/>
      <c r="T225" s="1311"/>
      <c r="U225" s="1311"/>
      <c r="V225" s="1311"/>
      <c r="W225" s="1311"/>
      <c r="X225" s="1311"/>
      <c r="Y225" s="1311"/>
      <c r="Z225" s="1311"/>
    </row>
    <row r="226" spans="1:26" x14ac:dyDescent="0.25">
      <c r="A226" s="845" t="s">
        <v>1180</v>
      </c>
      <c r="B226" s="791" t="str">
        <f t="shared" ca="1" si="33"/>
        <v>M28</v>
      </c>
      <c r="C226" s="791" t="str">
        <f t="shared" ca="1" si="26"/>
        <v>M</v>
      </c>
      <c r="D226" s="1314" t="s">
        <v>1357</v>
      </c>
      <c r="E226" s="791" t="s">
        <v>1358</v>
      </c>
      <c r="F226" s="1314"/>
      <c r="G226" s="1314"/>
      <c r="H226" s="1314"/>
      <c r="I226" s="1274" t="str">
        <f t="shared" si="29"/>
        <v>Secondary or Internal Customer</v>
      </c>
      <c r="J226" s="1314" t="str">
        <f>IF(M226&lt;&gt;"",Q$1&amp;M226,"")</f>
        <v>F153</v>
      </c>
      <c r="K226" s="1314" t="str">
        <f t="shared" si="30"/>
        <v>Required Info to Submit</v>
      </c>
      <c r="L226" s="824" t="s">
        <v>1180</v>
      </c>
      <c r="M226" s="1314">
        <v>153</v>
      </c>
      <c r="N226" s="1314"/>
      <c r="O226" s="1311"/>
      <c r="P226" s="1311"/>
      <c r="Q226" s="1311"/>
      <c r="R226" s="1311"/>
      <c r="S226" s="1311"/>
      <c r="T226" s="1311"/>
      <c r="U226" s="1311"/>
      <c r="V226" s="1311"/>
      <c r="W226" s="1311"/>
      <c r="X226" s="1311"/>
      <c r="Y226" s="1311"/>
      <c r="Z226" s="1311"/>
    </row>
    <row r="227" spans="1:26" x14ac:dyDescent="0.25">
      <c r="A227" s="845" t="s">
        <v>1181</v>
      </c>
      <c r="B227" s="791" t="str">
        <f t="shared" ca="1" si="33"/>
        <v>N28</v>
      </c>
      <c r="C227" s="791" t="str">
        <f t="shared" ca="1" si="26"/>
        <v>N</v>
      </c>
      <c r="D227" s="1314" t="s">
        <v>1357</v>
      </c>
      <c r="E227" s="791" t="s">
        <v>1358</v>
      </c>
      <c r="F227" s="1314"/>
      <c r="G227" s="1314"/>
      <c r="H227" s="1314"/>
      <c r="I227" s="1274" t="str">
        <f t="shared" si="29"/>
        <v>Fuel Surcharge Applied</v>
      </c>
      <c r="J227" s="1314" t="str">
        <f>IF(M227&lt;&gt;"",Q$1&amp;M227,"")</f>
        <v>F154</v>
      </c>
      <c r="K227" s="1314" t="str">
        <f t="shared" si="30"/>
        <v>Required Info to Submit</v>
      </c>
      <c r="L227" s="824" t="s">
        <v>1367</v>
      </c>
      <c r="M227" s="1314">
        <v>154</v>
      </c>
      <c r="N227" s="1314"/>
      <c r="O227" s="1311"/>
      <c r="P227" s="1311"/>
      <c r="Q227" s="1311"/>
      <c r="R227" s="1311"/>
      <c r="S227" s="1311"/>
      <c r="T227" s="1311"/>
      <c r="U227" s="1311"/>
      <c r="V227" s="1311"/>
      <c r="W227" s="1311"/>
      <c r="X227" s="1311"/>
      <c r="Y227" s="1311"/>
      <c r="Z227" s="1311"/>
    </row>
    <row r="228" spans="1:26" x14ac:dyDescent="0.25">
      <c r="A228" s="845" t="s">
        <v>1297</v>
      </c>
      <c r="B228" s="791" t="str">
        <f t="shared" ca="1" si="33"/>
        <v>O28</v>
      </c>
      <c r="C228" s="791" t="str">
        <f t="shared" ca="1" si="26"/>
        <v>O</v>
      </c>
      <c r="D228" s="1314" t="s">
        <v>1357</v>
      </c>
      <c r="E228" s="791" t="s">
        <v>1358</v>
      </c>
      <c r="F228" s="1314"/>
      <c r="G228" s="1314"/>
      <c r="H228" s="1314"/>
      <c r="I228" s="1274" t="str">
        <f t="shared" si="29"/>
        <v>Minimum Delivery Charge Applied Flag</v>
      </c>
      <c r="J228" s="1314" t="str">
        <f>IF(M228&lt;&gt;"",Q$1&amp;M228,"")</f>
        <v>F155</v>
      </c>
      <c r="K228" s="1314" t="str">
        <f t="shared" si="30"/>
        <v>Required Info to Submit</v>
      </c>
      <c r="L228" s="824" t="s">
        <v>1297</v>
      </c>
      <c r="M228" s="1314">
        <v>155</v>
      </c>
      <c r="N228" s="1314"/>
      <c r="O228" s="1311"/>
      <c r="P228" s="1311"/>
      <c r="Q228" s="1311"/>
      <c r="R228" s="1311"/>
      <c r="S228" s="1311"/>
      <c r="T228" s="1311"/>
      <c r="U228" s="1311"/>
      <c r="V228" s="1311"/>
      <c r="W228" s="1311"/>
      <c r="X228" s="1311"/>
      <c r="Y228" s="1311"/>
      <c r="Z228" s="1311"/>
    </row>
    <row r="229" spans="1:26" x14ac:dyDescent="0.25">
      <c r="A229" s="845" t="s">
        <v>767</v>
      </c>
      <c r="B229" s="791" t="str">
        <f t="shared" ca="1" si="33"/>
        <v>G28</v>
      </c>
      <c r="C229" s="791" t="str">
        <f t="shared" ca="1" si="26"/>
        <v>G</v>
      </c>
      <c r="D229" s="1314" t="s">
        <v>1357</v>
      </c>
      <c r="E229" s="791" t="s">
        <v>1358</v>
      </c>
      <c r="F229" s="1314"/>
      <c r="G229" s="1314"/>
      <c r="H229" s="1314"/>
      <c r="I229" s="1274" t="str">
        <f t="shared" si="29"/>
        <v>Address</v>
      </c>
      <c r="J229" s="1314" t="str">
        <f>IF(P222="",Q$1&amp;M229,"")</f>
        <v>F156</v>
      </c>
      <c r="K229" s="1314" t="str">
        <f t="shared" si="30"/>
        <v>Required Info to Submit</v>
      </c>
      <c r="L229" s="824" t="s">
        <v>767</v>
      </c>
      <c r="M229" s="1314">
        <v>156</v>
      </c>
      <c r="N229" s="1314"/>
      <c r="O229" s="1311"/>
      <c r="P229" s="1311"/>
      <c r="Q229" s="1311"/>
      <c r="R229" s="1311"/>
      <c r="S229" s="1311"/>
      <c r="T229" s="1311"/>
      <c r="U229" s="1311"/>
      <c r="V229" s="1311"/>
      <c r="W229" s="1311"/>
      <c r="X229" s="1311"/>
      <c r="Y229" s="1311"/>
      <c r="Z229" s="1311"/>
    </row>
    <row r="230" spans="1:26" x14ac:dyDescent="0.25">
      <c r="A230" s="845" t="s">
        <v>768</v>
      </c>
      <c r="B230" s="791" t="str">
        <f t="shared" ca="1" si="33"/>
        <v>H28</v>
      </c>
      <c r="C230" s="791" t="str">
        <f t="shared" ca="1" si="26"/>
        <v>H</v>
      </c>
      <c r="D230" s="1314" t="s">
        <v>1357</v>
      </c>
      <c r="E230" s="791" t="s">
        <v>1358</v>
      </c>
      <c r="F230" s="1314"/>
      <c r="G230" s="1314"/>
      <c r="H230" s="1314"/>
      <c r="I230" s="1274" t="str">
        <f t="shared" si="29"/>
        <v>City</v>
      </c>
      <c r="J230" s="1314" t="str">
        <f>IF(P222="",Q$1&amp;M230,"")</f>
        <v>F157</v>
      </c>
      <c r="K230" s="1314" t="str">
        <f t="shared" si="30"/>
        <v>Required Info to Submit</v>
      </c>
      <c r="L230" s="824" t="s">
        <v>768</v>
      </c>
      <c r="M230" s="1314">
        <v>157</v>
      </c>
      <c r="N230" s="1314"/>
      <c r="O230" s="1311"/>
      <c r="P230" s="1311"/>
      <c r="Q230" s="1311"/>
      <c r="R230" s="1311"/>
      <c r="S230" s="1311"/>
      <c r="T230" s="1311"/>
      <c r="U230" s="1311"/>
      <c r="V230" s="1311"/>
      <c r="W230" s="1311"/>
      <c r="X230" s="1311"/>
      <c r="Y230" s="1311"/>
      <c r="Z230" s="1311"/>
    </row>
    <row r="231" spans="1:26" x14ac:dyDescent="0.25">
      <c r="A231" s="845" t="s">
        <v>769</v>
      </c>
      <c r="B231" s="791" t="str">
        <f t="shared" ca="1" si="33"/>
        <v>I28</v>
      </c>
      <c r="C231" s="791" t="str">
        <f t="shared" ca="1" si="26"/>
        <v>I</v>
      </c>
      <c r="D231" s="1314" t="s">
        <v>1357</v>
      </c>
      <c r="E231" s="791" t="s">
        <v>1358</v>
      </c>
      <c r="F231" s="1314"/>
      <c r="G231" s="1314"/>
      <c r="H231" s="1314"/>
      <c r="I231" s="1274" t="str">
        <f t="shared" si="29"/>
        <v>State</v>
      </c>
      <c r="J231" s="1314" t="str">
        <f>IF(P222="",Q$1&amp;M231,"")</f>
        <v>F158</v>
      </c>
      <c r="K231" s="1314" t="str">
        <f t="shared" si="30"/>
        <v>Required Info to Submit</v>
      </c>
      <c r="L231" s="824" t="s">
        <v>769</v>
      </c>
      <c r="M231" s="1314">
        <v>158</v>
      </c>
      <c r="N231" s="1314"/>
      <c r="O231" s="1311"/>
      <c r="P231" s="1311"/>
      <c r="Q231" s="1311"/>
      <c r="R231" s="1311"/>
      <c r="S231" s="1311"/>
      <c r="T231" s="1311"/>
      <c r="U231" s="1311"/>
      <c r="V231" s="1311"/>
      <c r="W231" s="1311"/>
      <c r="X231" s="1311"/>
      <c r="Y231" s="1311"/>
      <c r="Z231" s="1311"/>
    </row>
    <row r="232" spans="1:26" x14ac:dyDescent="0.25">
      <c r="A232" s="845" t="s">
        <v>204</v>
      </c>
      <c r="B232" s="791" t="str">
        <f t="shared" ca="1" si="33"/>
        <v>J28</v>
      </c>
      <c r="C232" s="791" t="str">
        <f t="shared" ref="C232:C276" ca="1" si="34">_xlfn.IFNA(SUBSTITUTE(ADDRESS(1,MATCH(A232,INDIRECT("'"&amp;E232&amp;"'"&amp;"!A22:Z22"),0),4),1,""),"")</f>
        <v>J</v>
      </c>
      <c r="D232" s="1314" t="s">
        <v>1357</v>
      </c>
      <c r="E232" s="791" t="s">
        <v>1358</v>
      </c>
      <c r="F232" s="1314"/>
      <c r="G232" s="1314"/>
      <c r="H232" s="1314"/>
      <c r="I232" s="1274" t="str">
        <f t="shared" si="29"/>
        <v>Zip Code</v>
      </c>
      <c r="J232" s="1314" t="str">
        <f>IF(P222="",Q$1&amp;M232,"")</f>
        <v>F159</v>
      </c>
      <c r="K232" s="1314" t="str">
        <f t="shared" si="30"/>
        <v>Required Info to Submit</v>
      </c>
      <c r="L232" s="824" t="s">
        <v>204</v>
      </c>
      <c r="M232" s="1314">
        <v>159</v>
      </c>
      <c r="N232" s="1314"/>
      <c r="O232" s="1311"/>
      <c r="P232" s="1311"/>
      <c r="Q232" s="1311"/>
      <c r="R232" s="1311"/>
      <c r="S232" s="1311"/>
      <c r="T232" s="1311"/>
      <c r="U232" s="1311"/>
      <c r="V232" s="1311"/>
      <c r="W232" s="1311"/>
      <c r="X232" s="1311"/>
      <c r="Y232" s="1311"/>
      <c r="Z232" s="1311"/>
    </row>
    <row r="233" spans="1:26" x14ac:dyDescent="0.25">
      <c r="A233" s="842" t="s">
        <v>1178</v>
      </c>
      <c r="B233" s="791" t="str">
        <f ca="1">_xlfn.IFNA(_xlfn.CONCAT(SUBSTITUTE(ADDRESS(1,MATCH(A233,INDIRECT("'"&amp;E233&amp;"'"&amp;"!A22:Z22"),0),4),1,""),29),"")</f>
        <v>E29</v>
      </c>
      <c r="C233" s="791" t="str">
        <f t="shared" ca="1" si="34"/>
        <v>E</v>
      </c>
      <c r="D233" s="1314" t="s">
        <v>1357</v>
      </c>
      <c r="E233" s="791" t="s">
        <v>1358</v>
      </c>
      <c r="F233" s="1314"/>
      <c r="G233" s="1314"/>
      <c r="H233" s="1314"/>
      <c r="I233" s="1274" t="str">
        <f t="shared" si="29"/>
        <v/>
      </c>
      <c r="J233" s="1314"/>
      <c r="K233" s="1314" t="str">
        <f t="shared" si="30"/>
        <v/>
      </c>
      <c r="L233" s="824" t="s">
        <v>1178</v>
      </c>
      <c r="M233" s="1314">
        <v>160</v>
      </c>
      <c r="N233" s="1314"/>
      <c r="O233" s="1311"/>
      <c r="P233" s="1314" t="str">
        <f>IFERROR(VLOOKUP(Q$233,'Existing Customers'!$A:$F,1,FALSE),"")</f>
        <v/>
      </c>
      <c r="Q233" s="1314"/>
      <c r="R233" s="1311"/>
      <c r="S233" s="1311"/>
      <c r="T233" s="1311"/>
      <c r="U233" s="1311"/>
      <c r="V233" s="1311"/>
      <c r="W233" s="1311"/>
      <c r="X233" s="1311"/>
      <c r="Y233" s="1311"/>
      <c r="Z233" s="1311"/>
    </row>
    <row r="234" spans="1:26" x14ac:dyDescent="0.25">
      <c r="A234" s="843" t="s">
        <v>766</v>
      </c>
      <c r="B234" s="791" t="str">
        <f t="shared" ref="B234:B243" ca="1" si="35">_xlfn.IFNA(_xlfn.CONCAT(SUBSTITUTE(ADDRESS(1,MATCH(A234,INDIRECT("'"&amp;E234&amp;"'"&amp;"!A22:Z22"),0),4),1,""),29),"")</f>
        <v>F29</v>
      </c>
      <c r="C234" s="791" t="str">
        <f t="shared" ca="1" si="34"/>
        <v>F</v>
      </c>
      <c r="D234" s="1314" t="s">
        <v>1357</v>
      </c>
      <c r="E234" s="791" t="s">
        <v>1358</v>
      </c>
      <c r="F234" s="1314"/>
      <c r="G234" s="1314"/>
      <c r="H234" s="1314"/>
      <c r="I234" s="1274" t="str">
        <f t="shared" si="29"/>
        <v>Name</v>
      </c>
      <c r="J234" s="1314" t="str">
        <f>IF(P233="",Q$1&amp;M234,"")</f>
        <v>F162</v>
      </c>
      <c r="K234" s="1314" t="str">
        <f t="shared" si="30"/>
        <v>Required Info to Submit</v>
      </c>
      <c r="L234" s="824" t="s">
        <v>766</v>
      </c>
      <c r="M234" s="1314">
        <v>162</v>
      </c>
      <c r="N234" s="1314"/>
      <c r="O234" s="1311"/>
      <c r="P234" s="1311"/>
      <c r="Q234" s="1311"/>
      <c r="R234" s="1311"/>
      <c r="S234" s="1311"/>
      <c r="T234" s="1311"/>
      <c r="U234" s="1311"/>
      <c r="V234" s="1311"/>
      <c r="W234" s="1311"/>
      <c r="X234" s="1311"/>
      <c r="Y234" s="1311"/>
      <c r="Z234" s="1311"/>
    </row>
    <row r="235" spans="1:26" x14ac:dyDescent="0.25">
      <c r="A235" s="843" t="s">
        <v>765</v>
      </c>
      <c r="B235" s="791" t="str">
        <f t="shared" ca="1" si="35"/>
        <v>K29</v>
      </c>
      <c r="C235" s="791" t="str">
        <f t="shared" ca="1" si="34"/>
        <v>K</v>
      </c>
      <c r="D235" s="1314" t="s">
        <v>1357</v>
      </c>
      <c r="E235" s="791" t="s">
        <v>1358</v>
      </c>
      <c r="F235" s="1314"/>
      <c r="G235" s="1314"/>
      <c r="H235" s="1314"/>
      <c r="I235" s="1274" t="str">
        <f t="shared" si="29"/>
        <v/>
      </c>
      <c r="J235" s="1314"/>
      <c r="K235" s="1314" t="str">
        <f t="shared" si="30"/>
        <v/>
      </c>
      <c r="L235" s="824" t="s">
        <v>765</v>
      </c>
      <c r="M235" s="1314">
        <v>172</v>
      </c>
      <c r="N235" s="1314"/>
      <c r="O235" s="1311"/>
      <c r="P235" s="1311"/>
      <c r="Q235" s="1311"/>
      <c r="R235" s="1311"/>
      <c r="S235" s="1311"/>
      <c r="T235" s="1311"/>
      <c r="U235" s="1311"/>
      <c r="V235" s="1311"/>
      <c r="W235" s="1311"/>
      <c r="X235" s="1311"/>
      <c r="Y235" s="1311"/>
      <c r="Z235" s="1311"/>
    </row>
    <row r="236" spans="1:26" x14ac:dyDescent="0.25">
      <c r="A236" s="843" t="s">
        <v>1179</v>
      </c>
      <c r="B236" s="791" t="str">
        <f t="shared" ca="1" si="35"/>
        <v>L29</v>
      </c>
      <c r="C236" s="791" t="str">
        <f t="shared" ca="1" si="34"/>
        <v>L</v>
      </c>
      <c r="D236" s="1314" t="s">
        <v>1357</v>
      </c>
      <c r="E236" s="791" t="s">
        <v>1358</v>
      </c>
      <c r="F236" s="1314"/>
      <c r="G236" s="1314"/>
      <c r="H236" s="1314"/>
      <c r="I236" s="1274" t="str">
        <f t="shared" si="29"/>
        <v/>
      </c>
      <c r="J236" s="1314"/>
      <c r="K236" s="1314" t="str">
        <f t="shared" si="30"/>
        <v/>
      </c>
      <c r="L236" s="824" t="s">
        <v>1179</v>
      </c>
      <c r="M236" s="1314">
        <v>173</v>
      </c>
      <c r="N236" s="1314"/>
      <c r="O236" s="1311"/>
      <c r="P236" s="1311"/>
      <c r="Q236" s="1311"/>
      <c r="R236" s="1311"/>
      <c r="S236" s="1311"/>
      <c r="T236" s="1311"/>
      <c r="U236" s="1311"/>
      <c r="V236" s="1311"/>
      <c r="W236" s="1311"/>
      <c r="X236" s="1311"/>
      <c r="Y236" s="1311"/>
      <c r="Z236" s="1311"/>
    </row>
    <row r="237" spans="1:26" x14ac:dyDescent="0.25">
      <c r="A237" s="843" t="s">
        <v>1180</v>
      </c>
      <c r="B237" s="791" t="str">
        <f t="shared" ca="1" si="35"/>
        <v>M29</v>
      </c>
      <c r="C237" s="791" t="str">
        <f t="shared" ca="1" si="34"/>
        <v>M</v>
      </c>
      <c r="D237" s="1314" t="s">
        <v>1357</v>
      </c>
      <c r="E237" s="791" t="s">
        <v>1358</v>
      </c>
      <c r="F237" s="1314"/>
      <c r="G237" s="1314"/>
      <c r="H237" s="1314"/>
      <c r="I237" s="1274" t="str">
        <f t="shared" si="29"/>
        <v>Secondary or Internal Customer</v>
      </c>
      <c r="J237" s="1314" t="str">
        <f>IF(M237&lt;&gt;"",Q$1&amp;M237,"")</f>
        <v>F174</v>
      </c>
      <c r="K237" s="1314" t="str">
        <f t="shared" si="30"/>
        <v>Required Info to Submit</v>
      </c>
      <c r="L237" s="824" t="s">
        <v>1180</v>
      </c>
      <c r="M237" s="1314">
        <v>174</v>
      </c>
      <c r="N237" s="1314"/>
      <c r="O237" s="1311"/>
      <c r="P237" s="1311"/>
      <c r="Q237" s="1311"/>
      <c r="R237" s="1311"/>
      <c r="S237" s="1311"/>
      <c r="T237" s="1311"/>
      <c r="U237" s="1311"/>
      <c r="V237" s="1311"/>
      <c r="W237" s="1311"/>
      <c r="X237" s="1311"/>
      <c r="Y237" s="1311"/>
      <c r="Z237" s="1311"/>
    </row>
    <row r="238" spans="1:26" x14ac:dyDescent="0.25">
      <c r="A238" s="843" t="s">
        <v>1181</v>
      </c>
      <c r="B238" s="791" t="str">
        <f t="shared" ca="1" si="35"/>
        <v>N29</v>
      </c>
      <c r="C238" s="791" t="str">
        <f t="shared" ca="1" si="34"/>
        <v>N</v>
      </c>
      <c r="D238" s="1314" t="s">
        <v>1357</v>
      </c>
      <c r="E238" s="791" t="s">
        <v>1358</v>
      </c>
      <c r="F238" s="1314"/>
      <c r="G238" s="1314"/>
      <c r="H238" s="1314"/>
      <c r="I238" s="1274" t="str">
        <f t="shared" si="29"/>
        <v>Fuel Surcharge Applied</v>
      </c>
      <c r="J238" s="1314" t="str">
        <f>IF(M238&lt;&gt;"",Q$1&amp;M238,"")</f>
        <v>F175</v>
      </c>
      <c r="K238" s="1314" t="str">
        <f t="shared" si="30"/>
        <v>Required Info to Submit</v>
      </c>
      <c r="L238" s="824" t="s">
        <v>1367</v>
      </c>
      <c r="M238" s="1314">
        <v>175</v>
      </c>
      <c r="N238" s="1314"/>
      <c r="O238" s="1311"/>
      <c r="P238" s="1311"/>
      <c r="Q238" s="1311"/>
      <c r="R238" s="1311"/>
      <c r="S238" s="1311"/>
      <c r="T238" s="1311"/>
      <c r="U238" s="1311"/>
      <c r="V238" s="1311"/>
      <c r="W238" s="1311"/>
      <c r="X238" s="1311"/>
      <c r="Y238" s="1311"/>
      <c r="Z238" s="1311"/>
    </row>
    <row r="239" spans="1:26" x14ac:dyDescent="0.25">
      <c r="A239" s="843" t="s">
        <v>1297</v>
      </c>
      <c r="B239" s="791" t="str">
        <f t="shared" ca="1" si="35"/>
        <v>O29</v>
      </c>
      <c r="C239" s="791" t="str">
        <f t="shared" ca="1" si="34"/>
        <v>O</v>
      </c>
      <c r="D239" s="1314" t="s">
        <v>1357</v>
      </c>
      <c r="E239" s="791" t="s">
        <v>1358</v>
      </c>
      <c r="F239" s="1314"/>
      <c r="G239" s="1314"/>
      <c r="H239" s="1314"/>
      <c r="I239" s="1274" t="str">
        <f t="shared" si="29"/>
        <v>Minimum Delivery Charge Applied Flag</v>
      </c>
      <c r="J239" s="1314" t="str">
        <f>IF(M239&lt;&gt;"",Q$1&amp;M239,"")</f>
        <v>F176</v>
      </c>
      <c r="K239" s="1314" t="str">
        <f t="shared" si="30"/>
        <v>Required Info to Submit</v>
      </c>
      <c r="L239" s="824" t="s">
        <v>1297</v>
      </c>
      <c r="M239" s="1314">
        <v>176</v>
      </c>
      <c r="N239" s="1314"/>
      <c r="O239" s="1311"/>
      <c r="P239" s="1311"/>
      <c r="Q239" s="1311"/>
      <c r="R239" s="1311"/>
      <c r="S239" s="1311"/>
      <c r="T239" s="1311"/>
      <c r="U239" s="1311"/>
      <c r="V239" s="1311"/>
      <c r="W239" s="1311"/>
      <c r="X239" s="1311"/>
      <c r="Y239" s="1311"/>
      <c r="Z239" s="1311"/>
    </row>
    <row r="240" spans="1:26" x14ac:dyDescent="0.25">
      <c r="A240" s="843" t="s">
        <v>767</v>
      </c>
      <c r="B240" s="791" t="str">
        <f t="shared" ca="1" si="35"/>
        <v>G29</v>
      </c>
      <c r="C240" s="791" t="str">
        <f t="shared" ca="1" si="34"/>
        <v>G</v>
      </c>
      <c r="D240" s="1314" t="s">
        <v>1357</v>
      </c>
      <c r="E240" s="791" t="s">
        <v>1358</v>
      </c>
      <c r="F240" s="1314"/>
      <c r="G240" s="1314"/>
      <c r="H240" s="1314"/>
      <c r="I240" s="1274" t="str">
        <f t="shared" si="29"/>
        <v>Address</v>
      </c>
      <c r="J240" s="1314" t="str">
        <f>IF(P233="",Q$1&amp;M240,"")</f>
        <v>F177</v>
      </c>
      <c r="K240" s="1314" t="str">
        <f t="shared" si="30"/>
        <v>Required Info to Submit</v>
      </c>
      <c r="L240" s="824" t="s">
        <v>767</v>
      </c>
      <c r="M240" s="1314">
        <v>177</v>
      </c>
      <c r="N240" s="1314"/>
      <c r="O240" s="1311"/>
      <c r="P240" s="1311"/>
      <c r="Q240" s="1311"/>
      <c r="R240" s="1311"/>
      <c r="S240" s="1311"/>
      <c r="T240" s="1311"/>
      <c r="U240" s="1311"/>
      <c r="V240" s="1311"/>
      <c r="W240" s="1311"/>
      <c r="X240" s="1311"/>
      <c r="Y240" s="1311"/>
      <c r="Z240" s="1311"/>
    </row>
    <row r="241" spans="1:26" x14ac:dyDescent="0.25">
      <c r="A241" s="843" t="s">
        <v>768</v>
      </c>
      <c r="B241" s="791" t="str">
        <f t="shared" ca="1" si="35"/>
        <v>H29</v>
      </c>
      <c r="C241" s="791" t="str">
        <f t="shared" ca="1" si="34"/>
        <v>H</v>
      </c>
      <c r="D241" s="1314" t="s">
        <v>1357</v>
      </c>
      <c r="E241" s="791" t="s">
        <v>1358</v>
      </c>
      <c r="F241" s="1314"/>
      <c r="G241" s="1314"/>
      <c r="H241" s="1314"/>
      <c r="I241" s="1274" t="str">
        <f t="shared" si="29"/>
        <v>City</v>
      </c>
      <c r="J241" s="1314" t="str">
        <f>IF(P233="",Q$1&amp;M241,"")</f>
        <v>F178</v>
      </c>
      <c r="K241" s="1314" t="str">
        <f t="shared" si="30"/>
        <v>Required Info to Submit</v>
      </c>
      <c r="L241" s="824" t="s">
        <v>768</v>
      </c>
      <c r="M241" s="1314">
        <v>178</v>
      </c>
      <c r="N241" s="1314"/>
      <c r="O241" s="1311"/>
      <c r="P241" s="1311"/>
      <c r="Q241" s="1311"/>
      <c r="R241" s="1311"/>
      <c r="S241" s="1311"/>
      <c r="T241" s="1311"/>
      <c r="U241" s="1311"/>
      <c r="V241" s="1311"/>
      <c r="W241" s="1311"/>
      <c r="X241" s="1311"/>
      <c r="Y241" s="1311"/>
      <c r="Z241" s="1311"/>
    </row>
    <row r="242" spans="1:26" x14ac:dyDescent="0.25">
      <c r="A242" s="843" t="s">
        <v>769</v>
      </c>
      <c r="B242" s="791" t="str">
        <f t="shared" ca="1" si="35"/>
        <v>I29</v>
      </c>
      <c r="C242" s="791" t="str">
        <f t="shared" ca="1" si="34"/>
        <v>I</v>
      </c>
      <c r="D242" s="1314" t="s">
        <v>1357</v>
      </c>
      <c r="E242" s="791" t="s">
        <v>1358</v>
      </c>
      <c r="F242" s="1314"/>
      <c r="G242" s="1314"/>
      <c r="H242" s="1314"/>
      <c r="I242" s="1274" t="str">
        <f t="shared" si="29"/>
        <v>State</v>
      </c>
      <c r="J242" s="1314" t="str">
        <f>IF(P233="",Q$1&amp;M242,"")</f>
        <v>F179</v>
      </c>
      <c r="K242" s="1314" t="str">
        <f t="shared" si="30"/>
        <v>Required Info to Submit</v>
      </c>
      <c r="L242" s="824" t="s">
        <v>769</v>
      </c>
      <c r="M242" s="1314">
        <v>179</v>
      </c>
      <c r="N242" s="1314"/>
      <c r="O242" s="1311"/>
      <c r="P242" s="1311"/>
      <c r="Q242" s="1311"/>
      <c r="R242" s="1311"/>
      <c r="S242" s="1311"/>
      <c r="T242" s="1311"/>
      <c r="U242" s="1311"/>
      <c r="V242" s="1311"/>
      <c r="W242" s="1311"/>
      <c r="X242" s="1311"/>
      <c r="Y242" s="1311"/>
      <c r="Z242" s="1311"/>
    </row>
    <row r="243" spans="1:26" x14ac:dyDescent="0.25">
      <c r="A243" s="843" t="s">
        <v>204</v>
      </c>
      <c r="B243" s="791" t="str">
        <f t="shared" ca="1" si="35"/>
        <v>J29</v>
      </c>
      <c r="C243" s="791" t="str">
        <f t="shared" ca="1" si="34"/>
        <v>J</v>
      </c>
      <c r="D243" s="1314" t="s">
        <v>1357</v>
      </c>
      <c r="E243" s="791" t="s">
        <v>1358</v>
      </c>
      <c r="F243" s="1314"/>
      <c r="G243" s="1314"/>
      <c r="H243" s="1314"/>
      <c r="I243" s="1274" t="str">
        <f t="shared" si="29"/>
        <v>Zip Code</v>
      </c>
      <c r="J243" s="1314" t="str">
        <f>IF(P233="",Q$1&amp;M243,"")</f>
        <v>F180</v>
      </c>
      <c r="K243" s="1314" t="str">
        <f t="shared" si="30"/>
        <v>Required Info to Submit</v>
      </c>
      <c r="L243" s="824" t="s">
        <v>204</v>
      </c>
      <c r="M243" s="1314">
        <v>180</v>
      </c>
      <c r="N243" s="1314"/>
      <c r="O243" s="1311"/>
      <c r="P243" s="1311"/>
      <c r="Q243" s="1311"/>
      <c r="R243" s="1311"/>
      <c r="S243" s="1311"/>
      <c r="T243" s="1311"/>
      <c r="U243" s="1311"/>
      <c r="V243" s="1311"/>
      <c r="W243" s="1311"/>
      <c r="X243" s="1311"/>
      <c r="Y243" s="1311"/>
      <c r="Z243" s="1311"/>
    </row>
    <row r="244" spans="1:26" x14ac:dyDescent="0.25">
      <c r="A244" s="844" t="s">
        <v>1178</v>
      </c>
      <c r="B244" s="791" t="str">
        <f ca="1">_xlfn.IFNA(_xlfn.CONCAT(SUBSTITUTE(ADDRESS(1,MATCH(A244,INDIRECT("'"&amp;E244&amp;"'"&amp;"!A22:Z22"),0),4),1,""),30),"")</f>
        <v>E30</v>
      </c>
      <c r="C244" s="791" t="str">
        <f t="shared" ca="1" si="34"/>
        <v>E</v>
      </c>
      <c r="D244" s="1314" t="s">
        <v>1357</v>
      </c>
      <c r="E244" s="791" t="s">
        <v>1358</v>
      </c>
      <c r="F244" s="1314"/>
      <c r="G244" s="1314"/>
      <c r="H244" s="1314"/>
      <c r="I244" s="1274" t="str">
        <f t="shared" si="29"/>
        <v/>
      </c>
      <c r="J244" s="1314"/>
      <c r="K244" s="1314" t="str">
        <f t="shared" si="30"/>
        <v/>
      </c>
      <c r="L244" s="824" t="s">
        <v>1178</v>
      </c>
      <c r="M244" s="1314">
        <v>181</v>
      </c>
      <c r="N244" s="1314"/>
      <c r="O244" s="1311"/>
      <c r="P244" s="1314" t="str">
        <f>IFERROR(VLOOKUP(Q$244,'Existing Customers'!$A:$F,1,FALSE),"")</f>
        <v/>
      </c>
      <c r="Q244" s="1314"/>
      <c r="R244" s="1311"/>
      <c r="S244" s="1311"/>
      <c r="T244" s="1311"/>
      <c r="U244" s="1311"/>
      <c r="V244" s="1311"/>
      <c r="W244" s="1311"/>
      <c r="X244" s="1311"/>
      <c r="Y244" s="1311"/>
      <c r="Z244" s="1311"/>
    </row>
    <row r="245" spans="1:26" x14ac:dyDescent="0.25">
      <c r="A245" s="845" t="s">
        <v>766</v>
      </c>
      <c r="B245" s="791" t="str">
        <f t="shared" ref="B245:B254" ca="1" si="36">_xlfn.IFNA(_xlfn.CONCAT(SUBSTITUTE(ADDRESS(1,MATCH(A245,INDIRECT("'"&amp;E245&amp;"'"&amp;"!A22:Z22"),0),4),1,""),30),"")</f>
        <v>F30</v>
      </c>
      <c r="C245" s="791" t="str">
        <f t="shared" ca="1" si="34"/>
        <v>F</v>
      </c>
      <c r="D245" s="1314" t="s">
        <v>1357</v>
      </c>
      <c r="E245" s="791" t="s">
        <v>1358</v>
      </c>
      <c r="F245" s="1314"/>
      <c r="G245" s="1314"/>
      <c r="H245" s="1314"/>
      <c r="I245" s="1274" t="str">
        <f t="shared" si="29"/>
        <v>Name</v>
      </c>
      <c r="J245" s="1314" t="str">
        <f>IF(P244="",Q$1&amp;M245,"")</f>
        <v>F183</v>
      </c>
      <c r="K245" s="1314" t="str">
        <f t="shared" si="30"/>
        <v>Required Info to Submit</v>
      </c>
      <c r="L245" s="824" t="s">
        <v>766</v>
      </c>
      <c r="M245" s="1314">
        <v>183</v>
      </c>
      <c r="N245" s="1314"/>
      <c r="O245" s="1311"/>
      <c r="P245" s="1311"/>
      <c r="Q245" s="1311"/>
      <c r="R245" s="1311"/>
      <c r="S245" s="1311"/>
      <c r="T245" s="1311"/>
      <c r="U245" s="1311"/>
      <c r="V245" s="1311"/>
      <c r="W245" s="1311"/>
      <c r="X245" s="1311"/>
      <c r="Y245" s="1311"/>
      <c r="Z245" s="1311"/>
    </row>
    <row r="246" spans="1:26" x14ac:dyDescent="0.25">
      <c r="A246" s="845" t="s">
        <v>765</v>
      </c>
      <c r="B246" s="791" t="str">
        <f t="shared" ca="1" si="36"/>
        <v>K30</v>
      </c>
      <c r="C246" s="791" t="str">
        <f t="shared" ca="1" si="34"/>
        <v>K</v>
      </c>
      <c r="D246" s="1314" t="s">
        <v>1357</v>
      </c>
      <c r="E246" s="791" t="s">
        <v>1358</v>
      </c>
      <c r="F246" s="1314"/>
      <c r="G246" s="1314"/>
      <c r="H246" s="1314"/>
      <c r="I246" s="1274" t="str">
        <f t="shared" si="29"/>
        <v/>
      </c>
      <c r="J246" s="1314"/>
      <c r="K246" s="1314" t="str">
        <f t="shared" si="30"/>
        <v/>
      </c>
      <c r="L246" s="824" t="s">
        <v>765</v>
      </c>
      <c r="M246" s="1314">
        <v>193</v>
      </c>
      <c r="N246" s="1314"/>
      <c r="O246" s="1311"/>
      <c r="P246" s="1311"/>
      <c r="Q246" s="1311"/>
      <c r="R246" s="1311"/>
      <c r="S246" s="1311"/>
      <c r="T246" s="1311"/>
      <c r="U246" s="1311"/>
      <c r="V246" s="1311"/>
      <c r="W246" s="1311"/>
      <c r="X246" s="1311"/>
      <c r="Y246" s="1311"/>
      <c r="Z246" s="1311"/>
    </row>
    <row r="247" spans="1:26" x14ac:dyDescent="0.25">
      <c r="A247" s="845" t="s">
        <v>1179</v>
      </c>
      <c r="B247" s="791" t="str">
        <f t="shared" ca="1" si="36"/>
        <v>L30</v>
      </c>
      <c r="C247" s="791" t="str">
        <f t="shared" ca="1" si="34"/>
        <v>L</v>
      </c>
      <c r="D247" s="1314" t="s">
        <v>1357</v>
      </c>
      <c r="E247" s="791" t="s">
        <v>1358</v>
      </c>
      <c r="F247" s="1314"/>
      <c r="G247" s="1314"/>
      <c r="H247" s="1314"/>
      <c r="I247" s="1274" t="str">
        <f t="shared" si="29"/>
        <v/>
      </c>
      <c r="J247" s="1314"/>
      <c r="K247" s="1314" t="str">
        <f t="shared" si="30"/>
        <v/>
      </c>
      <c r="L247" s="824" t="s">
        <v>1179</v>
      </c>
      <c r="M247" s="1314">
        <v>194</v>
      </c>
      <c r="N247" s="1314"/>
      <c r="O247" s="1311"/>
      <c r="P247" s="1311"/>
      <c r="Q247" s="1311"/>
      <c r="R247" s="1311"/>
      <c r="S247" s="1311"/>
      <c r="T247" s="1311"/>
      <c r="U247" s="1311"/>
      <c r="V247" s="1311"/>
      <c r="W247" s="1311"/>
      <c r="X247" s="1311"/>
      <c r="Y247" s="1311"/>
      <c r="Z247" s="1311"/>
    </row>
    <row r="248" spans="1:26" x14ac:dyDescent="0.25">
      <c r="A248" s="845" t="s">
        <v>1180</v>
      </c>
      <c r="B248" s="791" t="str">
        <f t="shared" ca="1" si="36"/>
        <v>M30</v>
      </c>
      <c r="C248" s="791" t="str">
        <f t="shared" ca="1" si="34"/>
        <v>M</v>
      </c>
      <c r="D248" s="1314" t="s">
        <v>1357</v>
      </c>
      <c r="E248" s="791" t="s">
        <v>1358</v>
      </c>
      <c r="F248" s="1314"/>
      <c r="G248" s="1314"/>
      <c r="H248" s="1314"/>
      <c r="I248" s="1274" t="str">
        <f t="shared" si="29"/>
        <v>Secondary or Internal Customer</v>
      </c>
      <c r="J248" s="1314" t="str">
        <f>IF(M248&lt;&gt;"",Q$1&amp;M248,"")</f>
        <v>F195</v>
      </c>
      <c r="K248" s="1314" t="str">
        <f t="shared" si="30"/>
        <v>Required Info to Submit</v>
      </c>
      <c r="L248" s="824" t="s">
        <v>1180</v>
      </c>
      <c r="M248" s="1314">
        <v>195</v>
      </c>
      <c r="N248" s="1314"/>
      <c r="O248" s="1311"/>
      <c r="P248" s="1311"/>
      <c r="Q248" s="1311"/>
      <c r="R248" s="1311"/>
      <c r="S248" s="1311"/>
      <c r="T248" s="1311"/>
      <c r="U248" s="1311"/>
      <c r="V248" s="1311"/>
      <c r="W248" s="1311"/>
      <c r="X248" s="1311"/>
      <c r="Y248" s="1311"/>
      <c r="Z248" s="1311"/>
    </row>
    <row r="249" spans="1:26" x14ac:dyDescent="0.25">
      <c r="A249" s="845" t="s">
        <v>1181</v>
      </c>
      <c r="B249" s="791" t="str">
        <f t="shared" ca="1" si="36"/>
        <v>N30</v>
      </c>
      <c r="C249" s="791" t="str">
        <f t="shared" ca="1" si="34"/>
        <v>N</v>
      </c>
      <c r="D249" s="1314" t="s">
        <v>1357</v>
      </c>
      <c r="E249" s="791" t="s">
        <v>1358</v>
      </c>
      <c r="F249" s="1314"/>
      <c r="G249" s="1314"/>
      <c r="H249" s="1314"/>
      <c r="I249" s="1274" t="str">
        <f t="shared" si="29"/>
        <v>Fuel Surcharge Applied</v>
      </c>
      <c r="J249" s="1314" t="str">
        <f>IF(M249&lt;&gt;"",Q$1&amp;M249,"")</f>
        <v>F196</v>
      </c>
      <c r="K249" s="1314" t="str">
        <f t="shared" si="30"/>
        <v>Required Info to Submit</v>
      </c>
      <c r="L249" s="824" t="s">
        <v>1367</v>
      </c>
      <c r="M249" s="1314">
        <v>196</v>
      </c>
      <c r="N249" s="1314"/>
      <c r="O249" s="1311"/>
      <c r="P249" s="1311"/>
      <c r="Q249" s="1311"/>
      <c r="R249" s="1311"/>
      <c r="S249" s="1311"/>
      <c r="T249" s="1311"/>
      <c r="U249" s="1311"/>
      <c r="V249" s="1311"/>
      <c r="W249" s="1311"/>
      <c r="X249" s="1311"/>
      <c r="Y249" s="1311"/>
      <c r="Z249" s="1311"/>
    </row>
    <row r="250" spans="1:26" x14ac:dyDescent="0.25">
      <c r="A250" s="845" t="s">
        <v>1297</v>
      </c>
      <c r="B250" s="791" t="str">
        <f t="shared" ca="1" si="36"/>
        <v>O30</v>
      </c>
      <c r="C250" s="791" t="str">
        <f t="shared" ca="1" si="34"/>
        <v>O</v>
      </c>
      <c r="D250" s="1314" t="s">
        <v>1357</v>
      </c>
      <c r="E250" s="791" t="s">
        <v>1358</v>
      </c>
      <c r="F250" s="1314"/>
      <c r="G250" s="1314"/>
      <c r="H250" s="1314"/>
      <c r="I250" s="1274" t="str">
        <f t="shared" si="29"/>
        <v>Minimum Delivery Charge Applied Flag</v>
      </c>
      <c r="J250" s="1314" t="str">
        <f>IF(M250&lt;&gt;"",Q$1&amp;M250,"")</f>
        <v>F197</v>
      </c>
      <c r="K250" s="1314" t="str">
        <f t="shared" si="30"/>
        <v>Required Info to Submit</v>
      </c>
      <c r="L250" s="824" t="s">
        <v>1297</v>
      </c>
      <c r="M250" s="1314">
        <v>197</v>
      </c>
      <c r="N250" s="1314"/>
      <c r="O250" s="1311"/>
      <c r="P250" s="1311"/>
      <c r="Q250" s="1311"/>
      <c r="R250" s="1311"/>
      <c r="S250" s="1311"/>
      <c r="T250" s="1311"/>
      <c r="U250" s="1311"/>
      <c r="V250" s="1311"/>
      <c r="W250" s="1311"/>
      <c r="X250" s="1311"/>
      <c r="Y250" s="1311"/>
      <c r="Z250" s="1311"/>
    </row>
    <row r="251" spans="1:26" x14ac:dyDescent="0.25">
      <c r="A251" s="845" t="s">
        <v>767</v>
      </c>
      <c r="B251" s="791" t="str">
        <f t="shared" ca="1" si="36"/>
        <v>G30</v>
      </c>
      <c r="C251" s="791" t="str">
        <f t="shared" ca="1" si="34"/>
        <v>G</v>
      </c>
      <c r="D251" s="1314" t="s">
        <v>1357</v>
      </c>
      <c r="E251" s="791" t="s">
        <v>1358</v>
      </c>
      <c r="F251" s="1314"/>
      <c r="G251" s="1314"/>
      <c r="H251" s="1314"/>
      <c r="I251" s="1274" t="str">
        <f t="shared" si="29"/>
        <v>Address</v>
      </c>
      <c r="J251" s="1314" t="str">
        <f>IF(P244="",Q$1&amp;M251,"")</f>
        <v>F198</v>
      </c>
      <c r="K251" s="1314" t="str">
        <f t="shared" si="30"/>
        <v>Required Info to Submit</v>
      </c>
      <c r="L251" s="824" t="s">
        <v>767</v>
      </c>
      <c r="M251" s="1314">
        <v>198</v>
      </c>
      <c r="N251" s="1314"/>
      <c r="O251" s="1311"/>
      <c r="P251" s="1311"/>
      <c r="Q251" s="1311"/>
      <c r="R251" s="1311"/>
      <c r="S251" s="1311"/>
      <c r="T251" s="1311"/>
      <c r="U251" s="1311"/>
      <c r="V251" s="1311"/>
      <c r="W251" s="1311"/>
      <c r="X251" s="1311"/>
      <c r="Y251" s="1311"/>
      <c r="Z251" s="1311"/>
    </row>
    <row r="252" spans="1:26" x14ac:dyDescent="0.25">
      <c r="A252" s="845" t="s">
        <v>768</v>
      </c>
      <c r="B252" s="791" t="str">
        <f t="shared" ca="1" si="36"/>
        <v>H30</v>
      </c>
      <c r="C252" s="791" t="str">
        <f t="shared" ca="1" si="34"/>
        <v>H</v>
      </c>
      <c r="D252" s="1314" t="s">
        <v>1357</v>
      </c>
      <c r="E252" s="791" t="s">
        <v>1358</v>
      </c>
      <c r="F252" s="1314"/>
      <c r="G252" s="1314"/>
      <c r="H252" s="1314"/>
      <c r="I252" s="1274" t="str">
        <f t="shared" si="29"/>
        <v>City</v>
      </c>
      <c r="J252" s="1314" t="str">
        <f>IF(P244="",Q$1&amp;M252,"")</f>
        <v>F199</v>
      </c>
      <c r="K252" s="1314" t="str">
        <f t="shared" si="30"/>
        <v>Required Info to Submit</v>
      </c>
      <c r="L252" s="824" t="s">
        <v>768</v>
      </c>
      <c r="M252" s="1314">
        <v>199</v>
      </c>
      <c r="N252" s="1314"/>
      <c r="O252" s="1311"/>
      <c r="P252" s="1311"/>
      <c r="Q252" s="1311"/>
      <c r="R252" s="1311"/>
      <c r="S252" s="1311"/>
      <c r="T252" s="1311"/>
      <c r="U252" s="1311"/>
      <c r="V252" s="1311"/>
      <c r="W252" s="1311"/>
      <c r="X252" s="1311"/>
      <c r="Y252" s="1311"/>
      <c r="Z252" s="1311"/>
    </row>
    <row r="253" spans="1:26" x14ac:dyDescent="0.25">
      <c r="A253" s="845" t="s">
        <v>769</v>
      </c>
      <c r="B253" s="791" t="str">
        <f t="shared" ca="1" si="36"/>
        <v>I30</v>
      </c>
      <c r="C253" s="791" t="str">
        <f t="shared" ca="1" si="34"/>
        <v>I</v>
      </c>
      <c r="D253" s="1314" t="s">
        <v>1357</v>
      </c>
      <c r="E253" s="791" t="s">
        <v>1358</v>
      </c>
      <c r="F253" s="1314"/>
      <c r="G253" s="1314"/>
      <c r="H253" s="1314"/>
      <c r="I253" s="1274" t="str">
        <f t="shared" si="29"/>
        <v>State</v>
      </c>
      <c r="J253" s="1314" t="str">
        <f>IF(P244="",Q$1&amp;M253,"")</f>
        <v>F200</v>
      </c>
      <c r="K253" s="1314" t="str">
        <f t="shared" si="30"/>
        <v>Required Info to Submit</v>
      </c>
      <c r="L253" s="824" t="s">
        <v>769</v>
      </c>
      <c r="M253" s="1314">
        <v>200</v>
      </c>
      <c r="N253" s="1314"/>
      <c r="O253" s="1311"/>
      <c r="P253" s="1311"/>
      <c r="Q253" s="1311"/>
      <c r="R253" s="1311"/>
      <c r="S253" s="1311"/>
      <c r="T253" s="1311"/>
      <c r="U253" s="1311"/>
      <c r="V253" s="1311"/>
      <c r="W253" s="1311"/>
      <c r="X253" s="1311"/>
      <c r="Y253" s="1311"/>
      <c r="Z253" s="1311"/>
    </row>
    <row r="254" spans="1:26" x14ac:dyDescent="0.25">
      <c r="A254" s="845" t="s">
        <v>204</v>
      </c>
      <c r="B254" s="791" t="str">
        <f t="shared" ca="1" si="36"/>
        <v>J30</v>
      </c>
      <c r="C254" s="791" t="str">
        <f t="shared" ca="1" si="34"/>
        <v>J</v>
      </c>
      <c r="D254" s="1314" t="s">
        <v>1357</v>
      </c>
      <c r="E254" s="791" t="s">
        <v>1358</v>
      </c>
      <c r="F254" s="1314"/>
      <c r="G254" s="1314"/>
      <c r="H254" s="1314"/>
      <c r="I254" s="1274" t="str">
        <f t="shared" si="29"/>
        <v>Zip Code</v>
      </c>
      <c r="J254" s="1314" t="str">
        <f>IF(P244="",Q$1&amp;M254,"")</f>
        <v>F201</v>
      </c>
      <c r="K254" s="1314" t="str">
        <f t="shared" si="30"/>
        <v>Required Info to Submit</v>
      </c>
      <c r="L254" s="824" t="s">
        <v>204</v>
      </c>
      <c r="M254" s="1314">
        <v>201</v>
      </c>
      <c r="N254" s="1314"/>
      <c r="O254" s="1311"/>
      <c r="P254" s="1311"/>
      <c r="Q254" s="1311"/>
      <c r="R254" s="1311"/>
      <c r="S254" s="1311"/>
      <c r="T254" s="1311"/>
      <c r="U254" s="1311"/>
      <c r="V254" s="1311"/>
      <c r="W254" s="1311"/>
      <c r="X254" s="1311"/>
      <c r="Y254" s="1311"/>
      <c r="Z254" s="1311"/>
    </row>
    <row r="255" spans="1:26" x14ac:dyDescent="0.25">
      <c r="A255" s="842" t="s">
        <v>1178</v>
      </c>
      <c r="B255" s="791" t="str">
        <f ca="1">_xlfn.IFNA(_xlfn.CONCAT(SUBSTITUTE(ADDRESS(1,MATCH(A255,INDIRECT("'"&amp;E255&amp;"'"&amp;"!A22:Z22"),0),4),1,""),31),"")</f>
        <v>E31</v>
      </c>
      <c r="C255" s="791" t="str">
        <f t="shared" ca="1" si="34"/>
        <v>E</v>
      </c>
      <c r="D255" s="1314" t="s">
        <v>1357</v>
      </c>
      <c r="E255" s="791" t="s">
        <v>1358</v>
      </c>
      <c r="F255" s="1314"/>
      <c r="G255" s="1314"/>
      <c r="H255" s="1314"/>
      <c r="I255" s="1274" t="str">
        <f t="shared" si="29"/>
        <v/>
      </c>
      <c r="J255" s="1314"/>
      <c r="K255" s="1314" t="str">
        <f t="shared" si="30"/>
        <v/>
      </c>
      <c r="L255" s="824" t="s">
        <v>1178</v>
      </c>
      <c r="M255" s="1314">
        <v>202</v>
      </c>
      <c r="N255" s="1314"/>
      <c r="O255" s="1311"/>
      <c r="P255" s="1314" t="str">
        <f>IFERROR(VLOOKUP(Q$255,'Existing Customers'!$A:$F,1,FALSE),"")</f>
        <v/>
      </c>
      <c r="Q255" s="1314"/>
      <c r="R255" s="1311"/>
      <c r="S255" s="1311"/>
      <c r="T255" s="1311"/>
      <c r="U255" s="1311"/>
      <c r="V255" s="1311"/>
      <c r="W255" s="1311"/>
      <c r="X255" s="1311"/>
      <c r="Y255" s="1311"/>
      <c r="Z255" s="1311"/>
    </row>
    <row r="256" spans="1:26" x14ac:dyDescent="0.25">
      <c r="A256" s="843" t="s">
        <v>766</v>
      </c>
      <c r="B256" s="791" t="str">
        <f t="shared" ref="B256:B265" ca="1" si="37">_xlfn.IFNA(_xlfn.CONCAT(SUBSTITUTE(ADDRESS(1,MATCH(A256,INDIRECT("'"&amp;E256&amp;"'"&amp;"!A22:Z22"),0),4),1,""),31),"")</f>
        <v>F31</v>
      </c>
      <c r="C256" s="791" t="str">
        <f t="shared" ca="1" si="34"/>
        <v>F</v>
      </c>
      <c r="D256" s="1314" t="s">
        <v>1357</v>
      </c>
      <c r="E256" s="791" t="s">
        <v>1358</v>
      </c>
      <c r="F256" s="1314"/>
      <c r="G256" s="1314"/>
      <c r="H256" s="1314"/>
      <c r="I256" s="1274" t="str">
        <f t="shared" si="29"/>
        <v>Name</v>
      </c>
      <c r="J256" s="1314" t="str">
        <f>IF(P255="",Q$1&amp;M256,"")</f>
        <v>F204</v>
      </c>
      <c r="K256" s="1314" t="str">
        <f t="shared" si="30"/>
        <v>Required Info to Submit</v>
      </c>
      <c r="L256" s="824" t="s">
        <v>766</v>
      </c>
      <c r="M256" s="1314">
        <v>204</v>
      </c>
      <c r="N256" s="1314"/>
      <c r="O256" s="1311"/>
      <c r="P256" s="1311"/>
      <c r="Q256" s="1311"/>
      <c r="R256" s="1311"/>
      <c r="S256" s="1311"/>
      <c r="T256" s="1311"/>
      <c r="U256" s="1311"/>
      <c r="V256" s="1311"/>
      <c r="W256" s="1311"/>
      <c r="X256" s="1311"/>
      <c r="Y256" s="1311"/>
      <c r="Z256" s="1311"/>
    </row>
    <row r="257" spans="1:26" x14ac:dyDescent="0.25">
      <c r="A257" s="843" t="s">
        <v>765</v>
      </c>
      <c r="B257" s="791" t="str">
        <f t="shared" ca="1" si="37"/>
        <v>K31</v>
      </c>
      <c r="C257" s="791" t="str">
        <f t="shared" ca="1" si="34"/>
        <v>K</v>
      </c>
      <c r="D257" s="1314" t="s">
        <v>1357</v>
      </c>
      <c r="E257" s="791" t="s">
        <v>1358</v>
      </c>
      <c r="F257" s="1314"/>
      <c r="G257" s="1314"/>
      <c r="H257" s="1314"/>
      <c r="I257" s="1274" t="str">
        <f t="shared" si="29"/>
        <v/>
      </c>
      <c r="J257" s="1314"/>
      <c r="K257" s="1314" t="str">
        <f t="shared" si="30"/>
        <v/>
      </c>
      <c r="L257" s="824" t="s">
        <v>765</v>
      </c>
      <c r="M257" s="1314">
        <v>214</v>
      </c>
      <c r="N257" s="1314"/>
      <c r="O257" s="1311"/>
      <c r="P257" s="1311"/>
      <c r="Q257" s="1311"/>
      <c r="R257" s="1311"/>
      <c r="S257" s="1311"/>
      <c r="T257" s="1311"/>
      <c r="U257" s="1311"/>
      <c r="V257" s="1311"/>
      <c r="W257" s="1311"/>
      <c r="X257" s="1311"/>
      <c r="Y257" s="1311"/>
      <c r="Z257" s="1311"/>
    </row>
    <row r="258" spans="1:26" x14ac:dyDescent="0.25">
      <c r="A258" s="843" t="s">
        <v>1179</v>
      </c>
      <c r="B258" s="791" t="str">
        <f t="shared" ca="1" si="37"/>
        <v>L31</v>
      </c>
      <c r="C258" s="791" t="str">
        <f t="shared" ca="1" si="34"/>
        <v>L</v>
      </c>
      <c r="D258" s="1314" t="s">
        <v>1357</v>
      </c>
      <c r="E258" s="791" t="s">
        <v>1358</v>
      </c>
      <c r="F258" s="1314"/>
      <c r="G258" s="1314"/>
      <c r="H258" s="1314"/>
      <c r="I258" s="1274" t="str">
        <f t="shared" si="29"/>
        <v/>
      </c>
      <c r="J258" s="1314"/>
      <c r="K258" s="1314" t="str">
        <f t="shared" si="30"/>
        <v/>
      </c>
      <c r="L258" s="824" t="s">
        <v>1179</v>
      </c>
      <c r="M258" s="1314">
        <v>215</v>
      </c>
      <c r="N258" s="1314"/>
      <c r="O258" s="1311"/>
      <c r="P258" s="1311"/>
      <c r="Q258" s="1311"/>
      <c r="R258" s="1311"/>
      <c r="S258" s="1311"/>
      <c r="T258" s="1311"/>
      <c r="U258" s="1311"/>
      <c r="V258" s="1311"/>
      <c r="W258" s="1311"/>
      <c r="X258" s="1311"/>
      <c r="Y258" s="1311"/>
      <c r="Z258" s="1311"/>
    </row>
    <row r="259" spans="1:26" x14ac:dyDescent="0.25">
      <c r="A259" s="843" t="s">
        <v>1180</v>
      </c>
      <c r="B259" s="791" t="str">
        <f t="shared" ca="1" si="37"/>
        <v>M31</v>
      </c>
      <c r="C259" s="791" t="str">
        <f t="shared" ca="1" si="34"/>
        <v>M</v>
      </c>
      <c r="D259" s="1314" t="s">
        <v>1357</v>
      </c>
      <c r="E259" s="791" t="s">
        <v>1358</v>
      </c>
      <c r="F259" s="1314"/>
      <c r="G259" s="1314"/>
      <c r="H259" s="1314"/>
      <c r="I259" s="1274" t="str">
        <f t="shared" si="29"/>
        <v>Secondary or Internal Customer</v>
      </c>
      <c r="J259" s="1314" t="str">
        <f>IF(M259&lt;&gt;"",Q$1&amp;M259,"")</f>
        <v>F216</v>
      </c>
      <c r="K259" s="1314" t="str">
        <f t="shared" si="30"/>
        <v>Required Info to Submit</v>
      </c>
      <c r="L259" s="824" t="s">
        <v>1180</v>
      </c>
      <c r="M259" s="1314">
        <v>216</v>
      </c>
      <c r="N259" s="1314"/>
      <c r="O259" s="1311"/>
      <c r="P259" s="1311"/>
      <c r="Q259" s="1311"/>
      <c r="R259" s="1311"/>
      <c r="S259" s="1311"/>
      <c r="T259" s="1311"/>
      <c r="U259" s="1311"/>
      <c r="V259" s="1311"/>
      <c r="W259" s="1311"/>
      <c r="X259" s="1311"/>
      <c r="Y259" s="1311"/>
      <c r="Z259" s="1311"/>
    </row>
    <row r="260" spans="1:26" x14ac:dyDescent="0.25">
      <c r="A260" s="843" t="s">
        <v>1181</v>
      </c>
      <c r="B260" s="791" t="str">
        <f t="shared" ca="1" si="37"/>
        <v>N31</v>
      </c>
      <c r="C260" s="791" t="str">
        <f t="shared" ca="1" si="34"/>
        <v>N</v>
      </c>
      <c r="D260" s="1314" t="s">
        <v>1357</v>
      </c>
      <c r="E260" s="791" t="s">
        <v>1358</v>
      </c>
      <c r="F260" s="1314"/>
      <c r="G260" s="1314"/>
      <c r="H260" s="1314"/>
      <c r="I260" s="1274" t="str">
        <f t="shared" ref="I260:I323" si="38">IF(J260&lt;&gt;"",A260,"")</f>
        <v>Fuel Surcharge Applied</v>
      </c>
      <c r="J260" s="1314" t="str">
        <f>IF(M260&lt;&gt;"",Q$1&amp;M260,"")</f>
        <v>F217</v>
      </c>
      <c r="K260" s="1314" t="str">
        <f t="shared" ref="K260:K323" si="39">IF(J260&lt;&gt;"",E260,"")</f>
        <v>Required Info to Submit</v>
      </c>
      <c r="L260" s="824" t="s">
        <v>1367</v>
      </c>
      <c r="M260" s="1314">
        <v>217</v>
      </c>
      <c r="N260" s="1314"/>
      <c r="O260" s="1311"/>
      <c r="P260" s="1311"/>
      <c r="Q260" s="1311"/>
      <c r="R260" s="1311"/>
      <c r="S260" s="1311"/>
      <c r="T260" s="1311"/>
      <c r="U260" s="1311"/>
      <c r="V260" s="1311"/>
      <c r="W260" s="1311"/>
      <c r="X260" s="1311"/>
      <c r="Y260" s="1311"/>
      <c r="Z260" s="1311"/>
    </row>
    <row r="261" spans="1:26" x14ac:dyDescent="0.25">
      <c r="A261" s="843" t="s">
        <v>1297</v>
      </c>
      <c r="B261" s="791" t="str">
        <f t="shared" ca="1" si="37"/>
        <v>O31</v>
      </c>
      <c r="C261" s="791" t="str">
        <f t="shared" ca="1" si="34"/>
        <v>O</v>
      </c>
      <c r="D261" s="1314" t="s">
        <v>1357</v>
      </c>
      <c r="E261" s="791" t="s">
        <v>1358</v>
      </c>
      <c r="F261" s="1314"/>
      <c r="G261" s="1314"/>
      <c r="H261" s="1314"/>
      <c r="I261" s="1274" t="str">
        <f t="shared" si="38"/>
        <v>Minimum Delivery Charge Applied Flag</v>
      </c>
      <c r="J261" s="1314" t="str">
        <f>IF(M261&lt;&gt;"",Q$1&amp;M261,"")</f>
        <v>F218</v>
      </c>
      <c r="K261" s="1314" t="str">
        <f t="shared" si="39"/>
        <v>Required Info to Submit</v>
      </c>
      <c r="L261" s="824" t="s">
        <v>1297</v>
      </c>
      <c r="M261" s="1314">
        <v>218</v>
      </c>
      <c r="N261" s="1314"/>
      <c r="O261" s="1311"/>
      <c r="P261" s="1311"/>
      <c r="Q261" s="1311"/>
      <c r="R261" s="1311"/>
      <c r="S261" s="1311"/>
      <c r="T261" s="1311"/>
      <c r="U261" s="1311"/>
      <c r="V261" s="1311"/>
      <c r="W261" s="1311"/>
      <c r="X261" s="1311"/>
      <c r="Y261" s="1311"/>
      <c r="Z261" s="1311"/>
    </row>
    <row r="262" spans="1:26" x14ac:dyDescent="0.25">
      <c r="A262" s="843" t="s">
        <v>767</v>
      </c>
      <c r="B262" s="791" t="str">
        <f t="shared" ca="1" si="37"/>
        <v>G31</v>
      </c>
      <c r="C262" s="791" t="str">
        <f t="shared" ca="1" si="34"/>
        <v>G</v>
      </c>
      <c r="D262" s="1314" t="s">
        <v>1357</v>
      </c>
      <c r="E262" s="791" t="s">
        <v>1358</v>
      </c>
      <c r="F262" s="1314"/>
      <c r="G262" s="1314"/>
      <c r="H262" s="1314"/>
      <c r="I262" s="1274" t="str">
        <f t="shared" si="38"/>
        <v>Address</v>
      </c>
      <c r="J262" s="1314" t="str">
        <f>IF(P255="",Q$1&amp;M262,"")</f>
        <v>F219</v>
      </c>
      <c r="K262" s="1314" t="str">
        <f t="shared" si="39"/>
        <v>Required Info to Submit</v>
      </c>
      <c r="L262" s="824" t="s">
        <v>767</v>
      </c>
      <c r="M262" s="1314">
        <v>219</v>
      </c>
      <c r="N262" s="1314"/>
      <c r="O262" s="1311"/>
      <c r="P262" s="1311"/>
      <c r="Q262" s="1311"/>
      <c r="R262" s="1311"/>
      <c r="S262" s="1311"/>
      <c r="T262" s="1311"/>
      <c r="U262" s="1311"/>
      <c r="V262" s="1311"/>
      <c r="W262" s="1311"/>
      <c r="X262" s="1311"/>
      <c r="Y262" s="1311"/>
      <c r="Z262" s="1311"/>
    </row>
    <row r="263" spans="1:26" x14ac:dyDescent="0.25">
      <c r="A263" s="843" t="s">
        <v>768</v>
      </c>
      <c r="B263" s="791" t="str">
        <f t="shared" ca="1" si="37"/>
        <v>H31</v>
      </c>
      <c r="C263" s="791" t="str">
        <f t="shared" ca="1" si="34"/>
        <v>H</v>
      </c>
      <c r="D263" s="1314" t="s">
        <v>1357</v>
      </c>
      <c r="E263" s="791" t="s">
        <v>1358</v>
      </c>
      <c r="F263" s="1314"/>
      <c r="G263" s="1314"/>
      <c r="H263" s="1314"/>
      <c r="I263" s="1274" t="str">
        <f t="shared" si="38"/>
        <v>City</v>
      </c>
      <c r="J263" s="1314" t="str">
        <f>IF(P255="",Q$1&amp;M263,"")</f>
        <v>F220</v>
      </c>
      <c r="K263" s="1314" t="str">
        <f t="shared" si="39"/>
        <v>Required Info to Submit</v>
      </c>
      <c r="L263" s="824" t="s">
        <v>768</v>
      </c>
      <c r="M263" s="1314">
        <v>220</v>
      </c>
      <c r="N263" s="1314"/>
      <c r="O263" s="1311"/>
      <c r="P263" s="1311"/>
      <c r="Q263" s="1311"/>
      <c r="R263" s="1311"/>
      <c r="S263" s="1311"/>
      <c r="T263" s="1311"/>
      <c r="U263" s="1311"/>
      <c r="V263" s="1311"/>
      <c r="W263" s="1311"/>
      <c r="X263" s="1311"/>
      <c r="Y263" s="1311"/>
      <c r="Z263" s="1311"/>
    </row>
    <row r="264" spans="1:26" x14ac:dyDescent="0.25">
      <c r="A264" s="843" t="s">
        <v>769</v>
      </c>
      <c r="B264" s="791" t="str">
        <f t="shared" ca="1" si="37"/>
        <v>I31</v>
      </c>
      <c r="C264" s="791" t="str">
        <f t="shared" ca="1" si="34"/>
        <v>I</v>
      </c>
      <c r="D264" s="1314" t="s">
        <v>1357</v>
      </c>
      <c r="E264" s="791" t="s">
        <v>1358</v>
      </c>
      <c r="F264" s="1314"/>
      <c r="G264" s="1314"/>
      <c r="H264" s="1314"/>
      <c r="I264" s="1274" t="str">
        <f t="shared" si="38"/>
        <v>State</v>
      </c>
      <c r="J264" s="1314" t="str">
        <f>IF(P255="",Q$1&amp;M264,"")</f>
        <v>F221</v>
      </c>
      <c r="K264" s="1314" t="str">
        <f t="shared" si="39"/>
        <v>Required Info to Submit</v>
      </c>
      <c r="L264" s="824" t="s">
        <v>769</v>
      </c>
      <c r="M264" s="1314">
        <v>221</v>
      </c>
      <c r="N264" s="1314"/>
      <c r="O264" s="1311"/>
      <c r="P264" s="1311"/>
      <c r="Q264" s="1311"/>
      <c r="R264" s="1311"/>
      <c r="S264" s="1311"/>
      <c r="T264" s="1311"/>
      <c r="U264" s="1311"/>
      <c r="V264" s="1311"/>
      <c r="W264" s="1311"/>
      <c r="X264" s="1311"/>
      <c r="Y264" s="1311"/>
      <c r="Z264" s="1311"/>
    </row>
    <row r="265" spans="1:26" x14ac:dyDescent="0.25">
      <c r="A265" s="843" t="s">
        <v>204</v>
      </c>
      <c r="B265" s="791" t="str">
        <f t="shared" ca="1" si="37"/>
        <v>J31</v>
      </c>
      <c r="C265" s="791" t="str">
        <f t="shared" ca="1" si="34"/>
        <v>J</v>
      </c>
      <c r="D265" s="1314" t="s">
        <v>1357</v>
      </c>
      <c r="E265" s="791" t="s">
        <v>1358</v>
      </c>
      <c r="F265" s="1314"/>
      <c r="G265" s="1314"/>
      <c r="H265" s="1314"/>
      <c r="I265" s="1274" t="str">
        <f t="shared" si="38"/>
        <v>Zip Code</v>
      </c>
      <c r="J265" s="1314" t="str">
        <f>IF(P255="",Q$1&amp;M265,"")</f>
        <v>F222</v>
      </c>
      <c r="K265" s="1314" t="str">
        <f t="shared" si="39"/>
        <v>Required Info to Submit</v>
      </c>
      <c r="L265" s="824" t="s">
        <v>204</v>
      </c>
      <c r="M265" s="1314">
        <v>222</v>
      </c>
      <c r="N265" s="1314"/>
      <c r="O265" s="1311"/>
      <c r="P265" s="1311"/>
      <c r="Q265" s="1311"/>
      <c r="R265" s="1311"/>
      <c r="S265" s="1311"/>
      <c r="T265" s="1311"/>
      <c r="U265" s="1311"/>
      <c r="V265" s="1311"/>
      <c r="W265" s="1311"/>
      <c r="X265" s="1311"/>
      <c r="Y265" s="1311"/>
      <c r="Z265" s="1311"/>
    </row>
    <row r="266" spans="1:26" x14ac:dyDescent="0.25">
      <c r="A266" s="844" t="s">
        <v>1178</v>
      </c>
      <c r="B266" s="791" t="str">
        <f ca="1">_xlfn.IFNA(_xlfn.CONCAT(SUBSTITUTE(ADDRESS(1,MATCH(A266,INDIRECT("'"&amp;E266&amp;"'"&amp;"!A22:Z22"),0),4),1,""),32),"")</f>
        <v>E32</v>
      </c>
      <c r="C266" s="791" t="str">
        <f t="shared" ca="1" si="34"/>
        <v>E</v>
      </c>
      <c r="D266" s="1314" t="s">
        <v>1357</v>
      </c>
      <c r="E266" s="791" t="s">
        <v>1358</v>
      </c>
      <c r="F266" s="1314"/>
      <c r="G266" s="1314"/>
      <c r="H266" s="1314"/>
      <c r="I266" s="1274" t="str">
        <f t="shared" si="38"/>
        <v/>
      </c>
      <c r="J266" s="1314"/>
      <c r="K266" s="1314" t="str">
        <f t="shared" si="39"/>
        <v/>
      </c>
      <c r="L266" s="824" t="s">
        <v>1178</v>
      </c>
      <c r="M266" s="1314">
        <v>223</v>
      </c>
      <c r="N266" s="1314"/>
      <c r="O266" s="1311"/>
      <c r="P266" s="1314" t="str">
        <f>IFERROR(VLOOKUP(Q$266,'Existing Customers'!$A:$F,1,FALSE),"")</f>
        <v/>
      </c>
      <c r="Q266" s="1314"/>
      <c r="R266" s="1311"/>
      <c r="S266" s="1311"/>
      <c r="T266" s="1311"/>
      <c r="U266" s="1311"/>
      <c r="V266" s="1311"/>
      <c r="W266" s="1311"/>
      <c r="X266" s="1311"/>
      <c r="Y266" s="1311"/>
      <c r="Z266" s="1311"/>
    </row>
    <row r="267" spans="1:26" x14ac:dyDescent="0.25">
      <c r="A267" s="845" t="s">
        <v>766</v>
      </c>
      <c r="B267" s="791" t="str">
        <f t="shared" ref="B267:B276" ca="1" si="40">_xlfn.IFNA(_xlfn.CONCAT(SUBSTITUTE(ADDRESS(1,MATCH(A267,INDIRECT("'"&amp;E267&amp;"'"&amp;"!A22:Z22"),0),4),1,""),32),"")</f>
        <v>F32</v>
      </c>
      <c r="C267" s="791" t="str">
        <f t="shared" ca="1" si="34"/>
        <v>F</v>
      </c>
      <c r="D267" s="1314" t="s">
        <v>1357</v>
      </c>
      <c r="E267" s="791" t="s">
        <v>1358</v>
      </c>
      <c r="F267" s="1314"/>
      <c r="G267" s="1314"/>
      <c r="H267" s="1314"/>
      <c r="I267" s="1274" t="str">
        <f t="shared" si="38"/>
        <v>Name</v>
      </c>
      <c r="J267" s="1314" t="str">
        <f>IF(P266="",Q$1&amp;M267,"")</f>
        <v>F225</v>
      </c>
      <c r="K267" s="1314" t="str">
        <f t="shared" si="39"/>
        <v>Required Info to Submit</v>
      </c>
      <c r="L267" s="824" t="s">
        <v>766</v>
      </c>
      <c r="M267" s="1314">
        <v>225</v>
      </c>
      <c r="N267" s="1314"/>
      <c r="O267" s="1311"/>
      <c r="P267" s="1311"/>
      <c r="Q267" s="1311"/>
      <c r="R267" s="1311"/>
      <c r="S267" s="1311"/>
      <c r="T267" s="1311"/>
      <c r="U267" s="1311"/>
      <c r="V267" s="1311"/>
      <c r="W267" s="1311"/>
      <c r="X267" s="1311"/>
      <c r="Y267" s="1311"/>
      <c r="Z267" s="1311"/>
    </row>
    <row r="268" spans="1:26" x14ac:dyDescent="0.25">
      <c r="A268" s="845" t="s">
        <v>765</v>
      </c>
      <c r="B268" s="791" t="str">
        <f t="shared" ca="1" si="40"/>
        <v>K32</v>
      </c>
      <c r="C268" s="791" t="str">
        <f t="shared" ca="1" si="34"/>
        <v>K</v>
      </c>
      <c r="D268" s="1314" t="s">
        <v>1357</v>
      </c>
      <c r="E268" s="791" t="s">
        <v>1358</v>
      </c>
      <c r="F268" s="1314"/>
      <c r="G268" s="1314"/>
      <c r="H268" s="1314"/>
      <c r="I268" s="1274" t="str">
        <f t="shared" si="38"/>
        <v/>
      </c>
      <c r="J268" s="1314"/>
      <c r="K268" s="1314" t="str">
        <f t="shared" si="39"/>
        <v/>
      </c>
      <c r="L268" s="824" t="s">
        <v>765</v>
      </c>
      <c r="M268" s="1314">
        <v>235</v>
      </c>
      <c r="N268" s="1314"/>
      <c r="O268" s="1311"/>
      <c r="P268" s="1311"/>
      <c r="Q268" s="1311"/>
      <c r="R268" s="1311"/>
      <c r="S268" s="1311"/>
      <c r="T268" s="1311"/>
      <c r="U268" s="1311"/>
      <c r="V268" s="1311"/>
      <c r="W268" s="1311"/>
      <c r="X268" s="1311"/>
      <c r="Y268" s="1311"/>
      <c r="Z268" s="1311"/>
    </row>
    <row r="269" spans="1:26" x14ac:dyDescent="0.25">
      <c r="A269" s="845" t="s">
        <v>1179</v>
      </c>
      <c r="B269" s="791" t="str">
        <f t="shared" ca="1" si="40"/>
        <v>L32</v>
      </c>
      <c r="C269" s="791" t="str">
        <f t="shared" ca="1" si="34"/>
        <v>L</v>
      </c>
      <c r="D269" s="1314" t="s">
        <v>1357</v>
      </c>
      <c r="E269" s="791" t="s">
        <v>1358</v>
      </c>
      <c r="F269" s="1314"/>
      <c r="G269" s="1314"/>
      <c r="H269" s="1314"/>
      <c r="I269" s="1274" t="str">
        <f t="shared" si="38"/>
        <v/>
      </c>
      <c r="J269" s="1314"/>
      <c r="K269" s="1314" t="str">
        <f t="shared" si="39"/>
        <v/>
      </c>
      <c r="L269" s="824" t="s">
        <v>1179</v>
      </c>
      <c r="M269" s="1314">
        <v>236</v>
      </c>
      <c r="N269" s="1314"/>
      <c r="O269" s="1311"/>
      <c r="P269" s="1311"/>
      <c r="Q269" s="1311"/>
      <c r="R269" s="1311"/>
      <c r="S269" s="1311"/>
      <c r="T269" s="1311"/>
      <c r="U269" s="1311"/>
      <c r="V269" s="1311"/>
      <c r="W269" s="1311"/>
      <c r="X269" s="1311"/>
      <c r="Y269" s="1311"/>
      <c r="Z269" s="1311"/>
    </row>
    <row r="270" spans="1:26" x14ac:dyDescent="0.25">
      <c r="A270" s="845" t="s">
        <v>1180</v>
      </c>
      <c r="B270" s="791" t="str">
        <f t="shared" ca="1" si="40"/>
        <v>M32</v>
      </c>
      <c r="C270" s="791" t="str">
        <f t="shared" ca="1" si="34"/>
        <v>M</v>
      </c>
      <c r="D270" s="1314" t="s">
        <v>1357</v>
      </c>
      <c r="E270" s="791" t="s">
        <v>1358</v>
      </c>
      <c r="F270" s="1314"/>
      <c r="G270" s="1314"/>
      <c r="H270" s="1314"/>
      <c r="I270" s="1274" t="str">
        <f t="shared" si="38"/>
        <v>Secondary or Internal Customer</v>
      </c>
      <c r="J270" s="1314" t="str">
        <f>IF(M270&lt;&gt;"",Q$1&amp;M270,"")</f>
        <v>F237</v>
      </c>
      <c r="K270" s="1314" t="str">
        <f t="shared" si="39"/>
        <v>Required Info to Submit</v>
      </c>
      <c r="L270" s="824" t="s">
        <v>1180</v>
      </c>
      <c r="M270" s="1314">
        <v>237</v>
      </c>
      <c r="N270" s="1314"/>
      <c r="O270" s="1311"/>
      <c r="P270" s="1311"/>
      <c r="Q270" s="1311"/>
      <c r="R270" s="1311"/>
      <c r="S270" s="1311"/>
      <c r="T270" s="1311"/>
      <c r="U270" s="1311"/>
      <c r="V270" s="1311"/>
      <c r="W270" s="1311"/>
      <c r="X270" s="1311"/>
      <c r="Y270" s="1311"/>
      <c r="Z270" s="1311"/>
    </row>
    <row r="271" spans="1:26" x14ac:dyDescent="0.25">
      <c r="A271" s="845" t="s">
        <v>1181</v>
      </c>
      <c r="B271" s="791" t="str">
        <f t="shared" ca="1" si="40"/>
        <v>N32</v>
      </c>
      <c r="C271" s="791" t="str">
        <f t="shared" ca="1" si="34"/>
        <v>N</v>
      </c>
      <c r="D271" s="1314" t="s">
        <v>1357</v>
      </c>
      <c r="E271" s="791" t="s">
        <v>1358</v>
      </c>
      <c r="F271" s="1314"/>
      <c r="G271" s="1314"/>
      <c r="H271" s="1314"/>
      <c r="I271" s="1274" t="str">
        <f t="shared" si="38"/>
        <v>Fuel Surcharge Applied</v>
      </c>
      <c r="J271" s="1314" t="str">
        <f>IF(M271&lt;&gt;"",Q$1&amp;M271,"")</f>
        <v>F238</v>
      </c>
      <c r="K271" s="1314" t="str">
        <f t="shared" si="39"/>
        <v>Required Info to Submit</v>
      </c>
      <c r="L271" s="824" t="s">
        <v>1367</v>
      </c>
      <c r="M271" s="1314">
        <v>238</v>
      </c>
      <c r="N271" s="1314"/>
      <c r="O271" s="1311"/>
      <c r="P271" s="1311"/>
      <c r="Q271" s="1311"/>
      <c r="R271" s="1311"/>
      <c r="S271" s="1311"/>
      <c r="T271" s="1311"/>
      <c r="U271" s="1311"/>
      <c r="V271" s="1311"/>
      <c r="W271" s="1311"/>
      <c r="X271" s="1311"/>
      <c r="Y271" s="1311"/>
      <c r="Z271" s="1311"/>
    </row>
    <row r="272" spans="1:26" x14ac:dyDescent="0.25">
      <c r="A272" s="845" t="s">
        <v>1297</v>
      </c>
      <c r="B272" s="791" t="str">
        <f t="shared" ca="1" si="40"/>
        <v>O32</v>
      </c>
      <c r="C272" s="791" t="str">
        <f t="shared" ca="1" si="34"/>
        <v>O</v>
      </c>
      <c r="D272" s="1314" t="s">
        <v>1357</v>
      </c>
      <c r="E272" s="791" t="s">
        <v>1358</v>
      </c>
      <c r="F272" s="1314"/>
      <c r="G272" s="1314"/>
      <c r="H272" s="1314"/>
      <c r="I272" s="1274" t="str">
        <f t="shared" si="38"/>
        <v>Minimum Delivery Charge Applied Flag</v>
      </c>
      <c r="J272" s="1314" t="str">
        <f>IF(M272&lt;&gt;"",Q$1&amp;M272,"")</f>
        <v>F239</v>
      </c>
      <c r="K272" s="1314" t="str">
        <f t="shared" si="39"/>
        <v>Required Info to Submit</v>
      </c>
      <c r="L272" s="824" t="s">
        <v>1297</v>
      </c>
      <c r="M272" s="1314">
        <v>239</v>
      </c>
      <c r="N272" s="1314"/>
      <c r="O272" s="1311"/>
      <c r="P272" s="1311"/>
      <c r="Q272" s="1311"/>
      <c r="R272" s="1311"/>
      <c r="S272" s="1311"/>
      <c r="T272" s="1311"/>
      <c r="U272" s="1311"/>
      <c r="V272" s="1311"/>
      <c r="W272" s="1311"/>
      <c r="X272" s="1311"/>
      <c r="Y272" s="1311"/>
      <c r="Z272" s="1311"/>
    </row>
    <row r="273" spans="1:26" x14ac:dyDescent="0.25">
      <c r="A273" s="845" t="s">
        <v>767</v>
      </c>
      <c r="B273" s="791" t="str">
        <f t="shared" ca="1" si="40"/>
        <v>G32</v>
      </c>
      <c r="C273" s="791" t="str">
        <f t="shared" ca="1" si="34"/>
        <v>G</v>
      </c>
      <c r="D273" s="1314" t="s">
        <v>1357</v>
      </c>
      <c r="E273" s="791" t="s">
        <v>1358</v>
      </c>
      <c r="F273" s="1314"/>
      <c r="G273" s="1314"/>
      <c r="H273" s="1314"/>
      <c r="I273" s="1274" t="str">
        <f t="shared" si="38"/>
        <v>Address</v>
      </c>
      <c r="J273" s="1314" t="str">
        <f>IF(P266="",Q$1&amp;M273,"")</f>
        <v>F240</v>
      </c>
      <c r="K273" s="1314" t="str">
        <f t="shared" si="39"/>
        <v>Required Info to Submit</v>
      </c>
      <c r="L273" s="824" t="s">
        <v>767</v>
      </c>
      <c r="M273" s="1314">
        <v>240</v>
      </c>
      <c r="N273" s="1314"/>
      <c r="O273" s="1311"/>
      <c r="P273" s="1311"/>
      <c r="Q273" s="1311"/>
      <c r="R273" s="1311"/>
      <c r="S273" s="1311"/>
      <c r="T273" s="1311"/>
      <c r="U273" s="1311"/>
      <c r="V273" s="1311"/>
      <c r="W273" s="1311"/>
      <c r="X273" s="1311"/>
      <c r="Y273" s="1311"/>
      <c r="Z273" s="1311"/>
    </row>
    <row r="274" spans="1:26" x14ac:dyDescent="0.25">
      <c r="A274" s="845" t="s">
        <v>768</v>
      </c>
      <c r="B274" s="791" t="str">
        <f t="shared" ca="1" si="40"/>
        <v>H32</v>
      </c>
      <c r="C274" s="791" t="str">
        <f t="shared" ca="1" si="34"/>
        <v>H</v>
      </c>
      <c r="D274" s="1314" t="s">
        <v>1357</v>
      </c>
      <c r="E274" s="791" t="s">
        <v>1358</v>
      </c>
      <c r="F274" s="1314"/>
      <c r="G274" s="1314"/>
      <c r="H274" s="1314"/>
      <c r="I274" s="1274" t="str">
        <f t="shared" si="38"/>
        <v>City</v>
      </c>
      <c r="J274" s="1314" t="str">
        <f>IF(P266="",Q$1&amp;M274,"")</f>
        <v>F241</v>
      </c>
      <c r="K274" s="1314" t="str">
        <f t="shared" si="39"/>
        <v>Required Info to Submit</v>
      </c>
      <c r="L274" s="824" t="s">
        <v>768</v>
      </c>
      <c r="M274" s="1314">
        <v>241</v>
      </c>
      <c r="N274" s="1314"/>
      <c r="O274" s="1311"/>
      <c r="P274" s="1311"/>
      <c r="Q274" s="1311"/>
      <c r="R274" s="1311"/>
      <c r="S274" s="1311"/>
      <c r="T274" s="1311"/>
      <c r="U274" s="1311"/>
      <c r="V274" s="1311"/>
      <c r="W274" s="1311"/>
      <c r="X274" s="1311"/>
      <c r="Y274" s="1311"/>
      <c r="Z274" s="1311"/>
    </row>
    <row r="275" spans="1:26" x14ac:dyDescent="0.25">
      <c r="A275" s="845" t="s">
        <v>769</v>
      </c>
      <c r="B275" s="791" t="str">
        <f t="shared" ca="1" si="40"/>
        <v>I32</v>
      </c>
      <c r="C275" s="791" t="str">
        <f t="shared" ca="1" si="34"/>
        <v>I</v>
      </c>
      <c r="D275" s="1314" t="s">
        <v>1357</v>
      </c>
      <c r="E275" s="791" t="s">
        <v>1358</v>
      </c>
      <c r="F275" s="1314"/>
      <c r="G275" s="1314"/>
      <c r="H275" s="1314"/>
      <c r="I275" s="1274" t="str">
        <f t="shared" si="38"/>
        <v>State</v>
      </c>
      <c r="J275" s="1314" t="str">
        <f>IF(P266="",Q$1&amp;M275,"")</f>
        <v>F242</v>
      </c>
      <c r="K275" s="1314" t="str">
        <f t="shared" si="39"/>
        <v>Required Info to Submit</v>
      </c>
      <c r="L275" s="824" t="s">
        <v>769</v>
      </c>
      <c r="M275" s="1314">
        <v>242</v>
      </c>
      <c r="N275" s="1314"/>
      <c r="O275" s="1311"/>
      <c r="P275" s="1311"/>
      <c r="Q275" s="1311"/>
      <c r="R275" s="1311"/>
      <c r="S275" s="1311"/>
      <c r="T275" s="1311"/>
      <c r="U275" s="1311"/>
      <c r="V275" s="1311"/>
      <c r="W275" s="1311"/>
      <c r="X275" s="1311"/>
      <c r="Y275" s="1311"/>
      <c r="Z275" s="1311"/>
    </row>
    <row r="276" spans="1:26" x14ac:dyDescent="0.25">
      <c r="A276" s="845" t="s">
        <v>204</v>
      </c>
      <c r="B276" s="791" t="str">
        <f t="shared" ca="1" si="40"/>
        <v>J32</v>
      </c>
      <c r="C276" s="791" t="str">
        <f t="shared" ca="1" si="34"/>
        <v>J</v>
      </c>
      <c r="D276" s="1314" t="s">
        <v>1357</v>
      </c>
      <c r="E276" s="791" t="s">
        <v>1358</v>
      </c>
      <c r="F276" s="1314"/>
      <c r="G276" s="1314"/>
      <c r="H276" s="1314"/>
      <c r="I276" s="1274" t="str">
        <f t="shared" si="38"/>
        <v>Zip Code</v>
      </c>
      <c r="J276" s="1314" t="str">
        <f>IF(P266="",Q$1&amp;M276,"")</f>
        <v>F243</v>
      </c>
      <c r="K276" s="1314" t="str">
        <f t="shared" si="39"/>
        <v>Required Info to Submit</v>
      </c>
      <c r="L276" s="824" t="s">
        <v>204</v>
      </c>
      <c r="M276" s="1314">
        <v>243</v>
      </c>
      <c r="N276" s="1314"/>
      <c r="O276" s="1311"/>
      <c r="P276" s="1311"/>
      <c r="Q276" s="1311"/>
      <c r="R276" s="1311"/>
      <c r="S276" s="1311"/>
      <c r="T276" s="1311"/>
      <c r="U276" s="1311"/>
      <c r="V276" s="1311"/>
      <c r="W276" s="1311"/>
      <c r="X276" s="1311"/>
      <c r="Y276" s="1311"/>
      <c r="Z276" s="1311"/>
    </row>
    <row r="277" spans="1:26" x14ac:dyDescent="0.25">
      <c r="A277" s="841" t="s">
        <v>996</v>
      </c>
      <c r="B277" s="52" t="str">
        <f>IFERROR(_xlfn.CONCAT("D",MATCH(A277,'Tracking &amp; Profitability'!D$1:D$62,0)),"")</f>
        <v>D16</v>
      </c>
      <c r="C277" s="52" t="str">
        <f>IFERROR(_xlfn.CONCAT("E",MATCH(A277,'Tracking &amp; Profitability'!D$1:D$62,0)),"")</f>
        <v>E16</v>
      </c>
      <c r="D277" s="791" t="s">
        <v>1350</v>
      </c>
      <c r="E277" s="52" t="s">
        <v>129</v>
      </c>
      <c r="F277" s="52"/>
      <c r="G277" s="1314"/>
      <c r="H277" s="1314"/>
      <c r="I277" s="1274" t="str">
        <f t="shared" si="38"/>
        <v xml:space="preserve">Increase Investment Spend: </v>
      </c>
      <c r="J277" s="1314" t="str">
        <f t="shared" ref="J277:J325" si="41">IF(M277&lt;&gt;"",Q$1&amp;M277,"")</f>
        <v>F521</v>
      </c>
      <c r="K277" s="1314" t="str">
        <f t="shared" si="39"/>
        <v>Tracking &amp; Profitability</v>
      </c>
      <c r="L277" s="841" t="s">
        <v>1463</v>
      </c>
      <c r="M277" s="1314">
        <v>521</v>
      </c>
      <c r="N277" s="1314"/>
      <c r="O277" s="1311"/>
      <c r="P277" s="1311"/>
      <c r="Q277" s="1311"/>
      <c r="R277" s="1311"/>
      <c r="S277" s="1311"/>
      <c r="T277" s="1311"/>
      <c r="U277" s="1311"/>
      <c r="V277" s="1311"/>
      <c r="W277" s="1311"/>
      <c r="X277" s="1311"/>
      <c r="Y277" s="1311"/>
      <c r="Z277" s="1311"/>
    </row>
    <row r="278" spans="1:26" x14ac:dyDescent="0.25">
      <c r="A278" s="846" t="s">
        <v>1289</v>
      </c>
      <c r="B278" s="1274" t="str">
        <f ca="1">IF('Pricing Schedule'!$K$5="No",_xlfn.CONCAT(IFERROR(SUBSTITUTE(ADDRESS(1,MATCH(A278,INDIRECT("'"&amp;E278&amp;"'"&amp;"!$A$10:$Z$10"),0),4),1,""),""),16),_xlfn.CONCAT(IFERROR(SUBSTITUTE(ADDRESS(1,MATCH(A278,INDIRECT("'"&amp;E278&amp;"'"&amp;"!$A$10:$Z$10"),0),4),1,""),""),50))</f>
        <v>N16</v>
      </c>
      <c r="C278" s="1274" t="str">
        <f ca="1">IF('Pricing Schedule'!$K$5="No",IFERROR(SUBSTITUTE(ADDRESS(1,MATCH(A278,INDIRECT("'"&amp;E278&amp;"'"&amp;"!$A$10:$Z$10"),0),4),1,""),""),IFERROR(SUBSTITUTE(ADDRESS(1,MATCH(A278,INDIRECT("'"&amp;E278&amp;"'"&amp;"!$A$10:$Z$10"),0),4),1,""),""))</f>
        <v>N</v>
      </c>
      <c r="D278" s="791" t="s">
        <v>1357</v>
      </c>
      <c r="E278" s="791" t="s">
        <v>1279</v>
      </c>
      <c r="F278" s="1314"/>
      <c r="G278" s="1314"/>
      <c r="H278" s="1314"/>
      <c r="I278" s="1274" t="str">
        <f t="shared" si="38"/>
        <v/>
      </c>
      <c r="J278" s="1314"/>
      <c r="K278" s="1314" t="str">
        <f t="shared" si="39"/>
        <v/>
      </c>
      <c r="L278" s="827" t="s">
        <v>1289</v>
      </c>
      <c r="M278" s="1314">
        <v>247</v>
      </c>
      <c r="N278" s="1314"/>
      <c r="O278" s="1311"/>
      <c r="P278" s="1311"/>
      <c r="Q278" s="1311"/>
      <c r="R278" s="1311"/>
      <c r="S278" s="1311"/>
      <c r="T278" s="1311"/>
      <c r="U278" s="1311"/>
      <c r="V278" s="1311"/>
      <c r="W278" s="1311"/>
      <c r="X278" s="1311"/>
      <c r="Y278" s="1311"/>
      <c r="Z278" s="1311"/>
    </row>
    <row r="279" spans="1:26" x14ac:dyDescent="0.25">
      <c r="A279" s="847" t="s">
        <v>1280</v>
      </c>
      <c r="B279" s="1274" t="str">
        <f ca="1">IF('Pricing Schedule'!$K$5="No",_xlfn.CONCAT(IFERROR(SUBSTITUTE(ADDRESS(1,MATCH(A279,INDIRECT("'"&amp;E279&amp;"'"&amp;"!$A$10:$Z$10"),0),4),1,""),""),16),_xlfn.CONCAT(IFERROR(SUBSTITUTE(ADDRESS(1,MATCH(A279,INDIRECT("'"&amp;E279&amp;"'"&amp;"!$A$10:$Z$10"),0),4),1,""),""),50))</f>
        <v>C16</v>
      </c>
      <c r="C279" s="1274" t="str">
        <f ca="1">IF('Pricing Schedule'!$K$5="No",IFERROR(SUBSTITUTE(ADDRESS(1,MATCH(A279,INDIRECT("'"&amp;E279&amp;"'"&amp;"!$A$10:$Z$10"),0),4),1,""),""),IFERROR(SUBSTITUTE(ADDRESS(1,MATCH(A279,INDIRECT("'"&amp;E279&amp;"'"&amp;"!$A$10:$Z$10"),0),4),1,""),""))</f>
        <v>C</v>
      </c>
      <c r="D279" s="791" t="s">
        <v>1357</v>
      </c>
      <c r="E279" s="791" t="s">
        <v>1279</v>
      </c>
      <c r="F279" s="1314"/>
      <c r="G279" s="1314"/>
      <c r="H279" s="1314"/>
      <c r="I279" s="1274" t="str">
        <f t="shared" si="38"/>
        <v/>
      </c>
      <c r="J279" s="1314"/>
      <c r="K279" s="1314" t="str">
        <f t="shared" si="39"/>
        <v/>
      </c>
      <c r="L279" s="827" t="s">
        <v>252</v>
      </c>
      <c r="M279" s="1314">
        <v>248</v>
      </c>
      <c r="N279" s="1314"/>
      <c r="O279" s="1311"/>
      <c r="P279" s="1311"/>
      <c r="Q279" s="1311"/>
      <c r="R279" s="1311"/>
      <c r="S279" s="1311"/>
      <c r="T279" s="1311"/>
      <c r="U279" s="1311"/>
      <c r="V279" s="1311"/>
      <c r="W279" s="1311"/>
      <c r="X279" s="1311"/>
      <c r="Y279" s="1311"/>
      <c r="Z279" s="1311"/>
    </row>
    <row r="280" spans="1:26" x14ac:dyDescent="0.25">
      <c r="A280" s="847" t="s">
        <v>1246</v>
      </c>
      <c r="B280" s="1274" t="str">
        <f ca="1">IF('Pricing Schedule'!$K$5="No",_xlfn.CONCAT(IFERROR(SUBSTITUTE(ADDRESS(1,MATCH(A280,INDIRECT("'"&amp;E280&amp;"'"&amp;"!$A$10:$Z$10"),0),4),1,""),""),16),_xlfn.CONCAT(IFERROR(SUBSTITUTE(ADDRESS(1,MATCH(A280,INDIRECT("'"&amp;E280&amp;"'"&amp;"!$A$10:$Z$10"),0),4),1,""),""),50))</f>
        <v>H16</v>
      </c>
      <c r="C280" s="1274" t="str">
        <f ca="1">IF('Pricing Schedule'!$K$5="No",IFERROR(SUBSTITUTE(ADDRESS(1,MATCH(A280,INDIRECT("'"&amp;E280&amp;"'"&amp;"!$A$10:$Z$10"),0),4),1,""),""),IFERROR(SUBSTITUTE(ADDRESS(1,MATCH(A280,INDIRECT("'"&amp;E280&amp;"'"&amp;"!$A$10:$Z$10"),0),4),1,""),""))</f>
        <v>H</v>
      </c>
      <c r="D280" s="791" t="s">
        <v>1357</v>
      </c>
      <c r="E280" s="791" t="s">
        <v>1279</v>
      </c>
      <c r="F280" s="1314"/>
      <c r="G280" s="1314"/>
      <c r="H280" s="1314"/>
      <c r="I280" s="1274" t="str">
        <f t="shared" si="38"/>
        <v/>
      </c>
      <c r="J280" s="1314"/>
      <c r="K280" s="1314" t="str">
        <f t="shared" si="39"/>
        <v/>
      </c>
      <c r="L280" s="827" t="s">
        <v>1246</v>
      </c>
      <c r="M280" s="1314">
        <v>249</v>
      </c>
      <c r="N280" s="1314"/>
      <c r="O280" s="1311"/>
      <c r="P280" s="1311"/>
      <c r="Q280" s="1311"/>
      <c r="R280" s="1311"/>
      <c r="S280" s="1311"/>
      <c r="T280" s="1311"/>
      <c r="U280" s="1311"/>
      <c r="V280" s="1311"/>
      <c r="W280" s="1311"/>
      <c r="X280" s="1311"/>
      <c r="Y280" s="1311"/>
      <c r="Z280" s="1311"/>
    </row>
    <row r="281" spans="1:26" x14ac:dyDescent="0.25">
      <c r="A281" s="847" t="s">
        <v>1283</v>
      </c>
      <c r="B281" s="1274" t="str">
        <f ca="1">IF('Pricing Schedule'!$K$5="No",_xlfn.CONCAT(IFERROR(SUBSTITUTE(ADDRESS(1,MATCH(A281,INDIRECT("'"&amp;E281&amp;"'"&amp;"!$A$10:$Z$10"),0),4),1,""),""),16),_xlfn.CONCAT(IFERROR(SUBSTITUTE(ADDRESS(1,MATCH(A281,INDIRECT("'"&amp;E281&amp;"'"&amp;"!$A$10:$Z$10"),0),4),1,""),""),50))</f>
        <v>F16</v>
      </c>
      <c r="C281" s="1274" t="str">
        <f ca="1">IF('Pricing Schedule'!$K$5="No",IFERROR(SUBSTITUTE(ADDRESS(1,MATCH(A281,INDIRECT("'"&amp;E281&amp;"'"&amp;"!$A$10:$Z$10"),0),4),1,""),""),IFERROR(SUBSTITUTE(ADDRESS(1,MATCH(A281,INDIRECT("'"&amp;E281&amp;"'"&amp;"!$A$10:$Z$10"),0),4),1,""),""))</f>
        <v>F</v>
      </c>
      <c r="D281" s="791" t="s">
        <v>1357</v>
      </c>
      <c r="E281" s="791" t="s">
        <v>1279</v>
      </c>
      <c r="F281" s="1314"/>
      <c r="G281" s="1314"/>
      <c r="H281" s="1314"/>
      <c r="I281" s="1274" t="str">
        <f t="shared" si="38"/>
        <v/>
      </c>
      <c r="J281" s="1314"/>
      <c r="K281" s="1314" t="str">
        <f t="shared" si="39"/>
        <v/>
      </c>
      <c r="L281" s="827" t="s">
        <v>225</v>
      </c>
      <c r="M281" s="1314">
        <v>250</v>
      </c>
      <c r="N281" s="1314"/>
      <c r="O281" s="1311"/>
      <c r="P281" s="1311"/>
      <c r="Q281" s="1311"/>
      <c r="R281" s="1311"/>
      <c r="S281" s="1311"/>
      <c r="T281" s="1311"/>
      <c r="U281" s="1311"/>
      <c r="V281" s="1311"/>
      <c r="W281" s="1311"/>
      <c r="X281" s="1311"/>
      <c r="Y281" s="1311"/>
      <c r="Z281" s="1311"/>
    </row>
    <row r="282" spans="1:26" x14ac:dyDescent="0.25">
      <c r="A282" s="848" t="s">
        <v>463</v>
      </c>
      <c r="B282" s="1274" t="str">
        <f ca="1">_xlfn.CONCAT(IFERROR(SUBSTITUTE(ADDRESS(1,MATCH(A282,INDIRECT("'"&amp;E282&amp;"'"&amp;"!A9:Z9"),0),4),1,""),""),10)</f>
        <v>E10</v>
      </c>
      <c r="C282" s="1274" t="str">
        <f ca="1">_xlfn.CONCAT(IFERROR(SUBSTITUTE(ADDRESS(1,MATCH(A282,INDIRECT("'"&amp;E282&amp;"'"&amp;"!A9:Z9"),0),4),1,""),""))</f>
        <v>E</v>
      </c>
      <c r="D282" s="1314" t="s">
        <v>1357</v>
      </c>
      <c r="E282" s="791" t="s">
        <v>208</v>
      </c>
      <c r="F282" s="1314"/>
      <c r="G282" s="1314"/>
      <c r="H282" s="1314"/>
      <c r="I282" s="1274" t="str">
        <f t="shared" si="38"/>
        <v>Exclude PIM Classes Below</v>
      </c>
      <c r="J282" s="1314" t="str">
        <f t="shared" si="41"/>
        <v>F251</v>
      </c>
      <c r="K282" s="1314" t="str">
        <f t="shared" si="39"/>
        <v>PIM Model</v>
      </c>
      <c r="L282" s="827" t="s">
        <v>463</v>
      </c>
      <c r="M282" s="1314">
        <v>251</v>
      </c>
      <c r="N282" s="1314"/>
      <c r="O282" s="1311"/>
      <c r="P282" s="1311"/>
      <c r="Q282" s="1311"/>
      <c r="R282" s="1311"/>
      <c r="S282" s="1311"/>
      <c r="T282" s="1311"/>
      <c r="U282" s="1311"/>
      <c r="V282" s="1311"/>
      <c r="W282" s="1311"/>
      <c r="X282" s="1311"/>
      <c r="Y282" s="1311"/>
      <c r="Z282" s="1311"/>
    </row>
    <row r="283" spans="1:26" x14ac:dyDescent="0.25">
      <c r="A283" s="848" t="s">
        <v>1282</v>
      </c>
      <c r="B283" s="1274" t="str">
        <f ca="1">IF('Pricing Schedule'!$K$5="No",_xlfn.CONCAT(IFERROR(SUBSTITUTE(ADDRESS(1,MATCH(A283,INDIRECT("'"&amp;E283&amp;"'"&amp;"!$A$10:$Z$10"),0),4),1,""),""),16),_xlfn.CONCAT(IFERROR(SUBSTITUTE(ADDRESS(1,MATCH(A283,INDIRECT("'"&amp;E283&amp;"'"&amp;"!$A$10:$Z$10"),0),4),1,""),""),50))</f>
        <v>E16</v>
      </c>
      <c r="C283" s="1274" t="str">
        <f ca="1">IF('Pricing Schedule'!$K$5="No",IFERROR(SUBSTITUTE(ADDRESS(1,MATCH(A283,INDIRECT("'"&amp;E283&amp;"'"&amp;"!$A$10:$Z$10"),0),4),1,""),""),IFERROR(SUBSTITUTE(ADDRESS(1,MATCH(A283,INDIRECT("'"&amp;E283&amp;"'"&amp;"!$A$10:$Z$10"),0),4),1,""),""))</f>
        <v>E</v>
      </c>
      <c r="D283" s="791" t="s">
        <v>1357</v>
      </c>
      <c r="E283" s="791" t="s">
        <v>1279</v>
      </c>
      <c r="F283" s="1314"/>
      <c r="G283" s="1314"/>
      <c r="H283" s="1314"/>
      <c r="I283" s="1274" t="str">
        <f t="shared" si="38"/>
        <v>Special Pricing Code</v>
      </c>
      <c r="J283" s="1314" t="str">
        <f t="shared" si="41"/>
        <v>F252</v>
      </c>
      <c r="K283" s="1314" t="str">
        <f t="shared" si="39"/>
        <v>Pricing Schedule</v>
      </c>
      <c r="L283" s="827" t="s">
        <v>1282</v>
      </c>
      <c r="M283" s="1314">
        <v>252</v>
      </c>
      <c r="N283" s="1314"/>
      <c r="O283" s="1311"/>
      <c r="P283" s="1311"/>
      <c r="Q283" s="1311"/>
      <c r="R283" s="1311"/>
      <c r="S283" s="1311"/>
      <c r="T283" s="1311"/>
      <c r="U283" s="1311"/>
      <c r="V283" s="1311"/>
      <c r="W283" s="1311"/>
      <c r="X283" s="1311"/>
      <c r="Y283" s="1311"/>
      <c r="Z283" s="1311"/>
    </row>
    <row r="284" spans="1:26" x14ac:dyDescent="0.25">
      <c r="A284" s="848" t="s">
        <v>1284</v>
      </c>
      <c r="B284" s="1274" t="str">
        <f ca="1">IF('Pricing Schedule'!$K$5="No",_xlfn.CONCAT(IFERROR(SUBSTITUTE(ADDRESS(1,MATCH(A284,INDIRECT("'"&amp;E284&amp;"'"&amp;"!$A$10:$Z$10"),0),4),1,""),""),16),_xlfn.CONCAT(IFERROR(SUBSTITUTE(ADDRESS(1,MATCH(A284,INDIRECT("'"&amp;E284&amp;"'"&amp;"!$A$10:$Z$10"),0),4),1,""),""),50))</f>
        <v>G16</v>
      </c>
      <c r="C284" s="1274" t="str">
        <f ca="1">IF('Pricing Schedule'!$K$5="No",IFERROR(SUBSTITUTE(ADDRESS(1,MATCH(A284,INDIRECT("'"&amp;E284&amp;"'"&amp;"!$A$10:$Z$10"),0),4),1,""),""),IFERROR(SUBSTITUTE(ADDRESS(1,MATCH(A284,INDIRECT("'"&amp;E284&amp;"'"&amp;"!$A$10:$Z$10"),0),4),1,""),""))</f>
        <v>G</v>
      </c>
      <c r="D284" s="791" t="s">
        <v>1357</v>
      </c>
      <c r="E284" s="791" t="s">
        <v>1279</v>
      </c>
      <c r="F284" s="1097"/>
      <c r="G284" s="1314"/>
      <c r="H284" s="1314"/>
      <c r="I284" s="1274" t="str">
        <f t="shared" si="38"/>
        <v>EB Markup Amt</v>
      </c>
      <c r="J284" s="1314" t="str">
        <f t="shared" si="41"/>
        <v>F253</v>
      </c>
      <c r="K284" s="1314" t="str">
        <f t="shared" si="39"/>
        <v>Pricing Schedule</v>
      </c>
      <c r="L284" s="827" t="s">
        <v>1284</v>
      </c>
      <c r="M284" s="1314">
        <v>253</v>
      </c>
      <c r="N284" s="1314"/>
      <c r="O284" s="1311"/>
      <c r="P284" s="1311"/>
      <c r="Q284" s="1311"/>
      <c r="R284" s="1311"/>
      <c r="S284" s="1311"/>
      <c r="T284" s="1311"/>
      <c r="U284" s="1311"/>
      <c r="V284" s="1311"/>
      <c r="W284" s="1311"/>
      <c r="X284" s="1311"/>
      <c r="Y284" s="1311"/>
      <c r="Z284" s="1311"/>
    </row>
    <row r="285" spans="1:26" x14ac:dyDescent="0.25">
      <c r="A285" s="848" t="s">
        <v>1285</v>
      </c>
      <c r="B285" s="1274" t="str">
        <f ca="1">IF('Pricing Schedule'!$K$5="No",_xlfn.CONCAT(IFERROR(SUBSTITUTE(ADDRESS(1,MATCH(A285,INDIRECT("'"&amp;E285&amp;"'"&amp;"!$A$10:$Z$10"),0),4),1,""),""),16),_xlfn.CONCAT(IFERROR(SUBSTITUTE(ADDRESS(1,MATCH(A285,INDIRECT("'"&amp;E285&amp;"'"&amp;"!$A$10:$Z$10"),0),4),1,""),""),50))</f>
        <v>I16</v>
      </c>
      <c r="C285" s="1274" t="str">
        <f ca="1">IF('Pricing Schedule'!$K$5="No",IFERROR(SUBSTITUTE(ADDRESS(1,MATCH(A285,INDIRECT("'"&amp;E285&amp;"'"&amp;"!$A$10:$Z$10"),0),4),1,""),""),IFERROR(SUBSTITUTE(ADDRESS(1,MATCH(A285,INDIRECT("'"&amp;E285&amp;"'"&amp;"!$A$10:$Z$10"),0),4),1,""),""))</f>
        <v>I</v>
      </c>
      <c r="D285" s="791" t="s">
        <v>1357</v>
      </c>
      <c r="E285" s="791" t="s">
        <v>1279</v>
      </c>
      <c r="F285" s="1097"/>
      <c r="G285" s="1314"/>
      <c r="H285" s="1314"/>
      <c r="I285" s="1274" t="str">
        <f t="shared" si="38"/>
        <v>Min CS Markup Override Flag</v>
      </c>
      <c r="J285" s="1314" t="str">
        <f t="shared" si="41"/>
        <v>F254</v>
      </c>
      <c r="K285" s="1314" t="str">
        <f t="shared" si="39"/>
        <v>Pricing Schedule</v>
      </c>
      <c r="L285" s="827" t="s">
        <v>1285</v>
      </c>
      <c r="M285" s="1314">
        <v>254</v>
      </c>
      <c r="N285" s="1314"/>
      <c r="O285" s="1311"/>
      <c r="P285" s="1311"/>
      <c r="Q285" s="1311"/>
      <c r="R285" s="1311"/>
      <c r="S285" s="1311"/>
      <c r="T285" s="1311"/>
      <c r="U285" s="1311"/>
      <c r="V285" s="1311"/>
      <c r="W285" s="1311"/>
      <c r="X285" s="1311"/>
      <c r="Y285" s="1311"/>
      <c r="Z285" s="1311"/>
    </row>
    <row r="286" spans="1:26" x14ac:dyDescent="0.25">
      <c r="A286" s="848" t="s">
        <v>1286</v>
      </c>
      <c r="B286" s="1274" t="str">
        <f ca="1">IF('Pricing Schedule'!$K$5="No",_xlfn.CONCAT(IFERROR(SUBSTITUTE(ADDRESS(1,MATCH(A286,INDIRECT("'"&amp;E286&amp;"'"&amp;"!$A$10:$Z$10"),0),4),1,""),""),16),_xlfn.CONCAT(IFERROR(SUBSTITUTE(ADDRESS(1,MATCH(A286,INDIRECT("'"&amp;E286&amp;"'"&amp;"!$A$10:$Z$10"),0),4),1,""),""),50))</f>
        <v>J16</v>
      </c>
      <c r="C286" s="1274" t="str">
        <f ca="1">IF('Pricing Schedule'!$K$5="No",IFERROR(SUBSTITUTE(ADDRESS(1,MATCH(A286,INDIRECT("'"&amp;E286&amp;"'"&amp;"!$A$10:$Z$10"),0),4),1,""),""),IFERROR(SUBSTITUTE(ADDRESS(1,MATCH(A286,INDIRECT("'"&amp;E286&amp;"'"&amp;"!$A$10:$Z$10"),0),4),1,""),""))</f>
        <v>J</v>
      </c>
      <c r="D286" s="791" t="s">
        <v>1357</v>
      </c>
      <c r="E286" s="791" t="s">
        <v>1279</v>
      </c>
      <c r="F286" s="1097"/>
      <c r="G286" s="1314"/>
      <c r="H286" s="1314"/>
      <c r="I286" s="1274" t="str">
        <f t="shared" si="38"/>
        <v>Min CS Markup Amt</v>
      </c>
      <c r="J286" s="1314" t="str">
        <f t="shared" si="41"/>
        <v>F255</v>
      </c>
      <c r="K286" s="1314" t="str">
        <f t="shared" si="39"/>
        <v>Pricing Schedule</v>
      </c>
      <c r="L286" s="827" t="s">
        <v>1286</v>
      </c>
      <c r="M286" s="1314">
        <v>255</v>
      </c>
      <c r="N286" s="1314"/>
      <c r="O286" s="1311"/>
      <c r="P286" s="1311"/>
      <c r="Q286" s="1311"/>
      <c r="R286" s="1311"/>
      <c r="S286" s="1311"/>
      <c r="T286" s="1311"/>
      <c r="U286" s="1311"/>
      <c r="V286" s="1311"/>
      <c r="W286" s="1311"/>
      <c r="X286" s="1311"/>
      <c r="Y286" s="1311"/>
      <c r="Z286" s="1311"/>
    </row>
    <row r="287" spans="1:26" x14ac:dyDescent="0.25">
      <c r="A287" s="848" t="s">
        <v>1287</v>
      </c>
      <c r="B287" s="1274" t="str">
        <f ca="1">IF('Pricing Schedule'!$K$5="No",_xlfn.CONCAT(IFERROR(SUBSTITUTE(ADDRESS(1,MATCH(A287,INDIRECT("'"&amp;E287&amp;"'"&amp;"!$A$10:$Z$10"),0),4),1,""),""),16),_xlfn.CONCAT(IFERROR(SUBSTITUTE(ADDRESS(1,MATCH(A287,INDIRECT("'"&amp;E287&amp;"'"&amp;"!$A$10:$Z$10"),0),4),1,""),""),50))</f>
        <v>K16</v>
      </c>
      <c r="C287" s="1274" t="str">
        <f ca="1">IF('Pricing Schedule'!$K$5="No",IFERROR(SUBSTITUTE(ADDRESS(1,MATCH(A287,INDIRECT("'"&amp;E287&amp;"'"&amp;"!$A$10:$Z$10"),0),4),1,""),""),IFERROR(SUBSTITUTE(ADDRESS(1,MATCH(A287,INDIRECT("'"&amp;E287&amp;"'"&amp;"!$A$10:$Z$10"),0),4),1,""),""))</f>
        <v>K</v>
      </c>
      <c r="D287" s="791" t="s">
        <v>1357</v>
      </c>
      <c r="E287" s="791" t="s">
        <v>1279</v>
      </c>
      <c r="F287" s="1097"/>
      <c r="G287" s="1314"/>
      <c r="H287" s="1314"/>
      <c r="I287" s="1274" t="str">
        <f t="shared" si="38"/>
        <v>Split Case Fee Override Flag</v>
      </c>
      <c r="J287" s="1314" t="str">
        <f t="shared" si="41"/>
        <v>F256</v>
      </c>
      <c r="K287" s="1314" t="str">
        <f t="shared" si="39"/>
        <v>Pricing Schedule</v>
      </c>
      <c r="L287" s="827" t="s">
        <v>1287</v>
      </c>
      <c r="M287" s="1314">
        <v>256</v>
      </c>
      <c r="N287" s="1314"/>
      <c r="O287" s="1311"/>
      <c r="P287" s="1311"/>
      <c r="Q287" s="1311"/>
      <c r="R287" s="1311"/>
      <c r="S287" s="1311"/>
      <c r="T287" s="1311"/>
      <c r="U287" s="1311"/>
      <c r="V287" s="1311"/>
      <c r="W287" s="1311"/>
      <c r="X287" s="1311"/>
      <c r="Y287" s="1311"/>
      <c r="Z287" s="1311"/>
    </row>
    <row r="288" spans="1:26" x14ac:dyDescent="0.25">
      <c r="A288" s="848" t="s">
        <v>1288</v>
      </c>
      <c r="B288" s="1274" t="str">
        <f ca="1">IF('Pricing Schedule'!$K$5="No",_xlfn.CONCAT(IFERROR(SUBSTITUTE(ADDRESS(1,MATCH(A288,INDIRECT("'"&amp;E288&amp;"'"&amp;"!$A$10:$Z$10"),0),4),1,""),""),16),_xlfn.CONCAT(IFERROR(SUBSTITUTE(ADDRESS(1,MATCH(A288,INDIRECT("'"&amp;E288&amp;"'"&amp;"!$A$10:$Z$10"),0),4),1,""),""),50))</f>
        <v>L16</v>
      </c>
      <c r="C288" s="1274" t="str">
        <f ca="1">IF('Pricing Schedule'!$K$5="No",IFERROR(SUBSTITUTE(ADDRESS(1,MATCH(A288,INDIRECT("'"&amp;E288&amp;"'"&amp;"!$A$10:$Z$10"),0),4),1,""),""),IFERROR(SUBSTITUTE(ADDRESS(1,MATCH(A288,INDIRECT("'"&amp;E288&amp;"'"&amp;"!$A$10:$Z$10"),0),4),1,""),""))</f>
        <v>L</v>
      </c>
      <c r="D288" s="791" t="s">
        <v>1357</v>
      </c>
      <c r="E288" s="791" t="s">
        <v>1279</v>
      </c>
      <c r="F288" s="1097"/>
      <c r="G288" s="1314"/>
      <c r="H288" s="1314"/>
      <c r="I288" s="1274" t="str">
        <f t="shared" si="38"/>
        <v>Split Case Fee</v>
      </c>
      <c r="J288" s="1314" t="str">
        <f t="shared" si="41"/>
        <v>F257</v>
      </c>
      <c r="K288" s="1314" t="str">
        <f t="shared" si="39"/>
        <v>Pricing Schedule</v>
      </c>
      <c r="L288" s="827" t="s">
        <v>1288</v>
      </c>
      <c r="M288" s="1314">
        <v>257</v>
      </c>
      <c r="N288" s="1314"/>
      <c r="O288" s="1311"/>
      <c r="P288" s="1311"/>
      <c r="Q288" s="1311"/>
      <c r="R288" s="1311"/>
      <c r="S288" s="1311"/>
      <c r="T288" s="1311"/>
      <c r="U288" s="1311"/>
      <c r="V288" s="1311"/>
      <c r="W288" s="1311"/>
      <c r="X288" s="1311"/>
      <c r="Y288" s="1311"/>
      <c r="Z288" s="1311"/>
    </row>
    <row r="289" spans="1:26" x14ac:dyDescent="0.25">
      <c r="A289" s="848" t="s">
        <v>1228</v>
      </c>
      <c r="B289" s="1274" t="str">
        <f ca="1">IF('Pricing Schedule'!$K$5="No",_xlfn.CONCAT(IFERROR(SUBSTITUTE(ADDRESS(1,MATCH(A289,INDIRECT("'"&amp;E289&amp;"'"&amp;"!$A$10:$Z$10"),0),4),1,""),""),16),_xlfn.CONCAT(IFERROR(SUBSTITUTE(ADDRESS(1,MATCH(A289,INDIRECT("'"&amp;E289&amp;"'"&amp;"!$A$10:$Z$10"),0),4),1,""),""),50))</f>
        <v>M16</v>
      </c>
      <c r="C289" s="1274" t="str">
        <f ca="1">IF('Pricing Schedule'!$K$5="No",IFERROR(SUBSTITUTE(ADDRESS(1,MATCH(A289,INDIRECT("'"&amp;E289&amp;"'"&amp;"!$A$10:$Z$10"),0),4),1,""),""),IFERROR(SUBSTITUTE(ADDRESS(1,MATCH(A289,INDIRECT("'"&amp;E289&amp;"'"&amp;"!$A$10:$Z$10"),0),4),1,""),""))</f>
        <v>M</v>
      </c>
      <c r="D289" s="791" t="s">
        <v>1357</v>
      </c>
      <c r="E289" s="791" t="s">
        <v>1279</v>
      </c>
      <c r="F289" s="1097"/>
      <c r="G289" s="1314"/>
      <c r="H289" s="1314"/>
      <c r="I289" s="1274" t="str">
        <f t="shared" si="38"/>
        <v>Split Case Per</v>
      </c>
      <c r="J289" s="1314" t="str">
        <f t="shared" si="41"/>
        <v>F258</v>
      </c>
      <c r="K289" s="1314" t="str">
        <f t="shared" si="39"/>
        <v>Pricing Schedule</v>
      </c>
      <c r="L289" s="827" t="s">
        <v>1228</v>
      </c>
      <c r="M289" s="1314">
        <v>258</v>
      </c>
      <c r="N289" s="1314"/>
      <c r="O289" s="1311"/>
      <c r="P289" s="1311"/>
      <c r="Q289" s="1311"/>
      <c r="R289" s="1311"/>
      <c r="S289" s="1311"/>
      <c r="T289" s="1311"/>
      <c r="U289" s="1311"/>
      <c r="V289" s="1311"/>
      <c r="W289" s="1311"/>
      <c r="X289" s="1311"/>
      <c r="Y289" s="1311"/>
      <c r="Z289" s="1311"/>
    </row>
    <row r="290" spans="1:26" x14ac:dyDescent="0.25">
      <c r="A290" s="849" t="s">
        <v>1289</v>
      </c>
      <c r="B290" s="1274" t="str">
        <f ca="1">IF('Pricing Schedule'!$K$5="No",_xlfn.CONCAT(IFERROR(SUBSTITUTE(ADDRESS(1,MATCH(A290,INDIRECT("'"&amp;E290&amp;"'"&amp;"!A10:Z10"),0),4),1,""),""),11),_xlfn.CONCAT(IFERROR(SUBSTITUTE(ADDRESS(1,MATCH(A290,INDIRECT("'"&amp;E290&amp;"'"&amp;"!A10:Z10"),0),4),1,""),""),35))</f>
        <v>N11</v>
      </c>
      <c r="C290" s="1274" t="str">
        <f ca="1">IF('Pricing Schedule'!$K$5="No",IFERROR(SUBSTITUTE(ADDRESS(1,MATCH(A290,INDIRECT("'"&amp;E290&amp;"'"&amp;"!A10:Z10"),0),4),1,""),""),IFERROR(SUBSTITUTE(ADDRESS(1,MATCH(A290,INDIRECT("'"&amp;E290&amp;"'"&amp;"!A10:Z10"),0),4),1,""),""))</f>
        <v>N</v>
      </c>
      <c r="D290" s="791" t="s">
        <v>1357</v>
      </c>
      <c r="E290" s="791" t="s">
        <v>1279</v>
      </c>
      <c r="F290" s="1314"/>
      <c r="G290" s="1314"/>
      <c r="H290" s="1314"/>
      <c r="I290" s="1274" t="str">
        <f t="shared" si="38"/>
        <v/>
      </c>
      <c r="J290" s="1314"/>
      <c r="K290" s="1314" t="str">
        <f t="shared" si="39"/>
        <v/>
      </c>
      <c r="L290" s="827" t="s">
        <v>1289</v>
      </c>
      <c r="M290" s="1314">
        <v>259</v>
      </c>
      <c r="N290" s="1314"/>
      <c r="O290" s="1311"/>
      <c r="P290" s="1311"/>
      <c r="Q290" s="1311"/>
      <c r="R290" s="1311"/>
      <c r="S290" s="1311"/>
      <c r="T290" s="1311"/>
      <c r="U290" s="1311"/>
      <c r="V290" s="1311"/>
      <c r="W290" s="1311"/>
      <c r="X290" s="1311"/>
      <c r="Y290" s="1311"/>
      <c r="Z290" s="1311"/>
    </row>
    <row r="291" spans="1:26" x14ac:dyDescent="0.25">
      <c r="A291" s="850" t="s">
        <v>1280</v>
      </c>
      <c r="B291" s="1274" t="str">
        <f ca="1">IF('Pricing Schedule'!$K$5="No",_xlfn.CONCAT(IFERROR(SUBSTITUTE(ADDRESS(1,MATCH(A291,INDIRECT("'"&amp;E291&amp;"'"&amp;"!A10:Z10"),0),4),1,""),""),11),_xlfn.CONCAT(IFERROR(SUBSTITUTE(ADDRESS(1,MATCH(A291,INDIRECT("'"&amp;E291&amp;"'"&amp;"!A10:Z10"),0),4),1,""),""),35))</f>
        <v>C11</v>
      </c>
      <c r="C291" s="1274" t="str">
        <f ca="1">IF('Pricing Schedule'!$K$5="No",IFERROR(SUBSTITUTE(ADDRESS(1,MATCH(A291,INDIRECT("'"&amp;E291&amp;"'"&amp;"!A10:Z10"),0),4),1,""),""),IFERROR(SUBSTITUTE(ADDRESS(1,MATCH(A291,INDIRECT("'"&amp;E291&amp;"'"&amp;"!A10:Z10"),0),4),1,""),""))</f>
        <v>C</v>
      </c>
      <c r="D291" s="791" t="s">
        <v>1357</v>
      </c>
      <c r="E291" s="791" t="s">
        <v>1279</v>
      </c>
      <c r="F291" s="1314"/>
      <c r="G291" s="1314"/>
      <c r="H291" s="1314"/>
      <c r="I291" s="1274" t="str">
        <f t="shared" si="38"/>
        <v/>
      </c>
      <c r="J291" s="1314"/>
      <c r="K291" s="1314" t="str">
        <f t="shared" si="39"/>
        <v/>
      </c>
      <c r="L291" s="827" t="s">
        <v>252</v>
      </c>
      <c r="M291" s="1314">
        <v>260</v>
      </c>
      <c r="N291" s="1314"/>
      <c r="O291" s="1311"/>
      <c r="P291" s="1311"/>
      <c r="Q291" s="1311"/>
      <c r="R291" s="1311"/>
      <c r="S291" s="1311"/>
      <c r="T291" s="1311"/>
      <c r="U291" s="1311"/>
      <c r="V291" s="1311"/>
      <c r="W291" s="1311"/>
      <c r="X291" s="1311"/>
      <c r="Y291" s="1311"/>
      <c r="Z291" s="1311"/>
    </row>
    <row r="292" spans="1:26" x14ac:dyDescent="0.25">
      <c r="A292" s="850" t="s">
        <v>1246</v>
      </c>
      <c r="B292" s="1274" t="str">
        <f ca="1">IF('Pricing Schedule'!$K$5="No",_xlfn.CONCAT(IFERROR(SUBSTITUTE(ADDRESS(1,MATCH(A292,INDIRECT("'"&amp;E292&amp;"'"&amp;"!A10:Z10"),0),4),1,""),""),11),_xlfn.CONCAT(IFERROR(SUBSTITUTE(ADDRESS(1,MATCH(A292,INDIRECT("'"&amp;E292&amp;"'"&amp;"!A10:Z10"),0),4),1,""),""),35))</f>
        <v>H11</v>
      </c>
      <c r="C292" s="1274" t="str">
        <f ca="1">IF('Pricing Schedule'!$K$5="No",IFERROR(SUBSTITUTE(ADDRESS(1,MATCH(A292,INDIRECT("'"&amp;E292&amp;"'"&amp;"!A10:Z10"),0),4),1,""),""),IFERROR(SUBSTITUTE(ADDRESS(1,MATCH(A292,INDIRECT("'"&amp;E292&amp;"'"&amp;"!A10:Z10"),0),4),1,""),""))</f>
        <v>H</v>
      </c>
      <c r="D292" s="791" t="s">
        <v>1357</v>
      </c>
      <c r="E292" s="791" t="s">
        <v>1279</v>
      </c>
      <c r="F292" s="1314"/>
      <c r="G292" s="1314"/>
      <c r="H292" s="1314"/>
      <c r="I292" s="1274" t="str">
        <f t="shared" si="38"/>
        <v/>
      </c>
      <c r="J292" s="1314"/>
      <c r="K292" s="1314" t="str">
        <f t="shared" si="39"/>
        <v/>
      </c>
      <c r="L292" s="827" t="s">
        <v>1246</v>
      </c>
      <c r="M292" s="1314">
        <v>261</v>
      </c>
      <c r="N292" s="1314"/>
      <c r="O292" s="1311"/>
      <c r="P292" s="1311"/>
      <c r="Q292" s="1311"/>
      <c r="R292" s="1311"/>
      <c r="S292" s="1311"/>
      <c r="T292" s="1311"/>
      <c r="U292" s="1311"/>
      <c r="V292" s="1311"/>
      <c r="W292" s="1311"/>
      <c r="X292" s="1311"/>
      <c r="Y292" s="1311"/>
      <c r="Z292" s="1311"/>
    </row>
    <row r="293" spans="1:26" x14ac:dyDescent="0.25">
      <c r="A293" s="850" t="s">
        <v>1283</v>
      </c>
      <c r="B293" s="1274" t="str">
        <f ca="1">IF('Pricing Schedule'!$K$5="No",_xlfn.CONCAT(IFERROR(SUBSTITUTE(ADDRESS(1,MATCH(A293,INDIRECT("'"&amp;E293&amp;"'"&amp;"!A10:Z10"),0),4),1,""),""),11),_xlfn.CONCAT(IFERROR(SUBSTITUTE(ADDRESS(1,MATCH(A293,INDIRECT("'"&amp;E293&amp;"'"&amp;"!A10:Z10"),0),4),1,""),""),35))</f>
        <v>F11</v>
      </c>
      <c r="C293" s="1274" t="str">
        <f ca="1">IF('Pricing Schedule'!$K$5="No",IFERROR(SUBSTITUTE(ADDRESS(1,MATCH(A293,INDIRECT("'"&amp;E293&amp;"'"&amp;"!A10:Z10"),0),4),1,""),""),IFERROR(SUBSTITUTE(ADDRESS(1,MATCH(A293,INDIRECT("'"&amp;E293&amp;"'"&amp;"!A10:Z10"),0),4),1,""),""))</f>
        <v>F</v>
      </c>
      <c r="D293" s="791" t="s">
        <v>1357</v>
      </c>
      <c r="E293" s="791" t="s">
        <v>1279</v>
      </c>
      <c r="F293" s="1314"/>
      <c r="G293" s="1314"/>
      <c r="H293" s="1314"/>
      <c r="I293" s="1274" t="str">
        <f t="shared" si="38"/>
        <v/>
      </c>
      <c r="J293" s="1314"/>
      <c r="K293" s="1314" t="str">
        <f t="shared" si="39"/>
        <v/>
      </c>
      <c r="L293" s="827" t="s">
        <v>225</v>
      </c>
      <c r="M293" s="1314">
        <v>262</v>
      </c>
      <c r="N293" s="1314"/>
      <c r="O293" s="1311"/>
      <c r="P293" s="1311"/>
      <c r="Q293" s="1311"/>
      <c r="R293" s="1311"/>
      <c r="S293" s="1311"/>
      <c r="T293" s="1311"/>
      <c r="U293" s="1311"/>
      <c r="V293" s="1311"/>
      <c r="W293" s="1311"/>
      <c r="X293" s="1311"/>
      <c r="Y293" s="1311"/>
      <c r="Z293" s="1311"/>
    </row>
    <row r="294" spans="1:26" x14ac:dyDescent="0.25">
      <c r="A294" s="851" t="s">
        <v>463</v>
      </c>
      <c r="B294" s="1274" t="str">
        <f ca="1">_xlfn.CONCAT(IFERROR(SUBSTITUTE(ADDRESS(1,MATCH(A294,INDIRECT("'"&amp;E294&amp;"'"&amp;"!A9:Z9"),0),4),1,""),""),11)</f>
        <v>E11</v>
      </c>
      <c r="C294" s="1274" t="str">
        <f ca="1">_xlfn.CONCAT(IFERROR(SUBSTITUTE(ADDRESS(1,MATCH(A294,INDIRECT("'"&amp;E294&amp;"'"&amp;"!A9:Z9"),0),4),1,""),""))</f>
        <v>E</v>
      </c>
      <c r="D294" s="1314" t="s">
        <v>1357</v>
      </c>
      <c r="E294" s="791" t="s">
        <v>208</v>
      </c>
      <c r="F294" s="1314"/>
      <c r="G294" s="1314"/>
      <c r="H294" s="1314"/>
      <c r="I294" s="1274" t="str">
        <f t="shared" si="38"/>
        <v>Exclude PIM Classes Below</v>
      </c>
      <c r="J294" s="1314" t="str">
        <f t="shared" si="41"/>
        <v>F263</v>
      </c>
      <c r="K294" s="1314" t="str">
        <f t="shared" si="39"/>
        <v>PIM Model</v>
      </c>
      <c r="L294" s="827" t="s">
        <v>463</v>
      </c>
      <c r="M294" s="1314">
        <v>263</v>
      </c>
      <c r="N294" s="1314"/>
      <c r="O294" s="1311"/>
      <c r="P294" s="1311"/>
      <c r="Q294" s="1311"/>
      <c r="R294" s="1311"/>
      <c r="S294" s="1311"/>
      <c r="T294" s="1311"/>
      <c r="U294" s="1311"/>
      <c r="V294" s="1311"/>
      <c r="W294" s="1311"/>
      <c r="X294" s="1311"/>
      <c r="Y294" s="1311"/>
      <c r="Z294" s="1311"/>
    </row>
    <row r="295" spans="1:26" x14ac:dyDescent="0.25">
      <c r="A295" s="851" t="s">
        <v>1282</v>
      </c>
      <c r="B295" s="1274" t="str">
        <f ca="1">IF('Pricing Schedule'!$K$5="No",_xlfn.CONCAT(IFERROR(SUBSTITUTE(ADDRESS(1,MATCH(A295,INDIRECT("'"&amp;E295&amp;"'"&amp;"!A10:Z10"),0),4),1,""),""),11),_xlfn.CONCAT(IFERROR(SUBSTITUTE(ADDRESS(1,MATCH(A295,INDIRECT("'"&amp;E295&amp;"'"&amp;"!A10:Z10"),0),4),1,""),""),35))</f>
        <v>E11</v>
      </c>
      <c r="C295" s="1274" t="str">
        <f ca="1">IF('Pricing Schedule'!$K$5="No",IFERROR(SUBSTITUTE(ADDRESS(1,MATCH(A295,INDIRECT("'"&amp;E295&amp;"'"&amp;"!A10:Z10"),0),4),1,""),""),IFERROR(SUBSTITUTE(ADDRESS(1,MATCH(A295,INDIRECT("'"&amp;E295&amp;"'"&amp;"!A10:Z10"),0),4),1,""),""))</f>
        <v>E</v>
      </c>
      <c r="D295" s="791" t="s">
        <v>1357</v>
      </c>
      <c r="E295" s="791" t="s">
        <v>1279</v>
      </c>
      <c r="F295" s="1314"/>
      <c r="G295" s="1314"/>
      <c r="H295" s="1314"/>
      <c r="I295" s="1274" t="str">
        <f t="shared" si="38"/>
        <v>Special Pricing Code</v>
      </c>
      <c r="J295" s="1314" t="str">
        <f t="shared" si="41"/>
        <v>F264</v>
      </c>
      <c r="K295" s="1314" t="str">
        <f t="shared" si="39"/>
        <v>Pricing Schedule</v>
      </c>
      <c r="L295" s="827" t="s">
        <v>1282</v>
      </c>
      <c r="M295" s="1314">
        <v>264</v>
      </c>
      <c r="N295" s="1314"/>
      <c r="O295" s="1311"/>
      <c r="P295" s="1311"/>
      <c r="Q295" s="1311"/>
      <c r="R295" s="1311"/>
      <c r="S295" s="1311"/>
      <c r="T295" s="1311"/>
      <c r="U295" s="1311"/>
      <c r="V295" s="1311"/>
      <c r="W295" s="1311"/>
      <c r="X295" s="1311"/>
      <c r="Y295" s="1311"/>
      <c r="Z295" s="1311"/>
    </row>
    <row r="296" spans="1:26" x14ac:dyDescent="0.25">
      <c r="A296" s="851" t="s">
        <v>1284</v>
      </c>
      <c r="B296" s="1274" t="str">
        <f ca="1">IF('Pricing Schedule'!$K$5="No",_xlfn.CONCAT(IFERROR(SUBSTITUTE(ADDRESS(1,MATCH(A296,INDIRECT("'"&amp;E296&amp;"'"&amp;"!A10:Z10"),0),4),1,""),""),11),_xlfn.CONCAT(IFERROR(SUBSTITUTE(ADDRESS(1,MATCH(A296,INDIRECT("'"&amp;E296&amp;"'"&amp;"!A10:Z10"),0),4),1,""),""),35))</f>
        <v>G11</v>
      </c>
      <c r="C296" s="1274" t="str">
        <f ca="1">IF('Pricing Schedule'!$K$5="No",IFERROR(SUBSTITUTE(ADDRESS(1,MATCH(A296,INDIRECT("'"&amp;E296&amp;"'"&amp;"!A10:Z10"),0),4),1,""),""),IFERROR(SUBSTITUTE(ADDRESS(1,MATCH(A296,INDIRECT("'"&amp;E296&amp;"'"&amp;"!A10:Z10"),0),4),1,""),""))</f>
        <v>G</v>
      </c>
      <c r="D296" s="791" t="s">
        <v>1357</v>
      </c>
      <c r="E296" s="791" t="s">
        <v>1279</v>
      </c>
      <c r="F296" s="1097"/>
      <c r="G296" s="1314"/>
      <c r="H296" s="1314"/>
      <c r="I296" s="1274" t="str">
        <f t="shared" si="38"/>
        <v>EB Markup Amt</v>
      </c>
      <c r="J296" s="1314" t="str">
        <f t="shared" si="41"/>
        <v>F265</v>
      </c>
      <c r="K296" s="1314" t="str">
        <f t="shared" si="39"/>
        <v>Pricing Schedule</v>
      </c>
      <c r="L296" s="827" t="s">
        <v>1284</v>
      </c>
      <c r="M296" s="1314">
        <v>265</v>
      </c>
      <c r="N296" s="1314"/>
      <c r="O296" s="1311"/>
      <c r="P296" s="1311"/>
      <c r="Q296" s="1311"/>
      <c r="R296" s="1311"/>
      <c r="S296" s="1311"/>
      <c r="T296" s="1311"/>
      <c r="U296" s="1311"/>
      <c r="V296" s="1311"/>
      <c r="W296" s="1311"/>
      <c r="X296" s="1311"/>
      <c r="Y296" s="1311"/>
      <c r="Z296" s="1311"/>
    </row>
    <row r="297" spans="1:26" x14ac:dyDescent="0.25">
      <c r="A297" s="851" t="s">
        <v>1285</v>
      </c>
      <c r="B297" s="1274" t="str">
        <f ca="1">IF('Pricing Schedule'!$K$5="No",_xlfn.CONCAT(IFERROR(SUBSTITUTE(ADDRESS(1,MATCH(A297,INDIRECT("'"&amp;E297&amp;"'"&amp;"!A10:Z10"),0),4),1,""),""),11),_xlfn.CONCAT(IFERROR(SUBSTITUTE(ADDRESS(1,MATCH(A297,INDIRECT("'"&amp;E297&amp;"'"&amp;"!A10:Z10"),0),4),1,""),""),35))</f>
        <v>I11</v>
      </c>
      <c r="C297" s="1274" t="str">
        <f ca="1">IF('Pricing Schedule'!$K$5="No",IFERROR(SUBSTITUTE(ADDRESS(1,MATCH(A297,INDIRECT("'"&amp;E297&amp;"'"&amp;"!A10:Z10"),0),4),1,""),""),IFERROR(SUBSTITUTE(ADDRESS(1,MATCH(A297,INDIRECT("'"&amp;E297&amp;"'"&amp;"!A10:Z10"),0),4),1,""),""))</f>
        <v>I</v>
      </c>
      <c r="D297" s="791" t="s">
        <v>1357</v>
      </c>
      <c r="E297" s="791" t="s">
        <v>1279</v>
      </c>
      <c r="F297" s="1097"/>
      <c r="G297" s="1314"/>
      <c r="H297" s="1314"/>
      <c r="I297" s="1274" t="str">
        <f t="shared" si="38"/>
        <v>Min CS Markup Override Flag</v>
      </c>
      <c r="J297" s="1314" t="str">
        <f t="shared" si="41"/>
        <v>F266</v>
      </c>
      <c r="K297" s="1314" t="str">
        <f t="shared" si="39"/>
        <v>Pricing Schedule</v>
      </c>
      <c r="L297" s="827" t="s">
        <v>1285</v>
      </c>
      <c r="M297" s="1314">
        <v>266</v>
      </c>
      <c r="N297" s="1314"/>
      <c r="O297" s="1311"/>
      <c r="P297" s="1311"/>
      <c r="Q297" s="1311"/>
      <c r="R297" s="1311"/>
      <c r="S297" s="1311"/>
      <c r="T297" s="1311"/>
      <c r="U297" s="1311"/>
      <c r="V297" s="1311"/>
      <c r="W297" s="1311"/>
      <c r="X297" s="1311"/>
      <c r="Y297" s="1311"/>
      <c r="Z297" s="1311"/>
    </row>
    <row r="298" spans="1:26" x14ac:dyDescent="0.25">
      <c r="A298" s="851" t="s">
        <v>1286</v>
      </c>
      <c r="B298" s="1274" t="str">
        <f ca="1">IF('Pricing Schedule'!$K$5="No",_xlfn.CONCAT(IFERROR(SUBSTITUTE(ADDRESS(1,MATCH(A298,INDIRECT("'"&amp;E298&amp;"'"&amp;"!A10:Z10"),0),4),1,""),""),11),_xlfn.CONCAT(IFERROR(SUBSTITUTE(ADDRESS(1,MATCH(A298,INDIRECT("'"&amp;E298&amp;"'"&amp;"!A10:Z10"),0),4),1,""),""),35))</f>
        <v>J11</v>
      </c>
      <c r="C298" s="1274" t="str">
        <f ca="1">IF('Pricing Schedule'!$K$5="No",IFERROR(SUBSTITUTE(ADDRESS(1,MATCH(A298,INDIRECT("'"&amp;E298&amp;"'"&amp;"!A10:Z10"),0),4),1,""),""),IFERROR(SUBSTITUTE(ADDRESS(1,MATCH(A298,INDIRECT("'"&amp;E298&amp;"'"&amp;"!A10:Z10"),0),4),1,""),""))</f>
        <v>J</v>
      </c>
      <c r="D298" s="791" t="s">
        <v>1357</v>
      </c>
      <c r="E298" s="791" t="s">
        <v>1279</v>
      </c>
      <c r="F298" s="1097"/>
      <c r="G298" s="1314"/>
      <c r="H298" s="1314"/>
      <c r="I298" s="1274" t="str">
        <f t="shared" si="38"/>
        <v>Min CS Markup Amt</v>
      </c>
      <c r="J298" s="1314" t="str">
        <f t="shared" si="41"/>
        <v>F267</v>
      </c>
      <c r="K298" s="1314" t="str">
        <f t="shared" si="39"/>
        <v>Pricing Schedule</v>
      </c>
      <c r="L298" s="827" t="s">
        <v>1286</v>
      </c>
      <c r="M298" s="1314">
        <v>267</v>
      </c>
      <c r="N298" s="1314"/>
      <c r="O298" s="1311"/>
      <c r="P298" s="1311"/>
      <c r="Q298" s="1311"/>
      <c r="R298" s="1311"/>
      <c r="S298" s="1311"/>
      <c r="T298" s="1311"/>
      <c r="U298" s="1311"/>
      <c r="V298" s="1311"/>
      <c r="W298" s="1311"/>
      <c r="X298" s="1311"/>
      <c r="Y298" s="1311"/>
      <c r="Z298" s="1311"/>
    </row>
    <row r="299" spans="1:26" x14ac:dyDescent="0.25">
      <c r="A299" s="851" t="s">
        <v>1287</v>
      </c>
      <c r="B299" s="1274" t="str">
        <f ca="1">IF('Pricing Schedule'!$K$5="No",_xlfn.CONCAT(IFERROR(SUBSTITUTE(ADDRESS(1,MATCH(A299,INDIRECT("'"&amp;E299&amp;"'"&amp;"!A10:Z10"),0),4),1,""),""),11),_xlfn.CONCAT(IFERROR(SUBSTITUTE(ADDRESS(1,MATCH(A299,INDIRECT("'"&amp;E299&amp;"'"&amp;"!A10:Z10"),0),4),1,""),""),35))</f>
        <v>K11</v>
      </c>
      <c r="C299" s="1274" t="str">
        <f ca="1">IF('Pricing Schedule'!$K$5="No",IFERROR(SUBSTITUTE(ADDRESS(1,MATCH(A299,INDIRECT("'"&amp;E299&amp;"'"&amp;"!A10:Z10"),0),4),1,""),""),IFERROR(SUBSTITUTE(ADDRESS(1,MATCH(A299,INDIRECT("'"&amp;E299&amp;"'"&amp;"!A10:Z10"),0),4),1,""),""))</f>
        <v>K</v>
      </c>
      <c r="D299" s="791" t="s">
        <v>1357</v>
      </c>
      <c r="E299" s="791" t="s">
        <v>1279</v>
      </c>
      <c r="F299" s="1097"/>
      <c r="G299" s="1314"/>
      <c r="H299" s="1314"/>
      <c r="I299" s="1274" t="str">
        <f t="shared" si="38"/>
        <v>Split Case Fee Override Flag</v>
      </c>
      <c r="J299" s="1314" t="str">
        <f t="shared" si="41"/>
        <v>F268</v>
      </c>
      <c r="K299" s="1314" t="str">
        <f t="shared" si="39"/>
        <v>Pricing Schedule</v>
      </c>
      <c r="L299" s="827" t="s">
        <v>1287</v>
      </c>
      <c r="M299" s="1314">
        <v>268</v>
      </c>
      <c r="N299" s="1314"/>
      <c r="O299" s="1311"/>
      <c r="P299" s="1311"/>
      <c r="Q299" s="1311"/>
      <c r="R299" s="1311"/>
      <c r="S299" s="1311"/>
      <c r="T299" s="1311"/>
      <c r="U299" s="1311"/>
      <c r="V299" s="1311"/>
      <c r="W299" s="1311"/>
      <c r="X299" s="1311"/>
      <c r="Y299" s="1311"/>
      <c r="Z299" s="1311"/>
    </row>
    <row r="300" spans="1:26" x14ac:dyDescent="0.25">
      <c r="A300" s="851" t="s">
        <v>1288</v>
      </c>
      <c r="B300" s="1274" t="str">
        <f ca="1">IF('Pricing Schedule'!$K$5="No",_xlfn.CONCAT(IFERROR(SUBSTITUTE(ADDRESS(1,MATCH(A300,INDIRECT("'"&amp;E300&amp;"'"&amp;"!A10:Z10"),0),4),1,""),""),11),_xlfn.CONCAT(IFERROR(SUBSTITUTE(ADDRESS(1,MATCH(A300,INDIRECT("'"&amp;E300&amp;"'"&amp;"!A10:Z10"),0),4),1,""),""),35))</f>
        <v>L11</v>
      </c>
      <c r="C300" s="1274" t="str">
        <f ca="1">IF('Pricing Schedule'!$K$5="No",IFERROR(SUBSTITUTE(ADDRESS(1,MATCH(A300,INDIRECT("'"&amp;E300&amp;"'"&amp;"!A10:Z10"),0),4),1,""),""),IFERROR(SUBSTITUTE(ADDRESS(1,MATCH(A300,INDIRECT("'"&amp;E300&amp;"'"&amp;"!A10:Z10"),0),4),1,""),""))</f>
        <v>L</v>
      </c>
      <c r="D300" s="791" t="s">
        <v>1357</v>
      </c>
      <c r="E300" s="791" t="s">
        <v>1279</v>
      </c>
      <c r="F300" s="1097"/>
      <c r="G300" s="1314"/>
      <c r="H300" s="1314"/>
      <c r="I300" s="1274" t="str">
        <f t="shared" si="38"/>
        <v>Split Case Fee</v>
      </c>
      <c r="J300" s="1314" t="str">
        <f t="shared" si="41"/>
        <v>F269</v>
      </c>
      <c r="K300" s="1314" t="str">
        <f t="shared" si="39"/>
        <v>Pricing Schedule</v>
      </c>
      <c r="L300" s="827" t="s">
        <v>1288</v>
      </c>
      <c r="M300" s="1314">
        <v>269</v>
      </c>
      <c r="N300" s="1314"/>
      <c r="O300" s="1311"/>
      <c r="P300" s="1311"/>
      <c r="Q300" s="1311"/>
      <c r="R300" s="1311"/>
      <c r="S300" s="1311"/>
      <c r="T300" s="1311"/>
      <c r="U300" s="1311"/>
      <c r="V300" s="1311"/>
      <c r="W300" s="1311"/>
      <c r="X300" s="1311"/>
      <c r="Y300" s="1311"/>
      <c r="Z300" s="1311"/>
    </row>
    <row r="301" spans="1:26" x14ac:dyDescent="0.25">
      <c r="A301" s="851" t="s">
        <v>1228</v>
      </c>
      <c r="B301" s="1274" t="str">
        <f ca="1">IF('Pricing Schedule'!$K$5="No",_xlfn.CONCAT(IFERROR(SUBSTITUTE(ADDRESS(1,MATCH(A301,INDIRECT("'"&amp;E301&amp;"'"&amp;"!A10:Z10"),0),4),1,""),""),11),_xlfn.CONCAT(IFERROR(SUBSTITUTE(ADDRESS(1,MATCH(A301,INDIRECT("'"&amp;E301&amp;"'"&amp;"!A10:Z10"),0),4),1,""),""),35))</f>
        <v>M11</v>
      </c>
      <c r="C301" s="1274" t="str">
        <f ca="1">IF('Pricing Schedule'!$K$5="No",IFERROR(SUBSTITUTE(ADDRESS(1,MATCH(A301,INDIRECT("'"&amp;E301&amp;"'"&amp;"!A10:Z10"),0),4),1,""),""),IFERROR(SUBSTITUTE(ADDRESS(1,MATCH(A301,INDIRECT("'"&amp;E301&amp;"'"&amp;"!A10:Z10"),0),4),1,""),""))</f>
        <v>M</v>
      </c>
      <c r="D301" s="791" t="s">
        <v>1357</v>
      </c>
      <c r="E301" s="791" t="s">
        <v>1279</v>
      </c>
      <c r="F301" s="1097"/>
      <c r="G301" s="1314"/>
      <c r="H301" s="1314"/>
      <c r="I301" s="1274" t="str">
        <f t="shared" si="38"/>
        <v>Split Case Per</v>
      </c>
      <c r="J301" s="1314" t="str">
        <f t="shared" si="41"/>
        <v>F270</v>
      </c>
      <c r="K301" s="1314" t="str">
        <f t="shared" si="39"/>
        <v>Pricing Schedule</v>
      </c>
      <c r="L301" s="827" t="s">
        <v>1228</v>
      </c>
      <c r="M301" s="1314">
        <v>270</v>
      </c>
      <c r="N301" s="1314"/>
      <c r="O301" s="1311"/>
      <c r="P301" s="1311"/>
      <c r="Q301" s="1311"/>
      <c r="R301" s="1311"/>
      <c r="S301" s="1311"/>
      <c r="T301" s="1311"/>
      <c r="U301" s="1311"/>
      <c r="V301" s="1311"/>
      <c r="W301" s="1311"/>
      <c r="X301" s="1311"/>
      <c r="Y301" s="1311"/>
      <c r="Z301" s="1311"/>
    </row>
    <row r="302" spans="1:26" x14ac:dyDescent="0.25">
      <c r="A302" s="1094" t="s">
        <v>1289</v>
      </c>
      <c r="B302" s="1274" t="str">
        <f ca="1">IF('Pricing Schedule'!$K$5="No",_xlfn.CONCAT(IFERROR(SUBSTITUTE(ADDRESS(1,MATCH(A302,INDIRECT("'"&amp;E302&amp;"'"&amp;"!A10:Z10"),0),4),1,""),""),11),_xlfn.CONCAT(IFERROR(SUBSTITUTE(ADDRESS(1,MATCH(A302,INDIRECT("'"&amp;E302&amp;"'"&amp;"!A10:Z10"),0),4),1,""),""),36))</f>
        <v>N11</v>
      </c>
      <c r="C302" s="1274" t="str">
        <f ca="1">IF('Pricing Schedule'!$K$5="No",IFERROR(SUBSTITUTE(ADDRESS(1,MATCH(A302,INDIRECT("'"&amp;E302&amp;"'"&amp;"!A10:Z10"),0),4),1,""),""),IFERROR(SUBSTITUTE(ADDRESS(1,MATCH(A302,INDIRECT("'"&amp;E302&amp;"'"&amp;"!A10:Z10"),0),4),1,""),""))</f>
        <v>N</v>
      </c>
      <c r="D302" s="791" t="s">
        <v>1357</v>
      </c>
      <c r="E302" s="791" t="s">
        <v>1279</v>
      </c>
      <c r="F302" s="1314"/>
      <c r="G302" s="1314"/>
      <c r="H302" s="1314"/>
      <c r="I302" s="1274" t="str">
        <f t="shared" si="38"/>
        <v/>
      </c>
      <c r="J302" s="1314"/>
      <c r="K302" s="1314" t="str">
        <f t="shared" si="39"/>
        <v/>
      </c>
      <c r="L302" s="827" t="s">
        <v>1289</v>
      </c>
      <c r="M302" s="1314">
        <v>271</v>
      </c>
      <c r="N302" s="1314"/>
      <c r="O302" s="1311"/>
      <c r="P302" s="1311"/>
      <c r="Q302" s="1311"/>
      <c r="R302" s="1311"/>
      <c r="S302" s="1311"/>
      <c r="T302" s="1311"/>
      <c r="U302" s="1311"/>
      <c r="V302" s="1311"/>
      <c r="W302" s="1311"/>
      <c r="X302" s="1311"/>
      <c r="Y302" s="1311"/>
      <c r="Z302" s="1311"/>
    </row>
    <row r="303" spans="1:26" x14ac:dyDescent="0.25">
      <c r="A303" s="1093" t="s">
        <v>1280</v>
      </c>
      <c r="B303" s="1274" t="str">
        <f ca="1">IF('Pricing Schedule'!$K$5="No",_xlfn.CONCAT(IFERROR(SUBSTITUTE(ADDRESS(1,MATCH(A303,INDIRECT("'"&amp;E303&amp;"'"&amp;"!A10:Z10"),0),4),1,""),""),11),_xlfn.CONCAT(IFERROR(SUBSTITUTE(ADDRESS(1,MATCH(A303,INDIRECT("'"&amp;E303&amp;"'"&amp;"!A10:Z10"),0),4),1,""),""),36))</f>
        <v>C11</v>
      </c>
      <c r="C303" s="1274" t="str">
        <f ca="1">IF('Pricing Schedule'!$K$5="No",IFERROR(SUBSTITUTE(ADDRESS(1,MATCH(A303,INDIRECT("'"&amp;E303&amp;"'"&amp;"!A10:Z10"),0),4),1,""),""),IFERROR(SUBSTITUTE(ADDRESS(1,MATCH(A303,INDIRECT("'"&amp;E303&amp;"'"&amp;"!A10:Z10"),0),4),1,""),""))</f>
        <v>C</v>
      </c>
      <c r="D303" s="791" t="s">
        <v>1357</v>
      </c>
      <c r="E303" s="791" t="s">
        <v>1279</v>
      </c>
      <c r="F303" s="1314"/>
      <c r="G303" s="1314"/>
      <c r="H303" s="1314"/>
      <c r="I303" s="1274" t="str">
        <f t="shared" si="38"/>
        <v/>
      </c>
      <c r="J303" s="1314"/>
      <c r="K303" s="1314" t="str">
        <f t="shared" si="39"/>
        <v/>
      </c>
      <c r="L303" s="827" t="s">
        <v>252</v>
      </c>
      <c r="M303" s="1314">
        <v>272</v>
      </c>
      <c r="N303" s="1314"/>
      <c r="O303" s="1311"/>
      <c r="P303" s="1311"/>
      <c r="Q303" s="1311"/>
      <c r="R303" s="1311"/>
      <c r="S303" s="1311"/>
      <c r="T303" s="1311"/>
      <c r="U303" s="1311"/>
      <c r="V303" s="1311"/>
      <c r="W303" s="1311"/>
      <c r="X303" s="1311"/>
      <c r="Y303" s="1311"/>
      <c r="Z303" s="1311"/>
    </row>
    <row r="304" spans="1:26" x14ac:dyDescent="0.25">
      <c r="A304" s="1093" t="s">
        <v>1246</v>
      </c>
      <c r="B304" s="1274" t="str">
        <f ca="1">IF('Pricing Schedule'!$K$5="No",_xlfn.CONCAT(IFERROR(SUBSTITUTE(ADDRESS(1,MATCH(A304,INDIRECT("'"&amp;E304&amp;"'"&amp;"!A10:Z10"),0),4),1,""),""),11),_xlfn.CONCAT(IFERROR(SUBSTITUTE(ADDRESS(1,MATCH(A304,INDIRECT("'"&amp;E304&amp;"'"&amp;"!A10:Z10"),0),4),1,""),""),36))</f>
        <v>H11</v>
      </c>
      <c r="C304" s="1274" t="str">
        <f ca="1">IF('Pricing Schedule'!$K$5="No",IFERROR(SUBSTITUTE(ADDRESS(1,MATCH(A304,INDIRECT("'"&amp;E304&amp;"'"&amp;"!A10:Z10"),0),4),1,""),""),IFERROR(SUBSTITUTE(ADDRESS(1,MATCH(A304,INDIRECT("'"&amp;E304&amp;"'"&amp;"!A10:Z10"),0),4),1,""),""))</f>
        <v>H</v>
      </c>
      <c r="D304" s="791" t="s">
        <v>1357</v>
      </c>
      <c r="E304" s="791" t="s">
        <v>1279</v>
      </c>
      <c r="F304" s="1314"/>
      <c r="G304" s="1314"/>
      <c r="H304" s="1314"/>
      <c r="I304" s="1274" t="str">
        <f t="shared" si="38"/>
        <v/>
      </c>
      <c r="J304" s="1314"/>
      <c r="K304" s="1314" t="str">
        <f t="shared" si="39"/>
        <v/>
      </c>
      <c r="L304" s="827" t="s">
        <v>1246</v>
      </c>
      <c r="M304" s="1314">
        <v>273</v>
      </c>
      <c r="N304" s="1314"/>
      <c r="O304" s="1311"/>
      <c r="P304" s="1311"/>
      <c r="Q304" s="1311"/>
      <c r="R304" s="1311"/>
      <c r="S304" s="1311"/>
      <c r="T304" s="1311"/>
      <c r="U304" s="1311"/>
      <c r="V304" s="1311"/>
      <c r="W304" s="1311"/>
      <c r="X304" s="1311"/>
      <c r="Y304" s="1311"/>
      <c r="Z304" s="1311"/>
    </row>
    <row r="305" spans="1:26" x14ac:dyDescent="0.25">
      <c r="A305" s="1093" t="s">
        <v>1283</v>
      </c>
      <c r="B305" s="1274" t="str">
        <f ca="1">IF('Pricing Schedule'!$K$5="No",_xlfn.CONCAT(IFERROR(SUBSTITUTE(ADDRESS(1,MATCH(A305,INDIRECT("'"&amp;E305&amp;"'"&amp;"!A10:Z10"),0),4),1,""),""),11),_xlfn.CONCAT(IFERROR(SUBSTITUTE(ADDRESS(1,MATCH(A305,INDIRECT("'"&amp;E305&amp;"'"&amp;"!A10:Z10"),0),4),1,""),""),36))</f>
        <v>F11</v>
      </c>
      <c r="C305" s="1274" t="str">
        <f ca="1">IF('Pricing Schedule'!$K$5="No",IFERROR(SUBSTITUTE(ADDRESS(1,MATCH(A305,INDIRECT("'"&amp;E305&amp;"'"&amp;"!A10:Z10"),0),4),1,""),""),IFERROR(SUBSTITUTE(ADDRESS(1,MATCH(A305,INDIRECT("'"&amp;E305&amp;"'"&amp;"!A10:Z10"),0),4),1,""),""))</f>
        <v>F</v>
      </c>
      <c r="D305" s="791" t="s">
        <v>1357</v>
      </c>
      <c r="E305" s="791" t="s">
        <v>1279</v>
      </c>
      <c r="F305" s="1314"/>
      <c r="G305" s="1314"/>
      <c r="H305" s="1314"/>
      <c r="I305" s="1274" t="str">
        <f t="shared" si="38"/>
        <v/>
      </c>
      <c r="J305" s="1314"/>
      <c r="K305" s="1314" t="str">
        <f t="shared" si="39"/>
        <v/>
      </c>
      <c r="L305" s="827" t="s">
        <v>225</v>
      </c>
      <c r="M305" s="1314">
        <v>274</v>
      </c>
      <c r="N305" s="1314"/>
      <c r="O305" s="1311"/>
      <c r="P305" s="1311"/>
      <c r="Q305" s="1311"/>
      <c r="R305" s="1311"/>
      <c r="S305" s="1311"/>
      <c r="T305" s="1311"/>
      <c r="U305" s="1311"/>
      <c r="V305" s="1311"/>
      <c r="W305" s="1311"/>
      <c r="X305" s="1311"/>
      <c r="Y305" s="1311"/>
      <c r="Z305" s="1311"/>
    </row>
    <row r="306" spans="1:26" x14ac:dyDescent="0.25">
      <c r="A306" s="848" t="s">
        <v>463</v>
      </c>
      <c r="B306" s="1274" t="str">
        <f ca="1">_xlfn.CONCAT(IFERROR(SUBSTITUTE(ADDRESS(1,MATCH(A306,INDIRECT("'"&amp;E306&amp;"'"&amp;"!A9:Z9"),0),4),1,""),""),12)</f>
        <v>E12</v>
      </c>
      <c r="C306" s="1274" t="str">
        <f ca="1">_xlfn.CONCAT(IFERROR(SUBSTITUTE(ADDRESS(1,MATCH(A306,INDIRECT("'"&amp;E306&amp;"'"&amp;"!A9:Z9"),0),4),1,""),""))</f>
        <v>E</v>
      </c>
      <c r="D306" s="1314" t="s">
        <v>1357</v>
      </c>
      <c r="E306" s="791" t="s">
        <v>208</v>
      </c>
      <c r="F306" s="1314"/>
      <c r="G306" s="1314"/>
      <c r="H306" s="1314"/>
      <c r="I306" s="1274" t="str">
        <f t="shared" si="38"/>
        <v>Exclude PIM Classes Below</v>
      </c>
      <c r="J306" s="1314" t="str">
        <f t="shared" si="41"/>
        <v>F275</v>
      </c>
      <c r="K306" s="1314" t="str">
        <f t="shared" si="39"/>
        <v>PIM Model</v>
      </c>
      <c r="L306" s="827" t="s">
        <v>463</v>
      </c>
      <c r="M306" s="1314">
        <v>275</v>
      </c>
      <c r="N306" s="1314"/>
      <c r="O306" s="1311"/>
      <c r="P306" s="1311"/>
      <c r="Q306" s="1311"/>
      <c r="R306" s="1311"/>
      <c r="S306" s="1311"/>
      <c r="T306" s="1311"/>
      <c r="U306" s="1311"/>
      <c r="V306" s="1311"/>
      <c r="W306" s="1311"/>
      <c r="X306" s="1311"/>
      <c r="Y306" s="1311"/>
      <c r="Z306" s="1311"/>
    </row>
    <row r="307" spans="1:26" x14ac:dyDescent="0.25">
      <c r="A307" s="1095" t="s">
        <v>1282</v>
      </c>
      <c r="B307" s="1274" t="str">
        <f ca="1">IF('Pricing Schedule'!$K$5="No",_xlfn.CONCAT(IFERROR(SUBSTITUTE(ADDRESS(1,MATCH(A307,INDIRECT("'"&amp;E307&amp;"'"&amp;"!A10:Z10"),0),4),1,""),""),11),_xlfn.CONCAT(IFERROR(SUBSTITUTE(ADDRESS(1,MATCH(A307,INDIRECT("'"&amp;E307&amp;"'"&amp;"!A10:Z10"),0),4),1,""),""),36))</f>
        <v>E11</v>
      </c>
      <c r="C307" s="1274" t="str">
        <f ca="1">IF('Pricing Schedule'!$K$5="No",IFERROR(SUBSTITUTE(ADDRESS(1,MATCH(A307,INDIRECT("'"&amp;E307&amp;"'"&amp;"!A10:Z10"),0),4),1,""),""),IFERROR(SUBSTITUTE(ADDRESS(1,MATCH(A307,INDIRECT("'"&amp;E307&amp;"'"&amp;"!A10:Z10"),0),4),1,""),""))</f>
        <v>E</v>
      </c>
      <c r="D307" s="791" t="s">
        <v>1357</v>
      </c>
      <c r="E307" s="791" t="s">
        <v>1279</v>
      </c>
      <c r="F307" s="1314"/>
      <c r="G307" s="1314"/>
      <c r="H307" s="1314"/>
      <c r="I307" s="1274" t="str">
        <f t="shared" si="38"/>
        <v>Special Pricing Code</v>
      </c>
      <c r="J307" s="1314" t="str">
        <f t="shared" si="41"/>
        <v>F276</v>
      </c>
      <c r="K307" s="1314" t="str">
        <f t="shared" si="39"/>
        <v>Pricing Schedule</v>
      </c>
      <c r="L307" s="827" t="s">
        <v>1282</v>
      </c>
      <c r="M307" s="1314">
        <v>276</v>
      </c>
      <c r="N307" s="1314"/>
      <c r="O307" s="1311"/>
      <c r="P307" s="1311"/>
      <c r="Q307" s="1311"/>
      <c r="R307" s="1311"/>
      <c r="S307" s="1311"/>
      <c r="T307" s="1311"/>
      <c r="U307" s="1311"/>
      <c r="V307" s="1311"/>
      <c r="W307" s="1311"/>
      <c r="X307" s="1311"/>
      <c r="Y307" s="1311"/>
      <c r="Z307" s="1311"/>
    </row>
    <row r="308" spans="1:26" x14ac:dyDescent="0.25">
      <c r="A308" s="1095" t="s">
        <v>1284</v>
      </c>
      <c r="B308" s="1274" t="str">
        <f ca="1">IF('Pricing Schedule'!$K$5="No",_xlfn.CONCAT(IFERROR(SUBSTITUTE(ADDRESS(1,MATCH(A308,INDIRECT("'"&amp;E308&amp;"'"&amp;"!A10:Z10"),0),4),1,""),""),11),_xlfn.CONCAT(IFERROR(SUBSTITUTE(ADDRESS(1,MATCH(A308,INDIRECT("'"&amp;E308&amp;"'"&amp;"!A10:Z10"),0),4),1,""),""),36))</f>
        <v>G11</v>
      </c>
      <c r="C308" s="1274" t="str">
        <f ca="1">IF('Pricing Schedule'!$K$5="No",IFERROR(SUBSTITUTE(ADDRESS(1,MATCH(A308,INDIRECT("'"&amp;E308&amp;"'"&amp;"!A10:Z10"),0),4),1,""),""),IFERROR(SUBSTITUTE(ADDRESS(1,MATCH(A308,INDIRECT("'"&amp;E308&amp;"'"&amp;"!A10:Z10"),0),4),1,""),""))</f>
        <v>G</v>
      </c>
      <c r="D308" s="791" t="s">
        <v>1357</v>
      </c>
      <c r="E308" s="791" t="s">
        <v>1279</v>
      </c>
      <c r="F308" s="1097"/>
      <c r="G308" s="1314"/>
      <c r="H308" s="1314"/>
      <c r="I308" s="1274" t="str">
        <f t="shared" si="38"/>
        <v>EB Markup Amt</v>
      </c>
      <c r="J308" s="1314" t="str">
        <f t="shared" si="41"/>
        <v>F277</v>
      </c>
      <c r="K308" s="1314" t="str">
        <f t="shared" si="39"/>
        <v>Pricing Schedule</v>
      </c>
      <c r="L308" s="827" t="s">
        <v>1284</v>
      </c>
      <c r="M308" s="1314">
        <v>277</v>
      </c>
      <c r="N308" s="1314"/>
      <c r="O308" s="1311"/>
      <c r="P308" s="1311"/>
      <c r="Q308" s="1311"/>
      <c r="R308" s="1311"/>
      <c r="S308" s="1311"/>
      <c r="T308" s="1311"/>
      <c r="U308" s="1311"/>
      <c r="V308" s="1311"/>
      <c r="W308" s="1311"/>
      <c r="X308" s="1311"/>
      <c r="Y308" s="1311"/>
      <c r="Z308" s="1311"/>
    </row>
    <row r="309" spans="1:26" x14ac:dyDescent="0.25">
      <c r="A309" s="1095" t="s">
        <v>1285</v>
      </c>
      <c r="B309" s="1274" t="str">
        <f ca="1">IF('Pricing Schedule'!$K$5="No",_xlfn.CONCAT(IFERROR(SUBSTITUTE(ADDRESS(1,MATCH(A309,INDIRECT("'"&amp;E309&amp;"'"&amp;"!A10:Z10"),0),4),1,""),""),11),_xlfn.CONCAT(IFERROR(SUBSTITUTE(ADDRESS(1,MATCH(A309,INDIRECT("'"&amp;E309&amp;"'"&amp;"!A10:Z10"),0),4),1,""),""),36))</f>
        <v>I11</v>
      </c>
      <c r="C309" s="1274" t="str">
        <f ca="1">IF('Pricing Schedule'!$K$5="No",IFERROR(SUBSTITUTE(ADDRESS(1,MATCH(A309,INDIRECT("'"&amp;E309&amp;"'"&amp;"!A10:Z10"),0),4),1,""),""),IFERROR(SUBSTITUTE(ADDRESS(1,MATCH(A309,INDIRECT("'"&amp;E309&amp;"'"&amp;"!A10:Z10"),0),4),1,""),""))</f>
        <v>I</v>
      </c>
      <c r="D309" s="791" t="s">
        <v>1357</v>
      </c>
      <c r="E309" s="791" t="s">
        <v>1279</v>
      </c>
      <c r="F309" s="1097"/>
      <c r="G309" s="1314"/>
      <c r="H309" s="1314"/>
      <c r="I309" s="1274" t="str">
        <f t="shared" si="38"/>
        <v>Min CS Markup Override Flag</v>
      </c>
      <c r="J309" s="1314" t="str">
        <f t="shared" si="41"/>
        <v>F278</v>
      </c>
      <c r="K309" s="1314" t="str">
        <f t="shared" si="39"/>
        <v>Pricing Schedule</v>
      </c>
      <c r="L309" s="827" t="s">
        <v>1285</v>
      </c>
      <c r="M309" s="1314">
        <v>278</v>
      </c>
      <c r="N309" s="1314"/>
      <c r="O309" s="1311"/>
      <c r="P309" s="1311"/>
      <c r="Q309" s="1311"/>
      <c r="R309" s="1311"/>
      <c r="S309" s="1311"/>
      <c r="T309" s="1311"/>
      <c r="U309" s="1311"/>
      <c r="V309" s="1311"/>
      <c r="W309" s="1311"/>
      <c r="X309" s="1311"/>
      <c r="Y309" s="1311"/>
      <c r="Z309" s="1311"/>
    </row>
    <row r="310" spans="1:26" x14ac:dyDescent="0.25">
      <c r="A310" s="1095" t="s">
        <v>1286</v>
      </c>
      <c r="B310" s="1274" t="str">
        <f ca="1">IF('Pricing Schedule'!$K$5="No",_xlfn.CONCAT(IFERROR(SUBSTITUTE(ADDRESS(1,MATCH(A310,INDIRECT("'"&amp;E310&amp;"'"&amp;"!A10:Z10"),0),4),1,""),""),11),_xlfn.CONCAT(IFERROR(SUBSTITUTE(ADDRESS(1,MATCH(A310,INDIRECT("'"&amp;E310&amp;"'"&amp;"!A10:Z10"),0),4),1,""),""),36))</f>
        <v>J11</v>
      </c>
      <c r="C310" s="1274" t="str">
        <f ca="1">IF('Pricing Schedule'!$K$5="No",IFERROR(SUBSTITUTE(ADDRESS(1,MATCH(A310,INDIRECT("'"&amp;E310&amp;"'"&amp;"!A10:Z10"),0),4),1,""),""),IFERROR(SUBSTITUTE(ADDRESS(1,MATCH(A310,INDIRECT("'"&amp;E310&amp;"'"&amp;"!A10:Z10"),0),4),1,""),""))</f>
        <v>J</v>
      </c>
      <c r="D310" s="791" t="s">
        <v>1357</v>
      </c>
      <c r="E310" s="791" t="s">
        <v>1279</v>
      </c>
      <c r="F310" s="1097"/>
      <c r="G310" s="1314"/>
      <c r="H310" s="1314"/>
      <c r="I310" s="1274" t="str">
        <f t="shared" si="38"/>
        <v>Min CS Markup Amt</v>
      </c>
      <c r="J310" s="1314" t="str">
        <f t="shared" si="41"/>
        <v>F279</v>
      </c>
      <c r="K310" s="1314" t="str">
        <f t="shared" si="39"/>
        <v>Pricing Schedule</v>
      </c>
      <c r="L310" s="827" t="s">
        <v>1286</v>
      </c>
      <c r="M310" s="1314">
        <v>279</v>
      </c>
      <c r="N310" s="1314"/>
      <c r="O310" s="1311"/>
      <c r="P310" s="1311"/>
      <c r="Q310" s="1311"/>
      <c r="R310" s="1311"/>
      <c r="S310" s="1311"/>
      <c r="T310" s="1311"/>
      <c r="U310" s="1311"/>
      <c r="V310" s="1311"/>
      <c r="W310" s="1311"/>
      <c r="X310" s="1311"/>
      <c r="Y310" s="1311"/>
      <c r="Z310" s="1311"/>
    </row>
    <row r="311" spans="1:26" x14ac:dyDescent="0.25">
      <c r="A311" s="1095" t="s">
        <v>1287</v>
      </c>
      <c r="B311" s="1274" t="str">
        <f ca="1">IF('Pricing Schedule'!$K$5="No",_xlfn.CONCAT(IFERROR(SUBSTITUTE(ADDRESS(1,MATCH(A311,INDIRECT("'"&amp;E311&amp;"'"&amp;"!A10:Z10"),0),4),1,""),""),11),_xlfn.CONCAT(IFERROR(SUBSTITUTE(ADDRESS(1,MATCH(A311,INDIRECT("'"&amp;E311&amp;"'"&amp;"!A10:Z10"),0),4),1,""),""),36))</f>
        <v>K11</v>
      </c>
      <c r="C311" s="1274" t="str">
        <f ca="1">IF('Pricing Schedule'!$K$5="No",IFERROR(SUBSTITUTE(ADDRESS(1,MATCH(A311,INDIRECT("'"&amp;E311&amp;"'"&amp;"!A10:Z10"),0),4),1,""),""),IFERROR(SUBSTITUTE(ADDRESS(1,MATCH(A311,INDIRECT("'"&amp;E311&amp;"'"&amp;"!A10:Z10"),0),4),1,""),""))</f>
        <v>K</v>
      </c>
      <c r="D311" s="791" t="s">
        <v>1357</v>
      </c>
      <c r="E311" s="791" t="s">
        <v>1279</v>
      </c>
      <c r="F311" s="1097"/>
      <c r="G311" s="1314"/>
      <c r="H311" s="1314"/>
      <c r="I311" s="1274" t="str">
        <f t="shared" si="38"/>
        <v>Split Case Fee Override Flag</v>
      </c>
      <c r="J311" s="1314" t="str">
        <f t="shared" si="41"/>
        <v>F280</v>
      </c>
      <c r="K311" s="1314" t="str">
        <f t="shared" si="39"/>
        <v>Pricing Schedule</v>
      </c>
      <c r="L311" s="827" t="s">
        <v>1287</v>
      </c>
      <c r="M311" s="1314">
        <v>280</v>
      </c>
      <c r="N311" s="1314"/>
      <c r="O311" s="1311"/>
      <c r="P311" s="1311"/>
      <c r="Q311" s="1311"/>
      <c r="R311" s="1311"/>
      <c r="S311" s="1311"/>
      <c r="T311" s="1311"/>
      <c r="U311" s="1311"/>
      <c r="V311" s="1311"/>
      <c r="W311" s="1311"/>
      <c r="X311" s="1311"/>
      <c r="Y311" s="1311"/>
      <c r="Z311" s="1311"/>
    </row>
    <row r="312" spans="1:26" x14ac:dyDescent="0.25">
      <c r="A312" s="1095" t="s">
        <v>1288</v>
      </c>
      <c r="B312" s="1274" t="str">
        <f ca="1">IF('Pricing Schedule'!$K$5="No",_xlfn.CONCAT(IFERROR(SUBSTITUTE(ADDRESS(1,MATCH(A312,INDIRECT("'"&amp;E312&amp;"'"&amp;"!A10:Z10"),0),4),1,""),""),11),_xlfn.CONCAT(IFERROR(SUBSTITUTE(ADDRESS(1,MATCH(A312,INDIRECT("'"&amp;E312&amp;"'"&amp;"!A10:Z10"),0),4),1,""),""),36))</f>
        <v>L11</v>
      </c>
      <c r="C312" s="1274" t="str">
        <f ca="1">IF('Pricing Schedule'!$K$5="No",IFERROR(SUBSTITUTE(ADDRESS(1,MATCH(A312,INDIRECT("'"&amp;E312&amp;"'"&amp;"!A10:Z10"),0),4),1,""),""),IFERROR(SUBSTITUTE(ADDRESS(1,MATCH(A312,INDIRECT("'"&amp;E312&amp;"'"&amp;"!A10:Z10"),0),4),1,""),""))</f>
        <v>L</v>
      </c>
      <c r="D312" s="791" t="s">
        <v>1357</v>
      </c>
      <c r="E312" s="791" t="s">
        <v>1279</v>
      </c>
      <c r="F312" s="1097"/>
      <c r="G312" s="1314"/>
      <c r="H312" s="1314"/>
      <c r="I312" s="1274" t="str">
        <f t="shared" si="38"/>
        <v>Split Case Fee</v>
      </c>
      <c r="J312" s="1314" t="str">
        <f t="shared" si="41"/>
        <v>F281</v>
      </c>
      <c r="K312" s="1314" t="str">
        <f t="shared" si="39"/>
        <v>Pricing Schedule</v>
      </c>
      <c r="L312" s="827" t="s">
        <v>1288</v>
      </c>
      <c r="M312" s="1314">
        <v>281</v>
      </c>
      <c r="N312" s="1314"/>
      <c r="O312" s="1311"/>
      <c r="P312" s="1311"/>
      <c r="Q312" s="1311"/>
      <c r="R312" s="1311"/>
      <c r="S312" s="1311"/>
      <c r="T312" s="1311"/>
      <c r="U312" s="1311"/>
      <c r="V312" s="1311"/>
      <c r="W312" s="1311"/>
      <c r="X312" s="1311"/>
      <c r="Y312" s="1311"/>
      <c r="Z312" s="1311"/>
    </row>
    <row r="313" spans="1:26" x14ac:dyDescent="0.25">
      <c r="A313" s="1095" t="s">
        <v>1228</v>
      </c>
      <c r="B313" s="1274" t="str">
        <f ca="1">IF('Pricing Schedule'!$K$5="No",_xlfn.CONCAT(IFERROR(SUBSTITUTE(ADDRESS(1,MATCH(A313,INDIRECT("'"&amp;E313&amp;"'"&amp;"!A10:Z10"),0),4),1,""),""),11),_xlfn.CONCAT(IFERROR(SUBSTITUTE(ADDRESS(1,MATCH(A313,INDIRECT("'"&amp;E313&amp;"'"&amp;"!A10:Z10"),0),4),1,""),""),36))</f>
        <v>M11</v>
      </c>
      <c r="C313" s="1274" t="str">
        <f ca="1">IF('Pricing Schedule'!$K$5="No",IFERROR(SUBSTITUTE(ADDRESS(1,MATCH(A313,INDIRECT("'"&amp;E313&amp;"'"&amp;"!A10:Z10"),0),4),1,""),""),IFERROR(SUBSTITUTE(ADDRESS(1,MATCH(A313,INDIRECT("'"&amp;E313&amp;"'"&amp;"!A10:Z10"),0),4),1,""),""))</f>
        <v>M</v>
      </c>
      <c r="D313" s="791" t="s">
        <v>1357</v>
      </c>
      <c r="E313" s="791" t="s">
        <v>1279</v>
      </c>
      <c r="F313" s="1097"/>
      <c r="G313" s="1314"/>
      <c r="H313" s="1314"/>
      <c r="I313" s="1274" t="str">
        <f t="shared" si="38"/>
        <v>Split Case Per</v>
      </c>
      <c r="J313" s="1314" t="str">
        <f t="shared" si="41"/>
        <v>F282</v>
      </c>
      <c r="K313" s="1314" t="str">
        <f t="shared" si="39"/>
        <v>Pricing Schedule</v>
      </c>
      <c r="L313" s="827" t="s">
        <v>1228</v>
      </c>
      <c r="M313" s="1314">
        <v>282</v>
      </c>
      <c r="N313" s="1314"/>
      <c r="O313" s="1311"/>
      <c r="P313" s="1311"/>
      <c r="Q313" s="1311"/>
      <c r="R313" s="1311"/>
      <c r="S313" s="1311"/>
      <c r="T313" s="1311"/>
      <c r="U313" s="1311"/>
      <c r="V313" s="1311"/>
      <c r="W313" s="1311"/>
      <c r="X313" s="1311"/>
      <c r="Y313" s="1311"/>
      <c r="Z313" s="1311"/>
    </row>
    <row r="314" spans="1:26" x14ac:dyDescent="0.25">
      <c r="A314" s="849" t="s">
        <v>1289</v>
      </c>
      <c r="B314" s="1274" t="str">
        <f ca="1">IF('Pricing Schedule'!$K$5="No",_xlfn.CONCAT(IFERROR(SUBSTITUTE(ADDRESS(1,MATCH(A314,INDIRECT("'"&amp;E314&amp;"'"&amp;"!A10:Z10"),0),4),1,""),""),12),_xlfn.CONCAT(IFERROR(SUBSTITUTE(ADDRESS(1,MATCH(A314,INDIRECT("'"&amp;E314&amp;"'"&amp;"!A10:Z10"),0),4),1,""),""),46))</f>
        <v>N12</v>
      </c>
      <c r="C314" s="1274" t="str">
        <f ca="1">IF('Pricing Schedule'!$K$5="No",IFERROR(SUBSTITUTE(ADDRESS(1,MATCH(A314,INDIRECT("'"&amp;E314&amp;"'"&amp;"!A10:Z10"),0),4),1,""),""),IFERROR(SUBSTITUTE(ADDRESS(1,MATCH(A314,INDIRECT("'"&amp;E314&amp;"'"&amp;"!A10:Z10"),0),4),1,""),""))</f>
        <v>N</v>
      </c>
      <c r="D314" s="791" t="s">
        <v>1357</v>
      </c>
      <c r="E314" s="791" t="s">
        <v>1279</v>
      </c>
      <c r="F314" s="1314"/>
      <c r="G314" s="1314"/>
      <c r="H314" s="1314"/>
      <c r="I314" s="1274" t="str">
        <f t="shared" si="38"/>
        <v/>
      </c>
      <c r="J314" s="1314"/>
      <c r="K314" s="1314" t="str">
        <f t="shared" si="39"/>
        <v/>
      </c>
      <c r="L314" s="827" t="s">
        <v>1289</v>
      </c>
      <c r="M314" s="1314">
        <v>283</v>
      </c>
      <c r="N314" s="1314"/>
      <c r="O314" s="1311"/>
      <c r="P314" s="1311"/>
      <c r="Q314" s="1311"/>
      <c r="R314" s="1311"/>
      <c r="S314" s="1311"/>
      <c r="T314" s="1311"/>
      <c r="U314" s="1311"/>
      <c r="V314" s="1311"/>
      <c r="W314" s="1311"/>
      <c r="X314" s="1311"/>
      <c r="Y314" s="1311"/>
      <c r="Z314" s="1311"/>
    </row>
    <row r="315" spans="1:26" x14ac:dyDescent="0.25">
      <c r="A315" s="850" t="s">
        <v>1280</v>
      </c>
      <c r="B315" s="1274" t="str">
        <f ca="1">IF('Pricing Schedule'!$K$5="No",_xlfn.CONCAT(IFERROR(SUBSTITUTE(ADDRESS(1,MATCH(A315,INDIRECT("'"&amp;E315&amp;"'"&amp;"!A10:Z10"),0),4),1,""),""),12),_xlfn.CONCAT(IFERROR(SUBSTITUTE(ADDRESS(1,MATCH(A315,INDIRECT("'"&amp;E315&amp;"'"&amp;"!A10:Z10"),0),4),1,""),""),46))</f>
        <v>C12</v>
      </c>
      <c r="C315" s="1274" t="str">
        <f ca="1">IF('Pricing Schedule'!$K$5="No",IFERROR(SUBSTITUTE(ADDRESS(1,MATCH(A315,INDIRECT("'"&amp;E315&amp;"'"&amp;"!A10:Z10"),0),4),1,""),""),IFERROR(SUBSTITUTE(ADDRESS(1,MATCH(A315,INDIRECT("'"&amp;E315&amp;"'"&amp;"!A10:Z10"),0),4),1,""),""))</f>
        <v>C</v>
      </c>
      <c r="D315" s="791" t="s">
        <v>1357</v>
      </c>
      <c r="E315" s="791" t="s">
        <v>1279</v>
      </c>
      <c r="F315" s="1314"/>
      <c r="G315" s="1314"/>
      <c r="H315" s="1314"/>
      <c r="I315" s="1274" t="str">
        <f t="shared" si="38"/>
        <v/>
      </c>
      <c r="J315" s="1314"/>
      <c r="K315" s="1314" t="str">
        <f t="shared" si="39"/>
        <v/>
      </c>
      <c r="L315" s="827" t="s">
        <v>252</v>
      </c>
      <c r="M315" s="1314">
        <v>284</v>
      </c>
      <c r="N315" s="1314"/>
      <c r="O315" s="1311"/>
      <c r="P315" s="1311"/>
      <c r="Q315" s="1311"/>
      <c r="R315" s="1311"/>
      <c r="S315" s="1311"/>
      <c r="T315" s="1311"/>
      <c r="U315" s="1311"/>
      <c r="V315" s="1311"/>
      <c r="W315" s="1311"/>
      <c r="X315" s="1311"/>
      <c r="Y315" s="1311"/>
      <c r="Z315" s="1311"/>
    </row>
    <row r="316" spans="1:26" x14ac:dyDescent="0.25">
      <c r="A316" s="850" t="s">
        <v>1246</v>
      </c>
      <c r="B316" s="1274" t="str">
        <f ca="1">IF('Pricing Schedule'!$K$5="No",_xlfn.CONCAT(IFERROR(SUBSTITUTE(ADDRESS(1,MATCH(A316,INDIRECT("'"&amp;E316&amp;"'"&amp;"!A10:Z10"),0),4),1,""),""),12),_xlfn.CONCAT(IFERROR(SUBSTITUTE(ADDRESS(1,MATCH(A316,INDIRECT("'"&amp;E316&amp;"'"&amp;"!A10:Z10"),0),4),1,""),""),46))</f>
        <v>H12</v>
      </c>
      <c r="C316" s="1274" t="str">
        <f ca="1">IF('Pricing Schedule'!$K$5="No",IFERROR(SUBSTITUTE(ADDRESS(1,MATCH(A316,INDIRECT("'"&amp;E316&amp;"'"&amp;"!A10:Z10"),0),4),1,""),""),IFERROR(SUBSTITUTE(ADDRESS(1,MATCH(A316,INDIRECT("'"&amp;E316&amp;"'"&amp;"!A10:Z10"),0),4),1,""),""))</f>
        <v>H</v>
      </c>
      <c r="D316" s="791" t="s">
        <v>1357</v>
      </c>
      <c r="E316" s="791" t="s">
        <v>1279</v>
      </c>
      <c r="F316" s="1314"/>
      <c r="G316" s="1314"/>
      <c r="H316" s="1314"/>
      <c r="I316" s="1274" t="str">
        <f t="shared" si="38"/>
        <v/>
      </c>
      <c r="J316" s="1314"/>
      <c r="K316" s="1314" t="str">
        <f t="shared" si="39"/>
        <v/>
      </c>
      <c r="L316" s="827" t="s">
        <v>1246</v>
      </c>
      <c r="M316" s="1314">
        <v>285</v>
      </c>
      <c r="N316" s="1314"/>
      <c r="O316" s="1311"/>
      <c r="P316" s="1311"/>
      <c r="Q316" s="1311"/>
      <c r="R316" s="1311"/>
      <c r="S316" s="1311"/>
      <c r="T316" s="1311"/>
      <c r="U316" s="1311"/>
      <c r="V316" s="1311"/>
      <c r="W316" s="1311"/>
      <c r="X316" s="1311"/>
      <c r="Y316" s="1311"/>
      <c r="Z316" s="1311"/>
    </row>
    <row r="317" spans="1:26" x14ac:dyDescent="0.25">
      <c r="A317" s="850" t="s">
        <v>1283</v>
      </c>
      <c r="B317" s="1274" t="str">
        <f ca="1">IF('Pricing Schedule'!$K$5="No",_xlfn.CONCAT(IFERROR(SUBSTITUTE(ADDRESS(1,MATCH(A317,INDIRECT("'"&amp;E317&amp;"'"&amp;"!A10:Z10"),0),4),1,""),""),12),_xlfn.CONCAT(IFERROR(SUBSTITUTE(ADDRESS(1,MATCH(A317,INDIRECT("'"&amp;E317&amp;"'"&amp;"!A10:Z10"),0),4),1,""),""),46))</f>
        <v>F12</v>
      </c>
      <c r="C317" s="1274" t="str">
        <f ca="1">IF('Pricing Schedule'!$K$5="No",IFERROR(SUBSTITUTE(ADDRESS(1,MATCH(A317,INDIRECT("'"&amp;E317&amp;"'"&amp;"!A10:Z10"),0),4),1,""),""),IFERROR(SUBSTITUTE(ADDRESS(1,MATCH(A317,INDIRECT("'"&amp;E317&amp;"'"&amp;"!A10:Z10"),0),4),1,""),""))</f>
        <v>F</v>
      </c>
      <c r="D317" s="791" t="s">
        <v>1357</v>
      </c>
      <c r="E317" s="791" t="s">
        <v>1279</v>
      </c>
      <c r="F317" s="1314"/>
      <c r="G317" s="1314"/>
      <c r="H317" s="1314"/>
      <c r="I317" s="1274" t="str">
        <f t="shared" si="38"/>
        <v/>
      </c>
      <c r="J317" s="1314"/>
      <c r="K317" s="1314" t="str">
        <f t="shared" si="39"/>
        <v/>
      </c>
      <c r="L317" s="827" t="s">
        <v>225</v>
      </c>
      <c r="M317" s="1314">
        <v>286</v>
      </c>
      <c r="N317" s="1314"/>
      <c r="O317" s="1311"/>
      <c r="P317" s="1311"/>
      <c r="Q317" s="1311"/>
      <c r="R317" s="1311"/>
      <c r="S317" s="1311"/>
      <c r="T317" s="1311"/>
      <c r="U317" s="1311"/>
      <c r="V317" s="1311"/>
      <c r="W317" s="1311"/>
      <c r="X317" s="1311"/>
      <c r="Y317" s="1311"/>
      <c r="Z317" s="1311"/>
    </row>
    <row r="318" spans="1:26" x14ac:dyDescent="0.25">
      <c r="A318" s="851" t="s">
        <v>463</v>
      </c>
      <c r="B318" s="1274" t="str">
        <f ca="1">_xlfn.CONCAT(IFERROR(SUBSTITUTE(ADDRESS(1,MATCH(A318,INDIRECT("'"&amp;E318&amp;"'"&amp;"!A9:Z9"),0),4),1,""),""),13)</f>
        <v>E13</v>
      </c>
      <c r="C318" s="1274" t="str">
        <f ca="1">_xlfn.CONCAT(IFERROR(SUBSTITUTE(ADDRESS(1,MATCH(A318,INDIRECT("'"&amp;E318&amp;"'"&amp;"!A9:Z9"),0),4),1,""),""))</f>
        <v>E</v>
      </c>
      <c r="D318" s="1314" t="s">
        <v>1357</v>
      </c>
      <c r="E318" s="791" t="s">
        <v>208</v>
      </c>
      <c r="F318" s="1314"/>
      <c r="G318" s="1314"/>
      <c r="H318" s="1314"/>
      <c r="I318" s="1274" t="str">
        <f t="shared" si="38"/>
        <v>Exclude PIM Classes Below</v>
      </c>
      <c r="J318" s="1314" t="str">
        <f t="shared" si="41"/>
        <v>F287</v>
      </c>
      <c r="K318" s="1314" t="str">
        <f t="shared" si="39"/>
        <v>PIM Model</v>
      </c>
      <c r="L318" s="827" t="s">
        <v>463</v>
      </c>
      <c r="M318" s="1314">
        <v>287</v>
      </c>
      <c r="N318" s="1314"/>
      <c r="O318" s="1311"/>
      <c r="P318" s="1311"/>
      <c r="Q318" s="1311"/>
      <c r="R318" s="1311"/>
      <c r="S318" s="1311"/>
      <c r="T318" s="1311"/>
      <c r="U318" s="1311"/>
      <c r="V318" s="1311"/>
      <c r="W318" s="1311"/>
      <c r="X318" s="1311"/>
      <c r="Y318" s="1311"/>
      <c r="Z318" s="1311"/>
    </row>
    <row r="319" spans="1:26" x14ac:dyDescent="0.25">
      <c r="A319" s="851" t="s">
        <v>1282</v>
      </c>
      <c r="B319" s="1274" t="str">
        <f ca="1">IF('Pricing Schedule'!$K$5="No",_xlfn.CONCAT(IFERROR(SUBSTITUTE(ADDRESS(1,MATCH(A319,INDIRECT("'"&amp;E319&amp;"'"&amp;"!A10:Z10"),0),4),1,""),""),12),_xlfn.CONCAT(IFERROR(SUBSTITUTE(ADDRESS(1,MATCH(A319,INDIRECT("'"&amp;E319&amp;"'"&amp;"!A10:Z10"),0),4),1,""),""),46))</f>
        <v>E12</v>
      </c>
      <c r="C319" s="1274" t="str">
        <f ca="1">IF('Pricing Schedule'!$K$5="No",IFERROR(SUBSTITUTE(ADDRESS(1,MATCH(A319,INDIRECT("'"&amp;E319&amp;"'"&amp;"!A10:Z10"),0),4),1,""),""),IFERROR(SUBSTITUTE(ADDRESS(1,MATCH(A319,INDIRECT("'"&amp;E319&amp;"'"&amp;"!A10:Z10"),0),4),1,""),""))</f>
        <v>E</v>
      </c>
      <c r="D319" s="791" t="s">
        <v>1357</v>
      </c>
      <c r="E319" s="791" t="s">
        <v>1279</v>
      </c>
      <c r="F319" s="1314"/>
      <c r="G319" s="1314"/>
      <c r="H319" s="1314"/>
      <c r="I319" s="1274" t="str">
        <f t="shared" si="38"/>
        <v>Special Pricing Code</v>
      </c>
      <c r="J319" s="1314" t="str">
        <f t="shared" si="41"/>
        <v>F288</v>
      </c>
      <c r="K319" s="1314" t="str">
        <f t="shared" si="39"/>
        <v>Pricing Schedule</v>
      </c>
      <c r="L319" s="827" t="s">
        <v>1282</v>
      </c>
      <c r="M319" s="1314">
        <v>288</v>
      </c>
      <c r="N319" s="1314"/>
      <c r="O319" s="1311"/>
      <c r="P319" s="1311"/>
      <c r="Q319" s="1311"/>
      <c r="R319" s="1311"/>
      <c r="S319" s="1311"/>
      <c r="T319" s="1311"/>
      <c r="U319" s="1311"/>
      <c r="V319" s="1311"/>
      <c r="W319" s="1311"/>
      <c r="X319" s="1311"/>
      <c r="Y319" s="1311"/>
      <c r="Z319" s="1311"/>
    </row>
    <row r="320" spans="1:26" x14ac:dyDescent="0.25">
      <c r="A320" s="851" t="s">
        <v>1284</v>
      </c>
      <c r="B320" s="1274" t="str">
        <f ca="1">IF('Pricing Schedule'!$K$5="No",_xlfn.CONCAT(IFERROR(SUBSTITUTE(ADDRESS(1,MATCH(A320,INDIRECT("'"&amp;E320&amp;"'"&amp;"!A10:Z10"),0),4),1,""),""),12),_xlfn.CONCAT(IFERROR(SUBSTITUTE(ADDRESS(1,MATCH(A320,INDIRECT("'"&amp;E320&amp;"'"&amp;"!A10:Z10"),0),4),1,""),""),46))</f>
        <v>G12</v>
      </c>
      <c r="C320" s="1274" t="str">
        <f ca="1">IF('Pricing Schedule'!$K$5="No",IFERROR(SUBSTITUTE(ADDRESS(1,MATCH(A320,INDIRECT("'"&amp;E320&amp;"'"&amp;"!A10:Z10"),0),4),1,""),""),IFERROR(SUBSTITUTE(ADDRESS(1,MATCH(A320,INDIRECT("'"&amp;E320&amp;"'"&amp;"!A10:Z10"),0),4),1,""),""))</f>
        <v>G</v>
      </c>
      <c r="D320" s="791" t="s">
        <v>1357</v>
      </c>
      <c r="E320" s="791" t="s">
        <v>1279</v>
      </c>
      <c r="F320" s="1097"/>
      <c r="G320" s="1314"/>
      <c r="H320" s="1314"/>
      <c r="I320" s="1274" t="str">
        <f t="shared" si="38"/>
        <v>EB Markup Amt</v>
      </c>
      <c r="J320" s="1314" t="str">
        <f t="shared" si="41"/>
        <v>F289</v>
      </c>
      <c r="K320" s="1314" t="str">
        <f t="shared" si="39"/>
        <v>Pricing Schedule</v>
      </c>
      <c r="L320" s="827" t="s">
        <v>1284</v>
      </c>
      <c r="M320" s="1314">
        <v>289</v>
      </c>
      <c r="N320" s="1314"/>
      <c r="O320" s="1311"/>
      <c r="P320" s="1311"/>
      <c r="Q320" s="1311"/>
      <c r="R320" s="1311"/>
      <c r="S320" s="1311"/>
      <c r="T320" s="1311"/>
      <c r="U320" s="1311"/>
      <c r="V320" s="1311"/>
      <c r="W320" s="1311"/>
      <c r="X320" s="1311"/>
      <c r="Y320" s="1311"/>
      <c r="Z320" s="1311"/>
    </row>
    <row r="321" spans="1:26" x14ac:dyDescent="0.25">
      <c r="A321" s="851" t="s">
        <v>1285</v>
      </c>
      <c r="B321" s="1274" t="str">
        <f ca="1">IF('Pricing Schedule'!$K$5="No",_xlfn.CONCAT(IFERROR(SUBSTITUTE(ADDRESS(1,MATCH(A321,INDIRECT("'"&amp;E321&amp;"'"&amp;"!A10:Z10"),0),4),1,""),""),12),_xlfn.CONCAT(IFERROR(SUBSTITUTE(ADDRESS(1,MATCH(A321,INDIRECT("'"&amp;E321&amp;"'"&amp;"!A10:Z10"),0),4),1,""),""),46))</f>
        <v>I12</v>
      </c>
      <c r="C321" s="1274" t="str">
        <f ca="1">IF('Pricing Schedule'!$K$5="No",IFERROR(SUBSTITUTE(ADDRESS(1,MATCH(A321,INDIRECT("'"&amp;E321&amp;"'"&amp;"!A10:Z10"),0),4),1,""),""),IFERROR(SUBSTITUTE(ADDRESS(1,MATCH(A321,INDIRECT("'"&amp;E321&amp;"'"&amp;"!A10:Z10"),0),4),1,""),""))</f>
        <v>I</v>
      </c>
      <c r="D321" s="791" t="s">
        <v>1357</v>
      </c>
      <c r="E321" s="791" t="s">
        <v>1279</v>
      </c>
      <c r="F321" s="1097"/>
      <c r="G321" s="1314"/>
      <c r="H321" s="1314"/>
      <c r="I321" s="1274" t="str">
        <f t="shared" si="38"/>
        <v>Min CS Markup Override Flag</v>
      </c>
      <c r="J321" s="1314" t="str">
        <f t="shared" si="41"/>
        <v>F290</v>
      </c>
      <c r="K321" s="1314" t="str">
        <f t="shared" si="39"/>
        <v>Pricing Schedule</v>
      </c>
      <c r="L321" s="827" t="s">
        <v>1285</v>
      </c>
      <c r="M321" s="1314">
        <v>290</v>
      </c>
      <c r="N321" s="1314"/>
      <c r="O321" s="1311"/>
      <c r="P321" s="1311"/>
      <c r="Q321" s="1311"/>
      <c r="R321" s="1311"/>
      <c r="S321" s="1311"/>
      <c r="T321" s="1311"/>
      <c r="U321" s="1311"/>
      <c r="V321" s="1311"/>
      <c r="W321" s="1311"/>
      <c r="X321" s="1311"/>
      <c r="Y321" s="1311"/>
      <c r="Z321" s="1311"/>
    </row>
    <row r="322" spans="1:26" x14ac:dyDescent="0.25">
      <c r="A322" s="851" t="s">
        <v>1286</v>
      </c>
      <c r="B322" s="1274" t="str">
        <f ca="1">IF('Pricing Schedule'!$K$5="No",_xlfn.CONCAT(IFERROR(SUBSTITUTE(ADDRESS(1,MATCH(A322,INDIRECT("'"&amp;E322&amp;"'"&amp;"!A10:Z10"),0),4),1,""),""),12),_xlfn.CONCAT(IFERROR(SUBSTITUTE(ADDRESS(1,MATCH(A322,INDIRECT("'"&amp;E322&amp;"'"&amp;"!A10:Z10"),0),4),1,""),""),46))</f>
        <v>J12</v>
      </c>
      <c r="C322" s="1274" t="str">
        <f ca="1">IF('Pricing Schedule'!$K$5="No",IFERROR(SUBSTITUTE(ADDRESS(1,MATCH(A322,INDIRECT("'"&amp;E322&amp;"'"&amp;"!A10:Z10"),0),4),1,""),""),IFERROR(SUBSTITUTE(ADDRESS(1,MATCH(A322,INDIRECT("'"&amp;E322&amp;"'"&amp;"!A10:Z10"),0),4),1,""),""))</f>
        <v>J</v>
      </c>
      <c r="D322" s="791" t="s">
        <v>1357</v>
      </c>
      <c r="E322" s="791" t="s">
        <v>1279</v>
      </c>
      <c r="F322" s="1097"/>
      <c r="G322" s="1314"/>
      <c r="H322" s="1314"/>
      <c r="I322" s="1274" t="str">
        <f t="shared" si="38"/>
        <v>Min CS Markup Amt</v>
      </c>
      <c r="J322" s="1314" t="str">
        <f t="shared" si="41"/>
        <v>F291</v>
      </c>
      <c r="K322" s="1314" t="str">
        <f t="shared" si="39"/>
        <v>Pricing Schedule</v>
      </c>
      <c r="L322" s="827" t="s">
        <v>1286</v>
      </c>
      <c r="M322" s="1314">
        <v>291</v>
      </c>
      <c r="N322" s="1314"/>
      <c r="O322" s="1311"/>
      <c r="P322" s="1311"/>
      <c r="Q322" s="1311"/>
      <c r="R322" s="1311"/>
      <c r="S322" s="1311"/>
      <c r="T322" s="1311"/>
      <c r="U322" s="1311"/>
      <c r="V322" s="1311"/>
      <c r="W322" s="1311"/>
      <c r="X322" s="1311"/>
      <c r="Y322" s="1311"/>
      <c r="Z322" s="1311"/>
    </row>
    <row r="323" spans="1:26" x14ac:dyDescent="0.25">
      <c r="A323" s="851" t="s">
        <v>1287</v>
      </c>
      <c r="B323" s="1274" t="str">
        <f ca="1">IF('Pricing Schedule'!$K$5="No",_xlfn.CONCAT(IFERROR(SUBSTITUTE(ADDRESS(1,MATCH(A323,INDIRECT("'"&amp;E323&amp;"'"&amp;"!A10:Z10"),0),4),1,""),""),12),_xlfn.CONCAT(IFERROR(SUBSTITUTE(ADDRESS(1,MATCH(A323,INDIRECT("'"&amp;E323&amp;"'"&amp;"!A10:Z10"),0),4),1,""),""),46))</f>
        <v>K12</v>
      </c>
      <c r="C323" s="1274" t="str">
        <f ca="1">IF('Pricing Schedule'!$K$5="No",IFERROR(SUBSTITUTE(ADDRESS(1,MATCH(A323,INDIRECT("'"&amp;E323&amp;"'"&amp;"!A10:Z10"),0),4),1,""),""),IFERROR(SUBSTITUTE(ADDRESS(1,MATCH(A323,INDIRECT("'"&amp;E323&amp;"'"&amp;"!A10:Z10"),0),4),1,""),""))</f>
        <v>K</v>
      </c>
      <c r="D323" s="791" t="s">
        <v>1357</v>
      </c>
      <c r="E323" s="791" t="s">
        <v>1279</v>
      </c>
      <c r="F323" s="1097"/>
      <c r="G323" s="1314"/>
      <c r="H323" s="1314"/>
      <c r="I323" s="1274" t="str">
        <f t="shared" si="38"/>
        <v>Split Case Fee Override Flag</v>
      </c>
      <c r="J323" s="1314" t="str">
        <f t="shared" si="41"/>
        <v>F292</v>
      </c>
      <c r="K323" s="1314" t="str">
        <f t="shared" si="39"/>
        <v>Pricing Schedule</v>
      </c>
      <c r="L323" s="827" t="s">
        <v>1287</v>
      </c>
      <c r="M323" s="1314">
        <v>292</v>
      </c>
      <c r="N323" s="1314"/>
      <c r="O323" s="1311"/>
      <c r="P323" s="1311"/>
      <c r="Q323" s="1311"/>
      <c r="R323" s="1311"/>
      <c r="S323" s="1311"/>
      <c r="T323" s="1311"/>
      <c r="U323" s="1311"/>
      <c r="V323" s="1311"/>
      <c r="W323" s="1311"/>
      <c r="X323" s="1311"/>
      <c r="Y323" s="1311"/>
      <c r="Z323" s="1311"/>
    </row>
    <row r="324" spans="1:26" x14ac:dyDescent="0.25">
      <c r="A324" s="851" t="s">
        <v>1288</v>
      </c>
      <c r="B324" s="1274" t="str">
        <f ca="1">IF('Pricing Schedule'!$K$5="No",_xlfn.CONCAT(IFERROR(SUBSTITUTE(ADDRESS(1,MATCH(A324,INDIRECT("'"&amp;E324&amp;"'"&amp;"!A10:Z10"),0),4),1,""),""),12),_xlfn.CONCAT(IFERROR(SUBSTITUTE(ADDRESS(1,MATCH(A324,INDIRECT("'"&amp;E324&amp;"'"&amp;"!A10:Z10"),0),4),1,""),""),46))</f>
        <v>L12</v>
      </c>
      <c r="C324" s="1274" t="str">
        <f ca="1">IF('Pricing Schedule'!$K$5="No",IFERROR(SUBSTITUTE(ADDRESS(1,MATCH(A324,INDIRECT("'"&amp;E324&amp;"'"&amp;"!A10:Z10"),0),4),1,""),""),IFERROR(SUBSTITUTE(ADDRESS(1,MATCH(A324,INDIRECT("'"&amp;E324&amp;"'"&amp;"!A10:Z10"),0),4),1,""),""))</f>
        <v>L</v>
      </c>
      <c r="D324" s="791" t="s">
        <v>1357</v>
      </c>
      <c r="E324" s="791" t="s">
        <v>1279</v>
      </c>
      <c r="F324" s="1097"/>
      <c r="G324" s="1314"/>
      <c r="H324" s="1314"/>
      <c r="I324" s="1274" t="str">
        <f t="shared" ref="I324:I387" si="42">IF(J324&lt;&gt;"",A324,"")</f>
        <v>Split Case Fee</v>
      </c>
      <c r="J324" s="1314" t="str">
        <f t="shared" si="41"/>
        <v>F293</v>
      </c>
      <c r="K324" s="1314" t="str">
        <f t="shared" ref="K324:K387" si="43">IF(J324&lt;&gt;"",E324,"")</f>
        <v>Pricing Schedule</v>
      </c>
      <c r="L324" s="827" t="s">
        <v>1288</v>
      </c>
      <c r="M324" s="1314">
        <v>293</v>
      </c>
      <c r="N324" s="1314"/>
      <c r="O324" s="1311"/>
      <c r="P324" s="1311"/>
      <c r="Q324" s="1311"/>
      <c r="R324" s="1311"/>
      <c r="S324" s="1311"/>
      <c r="T324" s="1311"/>
      <c r="U324" s="1311"/>
      <c r="V324" s="1311"/>
      <c r="W324" s="1311"/>
      <c r="X324" s="1311"/>
      <c r="Y324" s="1311"/>
      <c r="Z324" s="1311"/>
    </row>
    <row r="325" spans="1:26" x14ac:dyDescent="0.25">
      <c r="A325" s="851" t="s">
        <v>1228</v>
      </c>
      <c r="B325" s="1274" t="str">
        <f ca="1">IF('Pricing Schedule'!$K$5="No",_xlfn.CONCAT(IFERROR(SUBSTITUTE(ADDRESS(1,MATCH(A325,INDIRECT("'"&amp;E325&amp;"'"&amp;"!A10:Z10"),0),4),1,""),""),12),_xlfn.CONCAT(IFERROR(SUBSTITUTE(ADDRESS(1,MATCH(A325,INDIRECT("'"&amp;E325&amp;"'"&amp;"!A10:Z10"),0),4),1,""),""),46))</f>
        <v>M12</v>
      </c>
      <c r="C325" s="1274" t="str">
        <f ca="1">IF('Pricing Schedule'!$K$5="No",IFERROR(SUBSTITUTE(ADDRESS(1,MATCH(A325,INDIRECT("'"&amp;E325&amp;"'"&amp;"!A10:Z10"),0),4),1,""),""),IFERROR(SUBSTITUTE(ADDRESS(1,MATCH(A325,INDIRECT("'"&amp;E325&amp;"'"&amp;"!A10:Z10"),0),4),1,""),""))</f>
        <v>M</v>
      </c>
      <c r="D325" s="791" t="s">
        <v>1357</v>
      </c>
      <c r="E325" s="791" t="s">
        <v>1279</v>
      </c>
      <c r="F325" s="1097"/>
      <c r="G325" s="1314"/>
      <c r="H325" s="1314"/>
      <c r="I325" s="1274" t="str">
        <f t="shared" si="42"/>
        <v>Split Case Per</v>
      </c>
      <c r="J325" s="1314" t="str">
        <f t="shared" si="41"/>
        <v>F294</v>
      </c>
      <c r="K325" s="1314" t="str">
        <f t="shared" si="43"/>
        <v>Pricing Schedule</v>
      </c>
      <c r="L325" s="827" t="s">
        <v>1228</v>
      </c>
      <c r="M325" s="1314">
        <v>294</v>
      </c>
      <c r="N325" s="1314"/>
      <c r="O325" s="1311"/>
      <c r="P325" s="1311"/>
      <c r="Q325" s="1311"/>
      <c r="R325" s="1311"/>
      <c r="S325" s="1311"/>
      <c r="T325" s="1311"/>
      <c r="U325" s="1311"/>
      <c r="V325" s="1311"/>
      <c r="W325" s="1311"/>
      <c r="X325" s="1311"/>
      <c r="Y325" s="1311"/>
      <c r="Z325" s="1311"/>
    </row>
    <row r="326" spans="1:26" x14ac:dyDescent="0.25">
      <c r="A326" s="846" t="s">
        <v>1289</v>
      </c>
      <c r="B326" s="1274" t="str">
        <f ca="1">IF('Pricing Schedule'!$K$5="No",_xlfn.CONCAT(IFERROR(SUBSTITUTE(ADDRESS(1,MATCH(A326,INDIRECT("'"&amp;E326&amp;"'"&amp;"!A10:Z10"),0),4),1,""),""),14),_xlfn.CONCAT(IFERROR(SUBSTITUTE(ADDRESS(1,MATCH(A326,INDIRECT("'"&amp;E326&amp;"'"&amp;"!A10:Z10"),0),4),1,""),""),48))</f>
        <v>N14</v>
      </c>
      <c r="C326" s="1274" t="str">
        <f ca="1">IF('Pricing Schedule'!$K$5="No",IFERROR(SUBSTITUTE(ADDRESS(1,MATCH(A326,INDIRECT("'"&amp;E326&amp;"'"&amp;"!A10:Z10"),0),4),1,""),""),IFERROR(SUBSTITUTE(ADDRESS(1,MATCH(A326,INDIRECT("'"&amp;E326&amp;"'"&amp;"!A10:Z10"),0),4),1,""),""))</f>
        <v>N</v>
      </c>
      <c r="D326" s="791" t="s">
        <v>1357</v>
      </c>
      <c r="E326" s="791" t="s">
        <v>1279</v>
      </c>
      <c r="F326" s="1314"/>
      <c r="G326" s="1314"/>
      <c r="H326" s="1314"/>
      <c r="I326" s="1274" t="str">
        <f t="shared" si="42"/>
        <v/>
      </c>
      <c r="J326" s="1314"/>
      <c r="K326" s="1314" t="str">
        <f t="shared" si="43"/>
        <v/>
      </c>
      <c r="L326" s="827" t="s">
        <v>1289</v>
      </c>
      <c r="M326" s="1314">
        <v>295</v>
      </c>
      <c r="N326" s="1314"/>
      <c r="O326" s="1311"/>
      <c r="P326" s="1311"/>
      <c r="Q326" s="1311"/>
      <c r="R326" s="1311"/>
      <c r="S326" s="1311"/>
      <c r="T326" s="1311"/>
      <c r="U326" s="1311"/>
      <c r="V326" s="1311"/>
      <c r="W326" s="1311"/>
      <c r="X326" s="1311"/>
      <c r="Y326" s="1311"/>
      <c r="Z326" s="1311"/>
    </row>
    <row r="327" spans="1:26" x14ac:dyDescent="0.25">
      <c r="A327" s="847" t="s">
        <v>1280</v>
      </c>
      <c r="B327" s="1274" t="str">
        <f ca="1">IF('Pricing Schedule'!$K$5="No",_xlfn.CONCAT(IFERROR(SUBSTITUTE(ADDRESS(1,MATCH(A327,INDIRECT("'"&amp;E327&amp;"'"&amp;"!A10:Z10"),0),4),1,""),""),14),_xlfn.CONCAT(IFERROR(SUBSTITUTE(ADDRESS(1,MATCH(A327,INDIRECT("'"&amp;E327&amp;"'"&amp;"!A10:Z10"),0),4),1,""),""),48))</f>
        <v>C14</v>
      </c>
      <c r="C327" s="1274" t="str">
        <f ca="1">IF('Pricing Schedule'!$K$5="No",IFERROR(SUBSTITUTE(ADDRESS(1,MATCH(A327,INDIRECT("'"&amp;E327&amp;"'"&amp;"!A10:Z10"),0),4),1,""),""),IFERROR(SUBSTITUTE(ADDRESS(1,MATCH(A327,INDIRECT("'"&amp;E327&amp;"'"&amp;"!A10:Z10"),0),4),1,""),""))</f>
        <v>C</v>
      </c>
      <c r="D327" s="791" t="s">
        <v>1357</v>
      </c>
      <c r="E327" s="791" t="s">
        <v>1279</v>
      </c>
      <c r="F327" s="1314"/>
      <c r="G327" s="1314"/>
      <c r="H327" s="1314"/>
      <c r="I327" s="1274" t="str">
        <f t="shared" si="42"/>
        <v/>
      </c>
      <c r="J327" s="1314"/>
      <c r="K327" s="1314" t="str">
        <f t="shared" si="43"/>
        <v/>
      </c>
      <c r="L327" s="827" t="s">
        <v>252</v>
      </c>
      <c r="M327" s="1314">
        <v>296</v>
      </c>
      <c r="N327" s="1314"/>
      <c r="O327" s="1311"/>
      <c r="P327" s="1311"/>
      <c r="Q327" s="1311"/>
      <c r="R327" s="1311"/>
      <c r="S327" s="1311"/>
      <c r="T327" s="1311"/>
      <c r="U327" s="1311"/>
      <c r="V327" s="1311"/>
      <c r="W327" s="1311"/>
      <c r="X327" s="1311"/>
      <c r="Y327" s="1311"/>
      <c r="Z327" s="1311"/>
    </row>
    <row r="328" spans="1:26" x14ac:dyDescent="0.25">
      <c r="A328" s="847" t="s">
        <v>1246</v>
      </c>
      <c r="B328" s="1274" t="str">
        <f ca="1">IF('Pricing Schedule'!$K$5="No",_xlfn.CONCAT(IFERROR(SUBSTITUTE(ADDRESS(1,MATCH(A328,INDIRECT("'"&amp;E328&amp;"'"&amp;"!A10:Z10"),0),4),1,""),""),14),_xlfn.CONCAT(IFERROR(SUBSTITUTE(ADDRESS(1,MATCH(A328,INDIRECT("'"&amp;E328&amp;"'"&amp;"!A10:Z10"),0),4),1,""),""),48))</f>
        <v>H14</v>
      </c>
      <c r="C328" s="1274" t="str">
        <f ca="1">IF('Pricing Schedule'!$K$5="No",IFERROR(SUBSTITUTE(ADDRESS(1,MATCH(A328,INDIRECT("'"&amp;E328&amp;"'"&amp;"!A10:Z10"),0),4),1,""),""),IFERROR(SUBSTITUTE(ADDRESS(1,MATCH(A328,INDIRECT("'"&amp;E328&amp;"'"&amp;"!A10:Z10"),0),4),1,""),""))</f>
        <v>H</v>
      </c>
      <c r="D328" s="791" t="s">
        <v>1357</v>
      </c>
      <c r="E328" s="791" t="s">
        <v>1279</v>
      </c>
      <c r="F328" s="1314"/>
      <c r="G328" s="1314"/>
      <c r="H328" s="1314"/>
      <c r="I328" s="1274" t="str">
        <f t="shared" si="42"/>
        <v/>
      </c>
      <c r="J328" s="1314"/>
      <c r="K328" s="1314" t="str">
        <f t="shared" si="43"/>
        <v/>
      </c>
      <c r="L328" s="827" t="s">
        <v>1246</v>
      </c>
      <c r="M328" s="1314">
        <v>297</v>
      </c>
      <c r="N328" s="1314"/>
      <c r="O328" s="1311"/>
      <c r="P328" s="1311"/>
      <c r="Q328" s="1311"/>
      <c r="R328" s="1311"/>
      <c r="S328" s="1311"/>
      <c r="T328" s="1311"/>
      <c r="U328" s="1311"/>
      <c r="V328" s="1311"/>
      <c r="W328" s="1311"/>
      <c r="X328" s="1311"/>
      <c r="Y328" s="1311"/>
      <c r="Z328" s="1311"/>
    </row>
    <row r="329" spans="1:26" x14ac:dyDescent="0.25">
      <c r="A329" s="847" t="s">
        <v>1283</v>
      </c>
      <c r="B329" s="1274" t="str">
        <f ca="1">IF('Pricing Schedule'!$K$5="No",_xlfn.CONCAT(IFERROR(SUBSTITUTE(ADDRESS(1,MATCH(A329,INDIRECT("'"&amp;E329&amp;"'"&amp;"!A10:Z10"),0),4),1,""),""),14),_xlfn.CONCAT(IFERROR(SUBSTITUTE(ADDRESS(1,MATCH(A329,INDIRECT("'"&amp;E329&amp;"'"&amp;"!A10:Z10"),0),4),1,""),""),48))</f>
        <v>F14</v>
      </c>
      <c r="C329" s="1274" t="str">
        <f ca="1">IF('Pricing Schedule'!$K$5="No",IFERROR(SUBSTITUTE(ADDRESS(1,MATCH(A329,INDIRECT("'"&amp;E329&amp;"'"&amp;"!A10:Z10"),0),4),1,""),""),IFERROR(SUBSTITUTE(ADDRESS(1,MATCH(A329,INDIRECT("'"&amp;E329&amp;"'"&amp;"!A10:Z10"),0),4),1,""),""))</f>
        <v>F</v>
      </c>
      <c r="D329" s="791" t="s">
        <v>1357</v>
      </c>
      <c r="E329" s="791" t="s">
        <v>1279</v>
      </c>
      <c r="F329" s="1314"/>
      <c r="G329" s="1314"/>
      <c r="H329" s="1314"/>
      <c r="I329" s="1274" t="str">
        <f t="shared" si="42"/>
        <v/>
      </c>
      <c r="J329" s="1314"/>
      <c r="K329" s="1314" t="str">
        <f t="shared" si="43"/>
        <v/>
      </c>
      <c r="L329" s="827" t="s">
        <v>225</v>
      </c>
      <c r="M329" s="1314">
        <v>298</v>
      </c>
      <c r="N329" s="1314"/>
      <c r="O329" s="1311"/>
      <c r="P329" s="1311"/>
      <c r="Q329" s="1311"/>
      <c r="R329" s="1311"/>
      <c r="S329" s="1311"/>
      <c r="T329" s="1311"/>
      <c r="U329" s="1311"/>
      <c r="V329" s="1311"/>
      <c r="W329" s="1311"/>
      <c r="X329" s="1311"/>
      <c r="Y329" s="1311"/>
      <c r="Z329" s="1311"/>
    </row>
    <row r="330" spans="1:26" x14ac:dyDescent="0.25">
      <c r="A330" s="848" t="s">
        <v>463</v>
      </c>
      <c r="B330" s="1274" t="str">
        <f ca="1">_xlfn.CONCAT(IFERROR(SUBSTITUTE(ADDRESS(1,MATCH(A330,INDIRECT("'"&amp;E330&amp;"'"&amp;"!A9:Z9"),0),4),1,""),""),14)</f>
        <v>E14</v>
      </c>
      <c r="C330" s="1274" t="str">
        <f ca="1">_xlfn.CONCAT(IFERROR(SUBSTITUTE(ADDRESS(1,MATCH(A330,INDIRECT("'"&amp;E330&amp;"'"&amp;"!A9:Z9"),0),4),1,""),""))</f>
        <v>E</v>
      </c>
      <c r="D330" s="1314" t="s">
        <v>1357</v>
      </c>
      <c r="E330" s="791" t="s">
        <v>208</v>
      </c>
      <c r="F330" s="1314"/>
      <c r="G330" s="1314"/>
      <c r="H330" s="1314"/>
      <c r="I330" s="1274" t="str">
        <f t="shared" si="42"/>
        <v>Exclude PIM Classes Below</v>
      </c>
      <c r="J330" s="1314" t="str">
        <f t="shared" ref="J330:J385" si="44">IF(M330&lt;&gt;"",Q$1&amp;M330,"")</f>
        <v>F299</v>
      </c>
      <c r="K330" s="1314" t="str">
        <f t="shared" si="43"/>
        <v>PIM Model</v>
      </c>
      <c r="L330" s="827" t="s">
        <v>463</v>
      </c>
      <c r="M330" s="1314">
        <v>299</v>
      </c>
      <c r="N330" s="1314"/>
      <c r="O330" s="1311"/>
      <c r="P330" s="1311"/>
      <c r="Q330" s="1311"/>
      <c r="R330" s="1311"/>
      <c r="S330" s="1311"/>
      <c r="T330" s="1311"/>
      <c r="U330" s="1311"/>
      <c r="V330" s="1311"/>
      <c r="W330" s="1311"/>
      <c r="X330" s="1311"/>
      <c r="Y330" s="1311"/>
      <c r="Z330" s="1311"/>
    </row>
    <row r="331" spans="1:26" x14ac:dyDescent="0.25">
      <c r="A331" s="848" t="s">
        <v>1282</v>
      </c>
      <c r="B331" s="1274" t="str">
        <f ca="1">IF('Pricing Schedule'!$K$5="No",_xlfn.CONCAT(IFERROR(SUBSTITUTE(ADDRESS(1,MATCH(A331,INDIRECT("'"&amp;E331&amp;"'"&amp;"!A10:Z10"),0),4),1,""),""),14),_xlfn.CONCAT(IFERROR(SUBSTITUTE(ADDRESS(1,MATCH(A331,INDIRECT("'"&amp;E331&amp;"'"&amp;"!A10:Z10"),0),4),1,""),""),48))</f>
        <v>E14</v>
      </c>
      <c r="C331" s="1274" t="str">
        <f ca="1">IF('Pricing Schedule'!$K$5="No",IFERROR(SUBSTITUTE(ADDRESS(1,MATCH(A331,INDIRECT("'"&amp;E331&amp;"'"&amp;"!A10:Z10"),0),4),1,""),""),IFERROR(SUBSTITUTE(ADDRESS(1,MATCH(A331,INDIRECT("'"&amp;E331&amp;"'"&amp;"!A10:Z10"),0),4),1,""),""))</f>
        <v>E</v>
      </c>
      <c r="D331" s="791" t="s">
        <v>1357</v>
      </c>
      <c r="E331" s="791" t="s">
        <v>1279</v>
      </c>
      <c r="F331" s="1314"/>
      <c r="G331" s="1314"/>
      <c r="H331" s="1314"/>
      <c r="I331" s="1274" t="str">
        <f t="shared" si="42"/>
        <v>Special Pricing Code</v>
      </c>
      <c r="J331" s="1314" t="str">
        <f t="shared" si="44"/>
        <v>F300</v>
      </c>
      <c r="K331" s="1314" t="str">
        <f t="shared" si="43"/>
        <v>Pricing Schedule</v>
      </c>
      <c r="L331" s="827" t="s">
        <v>1282</v>
      </c>
      <c r="M331" s="1314">
        <v>300</v>
      </c>
      <c r="N331" s="1314"/>
      <c r="O331" s="1311"/>
      <c r="P331" s="1311"/>
      <c r="Q331" s="1311"/>
      <c r="R331" s="1311"/>
      <c r="S331" s="1311"/>
      <c r="T331" s="1311"/>
      <c r="U331" s="1311"/>
      <c r="V331" s="1311"/>
      <c r="W331" s="1311"/>
      <c r="X331" s="1311"/>
      <c r="Y331" s="1311"/>
      <c r="Z331" s="1311"/>
    </row>
    <row r="332" spans="1:26" x14ac:dyDescent="0.25">
      <c r="A332" s="848" t="s">
        <v>1284</v>
      </c>
      <c r="B332" s="1274" t="str">
        <f ca="1">IF('Pricing Schedule'!$K$5="No",_xlfn.CONCAT(IFERROR(SUBSTITUTE(ADDRESS(1,MATCH(A332,INDIRECT("'"&amp;E332&amp;"'"&amp;"!A10:Z10"),0),4),1,""),""),14),_xlfn.CONCAT(IFERROR(SUBSTITUTE(ADDRESS(1,MATCH(A332,INDIRECT("'"&amp;E332&amp;"'"&amp;"!A10:Z10"),0),4),1,""),""),48))</f>
        <v>G14</v>
      </c>
      <c r="C332" s="1274" t="str">
        <f ca="1">IF('Pricing Schedule'!$K$5="No",IFERROR(SUBSTITUTE(ADDRESS(1,MATCH(A332,INDIRECT("'"&amp;E332&amp;"'"&amp;"!A10:Z10"),0),4),1,""),""),IFERROR(SUBSTITUTE(ADDRESS(1,MATCH(A332,INDIRECT("'"&amp;E332&amp;"'"&amp;"!A10:Z10"),0),4),1,""),""))</f>
        <v>G</v>
      </c>
      <c r="D332" s="791" t="s">
        <v>1357</v>
      </c>
      <c r="E332" s="791" t="s">
        <v>1279</v>
      </c>
      <c r="F332" s="1097"/>
      <c r="G332" s="1314"/>
      <c r="H332" s="1314"/>
      <c r="I332" s="1274" t="str">
        <f t="shared" si="42"/>
        <v>EB Markup Amt</v>
      </c>
      <c r="J332" s="1314" t="str">
        <f t="shared" si="44"/>
        <v>F301</v>
      </c>
      <c r="K332" s="1314" t="str">
        <f t="shared" si="43"/>
        <v>Pricing Schedule</v>
      </c>
      <c r="L332" s="827" t="s">
        <v>1284</v>
      </c>
      <c r="M332" s="1314">
        <v>301</v>
      </c>
      <c r="N332" s="1314"/>
      <c r="O332" s="1311"/>
      <c r="P332" s="1311"/>
      <c r="Q332" s="1311"/>
      <c r="R332" s="1311"/>
      <c r="S332" s="1311"/>
      <c r="T332" s="1311"/>
      <c r="U332" s="1311"/>
      <c r="V332" s="1311"/>
      <c r="W332" s="1311"/>
      <c r="X332" s="1311"/>
      <c r="Y332" s="1311"/>
      <c r="Z332" s="1311"/>
    </row>
    <row r="333" spans="1:26" x14ac:dyDescent="0.25">
      <c r="A333" s="848" t="s">
        <v>1285</v>
      </c>
      <c r="B333" s="1274" t="str">
        <f ca="1">IF('Pricing Schedule'!$K$5="No",_xlfn.CONCAT(IFERROR(SUBSTITUTE(ADDRESS(1,MATCH(A333,INDIRECT("'"&amp;E333&amp;"'"&amp;"!A10:Z10"),0),4),1,""),""),14),_xlfn.CONCAT(IFERROR(SUBSTITUTE(ADDRESS(1,MATCH(A333,INDIRECT("'"&amp;E333&amp;"'"&amp;"!A10:Z10"),0),4),1,""),""),48))</f>
        <v>I14</v>
      </c>
      <c r="C333" s="1274" t="str">
        <f ca="1">IF('Pricing Schedule'!$K$5="No",IFERROR(SUBSTITUTE(ADDRESS(1,MATCH(A333,INDIRECT("'"&amp;E333&amp;"'"&amp;"!A10:Z10"),0),4),1,""),""),IFERROR(SUBSTITUTE(ADDRESS(1,MATCH(A333,INDIRECT("'"&amp;E333&amp;"'"&amp;"!A10:Z10"),0),4),1,""),""))</f>
        <v>I</v>
      </c>
      <c r="D333" s="791" t="s">
        <v>1357</v>
      </c>
      <c r="E333" s="791" t="s">
        <v>1279</v>
      </c>
      <c r="F333" s="1097"/>
      <c r="G333" s="1314"/>
      <c r="H333" s="1314"/>
      <c r="I333" s="1274" t="str">
        <f t="shared" si="42"/>
        <v>Min CS Markup Override Flag</v>
      </c>
      <c r="J333" s="1314" t="str">
        <f t="shared" si="44"/>
        <v>F302</v>
      </c>
      <c r="K333" s="1314" t="str">
        <f t="shared" si="43"/>
        <v>Pricing Schedule</v>
      </c>
      <c r="L333" s="827" t="s">
        <v>1285</v>
      </c>
      <c r="M333" s="1314">
        <v>302</v>
      </c>
      <c r="N333" s="1314"/>
      <c r="O333" s="1311"/>
      <c r="P333" s="1311"/>
      <c r="Q333" s="1311"/>
      <c r="R333" s="1311"/>
      <c r="S333" s="1311"/>
      <c r="T333" s="1311"/>
      <c r="U333" s="1311"/>
      <c r="V333" s="1311"/>
      <c r="W333" s="1311"/>
      <c r="X333" s="1311"/>
      <c r="Y333" s="1311"/>
      <c r="Z333" s="1311"/>
    </row>
    <row r="334" spans="1:26" x14ac:dyDescent="0.25">
      <c r="A334" s="848" t="s">
        <v>1286</v>
      </c>
      <c r="B334" s="1274" t="str">
        <f ca="1">IF('Pricing Schedule'!$K$5="No",_xlfn.CONCAT(IFERROR(SUBSTITUTE(ADDRESS(1,MATCH(A334,INDIRECT("'"&amp;E334&amp;"'"&amp;"!A10:Z10"),0),4),1,""),""),14),_xlfn.CONCAT(IFERROR(SUBSTITUTE(ADDRESS(1,MATCH(A334,INDIRECT("'"&amp;E334&amp;"'"&amp;"!A10:Z10"),0),4),1,""),""),48))</f>
        <v>J14</v>
      </c>
      <c r="C334" s="1274" t="str">
        <f ca="1">IF('Pricing Schedule'!$K$5="No",IFERROR(SUBSTITUTE(ADDRESS(1,MATCH(A334,INDIRECT("'"&amp;E334&amp;"'"&amp;"!A10:Z10"),0),4),1,""),""),IFERROR(SUBSTITUTE(ADDRESS(1,MATCH(A334,INDIRECT("'"&amp;E334&amp;"'"&amp;"!A10:Z10"),0),4),1,""),""))</f>
        <v>J</v>
      </c>
      <c r="D334" s="791" t="s">
        <v>1357</v>
      </c>
      <c r="E334" s="791" t="s">
        <v>1279</v>
      </c>
      <c r="F334" s="1097"/>
      <c r="G334" s="1314"/>
      <c r="H334" s="1314"/>
      <c r="I334" s="1274" t="str">
        <f t="shared" si="42"/>
        <v>Min CS Markup Amt</v>
      </c>
      <c r="J334" s="1314" t="str">
        <f t="shared" si="44"/>
        <v>F303</v>
      </c>
      <c r="K334" s="1314" t="str">
        <f t="shared" si="43"/>
        <v>Pricing Schedule</v>
      </c>
      <c r="L334" s="827" t="s">
        <v>1286</v>
      </c>
      <c r="M334" s="1314">
        <v>303</v>
      </c>
      <c r="N334" s="1314"/>
      <c r="O334" s="1311"/>
      <c r="P334" s="1311"/>
      <c r="Q334" s="1311"/>
      <c r="R334" s="1311"/>
      <c r="S334" s="1311"/>
      <c r="T334" s="1311"/>
      <c r="U334" s="1311"/>
      <c r="V334" s="1311"/>
      <c r="W334" s="1311"/>
      <c r="X334" s="1311"/>
      <c r="Y334" s="1311"/>
      <c r="Z334" s="1311"/>
    </row>
    <row r="335" spans="1:26" x14ac:dyDescent="0.25">
      <c r="A335" s="848" t="s">
        <v>1287</v>
      </c>
      <c r="B335" s="1274" t="str">
        <f ca="1">IF('Pricing Schedule'!$K$5="No",_xlfn.CONCAT(IFERROR(SUBSTITUTE(ADDRESS(1,MATCH(A335,INDIRECT("'"&amp;E335&amp;"'"&amp;"!A10:Z10"),0),4),1,""),""),14),_xlfn.CONCAT(IFERROR(SUBSTITUTE(ADDRESS(1,MATCH(A335,INDIRECT("'"&amp;E335&amp;"'"&amp;"!A10:Z10"),0),4),1,""),""),48))</f>
        <v>K14</v>
      </c>
      <c r="C335" s="1274" t="str">
        <f ca="1">IF('Pricing Schedule'!$K$5="No",IFERROR(SUBSTITUTE(ADDRESS(1,MATCH(A335,INDIRECT("'"&amp;E335&amp;"'"&amp;"!A10:Z10"),0),4),1,""),""),IFERROR(SUBSTITUTE(ADDRESS(1,MATCH(A335,INDIRECT("'"&amp;E335&amp;"'"&amp;"!A10:Z10"),0),4),1,""),""))</f>
        <v>K</v>
      </c>
      <c r="D335" s="791" t="s">
        <v>1357</v>
      </c>
      <c r="E335" s="791" t="s">
        <v>1279</v>
      </c>
      <c r="F335" s="1097"/>
      <c r="G335" s="1314"/>
      <c r="H335" s="1314"/>
      <c r="I335" s="1274" t="str">
        <f t="shared" si="42"/>
        <v>Split Case Fee Override Flag</v>
      </c>
      <c r="J335" s="1314" t="str">
        <f t="shared" si="44"/>
        <v>F304</v>
      </c>
      <c r="K335" s="1314" t="str">
        <f t="shared" si="43"/>
        <v>Pricing Schedule</v>
      </c>
      <c r="L335" s="827" t="s">
        <v>1287</v>
      </c>
      <c r="M335" s="1314">
        <v>304</v>
      </c>
      <c r="N335" s="1314"/>
      <c r="O335" s="1311"/>
      <c r="P335" s="1311"/>
      <c r="Q335" s="1311"/>
      <c r="R335" s="1311"/>
      <c r="S335" s="1311"/>
      <c r="T335" s="1311"/>
      <c r="U335" s="1311"/>
      <c r="V335" s="1311"/>
      <c r="W335" s="1311"/>
      <c r="X335" s="1311"/>
      <c r="Y335" s="1311"/>
      <c r="Z335" s="1311"/>
    </row>
    <row r="336" spans="1:26" x14ac:dyDescent="0.25">
      <c r="A336" s="848" t="s">
        <v>1288</v>
      </c>
      <c r="B336" s="1274" t="str">
        <f ca="1">IF('Pricing Schedule'!$K$5="No",_xlfn.CONCAT(IFERROR(SUBSTITUTE(ADDRESS(1,MATCH(A336,INDIRECT("'"&amp;E336&amp;"'"&amp;"!A10:Z10"),0),4),1,""),""),14),_xlfn.CONCAT(IFERROR(SUBSTITUTE(ADDRESS(1,MATCH(A336,INDIRECT("'"&amp;E336&amp;"'"&amp;"!A10:Z10"),0),4),1,""),""),48))</f>
        <v>L14</v>
      </c>
      <c r="C336" s="1274" t="str">
        <f ca="1">IF('Pricing Schedule'!$K$5="No",IFERROR(SUBSTITUTE(ADDRESS(1,MATCH(A336,INDIRECT("'"&amp;E336&amp;"'"&amp;"!A10:Z10"),0),4),1,""),""),IFERROR(SUBSTITUTE(ADDRESS(1,MATCH(A336,INDIRECT("'"&amp;E336&amp;"'"&amp;"!A10:Z10"),0),4),1,""),""))</f>
        <v>L</v>
      </c>
      <c r="D336" s="791" t="s">
        <v>1357</v>
      </c>
      <c r="E336" s="791" t="s">
        <v>1279</v>
      </c>
      <c r="F336" s="1097"/>
      <c r="G336" s="1314"/>
      <c r="H336" s="1314"/>
      <c r="I336" s="1274" t="str">
        <f t="shared" si="42"/>
        <v>Split Case Fee</v>
      </c>
      <c r="J336" s="1314" t="str">
        <f t="shared" si="44"/>
        <v>F305</v>
      </c>
      <c r="K336" s="1314" t="str">
        <f t="shared" si="43"/>
        <v>Pricing Schedule</v>
      </c>
      <c r="L336" s="827" t="s">
        <v>1288</v>
      </c>
      <c r="M336" s="1314">
        <v>305</v>
      </c>
      <c r="N336" s="1314"/>
      <c r="O336" s="1311"/>
      <c r="P336" s="1311"/>
      <c r="Q336" s="1311"/>
      <c r="R336" s="1311"/>
      <c r="S336" s="1311"/>
      <c r="T336" s="1311"/>
      <c r="U336" s="1311"/>
      <c r="V336" s="1311"/>
      <c r="W336" s="1311"/>
      <c r="X336" s="1311"/>
      <c r="Y336" s="1311"/>
      <c r="Z336" s="1311"/>
    </row>
    <row r="337" spans="1:26" x14ac:dyDescent="0.25">
      <c r="A337" s="848" t="s">
        <v>1228</v>
      </c>
      <c r="B337" s="1274" t="str">
        <f ca="1">IF('Pricing Schedule'!$K$5="No",_xlfn.CONCAT(IFERROR(SUBSTITUTE(ADDRESS(1,MATCH(A337,INDIRECT("'"&amp;E337&amp;"'"&amp;"!A10:Z10"),0),4),1,""),""),14),_xlfn.CONCAT(IFERROR(SUBSTITUTE(ADDRESS(1,MATCH(A337,INDIRECT("'"&amp;E337&amp;"'"&amp;"!A10:Z10"),0),4),1,""),""),48))</f>
        <v>M14</v>
      </c>
      <c r="C337" s="1274" t="str">
        <f ca="1">IF('Pricing Schedule'!$K$5="No",IFERROR(SUBSTITUTE(ADDRESS(1,MATCH(A337,INDIRECT("'"&amp;E337&amp;"'"&amp;"!A10:Z10"),0),4),1,""),""),IFERROR(SUBSTITUTE(ADDRESS(1,MATCH(A337,INDIRECT("'"&amp;E337&amp;"'"&amp;"!A10:Z10"),0),4),1,""),""))</f>
        <v>M</v>
      </c>
      <c r="D337" s="791" t="s">
        <v>1357</v>
      </c>
      <c r="E337" s="791" t="s">
        <v>1279</v>
      </c>
      <c r="F337" s="1097"/>
      <c r="G337" s="1314"/>
      <c r="H337" s="1314"/>
      <c r="I337" s="1274" t="str">
        <f t="shared" si="42"/>
        <v>Split Case Per</v>
      </c>
      <c r="J337" s="1314" t="str">
        <f t="shared" si="44"/>
        <v>F306</v>
      </c>
      <c r="K337" s="1314" t="str">
        <f t="shared" si="43"/>
        <v>Pricing Schedule</v>
      </c>
      <c r="L337" s="827" t="s">
        <v>1228</v>
      </c>
      <c r="M337" s="1314">
        <v>306</v>
      </c>
      <c r="N337" s="1314"/>
      <c r="O337" s="1311"/>
      <c r="P337" s="1311"/>
      <c r="Q337" s="1311"/>
      <c r="R337" s="1311"/>
      <c r="S337" s="1311"/>
      <c r="T337" s="1311"/>
      <c r="U337" s="1311"/>
      <c r="V337" s="1311"/>
      <c r="W337" s="1311"/>
      <c r="X337" s="1311"/>
      <c r="Y337" s="1311"/>
      <c r="Z337" s="1311"/>
    </row>
    <row r="338" spans="1:26" x14ac:dyDescent="0.25">
      <c r="A338" s="849" t="s">
        <v>1289</v>
      </c>
      <c r="B338" s="1274" t="str">
        <f ca="1">IF('Pricing Schedule'!$K$5="No",_xlfn.CONCAT(IFERROR(SUBSTITUTE(ADDRESS(1,MATCH(A338,INDIRECT("'"&amp;E338&amp;"'"&amp;"!A10:Z10"),0),4),1,""),""),15),_xlfn.CONCAT(IFERROR(SUBSTITUTE(ADDRESS(1,MATCH(A338,INDIRECT("'"&amp;E338&amp;"'"&amp;"!A10:Z10"),0),4),1,""),""),49))</f>
        <v>N15</v>
      </c>
      <c r="C338" s="1274" t="str">
        <f ca="1">IF('Pricing Schedule'!$K$5="No",IFERROR(SUBSTITUTE(ADDRESS(1,MATCH(A338,INDIRECT("'"&amp;E338&amp;"'"&amp;"!A10:Z10"),0),4),1,""),""),IFERROR(SUBSTITUTE(ADDRESS(1,MATCH(A338,INDIRECT("'"&amp;E338&amp;"'"&amp;"!A10:Z10"),0),4),1,""),""))</f>
        <v>N</v>
      </c>
      <c r="D338" s="791" t="s">
        <v>1357</v>
      </c>
      <c r="E338" s="791" t="s">
        <v>1279</v>
      </c>
      <c r="F338" s="1314"/>
      <c r="G338" s="1314"/>
      <c r="H338" s="1314"/>
      <c r="I338" s="1274" t="str">
        <f t="shared" si="42"/>
        <v/>
      </c>
      <c r="J338" s="1314"/>
      <c r="K338" s="1314" t="str">
        <f t="shared" si="43"/>
        <v/>
      </c>
      <c r="L338" s="827" t="s">
        <v>1289</v>
      </c>
      <c r="M338" s="1314">
        <v>307</v>
      </c>
      <c r="N338" s="1314"/>
      <c r="O338" s="1311"/>
      <c r="P338" s="1311"/>
      <c r="Q338" s="1311"/>
      <c r="R338" s="1311"/>
      <c r="S338" s="1311"/>
      <c r="T338" s="1311"/>
      <c r="U338" s="1311"/>
      <c r="V338" s="1311"/>
      <c r="W338" s="1311"/>
      <c r="X338" s="1311"/>
      <c r="Y338" s="1311"/>
      <c r="Z338" s="1311"/>
    </row>
    <row r="339" spans="1:26" x14ac:dyDescent="0.25">
      <c r="A339" s="850" t="s">
        <v>1280</v>
      </c>
      <c r="B339" s="1274" t="str">
        <f ca="1">IF('Pricing Schedule'!$K$5="No",_xlfn.CONCAT(IFERROR(SUBSTITUTE(ADDRESS(1,MATCH(A339,INDIRECT("'"&amp;E339&amp;"'"&amp;"!A10:Z10"),0),4),1,""),""),15),_xlfn.CONCAT(IFERROR(SUBSTITUTE(ADDRESS(1,MATCH(A339,INDIRECT("'"&amp;E339&amp;"'"&amp;"!A10:Z10"),0),4),1,""),""),49))</f>
        <v>C15</v>
      </c>
      <c r="C339" s="1274" t="str">
        <f ca="1">IF('Pricing Schedule'!$K$5="No",IFERROR(SUBSTITUTE(ADDRESS(1,MATCH(A339,INDIRECT("'"&amp;E339&amp;"'"&amp;"!A10:Z10"),0),4),1,""),""),IFERROR(SUBSTITUTE(ADDRESS(1,MATCH(A339,INDIRECT("'"&amp;E339&amp;"'"&amp;"!A10:Z10"),0),4),1,""),""))</f>
        <v>C</v>
      </c>
      <c r="D339" s="791" t="s">
        <v>1357</v>
      </c>
      <c r="E339" s="791" t="s">
        <v>1279</v>
      </c>
      <c r="F339" s="1314"/>
      <c r="G339" s="1314"/>
      <c r="H339" s="1314"/>
      <c r="I339" s="1274" t="str">
        <f t="shared" si="42"/>
        <v/>
      </c>
      <c r="J339" s="1314"/>
      <c r="K339" s="1314" t="str">
        <f t="shared" si="43"/>
        <v/>
      </c>
      <c r="L339" s="827" t="s">
        <v>252</v>
      </c>
      <c r="M339" s="1314">
        <v>308</v>
      </c>
      <c r="N339" s="1314"/>
      <c r="O339" s="1311"/>
      <c r="P339" s="1311"/>
      <c r="Q339" s="1311"/>
      <c r="R339" s="1311"/>
      <c r="S339" s="1311"/>
      <c r="T339" s="1311"/>
      <c r="U339" s="1311"/>
      <c r="V339" s="1311"/>
      <c r="W339" s="1311"/>
      <c r="X339" s="1311"/>
      <c r="Y339" s="1311"/>
      <c r="Z339" s="1311"/>
    </row>
    <row r="340" spans="1:26" x14ac:dyDescent="0.25">
      <c r="A340" s="850" t="s">
        <v>1246</v>
      </c>
      <c r="B340" s="1274" t="str">
        <f ca="1">IF('Pricing Schedule'!$K$5="No",_xlfn.CONCAT(IFERROR(SUBSTITUTE(ADDRESS(1,MATCH(A340,INDIRECT("'"&amp;E340&amp;"'"&amp;"!A10:Z10"),0),4),1,""),""),15),_xlfn.CONCAT(IFERROR(SUBSTITUTE(ADDRESS(1,MATCH(A340,INDIRECT("'"&amp;E340&amp;"'"&amp;"!A10:Z10"),0),4),1,""),""),49))</f>
        <v>H15</v>
      </c>
      <c r="C340" s="1274" t="str">
        <f ca="1">IF('Pricing Schedule'!$K$5="No",IFERROR(SUBSTITUTE(ADDRESS(1,MATCH(A340,INDIRECT("'"&amp;E340&amp;"'"&amp;"!A10:Z10"),0),4),1,""),""),IFERROR(SUBSTITUTE(ADDRESS(1,MATCH(A340,INDIRECT("'"&amp;E340&amp;"'"&amp;"!A10:Z10"),0),4),1,""),""))</f>
        <v>H</v>
      </c>
      <c r="D340" s="791" t="s">
        <v>1357</v>
      </c>
      <c r="E340" s="791" t="s">
        <v>1279</v>
      </c>
      <c r="F340" s="1314"/>
      <c r="G340" s="1314"/>
      <c r="H340" s="1314"/>
      <c r="I340" s="1274" t="str">
        <f t="shared" si="42"/>
        <v/>
      </c>
      <c r="J340" s="1314"/>
      <c r="K340" s="1314" t="str">
        <f t="shared" si="43"/>
        <v/>
      </c>
      <c r="L340" s="827" t="s">
        <v>1246</v>
      </c>
      <c r="M340" s="1314">
        <v>309</v>
      </c>
      <c r="N340" s="1314"/>
      <c r="O340" s="1311"/>
      <c r="P340" s="1311"/>
      <c r="Q340" s="1311"/>
      <c r="R340" s="1311"/>
      <c r="S340" s="1311"/>
      <c r="T340" s="1311"/>
      <c r="U340" s="1311"/>
      <c r="V340" s="1311"/>
      <c r="W340" s="1311"/>
      <c r="X340" s="1311"/>
      <c r="Y340" s="1311"/>
      <c r="Z340" s="1311"/>
    </row>
    <row r="341" spans="1:26" x14ac:dyDescent="0.25">
      <c r="A341" s="850" t="s">
        <v>1283</v>
      </c>
      <c r="B341" s="1274" t="str">
        <f ca="1">IF('Pricing Schedule'!$K$5="No",_xlfn.CONCAT(IFERROR(SUBSTITUTE(ADDRESS(1,MATCH(A341,INDIRECT("'"&amp;E341&amp;"'"&amp;"!A10:Z10"),0),4),1,""),""),15),_xlfn.CONCAT(IFERROR(SUBSTITUTE(ADDRESS(1,MATCH(A341,INDIRECT("'"&amp;E341&amp;"'"&amp;"!A10:Z10"),0),4),1,""),""),49))</f>
        <v>F15</v>
      </c>
      <c r="C341" s="1274" t="str">
        <f ca="1">IF('Pricing Schedule'!$K$5="No",IFERROR(SUBSTITUTE(ADDRESS(1,MATCH(A341,INDIRECT("'"&amp;E341&amp;"'"&amp;"!A10:Z10"),0),4),1,""),""),IFERROR(SUBSTITUTE(ADDRESS(1,MATCH(A341,INDIRECT("'"&amp;E341&amp;"'"&amp;"!A10:Z10"),0),4),1,""),""))</f>
        <v>F</v>
      </c>
      <c r="D341" s="791" t="s">
        <v>1357</v>
      </c>
      <c r="E341" s="791" t="s">
        <v>1279</v>
      </c>
      <c r="F341" s="1314"/>
      <c r="G341" s="1314"/>
      <c r="H341" s="1314"/>
      <c r="I341" s="1274" t="str">
        <f t="shared" si="42"/>
        <v/>
      </c>
      <c r="J341" s="1314"/>
      <c r="K341" s="1314" t="str">
        <f t="shared" si="43"/>
        <v/>
      </c>
      <c r="L341" s="827" t="s">
        <v>225</v>
      </c>
      <c r="M341" s="1314">
        <v>310</v>
      </c>
      <c r="N341" s="1314"/>
      <c r="O341" s="1311"/>
      <c r="P341" s="1311"/>
      <c r="Q341" s="1311"/>
      <c r="R341" s="1311"/>
      <c r="S341" s="1311"/>
      <c r="T341" s="1311"/>
      <c r="U341" s="1311"/>
      <c r="V341" s="1311"/>
      <c r="W341" s="1311"/>
      <c r="X341" s="1311"/>
      <c r="Y341" s="1311"/>
      <c r="Z341" s="1311"/>
    </row>
    <row r="342" spans="1:26" x14ac:dyDescent="0.25">
      <c r="A342" s="851" t="s">
        <v>463</v>
      </c>
      <c r="B342" s="1274" t="str">
        <f ca="1">_xlfn.CONCAT(IFERROR(SUBSTITUTE(ADDRESS(1,MATCH(A342,INDIRECT("'"&amp;E342&amp;"'"&amp;"!A9:Z9"),0),4),1,""),""),15)</f>
        <v>E15</v>
      </c>
      <c r="C342" s="1274" t="str">
        <f ca="1">_xlfn.CONCAT(IFERROR(SUBSTITUTE(ADDRESS(1,MATCH(A342,INDIRECT("'"&amp;E342&amp;"'"&amp;"!A9:Z9"),0),4),1,""),""))</f>
        <v>E</v>
      </c>
      <c r="D342" s="1314" t="s">
        <v>1357</v>
      </c>
      <c r="E342" s="791" t="s">
        <v>208</v>
      </c>
      <c r="F342" s="1314"/>
      <c r="G342" s="1314"/>
      <c r="H342" s="1314"/>
      <c r="I342" s="1274" t="str">
        <f t="shared" si="42"/>
        <v>Exclude PIM Classes Below</v>
      </c>
      <c r="J342" s="1314" t="str">
        <f t="shared" si="44"/>
        <v>F311</v>
      </c>
      <c r="K342" s="1314" t="str">
        <f t="shared" si="43"/>
        <v>PIM Model</v>
      </c>
      <c r="L342" s="827" t="s">
        <v>463</v>
      </c>
      <c r="M342" s="1314">
        <v>311</v>
      </c>
      <c r="N342" s="1314"/>
      <c r="O342" s="1311"/>
      <c r="P342" s="1311"/>
      <c r="Q342" s="1311"/>
      <c r="R342" s="1311"/>
      <c r="S342" s="1311"/>
      <c r="T342" s="1311"/>
      <c r="U342" s="1311"/>
      <c r="V342" s="1311"/>
      <c r="W342" s="1311"/>
      <c r="X342" s="1311"/>
      <c r="Y342" s="1311"/>
      <c r="Z342" s="1311"/>
    </row>
    <row r="343" spans="1:26" x14ac:dyDescent="0.25">
      <c r="A343" s="851" t="s">
        <v>1282</v>
      </c>
      <c r="B343" s="1274" t="str">
        <f ca="1">IF('Pricing Schedule'!$K$5="No",_xlfn.CONCAT(IFERROR(SUBSTITUTE(ADDRESS(1,MATCH(A343,INDIRECT("'"&amp;E343&amp;"'"&amp;"!A10:Z10"),0),4),1,""),""),15),_xlfn.CONCAT(IFERROR(SUBSTITUTE(ADDRESS(1,MATCH(A343,INDIRECT("'"&amp;E343&amp;"'"&amp;"!A10:Z10"),0),4),1,""),""),49))</f>
        <v>E15</v>
      </c>
      <c r="C343" s="1274" t="str">
        <f ca="1">IF('Pricing Schedule'!$K$5="No",IFERROR(SUBSTITUTE(ADDRESS(1,MATCH(A343,INDIRECT("'"&amp;E343&amp;"'"&amp;"!A10:Z10"),0),4),1,""),""),IFERROR(SUBSTITUTE(ADDRESS(1,MATCH(A343,INDIRECT("'"&amp;E343&amp;"'"&amp;"!A10:Z10"),0),4),1,""),""))</f>
        <v>E</v>
      </c>
      <c r="D343" s="791" t="s">
        <v>1357</v>
      </c>
      <c r="E343" s="791" t="s">
        <v>1279</v>
      </c>
      <c r="F343" s="1314"/>
      <c r="G343" s="1314"/>
      <c r="H343" s="1314"/>
      <c r="I343" s="1274" t="str">
        <f t="shared" si="42"/>
        <v>Special Pricing Code</v>
      </c>
      <c r="J343" s="1314" t="str">
        <f t="shared" si="44"/>
        <v>F312</v>
      </c>
      <c r="K343" s="1314" t="str">
        <f t="shared" si="43"/>
        <v>Pricing Schedule</v>
      </c>
      <c r="L343" s="827" t="s">
        <v>1282</v>
      </c>
      <c r="M343" s="1314">
        <v>312</v>
      </c>
      <c r="N343" s="1314"/>
      <c r="O343" s="1311"/>
      <c r="P343" s="1311"/>
      <c r="Q343" s="1311"/>
      <c r="R343" s="1311"/>
      <c r="S343" s="1311"/>
      <c r="T343" s="1311"/>
      <c r="U343" s="1311"/>
      <c r="V343" s="1311"/>
      <c r="W343" s="1311"/>
      <c r="X343" s="1311"/>
      <c r="Y343" s="1311"/>
      <c r="Z343" s="1311"/>
    </row>
    <row r="344" spans="1:26" x14ac:dyDescent="0.25">
      <c r="A344" s="851" t="s">
        <v>1284</v>
      </c>
      <c r="B344" s="1274" t="str">
        <f ca="1">IF('Pricing Schedule'!$K$5="No",_xlfn.CONCAT(IFERROR(SUBSTITUTE(ADDRESS(1,MATCH(A344,INDIRECT("'"&amp;E344&amp;"'"&amp;"!A10:Z10"),0),4),1,""),""),15),_xlfn.CONCAT(IFERROR(SUBSTITUTE(ADDRESS(1,MATCH(A344,INDIRECT("'"&amp;E344&amp;"'"&amp;"!A10:Z10"),0),4),1,""),""),49))</f>
        <v>G15</v>
      </c>
      <c r="C344" s="1274" t="str">
        <f ca="1">IF('Pricing Schedule'!$K$5="No",IFERROR(SUBSTITUTE(ADDRESS(1,MATCH(A344,INDIRECT("'"&amp;E344&amp;"'"&amp;"!A10:Z10"),0),4),1,""),""),IFERROR(SUBSTITUTE(ADDRESS(1,MATCH(A344,INDIRECT("'"&amp;E344&amp;"'"&amp;"!A10:Z10"),0),4),1,""),""))</f>
        <v>G</v>
      </c>
      <c r="D344" s="791" t="s">
        <v>1357</v>
      </c>
      <c r="E344" s="791" t="s">
        <v>1279</v>
      </c>
      <c r="F344" s="1097"/>
      <c r="G344" s="1314"/>
      <c r="H344" s="1314"/>
      <c r="I344" s="1274" t="str">
        <f t="shared" si="42"/>
        <v>EB Markup Amt</v>
      </c>
      <c r="J344" s="1314" t="str">
        <f t="shared" si="44"/>
        <v>F313</v>
      </c>
      <c r="K344" s="1314" t="str">
        <f t="shared" si="43"/>
        <v>Pricing Schedule</v>
      </c>
      <c r="L344" s="827" t="s">
        <v>1284</v>
      </c>
      <c r="M344" s="1314">
        <v>313</v>
      </c>
      <c r="N344" s="1314"/>
      <c r="O344" s="1311"/>
      <c r="P344" s="1311"/>
      <c r="Q344" s="1311"/>
      <c r="R344" s="1311"/>
      <c r="S344" s="1311"/>
      <c r="T344" s="1311"/>
      <c r="U344" s="1311"/>
      <c r="V344" s="1311"/>
      <c r="W344" s="1311"/>
      <c r="X344" s="1311"/>
      <c r="Y344" s="1311"/>
      <c r="Z344" s="1311"/>
    </row>
    <row r="345" spans="1:26" x14ac:dyDescent="0.25">
      <c r="A345" s="851" t="s">
        <v>1285</v>
      </c>
      <c r="B345" s="1274" t="str">
        <f ca="1">IF('Pricing Schedule'!$K$5="No",_xlfn.CONCAT(IFERROR(SUBSTITUTE(ADDRESS(1,MATCH(A345,INDIRECT("'"&amp;E345&amp;"'"&amp;"!A10:Z10"),0),4),1,""),""),15),_xlfn.CONCAT(IFERROR(SUBSTITUTE(ADDRESS(1,MATCH(A345,INDIRECT("'"&amp;E345&amp;"'"&amp;"!A10:Z10"),0),4),1,""),""),49))</f>
        <v>I15</v>
      </c>
      <c r="C345" s="1274" t="str">
        <f ca="1">IF('Pricing Schedule'!$K$5="No",IFERROR(SUBSTITUTE(ADDRESS(1,MATCH(A345,INDIRECT("'"&amp;E345&amp;"'"&amp;"!A10:Z10"),0),4),1,""),""),IFERROR(SUBSTITUTE(ADDRESS(1,MATCH(A345,INDIRECT("'"&amp;E345&amp;"'"&amp;"!A10:Z10"),0),4),1,""),""))</f>
        <v>I</v>
      </c>
      <c r="D345" s="791" t="s">
        <v>1357</v>
      </c>
      <c r="E345" s="791" t="s">
        <v>1279</v>
      </c>
      <c r="F345" s="1097"/>
      <c r="G345" s="1314"/>
      <c r="H345" s="1314"/>
      <c r="I345" s="1274" t="str">
        <f t="shared" si="42"/>
        <v>Min CS Markup Override Flag</v>
      </c>
      <c r="J345" s="1314" t="str">
        <f t="shared" si="44"/>
        <v>F314</v>
      </c>
      <c r="K345" s="1314" t="str">
        <f t="shared" si="43"/>
        <v>Pricing Schedule</v>
      </c>
      <c r="L345" s="827" t="s">
        <v>1285</v>
      </c>
      <c r="M345" s="1314">
        <v>314</v>
      </c>
      <c r="N345" s="1314"/>
      <c r="O345" s="1311"/>
      <c r="P345" s="1311"/>
      <c r="Q345" s="1311"/>
      <c r="R345" s="1311"/>
      <c r="S345" s="1311"/>
      <c r="T345" s="1311"/>
      <c r="U345" s="1311"/>
      <c r="V345" s="1311"/>
      <c r="W345" s="1311"/>
      <c r="X345" s="1311"/>
      <c r="Y345" s="1311"/>
      <c r="Z345" s="1311"/>
    </row>
    <row r="346" spans="1:26" x14ac:dyDescent="0.25">
      <c r="A346" s="851" t="s">
        <v>1286</v>
      </c>
      <c r="B346" s="1274" t="str">
        <f ca="1">IF('Pricing Schedule'!$K$5="No",_xlfn.CONCAT(IFERROR(SUBSTITUTE(ADDRESS(1,MATCH(A346,INDIRECT("'"&amp;E346&amp;"'"&amp;"!A10:Z10"),0),4),1,""),""),15),_xlfn.CONCAT(IFERROR(SUBSTITUTE(ADDRESS(1,MATCH(A346,INDIRECT("'"&amp;E346&amp;"'"&amp;"!A10:Z10"),0),4),1,""),""),49))</f>
        <v>J15</v>
      </c>
      <c r="C346" s="1274" t="str">
        <f ca="1">IF('Pricing Schedule'!$K$5="No",IFERROR(SUBSTITUTE(ADDRESS(1,MATCH(A346,INDIRECT("'"&amp;E346&amp;"'"&amp;"!A10:Z10"),0),4),1,""),""),IFERROR(SUBSTITUTE(ADDRESS(1,MATCH(A346,INDIRECT("'"&amp;E346&amp;"'"&amp;"!A10:Z10"),0),4),1,""),""))</f>
        <v>J</v>
      </c>
      <c r="D346" s="791" t="s">
        <v>1357</v>
      </c>
      <c r="E346" s="791" t="s">
        <v>1279</v>
      </c>
      <c r="F346" s="1097"/>
      <c r="G346" s="1314"/>
      <c r="H346" s="1314"/>
      <c r="I346" s="1274" t="str">
        <f t="shared" si="42"/>
        <v>Min CS Markup Amt</v>
      </c>
      <c r="J346" s="1314" t="str">
        <f t="shared" si="44"/>
        <v>F315</v>
      </c>
      <c r="K346" s="1314" t="str">
        <f t="shared" si="43"/>
        <v>Pricing Schedule</v>
      </c>
      <c r="L346" s="827" t="s">
        <v>1286</v>
      </c>
      <c r="M346" s="1314">
        <v>315</v>
      </c>
      <c r="N346" s="1314"/>
      <c r="O346" s="1311"/>
      <c r="P346" s="1311"/>
      <c r="Q346" s="1311"/>
      <c r="R346" s="1311"/>
      <c r="S346" s="1311"/>
      <c r="T346" s="1311"/>
      <c r="U346" s="1311"/>
      <c r="V346" s="1311"/>
      <c r="W346" s="1311"/>
      <c r="X346" s="1311"/>
      <c r="Y346" s="1311"/>
      <c r="Z346" s="1311"/>
    </row>
    <row r="347" spans="1:26" x14ac:dyDescent="0.25">
      <c r="A347" s="851" t="s">
        <v>1287</v>
      </c>
      <c r="B347" s="1274" t="str">
        <f ca="1">IF('Pricing Schedule'!$K$5="No",_xlfn.CONCAT(IFERROR(SUBSTITUTE(ADDRESS(1,MATCH(A347,INDIRECT("'"&amp;E347&amp;"'"&amp;"!A10:Z10"),0),4),1,""),""),15),_xlfn.CONCAT(IFERROR(SUBSTITUTE(ADDRESS(1,MATCH(A347,INDIRECT("'"&amp;E347&amp;"'"&amp;"!A10:Z10"),0),4),1,""),""),49))</f>
        <v>K15</v>
      </c>
      <c r="C347" s="1274" t="str">
        <f ca="1">IF('Pricing Schedule'!$K$5="No",IFERROR(SUBSTITUTE(ADDRESS(1,MATCH(A347,INDIRECT("'"&amp;E347&amp;"'"&amp;"!A10:Z10"),0),4),1,""),""),IFERROR(SUBSTITUTE(ADDRESS(1,MATCH(A347,INDIRECT("'"&amp;E347&amp;"'"&amp;"!A10:Z10"),0),4),1,""),""))</f>
        <v>K</v>
      </c>
      <c r="D347" s="791" t="s">
        <v>1357</v>
      </c>
      <c r="E347" s="791" t="s">
        <v>1279</v>
      </c>
      <c r="F347" s="1097"/>
      <c r="G347" s="1314"/>
      <c r="H347" s="1314"/>
      <c r="I347" s="1274" t="str">
        <f t="shared" si="42"/>
        <v>Split Case Fee Override Flag</v>
      </c>
      <c r="J347" s="1314" t="str">
        <f t="shared" si="44"/>
        <v>F316</v>
      </c>
      <c r="K347" s="1314" t="str">
        <f t="shared" si="43"/>
        <v>Pricing Schedule</v>
      </c>
      <c r="L347" s="827" t="s">
        <v>1287</v>
      </c>
      <c r="M347" s="1314">
        <v>316</v>
      </c>
      <c r="N347" s="1314"/>
      <c r="O347" s="1311"/>
      <c r="P347" s="1311"/>
      <c r="Q347" s="1311"/>
      <c r="R347" s="1311"/>
      <c r="S347" s="1311"/>
      <c r="T347" s="1311"/>
      <c r="U347" s="1311"/>
      <c r="V347" s="1311"/>
      <c r="W347" s="1311"/>
      <c r="X347" s="1311"/>
      <c r="Y347" s="1311"/>
      <c r="Z347" s="1311"/>
    </row>
    <row r="348" spans="1:26" x14ac:dyDescent="0.25">
      <c r="A348" s="851" t="s">
        <v>1288</v>
      </c>
      <c r="B348" s="1274" t="str">
        <f ca="1">IF('Pricing Schedule'!$K$5="No",_xlfn.CONCAT(IFERROR(SUBSTITUTE(ADDRESS(1,MATCH(A348,INDIRECT("'"&amp;E348&amp;"'"&amp;"!A10:Z10"),0),4),1,""),""),15),_xlfn.CONCAT(IFERROR(SUBSTITUTE(ADDRESS(1,MATCH(A348,INDIRECT("'"&amp;E348&amp;"'"&amp;"!A10:Z10"),0),4),1,""),""),49))</f>
        <v>L15</v>
      </c>
      <c r="C348" s="1274" t="str">
        <f ca="1">IF('Pricing Schedule'!$K$5="No",IFERROR(SUBSTITUTE(ADDRESS(1,MATCH(A348,INDIRECT("'"&amp;E348&amp;"'"&amp;"!A10:Z10"),0),4),1,""),""),IFERROR(SUBSTITUTE(ADDRESS(1,MATCH(A348,INDIRECT("'"&amp;E348&amp;"'"&amp;"!A10:Z10"),0),4),1,""),""))</f>
        <v>L</v>
      </c>
      <c r="D348" s="791" t="s">
        <v>1357</v>
      </c>
      <c r="E348" s="791" t="s">
        <v>1279</v>
      </c>
      <c r="F348" s="1097"/>
      <c r="G348" s="1314"/>
      <c r="H348" s="1314"/>
      <c r="I348" s="1274" t="str">
        <f t="shared" si="42"/>
        <v>Split Case Fee</v>
      </c>
      <c r="J348" s="1314" t="str">
        <f t="shared" si="44"/>
        <v>F317</v>
      </c>
      <c r="K348" s="1314" t="str">
        <f t="shared" si="43"/>
        <v>Pricing Schedule</v>
      </c>
      <c r="L348" s="827" t="s">
        <v>1288</v>
      </c>
      <c r="M348" s="1314">
        <v>317</v>
      </c>
      <c r="N348" s="1314"/>
      <c r="O348" s="1311"/>
      <c r="P348" s="1311"/>
      <c r="Q348" s="1311"/>
      <c r="R348" s="1311"/>
      <c r="S348" s="1311"/>
      <c r="T348" s="1311"/>
      <c r="U348" s="1311"/>
      <c r="V348" s="1311"/>
      <c r="W348" s="1311"/>
      <c r="X348" s="1311"/>
      <c r="Y348" s="1311"/>
      <c r="Z348" s="1311"/>
    </row>
    <row r="349" spans="1:26" x14ac:dyDescent="0.25">
      <c r="A349" s="851" t="s">
        <v>1228</v>
      </c>
      <c r="B349" s="1274" t="str">
        <f ca="1">IF('Pricing Schedule'!$K$5="No",_xlfn.CONCAT(IFERROR(SUBSTITUTE(ADDRESS(1,MATCH(A349,INDIRECT("'"&amp;E349&amp;"'"&amp;"!A10:Z10"),0),4),1,""),""),15),_xlfn.CONCAT(IFERROR(SUBSTITUTE(ADDRESS(1,MATCH(A349,INDIRECT("'"&amp;E349&amp;"'"&amp;"!A10:Z10"),0),4),1,""),""),49))</f>
        <v>M15</v>
      </c>
      <c r="C349" s="1274" t="str">
        <f ca="1">IF('Pricing Schedule'!$K$5="No",IFERROR(SUBSTITUTE(ADDRESS(1,MATCH(A349,INDIRECT("'"&amp;E349&amp;"'"&amp;"!A10:Z10"),0),4),1,""),""),IFERROR(SUBSTITUTE(ADDRESS(1,MATCH(A349,INDIRECT("'"&amp;E349&amp;"'"&amp;"!A10:Z10"),0),4),1,""),""))</f>
        <v>M</v>
      </c>
      <c r="D349" s="791" t="s">
        <v>1357</v>
      </c>
      <c r="E349" s="791" t="s">
        <v>1279</v>
      </c>
      <c r="F349" s="1097"/>
      <c r="G349" s="1314"/>
      <c r="H349" s="1314"/>
      <c r="I349" s="1274" t="str">
        <f t="shared" si="42"/>
        <v>Split Case Per</v>
      </c>
      <c r="J349" s="1314" t="str">
        <f t="shared" si="44"/>
        <v>F318</v>
      </c>
      <c r="K349" s="1314" t="str">
        <f t="shared" si="43"/>
        <v>Pricing Schedule</v>
      </c>
      <c r="L349" s="827" t="s">
        <v>1228</v>
      </c>
      <c r="M349" s="1314">
        <v>318</v>
      </c>
      <c r="N349" s="1314"/>
      <c r="O349" s="1311"/>
      <c r="P349" s="1311"/>
      <c r="Q349" s="1311"/>
      <c r="R349" s="1311"/>
      <c r="S349" s="1311"/>
      <c r="T349" s="1311"/>
      <c r="U349" s="1311"/>
      <c r="V349" s="1311"/>
      <c r="W349" s="1311"/>
      <c r="X349" s="1311"/>
      <c r="Y349" s="1311"/>
      <c r="Z349" s="1311"/>
    </row>
    <row r="350" spans="1:26" x14ac:dyDescent="0.25">
      <c r="A350" s="846" t="s">
        <v>1289</v>
      </c>
      <c r="B350" s="1274" t="str">
        <f ca="1">IF('Pricing Schedule'!$K$5="No",_xlfn.CONCAT(IFERROR(SUBSTITUTE(ADDRESS(1,MATCH(A350,INDIRECT("'"&amp;E350&amp;"'"&amp;"!A10:Z10"),0),4),1,""),""),17),_xlfn.CONCAT(IFERROR(SUBSTITUTE(ADDRESS(1,MATCH(A350,INDIRECT("'"&amp;E350&amp;"'"&amp;"!A10:Z10"),0),4),1,""),""),51))</f>
        <v>N17</v>
      </c>
      <c r="C350" s="1274" t="str">
        <f ca="1">IF('Pricing Schedule'!$K$5="No",IFERROR(SUBSTITUTE(ADDRESS(1,MATCH(A350,INDIRECT("'"&amp;E350&amp;"'"&amp;"!A10:Z10"),0),4),1,""),""),IFERROR(SUBSTITUTE(ADDRESS(1,MATCH(A350,INDIRECT("'"&amp;E350&amp;"'"&amp;"!A10:Z10"),0),4),1,""),""))</f>
        <v>N</v>
      </c>
      <c r="D350" s="791" t="s">
        <v>1357</v>
      </c>
      <c r="E350" s="791" t="s">
        <v>1279</v>
      </c>
      <c r="F350" s="1314"/>
      <c r="G350" s="1314"/>
      <c r="H350" s="1314"/>
      <c r="I350" s="1274" t="str">
        <f t="shared" si="42"/>
        <v/>
      </c>
      <c r="J350" s="1314"/>
      <c r="K350" s="1314" t="str">
        <f t="shared" si="43"/>
        <v/>
      </c>
      <c r="L350" s="827" t="s">
        <v>1289</v>
      </c>
      <c r="M350" s="1314">
        <v>319</v>
      </c>
      <c r="N350" s="1314"/>
      <c r="O350" s="1311"/>
      <c r="P350" s="1311"/>
      <c r="Q350" s="1311"/>
      <c r="R350" s="1311"/>
      <c r="S350" s="1311"/>
      <c r="T350" s="1311"/>
      <c r="U350" s="1311"/>
      <c r="V350" s="1311"/>
      <c r="W350" s="1311"/>
      <c r="X350" s="1311"/>
      <c r="Y350" s="1311"/>
      <c r="Z350" s="1311"/>
    </row>
    <row r="351" spans="1:26" x14ac:dyDescent="0.25">
      <c r="A351" s="847" t="s">
        <v>1280</v>
      </c>
      <c r="B351" s="1274" t="str">
        <f ca="1">IF('Pricing Schedule'!$K$5="No",_xlfn.CONCAT(IFERROR(SUBSTITUTE(ADDRESS(1,MATCH(A351,INDIRECT("'"&amp;E351&amp;"'"&amp;"!A10:Z10"),0),4),1,""),""),17),_xlfn.CONCAT(IFERROR(SUBSTITUTE(ADDRESS(1,MATCH(A351,INDIRECT("'"&amp;E351&amp;"'"&amp;"!A10:Z10"),0),4),1,""),""),51))</f>
        <v>C17</v>
      </c>
      <c r="C351" s="1274" t="str">
        <f ca="1">IF('Pricing Schedule'!$K$5="No",IFERROR(SUBSTITUTE(ADDRESS(1,MATCH(A351,INDIRECT("'"&amp;E351&amp;"'"&amp;"!A10:Z10"),0),4),1,""),""),IFERROR(SUBSTITUTE(ADDRESS(1,MATCH(A351,INDIRECT("'"&amp;E351&amp;"'"&amp;"!A10:Z10"),0),4),1,""),""))</f>
        <v>C</v>
      </c>
      <c r="D351" s="791" t="s">
        <v>1357</v>
      </c>
      <c r="E351" s="791" t="s">
        <v>1279</v>
      </c>
      <c r="F351" s="1314"/>
      <c r="G351" s="1314"/>
      <c r="H351" s="1314"/>
      <c r="I351" s="1274" t="str">
        <f t="shared" si="42"/>
        <v/>
      </c>
      <c r="J351" s="1314"/>
      <c r="K351" s="1314" t="str">
        <f t="shared" si="43"/>
        <v/>
      </c>
      <c r="L351" s="827" t="s">
        <v>252</v>
      </c>
      <c r="M351" s="1314">
        <v>320</v>
      </c>
      <c r="N351" s="1314"/>
      <c r="O351" s="1311"/>
      <c r="P351" s="1311"/>
      <c r="Q351" s="1311"/>
      <c r="R351" s="1311"/>
      <c r="S351" s="1311"/>
      <c r="T351" s="1311"/>
      <c r="U351" s="1311"/>
      <c r="V351" s="1311"/>
      <c r="W351" s="1311"/>
      <c r="X351" s="1311"/>
      <c r="Y351" s="1311"/>
      <c r="Z351" s="1311"/>
    </row>
    <row r="352" spans="1:26" x14ac:dyDescent="0.25">
      <c r="A352" s="847" t="s">
        <v>1246</v>
      </c>
      <c r="B352" s="1274" t="str">
        <f ca="1">IF('Pricing Schedule'!$K$5="No",_xlfn.CONCAT(IFERROR(SUBSTITUTE(ADDRESS(1,MATCH(A352,INDIRECT("'"&amp;E352&amp;"'"&amp;"!A10:Z10"),0),4),1,""),""),17),_xlfn.CONCAT(IFERROR(SUBSTITUTE(ADDRESS(1,MATCH(A352,INDIRECT("'"&amp;E352&amp;"'"&amp;"!A10:Z10"),0),4),1,""),""),51))</f>
        <v>H17</v>
      </c>
      <c r="C352" s="1274" t="str">
        <f ca="1">IF('Pricing Schedule'!$K$5="No",IFERROR(SUBSTITUTE(ADDRESS(1,MATCH(A352,INDIRECT("'"&amp;E352&amp;"'"&amp;"!A10:Z10"),0),4),1,""),""),IFERROR(SUBSTITUTE(ADDRESS(1,MATCH(A352,INDIRECT("'"&amp;E352&amp;"'"&amp;"!A10:Z10"),0),4),1,""),""))</f>
        <v>H</v>
      </c>
      <c r="D352" s="791" t="s">
        <v>1357</v>
      </c>
      <c r="E352" s="791" t="s">
        <v>1279</v>
      </c>
      <c r="F352" s="1314"/>
      <c r="G352" s="1314"/>
      <c r="H352" s="1314"/>
      <c r="I352" s="1274" t="str">
        <f t="shared" si="42"/>
        <v/>
      </c>
      <c r="J352" s="1314"/>
      <c r="K352" s="1314" t="str">
        <f t="shared" si="43"/>
        <v/>
      </c>
      <c r="L352" s="827" t="s">
        <v>1246</v>
      </c>
      <c r="M352" s="1314">
        <v>321</v>
      </c>
      <c r="N352" s="1314"/>
      <c r="O352" s="1311"/>
      <c r="P352" s="1311"/>
      <c r="Q352" s="1311"/>
      <c r="R352" s="1311"/>
      <c r="S352" s="1311"/>
      <c r="T352" s="1311"/>
      <c r="U352" s="1311"/>
      <c r="V352" s="1311"/>
      <c r="W352" s="1311"/>
      <c r="X352" s="1311"/>
      <c r="Y352" s="1311"/>
      <c r="Z352" s="1311"/>
    </row>
    <row r="353" spans="1:26" x14ac:dyDescent="0.25">
      <c r="A353" s="847" t="s">
        <v>1283</v>
      </c>
      <c r="B353" s="1274" t="str">
        <f ca="1">IF('Pricing Schedule'!$K$5="No",_xlfn.CONCAT(IFERROR(SUBSTITUTE(ADDRESS(1,MATCH(A353,INDIRECT("'"&amp;E353&amp;"'"&amp;"!A10:Z10"),0),4),1,""),""),17),_xlfn.CONCAT(IFERROR(SUBSTITUTE(ADDRESS(1,MATCH(A353,INDIRECT("'"&amp;E353&amp;"'"&amp;"!A10:Z10"),0),4),1,""),""),51))</f>
        <v>F17</v>
      </c>
      <c r="C353" s="1274" t="str">
        <f ca="1">IF('Pricing Schedule'!$K$5="No",IFERROR(SUBSTITUTE(ADDRESS(1,MATCH(A353,INDIRECT("'"&amp;E353&amp;"'"&amp;"!A10:Z10"),0),4),1,""),""),IFERROR(SUBSTITUTE(ADDRESS(1,MATCH(A353,INDIRECT("'"&amp;E353&amp;"'"&amp;"!A10:Z10"),0),4),1,""),""))</f>
        <v>F</v>
      </c>
      <c r="D353" s="791" t="s">
        <v>1357</v>
      </c>
      <c r="E353" s="791" t="s">
        <v>1279</v>
      </c>
      <c r="F353" s="1314"/>
      <c r="G353" s="1314"/>
      <c r="H353" s="1314"/>
      <c r="I353" s="1274" t="str">
        <f t="shared" si="42"/>
        <v/>
      </c>
      <c r="J353" s="1314"/>
      <c r="K353" s="1314" t="str">
        <f t="shared" si="43"/>
        <v/>
      </c>
      <c r="L353" s="827" t="s">
        <v>225</v>
      </c>
      <c r="M353" s="1314">
        <v>322</v>
      </c>
      <c r="N353" s="1314"/>
      <c r="O353" s="1311"/>
      <c r="P353" s="1311"/>
      <c r="Q353" s="1311"/>
      <c r="R353" s="1311"/>
      <c r="S353" s="1311"/>
      <c r="T353" s="1311"/>
      <c r="U353" s="1311"/>
      <c r="V353" s="1311"/>
      <c r="W353" s="1311"/>
      <c r="X353" s="1311"/>
      <c r="Y353" s="1311"/>
      <c r="Z353" s="1311"/>
    </row>
    <row r="354" spans="1:26" x14ac:dyDescent="0.25">
      <c r="A354" s="848" t="s">
        <v>463</v>
      </c>
      <c r="B354" s="1274" t="str">
        <f ca="1">_xlfn.CONCAT(IFERROR(SUBSTITUTE(ADDRESS(1,MATCH(A354,INDIRECT("'"&amp;E354&amp;"'"&amp;"!A9:Z9"),0),4),1,""),""),16)</f>
        <v>E16</v>
      </c>
      <c r="C354" s="1274" t="str">
        <f ca="1">_xlfn.CONCAT(IFERROR(SUBSTITUTE(ADDRESS(1,MATCH(A354,INDIRECT("'"&amp;E354&amp;"'"&amp;"!A9:Z9"),0),4),1,""),""))</f>
        <v>E</v>
      </c>
      <c r="D354" s="1314" t="s">
        <v>1357</v>
      </c>
      <c r="E354" s="791" t="s">
        <v>208</v>
      </c>
      <c r="F354" s="1314"/>
      <c r="G354" s="1314"/>
      <c r="H354" s="1314"/>
      <c r="I354" s="1274" t="str">
        <f t="shared" si="42"/>
        <v>Exclude PIM Classes Below</v>
      </c>
      <c r="J354" s="1314" t="str">
        <f t="shared" si="44"/>
        <v>F323</v>
      </c>
      <c r="K354" s="1314" t="str">
        <f t="shared" si="43"/>
        <v>PIM Model</v>
      </c>
      <c r="L354" s="827" t="s">
        <v>463</v>
      </c>
      <c r="M354" s="1314">
        <v>323</v>
      </c>
      <c r="N354" s="1314"/>
      <c r="O354" s="1311"/>
      <c r="P354" s="1311"/>
      <c r="Q354" s="1311"/>
      <c r="R354" s="1311"/>
      <c r="S354" s="1311"/>
      <c r="T354" s="1311"/>
      <c r="U354" s="1311"/>
      <c r="V354" s="1311"/>
      <c r="W354" s="1311"/>
      <c r="X354" s="1311"/>
      <c r="Y354" s="1311"/>
      <c r="Z354" s="1311"/>
    </row>
    <row r="355" spans="1:26" x14ac:dyDescent="0.25">
      <c r="A355" s="848" t="s">
        <v>1282</v>
      </c>
      <c r="B355" s="1274" t="str">
        <f ca="1">IF('Pricing Schedule'!$K$5="No",_xlfn.CONCAT(IFERROR(SUBSTITUTE(ADDRESS(1,MATCH(A355,INDIRECT("'"&amp;E355&amp;"'"&amp;"!A10:Z10"),0),4),1,""),""),17),_xlfn.CONCAT(IFERROR(SUBSTITUTE(ADDRESS(1,MATCH(A355,INDIRECT("'"&amp;E355&amp;"'"&amp;"!A10:Z10"),0),4),1,""),""),51))</f>
        <v>E17</v>
      </c>
      <c r="C355" s="1274" t="str">
        <f ca="1">IF('Pricing Schedule'!$K$5="No",IFERROR(SUBSTITUTE(ADDRESS(1,MATCH(A355,INDIRECT("'"&amp;E355&amp;"'"&amp;"!A10:Z10"),0),4),1,""),""),IFERROR(SUBSTITUTE(ADDRESS(1,MATCH(A355,INDIRECT("'"&amp;E355&amp;"'"&amp;"!A10:Z10"),0),4),1,""),""))</f>
        <v>E</v>
      </c>
      <c r="D355" s="791" t="s">
        <v>1357</v>
      </c>
      <c r="E355" s="791" t="s">
        <v>1279</v>
      </c>
      <c r="F355" s="1314"/>
      <c r="G355" s="1314"/>
      <c r="H355" s="1314"/>
      <c r="I355" s="1274" t="str">
        <f t="shared" si="42"/>
        <v>Special Pricing Code</v>
      </c>
      <c r="J355" s="1314" t="str">
        <f t="shared" si="44"/>
        <v>F324</v>
      </c>
      <c r="K355" s="1314" t="str">
        <f t="shared" si="43"/>
        <v>Pricing Schedule</v>
      </c>
      <c r="L355" s="827" t="s">
        <v>1282</v>
      </c>
      <c r="M355" s="1314">
        <v>324</v>
      </c>
      <c r="N355" s="1314"/>
      <c r="O355" s="1311"/>
      <c r="P355" s="1311"/>
      <c r="Q355" s="1311"/>
      <c r="R355" s="1311"/>
      <c r="S355" s="1311"/>
      <c r="T355" s="1311"/>
      <c r="U355" s="1311"/>
      <c r="V355" s="1311"/>
      <c r="W355" s="1311"/>
      <c r="X355" s="1311"/>
      <c r="Y355" s="1311"/>
      <c r="Z355" s="1311"/>
    </row>
    <row r="356" spans="1:26" x14ac:dyDescent="0.25">
      <c r="A356" s="848" t="s">
        <v>1284</v>
      </c>
      <c r="B356" s="1274" t="str">
        <f ca="1">IF('Pricing Schedule'!$K$5="No",_xlfn.CONCAT(IFERROR(SUBSTITUTE(ADDRESS(1,MATCH(A356,INDIRECT("'"&amp;E356&amp;"'"&amp;"!A10:Z10"),0),4),1,""),""),17),_xlfn.CONCAT(IFERROR(SUBSTITUTE(ADDRESS(1,MATCH(A356,INDIRECT("'"&amp;E356&amp;"'"&amp;"!A10:Z10"),0),4),1,""),""),51))</f>
        <v>G17</v>
      </c>
      <c r="C356" s="1274" t="str">
        <f ca="1">IF('Pricing Schedule'!$K$5="No",IFERROR(SUBSTITUTE(ADDRESS(1,MATCH(A356,INDIRECT("'"&amp;E356&amp;"'"&amp;"!A10:Z10"),0),4),1,""),""),IFERROR(SUBSTITUTE(ADDRESS(1,MATCH(A356,INDIRECT("'"&amp;E356&amp;"'"&amp;"!A10:Z10"),0),4),1,""),""))</f>
        <v>G</v>
      </c>
      <c r="D356" s="791" t="s">
        <v>1357</v>
      </c>
      <c r="E356" s="791" t="s">
        <v>1279</v>
      </c>
      <c r="F356" s="1097"/>
      <c r="G356" s="1314"/>
      <c r="H356" s="1314"/>
      <c r="I356" s="1274" t="str">
        <f t="shared" si="42"/>
        <v>EB Markup Amt</v>
      </c>
      <c r="J356" s="1314" t="str">
        <f t="shared" si="44"/>
        <v>F325</v>
      </c>
      <c r="K356" s="1314" t="str">
        <f t="shared" si="43"/>
        <v>Pricing Schedule</v>
      </c>
      <c r="L356" s="827" t="s">
        <v>1284</v>
      </c>
      <c r="M356" s="1314">
        <v>325</v>
      </c>
      <c r="N356" s="1314"/>
      <c r="O356" s="1311"/>
      <c r="P356" s="1311"/>
      <c r="Q356" s="1311"/>
      <c r="R356" s="1311"/>
      <c r="S356" s="1311"/>
      <c r="T356" s="1311"/>
      <c r="U356" s="1311"/>
      <c r="V356" s="1311"/>
      <c r="W356" s="1311"/>
      <c r="X356" s="1311"/>
      <c r="Y356" s="1311"/>
      <c r="Z356" s="1311"/>
    </row>
    <row r="357" spans="1:26" x14ac:dyDescent="0.25">
      <c r="A357" s="848" t="s">
        <v>1285</v>
      </c>
      <c r="B357" s="1274" t="str">
        <f ca="1">IF('Pricing Schedule'!$K$5="No",_xlfn.CONCAT(IFERROR(SUBSTITUTE(ADDRESS(1,MATCH(A357,INDIRECT("'"&amp;E357&amp;"'"&amp;"!A10:Z10"),0),4),1,""),""),17),_xlfn.CONCAT(IFERROR(SUBSTITUTE(ADDRESS(1,MATCH(A357,INDIRECT("'"&amp;E357&amp;"'"&amp;"!A10:Z10"),0),4),1,""),""),51))</f>
        <v>I17</v>
      </c>
      <c r="C357" s="1274" t="str">
        <f ca="1">IF('Pricing Schedule'!$K$5="No",IFERROR(SUBSTITUTE(ADDRESS(1,MATCH(A357,INDIRECT("'"&amp;E357&amp;"'"&amp;"!A10:Z10"),0),4),1,""),""),IFERROR(SUBSTITUTE(ADDRESS(1,MATCH(A357,INDIRECT("'"&amp;E357&amp;"'"&amp;"!A10:Z10"),0),4),1,""),""))</f>
        <v>I</v>
      </c>
      <c r="D357" s="791" t="s">
        <v>1357</v>
      </c>
      <c r="E357" s="791" t="s">
        <v>1279</v>
      </c>
      <c r="F357" s="1097"/>
      <c r="G357" s="1314"/>
      <c r="H357" s="1314"/>
      <c r="I357" s="1274" t="str">
        <f t="shared" si="42"/>
        <v>Min CS Markup Override Flag</v>
      </c>
      <c r="J357" s="1314" t="str">
        <f t="shared" si="44"/>
        <v>F326</v>
      </c>
      <c r="K357" s="1314" t="str">
        <f t="shared" si="43"/>
        <v>Pricing Schedule</v>
      </c>
      <c r="L357" s="827" t="s">
        <v>1285</v>
      </c>
      <c r="M357" s="1314">
        <v>326</v>
      </c>
      <c r="N357" s="1314"/>
      <c r="O357" s="1311"/>
      <c r="P357" s="1311"/>
      <c r="Q357" s="1311"/>
      <c r="R357" s="1311"/>
      <c r="S357" s="1311"/>
      <c r="T357" s="1311"/>
      <c r="U357" s="1311"/>
      <c r="V357" s="1311"/>
      <c r="W357" s="1311"/>
      <c r="X357" s="1311"/>
      <c r="Y357" s="1311"/>
      <c r="Z357" s="1311"/>
    </row>
    <row r="358" spans="1:26" x14ac:dyDescent="0.25">
      <c r="A358" s="848" t="s">
        <v>1286</v>
      </c>
      <c r="B358" s="1274" t="str">
        <f ca="1">IF('Pricing Schedule'!$K$5="No",_xlfn.CONCAT(IFERROR(SUBSTITUTE(ADDRESS(1,MATCH(A358,INDIRECT("'"&amp;E358&amp;"'"&amp;"!A10:Z10"),0),4),1,""),""),17),_xlfn.CONCAT(IFERROR(SUBSTITUTE(ADDRESS(1,MATCH(A358,INDIRECT("'"&amp;E358&amp;"'"&amp;"!A10:Z10"),0),4),1,""),""),51))</f>
        <v>J17</v>
      </c>
      <c r="C358" s="1274" t="str">
        <f ca="1">IF('Pricing Schedule'!$K$5="No",IFERROR(SUBSTITUTE(ADDRESS(1,MATCH(A358,INDIRECT("'"&amp;E358&amp;"'"&amp;"!A10:Z10"),0),4),1,""),""),IFERROR(SUBSTITUTE(ADDRESS(1,MATCH(A358,INDIRECT("'"&amp;E358&amp;"'"&amp;"!A10:Z10"),0),4),1,""),""))</f>
        <v>J</v>
      </c>
      <c r="D358" s="791" t="s">
        <v>1357</v>
      </c>
      <c r="E358" s="791" t="s">
        <v>1279</v>
      </c>
      <c r="F358" s="1097"/>
      <c r="G358" s="1314"/>
      <c r="H358" s="1314"/>
      <c r="I358" s="1274" t="str">
        <f t="shared" si="42"/>
        <v>Min CS Markup Amt</v>
      </c>
      <c r="J358" s="1314" t="str">
        <f t="shared" si="44"/>
        <v>F327</v>
      </c>
      <c r="K358" s="1314" t="str">
        <f t="shared" si="43"/>
        <v>Pricing Schedule</v>
      </c>
      <c r="L358" s="827" t="s">
        <v>1286</v>
      </c>
      <c r="M358" s="1314">
        <v>327</v>
      </c>
      <c r="N358" s="1314"/>
      <c r="O358" s="1311"/>
      <c r="P358" s="1311"/>
      <c r="Q358" s="1311"/>
      <c r="R358" s="1311"/>
      <c r="S358" s="1311"/>
      <c r="T358" s="1311"/>
      <c r="U358" s="1311"/>
      <c r="V358" s="1311"/>
      <c r="W358" s="1311"/>
      <c r="X358" s="1311"/>
      <c r="Y358" s="1311"/>
      <c r="Z358" s="1311"/>
    </row>
    <row r="359" spans="1:26" x14ac:dyDescent="0.25">
      <c r="A359" s="848" t="s">
        <v>1287</v>
      </c>
      <c r="B359" s="1274" t="str">
        <f ca="1">IF('Pricing Schedule'!$K$5="No",_xlfn.CONCAT(IFERROR(SUBSTITUTE(ADDRESS(1,MATCH(A359,INDIRECT("'"&amp;E359&amp;"'"&amp;"!A10:Z10"),0),4),1,""),""),17),_xlfn.CONCAT(IFERROR(SUBSTITUTE(ADDRESS(1,MATCH(A359,INDIRECT("'"&amp;E359&amp;"'"&amp;"!A10:Z10"),0),4),1,""),""),51))</f>
        <v>K17</v>
      </c>
      <c r="C359" s="1274" t="str">
        <f ca="1">IF('Pricing Schedule'!$K$5="No",IFERROR(SUBSTITUTE(ADDRESS(1,MATCH(A359,INDIRECT("'"&amp;E359&amp;"'"&amp;"!A10:Z10"),0),4),1,""),""),IFERROR(SUBSTITUTE(ADDRESS(1,MATCH(A359,INDIRECT("'"&amp;E359&amp;"'"&amp;"!A10:Z10"),0),4),1,""),""))</f>
        <v>K</v>
      </c>
      <c r="D359" s="791" t="s">
        <v>1357</v>
      </c>
      <c r="E359" s="791" t="s">
        <v>1279</v>
      </c>
      <c r="F359" s="1097"/>
      <c r="G359" s="1314"/>
      <c r="H359" s="1314"/>
      <c r="I359" s="1274" t="str">
        <f t="shared" si="42"/>
        <v>Split Case Fee Override Flag</v>
      </c>
      <c r="J359" s="1314" t="str">
        <f t="shared" si="44"/>
        <v>F328</v>
      </c>
      <c r="K359" s="1314" t="str">
        <f t="shared" si="43"/>
        <v>Pricing Schedule</v>
      </c>
      <c r="L359" s="827" t="s">
        <v>1287</v>
      </c>
      <c r="M359" s="1314">
        <v>328</v>
      </c>
      <c r="N359" s="1314"/>
      <c r="O359" s="1311"/>
      <c r="P359" s="1311"/>
      <c r="Q359" s="1311"/>
      <c r="R359" s="1311"/>
      <c r="S359" s="1311"/>
      <c r="T359" s="1311"/>
      <c r="U359" s="1311"/>
      <c r="V359" s="1311"/>
      <c r="W359" s="1311"/>
      <c r="X359" s="1311"/>
      <c r="Y359" s="1311"/>
      <c r="Z359" s="1311"/>
    </row>
    <row r="360" spans="1:26" x14ac:dyDescent="0.25">
      <c r="A360" s="848" t="s">
        <v>1288</v>
      </c>
      <c r="B360" s="1274" t="str">
        <f ca="1">IF('Pricing Schedule'!$K$5="No",_xlfn.CONCAT(IFERROR(SUBSTITUTE(ADDRESS(1,MATCH(A360,INDIRECT("'"&amp;E360&amp;"'"&amp;"!A10:Z10"),0),4),1,""),""),17),_xlfn.CONCAT(IFERROR(SUBSTITUTE(ADDRESS(1,MATCH(A360,INDIRECT("'"&amp;E360&amp;"'"&amp;"!A10:Z10"),0),4),1,""),""),51))</f>
        <v>L17</v>
      </c>
      <c r="C360" s="1274" t="str">
        <f ca="1">IF('Pricing Schedule'!$K$5="No",IFERROR(SUBSTITUTE(ADDRESS(1,MATCH(A360,INDIRECT("'"&amp;E360&amp;"'"&amp;"!A10:Z10"),0),4),1,""),""),IFERROR(SUBSTITUTE(ADDRESS(1,MATCH(A360,INDIRECT("'"&amp;E360&amp;"'"&amp;"!A10:Z10"),0),4),1,""),""))</f>
        <v>L</v>
      </c>
      <c r="D360" s="791" t="s">
        <v>1357</v>
      </c>
      <c r="E360" s="791" t="s">
        <v>1279</v>
      </c>
      <c r="F360" s="1097"/>
      <c r="G360" s="1314"/>
      <c r="H360" s="1314"/>
      <c r="I360" s="1274" t="str">
        <f t="shared" si="42"/>
        <v>Split Case Fee</v>
      </c>
      <c r="J360" s="1314" t="str">
        <f t="shared" si="44"/>
        <v>F329</v>
      </c>
      <c r="K360" s="1314" t="str">
        <f t="shared" si="43"/>
        <v>Pricing Schedule</v>
      </c>
      <c r="L360" s="827" t="s">
        <v>1288</v>
      </c>
      <c r="M360" s="1314">
        <v>329</v>
      </c>
      <c r="N360" s="1314"/>
      <c r="O360" s="1311"/>
      <c r="P360" s="1311"/>
      <c r="Q360" s="1311"/>
      <c r="R360" s="1311"/>
      <c r="S360" s="1311"/>
      <c r="T360" s="1311"/>
      <c r="U360" s="1311"/>
      <c r="V360" s="1311"/>
      <c r="W360" s="1311"/>
      <c r="X360" s="1311"/>
      <c r="Y360" s="1311"/>
      <c r="Z360" s="1311"/>
    </row>
    <row r="361" spans="1:26" x14ac:dyDescent="0.25">
      <c r="A361" s="848" t="s">
        <v>1228</v>
      </c>
      <c r="B361" s="1274" t="str">
        <f ca="1">IF('Pricing Schedule'!$K$5="No",_xlfn.CONCAT(IFERROR(SUBSTITUTE(ADDRESS(1,MATCH(A361,INDIRECT("'"&amp;E361&amp;"'"&amp;"!A10:Z10"),0),4),1,""),""),17),_xlfn.CONCAT(IFERROR(SUBSTITUTE(ADDRESS(1,MATCH(A361,INDIRECT("'"&amp;E361&amp;"'"&amp;"!A10:Z10"),0),4),1,""),""),51))</f>
        <v>M17</v>
      </c>
      <c r="C361" s="1274" t="str">
        <f ca="1">IF('Pricing Schedule'!$K$5="No",IFERROR(SUBSTITUTE(ADDRESS(1,MATCH(A361,INDIRECT("'"&amp;E361&amp;"'"&amp;"!A10:Z10"),0),4),1,""),""),IFERROR(SUBSTITUTE(ADDRESS(1,MATCH(A361,INDIRECT("'"&amp;E361&amp;"'"&amp;"!A10:Z10"),0),4),1,""),""))</f>
        <v>M</v>
      </c>
      <c r="D361" s="791" t="s">
        <v>1357</v>
      </c>
      <c r="E361" s="791" t="s">
        <v>1279</v>
      </c>
      <c r="F361" s="1097"/>
      <c r="G361" s="1314"/>
      <c r="H361" s="1314"/>
      <c r="I361" s="1274" t="str">
        <f t="shared" si="42"/>
        <v>Split Case Per</v>
      </c>
      <c r="J361" s="1314" t="str">
        <f t="shared" si="44"/>
        <v>F330</v>
      </c>
      <c r="K361" s="1314" t="str">
        <f t="shared" si="43"/>
        <v>Pricing Schedule</v>
      </c>
      <c r="L361" s="827" t="s">
        <v>1228</v>
      </c>
      <c r="M361" s="1314">
        <v>330</v>
      </c>
      <c r="N361" s="1314"/>
      <c r="O361" s="1311"/>
      <c r="P361" s="1311"/>
      <c r="Q361" s="1311"/>
      <c r="R361" s="1311"/>
      <c r="S361" s="1311"/>
      <c r="T361" s="1311"/>
      <c r="U361" s="1311"/>
      <c r="V361" s="1311"/>
      <c r="W361" s="1311"/>
      <c r="X361" s="1311"/>
      <c r="Y361" s="1311"/>
      <c r="Z361" s="1311"/>
    </row>
    <row r="362" spans="1:26" x14ac:dyDescent="0.25">
      <c r="A362" s="849" t="s">
        <v>1289</v>
      </c>
      <c r="B362" s="1274" t="str">
        <f ca="1">IF('Pricing Schedule'!$K$5="No",_xlfn.CONCAT(IFERROR(SUBSTITUTE(ADDRESS(1,MATCH(A362,INDIRECT("'"&amp;E362&amp;"'"&amp;"!A10:Z10"),0),4),1,""),""),20),_xlfn.CONCAT(IFERROR(SUBSTITUTE(ADDRESS(1,MATCH(A362,INDIRECT("'"&amp;E362&amp;"'"&amp;"!A10:Z10"),0),4),1,""),""),54))</f>
        <v>N20</v>
      </c>
      <c r="C362" s="1274" t="str">
        <f ca="1">IF('Pricing Schedule'!$K$5="No",IFERROR(SUBSTITUTE(ADDRESS(1,MATCH(A362,INDIRECT("'"&amp;E362&amp;"'"&amp;"!A10:Z10"),0),4),1,""),""),IFERROR(SUBSTITUTE(ADDRESS(1,MATCH(A362,INDIRECT("'"&amp;E362&amp;"'"&amp;"!A10:Z10"),0),4),1,""),""))</f>
        <v>N</v>
      </c>
      <c r="D362" s="791" t="s">
        <v>1357</v>
      </c>
      <c r="E362" s="791" t="s">
        <v>1279</v>
      </c>
      <c r="F362" s="1314"/>
      <c r="G362" s="1314"/>
      <c r="H362" s="1314"/>
      <c r="I362" s="1274" t="str">
        <f t="shared" si="42"/>
        <v/>
      </c>
      <c r="J362" s="1314"/>
      <c r="K362" s="1314" t="str">
        <f t="shared" si="43"/>
        <v/>
      </c>
      <c r="L362" s="827" t="s">
        <v>1289</v>
      </c>
      <c r="M362" s="1314">
        <v>331</v>
      </c>
      <c r="N362" s="1314"/>
      <c r="O362" s="1311"/>
      <c r="P362" s="1311"/>
      <c r="Q362" s="1311"/>
      <c r="R362" s="1311"/>
      <c r="S362" s="1311"/>
      <c r="T362" s="1311"/>
      <c r="U362" s="1311"/>
      <c r="V362" s="1311"/>
      <c r="W362" s="1311"/>
      <c r="X362" s="1311"/>
      <c r="Y362" s="1311"/>
      <c r="Z362" s="1311"/>
    </row>
    <row r="363" spans="1:26" x14ac:dyDescent="0.25">
      <c r="A363" s="850" t="s">
        <v>1280</v>
      </c>
      <c r="B363" s="1274" t="str">
        <f ca="1">IF('Pricing Schedule'!$K$5="No",_xlfn.CONCAT(IFERROR(SUBSTITUTE(ADDRESS(1,MATCH(A363,INDIRECT("'"&amp;E363&amp;"'"&amp;"!A10:Z10"),0),4),1,""),""),20),_xlfn.CONCAT(IFERROR(SUBSTITUTE(ADDRESS(1,MATCH(A363,INDIRECT("'"&amp;E363&amp;"'"&amp;"!A10:Z10"),0),4),1,""),""),54))</f>
        <v>C20</v>
      </c>
      <c r="C363" s="1274" t="str">
        <f ca="1">IF('Pricing Schedule'!$K$5="No",IFERROR(SUBSTITUTE(ADDRESS(1,MATCH(A363,INDIRECT("'"&amp;E363&amp;"'"&amp;"!A10:Z10"),0),4),1,""),""),IFERROR(SUBSTITUTE(ADDRESS(1,MATCH(A363,INDIRECT("'"&amp;E363&amp;"'"&amp;"!A10:Z10"),0),4),1,""),""))</f>
        <v>C</v>
      </c>
      <c r="D363" s="791" t="s">
        <v>1357</v>
      </c>
      <c r="E363" s="791" t="s">
        <v>1279</v>
      </c>
      <c r="F363" s="1314"/>
      <c r="G363" s="1314"/>
      <c r="H363" s="1314"/>
      <c r="I363" s="1274" t="str">
        <f t="shared" si="42"/>
        <v/>
      </c>
      <c r="J363" s="1314"/>
      <c r="K363" s="1314" t="str">
        <f t="shared" si="43"/>
        <v/>
      </c>
      <c r="L363" s="827" t="s">
        <v>252</v>
      </c>
      <c r="M363" s="1314">
        <v>332</v>
      </c>
      <c r="N363" s="1314"/>
      <c r="O363" s="1311"/>
      <c r="P363" s="1311"/>
      <c r="Q363" s="1311"/>
      <c r="R363" s="1311"/>
      <c r="S363" s="1311"/>
      <c r="T363" s="1311"/>
      <c r="U363" s="1311"/>
      <c r="V363" s="1311"/>
      <c r="W363" s="1311"/>
      <c r="X363" s="1311"/>
      <c r="Y363" s="1311"/>
      <c r="Z363" s="1311"/>
    </row>
    <row r="364" spans="1:26" x14ac:dyDescent="0.25">
      <c r="A364" s="850" t="s">
        <v>1246</v>
      </c>
      <c r="B364" s="1274" t="str">
        <f ca="1">IF('Pricing Schedule'!$K$5="No",_xlfn.CONCAT(IFERROR(SUBSTITUTE(ADDRESS(1,MATCH(A364,INDIRECT("'"&amp;E364&amp;"'"&amp;"!A10:Z10"),0),4),1,""),""),20),_xlfn.CONCAT(IFERROR(SUBSTITUTE(ADDRESS(1,MATCH(A364,INDIRECT("'"&amp;E364&amp;"'"&amp;"!A10:Z10"),0),4),1,""),""),54))</f>
        <v>H20</v>
      </c>
      <c r="C364" s="1274" t="str">
        <f ca="1">IF('Pricing Schedule'!$K$5="No",IFERROR(SUBSTITUTE(ADDRESS(1,MATCH(A364,INDIRECT("'"&amp;E364&amp;"'"&amp;"!A10:Z10"),0),4),1,""),""),IFERROR(SUBSTITUTE(ADDRESS(1,MATCH(A364,INDIRECT("'"&amp;E364&amp;"'"&amp;"!A10:Z10"),0),4),1,""),""))</f>
        <v>H</v>
      </c>
      <c r="D364" s="791" t="s">
        <v>1357</v>
      </c>
      <c r="E364" s="791" t="s">
        <v>1279</v>
      </c>
      <c r="F364" s="1314"/>
      <c r="G364" s="1314"/>
      <c r="H364" s="1314"/>
      <c r="I364" s="1274" t="str">
        <f t="shared" si="42"/>
        <v/>
      </c>
      <c r="J364" s="1314"/>
      <c r="K364" s="1314" t="str">
        <f t="shared" si="43"/>
        <v/>
      </c>
      <c r="L364" s="827" t="s">
        <v>1246</v>
      </c>
      <c r="M364" s="1314">
        <v>333</v>
      </c>
      <c r="N364" s="1314"/>
      <c r="O364" s="1311"/>
      <c r="P364" s="1311"/>
      <c r="Q364" s="1311"/>
      <c r="R364" s="1311"/>
      <c r="S364" s="1311"/>
      <c r="T364" s="1311"/>
      <c r="U364" s="1311"/>
      <c r="V364" s="1311"/>
      <c r="W364" s="1311"/>
      <c r="X364" s="1311"/>
      <c r="Y364" s="1311"/>
      <c r="Z364" s="1311"/>
    </row>
    <row r="365" spans="1:26" x14ac:dyDescent="0.25">
      <c r="A365" s="850" t="s">
        <v>1283</v>
      </c>
      <c r="B365" s="1274" t="str">
        <f ca="1">IF('Pricing Schedule'!$K$5="No",_xlfn.CONCAT(IFERROR(SUBSTITUTE(ADDRESS(1,MATCH(A365,INDIRECT("'"&amp;E365&amp;"'"&amp;"!A10:Z10"),0),4),1,""),""),20),_xlfn.CONCAT(IFERROR(SUBSTITUTE(ADDRESS(1,MATCH(A365,INDIRECT("'"&amp;E365&amp;"'"&amp;"!A10:Z10"),0),4),1,""),""),54))</f>
        <v>F20</v>
      </c>
      <c r="C365" s="1274" t="str">
        <f ca="1">IF('Pricing Schedule'!$K$5="No",IFERROR(SUBSTITUTE(ADDRESS(1,MATCH(A365,INDIRECT("'"&amp;E365&amp;"'"&amp;"!A10:Z10"),0),4),1,""),""),IFERROR(SUBSTITUTE(ADDRESS(1,MATCH(A365,INDIRECT("'"&amp;E365&amp;"'"&amp;"!A10:Z10"),0),4),1,""),""))</f>
        <v>F</v>
      </c>
      <c r="D365" s="791" t="s">
        <v>1357</v>
      </c>
      <c r="E365" s="791" t="s">
        <v>1279</v>
      </c>
      <c r="F365" s="1314"/>
      <c r="G365" s="1314"/>
      <c r="H365" s="1314"/>
      <c r="I365" s="1274" t="str">
        <f t="shared" si="42"/>
        <v/>
      </c>
      <c r="J365" s="1314"/>
      <c r="K365" s="1314" t="str">
        <f t="shared" si="43"/>
        <v/>
      </c>
      <c r="L365" s="827" t="s">
        <v>225</v>
      </c>
      <c r="M365" s="1314">
        <v>334</v>
      </c>
      <c r="N365" s="1314"/>
      <c r="O365" s="1311"/>
      <c r="P365" s="1311"/>
      <c r="Q365" s="1311"/>
      <c r="R365" s="1311"/>
      <c r="S365" s="1311"/>
      <c r="T365" s="1311"/>
      <c r="U365" s="1311"/>
      <c r="V365" s="1311"/>
      <c r="W365" s="1311"/>
      <c r="X365" s="1311"/>
      <c r="Y365" s="1311"/>
      <c r="Z365" s="1311"/>
    </row>
    <row r="366" spans="1:26" x14ac:dyDescent="0.25">
      <c r="A366" s="851" t="s">
        <v>463</v>
      </c>
      <c r="B366" s="1274" t="str">
        <f ca="1">_xlfn.CONCAT(IFERROR(SUBSTITUTE(ADDRESS(1,MATCH(A366,INDIRECT("'"&amp;E366&amp;"'"&amp;"!A9:Z9"),0),4),1,""),""),17)</f>
        <v>E17</v>
      </c>
      <c r="C366" s="1274" t="str">
        <f ca="1">_xlfn.CONCAT(IFERROR(SUBSTITUTE(ADDRESS(1,MATCH(A366,INDIRECT("'"&amp;E366&amp;"'"&amp;"!A9:Z9"),0),4),1,""),""))</f>
        <v>E</v>
      </c>
      <c r="D366" s="1314" t="s">
        <v>1357</v>
      </c>
      <c r="E366" s="791" t="s">
        <v>208</v>
      </c>
      <c r="F366" s="1314"/>
      <c r="G366" s="1314"/>
      <c r="H366" s="1314"/>
      <c r="I366" s="1274" t="str">
        <f t="shared" si="42"/>
        <v>Exclude PIM Classes Below</v>
      </c>
      <c r="J366" s="1314" t="str">
        <f t="shared" si="44"/>
        <v>F335</v>
      </c>
      <c r="K366" s="1314" t="str">
        <f t="shared" si="43"/>
        <v>PIM Model</v>
      </c>
      <c r="L366" s="827" t="s">
        <v>463</v>
      </c>
      <c r="M366" s="1314">
        <v>335</v>
      </c>
      <c r="N366" s="1314"/>
      <c r="O366" s="1311"/>
      <c r="P366" s="1311"/>
      <c r="Q366" s="1311"/>
      <c r="R366" s="1311"/>
      <c r="S366" s="1311"/>
      <c r="T366" s="1311"/>
      <c r="U366" s="1311"/>
      <c r="V366" s="1311"/>
      <c r="W366" s="1311"/>
      <c r="X366" s="1311"/>
      <c r="Y366" s="1311"/>
      <c r="Z366" s="1311"/>
    </row>
    <row r="367" spans="1:26" x14ac:dyDescent="0.25">
      <c r="A367" s="851" t="s">
        <v>1282</v>
      </c>
      <c r="B367" s="1274" t="str">
        <f ca="1">IF('Pricing Schedule'!$K$5="No",_xlfn.CONCAT(IFERROR(SUBSTITUTE(ADDRESS(1,MATCH(A367,INDIRECT("'"&amp;E367&amp;"'"&amp;"!A10:Z10"),0),4),1,""),""),20),_xlfn.CONCAT(IFERROR(SUBSTITUTE(ADDRESS(1,MATCH(A367,INDIRECT("'"&amp;E367&amp;"'"&amp;"!A10:Z10"),0),4),1,""),""),54))</f>
        <v>E20</v>
      </c>
      <c r="C367" s="1274" t="str">
        <f ca="1">IF('Pricing Schedule'!$K$5="No",IFERROR(SUBSTITUTE(ADDRESS(1,MATCH(A367,INDIRECT("'"&amp;E367&amp;"'"&amp;"!A10:Z10"),0),4),1,""),""),IFERROR(SUBSTITUTE(ADDRESS(1,MATCH(A367,INDIRECT("'"&amp;E367&amp;"'"&amp;"!A10:Z10"),0),4),1,""),""))</f>
        <v>E</v>
      </c>
      <c r="D367" s="791" t="s">
        <v>1357</v>
      </c>
      <c r="E367" s="791" t="s">
        <v>1279</v>
      </c>
      <c r="F367" s="1314"/>
      <c r="G367" s="1314"/>
      <c r="H367" s="1314"/>
      <c r="I367" s="1274" t="str">
        <f t="shared" si="42"/>
        <v>Special Pricing Code</v>
      </c>
      <c r="J367" s="1314" t="str">
        <f t="shared" si="44"/>
        <v>F336</v>
      </c>
      <c r="K367" s="1314" t="str">
        <f t="shared" si="43"/>
        <v>Pricing Schedule</v>
      </c>
      <c r="L367" s="827" t="s">
        <v>1282</v>
      </c>
      <c r="M367" s="1314">
        <v>336</v>
      </c>
      <c r="N367" s="1314"/>
      <c r="O367" s="1311"/>
      <c r="P367" s="1311"/>
      <c r="Q367" s="1311"/>
      <c r="R367" s="1311"/>
      <c r="S367" s="1311"/>
      <c r="T367" s="1311"/>
      <c r="U367" s="1311"/>
      <c r="V367" s="1311"/>
      <c r="W367" s="1311"/>
      <c r="X367" s="1311"/>
      <c r="Y367" s="1311"/>
      <c r="Z367" s="1311"/>
    </row>
    <row r="368" spans="1:26" x14ac:dyDescent="0.25">
      <c r="A368" s="851" t="s">
        <v>1284</v>
      </c>
      <c r="B368" s="1274" t="str">
        <f ca="1">IF('Pricing Schedule'!$K$5="No",_xlfn.CONCAT(IFERROR(SUBSTITUTE(ADDRESS(1,MATCH(A368,INDIRECT("'"&amp;E368&amp;"'"&amp;"!A10:Z10"),0),4),1,""),""),20),_xlfn.CONCAT(IFERROR(SUBSTITUTE(ADDRESS(1,MATCH(A368,INDIRECT("'"&amp;E368&amp;"'"&amp;"!A10:Z10"),0),4),1,""),""),54))</f>
        <v>G20</v>
      </c>
      <c r="C368" s="1274" t="str">
        <f ca="1">IF('Pricing Schedule'!$K$5="No",IFERROR(SUBSTITUTE(ADDRESS(1,MATCH(A368,INDIRECT("'"&amp;E368&amp;"'"&amp;"!A10:Z10"),0),4),1,""),""),IFERROR(SUBSTITUTE(ADDRESS(1,MATCH(A368,INDIRECT("'"&amp;E368&amp;"'"&amp;"!A10:Z10"),0),4),1,""),""))</f>
        <v>G</v>
      </c>
      <c r="D368" s="791" t="s">
        <v>1357</v>
      </c>
      <c r="E368" s="791" t="s">
        <v>1279</v>
      </c>
      <c r="F368" s="1097"/>
      <c r="G368" s="1314"/>
      <c r="H368" s="1314"/>
      <c r="I368" s="1274" t="str">
        <f t="shared" si="42"/>
        <v>EB Markup Amt</v>
      </c>
      <c r="J368" s="1314" t="str">
        <f t="shared" si="44"/>
        <v>F337</v>
      </c>
      <c r="K368" s="1314" t="str">
        <f t="shared" si="43"/>
        <v>Pricing Schedule</v>
      </c>
      <c r="L368" s="827" t="s">
        <v>1284</v>
      </c>
      <c r="M368" s="1314">
        <v>337</v>
      </c>
      <c r="N368" s="1314"/>
      <c r="O368" s="1311"/>
      <c r="P368" s="1311"/>
      <c r="Q368" s="1311"/>
      <c r="R368" s="1311"/>
      <c r="S368" s="1311"/>
      <c r="T368" s="1311"/>
      <c r="U368" s="1311"/>
      <c r="V368" s="1311"/>
      <c r="W368" s="1311"/>
      <c r="X368" s="1311"/>
      <c r="Y368" s="1311"/>
      <c r="Z368" s="1311"/>
    </row>
    <row r="369" spans="1:26" x14ac:dyDescent="0.25">
      <c r="A369" s="851" t="s">
        <v>1285</v>
      </c>
      <c r="B369" s="1274" t="str">
        <f ca="1">IF('Pricing Schedule'!$K$5="No",_xlfn.CONCAT(IFERROR(SUBSTITUTE(ADDRESS(1,MATCH(A369,INDIRECT("'"&amp;E369&amp;"'"&amp;"!A10:Z10"),0),4),1,""),""),20),_xlfn.CONCAT(IFERROR(SUBSTITUTE(ADDRESS(1,MATCH(A369,INDIRECT("'"&amp;E369&amp;"'"&amp;"!A10:Z10"),0),4),1,""),""),54))</f>
        <v>I20</v>
      </c>
      <c r="C369" s="1274" t="str">
        <f ca="1">IF('Pricing Schedule'!$K$5="No",IFERROR(SUBSTITUTE(ADDRESS(1,MATCH(A369,INDIRECT("'"&amp;E369&amp;"'"&amp;"!A10:Z10"),0),4),1,""),""),IFERROR(SUBSTITUTE(ADDRESS(1,MATCH(A369,INDIRECT("'"&amp;E369&amp;"'"&amp;"!A10:Z10"),0),4),1,""),""))</f>
        <v>I</v>
      </c>
      <c r="D369" s="791" t="s">
        <v>1357</v>
      </c>
      <c r="E369" s="791" t="s">
        <v>1279</v>
      </c>
      <c r="F369" s="1097"/>
      <c r="G369" s="1314"/>
      <c r="H369" s="1314"/>
      <c r="I369" s="1274" t="str">
        <f t="shared" si="42"/>
        <v>Min CS Markup Override Flag</v>
      </c>
      <c r="J369" s="1314" t="str">
        <f t="shared" si="44"/>
        <v>F338</v>
      </c>
      <c r="K369" s="1314" t="str">
        <f t="shared" si="43"/>
        <v>Pricing Schedule</v>
      </c>
      <c r="L369" s="827" t="s">
        <v>1285</v>
      </c>
      <c r="M369" s="1314">
        <v>338</v>
      </c>
      <c r="N369" s="1314"/>
      <c r="O369" s="1311"/>
      <c r="P369" s="1311"/>
      <c r="Q369" s="1311"/>
      <c r="R369" s="1311"/>
      <c r="S369" s="1311"/>
      <c r="T369" s="1311"/>
      <c r="U369" s="1311"/>
      <c r="V369" s="1311"/>
      <c r="W369" s="1311"/>
      <c r="X369" s="1311"/>
      <c r="Y369" s="1311"/>
      <c r="Z369" s="1311"/>
    </row>
    <row r="370" spans="1:26" x14ac:dyDescent="0.25">
      <c r="A370" s="851" t="s">
        <v>1286</v>
      </c>
      <c r="B370" s="1274" t="str">
        <f ca="1">IF('Pricing Schedule'!$K$5="No",_xlfn.CONCAT(IFERROR(SUBSTITUTE(ADDRESS(1,MATCH(A370,INDIRECT("'"&amp;E370&amp;"'"&amp;"!A10:Z10"),0),4),1,""),""),20),_xlfn.CONCAT(IFERROR(SUBSTITUTE(ADDRESS(1,MATCH(A370,INDIRECT("'"&amp;E370&amp;"'"&amp;"!A10:Z10"),0),4),1,""),""),54))</f>
        <v>J20</v>
      </c>
      <c r="C370" s="1274" t="str">
        <f ca="1">IF('Pricing Schedule'!$K$5="No",IFERROR(SUBSTITUTE(ADDRESS(1,MATCH(A370,INDIRECT("'"&amp;E370&amp;"'"&amp;"!A10:Z10"),0),4),1,""),""),IFERROR(SUBSTITUTE(ADDRESS(1,MATCH(A370,INDIRECT("'"&amp;E370&amp;"'"&amp;"!A10:Z10"),0),4),1,""),""))</f>
        <v>J</v>
      </c>
      <c r="D370" s="791" t="s">
        <v>1357</v>
      </c>
      <c r="E370" s="791" t="s">
        <v>1279</v>
      </c>
      <c r="F370" s="1097"/>
      <c r="G370" s="1314"/>
      <c r="H370" s="1314"/>
      <c r="I370" s="1274" t="str">
        <f t="shared" si="42"/>
        <v>Min CS Markup Amt</v>
      </c>
      <c r="J370" s="1314" t="str">
        <f t="shared" si="44"/>
        <v>F339</v>
      </c>
      <c r="K370" s="1314" t="str">
        <f t="shared" si="43"/>
        <v>Pricing Schedule</v>
      </c>
      <c r="L370" s="827" t="s">
        <v>1286</v>
      </c>
      <c r="M370" s="1314">
        <v>339</v>
      </c>
      <c r="N370" s="1314"/>
      <c r="O370" s="1311"/>
      <c r="P370" s="1311"/>
      <c r="Q370" s="1311"/>
      <c r="R370" s="1311"/>
      <c r="S370" s="1311"/>
      <c r="T370" s="1311"/>
      <c r="U370" s="1311"/>
      <c r="V370" s="1311"/>
      <c r="W370" s="1311"/>
      <c r="X370" s="1311"/>
      <c r="Y370" s="1311"/>
      <c r="Z370" s="1311"/>
    </row>
    <row r="371" spans="1:26" x14ac:dyDescent="0.25">
      <c r="A371" s="851" t="s">
        <v>1287</v>
      </c>
      <c r="B371" s="1274" t="str">
        <f ca="1">IF('Pricing Schedule'!$K$5="No",_xlfn.CONCAT(IFERROR(SUBSTITUTE(ADDRESS(1,MATCH(A371,INDIRECT("'"&amp;E371&amp;"'"&amp;"!A10:Z10"),0),4),1,""),""),20),_xlfn.CONCAT(IFERROR(SUBSTITUTE(ADDRESS(1,MATCH(A371,INDIRECT("'"&amp;E371&amp;"'"&amp;"!A10:Z10"),0),4),1,""),""),54))</f>
        <v>K20</v>
      </c>
      <c r="C371" s="1274" t="str">
        <f ca="1">IF('Pricing Schedule'!$K$5="No",IFERROR(SUBSTITUTE(ADDRESS(1,MATCH(A371,INDIRECT("'"&amp;E371&amp;"'"&amp;"!A10:Z10"),0),4),1,""),""),IFERROR(SUBSTITUTE(ADDRESS(1,MATCH(A371,INDIRECT("'"&amp;E371&amp;"'"&amp;"!A10:Z10"),0),4),1,""),""))</f>
        <v>K</v>
      </c>
      <c r="D371" s="791" t="s">
        <v>1357</v>
      </c>
      <c r="E371" s="791" t="s">
        <v>1279</v>
      </c>
      <c r="F371" s="1097"/>
      <c r="G371" s="1314"/>
      <c r="H371" s="1314"/>
      <c r="I371" s="1274" t="str">
        <f t="shared" si="42"/>
        <v>Split Case Fee Override Flag</v>
      </c>
      <c r="J371" s="1314" t="str">
        <f t="shared" si="44"/>
        <v>F340</v>
      </c>
      <c r="K371" s="1314" t="str">
        <f t="shared" si="43"/>
        <v>Pricing Schedule</v>
      </c>
      <c r="L371" s="827" t="s">
        <v>1287</v>
      </c>
      <c r="M371" s="1314">
        <v>340</v>
      </c>
      <c r="N371" s="1314"/>
      <c r="O371" s="1311"/>
      <c r="P371" s="1311"/>
      <c r="Q371" s="1311"/>
      <c r="R371" s="1311"/>
      <c r="S371" s="1311"/>
      <c r="T371" s="1311"/>
      <c r="U371" s="1311"/>
      <c r="V371" s="1311"/>
      <c r="W371" s="1311"/>
      <c r="X371" s="1311"/>
      <c r="Y371" s="1311"/>
      <c r="Z371" s="1311"/>
    </row>
    <row r="372" spans="1:26" x14ac:dyDescent="0.25">
      <c r="A372" s="851" t="s">
        <v>1288</v>
      </c>
      <c r="B372" s="1274" t="str">
        <f ca="1">IF('Pricing Schedule'!$K$5="No",_xlfn.CONCAT(IFERROR(SUBSTITUTE(ADDRESS(1,MATCH(A372,INDIRECT("'"&amp;E372&amp;"'"&amp;"!A10:Z10"),0),4),1,""),""),20),_xlfn.CONCAT(IFERROR(SUBSTITUTE(ADDRESS(1,MATCH(A372,INDIRECT("'"&amp;E372&amp;"'"&amp;"!A10:Z10"),0),4),1,""),""),54))</f>
        <v>L20</v>
      </c>
      <c r="C372" s="1274" t="str">
        <f ca="1">IF('Pricing Schedule'!$K$5="No",IFERROR(SUBSTITUTE(ADDRESS(1,MATCH(A372,INDIRECT("'"&amp;E372&amp;"'"&amp;"!A10:Z10"),0),4),1,""),""),IFERROR(SUBSTITUTE(ADDRESS(1,MATCH(A372,INDIRECT("'"&amp;E372&amp;"'"&amp;"!A10:Z10"),0),4),1,""),""))</f>
        <v>L</v>
      </c>
      <c r="D372" s="791" t="s">
        <v>1357</v>
      </c>
      <c r="E372" s="791" t="s">
        <v>1279</v>
      </c>
      <c r="F372" s="1097"/>
      <c r="G372" s="1314"/>
      <c r="H372" s="1314"/>
      <c r="I372" s="1274" t="str">
        <f t="shared" si="42"/>
        <v>Split Case Fee</v>
      </c>
      <c r="J372" s="1314" t="str">
        <f t="shared" si="44"/>
        <v>F341</v>
      </c>
      <c r="K372" s="1314" t="str">
        <f t="shared" si="43"/>
        <v>Pricing Schedule</v>
      </c>
      <c r="L372" s="827" t="s">
        <v>1288</v>
      </c>
      <c r="M372" s="1314">
        <v>341</v>
      </c>
      <c r="N372" s="1314"/>
      <c r="O372" s="1311"/>
      <c r="P372" s="1311"/>
      <c r="Q372" s="1311"/>
      <c r="R372" s="1311"/>
      <c r="S372" s="1311"/>
      <c r="T372" s="1311"/>
      <c r="U372" s="1311"/>
      <c r="V372" s="1311"/>
      <c r="W372" s="1311"/>
      <c r="X372" s="1311"/>
      <c r="Y372" s="1311"/>
      <c r="Z372" s="1311"/>
    </row>
    <row r="373" spans="1:26" x14ac:dyDescent="0.25">
      <c r="A373" s="851" t="s">
        <v>1228</v>
      </c>
      <c r="B373" s="1274" t="str">
        <f ca="1">IF('Pricing Schedule'!$K$5="No",_xlfn.CONCAT(IFERROR(SUBSTITUTE(ADDRESS(1,MATCH(A373,INDIRECT("'"&amp;E373&amp;"'"&amp;"!A10:Z10"),0),4),1,""),""),20),_xlfn.CONCAT(IFERROR(SUBSTITUTE(ADDRESS(1,MATCH(A373,INDIRECT("'"&amp;E373&amp;"'"&amp;"!A10:Z10"),0),4),1,""),""),54))</f>
        <v>M20</v>
      </c>
      <c r="C373" s="1274" t="str">
        <f ca="1">IF('Pricing Schedule'!$K$5="No",IFERROR(SUBSTITUTE(ADDRESS(1,MATCH(A373,INDIRECT("'"&amp;E373&amp;"'"&amp;"!A10:Z10"),0),4),1,""),""),IFERROR(SUBSTITUTE(ADDRESS(1,MATCH(A373,INDIRECT("'"&amp;E373&amp;"'"&amp;"!A10:Z10"),0),4),1,""),""))</f>
        <v>M</v>
      </c>
      <c r="D373" s="791" t="s">
        <v>1357</v>
      </c>
      <c r="E373" s="791" t="s">
        <v>1279</v>
      </c>
      <c r="F373" s="1097"/>
      <c r="G373" s="1314"/>
      <c r="H373" s="1314"/>
      <c r="I373" s="1274" t="str">
        <f t="shared" si="42"/>
        <v>Split Case Per</v>
      </c>
      <c r="J373" s="1314" t="str">
        <f t="shared" si="44"/>
        <v>F342</v>
      </c>
      <c r="K373" s="1314" t="str">
        <f t="shared" si="43"/>
        <v>Pricing Schedule</v>
      </c>
      <c r="L373" s="827" t="s">
        <v>1228</v>
      </c>
      <c r="M373" s="1314">
        <v>342</v>
      </c>
      <c r="N373" s="1314"/>
      <c r="O373" s="1311"/>
      <c r="P373" s="1311"/>
      <c r="Q373" s="1311"/>
      <c r="R373" s="1311"/>
      <c r="S373" s="1311"/>
      <c r="T373" s="1311"/>
      <c r="U373" s="1311"/>
      <c r="V373" s="1311"/>
      <c r="W373" s="1311"/>
      <c r="X373" s="1311"/>
      <c r="Y373" s="1311"/>
      <c r="Z373" s="1311"/>
    </row>
    <row r="374" spans="1:26" x14ac:dyDescent="0.25">
      <c r="A374" s="846" t="s">
        <v>1289</v>
      </c>
      <c r="B374" s="1274" t="str">
        <f ca="1">IF('Pricing Schedule'!$K$5="No",_xlfn.CONCAT(IFERROR(SUBSTITUTE(ADDRESS(1,MATCH(A374,INDIRECT("'"&amp;E374&amp;"'"&amp;"!A10:Z10"),0),4),1,""),""),19),_xlfn.CONCAT(IFERROR(SUBSTITUTE(ADDRESS(1,MATCH(A374,INDIRECT("'"&amp;E374&amp;"'"&amp;"!A10:Z10"),0),4),1,""),""),53))</f>
        <v>N19</v>
      </c>
      <c r="C374" s="1274" t="str">
        <f ca="1">IF('Pricing Schedule'!$K$5="No",IFERROR(SUBSTITUTE(ADDRESS(1,MATCH(A374,INDIRECT("'"&amp;E374&amp;"'"&amp;"!A10:Z10"),0),4),1,""),""),IFERROR(SUBSTITUTE(ADDRESS(1,MATCH(A374,INDIRECT("'"&amp;E374&amp;"'"&amp;"!A10:Z10"),0),4),1,""),""))</f>
        <v>N</v>
      </c>
      <c r="D374" s="791" t="s">
        <v>1357</v>
      </c>
      <c r="E374" s="791" t="s">
        <v>1279</v>
      </c>
      <c r="F374" s="1314"/>
      <c r="G374" s="1314"/>
      <c r="H374" s="1314"/>
      <c r="I374" s="1274" t="str">
        <f t="shared" si="42"/>
        <v/>
      </c>
      <c r="J374" s="1314"/>
      <c r="K374" s="1314" t="str">
        <f t="shared" si="43"/>
        <v/>
      </c>
      <c r="L374" s="827" t="s">
        <v>1289</v>
      </c>
      <c r="M374" s="1314">
        <v>343</v>
      </c>
      <c r="N374" s="1314"/>
      <c r="O374" s="1311"/>
      <c r="P374" s="1311"/>
      <c r="Q374" s="1311"/>
      <c r="R374" s="1311"/>
      <c r="S374" s="1311"/>
      <c r="T374" s="1311"/>
      <c r="U374" s="1311"/>
      <c r="V374" s="1311"/>
      <c r="W374" s="1311"/>
      <c r="X374" s="1311"/>
      <c r="Y374" s="1311"/>
      <c r="Z374" s="1311"/>
    </row>
    <row r="375" spans="1:26" x14ac:dyDescent="0.25">
      <c r="A375" s="847" t="s">
        <v>1280</v>
      </c>
      <c r="B375" s="1274" t="str">
        <f ca="1">IF('Pricing Schedule'!$K$5="No",_xlfn.CONCAT(IFERROR(SUBSTITUTE(ADDRESS(1,MATCH(A375,INDIRECT("'"&amp;E375&amp;"'"&amp;"!A10:Z10"),0),4),1,""),""),19),_xlfn.CONCAT(IFERROR(SUBSTITUTE(ADDRESS(1,MATCH(A375,INDIRECT("'"&amp;E375&amp;"'"&amp;"!A10:Z10"),0),4),1,""),""),53))</f>
        <v>C19</v>
      </c>
      <c r="C375" s="1274" t="str">
        <f ca="1">IF('Pricing Schedule'!$K$5="No",IFERROR(SUBSTITUTE(ADDRESS(1,MATCH(A375,INDIRECT("'"&amp;E375&amp;"'"&amp;"!A10:Z10"),0),4),1,""),""),IFERROR(SUBSTITUTE(ADDRESS(1,MATCH(A375,INDIRECT("'"&amp;E375&amp;"'"&amp;"!A10:Z10"),0),4),1,""),""))</f>
        <v>C</v>
      </c>
      <c r="D375" s="791" t="s">
        <v>1357</v>
      </c>
      <c r="E375" s="791" t="s">
        <v>1279</v>
      </c>
      <c r="F375" s="1314"/>
      <c r="G375" s="1314"/>
      <c r="H375" s="1314"/>
      <c r="I375" s="1274" t="str">
        <f t="shared" si="42"/>
        <v/>
      </c>
      <c r="J375" s="1314"/>
      <c r="K375" s="1314" t="str">
        <f t="shared" si="43"/>
        <v/>
      </c>
      <c r="L375" s="827" t="s">
        <v>252</v>
      </c>
      <c r="M375" s="1314">
        <v>344</v>
      </c>
      <c r="N375" s="1314"/>
      <c r="O375" s="1311"/>
      <c r="P375" s="1311"/>
      <c r="Q375" s="1311"/>
      <c r="R375" s="1311"/>
      <c r="S375" s="1311"/>
      <c r="T375" s="1311"/>
      <c r="U375" s="1311"/>
      <c r="V375" s="1311"/>
      <c r="W375" s="1311"/>
      <c r="X375" s="1311"/>
      <c r="Y375" s="1311"/>
      <c r="Z375" s="1311"/>
    </row>
    <row r="376" spans="1:26" x14ac:dyDescent="0.25">
      <c r="A376" s="847" t="s">
        <v>1246</v>
      </c>
      <c r="B376" s="1274" t="str">
        <f ca="1">IF('Pricing Schedule'!$K$5="No",_xlfn.CONCAT(IFERROR(SUBSTITUTE(ADDRESS(1,MATCH(A376,INDIRECT("'"&amp;E376&amp;"'"&amp;"!A10:Z10"),0),4),1,""),""),19),_xlfn.CONCAT(IFERROR(SUBSTITUTE(ADDRESS(1,MATCH(A376,INDIRECT("'"&amp;E376&amp;"'"&amp;"!A10:Z10"),0),4),1,""),""),53))</f>
        <v>H19</v>
      </c>
      <c r="C376" s="1274" t="str">
        <f ca="1">IF('Pricing Schedule'!$K$5="No",IFERROR(SUBSTITUTE(ADDRESS(1,MATCH(A376,INDIRECT("'"&amp;E376&amp;"'"&amp;"!A10:Z10"),0),4),1,""),""),IFERROR(SUBSTITUTE(ADDRESS(1,MATCH(A376,INDIRECT("'"&amp;E376&amp;"'"&amp;"!A10:Z10"),0),4),1,""),""))</f>
        <v>H</v>
      </c>
      <c r="D376" s="791" t="s">
        <v>1357</v>
      </c>
      <c r="E376" s="791" t="s">
        <v>1279</v>
      </c>
      <c r="F376" s="1314"/>
      <c r="G376" s="1314"/>
      <c r="H376" s="1314"/>
      <c r="I376" s="1274" t="str">
        <f t="shared" si="42"/>
        <v/>
      </c>
      <c r="J376" s="1314"/>
      <c r="K376" s="1314" t="str">
        <f t="shared" si="43"/>
        <v/>
      </c>
      <c r="L376" s="827" t="s">
        <v>1246</v>
      </c>
      <c r="M376" s="1314">
        <v>345</v>
      </c>
      <c r="N376" s="1314"/>
      <c r="O376" s="1311"/>
      <c r="P376" s="1311"/>
      <c r="Q376" s="1311"/>
      <c r="R376" s="1311"/>
      <c r="S376" s="1311"/>
      <c r="T376" s="1311"/>
      <c r="U376" s="1311"/>
      <c r="V376" s="1311"/>
      <c r="W376" s="1311"/>
      <c r="X376" s="1311"/>
      <c r="Y376" s="1311"/>
      <c r="Z376" s="1311"/>
    </row>
    <row r="377" spans="1:26" x14ac:dyDescent="0.25">
      <c r="A377" s="847" t="s">
        <v>1283</v>
      </c>
      <c r="B377" s="1274" t="str">
        <f ca="1">IF('Pricing Schedule'!$K$5="No",_xlfn.CONCAT(IFERROR(SUBSTITUTE(ADDRESS(1,MATCH(A377,INDIRECT("'"&amp;E377&amp;"'"&amp;"!A10:Z10"),0),4),1,""),""),19),_xlfn.CONCAT(IFERROR(SUBSTITUTE(ADDRESS(1,MATCH(A377,INDIRECT("'"&amp;E377&amp;"'"&amp;"!A10:Z10"),0),4),1,""),""),53))</f>
        <v>F19</v>
      </c>
      <c r="C377" s="1274" t="str">
        <f ca="1">IF('Pricing Schedule'!$K$5="No",IFERROR(SUBSTITUTE(ADDRESS(1,MATCH(A377,INDIRECT("'"&amp;E377&amp;"'"&amp;"!A10:Z10"),0),4),1,""),""),IFERROR(SUBSTITUTE(ADDRESS(1,MATCH(A377,INDIRECT("'"&amp;E377&amp;"'"&amp;"!A10:Z10"),0),4),1,""),""))</f>
        <v>F</v>
      </c>
      <c r="D377" s="791" t="s">
        <v>1357</v>
      </c>
      <c r="E377" s="791" t="s">
        <v>1279</v>
      </c>
      <c r="F377" s="1314"/>
      <c r="G377" s="1314"/>
      <c r="H377" s="1314"/>
      <c r="I377" s="1274" t="str">
        <f t="shared" si="42"/>
        <v/>
      </c>
      <c r="J377" s="1314"/>
      <c r="K377" s="1314" t="str">
        <f t="shared" si="43"/>
        <v/>
      </c>
      <c r="L377" s="827" t="s">
        <v>225</v>
      </c>
      <c r="M377" s="1314">
        <v>346</v>
      </c>
      <c r="N377" s="1314"/>
      <c r="O377" s="1311"/>
      <c r="P377" s="1311"/>
      <c r="Q377" s="1311"/>
      <c r="R377" s="1311"/>
      <c r="S377" s="1311"/>
      <c r="T377" s="1311"/>
      <c r="U377" s="1311"/>
      <c r="V377" s="1311"/>
      <c r="W377" s="1311"/>
      <c r="X377" s="1311"/>
      <c r="Y377" s="1311"/>
      <c r="Z377" s="1311"/>
    </row>
    <row r="378" spans="1:26" x14ac:dyDescent="0.25">
      <c r="A378" s="848" t="s">
        <v>463</v>
      </c>
      <c r="B378" s="1274" t="str">
        <f ca="1">_xlfn.CONCAT(IFERROR(SUBSTITUTE(ADDRESS(1,MATCH(A378,INDIRECT("'"&amp;E378&amp;"'"&amp;"!A9:Z9"),0),4),1,""),""),18)</f>
        <v>E18</v>
      </c>
      <c r="C378" s="1274" t="str">
        <f ca="1">_xlfn.CONCAT(IFERROR(SUBSTITUTE(ADDRESS(1,MATCH(A378,INDIRECT("'"&amp;E378&amp;"'"&amp;"!A9:Z9"),0),4),1,""),""))</f>
        <v>E</v>
      </c>
      <c r="D378" s="1314" t="s">
        <v>1357</v>
      </c>
      <c r="E378" s="791" t="s">
        <v>208</v>
      </c>
      <c r="F378" s="1314"/>
      <c r="G378" s="1314"/>
      <c r="H378" s="1314"/>
      <c r="I378" s="1274" t="str">
        <f t="shared" si="42"/>
        <v>Exclude PIM Classes Below</v>
      </c>
      <c r="J378" s="1314" t="str">
        <f t="shared" si="44"/>
        <v>F347</v>
      </c>
      <c r="K378" s="1314" t="str">
        <f t="shared" si="43"/>
        <v>PIM Model</v>
      </c>
      <c r="L378" s="827" t="s">
        <v>463</v>
      </c>
      <c r="M378" s="1314">
        <v>347</v>
      </c>
      <c r="N378" s="1314"/>
      <c r="O378" s="1311"/>
      <c r="P378" s="1311"/>
      <c r="Q378" s="1311"/>
      <c r="R378" s="1311"/>
      <c r="S378" s="1311"/>
      <c r="T378" s="1311"/>
      <c r="U378" s="1311"/>
      <c r="V378" s="1311"/>
      <c r="W378" s="1311"/>
      <c r="X378" s="1311"/>
      <c r="Y378" s="1311"/>
      <c r="Z378" s="1311"/>
    </row>
    <row r="379" spans="1:26" x14ac:dyDescent="0.25">
      <c r="A379" s="848" t="s">
        <v>1282</v>
      </c>
      <c r="B379" s="1274" t="str">
        <f ca="1">IF('Pricing Schedule'!$K$5="No",_xlfn.CONCAT(IFERROR(SUBSTITUTE(ADDRESS(1,MATCH(A379,INDIRECT("'"&amp;E379&amp;"'"&amp;"!A10:Z10"),0),4),1,""),""),19),_xlfn.CONCAT(IFERROR(SUBSTITUTE(ADDRESS(1,MATCH(A379,INDIRECT("'"&amp;E379&amp;"'"&amp;"!A10:Z10"),0),4),1,""),""),53))</f>
        <v>E19</v>
      </c>
      <c r="C379" s="1274" t="str">
        <f ca="1">IF('Pricing Schedule'!$K$5="No",IFERROR(SUBSTITUTE(ADDRESS(1,MATCH(A379,INDIRECT("'"&amp;E379&amp;"'"&amp;"!A10:Z10"),0),4),1,""),""),IFERROR(SUBSTITUTE(ADDRESS(1,MATCH(A379,INDIRECT("'"&amp;E379&amp;"'"&amp;"!A10:Z10"),0),4),1,""),""))</f>
        <v>E</v>
      </c>
      <c r="D379" s="791" t="s">
        <v>1357</v>
      </c>
      <c r="E379" s="791" t="s">
        <v>1279</v>
      </c>
      <c r="F379" s="1314"/>
      <c r="G379" s="1314"/>
      <c r="H379" s="1314"/>
      <c r="I379" s="1274" t="str">
        <f t="shared" si="42"/>
        <v>Special Pricing Code</v>
      </c>
      <c r="J379" s="1314" t="str">
        <f t="shared" si="44"/>
        <v>F348</v>
      </c>
      <c r="K379" s="1314" t="str">
        <f t="shared" si="43"/>
        <v>Pricing Schedule</v>
      </c>
      <c r="L379" s="827" t="s">
        <v>1282</v>
      </c>
      <c r="M379" s="1314">
        <v>348</v>
      </c>
      <c r="N379" s="1314"/>
      <c r="O379" s="1311"/>
      <c r="P379" s="1311"/>
      <c r="Q379" s="1311"/>
      <c r="R379" s="1311"/>
      <c r="S379" s="1311"/>
      <c r="T379" s="1311"/>
      <c r="U379" s="1311"/>
      <c r="V379" s="1311"/>
      <c r="W379" s="1311"/>
      <c r="X379" s="1311"/>
      <c r="Y379" s="1311"/>
      <c r="Z379" s="1311"/>
    </row>
    <row r="380" spans="1:26" x14ac:dyDescent="0.25">
      <c r="A380" s="848" t="s">
        <v>1284</v>
      </c>
      <c r="B380" s="1274" t="str">
        <f ca="1">IF('Pricing Schedule'!$K$5="No",_xlfn.CONCAT(IFERROR(SUBSTITUTE(ADDRESS(1,MATCH(A380,INDIRECT("'"&amp;E380&amp;"'"&amp;"!A10:Z10"),0),4),1,""),""),19),_xlfn.CONCAT(IFERROR(SUBSTITUTE(ADDRESS(1,MATCH(A380,INDIRECT("'"&amp;E380&amp;"'"&amp;"!A10:Z10"),0),4),1,""),""),53))</f>
        <v>G19</v>
      </c>
      <c r="C380" s="1274" t="str">
        <f ca="1">IF('Pricing Schedule'!$K$5="No",IFERROR(SUBSTITUTE(ADDRESS(1,MATCH(A380,INDIRECT("'"&amp;E380&amp;"'"&amp;"!A10:Z10"),0),4),1,""),""),IFERROR(SUBSTITUTE(ADDRESS(1,MATCH(A380,INDIRECT("'"&amp;E380&amp;"'"&amp;"!A10:Z10"),0),4),1,""),""))</f>
        <v>G</v>
      </c>
      <c r="D380" s="791" t="s">
        <v>1357</v>
      </c>
      <c r="E380" s="791" t="s">
        <v>1279</v>
      </c>
      <c r="F380" s="1097"/>
      <c r="G380" s="1314"/>
      <c r="H380" s="1314"/>
      <c r="I380" s="1274" t="str">
        <f t="shared" si="42"/>
        <v>EB Markup Amt</v>
      </c>
      <c r="J380" s="1314" t="str">
        <f t="shared" si="44"/>
        <v>F349</v>
      </c>
      <c r="K380" s="1314" t="str">
        <f t="shared" si="43"/>
        <v>Pricing Schedule</v>
      </c>
      <c r="L380" s="827" t="s">
        <v>1284</v>
      </c>
      <c r="M380" s="1314">
        <v>349</v>
      </c>
      <c r="N380" s="1314"/>
      <c r="O380" s="1311"/>
      <c r="P380" s="1311"/>
      <c r="Q380" s="1311"/>
      <c r="R380" s="1311"/>
      <c r="S380" s="1311"/>
      <c r="T380" s="1311"/>
      <c r="U380" s="1311"/>
      <c r="V380" s="1311"/>
      <c r="W380" s="1311"/>
      <c r="X380" s="1311"/>
      <c r="Y380" s="1311"/>
      <c r="Z380" s="1311"/>
    </row>
    <row r="381" spans="1:26" x14ac:dyDescent="0.25">
      <c r="A381" s="848" t="s">
        <v>1285</v>
      </c>
      <c r="B381" s="1274" t="str">
        <f ca="1">IF('Pricing Schedule'!$K$5="No",_xlfn.CONCAT(IFERROR(SUBSTITUTE(ADDRESS(1,MATCH(A381,INDIRECT("'"&amp;E381&amp;"'"&amp;"!A10:Z10"),0),4),1,""),""),19),_xlfn.CONCAT(IFERROR(SUBSTITUTE(ADDRESS(1,MATCH(A381,INDIRECT("'"&amp;E381&amp;"'"&amp;"!A10:Z10"),0),4),1,""),""),53))</f>
        <v>I19</v>
      </c>
      <c r="C381" s="1274" t="str">
        <f ca="1">IF('Pricing Schedule'!$K$5="No",IFERROR(SUBSTITUTE(ADDRESS(1,MATCH(A381,INDIRECT("'"&amp;E381&amp;"'"&amp;"!A10:Z10"),0),4),1,""),""),IFERROR(SUBSTITUTE(ADDRESS(1,MATCH(A381,INDIRECT("'"&amp;E381&amp;"'"&amp;"!A10:Z10"),0),4),1,""),""))</f>
        <v>I</v>
      </c>
      <c r="D381" s="791" t="s">
        <v>1357</v>
      </c>
      <c r="E381" s="791" t="s">
        <v>1279</v>
      </c>
      <c r="F381" s="1097"/>
      <c r="G381" s="1314"/>
      <c r="H381" s="1314"/>
      <c r="I381" s="1274" t="str">
        <f t="shared" si="42"/>
        <v>Min CS Markup Override Flag</v>
      </c>
      <c r="J381" s="1314" t="str">
        <f t="shared" si="44"/>
        <v>F350</v>
      </c>
      <c r="K381" s="1314" t="str">
        <f t="shared" si="43"/>
        <v>Pricing Schedule</v>
      </c>
      <c r="L381" s="827" t="s">
        <v>1285</v>
      </c>
      <c r="M381" s="1314">
        <v>350</v>
      </c>
      <c r="N381" s="1314"/>
      <c r="O381" s="1311"/>
      <c r="P381" s="1311"/>
      <c r="Q381" s="1311"/>
      <c r="R381" s="1311"/>
      <c r="S381" s="1311"/>
      <c r="T381" s="1311"/>
      <c r="U381" s="1311"/>
      <c r="V381" s="1311"/>
      <c r="W381" s="1311"/>
      <c r="X381" s="1311"/>
      <c r="Y381" s="1311"/>
      <c r="Z381" s="1311"/>
    </row>
    <row r="382" spans="1:26" x14ac:dyDescent="0.25">
      <c r="A382" s="848" t="s">
        <v>1286</v>
      </c>
      <c r="B382" s="1274" t="str">
        <f ca="1">IF('Pricing Schedule'!$K$5="No",_xlfn.CONCAT(IFERROR(SUBSTITUTE(ADDRESS(1,MATCH(A382,INDIRECT("'"&amp;E382&amp;"'"&amp;"!A10:Z10"),0),4),1,""),""),19),_xlfn.CONCAT(IFERROR(SUBSTITUTE(ADDRESS(1,MATCH(A382,INDIRECT("'"&amp;E382&amp;"'"&amp;"!A10:Z10"),0),4),1,""),""),53))</f>
        <v>J19</v>
      </c>
      <c r="C382" s="1274" t="str">
        <f ca="1">IF('Pricing Schedule'!$K$5="No",IFERROR(SUBSTITUTE(ADDRESS(1,MATCH(A382,INDIRECT("'"&amp;E382&amp;"'"&amp;"!A10:Z10"),0),4),1,""),""),IFERROR(SUBSTITUTE(ADDRESS(1,MATCH(A382,INDIRECT("'"&amp;E382&amp;"'"&amp;"!A10:Z10"),0),4),1,""),""))</f>
        <v>J</v>
      </c>
      <c r="D382" s="791" t="s">
        <v>1357</v>
      </c>
      <c r="E382" s="791" t="s">
        <v>1279</v>
      </c>
      <c r="F382" s="1097"/>
      <c r="G382" s="1314"/>
      <c r="H382" s="1314"/>
      <c r="I382" s="1274" t="str">
        <f t="shared" si="42"/>
        <v>Min CS Markup Amt</v>
      </c>
      <c r="J382" s="1314" t="str">
        <f t="shared" si="44"/>
        <v>F351</v>
      </c>
      <c r="K382" s="1314" t="str">
        <f t="shared" si="43"/>
        <v>Pricing Schedule</v>
      </c>
      <c r="L382" s="827" t="s">
        <v>1286</v>
      </c>
      <c r="M382" s="1314">
        <v>351</v>
      </c>
      <c r="N382" s="1314"/>
      <c r="O382" s="1311"/>
      <c r="P382" s="1311"/>
      <c r="Q382" s="1311"/>
      <c r="R382" s="1311"/>
      <c r="S382" s="1311"/>
      <c r="T382" s="1311"/>
      <c r="U382" s="1311"/>
      <c r="V382" s="1311"/>
      <c r="W382" s="1311"/>
      <c r="X382" s="1311"/>
      <c r="Y382" s="1311"/>
      <c r="Z382" s="1311"/>
    </row>
    <row r="383" spans="1:26" x14ac:dyDescent="0.25">
      <c r="A383" s="848" t="s">
        <v>1287</v>
      </c>
      <c r="B383" s="1274" t="str">
        <f ca="1">IF('Pricing Schedule'!$K$5="No",_xlfn.CONCAT(IFERROR(SUBSTITUTE(ADDRESS(1,MATCH(A383,INDIRECT("'"&amp;E383&amp;"'"&amp;"!A10:Z10"),0),4),1,""),""),19),_xlfn.CONCAT(IFERROR(SUBSTITUTE(ADDRESS(1,MATCH(A383,INDIRECT("'"&amp;E383&amp;"'"&amp;"!A10:Z10"),0),4),1,""),""),53))</f>
        <v>K19</v>
      </c>
      <c r="C383" s="1274" t="str">
        <f ca="1">IF('Pricing Schedule'!$K$5="No",IFERROR(SUBSTITUTE(ADDRESS(1,MATCH(A383,INDIRECT("'"&amp;E383&amp;"'"&amp;"!A10:Z10"),0),4),1,""),""),IFERROR(SUBSTITUTE(ADDRESS(1,MATCH(A383,INDIRECT("'"&amp;E383&amp;"'"&amp;"!A10:Z10"),0),4),1,""),""))</f>
        <v>K</v>
      </c>
      <c r="D383" s="791" t="s">
        <v>1357</v>
      </c>
      <c r="E383" s="791" t="s">
        <v>1279</v>
      </c>
      <c r="F383" s="1097"/>
      <c r="G383" s="1314"/>
      <c r="H383" s="1314"/>
      <c r="I383" s="1274" t="str">
        <f t="shared" si="42"/>
        <v>Split Case Fee Override Flag</v>
      </c>
      <c r="J383" s="1314" t="str">
        <f t="shared" si="44"/>
        <v>F352</v>
      </c>
      <c r="K383" s="1314" t="str">
        <f t="shared" si="43"/>
        <v>Pricing Schedule</v>
      </c>
      <c r="L383" s="827" t="s">
        <v>1287</v>
      </c>
      <c r="M383" s="1314">
        <v>352</v>
      </c>
      <c r="N383" s="1314"/>
      <c r="O383" s="1311"/>
      <c r="P383" s="1311"/>
      <c r="Q383" s="1311"/>
      <c r="R383" s="1311"/>
      <c r="S383" s="1311"/>
      <c r="T383" s="1311"/>
      <c r="U383" s="1311"/>
      <c r="V383" s="1311"/>
      <c r="W383" s="1311"/>
      <c r="X383" s="1311"/>
      <c r="Y383" s="1311"/>
      <c r="Z383" s="1311"/>
    </row>
    <row r="384" spans="1:26" x14ac:dyDescent="0.25">
      <c r="A384" s="848" t="s">
        <v>1288</v>
      </c>
      <c r="B384" s="1274" t="str">
        <f ca="1">IF('Pricing Schedule'!$K$5="No",_xlfn.CONCAT(IFERROR(SUBSTITUTE(ADDRESS(1,MATCH(A384,INDIRECT("'"&amp;E384&amp;"'"&amp;"!A10:Z10"),0),4),1,""),""),19),_xlfn.CONCAT(IFERROR(SUBSTITUTE(ADDRESS(1,MATCH(A384,INDIRECT("'"&amp;E384&amp;"'"&amp;"!A10:Z10"),0),4),1,""),""),53))</f>
        <v>L19</v>
      </c>
      <c r="C384" s="1274" t="str">
        <f ca="1">IF('Pricing Schedule'!$K$5="No",IFERROR(SUBSTITUTE(ADDRESS(1,MATCH(A384,INDIRECT("'"&amp;E384&amp;"'"&amp;"!A10:Z10"),0),4),1,""),""),IFERROR(SUBSTITUTE(ADDRESS(1,MATCH(A384,INDIRECT("'"&amp;E384&amp;"'"&amp;"!A10:Z10"),0),4),1,""),""))</f>
        <v>L</v>
      </c>
      <c r="D384" s="791" t="s">
        <v>1357</v>
      </c>
      <c r="E384" s="791" t="s">
        <v>1279</v>
      </c>
      <c r="F384" s="1097"/>
      <c r="G384" s="1314"/>
      <c r="H384" s="1314"/>
      <c r="I384" s="1274" t="str">
        <f t="shared" si="42"/>
        <v>Split Case Fee</v>
      </c>
      <c r="J384" s="1314" t="str">
        <f t="shared" si="44"/>
        <v>F353</v>
      </c>
      <c r="K384" s="1314" t="str">
        <f t="shared" si="43"/>
        <v>Pricing Schedule</v>
      </c>
      <c r="L384" s="827" t="s">
        <v>1288</v>
      </c>
      <c r="M384" s="1314">
        <v>353</v>
      </c>
      <c r="N384" s="1314"/>
      <c r="O384" s="1311"/>
      <c r="P384" s="1311"/>
      <c r="Q384" s="1311"/>
      <c r="R384" s="1311"/>
      <c r="S384" s="1311"/>
      <c r="T384" s="1311"/>
      <c r="U384" s="1311"/>
      <c r="V384" s="1311"/>
      <c r="W384" s="1311"/>
      <c r="X384" s="1311"/>
      <c r="Y384" s="1311"/>
      <c r="Z384" s="1311"/>
    </row>
    <row r="385" spans="1:26" x14ac:dyDescent="0.25">
      <c r="A385" s="848" t="s">
        <v>1228</v>
      </c>
      <c r="B385" s="1274" t="str">
        <f ca="1">IF('Pricing Schedule'!$K$5="No",_xlfn.CONCAT(IFERROR(SUBSTITUTE(ADDRESS(1,MATCH(A385,INDIRECT("'"&amp;E385&amp;"'"&amp;"!A10:Z10"),0),4),1,""),""),19),_xlfn.CONCAT(IFERROR(SUBSTITUTE(ADDRESS(1,MATCH(A385,INDIRECT("'"&amp;E385&amp;"'"&amp;"!A10:Z10"),0),4),1,""),""),53))</f>
        <v>M19</v>
      </c>
      <c r="C385" s="1274" t="str">
        <f ca="1">IF('Pricing Schedule'!$K$5="No",IFERROR(SUBSTITUTE(ADDRESS(1,MATCH(A385,INDIRECT("'"&amp;E385&amp;"'"&amp;"!A10:Z10"),0),4),1,""),""),IFERROR(SUBSTITUTE(ADDRESS(1,MATCH(A385,INDIRECT("'"&amp;E385&amp;"'"&amp;"!A10:Z10"),0),4),1,""),""))</f>
        <v>M</v>
      </c>
      <c r="D385" s="791" t="s">
        <v>1357</v>
      </c>
      <c r="E385" s="791" t="s">
        <v>1279</v>
      </c>
      <c r="F385" s="1097"/>
      <c r="G385" s="1314"/>
      <c r="H385" s="1314"/>
      <c r="I385" s="1274" t="str">
        <f t="shared" si="42"/>
        <v>Split Case Per</v>
      </c>
      <c r="J385" s="1314" t="str">
        <f t="shared" si="44"/>
        <v>F354</v>
      </c>
      <c r="K385" s="1314" t="str">
        <f t="shared" si="43"/>
        <v>Pricing Schedule</v>
      </c>
      <c r="L385" s="827" t="s">
        <v>1228</v>
      </c>
      <c r="M385" s="1314">
        <v>354</v>
      </c>
      <c r="N385" s="1314"/>
      <c r="O385" s="1311"/>
      <c r="P385" s="1311"/>
      <c r="Q385" s="1311"/>
      <c r="R385" s="1311"/>
      <c r="S385" s="1311"/>
      <c r="T385" s="1311"/>
      <c r="U385" s="1311"/>
      <c r="V385" s="1311"/>
      <c r="W385" s="1311"/>
      <c r="X385" s="1311"/>
      <c r="Y385" s="1311"/>
      <c r="Z385" s="1311"/>
    </row>
    <row r="386" spans="1:26" x14ac:dyDescent="0.25">
      <c r="A386" s="849" t="s">
        <v>1289</v>
      </c>
      <c r="B386" s="1274" t="str">
        <f ca="1">IF('Pricing Schedule'!$K$5="No",_xlfn.CONCAT(IFERROR(SUBSTITUTE(ADDRESS(1,MATCH(A386,INDIRECT("'"&amp;E386&amp;"'"&amp;"!A10:Z10"),0),4),1,""),""),13),_xlfn.CONCAT(IFERROR(SUBSTITUTE(ADDRESS(1,MATCH(A386,INDIRECT("'"&amp;E386&amp;"'"&amp;"!A10:Z10"),0),4),1,""),""),47))</f>
        <v>N13</v>
      </c>
      <c r="C386" s="1274" t="str">
        <f ca="1">IF('Pricing Schedule'!$K$5="No",IFERROR(SUBSTITUTE(ADDRESS(1,MATCH(A386,INDIRECT("'"&amp;E386&amp;"'"&amp;"!A10:Z10"),0),4),1,""),""),IFERROR(SUBSTITUTE(ADDRESS(1,MATCH(A386,INDIRECT("'"&amp;E386&amp;"'"&amp;"!A10:Z10"),0),4),1,""),""))</f>
        <v>N</v>
      </c>
      <c r="D386" s="791" t="s">
        <v>1357</v>
      </c>
      <c r="E386" s="791" t="s">
        <v>1279</v>
      </c>
      <c r="F386" s="1314"/>
      <c r="G386" s="1314"/>
      <c r="H386" s="1314"/>
      <c r="I386" s="1274" t="str">
        <f t="shared" si="42"/>
        <v/>
      </c>
      <c r="J386" s="1314"/>
      <c r="K386" s="1314" t="str">
        <f t="shared" si="43"/>
        <v/>
      </c>
      <c r="L386" s="827" t="s">
        <v>1289</v>
      </c>
      <c r="M386" s="1314">
        <v>355</v>
      </c>
      <c r="N386" s="1314"/>
      <c r="O386" s="1311"/>
      <c r="P386" s="1311"/>
      <c r="Q386" s="1311"/>
      <c r="R386" s="1311"/>
      <c r="S386" s="1311"/>
      <c r="T386" s="1311"/>
      <c r="U386" s="1311"/>
      <c r="V386" s="1311"/>
      <c r="W386" s="1311"/>
      <c r="X386" s="1311"/>
      <c r="Y386" s="1311"/>
      <c r="Z386" s="1311"/>
    </row>
    <row r="387" spans="1:26" x14ac:dyDescent="0.25">
      <c r="A387" s="850" t="s">
        <v>1280</v>
      </c>
      <c r="B387" s="1274" t="str">
        <f ca="1">IF('Pricing Schedule'!$K$5="No",_xlfn.CONCAT(IFERROR(SUBSTITUTE(ADDRESS(1,MATCH(A387,INDIRECT("'"&amp;E387&amp;"'"&amp;"!A10:Z10"),0),4),1,""),""),13),_xlfn.CONCAT(IFERROR(SUBSTITUTE(ADDRESS(1,MATCH(A387,INDIRECT("'"&amp;E387&amp;"'"&amp;"!A10:Z10"),0),4),1,""),""),47))</f>
        <v>C13</v>
      </c>
      <c r="C387" s="1274" t="str">
        <f ca="1">IF('Pricing Schedule'!$K$5="No",IFERROR(SUBSTITUTE(ADDRESS(1,MATCH(A387,INDIRECT("'"&amp;E387&amp;"'"&amp;"!A10:Z10"),0),4),1,""),""),IFERROR(SUBSTITUTE(ADDRESS(1,MATCH(A387,INDIRECT("'"&amp;E387&amp;"'"&amp;"!A10:Z10"),0),4),1,""),""))</f>
        <v>C</v>
      </c>
      <c r="D387" s="791" t="s">
        <v>1357</v>
      </c>
      <c r="E387" s="791" t="s">
        <v>1279</v>
      </c>
      <c r="F387" s="1314"/>
      <c r="G387" s="1314"/>
      <c r="H387" s="1314"/>
      <c r="I387" s="1274" t="str">
        <f t="shared" si="42"/>
        <v/>
      </c>
      <c r="J387" s="1314"/>
      <c r="K387" s="1314" t="str">
        <f t="shared" si="43"/>
        <v/>
      </c>
      <c r="L387" s="827" t="s">
        <v>252</v>
      </c>
      <c r="M387" s="1314">
        <v>356</v>
      </c>
      <c r="N387" s="1314"/>
      <c r="O387" s="1311"/>
      <c r="P387" s="1311"/>
      <c r="Q387" s="1311"/>
      <c r="R387" s="1311"/>
      <c r="S387" s="1311"/>
      <c r="T387" s="1311"/>
      <c r="U387" s="1311"/>
      <c r="V387" s="1311"/>
      <c r="W387" s="1311"/>
      <c r="X387" s="1311"/>
      <c r="Y387" s="1311"/>
      <c r="Z387" s="1311"/>
    </row>
    <row r="388" spans="1:26" x14ac:dyDescent="0.25">
      <c r="A388" s="850" t="s">
        <v>1246</v>
      </c>
      <c r="B388" s="1274" t="str">
        <f ca="1">IF('Pricing Schedule'!$K$5="No",_xlfn.CONCAT(IFERROR(SUBSTITUTE(ADDRESS(1,MATCH(A388,INDIRECT("'"&amp;E388&amp;"'"&amp;"!A10:Z10"),0),4),1,""),""),13),_xlfn.CONCAT(IFERROR(SUBSTITUTE(ADDRESS(1,MATCH(A388,INDIRECT("'"&amp;E388&amp;"'"&amp;"!A10:Z10"),0),4),1,""),""),47))</f>
        <v>H13</v>
      </c>
      <c r="C388" s="1274" t="str">
        <f ca="1">IF('Pricing Schedule'!$K$5="No",IFERROR(SUBSTITUTE(ADDRESS(1,MATCH(A388,INDIRECT("'"&amp;E388&amp;"'"&amp;"!A10:Z10"),0),4),1,""),""),IFERROR(SUBSTITUTE(ADDRESS(1,MATCH(A388,INDIRECT("'"&amp;E388&amp;"'"&amp;"!A10:Z10"),0),4),1,""),""))</f>
        <v>H</v>
      </c>
      <c r="D388" s="791" t="s">
        <v>1357</v>
      </c>
      <c r="E388" s="791" t="s">
        <v>1279</v>
      </c>
      <c r="F388" s="1314"/>
      <c r="G388" s="1314"/>
      <c r="H388" s="1314"/>
      <c r="I388" s="1274" t="str">
        <f t="shared" ref="I388:I451" si="45">IF(J388&lt;&gt;"",A388,"")</f>
        <v/>
      </c>
      <c r="J388" s="1314"/>
      <c r="K388" s="1314" t="str">
        <f t="shared" ref="K388:K451" si="46">IF(J388&lt;&gt;"",E388,"")</f>
        <v/>
      </c>
      <c r="L388" s="827" t="s">
        <v>1246</v>
      </c>
      <c r="M388" s="1314">
        <v>357</v>
      </c>
      <c r="N388" s="1314"/>
      <c r="O388" s="1311"/>
      <c r="P388" s="1311"/>
      <c r="Q388" s="1311"/>
      <c r="R388" s="1311"/>
      <c r="S388" s="1311"/>
      <c r="T388" s="1311"/>
      <c r="U388" s="1311"/>
      <c r="V388" s="1311"/>
      <c r="W388" s="1311"/>
      <c r="X388" s="1311"/>
      <c r="Y388" s="1311"/>
      <c r="Z388" s="1311"/>
    </row>
    <row r="389" spans="1:26" x14ac:dyDescent="0.25">
      <c r="A389" s="850" t="s">
        <v>1283</v>
      </c>
      <c r="B389" s="1274" t="str">
        <f ca="1">IF('Pricing Schedule'!$K$5="No",_xlfn.CONCAT(IFERROR(SUBSTITUTE(ADDRESS(1,MATCH(A389,INDIRECT("'"&amp;E389&amp;"'"&amp;"!A10:Z10"),0),4),1,""),""),13),_xlfn.CONCAT(IFERROR(SUBSTITUTE(ADDRESS(1,MATCH(A389,INDIRECT("'"&amp;E389&amp;"'"&amp;"!A10:Z10"),0),4),1,""),""),47))</f>
        <v>F13</v>
      </c>
      <c r="C389" s="1274" t="str">
        <f ca="1">IF('Pricing Schedule'!$K$5="No",IFERROR(SUBSTITUTE(ADDRESS(1,MATCH(A389,INDIRECT("'"&amp;E389&amp;"'"&amp;"!A10:Z10"),0),4),1,""),""),IFERROR(SUBSTITUTE(ADDRESS(1,MATCH(A389,INDIRECT("'"&amp;E389&amp;"'"&amp;"!A10:Z10"),0),4),1,""),""))</f>
        <v>F</v>
      </c>
      <c r="D389" s="791" t="s">
        <v>1357</v>
      </c>
      <c r="E389" s="791" t="s">
        <v>1279</v>
      </c>
      <c r="F389" s="1314"/>
      <c r="G389" s="1314"/>
      <c r="H389" s="1314"/>
      <c r="I389" s="1274" t="str">
        <f t="shared" si="45"/>
        <v/>
      </c>
      <c r="J389" s="1314"/>
      <c r="K389" s="1314" t="str">
        <f t="shared" si="46"/>
        <v/>
      </c>
      <c r="L389" s="827" t="s">
        <v>225</v>
      </c>
      <c r="M389" s="1314">
        <v>358</v>
      </c>
      <c r="N389" s="1314"/>
      <c r="O389" s="1311"/>
      <c r="P389" s="1311"/>
      <c r="Q389" s="1311"/>
      <c r="R389" s="1311"/>
      <c r="S389" s="1311"/>
      <c r="T389" s="1311"/>
      <c r="U389" s="1311"/>
      <c r="V389" s="1311"/>
      <c r="W389" s="1311"/>
      <c r="X389" s="1311"/>
      <c r="Y389" s="1311"/>
      <c r="Z389" s="1311"/>
    </row>
    <row r="390" spans="1:26" x14ac:dyDescent="0.25">
      <c r="A390" s="851" t="s">
        <v>463</v>
      </c>
      <c r="B390" s="1274" t="str">
        <f ca="1">_xlfn.CONCAT(IFERROR(SUBSTITUTE(ADDRESS(1,MATCH(A390,INDIRECT("'"&amp;E390&amp;"'"&amp;"!A9:Z9"),0),4),1,""),""),19)</f>
        <v>E19</v>
      </c>
      <c r="C390" s="1274" t="str">
        <f ca="1">_xlfn.CONCAT(IFERROR(SUBSTITUTE(ADDRESS(1,MATCH(A390,INDIRECT("'"&amp;E390&amp;"'"&amp;"!A9:Z9"),0),4),1,""),""))</f>
        <v>E</v>
      </c>
      <c r="D390" s="1314" t="s">
        <v>1357</v>
      </c>
      <c r="E390" s="791" t="s">
        <v>208</v>
      </c>
      <c r="F390" s="1314"/>
      <c r="G390" s="1314"/>
      <c r="H390" s="1314"/>
      <c r="I390" s="1274" t="str">
        <f t="shared" si="45"/>
        <v>Exclude PIM Classes Below</v>
      </c>
      <c r="J390" s="1314" t="str">
        <f t="shared" ref="J390:J453" si="47">IF(M390&lt;&gt;"",Q$1&amp;M390,"")</f>
        <v>F359</v>
      </c>
      <c r="K390" s="1314" t="str">
        <f t="shared" si="46"/>
        <v>PIM Model</v>
      </c>
      <c r="L390" s="827" t="s">
        <v>463</v>
      </c>
      <c r="M390" s="1314">
        <v>359</v>
      </c>
      <c r="N390" s="1314"/>
      <c r="O390" s="1311"/>
      <c r="P390" s="1311"/>
      <c r="Q390" s="1311"/>
      <c r="R390" s="1311"/>
      <c r="S390" s="1311"/>
      <c r="T390" s="1311"/>
      <c r="U390" s="1311"/>
      <c r="V390" s="1311"/>
      <c r="W390" s="1311"/>
      <c r="X390" s="1311"/>
      <c r="Y390" s="1311"/>
      <c r="Z390" s="1311"/>
    </row>
    <row r="391" spans="1:26" x14ac:dyDescent="0.25">
      <c r="A391" s="851" t="s">
        <v>1282</v>
      </c>
      <c r="B391" s="1274" t="str">
        <f ca="1">IF('Pricing Schedule'!$K$5="No",_xlfn.CONCAT(IFERROR(SUBSTITUTE(ADDRESS(1,MATCH(A391,INDIRECT("'"&amp;E391&amp;"'"&amp;"!A10:Z10"),0),4),1,""),""),13),_xlfn.CONCAT(IFERROR(SUBSTITUTE(ADDRESS(1,MATCH(A391,INDIRECT("'"&amp;E391&amp;"'"&amp;"!A10:Z10"),0),4),1,""),""),47))</f>
        <v>E13</v>
      </c>
      <c r="C391" s="1274" t="str">
        <f ca="1">IF('Pricing Schedule'!$K$5="No",IFERROR(SUBSTITUTE(ADDRESS(1,MATCH(A391,INDIRECT("'"&amp;E391&amp;"'"&amp;"!A10:Z10"),0),4),1,""),""),IFERROR(SUBSTITUTE(ADDRESS(1,MATCH(A391,INDIRECT("'"&amp;E391&amp;"'"&amp;"!A10:Z10"),0),4),1,""),""))</f>
        <v>E</v>
      </c>
      <c r="D391" s="791" t="s">
        <v>1357</v>
      </c>
      <c r="E391" s="791" t="s">
        <v>1279</v>
      </c>
      <c r="F391" s="1314"/>
      <c r="G391" s="1314"/>
      <c r="H391" s="1314"/>
      <c r="I391" s="1274" t="str">
        <f t="shared" si="45"/>
        <v>Special Pricing Code</v>
      </c>
      <c r="J391" s="1314" t="str">
        <f t="shared" si="47"/>
        <v>F360</v>
      </c>
      <c r="K391" s="1314" t="str">
        <f t="shared" si="46"/>
        <v>Pricing Schedule</v>
      </c>
      <c r="L391" s="827" t="s">
        <v>1282</v>
      </c>
      <c r="M391" s="1314">
        <v>360</v>
      </c>
      <c r="N391" s="1314"/>
      <c r="O391" s="1311"/>
      <c r="P391" s="1311"/>
      <c r="Q391" s="1311"/>
      <c r="R391" s="1311"/>
      <c r="S391" s="1311"/>
      <c r="T391" s="1311"/>
      <c r="U391" s="1311"/>
      <c r="V391" s="1311"/>
      <c r="W391" s="1311"/>
      <c r="X391" s="1311"/>
      <c r="Y391" s="1311"/>
      <c r="Z391" s="1311"/>
    </row>
    <row r="392" spans="1:26" x14ac:dyDescent="0.25">
      <c r="A392" s="851" t="s">
        <v>1284</v>
      </c>
      <c r="B392" s="1274" t="str">
        <f ca="1">IF('Pricing Schedule'!$K$5="No",_xlfn.CONCAT(IFERROR(SUBSTITUTE(ADDRESS(1,MATCH(A392,INDIRECT("'"&amp;E392&amp;"'"&amp;"!A10:Z10"),0),4),1,""),""),13),_xlfn.CONCAT(IFERROR(SUBSTITUTE(ADDRESS(1,MATCH(A392,INDIRECT("'"&amp;E392&amp;"'"&amp;"!A10:Z10"),0),4),1,""),""),47))</f>
        <v>G13</v>
      </c>
      <c r="C392" s="1274" t="str">
        <f ca="1">IF('Pricing Schedule'!$K$5="No",IFERROR(SUBSTITUTE(ADDRESS(1,MATCH(A392,INDIRECT("'"&amp;E392&amp;"'"&amp;"!A10:Z10"),0),4),1,""),""),IFERROR(SUBSTITUTE(ADDRESS(1,MATCH(A392,INDIRECT("'"&amp;E392&amp;"'"&amp;"!A10:Z10"),0),4),1,""),""))</f>
        <v>G</v>
      </c>
      <c r="D392" s="791" t="s">
        <v>1357</v>
      </c>
      <c r="E392" s="791" t="s">
        <v>1279</v>
      </c>
      <c r="F392" s="1097"/>
      <c r="G392" s="1314"/>
      <c r="H392" s="1314"/>
      <c r="I392" s="1274" t="str">
        <f t="shared" si="45"/>
        <v>EB Markup Amt</v>
      </c>
      <c r="J392" s="1314" t="str">
        <f t="shared" si="47"/>
        <v>F361</v>
      </c>
      <c r="K392" s="1314" t="str">
        <f t="shared" si="46"/>
        <v>Pricing Schedule</v>
      </c>
      <c r="L392" s="827" t="s">
        <v>1284</v>
      </c>
      <c r="M392" s="1314">
        <v>361</v>
      </c>
      <c r="N392" s="1314"/>
      <c r="O392" s="1311"/>
      <c r="P392" s="1311"/>
      <c r="Q392" s="1311"/>
      <c r="R392" s="1311"/>
      <c r="S392" s="1311"/>
      <c r="T392" s="1311"/>
      <c r="U392" s="1311"/>
      <c r="V392" s="1311"/>
      <c r="W392" s="1311"/>
      <c r="X392" s="1311"/>
      <c r="Y392" s="1311"/>
      <c r="Z392" s="1311"/>
    </row>
    <row r="393" spans="1:26" x14ac:dyDescent="0.25">
      <c r="A393" s="851" t="s">
        <v>1285</v>
      </c>
      <c r="B393" s="1274" t="str">
        <f ca="1">IF('Pricing Schedule'!$K$5="No",_xlfn.CONCAT(IFERROR(SUBSTITUTE(ADDRESS(1,MATCH(A393,INDIRECT("'"&amp;E393&amp;"'"&amp;"!A10:Z10"),0),4),1,""),""),13),_xlfn.CONCAT(IFERROR(SUBSTITUTE(ADDRESS(1,MATCH(A393,INDIRECT("'"&amp;E393&amp;"'"&amp;"!A10:Z10"),0),4),1,""),""),47))</f>
        <v>I13</v>
      </c>
      <c r="C393" s="1274" t="str">
        <f ca="1">IF('Pricing Schedule'!$K$5="No",IFERROR(SUBSTITUTE(ADDRESS(1,MATCH(A393,INDIRECT("'"&amp;E393&amp;"'"&amp;"!A10:Z10"),0),4),1,""),""),IFERROR(SUBSTITUTE(ADDRESS(1,MATCH(A393,INDIRECT("'"&amp;E393&amp;"'"&amp;"!A10:Z10"),0),4),1,""),""))</f>
        <v>I</v>
      </c>
      <c r="D393" s="791" t="s">
        <v>1357</v>
      </c>
      <c r="E393" s="791" t="s">
        <v>1279</v>
      </c>
      <c r="F393" s="1097"/>
      <c r="G393" s="1314"/>
      <c r="H393" s="1314"/>
      <c r="I393" s="1274" t="str">
        <f t="shared" si="45"/>
        <v>Min CS Markup Override Flag</v>
      </c>
      <c r="J393" s="1314" t="str">
        <f t="shared" si="47"/>
        <v>F362</v>
      </c>
      <c r="K393" s="1314" t="str">
        <f t="shared" si="46"/>
        <v>Pricing Schedule</v>
      </c>
      <c r="L393" s="827" t="s">
        <v>1285</v>
      </c>
      <c r="M393" s="1314">
        <v>362</v>
      </c>
      <c r="N393" s="1314"/>
      <c r="O393" s="1311"/>
      <c r="P393" s="1311"/>
      <c r="Q393" s="1311"/>
      <c r="R393" s="1311"/>
      <c r="S393" s="1311"/>
      <c r="T393" s="1311"/>
      <c r="U393" s="1311"/>
      <c r="V393" s="1311"/>
      <c r="W393" s="1311"/>
      <c r="X393" s="1311"/>
      <c r="Y393" s="1311"/>
      <c r="Z393" s="1311"/>
    </row>
    <row r="394" spans="1:26" x14ac:dyDescent="0.25">
      <c r="A394" s="851" t="s">
        <v>1286</v>
      </c>
      <c r="B394" s="1274" t="str">
        <f ca="1">IF('Pricing Schedule'!$K$5="No",_xlfn.CONCAT(IFERROR(SUBSTITUTE(ADDRESS(1,MATCH(A394,INDIRECT("'"&amp;E394&amp;"'"&amp;"!A10:Z10"),0),4),1,""),""),13),_xlfn.CONCAT(IFERROR(SUBSTITUTE(ADDRESS(1,MATCH(A394,INDIRECT("'"&amp;E394&amp;"'"&amp;"!A10:Z10"),0),4),1,""),""),47))</f>
        <v>J13</v>
      </c>
      <c r="C394" s="1274" t="str">
        <f ca="1">IF('Pricing Schedule'!$K$5="No",IFERROR(SUBSTITUTE(ADDRESS(1,MATCH(A394,INDIRECT("'"&amp;E394&amp;"'"&amp;"!A10:Z10"),0),4),1,""),""),IFERROR(SUBSTITUTE(ADDRESS(1,MATCH(A394,INDIRECT("'"&amp;E394&amp;"'"&amp;"!A10:Z10"),0),4),1,""),""))</f>
        <v>J</v>
      </c>
      <c r="D394" s="791" t="s">
        <v>1357</v>
      </c>
      <c r="E394" s="791" t="s">
        <v>1279</v>
      </c>
      <c r="F394" s="1097"/>
      <c r="G394" s="1314"/>
      <c r="H394" s="1314"/>
      <c r="I394" s="1274" t="str">
        <f t="shared" si="45"/>
        <v>Min CS Markup Amt</v>
      </c>
      <c r="J394" s="1314" t="str">
        <f t="shared" si="47"/>
        <v>F363</v>
      </c>
      <c r="K394" s="1314" t="str">
        <f t="shared" si="46"/>
        <v>Pricing Schedule</v>
      </c>
      <c r="L394" s="827" t="s">
        <v>1286</v>
      </c>
      <c r="M394" s="1314">
        <v>363</v>
      </c>
      <c r="N394" s="1314"/>
      <c r="O394" s="1311"/>
      <c r="P394" s="1311"/>
      <c r="Q394" s="1311"/>
      <c r="R394" s="1311"/>
      <c r="S394" s="1311"/>
      <c r="T394" s="1311"/>
      <c r="U394" s="1311"/>
      <c r="V394" s="1311"/>
      <c r="W394" s="1311"/>
      <c r="X394" s="1311"/>
      <c r="Y394" s="1311"/>
      <c r="Z394" s="1311"/>
    </row>
    <row r="395" spans="1:26" x14ac:dyDescent="0.25">
      <c r="A395" s="851" t="s">
        <v>1287</v>
      </c>
      <c r="B395" s="1274" t="str">
        <f ca="1">IF('Pricing Schedule'!$K$5="No",_xlfn.CONCAT(IFERROR(SUBSTITUTE(ADDRESS(1,MATCH(A395,INDIRECT("'"&amp;E395&amp;"'"&amp;"!A10:Z10"),0),4),1,""),""),13),_xlfn.CONCAT(IFERROR(SUBSTITUTE(ADDRESS(1,MATCH(A395,INDIRECT("'"&amp;E395&amp;"'"&amp;"!A10:Z10"),0),4),1,""),""),47))</f>
        <v>K13</v>
      </c>
      <c r="C395" s="1274" t="str">
        <f ca="1">IF('Pricing Schedule'!$K$5="No",IFERROR(SUBSTITUTE(ADDRESS(1,MATCH(A395,INDIRECT("'"&amp;E395&amp;"'"&amp;"!A10:Z10"),0),4),1,""),""),IFERROR(SUBSTITUTE(ADDRESS(1,MATCH(A395,INDIRECT("'"&amp;E395&amp;"'"&amp;"!A10:Z10"),0),4),1,""),""))</f>
        <v>K</v>
      </c>
      <c r="D395" s="791" t="s">
        <v>1357</v>
      </c>
      <c r="E395" s="791" t="s">
        <v>1279</v>
      </c>
      <c r="F395" s="1097"/>
      <c r="G395" s="1314"/>
      <c r="H395" s="1314"/>
      <c r="I395" s="1274" t="str">
        <f t="shared" si="45"/>
        <v>Split Case Fee Override Flag</v>
      </c>
      <c r="J395" s="1314" t="str">
        <f t="shared" si="47"/>
        <v>F364</v>
      </c>
      <c r="K395" s="1314" t="str">
        <f t="shared" si="46"/>
        <v>Pricing Schedule</v>
      </c>
      <c r="L395" s="827" t="s">
        <v>1287</v>
      </c>
      <c r="M395" s="1314">
        <v>364</v>
      </c>
      <c r="N395" s="1314"/>
      <c r="O395" s="1311"/>
      <c r="P395" s="1311"/>
      <c r="Q395" s="1311"/>
      <c r="R395" s="1311"/>
      <c r="S395" s="1311"/>
      <c r="T395" s="1311"/>
      <c r="U395" s="1311"/>
      <c r="V395" s="1311"/>
      <c r="W395" s="1311"/>
      <c r="X395" s="1311"/>
      <c r="Y395" s="1311"/>
      <c r="Z395" s="1311"/>
    </row>
    <row r="396" spans="1:26" x14ac:dyDescent="0.25">
      <c r="A396" s="851" t="s">
        <v>1288</v>
      </c>
      <c r="B396" s="1274" t="str">
        <f ca="1">IF('Pricing Schedule'!$K$5="No",_xlfn.CONCAT(IFERROR(SUBSTITUTE(ADDRESS(1,MATCH(A396,INDIRECT("'"&amp;E396&amp;"'"&amp;"!A10:Z10"),0),4),1,""),""),13),_xlfn.CONCAT(IFERROR(SUBSTITUTE(ADDRESS(1,MATCH(A396,INDIRECT("'"&amp;E396&amp;"'"&amp;"!A10:Z10"),0),4),1,""),""),47))</f>
        <v>L13</v>
      </c>
      <c r="C396" s="1274" t="str">
        <f ca="1">IF('Pricing Schedule'!$K$5="No",IFERROR(SUBSTITUTE(ADDRESS(1,MATCH(A396,INDIRECT("'"&amp;E396&amp;"'"&amp;"!A10:Z10"),0),4),1,""),""),IFERROR(SUBSTITUTE(ADDRESS(1,MATCH(A396,INDIRECT("'"&amp;E396&amp;"'"&amp;"!A10:Z10"),0),4),1,""),""))</f>
        <v>L</v>
      </c>
      <c r="D396" s="791" t="s">
        <v>1357</v>
      </c>
      <c r="E396" s="791" t="s">
        <v>1279</v>
      </c>
      <c r="F396" s="1097"/>
      <c r="G396" s="1314"/>
      <c r="H396" s="1314"/>
      <c r="I396" s="1274" t="str">
        <f t="shared" si="45"/>
        <v>Split Case Fee</v>
      </c>
      <c r="J396" s="1314" t="str">
        <f t="shared" si="47"/>
        <v>F365</v>
      </c>
      <c r="K396" s="1314" t="str">
        <f t="shared" si="46"/>
        <v>Pricing Schedule</v>
      </c>
      <c r="L396" s="827" t="s">
        <v>1288</v>
      </c>
      <c r="M396" s="1314">
        <v>365</v>
      </c>
      <c r="N396" s="1314"/>
      <c r="O396" s="1311"/>
      <c r="P396" s="1311"/>
      <c r="Q396" s="1311"/>
      <c r="R396" s="1311"/>
      <c r="S396" s="1311"/>
      <c r="T396" s="1311"/>
      <c r="U396" s="1311"/>
      <c r="V396" s="1311"/>
      <c r="W396" s="1311"/>
      <c r="X396" s="1311"/>
      <c r="Y396" s="1311"/>
      <c r="Z396" s="1311"/>
    </row>
    <row r="397" spans="1:26" x14ac:dyDescent="0.25">
      <c r="A397" s="851" t="s">
        <v>1228</v>
      </c>
      <c r="B397" s="1274" t="str">
        <f ca="1">IF('Pricing Schedule'!$K$5="No",_xlfn.CONCAT(IFERROR(SUBSTITUTE(ADDRESS(1,MATCH(A397,INDIRECT("'"&amp;E397&amp;"'"&amp;"!A10:Z10"),0),4),1,""),""),13),_xlfn.CONCAT(IFERROR(SUBSTITUTE(ADDRESS(1,MATCH(A397,INDIRECT("'"&amp;E397&amp;"'"&amp;"!A10:Z10"),0),4),1,""),""),47))</f>
        <v>M13</v>
      </c>
      <c r="C397" s="1274" t="str">
        <f ca="1">IF('Pricing Schedule'!$K$5="No",IFERROR(SUBSTITUTE(ADDRESS(1,MATCH(A397,INDIRECT("'"&amp;E397&amp;"'"&amp;"!A10:Z10"),0),4),1,""),""),IFERROR(SUBSTITUTE(ADDRESS(1,MATCH(A397,INDIRECT("'"&amp;E397&amp;"'"&amp;"!A10:Z10"),0),4),1,""),""))</f>
        <v>M</v>
      </c>
      <c r="D397" s="791" t="s">
        <v>1357</v>
      </c>
      <c r="E397" s="791" t="s">
        <v>1279</v>
      </c>
      <c r="F397" s="1097"/>
      <c r="G397" s="1314"/>
      <c r="H397" s="1314"/>
      <c r="I397" s="1274" t="str">
        <f t="shared" si="45"/>
        <v>Split Case Per</v>
      </c>
      <c r="J397" s="1314" t="str">
        <f t="shared" si="47"/>
        <v>F366</v>
      </c>
      <c r="K397" s="1314" t="str">
        <f t="shared" si="46"/>
        <v>Pricing Schedule</v>
      </c>
      <c r="L397" s="827" t="s">
        <v>1228</v>
      </c>
      <c r="M397" s="1314">
        <v>366</v>
      </c>
      <c r="N397" s="1314"/>
      <c r="O397" s="1311"/>
      <c r="P397" s="1311"/>
      <c r="Q397" s="1311"/>
      <c r="R397" s="1311"/>
      <c r="S397" s="1311"/>
      <c r="T397" s="1311"/>
      <c r="U397" s="1311"/>
      <c r="V397" s="1311"/>
      <c r="W397" s="1311"/>
      <c r="X397" s="1311"/>
      <c r="Y397" s="1311"/>
      <c r="Z397" s="1311"/>
    </row>
    <row r="398" spans="1:26" x14ac:dyDescent="0.25">
      <c r="A398" s="846" t="s">
        <v>1289</v>
      </c>
      <c r="B398" s="1274" t="str">
        <f ca="1">IF('Pricing Schedule'!$K$5="No",_xlfn.CONCAT(IFERROR(SUBSTITUTE(ADDRESS(1,MATCH(A398,INDIRECT("'"&amp;E398&amp;"'"&amp;"!A10:Z10"),0),4),1,""),""),18),_xlfn.CONCAT(IFERROR(SUBSTITUTE(ADDRESS(1,MATCH(A398,INDIRECT("'"&amp;E398&amp;"'"&amp;"!A10:Z10"),0),4),1,""),""),52))</f>
        <v>N18</v>
      </c>
      <c r="C398" s="1274" t="str">
        <f ca="1">IF('Pricing Schedule'!$K$5="No",IFERROR(SUBSTITUTE(ADDRESS(1,MATCH(A398,INDIRECT("'"&amp;E398&amp;"'"&amp;"!A10:Z10"),0),4),1,""),""),IFERROR(SUBSTITUTE(ADDRESS(1,MATCH(A398,INDIRECT("'"&amp;E398&amp;"'"&amp;"!A10:Z10"),0),4),1,""),""))</f>
        <v>N</v>
      </c>
      <c r="D398" s="791" t="s">
        <v>1357</v>
      </c>
      <c r="E398" s="791" t="s">
        <v>1279</v>
      </c>
      <c r="F398" s="1314"/>
      <c r="G398" s="1314"/>
      <c r="H398" s="1314"/>
      <c r="I398" s="1274" t="str">
        <f t="shared" si="45"/>
        <v/>
      </c>
      <c r="J398" s="1314"/>
      <c r="K398" s="1314" t="str">
        <f t="shared" si="46"/>
        <v/>
      </c>
      <c r="L398" s="827" t="s">
        <v>1289</v>
      </c>
      <c r="M398" s="1314">
        <v>367</v>
      </c>
      <c r="N398" s="1314"/>
      <c r="O398" s="1311"/>
      <c r="P398" s="1311"/>
      <c r="Q398" s="1311"/>
      <c r="R398" s="1311"/>
      <c r="S398" s="1311"/>
      <c r="T398" s="1311"/>
      <c r="U398" s="1311"/>
      <c r="V398" s="1311"/>
      <c r="W398" s="1311"/>
      <c r="X398" s="1311"/>
      <c r="Y398" s="1311"/>
      <c r="Z398" s="1311"/>
    </row>
    <row r="399" spans="1:26" x14ac:dyDescent="0.25">
      <c r="A399" s="847" t="s">
        <v>1280</v>
      </c>
      <c r="B399" s="1274" t="str">
        <f ca="1">IF('Pricing Schedule'!$K$5="No",_xlfn.CONCAT(IFERROR(SUBSTITUTE(ADDRESS(1,MATCH(A399,INDIRECT("'"&amp;E399&amp;"'"&amp;"!A10:Z10"),0),4),1,""),""),18),_xlfn.CONCAT(IFERROR(SUBSTITUTE(ADDRESS(1,MATCH(A399,INDIRECT("'"&amp;E399&amp;"'"&amp;"!A10:Z10"),0),4),1,""),""),52))</f>
        <v>C18</v>
      </c>
      <c r="C399" s="1274" t="str">
        <f ca="1">IF('Pricing Schedule'!$K$5="No",IFERROR(SUBSTITUTE(ADDRESS(1,MATCH(A399,INDIRECT("'"&amp;E399&amp;"'"&amp;"!A10:Z10"),0),4),1,""),""),IFERROR(SUBSTITUTE(ADDRESS(1,MATCH(A399,INDIRECT("'"&amp;E399&amp;"'"&amp;"!A10:Z10"),0),4),1,""),""))</f>
        <v>C</v>
      </c>
      <c r="D399" s="791" t="s">
        <v>1357</v>
      </c>
      <c r="E399" s="791" t="s">
        <v>1279</v>
      </c>
      <c r="F399" s="1314"/>
      <c r="G399" s="1314"/>
      <c r="H399" s="1314"/>
      <c r="I399" s="1274" t="str">
        <f t="shared" si="45"/>
        <v/>
      </c>
      <c r="J399" s="1314"/>
      <c r="K399" s="1314" t="str">
        <f t="shared" si="46"/>
        <v/>
      </c>
      <c r="L399" s="827" t="s">
        <v>252</v>
      </c>
      <c r="M399" s="1314">
        <v>368</v>
      </c>
      <c r="N399" s="1314"/>
      <c r="O399" s="1311"/>
      <c r="P399" s="1311"/>
      <c r="Q399" s="1311"/>
      <c r="R399" s="1311"/>
      <c r="S399" s="1311"/>
      <c r="T399" s="1311"/>
      <c r="U399" s="1311"/>
      <c r="V399" s="1311"/>
      <c r="W399" s="1311"/>
      <c r="X399" s="1311"/>
      <c r="Y399" s="1311"/>
      <c r="Z399" s="1311"/>
    </row>
    <row r="400" spans="1:26" x14ac:dyDescent="0.25">
      <c r="A400" s="847" t="s">
        <v>1246</v>
      </c>
      <c r="B400" s="1274" t="str">
        <f ca="1">IF('Pricing Schedule'!$K$5="No",_xlfn.CONCAT(IFERROR(SUBSTITUTE(ADDRESS(1,MATCH(A400,INDIRECT("'"&amp;E400&amp;"'"&amp;"!A10:Z10"),0),4),1,""),""),18),_xlfn.CONCAT(IFERROR(SUBSTITUTE(ADDRESS(1,MATCH(A400,INDIRECT("'"&amp;E400&amp;"'"&amp;"!A10:Z10"),0),4),1,""),""),52))</f>
        <v>H18</v>
      </c>
      <c r="C400" s="1274" t="str">
        <f ca="1">IF('Pricing Schedule'!$K$5="No",IFERROR(SUBSTITUTE(ADDRESS(1,MATCH(A400,INDIRECT("'"&amp;E400&amp;"'"&amp;"!A10:Z10"),0),4),1,""),""),IFERROR(SUBSTITUTE(ADDRESS(1,MATCH(A400,INDIRECT("'"&amp;E400&amp;"'"&amp;"!A10:Z10"),0),4),1,""),""))</f>
        <v>H</v>
      </c>
      <c r="D400" s="791" t="s">
        <v>1357</v>
      </c>
      <c r="E400" s="791" t="s">
        <v>1279</v>
      </c>
      <c r="F400" s="1314"/>
      <c r="G400" s="1314"/>
      <c r="H400" s="1314"/>
      <c r="I400" s="1274" t="str">
        <f t="shared" si="45"/>
        <v/>
      </c>
      <c r="J400" s="1314"/>
      <c r="K400" s="1314" t="str">
        <f t="shared" si="46"/>
        <v/>
      </c>
      <c r="L400" s="827" t="s">
        <v>1246</v>
      </c>
      <c r="M400" s="1314">
        <v>369</v>
      </c>
      <c r="N400" s="1314"/>
      <c r="O400" s="1311"/>
      <c r="P400" s="1311"/>
      <c r="Q400" s="1311"/>
      <c r="R400" s="1311"/>
      <c r="S400" s="1311"/>
      <c r="T400" s="1311"/>
      <c r="U400" s="1311"/>
      <c r="V400" s="1311"/>
      <c r="W400" s="1311"/>
      <c r="X400" s="1311"/>
      <c r="Y400" s="1311"/>
      <c r="Z400" s="1311"/>
    </row>
    <row r="401" spans="1:26" x14ac:dyDescent="0.25">
      <c r="A401" s="847" t="s">
        <v>1283</v>
      </c>
      <c r="B401" s="1274" t="str">
        <f ca="1">IF('Pricing Schedule'!$K$5="No",_xlfn.CONCAT(IFERROR(SUBSTITUTE(ADDRESS(1,MATCH(A401,INDIRECT("'"&amp;E401&amp;"'"&amp;"!A10:Z10"),0),4),1,""),""),18),_xlfn.CONCAT(IFERROR(SUBSTITUTE(ADDRESS(1,MATCH(A401,INDIRECT("'"&amp;E401&amp;"'"&amp;"!A10:Z10"),0),4),1,""),""),52))</f>
        <v>F18</v>
      </c>
      <c r="C401" s="1274" t="str">
        <f ca="1">IF('Pricing Schedule'!$K$5="No",IFERROR(SUBSTITUTE(ADDRESS(1,MATCH(A401,INDIRECT("'"&amp;E401&amp;"'"&amp;"!A10:Z10"),0),4),1,""),""),IFERROR(SUBSTITUTE(ADDRESS(1,MATCH(A401,INDIRECT("'"&amp;E401&amp;"'"&amp;"!A10:Z10"),0),4),1,""),""))</f>
        <v>F</v>
      </c>
      <c r="D401" s="791" t="s">
        <v>1357</v>
      </c>
      <c r="E401" s="791" t="s">
        <v>1279</v>
      </c>
      <c r="F401" s="1314"/>
      <c r="G401" s="1314"/>
      <c r="H401" s="1314"/>
      <c r="I401" s="1274" t="str">
        <f t="shared" si="45"/>
        <v/>
      </c>
      <c r="J401" s="1314"/>
      <c r="K401" s="1314" t="str">
        <f t="shared" si="46"/>
        <v/>
      </c>
      <c r="L401" s="827" t="s">
        <v>225</v>
      </c>
      <c r="M401" s="1314">
        <v>370</v>
      </c>
      <c r="N401" s="1314"/>
      <c r="O401" s="1311"/>
      <c r="P401" s="1311"/>
      <c r="Q401" s="1311"/>
      <c r="R401" s="1311"/>
      <c r="S401" s="1311"/>
      <c r="T401" s="1311"/>
      <c r="U401" s="1311"/>
      <c r="V401" s="1311"/>
      <c r="W401" s="1311"/>
      <c r="X401" s="1311"/>
      <c r="Y401" s="1311"/>
      <c r="Z401" s="1311"/>
    </row>
    <row r="402" spans="1:26" x14ac:dyDescent="0.25">
      <c r="A402" s="848" t="s">
        <v>463</v>
      </c>
      <c r="B402" s="1274" t="str">
        <f ca="1">_xlfn.CONCAT(IFERROR(SUBSTITUTE(ADDRESS(1,MATCH(A402,INDIRECT("'"&amp;E402&amp;"'"&amp;"!A9:Z9"),0),4),1,""),""),20)</f>
        <v>E20</v>
      </c>
      <c r="C402" s="1274" t="str">
        <f ca="1">_xlfn.CONCAT(IFERROR(SUBSTITUTE(ADDRESS(1,MATCH(A402,INDIRECT("'"&amp;E402&amp;"'"&amp;"!A9:Z9"),0),4),1,""),""))</f>
        <v>E</v>
      </c>
      <c r="D402" s="1314" t="s">
        <v>1357</v>
      </c>
      <c r="E402" s="791" t="s">
        <v>208</v>
      </c>
      <c r="F402" s="1314"/>
      <c r="G402" s="1314"/>
      <c r="H402" s="1314"/>
      <c r="I402" s="1274" t="str">
        <f t="shared" si="45"/>
        <v>Exclude PIM Classes Below</v>
      </c>
      <c r="J402" s="1314" t="str">
        <f t="shared" si="47"/>
        <v>F371</v>
      </c>
      <c r="K402" s="1314" t="str">
        <f t="shared" si="46"/>
        <v>PIM Model</v>
      </c>
      <c r="L402" s="827" t="s">
        <v>463</v>
      </c>
      <c r="M402" s="1314">
        <v>371</v>
      </c>
      <c r="N402" s="1314"/>
      <c r="O402" s="1311"/>
      <c r="P402" s="1311"/>
      <c r="Q402" s="1311"/>
      <c r="R402" s="1311"/>
      <c r="S402" s="1311"/>
      <c r="T402" s="1311"/>
      <c r="U402" s="1311"/>
      <c r="V402" s="1311"/>
      <c r="W402" s="1311"/>
      <c r="X402" s="1311"/>
      <c r="Y402" s="1311"/>
      <c r="Z402" s="1311"/>
    </row>
    <row r="403" spans="1:26" x14ac:dyDescent="0.25">
      <c r="A403" s="848" t="s">
        <v>1282</v>
      </c>
      <c r="B403" s="1274" t="str">
        <f ca="1">IF('Pricing Schedule'!$K$5="No",_xlfn.CONCAT(IFERROR(SUBSTITUTE(ADDRESS(1,MATCH(A403,INDIRECT("'"&amp;E403&amp;"'"&amp;"!A10:Z10"),0),4),1,""),""),18),_xlfn.CONCAT(IFERROR(SUBSTITUTE(ADDRESS(1,MATCH(A403,INDIRECT("'"&amp;E403&amp;"'"&amp;"!A10:Z10"),0),4),1,""),""),52))</f>
        <v>E18</v>
      </c>
      <c r="C403" s="1274" t="str">
        <f ca="1">IF('Pricing Schedule'!$K$5="No",IFERROR(SUBSTITUTE(ADDRESS(1,MATCH(A403,INDIRECT("'"&amp;E403&amp;"'"&amp;"!A10:Z10"),0),4),1,""),""),IFERROR(SUBSTITUTE(ADDRESS(1,MATCH(A403,INDIRECT("'"&amp;E403&amp;"'"&amp;"!A10:Z10"),0),4),1,""),""))</f>
        <v>E</v>
      </c>
      <c r="D403" s="791" t="s">
        <v>1357</v>
      </c>
      <c r="E403" s="791" t="s">
        <v>1279</v>
      </c>
      <c r="F403" s="1314"/>
      <c r="G403" s="1314"/>
      <c r="H403" s="1314"/>
      <c r="I403" s="1274" t="str">
        <f t="shared" si="45"/>
        <v>Special Pricing Code</v>
      </c>
      <c r="J403" s="1314" t="str">
        <f t="shared" si="47"/>
        <v>F372</v>
      </c>
      <c r="K403" s="1314" t="str">
        <f t="shared" si="46"/>
        <v>Pricing Schedule</v>
      </c>
      <c r="L403" s="827" t="s">
        <v>1282</v>
      </c>
      <c r="M403" s="1314">
        <v>372</v>
      </c>
      <c r="N403" s="1314"/>
      <c r="O403" s="1311"/>
      <c r="P403" s="1311"/>
      <c r="Q403" s="1311"/>
      <c r="R403" s="1311"/>
      <c r="S403" s="1311"/>
      <c r="T403" s="1311"/>
      <c r="U403" s="1311"/>
      <c r="V403" s="1311"/>
      <c r="W403" s="1311"/>
      <c r="X403" s="1311"/>
      <c r="Y403" s="1311"/>
      <c r="Z403" s="1311"/>
    </row>
    <row r="404" spans="1:26" x14ac:dyDescent="0.25">
      <c r="A404" s="848" t="s">
        <v>1284</v>
      </c>
      <c r="B404" s="1274" t="str">
        <f ca="1">IF('Pricing Schedule'!$K$5="No",_xlfn.CONCAT(IFERROR(SUBSTITUTE(ADDRESS(1,MATCH(A404,INDIRECT("'"&amp;E404&amp;"'"&amp;"!A10:Z10"),0),4),1,""),""),18),_xlfn.CONCAT(IFERROR(SUBSTITUTE(ADDRESS(1,MATCH(A404,INDIRECT("'"&amp;E404&amp;"'"&amp;"!A10:Z10"),0),4),1,""),""),52))</f>
        <v>G18</v>
      </c>
      <c r="C404" s="1274" t="str">
        <f ca="1">IF('Pricing Schedule'!$K$5="No",IFERROR(SUBSTITUTE(ADDRESS(1,MATCH(A404,INDIRECT("'"&amp;E404&amp;"'"&amp;"!A10:Z10"),0),4),1,""),""),IFERROR(SUBSTITUTE(ADDRESS(1,MATCH(A404,INDIRECT("'"&amp;E404&amp;"'"&amp;"!A10:Z10"),0),4),1,""),""))</f>
        <v>G</v>
      </c>
      <c r="D404" s="791" t="s">
        <v>1357</v>
      </c>
      <c r="E404" s="791" t="s">
        <v>1279</v>
      </c>
      <c r="F404" s="1097"/>
      <c r="G404" s="1314"/>
      <c r="H404" s="1314"/>
      <c r="I404" s="1274" t="str">
        <f t="shared" si="45"/>
        <v>EB Markup Amt</v>
      </c>
      <c r="J404" s="1314" t="str">
        <f t="shared" si="47"/>
        <v>F373</v>
      </c>
      <c r="K404" s="1314" t="str">
        <f t="shared" si="46"/>
        <v>Pricing Schedule</v>
      </c>
      <c r="L404" s="827" t="s">
        <v>1284</v>
      </c>
      <c r="M404" s="1314">
        <v>373</v>
      </c>
      <c r="N404" s="1314"/>
      <c r="O404" s="1311"/>
      <c r="P404" s="1311"/>
      <c r="Q404" s="1311"/>
      <c r="R404" s="1311"/>
      <c r="S404" s="1311"/>
      <c r="T404" s="1311"/>
      <c r="U404" s="1311"/>
      <c r="V404" s="1311"/>
      <c r="W404" s="1311"/>
      <c r="X404" s="1311"/>
      <c r="Y404" s="1311"/>
      <c r="Z404" s="1311"/>
    </row>
    <row r="405" spans="1:26" x14ac:dyDescent="0.25">
      <c r="A405" s="848" t="s">
        <v>1285</v>
      </c>
      <c r="B405" s="1274" t="str">
        <f ca="1">IF('Pricing Schedule'!$K$5="No",_xlfn.CONCAT(IFERROR(SUBSTITUTE(ADDRESS(1,MATCH(A405,INDIRECT("'"&amp;E405&amp;"'"&amp;"!A10:Z10"),0),4),1,""),""),18),_xlfn.CONCAT(IFERROR(SUBSTITUTE(ADDRESS(1,MATCH(A405,INDIRECT("'"&amp;E405&amp;"'"&amp;"!A10:Z10"),0),4),1,""),""),52))</f>
        <v>I18</v>
      </c>
      <c r="C405" s="1274" t="str">
        <f ca="1">IF('Pricing Schedule'!$K$5="No",IFERROR(SUBSTITUTE(ADDRESS(1,MATCH(A405,INDIRECT("'"&amp;E405&amp;"'"&amp;"!A10:Z10"),0),4),1,""),""),IFERROR(SUBSTITUTE(ADDRESS(1,MATCH(A405,INDIRECT("'"&amp;E405&amp;"'"&amp;"!A10:Z10"),0),4),1,""),""))</f>
        <v>I</v>
      </c>
      <c r="D405" s="791" t="s">
        <v>1357</v>
      </c>
      <c r="E405" s="791" t="s">
        <v>1279</v>
      </c>
      <c r="F405" s="1097"/>
      <c r="G405" s="1314"/>
      <c r="H405" s="1314"/>
      <c r="I405" s="1274" t="str">
        <f t="shared" si="45"/>
        <v>Min CS Markup Override Flag</v>
      </c>
      <c r="J405" s="1314" t="str">
        <f t="shared" si="47"/>
        <v>F374</v>
      </c>
      <c r="K405" s="1314" t="str">
        <f t="shared" si="46"/>
        <v>Pricing Schedule</v>
      </c>
      <c r="L405" s="827" t="s">
        <v>1285</v>
      </c>
      <c r="M405" s="1314">
        <v>374</v>
      </c>
      <c r="N405" s="1314"/>
      <c r="O405" s="1311"/>
      <c r="P405" s="1311"/>
      <c r="Q405" s="1311"/>
      <c r="R405" s="1311"/>
      <c r="S405" s="1311"/>
      <c r="T405" s="1311"/>
      <c r="U405" s="1311"/>
      <c r="V405" s="1311"/>
      <c r="W405" s="1311"/>
      <c r="X405" s="1311"/>
      <c r="Y405" s="1311"/>
      <c r="Z405" s="1311"/>
    </row>
    <row r="406" spans="1:26" x14ac:dyDescent="0.25">
      <c r="A406" s="848" t="s">
        <v>1286</v>
      </c>
      <c r="B406" s="1274" t="str">
        <f ca="1">IF('Pricing Schedule'!$K$5="No",_xlfn.CONCAT(IFERROR(SUBSTITUTE(ADDRESS(1,MATCH(A406,INDIRECT("'"&amp;E406&amp;"'"&amp;"!A10:Z10"),0),4),1,""),""),18),_xlfn.CONCAT(IFERROR(SUBSTITUTE(ADDRESS(1,MATCH(A406,INDIRECT("'"&amp;E406&amp;"'"&amp;"!A10:Z10"),0),4),1,""),""),52))</f>
        <v>J18</v>
      </c>
      <c r="C406" s="1274" t="str">
        <f ca="1">IF('Pricing Schedule'!$K$5="No",IFERROR(SUBSTITUTE(ADDRESS(1,MATCH(A406,INDIRECT("'"&amp;E406&amp;"'"&amp;"!A10:Z10"),0),4),1,""),""),IFERROR(SUBSTITUTE(ADDRESS(1,MATCH(A406,INDIRECT("'"&amp;E406&amp;"'"&amp;"!A10:Z10"),0),4),1,""),""))</f>
        <v>J</v>
      </c>
      <c r="D406" s="791" t="s">
        <v>1357</v>
      </c>
      <c r="E406" s="791" t="s">
        <v>1279</v>
      </c>
      <c r="F406" s="1097"/>
      <c r="G406" s="1314"/>
      <c r="H406" s="1314"/>
      <c r="I406" s="1274" t="str">
        <f t="shared" si="45"/>
        <v>Min CS Markup Amt</v>
      </c>
      <c r="J406" s="1314" t="str">
        <f t="shared" si="47"/>
        <v>F375</v>
      </c>
      <c r="K406" s="1314" t="str">
        <f t="shared" si="46"/>
        <v>Pricing Schedule</v>
      </c>
      <c r="L406" s="827" t="s">
        <v>1286</v>
      </c>
      <c r="M406" s="1314">
        <v>375</v>
      </c>
      <c r="N406" s="1314"/>
      <c r="O406" s="1311"/>
      <c r="P406" s="1311"/>
      <c r="Q406" s="1311"/>
      <c r="R406" s="1311"/>
      <c r="S406" s="1311"/>
      <c r="T406" s="1311"/>
      <c r="U406" s="1311"/>
      <c r="V406" s="1311"/>
      <c r="W406" s="1311"/>
      <c r="X406" s="1311"/>
      <c r="Y406" s="1311"/>
      <c r="Z406" s="1311"/>
    </row>
    <row r="407" spans="1:26" x14ac:dyDescent="0.25">
      <c r="A407" s="848" t="s">
        <v>1287</v>
      </c>
      <c r="B407" s="1274" t="str">
        <f ca="1">IF('Pricing Schedule'!$K$5="No",_xlfn.CONCAT(IFERROR(SUBSTITUTE(ADDRESS(1,MATCH(A407,INDIRECT("'"&amp;E407&amp;"'"&amp;"!A10:Z10"),0),4),1,""),""),18),_xlfn.CONCAT(IFERROR(SUBSTITUTE(ADDRESS(1,MATCH(A407,INDIRECT("'"&amp;E407&amp;"'"&amp;"!A10:Z10"),0),4),1,""),""),52))</f>
        <v>K18</v>
      </c>
      <c r="C407" s="1274" t="str">
        <f ca="1">IF('Pricing Schedule'!$K$5="No",IFERROR(SUBSTITUTE(ADDRESS(1,MATCH(A407,INDIRECT("'"&amp;E407&amp;"'"&amp;"!A10:Z10"),0),4),1,""),""),IFERROR(SUBSTITUTE(ADDRESS(1,MATCH(A407,INDIRECT("'"&amp;E407&amp;"'"&amp;"!A10:Z10"),0),4),1,""),""))</f>
        <v>K</v>
      </c>
      <c r="D407" s="791" t="s">
        <v>1357</v>
      </c>
      <c r="E407" s="791" t="s">
        <v>1279</v>
      </c>
      <c r="F407" s="1097"/>
      <c r="G407" s="1314"/>
      <c r="H407" s="1314"/>
      <c r="I407" s="1274" t="str">
        <f t="shared" si="45"/>
        <v>Split Case Fee Override Flag</v>
      </c>
      <c r="J407" s="1314" t="str">
        <f t="shared" si="47"/>
        <v>F376</v>
      </c>
      <c r="K407" s="1314" t="str">
        <f t="shared" si="46"/>
        <v>Pricing Schedule</v>
      </c>
      <c r="L407" s="827" t="s">
        <v>1287</v>
      </c>
      <c r="M407" s="1314">
        <v>376</v>
      </c>
      <c r="N407" s="1314"/>
      <c r="O407" s="1311"/>
      <c r="P407" s="1311"/>
      <c r="Q407" s="1311"/>
      <c r="R407" s="1311"/>
      <c r="S407" s="1311"/>
      <c r="T407" s="1311"/>
      <c r="U407" s="1311"/>
      <c r="V407" s="1311"/>
      <c r="W407" s="1311"/>
      <c r="X407" s="1311"/>
      <c r="Y407" s="1311"/>
      <c r="Z407" s="1311"/>
    </row>
    <row r="408" spans="1:26" x14ac:dyDescent="0.25">
      <c r="A408" s="848" t="s">
        <v>1288</v>
      </c>
      <c r="B408" s="1274" t="str">
        <f ca="1">IF('Pricing Schedule'!$K$5="No",_xlfn.CONCAT(IFERROR(SUBSTITUTE(ADDRESS(1,MATCH(A408,INDIRECT("'"&amp;E408&amp;"'"&amp;"!A10:Z10"),0),4),1,""),""),18),_xlfn.CONCAT(IFERROR(SUBSTITUTE(ADDRESS(1,MATCH(A408,INDIRECT("'"&amp;E408&amp;"'"&amp;"!A10:Z10"),0),4),1,""),""),52))</f>
        <v>L18</v>
      </c>
      <c r="C408" s="1274" t="str">
        <f ca="1">IF('Pricing Schedule'!$K$5="No",IFERROR(SUBSTITUTE(ADDRESS(1,MATCH(A408,INDIRECT("'"&amp;E408&amp;"'"&amp;"!A10:Z10"),0),4),1,""),""),IFERROR(SUBSTITUTE(ADDRESS(1,MATCH(A408,INDIRECT("'"&amp;E408&amp;"'"&amp;"!A10:Z10"),0),4),1,""),""))</f>
        <v>L</v>
      </c>
      <c r="D408" s="791" t="s">
        <v>1357</v>
      </c>
      <c r="E408" s="791" t="s">
        <v>1279</v>
      </c>
      <c r="F408" s="1097"/>
      <c r="G408" s="1314"/>
      <c r="H408" s="1314"/>
      <c r="I408" s="1274" t="str">
        <f t="shared" si="45"/>
        <v>Split Case Fee</v>
      </c>
      <c r="J408" s="1314" t="str">
        <f t="shared" si="47"/>
        <v>F377</v>
      </c>
      <c r="K408" s="1314" t="str">
        <f t="shared" si="46"/>
        <v>Pricing Schedule</v>
      </c>
      <c r="L408" s="827" t="s">
        <v>1288</v>
      </c>
      <c r="M408" s="1314">
        <v>377</v>
      </c>
      <c r="N408" s="1314"/>
      <c r="O408" s="1311"/>
      <c r="P408" s="1311"/>
      <c r="Q408" s="1311"/>
      <c r="R408" s="1311"/>
      <c r="S408" s="1311"/>
      <c r="T408" s="1311"/>
      <c r="U408" s="1311"/>
      <c r="V408" s="1311"/>
      <c r="W408" s="1311"/>
      <c r="X408" s="1311"/>
      <c r="Y408" s="1311"/>
      <c r="Z408" s="1311"/>
    </row>
    <row r="409" spans="1:26" x14ac:dyDescent="0.25">
      <c r="A409" s="848" t="s">
        <v>1228</v>
      </c>
      <c r="B409" s="1274" t="str">
        <f ca="1">IF('Pricing Schedule'!$K$5="No",_xlfn.CONCAT(IFERROR(SUBSTITUTE(ADDRESS(1,MATCH(A409,INDIRECT("'"&amp;E409&amp;"'"&amp;"!A10:Z10"),0),4),1,""),""),18),_xlfn.CONCAT(IFERROR(SUBSTITUTE(ADDRESS(1,MATCH(A409,INDIRECT("'"&amp;E409&amp;"'"&amp;"!A10:Z10"),0),4),1,""),""),52))</f>
        <v>M18</v>
      </c>
      <c r="C409" s="1274" t="str">
        <f ca="1">IF('Pricing Schedule'!$K$5="No",IFERROR(SUBSTITUTE(ADDRESS(1,MATCH(A409,INDIRECT("'"&amp;E409&amp;"'"&amp;"!A10:Z10"),0),4),1,""),""),IFERROR(SUBSTITUTE(ADDRESS(1,MATCH(A409,INDIRECT("'"&amp;E409&amp;"'"&amp;"!A10:Z10"),0),4),1,""),""))</f>
        <v>M</v>
      </c>
      <c r="D409" s="791" t="s">
        <v>1357</v>
      </c>
      <c r="E409" s="791" t="s">
        <v>1279</v>
      </c>
      <c r="F409" s="1097"/>
      <c r="G409" s="1314"/>
      <c r="H409" s="1314"/>
      <c r="I409" s="1274" t="str">
        <f t="shared" si="45"/>
        <v>Split Case Per</v>
      </c>
      <c r="J409" s="1314" t="str">
        <f t="shared" si="47"/>
        <v>F378</v>
      </c>
      <c r="K409" s="1314" t="str">
        <f t="shared" si="46"/>
        <v>Pricing Schedule</v>
      </c>
      <c r="L409" s="827" t="s">
        <v>1228</v>
      </c>
      <c r="M409" s="1314">
        <v>378</v>
      </c>
      <c r="N409" s="1314"/>
      <c r="O409" s="1311"/>
      <c r="P409" s="1311"/>
      <c r="Q409" s="1311"/>
      <c r="R409" s="1311"/>
      <c r="S409" s="1311"/>
      <c r="T409" s="1311"/>
      <c r="U409" s="1311"/>
      <c r="V409" s="1311"/>
      <c r="W409" s="1311"/>
      <c r="X409" s="1311"/>
      <c r="Y409" s="1311"/>
      <c r="Z409" s="1311"/>
    </row>
    <row r="410" spans="1:26" x14ac:dyDescent="0.25">
      <c r="A410" s="849" t="s">
        <v>1289</v>
      </c>
      <c r="B410" s="1274" t="str">
        <f ca="1">IF('Pricing Schedule'!$K$5="No",_xlfn.CONCAT(IFERROR(SUBSTITUTE(ADDRESS(1,MATCH(A410,INDIRECT("'"&amp;E410&amp;"'"&amp;"!A10:Z10"),0),4),1,""),""),22),_xlfn.CONCAT(IFERROR(SUBSTITUTE(ADDRESS(1,MATCH(A410,INDIRECT("'"&amp;E410&amp;"'"&amp;"!A10:Z10"),0),4),1,""),""),56))</f>
        <v>N22</v>
      </c>
      <c r="C410" s="1274" t="str">
        <f ca="1">IF('Pricing Schedule'!$K$5="No",IFERROR(SUBSTITUTE(ADDRESS(1,MATCH(A410,INDIRECT("'"&amp;E410&amp;"'"&amp;"!A10:Z10"),0),4),1,""),""),IFERROR(SUBSTITUTE(ADDRESS(1,MATCH(A410,INDIRECT("'"&amp;E410&amp;"'"&amp;"!A10:Z10"),0),4),1,""),""))</f>
        <v>N</v>
      </c>
      <c r="D410" s="791" t="s">
        <v>1357</v>
      </c>
      <c r="E410" s="791" t="s">
        <v>1279</v>
      </c>
      <c r="F410" s="1314"/>
      <c r="G410" s="1314"/>
      <c r="H410" s="1314"/>
      <c r="I410" s="1274" t="str">
        <f t="shared" si="45"/>
        <v/>
      </c>
      <c r="J410" s="1314"/>
      <c r="K410" s="1314" t="str">
        <f t="shared" si="46"/>
        <v/>
      </c>
      <c r="L410" s="827" t="s">
        <v>1289</v>
      </c>
      <c r="M410" s="1314">
        <v>379</v>
      </c>
      <c r="N410" s="1314"/>
      <c r="O410" s="1311"/>
      <c r="P410" s="1311"/>
      <c r="Q410" s="1311"/>
      <c r="R410" s="1311"/>
      <c r="S410" s="1311"/>
      <c r="T410" s="1311"/>
      <c r="U410" s="1311"/>
      <c r="V410" s="1311"/>
      <c r="W410" s="1311"/>
      <c r="X410" s="1311"/>
      <c r="Y410" s="1311"/>
      <c r="Z410" s="1311"/>
    </row>
    <row r="411" spans="1:26" x14ac:dyDescent="0.25">
      <c r="A411" s="850" t="s">
        <v>1280</v>
      </c>
      <c r="B411" s="1274" t="str">
        <f ca="1">IF('Pricing Schedule'!$K$5="No",_xlfn.CONCAT(IFERROR(SUBSTITUTE(ADDRESS(1,MATCH(A411,INDIRECT("'"&amp;E411&amp;"'"&amp;"!A10:Z10"),0),4),1,""),""),22),_xlfn.CONCAT(IFERROR(SUBSTITUTE(ADDRESS(1,MATCH(A411,INDIRECT("'"&amp;E411&amp;"'"&amp;"!A10:Z10"),0),4),1,""),""),56))</f>
        <v>C22</v>
      </c>
      <c r="C411" s="1274" t="str">
        <f ca="1">IF('Pricing Schedule'!$K$5="No",IFERROR(SUBSTITUTE(ADDRESS(1,MATCH(A411,INDIRECT("'"&amp;E411&amp;"'"&amp;"!A10:Z10"),0),4),1,""),""),IFERROR(SUBSTITUTE(ADDRESS(1,MATCH(A411,INDIRECT("'"&amp;E411&amp;"'"&amp;"!A10:Z10"),0),4),1,""),""))</f>
        <v>C</v>
      </c>
      <c r="D411" s="791" t="s">
        <v>1357</v>
      </c>
      <c r="E411" s="791" t="s">
        <v>1279</v>
      </c>
      <c r="F411" s="1314"/>
      <c r="G411" s="1314"/>
      <c r="H411" s="1314"/>
      <c r="I411" s="1274" t="str">
        <f t="shared" si="45"/>
        <v/>
      </c>
      <c r="J411" s="1314"/>
      <c r="K411" s="1314" t="str">
        <f t="shared" si="46"/>
        <v/>
      </c>
      <c r="L411" s="827" t="s">
        <v>252</v>
      </c>
      <c r="M411" s="1314">
        <v>380</v>
      </c>
      <c r="N411" s="1314"/>
      <c r="O411" s="1311"/>
      <c r="P411" s="1311"/>
      <c r="Q411" s="1311"/>
      <c r="R411" s="1311"/>
      <c r="S411" s="1311"/>
      <c r="T411" s="1311"/>
      <c r="U411" s="1311"/>
      <c r="V411" s="1311"/>
      <c r="W411" s="1311"/>
      <c r="X411" s="1311"/>
      <c r="Y411" s="1311"/>
      <c r="Z411" s="1311"/>
    </row>
    <row r="412" spans="1:26" x14ac:dyDescent="0.25">
      <c r="A412" s="850" t="s">
        <v>1246</v>
      </c>
      <c r="B412" s="1274" t="str">
        <f ca="1">IF('Pricing Schedule'!$K$5="No",_xlfn.CONCAT(IFERROR(SUBSTITUTE(ADDRESS(1,MATCH(A412,INDIRECT("'"&amp;E412&amp;"'"&amp;"!A10:Z10"),0),4),1,""),""),22),_xlfn.CONCAT(IFERROR(SUBSTITUTE(ADDRESS(1,MATCH(A412,INDIRECT("'"&amp;E412&amp;"'"&amp;"!A10:Z10"),0),4),1,""),""),56))</f>
        <v>H22</v>
      </c>
      <c r="C412" s="1274" t="str">
        <f ca="1">IF('Pricing Schedule'!$K$5="No",IFERROR(SUBSTITUTE(ADDRESS(1,MATCH(A412,INDIRECT("'"&amp;E412&amp;"'"&amp;"!A10:Z10"),0),4),1,""),""),IFERROR(SUBSTITUTE(ADDRESS(1,MATCH(A412,INDIRECT("'"&amp;E412&amp;"'"&amp;"!A10:Z10"),0),4),1,""),""))</f>
        <v>H</v>
      </c>
      <c r="D412" s="791" t="s">
        <v>1357</v>
      </c>
      <c r="E412" s="791" t="s">
        <v>1279</v>
      </c>
      <c r="F412" s="1314"/>
      <c r="G412" s="1314"/>
      <c r="H412" s="1314"/>
      <c r="I412" s="1274" t="str">
        <f t="shared" si="45"/>
        <v/>
      </c>
      <c r="J412" s="1314"/>
      <c r="K412" s="1314" t="str">
        <f t="shared" si="46"/>
        <v/>
      </c>
      <c r="L412" s="827" t="s">
        <v>1246</v>
      </c>
      <c r="M412" s="1314">
        <v>381</v>
      </c>
      <c r="N412" s="1314"/>
      <c r="O412" s="1311"/>
      <c r="P412" s="1311"/>
      <c r="Q412" s="1311"/>
      <c r="R412" s="1311"/>
      <c r="S412" s="1311"/>
      <c r="T412" s="1311"/>
      <c r="U412" s="1311"/>
      <c r="V412" s="1311"/>
      <c r="W412" s="1311"/>
      <c r="X412" s="1311"/>
      <c r="Y412" s="1311"/>
      <c r="Z412" s="1311"/>
    </row>
    <row r="413" spans="1:26" x14ac:dyDescent="0.25">
      <c r="A413" s="850" t="s">
        <v>1283</v>
      </c>
      <c r="B413" s="1274" t="str">
        <f ca="1">IF('Pricing Schedule'!$K$5="No",_xlfn.CONCAT(IFERROR(SUBSTITUTE(ADDRESS(1,MATCH(A413,INDIRECT("'"&amp;E413&amp;"'"&amp;"!A10:Z10"),0),4),1,""),""),22),_xlfn.CONCAT(IFERROR(SUBSTITUTE(ADDRESS(1,MATCH(A413,INDIRECT("'"&amp;E413&amp;"'"&amp;"!A10:Z10"),0),4),1,""),""),56))</f>
        <v>F22</v>
      </c>
      <c r="C413" s="1274" t="str">
        <f ca="1">IF('Pricing Schedule'!$K$5="No",IFERROR(SUBSTITUTE(ADDRESS(1,MATCH(A413,INDIRECT("'"&amp;E413&amp;"'"&amp;"!A10:Z10"),0),4),1,""),""),IFERROR(SUBSTITUTE(ADDRESS(1,MATCH(A413,INDIRECT("'"&amp;E413&amp;"'"&amp;"!A10:Z10"),0),4),1,""),""))</f>
        <v>F</v>
      </c>
      <c r="D413" s="791" t="s">
        <v>1357</v>
      </c>
      <c r="E413" s="791" t="s">
        <v>1279</v>
      </c>
      <c r="F413" s="1314"/>
      <c r="G413" s="1314"/>
      <c r="H413" s="1314"/>
      <c r="I413" s="1274" t="str">
        <f t="shared" si="45"/>
        <v/>
      </c>
      <c r="J413" s="1314"/>
      <c r="K413" s="1314" t="str">
        <f t="shared" si="46"/>
        <v/>
      </c>
      <c r="L413" s="827" t="s">
        <v>225</v>
      </c>
      <c r="M413" s="1314">
        <v>382</v>
      </c>
      <c r="N413" s="1314"/>
      <c r="O413" s="1311"/>
      <c r="P413" s="1311"/>
      <c r="Q413" s="1311"/>
      <c r="R413" s="1311"/>
      <c r="S413" s="1311"/>
      <c r="T413" s="1311"/>
      <c r="U413" s="1311"/>
      <c r="V413" s="1311"/>
      <c r="W413" s="1311"/>
      <c r="X413" s="1311"/>
      <c r="Y413" s="1311"/>
      <c r="Z413" s="1311"/>
    </row>
    <row r="414" spans="1:26" x14ac:dyDescent="0.25">
      <c r="A414" s="851" t="s">
        <v>463</v>
      </c>
      <c r="B414" s="1274" t="str">
        <f ca="1">_xlfn.CONCAT(IFERROR(SUBSTITUTE(ADDRESS(1,MATCH(A414,INDIRECT("'"&amp;E414&amp;"'"&amp;"!A9:Z9"),0),4),1,""),""),21)</f>
        <v>E21</v>
      </c>
      <c r="C414" s="1274" t="str">
        <f ca="1">_xlfn.CONCAT(IFERROR(SUBSTITUTE(ADDRESS(1,MATCH(A414,INDIRECT("'"&amp;E414&amp;"'"&amp;"!A9:Z9"),0),4),1,""),""))</f>
        <v>E</v>
      </c>
      <c r="D414" s="1314" t="s">
        <v>1357</v>
      </c>
      <c r="E414" s="791" t="s">
        <v>208</v>
      </c>
      <c r="F414" s="1314"/>
      <c r="G414" s="1314"/>
      <c r="H414" s="1314"/>
      <c r="I414" s="1274" t="str">
        <f t="shared" si="45"/>
        <v>Exclude PIM Classes Below</v>
      </c>
      <c r="J414" s="1314" t="str">
        <f t="shared" si="47"/>
        <v>F383</v>
      </c>
      <c r="K414" s="1314" t="str">
        <f t="shared" si="46"/>
        <v>PIM Model</v>
      </c>
      <c r="L414" s="827" t="s">
        <v>463</v>
      </c>
      <c r="M414" s="1314">
        <v>383</v>
      </c>
      <c r="N414" s="1314"/>
      <c r="O414" s="1311"/>
      <c r="P414" s="1311"/>
      <c r="Q414" s="1311"/>
      <c r="R414" s="1311"/>
      <c r="S414" s="1311"/>
      <c r="T414" s="1311"/>
      <c r="U414" s="1311"/>
      <c r="V414" s="1311"/>
      <c r="W414" s="1311"/>
      <c r="X414" s="1311"/>
      <c r="Y414" s="1311"/>
      <c r="Z414" s="1311"/>
    </row>
    <row r="415" spans="1:26" x14ac:dyDescent="0.25">
      <c r="A415" s="851" t="s">
        <v>1282</v>
      </c>
      <c r="B415" s="1274" t="str">
        <f ca="1">IF('Pricing Schedule'!$K$5="No",_xlfn.CONCAT(IFERROR(SUBSTITUTE(ADDRESS(1,MATCH(A415,INDIRECT("'"&amp;E415&amp;"'"&amp;"!A10:Z10"),0),4),1,""),""),22),_xlfn.CONCAT(IFERROR(SUBSTITUTE(ADDRESS(1,MATCH(A415,INDIRECT("'"&amp;E415&amp;"'"&amp;"!A10:Z10"),0),4),1,""),""),56))</f>
        <v>E22</v>
      </c>
      <c r="C415" s="1274" t="str">
        <f ca="1">IF('Pricing Schedule'!$K$5="No",IFERROR(SUBSTITUTE(ADDRESS(1,MATCH(A415,INDIRECT("'"&amp;E415&amp;"'"&amp;"!A10:Z10"),0),4),1,""),""),IFERROR(SUBSTITUTE(ADDRESS(1,MATCH(A415,INDIRECT("'"&amp;E415&amp;"'"&amp;"!A10:Z10"),0),4),1,""),""))</f>
        <v>E</v>
      </c>
      <c r="D415" s="791" t="s">
        <v>1357</v>
      </c>
      <c r="E415" s="791" t="s">
        <v>1279</v>
      </c>
      <c r="F415" s="1314"/>
      <c r="G415" s="1314"/>
      <c r="H415" s="1314"/>
      <c r="I415" s="1274" t="str">
        <f t="shared" si="45"/>
        <v>Special Pricing Code</v>
      </c>
      <c r="J415" s="1314" t="str">
        <f t="shared" si="47"/>
        <v>F384</v>
      </c>
      <c r="K415" s="1314" t="str">
        <f t="shared" si="46"/>
        <v>Pricing Schedule</v>
      </c>
      <c r="L415" s="827" t="s">
        <v>1282</v>
      </c>
      <c r="M415" s="1314">
        <v>384</v>
      </c>
      <c r="N415" s="1314"/>
      <c r="O415" s="1311"/>
      <c r="P415" s="1311"/>
      <c r="Q415" s="1311"/>
      <c r="R415" s="1311"/>
      <c r="S415" s="1311"/>
      <c r="T415" s="1311"/>
      <c r="U415" s="1311"/>
      <c r="V415" s="1311"/>
      <c r="W415" s="1311"/>
      <c r="X415" s="1311"/>
      <c r="Y415" s="1311"/>
      <c r="Z415" s="1311"/>
    </row>
    <row r="416" spans="1:26" x14ac:dyDescent="0.25">
      <c r="A416" s="851" t="s">
        <v>1284</v>
      </c>
      <c r="B416" s="1274" t="str">
        <f ca="1">IF('Pricing Schedule'!$K$5="No",_xlfn.CONCAT(IFERROR(SUBSTITUTE(ADDRESS(1,MATCH(A416,INDIRECT("'"&amp;E416&amp;"'"&amp;"!A10:Z10"),0),4),1,""),""),22),_xlfn.CONCAT(IFERROR(SUBSTITUTE(ADDRESS(1,MATCH(A416,INDIRECT("'"&amp;E416&amp;"'"&amp;"!A10:Z10"),0),4),1,""),""),56))</f>
        <v>G22</v>
      </c>
      <c r="C416" s="1274" t="str">
        <f ca="1">IF('Pricing Schedule'!$K$5="No",IFERROR(SUBSTITUTE(ADDRESS(1,MATCH(A416,INDIRECT("'"&amp;E416&amp;"'"&amp;"!A10:Z10"),0),4),1,""),""),IFERROR(SUBSTITUTE(ADDRESS(1,MATCH(A416,INDIRECT("'"&amp;E416&amp;"'"&amp;"!A10:Z10"),0),4),1,""),""))</f>
        <v>G</v>
      </c>
      <c r="D416" s="791" t="s">
        <v>1357</v>
      </c>
      <c r="E416" s="791" t="s">
        <v>1279</v>
      </c>
      <c r="F416" s="1097"/>
      <c r="G416" s="1314"/>
      <c r="H416" s="1314"/>
      <c r="I416" s="1274" t="str">
        <f t="shared" si="45"/>
        <v>EB Markup Amt</v>
      </c>
      <c r="J416" s="1314" t="str">
        <f t="shared" si="47"/>
        <v>F385</v>
      </c>
      <c r="K416" s="1314" t="str">
        <f t="shared" si="46"/>
        <v>Pricing Schedule</v>
      </c>
      <c r="L416" s="827" t="s">
        <v>1284</v>
      </c>
      <c r="M416" s="1314">
        <v>385</v>
      </c>
      <c r="N416" s="1314"/>
      <c r="O416" s="1311"/>
      <c r="P416" s="1311"/>
      <c r="Q416" s="1311"/>
      <c r="R416" s="1311"/>
      <c r="S416" s="1311"/>
      <c r="T416" s="1311"/>
      <c r="U416" s="1311"/>
      <c r="V416" s="1311"/>
      <c r="W416" s="1311"/>
      <c r="X416" s="1311"/>
      <c r="Y416" s="1311"/>
      <c r="Z416" s="1311"/>
    </row>
    <row r="417" spans="1:26" x14ac:dyDescent="0.25">
      <c r="A417" s="851" t="s">
        <v>1285</v>
      </c>
      <c r="B417" s="1274" t="str">
        <f ca="1">IF('Pricing Schedule'!$K$5="No",_xlfn.CONCAT(IFERROR(SUBSTITUTE(ADDRESS(1,MATCH(A417,INDIRECT("'"&amp;E417&amp;"'"&amp;"!A10:Z10"),0),4),1,""),""),22),_xlfn.CONCAT(IFERROR(SUBSTITUTE(ADDRESS(1,MATCH(A417,INDIRECT("'"&amp;E417&amp;"'"&amp;"!A10:Z10"),0),4),1,""),""),56))</f>
        <v>I22</v>
      </c>
      <c r="C417" s="1274" t="str">
        <f ca="1">IF('Pricing Schedule'!$K$5="No",IFERROR(SUBSTITUTE(ADDRESS(1,MATCH(A417,INDIRECT("'"&amp;E417&amp;"'"&amp;"!A10:Z10"),0),4),1,""),""),IFERROR(SUBSTITUTE(ADDRESS(1,MATCH(A417,INDIRECT("'"&amp;E417&amp;"'"&amp;"!A10:Z10"),0),4),1,""),""))</f>
        <v>I</v>
      </c>
      <c r="D417" s="791" t="s">
        <v>1357</v>
      </c>
      <c r="E417" s="791" t="s">
        <v>1279</v>
      </c>
      <c r="F417" s="1097"/>
      <c r="G417" s="1314"/>
      <c r="H417" s="1314"/>
      <c r="I417" s="1274" t="str">
        <f t="shared" si="45"/>
        <v>Min CS Markup Override Flag</v>
      </c>
      <c r="J417" s="1314" t="str">
        <f t="shared" si="47"/>
        <v>F386</v>
      </c>
      <c r="K417" s="1314" t="str">
        <f t="shared" si="46"/>
        <v>Pricing Schedule</v>
      </c>
      <c r="L417" s="827" t="s">
        <v>1285</v>
      </c>
      <c r="M417" s="1314">
        <v>386</v>
      </c>
      <c r="N417" s="1314"/>
      <c r="O417" s="1311"/>
      <c r="P417" s="1311"/>
      <c r="Q417" s="1311"/>
      <c r="R417" s="1311"/>
      <c r="S417" s="1311"/>
      <c r="T417" s="1311"/>
      <c r="U417" s="1311"/>
      <c r="V417" s="1311"/>
      <c r="W417" s="1311"/>
      <c r="X417" s="1311"/>
      <c r="Y417" s="1311"/>
      <c r="Z417" s="1311"/>
    </row>
    <row r="418" spans="1:26" x14ac:dyDescent="0.25">
      <c r="A418" s="851" t="s">
        <v>1286</v>
      </c>
      <c r="B418" s="1274" t="str">
        <f ca="1">IF('Pricing Schedule'!$K$5="No",_xlfn.CONCAT(IFERROR(SUBSTITUTE(ADDRESS(1,MATCH(A418,INDIRECT("'"&amp;E418&amp;"'"&amp;"!A10:Z10"),0),4),1,""),""),22),_xlfn.CONCAT(IFERROR(SUBSTITUTE(ADDRESS(1,MATCH(A418,INDIRECT("'"&amp;E418&amp;"'"&amp;"!A10:Z10"),0),4),1,""),""),56))</f>
        <v>J22</v>
      </c>
      <c r="C418" s="1274" t="str">
        <f ca="1">IF('Pricing Schedule'!$K$5="No",IFERROR(SUBSTITUTE(ADDRESS(1,MATCH(A418,INDIRECT("'"&amp;E418&amp;"'"&amp;"!A10:Z10"),0),4),1,""),""),IFERROR(SUBSTITUTE(ADDRESS(1,MATCH(A418,INDIRECT("'"&amp;E418&amp;"'"&amp;"!A10:Z10"),0),4),1,""),""))</f>
        <v>J</v>
      </c>
      <c r="D418" s="791" t="s">
        <v>1357</v>
      </c>
      <c r="E418" s="791" t="s">
        <v>1279</v>
      </c>
      <c r="F418" s="1097"/>
      <c r="G418" s="1314"/>
      <c r="H418" s="1314"/>
      <c r="I418" s="1274" t="str">
        <f t="shared" si="45"/>
        <v>Min CS Markup Amt</v>
      </c>
      <c r="J418" s="1314" t="str">
        <f t="shared" si="47"/>
        <v>F387</v>
      </c>
      <c r="K418" s="1314" t="str">
        <f t="shared" si="46"/>
        <v>Pricing Schedule</v>
      </c>
      <c r="L418" s="827" t="s">
        <v>1286</v>
      </c>
      <c r="M418" s="1314">
        <v>387</v>
      </c>
      <c r="N418" s="1314"/>
      <c r="O418" s="1311"/>
      <c r="P418" s="1311"/>
      <c r="Q418" s="1311"/>
      <c r="R418" s="1311"/>
      <c r="S418" s="1311"/>
      <c r="T418" s="1311"/>
      <c r="U418" s="1311"/>
      <c r="V418" s="1311"/>
      <c r="W418" s="1311"/>
      <c r="X418" s="1311"/>
      <c r="Y418" s="1311"/>
      <c r="Z418" s="1311"/>
    </row>
    <row r="419" spans="1:26" x14ac:dyDescent="0.25">
      <c r="A419" s="851" t="s">
        <v>1287</v>
      </c>
      <c r="B419" s="1274" t="str">
        <f ca="1">IF('Pricing Schedule'!$K$5="No",_xlfn.CONCAT(IFERROR(SUBSTITUTE(ADDRESS(1,MATCH(A419,INDIRECT("'"&amp;E419&amp;"'"&amp;"!A10:Z10"),0),4),1,""),""),22),_xlfn.CONCAT(IFERROR(SUBSTITUTE(ADDRESS(1,MATCH(A419,INDIRECT("'"&amp;E419&amp;"'"&amp;"!A10:Z10"),0),4),1,""),""),56))</f>
        <v>K22</v>
      </c>
      <c r="C419" s="1274" t="str">
        <f ca="1">IF('Pricing Schedule'!$K$5="No",IFERROR(SUBSTITUTE(ADDRESS(1,MATCH(A419,INDIRECT("'"&amp;E419&amp;"'"&amp;"!A10:Z10"),0),4),1,""),""),IFERROR(SUBSTITUTE(ADDRESS(1,MATCH(A419,INDIRECT("'"&amp;E419&amp;"'"&amp;"!A10:Z10"),0),4),1,""),""))</f>
        <v>K</v>
      </c>
      <c r="D419" s="791" t="s">
        <v>1357</v>
      </c>
      <c r="E419" s="791" t="s">
        <v>1279</v>
      </c>
      <c r="F419" s="1097"/>
      <c r="G419" s="1314"/>
      <c r="H419" s="1314"/>
      <c r="I419" s="1274" t="str">
        <f t="shared" si="45"/>
        <v>Split Case Fee Override Flag</v>
      </c>
      <c r="J419" s="1314" t="str">
        <f t="shared" si="47"/>
        <v>F388</v>
      </c>
      <c r="K419" s="1314" t="str">
        <f t="shared" si="46"/>
        <v>Pricing Schedule</v>
      </c>
      <c r="L419" s="827" t="s">
        <v>1287</v>
      </c>
      <c r="M419" s="1314">
        <v>388</v>
      </c>
      <c r="N419" s="1314"/>
      <c r="O419" s="1311"/>
      <c r="P419" s="1311"/>
      <c r="Q419" s="1311"/>
      <c r="R419" s="1311"/>
      <c r="S419" s="1311"/>
      <c r="T419" s="1311"/>
      <c r="U419" s="1311"/>
      <c r="V419" s="1311"/>
      <c r="W419" s="1311"/>
      <c r="X419" s="1311"/>
      <c r="Y419" s="1311"/>
      <c r="Z419" s="1311"/>
    </row>
    <row r="420" spans="1:26" x14ac:dyDescent="0.25">
      <c r="A420" s="851" t="s">
        <v>1288</v>
      </c>
      <c r="B420" s="1274" t="str">
        <f ca="1">IF('Pricing Schedule'!$K$5="No",_xlfn.CONCAT(IFERROR(SUBSTITUTE(ADDRESS(1,MATCH(A420,INDIRECT("'"&amp;E420&amp;"'"&amp;"!A10:Z10"),0),4),1,""),""),22),_xlfn.CONCAT(IFERROR(SUBSTITUTE(ADDRESS(1,MATCH(A420,INDIRECT("'"&amp;E420&amp;"'"&amp;"!A10:Z10"),0),4),1,""),""),56))</f>
        <v>L22</v>
      </c>
      <c r="C420" s="1274" t="str">
        <f ca="1">IF('Pricing Schedule'!$K$5="No",IFERROR(SUBSTITUTE(ADDRESS(1,MATCH(A420,INDIRECT("'"&amp;E420&amp;"'"&amp;"!A10:Z10"),0),4),1,""),""),IFERROR(SUBSTITUTE(ADDRESS(1,MATCH(A420,INDIRECT("'"&amp;E420&amp;"'"&amp;"!A10:Z10"),0),4),1,""),""))</f>
        <v>L</v>
      </c>
      <c r="D420" s="791" t="s">
        <v>1357</v>
      </c>
      <c r="E420" s="791" t="s">
        <v>1279</v>
      </c>
      <c r="F420" s="1097"/>
      <c r="G420" s="1314"/>
      <c r="H420" s="1314"/>
      <c r="I420" s="1274" t="str">
        <f t="shared" si="45"/>
        <v>Split Case Fee</v>
      </c>
      <c r="J420" s="1314" t="str">
        <f t="shared" si="47"/>
        <v>F389</v>
      </c>
      <c r="K420" s="1314" t="str">
        <f t="shared" si="46"/>
        <v>Pricing Schedule</v>
      </c>
      <c r="L420" s="827" t="s">
        <v>1288</v>
      </c>
      <c r="M420" s="1314">
        <v>389</v>
      </c>
      <c r="N420" s="1314"/>
      <c r="O420" s="1311"/>
      <c r="P420" s="1311"/>
      <c r="Q420" s="1311"/>
      <c r="R420" s="1311"/>
      <c r="S420" s="1311"/>
      <c r="T420" s="1311"/>
      <c r="U420" s="1311"/>
      <c r="V420" s="1311"/>
      <c r="W420" s="1311"/>
      <c r="X420" s="1311"/>
      <c r="Y420" s="1311"/>
      <c r="Z420" s="1311"/>
    </row>
    <row r="421" spans="1:26" x14ac:dyDescent="0.25">
      <c r="A421" s="851" t="s">
        <v>1228</v>
      </c>
      <c r="B421" s="1274" t="str">
        <f ca="1">IF('Pricing Schedule'!$K$5="No",_xlfn.CONCAT(IFERROR(SUBSTITUTE(ADDRESS(1,MATCH(A421,INDIRECT("'"&amp;E421&amp;"'"&amp;"!A10:Z10"),0),4),1,""),""),22),_xlfn.CONCAT(IFERROR(SUBSTITUTE(ADDRESS(1,MATCH(A421,INDIRECT("'"&amp;E421&amp;"'"&amp;"!A10:Z10"),0),4),1,""),""),56))</f>
        <v>M22</v>
      </c>
      <c r="C421" s="1274" t="str">
        <f ca="1">IF('Pricing Schedule'!$K$5="No",IFERROR(SUBSTITUTE(ADDRESS(1,MATCH(A421,INDIRECT("'"&amp;E421&amp;"'"&amp;"!A10:Z10"),0),4),1,""),""),IFERROR(SUBSTITUTE(ADDRESS(1,MATCH(A421,INDIRECT("'"&amp;E421&amp;"'"&amp;"!A10:Z10"),0),4),1,""),""))</f>
        <v>M</v>
      </c>
      <c r="D421" s="791" t="s">
        <v>1357</v>
      </c>
      <c r="E421" s="791" t="s">
        <v>1279</v>
      </c>
      <c r="F421" s="1097"/>
      <c r="G421" s="1314"/>
      <c r="H421" s="1314"/>
      <c r="I421" s="1274" t="str">
        <f t="shared" si="45"/>
        <v>Split Case Per</v>
      </c>
      <c r="J421" s="1314" t="str">
        <f t="shared" si="47"/>
        <v>F390</v>
      </c>
      <c r="K421" s="1314" t="str">
        <f t="shared" si="46"/>
        <v>Pricing Schedule</v>
      </c>
      <c r="L421" s="827" t="s">
        <v>1228</v>
      </c>
      <c r="M421" s="1314">
        <v>390</v>
      </c>
      <c r="N421" s="1314"/>
      <c r="O421" s="1311"/>
      <c r="P421" s="1311"/>
      <c r="Q421" s="1311"/>
      <c r="R421" s="1311"/>
      <c r="S421" s="1311"/>
      <c r="T421" s="1311"/>
      <c r="U421" s="1311"/>
      <c r="V421" s="1311"/>
      <c r="W421" s="1311"/>
      <c r="X421" s="1311"/>
      <c r="Y421" s="1311"/>
      <c r="Z421" s="1311"/>
    </row>
    <row r="422" spans="1:26" x14ac:dyDescent="0.25">
      <c r="A422" s="846" t="s">
        <v>1289</v>
      </c>
      <c r="B422" s="1274" t="str">
        <f ca="1">IF('Pricing Schedule'!$K$5="No",_xlfn.CONCAT(IFERROR(SUBSTITUTE(ADDRESS(1,MATCH(A422,INDIRECT("'"&amp;E422&amp;"'"&amp;"!A10:Z10"),0),4),1,""),""),30),_xlfn.CONCAT(IFERROR(SUBSTITUTE(ADDRESS(1,MATCH(A422,INDIRECT("'"&amp;E422&amp;"'"&amp;"!A10:Z10"),0),4),1,""),""),64))</f>
        <v>N30</v>
      </c>
      <c r="C422" s="1274" t="str">
        <f ca="1">IF('Pricing Schedule'!$K$5="No",IFERROR(SUBSTITUTE(ADDRESS(1,MATCH(A422,INDIRECT("'"&amp;E422&amp;"'"&amp;"!A10:Z10"),0),4),1,""),""),IFERROR(SUBSTITUTE(ADDRESS(1,MATCH(A422,INDIRECT("'"&amp;E422&amp;"'"&amp;"!A10:Z10"),0),4),1,""),""))</f>
        <v>N</v>
      </c>
      <c r="D422" s="791" t="s">
        <v>1357</v>
      </c>
      <c r="E422" s="791" t="s">
        <v>1279</v>
      </c>
      <c r="F422" s="1314"/>
      <c r="G422" s="1314"/>
      <c r="H422" s="1314"/>
      <c r="I422" s="1274" t="str">
        <f t="shared" si="45"/>
        <v/>
      </c>
      <c r="J422" s="1314"/>
      <c r="K422" s="1314" t="str">
        <f t="shared" si="46"/>
        <v/>
      </c>
      <c r="L422" s="827" t="s">
        <v>1289</v>
      </c>
      <c r="M422" s="1314">
        <v>391</v>
      </c>
      <c r="N422" s="1314"/>
      <c r="O422" s="1311"/>
      <c r="P422" s="1311"/>
      <c r="Q422" s="1311"/>
      <c r="R422" s="1311"/>
      <c r="S422" s="1311"/>
      <c r="T422" s="1311"/>
      <c r="U422" s="1311"/>
      <c r="V422" s="1311"/>
      <c r="W422" s="1311"/>
      <c r="X422" s="1311"/>
      <c r="Y422" s="1311"/>
      <c r="Z422" s="1311"/>
    </row>
    <row r="423" spans="1:26" x14ac:dyDescent="0.25">
      <c r="A423" s="847" t="s">
        <v>1280</v>
      </c>
      <c r="B423" s="1274" t="str">
        <f ca="1">IF('Pricing Schedule'!$K$5="No",_xlfn.CONCAT(IFERROR(SUBSTITUTE(ADDRESS(1,MATCH(A423,INDIRECT("'"&amp;E423&amp;"'"&amp;"!A10:Z10"),0),4),1,""),""),30),_xlfn.CONCAT(IFERROR(SUBSTITUTE(ADDRESS(1,MATCH(A423,INDIRECT("'"&amp;E423&amp;"'"&amp;"!A10:Z10"),0),4),1,""),""),64))</f>
        <v>C30</v>
      </c>
      <c r="C423" s="1274" t="str">
        <f ca="1">IF('Pricing Schedule'!$K$5="No",IFERROR(SUBSTITUTE(ADDRESS(1,MATCH(A423,INDIRECT("'"&amp;E423&amp;"'"&amp;"!A10:Z10"),0),4),1,""),""),IFERROR(SUBSTITUTE(ADDRESS(1,MATCH(A423,INDIRECT("'"&amp;E423&amp;"'"&amp;"!A10:Z10"),0),4),1,""),""))</f>
        <v>C</v>
      </c>
      <c r="D423" s="791" t="s">
        <v>1357</v>
      </c>
      <c r="E423" s="791" t="s">
        <v>1279</v>
      </c>
      <c r="F423" s="1314"/>
      <c r="G423" s="1314"/>
      <c r="H423" s="1314"/>
      <c r="I423" s="1274" t="str">
        <f t="shared" si="45"/>
        <v/>
      </c>
      <c r="J423" s="1314"/>
      <c r="K423" s="1314" t="str">
        <f t="shared" si="46"/>
        <v/>
      </c>
      <c r="L423" s="827" t="s">
        <v>252</v>
      </c>
      <c r="M423" s="1314">
        <v>392</v>
      </c>
      <c r="N423" s="1314"/>
      <c r="O423" s="1311"/>
      <c r="P423" s="1311"/>
      <c r="Q423" s="1311"/>
      <c r="R423" s="1311"/>
      <c r="S423" s="1311"/>
      <c r="T423" s="1311"/>
      <c r="U423" s="1311"/>
      <c r="V423" s="1311"/>
      <c r="W423" s="1311"/>
      <c r="X423" s="1311"/>
      <c r="Y423" s="1311"/>
      <c r="Z423" s="1311"/>
    </row>
    <row r="424" spans="1:26" x14ac:dyDescent="0.25">
      <c r="A424" s="847" t="s">
        <v>1246</v>
      </c>
      <c r="B424" s="1274" t="str">
        <f ca="1">IF('Pricing Schedule'!$K$5="No",_xlfn.CONCAT(IFERROR(SUBSTITUTE(ADDRESS(1,MATCH(A424,INDIRECT("'"&amp;E424&amp;"'"&amp;"!A10:Z10"),0),4),1,""),""),30),_xlfn.CONCAT(IFERROR(SUBSTITUTE(ADDRESS(1,MATCH(A424,INDIRECT("'"&amp;E424&amp;"'"&amp;"!A10:Z10"),0),4),1,""),""),64))</f>
        <v>H30</v>
      </c>
      <c r="C424" s="1274" t="str">
        <f ca="1">IF('Pricing Schedule'!$K$5="No",IFERROR(SUBSTITUTE(ADDRESS(1,MATCH(A424,INDIRECT("'"&amp;E424&amp;"'"&amp;"!A10:Z10"),0),4),1,""),""),IFERROR(SUBSTITUTE(ADDRESS(1,MATCH(A424,INDIRECT("'"&amp;E424&amp;"'"&amp;"!A10:Z10"),0),4),1,""),""))</f>
        <v>H</v>
      </c>
      <c r="D424" s="791" t="s">
        <v>1357</v>
      </c>
      <c r="E424" s="791" t="s">
        <v>1279</v>
      </c>
      <c r="F424" s="1314"/>
      <c r="G424" s="1314"/>
      <c r="H424" s="1314"/>
      <c r="I424" s="1274" t="str">
        <f t="shared" si="45"/>
        <v/>
      </c>
      <c r="J424" s="1314"/>
      <c r="K424" s="1314" t="str">
        <f t="shared" si="46"/>
        <v/>
      </c>
      <c r="L424" s="827" t="s">
        <v>1246</v>
      </c>
      <c r="M424" s="1314">
        <v>393</v>
      </c>
      <c r="N424" s="1314"/>
      <c r="O424" s="1311"/>
      <c r="P424" s="1311"/>
      <c r="Q424" s="1311"/>
      <c r="R424" s="1311"/>
      <c r="S424" s="1311"/>
      <c r="T424" s="1311"/>
      <c r="U424" s="1311"/>
      <c r="V424" s="1311"/>
      <c r="W424" s="1311"/>
      <c r="X424" s="1311"/>
      <c r="Y424" s="1311"/>
      <c r="Z424" s="1311"/>
    </row>
    <row r="425" spans="1:26" x14ac:dyDescent="0.25">
      <c r="A425" s="847" t="s">
        <v>1283</v>
      </c>
      <c r="B425" s="1274" t="str">
        <f ca="1">IF('Pricing Schedule'!$K$5="No",_xlfn.CONCAT(IFERROR(SUBSTITUTE(ADDRESS(1,MATCH(A425,INDIRECT("'"&amp;E425&amp;"'"&amp;"!A10:Z10"),0),4),1,""),""),30),_xlfn.CONCAT(IFERROR(SUBSTITUTE(ADDRESS(1,MATCH(A425,INDIRECT("'"&amp;E425&amp;"'"&amp;"!A10:Z10"),0),4),1,""),""),64))</f>
        <v>F30</v>
      </c>
      <c r="C425" s="1274" t="str">
        <f ca="1">IF('Pricing Schedule'!$K$5="No",IFERROR(SUBSTITUTE(ADDRESS(1,MATCH(A425,INDIRECT("'"&amp;E425&amp;"'"&amp;"!A10:Z10"),0),4),1,""),""),IFERROR(SUBSTITUTE(ADDRESS(1,MATCH(A425,INDIRECT("'"&amp;E425&amp;"'"&amp;"!A10:Z10"),0),4),1,""),""))</f>
        <v>F</v>
      </c>
      <c r="D425" s="791" t="s">
        <v>1357</v>
      </c>
      <c r="E425" s="791" t="s">
        <v>1279</v>
      </c>
      <c r="F425" s="1314"/>
      <c r="G425" s="1314"/>
      <c r="H425" s="1314"/>
      <c r="I425" s="1274" t="str">
        <f t="shared" si="45"/>
        <v/>
      </c>
      <c r="J425" s="1314"/>
      <c r="K425" s="1314" t="str">
        <f t="shared" si="46"/>
        <v/>
      </c>
      <c r="L425" s="827" t="s">
        <v>225</v>
      </c>
      <c r="M425" s="1314">
        <v>394</v>
      </c>
      <c r="N425" s="1314"/>
      <c r="O425" s="1311"/>
      <c r="P425" s="1311"/>
      <c r="Q425" s="1311"/>
      <c r="R425" s="1311"/>
      <c r="S425" s="1311"/>
      <c r="T425" s="1311"/>
      <c r="U425" s="1311"/>
      <c r="V425" s="1311"/>
      <c r="W425" s="1311"/>
      <c r="X425" s="1311"/>
      <c r="Y425" s="1311"/>
      <c r="Z425" s="1311"/>
    </row>
    <row r="426" spans="1:26" x14ac:dyDescent="0.25">
      <c r="A426" s="848" t="s">
        <v>463</v>
      </c>
      <c r="B426" s="1274" t="str">
        <f ca="1">_xlfn.CONCAT(IFERROR(SUBSTITUTE(ADDRESS(1,MATCH(A426,INDIRECT("'"&amp;E426&amp;"'"&amp;"!A9:Z9"),0),4),1,""),""),22)</f>
        <v>E22</v>
      </c>
      <c r="C426" s="1274" t="str">
        <f ca="1">_xlfn.CONCAT(IFERROR(SUBSTITUTE(ADDRESS(1,MATCH(A426,INDIRECT("'"&amp;E426&amp;"'"&amp;"!A9:Z9"),0),4),1,""),""))</f>
        <v>E</v>
      </c>
      <c r="D426" s="1314" t="s">
        <v>1357</v>
      </c>
      <c r="E426" s="791" t="s">
        <v>208</v>
      </c>
      <c r="F426" s="1314"/>
      <c r="G426" s="1314"/>
      <c r="H426" s="1314"/>
      <c r="I426" s="1274" t="str">
        <f t="shared" si="45"/>
        <v>Exclude PIM Classes Below</v>
      </c>
      <c r="J426" s="1314" t="str">
        <f t="shared" si="47"/>
        <v>F395</v>
      </c>
      <c r="K426" s="1314" t="str">
        <f t="shared" si="46"/>
        <v>PIM Model</v>
      </c>
      <c r="L426" s="827" t="s">
        <v>463</v>
      </c>
      <c r="M426" s="1314">
        <v>395</v>
      </c>
      <c r="N426" s="1314"/>
      <c r="O426" s="1311"/>
      <c r="P426" s="1311"/>
      <c r="Q426" s="1311"/>
      <c r="R426" s="1311"/>
      <c r="S426" s="1311"/>
      <c r="T426" s="1311"/>
      <c r="U426" s="1311"/>
      <c r="V426" s="1311"/>
      <c r="W426" s="1311"/>
      <c r="X426" s="1311"/>
      <c r="Y426" s="1311"/>
      <c r="Z426" s="1311"/>
    </row>
    <row r="427" spans="1:26" x14ac:dyDescent="0.25">
      <c r="A427" s="848" t="s">
        <v>1282</v>
      </c>
      <c r="B427" s="1274" t="str">
        <f ca="1">IF('Pricing Schedule'!$K$5="No",_xlfn.CONCAT(IFERROR(SUBSTITUTE(ADDRESS(1,MATCH(A427,INDIRECT("'"&amp;E427&amp;"'"&amp;"!A10:Z10"),0),4),1,""),""),30),_xlfn.CONCAT(IFERROR(SUBSTITUTE(ADDRESS(1,MATCH(A427,INDIRECT("'"&amp;E427&amp;"'"&amp;"!A10:Z10"),0),4),1,""),""),64))</f>
        <v>E30</v>
      </c>
      <c r="C427" s="1274" t="str">
        <f ca="1">IF('Pricing Schedule'!$K$5="No",IFERROR(SUBSTITUTE(ADDRESS(1,MATCH(A427,INDIRECT("'"&amp;E427&amp;"'"&amp;"!A10:Z10"),0),4),1,""),""),IFERROR(SUBSTITUTE(ADDRESS(1,MATCH(A427,INDIRECT("'"&amp;E427&amp;"'"&amp;"!A10:Z10"),0),4),1,""),""))</f>
        <v>E</v>
      </c>
      <c r="D427" s="791" t="s">
        <v>1357</v>
      </c>
      <c r="E427" s="791" t="s">
        <v>1279</v>
      </c>
      <c r="F427" s="1314"/>
      <c r="G427" s="1314"/>
      <c r="H427" s="1314"/>
      <c r="I427" s="1274" t="str">
        <f t="shared" si="45"/>
        <v>Special Pricing Code</v>
      </c>
      <c r="J427" s="1314" t="str">
        <f t="shared" si="47"/>
        <v>F396</v>
      </c>
      <c r="K427" s="1314" t="str">
        <f t="shared" si="46"/>
        <v>Pricing Schedule</v>
      </c>
      <c r="L427" s="827" t="s">
        <v>1282</v>
      </c>
      <c r="M427" s="1314">
        <v>396</v>
      </c>
      <c r="N427" s="1314"/>
      <c r="O427" s="1311"/>
      <c r="P427" s="1311"/>
      <c r="Q427" s="1311"/>
      <c r="R427" s="1311"/>
      <c r="S427" s="1311"/>
      <c r="T427" s="1311"/>
      <c r="U427" s="1311"/>
      <c r="V427" s="1311"/>
      <c r="W427" s="1311"/>
      <c r="X427" s="1311"/>
      <c r="Y427" s="1311"/>
      <c r="Z427" s="1311"/>
    </row>
    <row r="428" spans="1:26" x14ac:dyDescent="0.25">
      <c r="A428" s="848" t="s">
        <v>1284</v>
      </c>
      <c r="B428" s="1274" t="str">
        <f ca="1">IF('Pricing Schedule'!$K$5="No",_xlfn.CONCAT(IFERROR(SUBSTITUTE(ADDRESS(1,MATCH(A428,INDIRECT("'"&amp;E428&amp;"'"&amp;"!A10:Z10"),0),4),1,""),""),30),_xlfn.CONCAT(IFERROR(SUBSTITUTE(ADDRESS(1,MATCH(A428,INDIRECT("'"&amp;E428&amp;"'"&amp;"!A10:Z10"),0),4),1,""),""),64))</f>
        <v>G30</v>
      </c>
      <c r="C428" s="1274" t="str">
        <f ca="1">IF('Pricing Schedule'!$K$5="No",IFERROR(SUBSTITUTE(ADDRESS(1,MATCH(A428,INDIRECT("'"&amp;E428&amp;"'"&amp;"!A10:Z10"),0),4),1,""),""),IFERROR(SUBSTITUTE(ADDRESS(1,MATCH(A428,INDIRECT("'"&amp;E428&amp;"'"&amp;"!A10:Z10"),0),4),1,""),""))</f>
        <v>G</v>
      </c>
      <c r="D428" s="791" t="s">
        <v>1357</v>
      </c>
      <c r="E428" s="791" t="s">
        <v>1279</v>
      </c>
      <c r="F428" s="1097"/>
      <c r="G428" s="1314"/>
      <c r="H428" s="1314"/>
      <c r="I428" s="1274" t="str">
        <f t="shared" si="45"/>
        <v>EB Markup Amt</v>
      </c>
      <c r="J428" s="1314" t="str">
        <f t="shared" si="47"/>
        <v>F397</v>
      </c>
      <c r="K428" s="1314" t="str">
        <f t="shared" si="46"/>
        <v>Pricing Schedule</v>
      </c>
      <c r="L428" s="827" t="s">
        <v>1284</v>
      </c>
      <c r="M428" s="1314">
        <v>397</v>
      </c>
      <c r="N428" s="1314"/>
      <c r="O428" s="1311"/>
      <c r="P428" s="1311"/>
      <c r="Q428" s="1311"/>
      <c r="R428" s="1311"/>
      <c r="S428" s="1311"/>
      <c r="T428" s="1311"/>
      <c r="U428" s="1311"/>
      <c r="V428" s="1311"/>
      <c r="W428" s="1311"/>
      <c r="X428" s="1311"/>
      <c r="Y428" s="1311"/>
      <c r="Z428" s="1311"/>
    </row>
    <row r="429" spans="1:26" x14ac:dyDescent="0.25">
      <c r="A429" s="848" t="s">
        <v>1285</v>
      </c>
      <c r="B429" s="1274" t="str">
        <f ca="1">IF('Pricing Schedule'!$K$5="No",_xlfn.CONCAT(IFERROR(SUBSTITUTE(ADDRESS(1,MATCH(A429,INDIRECT("'"&amp;E429&amp;"'"&amp;"!A10:Z10"),0),4),1,""),""),30),_xlfn.CONCAT(IFERROR(SUBSTITUTE(ADDRESS(1,MATCH(A429,INDIRECT("'"&amp;E429&amp;"'"&amp;"!A10:Z10"),0),4),1,""),""),64))</f>
        <v>I30</v>
      </c>
      <c r="C429" s="1274" t="str">
        <f ca="1">IF('Pricing Schedule'!$K$5="No",IFERROR(SUBSTITUTE(ADDRESS(1,MATCH(A429,INDIRECT("'"&amp;E429&amp;"'"&amp;"!A10:Z10"),0),4),1,""),""),IFERROR(SUBSTITUTE(ADDRESS(1,MATCH(A429,INDIRECT("'"&amp;E429&amp;"'"&amp;"!A10:Z10"),0),4),1,""),""))</f>
        <v>I</v>
      </c>
      <c r="D429" s="791" t="s">
        <v>1357</v>
      </c>
      <c r="E429" s="791" t="s">
        <v>1279</v>
      </c>
      <c r="F429" s="1097"/>
      <c r="G429" s="1314"/>
      <c r="H429" s="1314"/>
      <c r="I429" s="1274" t="str">
        <f t="shared" si="45"/>
        <v>Min CS Markup Override Flag</v>
      </c>
      <c r="J429" s="1314" t="str">
        <f t="shared" si="47"/>
        <v>F398</v>
      </c>
      <c r="K429" s="1314" t="str">
        <f t="shared" si="46"/>
        <v>Pricing Schedule</v>
      </c>
      <c r="L429" s="827" t="s">
        <v>1285</v>
      </c>
      <c r="M429" s="1314">
        <v>398</v>
      </c>
      <c r="N429" s="1314"/>
      <c r="O429" s="1311"/>
      <c r="P429" s="1311"/>
      <c r="Q429" s="1311"/>
      <c r="R429" s="1311"/>
      <c r="S429" s="1311"/>
      <c r="T429" s="1311"/>
      <c r="U429" s="1311"/>
      <c r="V429" s="1311"/>
      <c r="W429" s="1311"/>
      <c r="X429" s="1311"/>
      <c r="Y429" s="1311"/>
      <c r="Z429" s="1311"/>
    </row>
    <row r="430" spans="1:26" x14ac:dyDescent="0.25">
      <c r="A430" s="848" t="s">
        <v>1286</v>
      </c>
      <c r="B430" s="1274" t="str">
        <f ca="1">IF('Pricing Schedule'!$K$5="No",_xlfn.CONCAT(IFERROR(SUBSTITUTE(ADDRESS(1,MATCH(A430,INDIRECT("'"&amp;E430&amp;"'"&amp;"!A10:Z10"),0),4),1,""),""),30),_xlfn.CONCAT(IFERROR(SUBSTITUTE(ADDRESS(1,MATCH(A430,INDIRECT("'"&amp;E430&amp;"'"&amp;"!A10:Z10"),0),4),1,""),""),64))</f>
        <v>J30</v>
      </c>
      <c r="C430" s="1274" t="str">
        <f ca="1">IF('Pricing Schedule'!$K$5="No",IFERROR(SUBSTITUTE(ADDRESS(1,MATCH(A430,INDIRECT("'"&amp;E430&amp;"'"&amp;"!A10:Z10"),0),4),1,""),""),IFERROR(SUBSTITUTE(ADDRESS(1,MATCH(A430,INDIRECT("'"&amp;E430&amp;"'"&amp;"!A10:Z10"),0),4),1,""),""))</f>
        <v>J</v>
      </c>
      <c r="D430" s="791" t="s">
        <v>1357</v>
      </c>
      <c r="E430" s="791" t="s">
        <v>1279</v>
      </c>
      <c r="F430" s="1097"/>
      <c r="G430" s="1314"/>
      <c r="H430" s="1314"/>
      <c r="I430" s="1274" t="str">
        <f t="shared" si="45"/>
        <v>Min CS Markup Amt</v>
      </c>
      <c r="J430" s="1314" t="str">
        <f t="shared" si="47"/>
        <v>F399</v>
      </c>
      <c r="K430" s="1314" t="str">
        <f t="shared" si="46"/>
        <v>Pricing Schedule</v>
      </c>
      <c r="L430" s="827" t="s">
        <v>1286</v>
      </c>
      <c r="M430" s="1314">
        <v>399</v>
      </c>
      <c r="N430" s="1314"/>
      <c r="O430" s="1311"/>
      <c r="P430" s="1311"/>
      <c r="Q430" s="1311"/>
      <c r="R430" s="1311"/>
      <c r="S430" s="1311"/>
      <c r="T430" s="1311"/>
      <c r="U430" s="1311"/>
      <c r="V430" s="1311"/>
      <c r="W430" s="1311"/>
      <c r="X430" s="1311"/>
      <c r="Y430" s="1311"/>
      <c r="Z430" s="1311"/>
    </row>
    <row r="431" spans="1:26" x14ac:dyDescent="0.25">
      <c r="A431" s="848" t="s">
        <v>1287</v>
      </c>
      <c r="B431" s="1274" t="str">
        <f ca="1">IF('Pricing Schedule'!$K$5="No",_xlfn.CONCAT(IFERROR(SUBSTITUTE(ADDRESS(1,MATCH(A431,INDIRECT("'"&amp;E431&amp;"'"&amp;"!A10:Z10"),0),4),1,""),""),30),_xlfn.CONCAT(IFERROR(SUBSTITUTE(ADDRESS(1,MATCH(A431,INDIRECT("'"&amp;E431&amp;"'"&amp;"!A10:Z10"),0),4),1,""),""),64))</f>
        <v>K30</v>
      </c>
      <c r="C431" s="1274" t="str">
        <f ca="1">IF('Pricing Schedule'!$K$5="No",IFERROR(SUBSTITUTE(ADDRESS(1,MATCH(A431,INDIRECT("'"&amp;E431&amp;"'"&amp;"!A10:Z10"),0),4),1,""),""),IFERROR(SUBSTITUTE(ADDRESS(1,MATCH(A431,INDIRECT("'"&amp;E431&amp;"'"&amp;"!A10:Z10"),0),4),1,""),""))</f>
        <v>K</v>
      </c>
      <c r="D431" s="791" t="s">
        <v>1357</v>
      </c>
      <c r="E431" s="791" t="s">
        <v>1279</v>
      </c>
      <c r="F431" s="1097"/>
      <c r="G431" s="1314"/>
      <c r="H431" s="1314"/>
      <c r="I431" s="1274" t="str">
        <f t="shared" si="45"/>
        <v>Split Case Fee Override Flag</v>
      </c>
      <c r="J431" s="1314" t="str">
        <f t="shared" si="47"/>
        <v>F400</v>
      </c>
      <c r="K431" s="1314" t="str">
        <f t="shared" si="46"/>
        <v>Pricing Schedule</v>
      </c>
      <c r="L431" s="827" t="s">
        <v>1287</v>
      </c>
      <c r="M431" s="1314">
        <v>400</v>
      </c>
      <c r="N431" s="1314"/>
      <c r="O431" s="1311"/>
      <c r="P431" s="1311"/>
      <c r="Q431" s="1311"/>
      <c r="R431" s="1311"/>
      <c r="S431" s="1311"/>
      <c r="T431" s="1311"/>
      <c r="U431" s="1311"/>
      <c r="V431" s="1311"/>
      <c r="W431" s="1311"/>
      <c r="X431" s="1311"/>
      <c r="Y431" s="1311"/>
      <c r="Z431" s="1311"/>
    </row>
    <row r="432" spans="1:26" x14ac:dyDescent="0.25">
      <c r="A432" s="848" t="s">
        <v>1288</v>
      </c>
      <c r="B432" s="1274" t="str">
        <f ca="1">IF('Pricing Schedule'!$K$5="No",_xlfn.CONCAT(IFERROR(SUBSTITUTE(ADDRESS(1,MATCH(A432,INDIRECT("'"&amp;E432&amp;"'"&amp;"!A10:Z10"),0),4),1,""),""),30),_xlfn.CONCAT(IFERROR(SUBSTITUTE(ADDRESS(1,MATCH(A432,INDIRECT("'"&amp;E432&amp;"'"&amp;"!A10:Z10"),0),4),1,""),""),64))</f>
        <v>L30</v>
      </c>
      <c r="C432" s="1274" t="str">
        <f ca="1">IF('Pricing Schedule'!$K$5="No",IFERROR(SUBSTITUTE(ADDRESS(1,MATCH(A432,INDIRECT("'"&amp;E432&amp;"'"&amp;"!A10:Z10"),0),4),1,""),""),IFERROR(SUBSTITUTE(ADDRESS(1,MATCH(A432,INDIRECT("'"&amp;E432&amp;"'"&amp;"!A10:Z10"),0),4),1,""),""))</f>
        <v>L</v>
      </c>
      <c r="D432" s="791" t="s">
        <v>1357</v>
      </c>
      <c r="E432" s="791" t="s">
        <v>1279</v>
      </c>
      <c r="F432" s="1097"/>
      <c r="G432" s="1314"/>
      <c r="H432" s="1314"/>
      <c r="I432" s="1274" t="str">
        <f t="shared" si="45"/>
        <v>Split Case Fee</v>
      </c>
      <c r="J432" s="1314" t="str">
        <f t="shared" si="47"/>
        <v>F401</v>
      </c>
      <c r="K432" s="1314" t="str">
        <f t="shared" si="46"/>
        <v>Pricing Schedule</v>
      </c>
      <c r="L432" s="827" t="s">
        <v>1288</v>
      </c>
      <c r="M432" s="1314">
        <v>401</v>
      </c>
      <c r="N432" s="1314"/>
      <c r="O432" s="1311"/>
      <c r="P432" s="1311"/>
      <c r="Q432" s="1311"/>
      <c r="R432" s="1311"/>
      <c r="S432" s="1311"/>
      <c r="T432" s="1311"/>
      <c r="U432" s="1311"/>
      <c r="V432" s="1311"/>
      <c r="W432" s="1311"/>
      <c r="X432" s="1311"/>
      <c r="Y432" s="1311"/>
      <c r="Z432" s="1311"/>
    </row>
    <row r="433" spans="1:26" x14ac:dyDescent="0.25">
      <c r="A433" s="848" t="s">
        <v>1228</v>
      </c>
      <c r="B433" s="1274" t="str">
        <f ca="1">IF('Pricing Schedule'!$K$5="No",_xlfn.CONCAT(IFERROR(SUBSTITUTE(ADDRESS(1,MATCH(A433,INDIRECT("'"&amp;E433&amp;"'"&amp;"!A10:Z10"),0),4),1,""),""),30),_xlfn.CONCAT(IFERROR(SUBSTITUTE(ADDRESS(1,MATCH(A433,INDIRECT("'"&amp;E433&amp;"'"&amp;"!A10:Z10"),0),4),1,""),""),64))</f>
        <v>M30</v>
      </c>
      <c r="C433" s="1274" t="str">
        <f ca="1">IF('Pricing Schedule'!$K$5="No",IFERROR(SUBSTITUTE(ADDRESS(1,MATCH(A433,INDIRECT("'"&amp;E433&amp;"'"&amp;"!A10:Z10"),0),4),1,""),""),IFERROR(SUBSTITUTE(ADDRESS(1,MATCH(A433,INDIRECT("'"&amp;E433&amp;"'"&amp;"!A10:Z10"),0),4),1,""),""))</f>
        <v>M</v>
      </c>
      <c r="D433" s="791" t="s">
        <v>1357</v>
      </c>
      <c r="E433" s="791" t="s">
        <v>1279</v>
      </c>
      <c r="F433" s="1097"/>
      <c r="G433" s="1314"/>
      <c r="H433" s="1314"/>
      <c r="I433" s="1274" t="str">
        <f t="shared" si="45"/>
        <v>Split Case Per</v>
      </c>
      <c r="J433" s="1314" t="str">
        <f t="shared" si="47"/>
        <v>F402</v>
      </c>
      <c r="K433" s="1314" t="str">
        <f t="shared" si="46"/>
        <v>Pricing Schedule</v>
      </c>
      <c r="L433" s="827" t="s">
        <v>1228</v>
      </c>
      <c r="M433" s="1314">
        <v>402</v>
      </c>
      <c r="N433" s="1314"/>
      <c r="O433" s="1311"/>
      <c r="P433" s="1311"/>
      <c r="Q433" s="1311"/>
      <c r="R433" s="1311"/>
      <c r="S433" s="1311"/>
      <c r="T433" s="1311"/>
      <c r="U433" s="1311"/>
      <c r="V433" s="1311"/>
      <c r="W433" s="1311"/>
      <c r="X433" s="1311"/>
      <c r="Y433" s="1311"/>
      <c r="Z433" s="1311"/>
    </row>
    <row r="434" spans="1:26" x14ac:dyDescent="0.25">
      <c r="A434" s="849" t="s">
        <v>1289</v>
      </c>
      <c r="B434" s="1274" t="str">
        <f ca="1">IF('Pricing Schedule'!$K$5="No",_xlfn.CONCAT(IFERROR(SUBSTITUTE(ADDRESS(1,MATCH(A434,INDIRECT("'"&amp;E434&amp;"'"&amp;"!A10:Z10"),0),4),1,""),""),23),_xlfn.CONCAT(IFERROR(SUBSTITUTE(ADDRESS(1,MATCH(A434,INDIRECT("'"&amp;E434&amp;"'"&amp;"!A10:Z10"),0),4),1,""),""),57))</f>
        <v>N23</v>
      </c>
      <c r="C434" s="1274" t="str">
        <f ca="1">IF('Pricing Schedule'!$K$5="No",IFERROR(SUBSTITUTE(ADDRESS(1,MATCH(A434,INDIRECT("'"&amp;E434&amp;"'"&amp;"!A10:Z10"),0),4),1,""),""),IFERROR(SUBSTITUTE(ADDRESS(1,MATCH(A434,INDIRECT("'"&amp;E434&amp;"'"&amp;"!A10:Z10"),0),4),1,""),""))</f>
        <v>N</v>
      </c>
      <c r="D434" s="791" t="s">
        <v>1357</v>
      </c>
      <c r="E434" s="791" t="s">
        <v>1279</v>
      </c>
      <c r="F434" s="1314"/>
      <c r="G434" s="1314"/>
      <c r="H434" s="1314"/>
      <c r="I434" s="1274" t="str">
        <f t="shared" si="45"/>
        <v/>
      </c>
      <c r="J434" s="1314"/>
      <c r="K434" s="1314" t="str">
        <f t="shared" si="46"/>
        <v/>
      </c>
      <c r="L434" s="827" t="s">
        <v>1289</v>
      </c>
      <c r="M434" s="1314">
        <v>403</v>
      </c>
      <c r="N434" s="1314"/>
      <c r="O434" s="1311"/>
      <c r="P434" s="1311"/>
      <c r="Q434" s="1311"/>
      <c r="R434" s="1311"/>
      <c r="S434" s="1311"/>
      <c r="T434" s="1311"/>
      <c r="U434" s="1311"/>
      <c r="V434" s="1311"/>
      <c r="W434" s="1311"/>
      <c r="X434" s="1311"/>
      <c r="Y434" s="1311"/>
      <c r="Z434" s="1311"/>
    </row>
    <row r="435" spans="1:26" x14ac:dyDescent="0.25">
      <c r="A435" s="850" t="s">
        <v>1280</v>
      </c>
      <c r="B435" s="1274" t="str">
        <f ca="1">IF('Pricing Schedule'!$K$5="No",_xlfn.CONCAT(IFERROR(SUBSTITUTE(ADDRESS(1,MATCH(A435,INDIRECT("'"&amp;E435&amp;"'"&amp;"!A10:Z10"),0),4),1,""),""),23),_xlfn.CONCAT(IFERROR(SUBSTITUTE(ADDRESS(1,MATCH(A435,INDIRECT("'"&amp;E435&amp;"'"&amp;"!A10:Z10"),0),4),1,""),""),57))</f>
        <v>C23</v>
      </c>
      <c r="C435" s="1274" t="str">
        <f ca="1">IF('Pricing Schedule'!$K$5="No",IFERROR(SUBSTITUTE(ADDRESS(1,MATCH(A435,INDIRECT("'"&amp;E435&amp;"'"&amp;"!A10:Z10"),0),4),1,""),""),IFERROR(SUBSTITUTE(ADDRESS(1,MATCH(A435,INDIRECT("'"&amp;E435&amp;"'"&amp;"!A10:Z10"),0),4),1,""),""))</f>
        <v>C</v>
      </c>
      <c r="D435" s="791" t="s">
        <v>1357</v>
      </c>
      <c r="E435" s="791" t="s">
        <v>1279</v>
      </c>
      <c r="F435" s="1314"/>
      <c r="G435" s="1314"/>
      <c r="H435" s="1314"/>
      <c r="I435" s="1274" t="str">
        <f t="shared" si="45"/>
        <v/>
      </c>
      <c r="J435" s="1314"/>
      <c r="K435" s="1314" t="str">
        <f t="shared" si="46"/>
        <v/>
      </c>
      <c r="L435" s="827" t="s">
        <v>252</v>
      </c>
      <c r="M435" s="1314">
        <v>404</v>
      </c>
      <c r="N435" s="1314"/>
      <c r="O435" s="1311"/>
      <c r="P435" s="1311"/>
      <c r="Q435" s="1311"/>
      <c r="R435" s="1311"/>
      <c r="S435" s="1311"/>
      <c r="T435" s="1311"/>
      <c r="U435" s="1311"/>
      <c r="V435" s="1311"/>
      <c r="W435" s="1311"/>
      <c r="X435" s="1311"/>
      <c r="Y435" s="1311"/>
      <c r="Z435" s="1311"/>
    </row>
    <row r="436" spans="1:26" x14ac:dyDescent="0.25">
      <c r="A436" s="850" t="s">
        <v>1246</v>
      </c>
      <c r="B436" s="1274" t="str">
        <f ca="1">IF('Pricing Schedule'!$K$5="No",_xlfn.CONCAT(IFERROR(SUBSTITUTE(ADDRESS(1,MATCH(A436,INDIRECT("'"&amp;E436&amp;"'"&amp;"!A10:Z10"),0),4),1,""),""),23),_xlfn.CONCAT(IFERROR(SUBSTITUTE(ADDRESS(1,MATCH(A436,INDIRECT("'"&amp;E436&amp;"'"&amp;"!A10:Z10"),0),4),1,""),""),57))</f>
        <v>H23</v>
      </c>
      <c r="C436" s="1274" t="str">
        <f ca="1">IF('Pricing Schedule'!$K$5="No",IFERROR(SUBSTITUTE(ADDRESS(1,MATCH(A436,INDIRECT("'"&amp;E436&amp;"'"&amp;"!A10:Z10"),0),4),1,""),""),IFERROR(SUBSTITUTE(ADDRESS(1,MATCH(A436,INDIRECT("'"&amp;E436&amp;"'"&amp;"!A10:Z10"),0),4),1,""),""))</f>
        <v>H</v>
      </c>
      <c r="D436" s="791" t="s">
        <v>1357</v>
      </c>
      <c r="E436" s="791" t="s">
        <v>1279</v>
      </c>
      <c r="F436" s="1314"/>
      <c r="G436" s="1314"/>
      <c r="H436" s="1314"/>
      <c r="I436" s="1274" t="str">
        <f t="shared" si="45"/>
        <v/>
      </c>
      <c r="J436" s="1314"/>
      <c r="K436" s="1314" t="str">
        <f t="shared" si="46"/>
        <v/>
      </c>
      <c r="L436" s="827" t="s">
        <v>1246</v>
      </c>
      <c r="M436" s="1314">
        <v>405</v>
      </c>
      <c r="N436" s="1314"/>
      <c r="O436" s="1311"/>
      <c r="P436" s="1311"/>
      <c r="Q436" s="1311"/>
      <c r="R436" s="1311"/>
      <c r="S436" s="1311"/>
      <c r="T436" s="1311"/>
      <c r="U436" s="1311"/>
      <c r="V436" s="1311"/>
      <c r="W436" s="1311"/>
      <c r="X436" s="1311"/>
      <c r="Y436" s="1311"/>
      <c r="Z436" s="1311"/>
    </row>
    <row r="437" spans="1:26" x14ac:dyDescent="0.25">
      <c r="A437" s="850" t="s">
        <v>1283</v>
      </c>
      <c r="B437" s="1274" t="str">
        <f ca="1">IF('Pricing Schedule'!$K$5="No",_xlfn.CONCAT(IFERROR(SUBSTITUTE(ADDRESS(1,MATCH(A437,INDIRECT("'"&amp;E437&amp;"'"&amp;"!A10:Z10"),0),4),1,""),""),23),_xlfn.CONCAT(IFERROR(SUBSTITUTE(ADDRESS(1,MATCH(A437,INDIRECT("'"&amp;E437&amp;"'"&amp;"!A10:Z10"),0),4),1,""),""),57))</f>
        <v>F23</v>
      </c>
      <c r="C437" s="1274" t="str">
        <f ca="1">IF('Pricing Schedule'!$K$5="No",IFERROR(SUBSTITUTE(ADDRESS(1,MATCH(A437,INDIRECT("'"&amp;E437&amp;"'"&amp;"!A10:Z10"),0),4),1,""),""),IFERROR(SUBSTITUTE(ADDRESS(1,MATCH(A437,INDIRECT("'"&amp;E437&amp;"'"&amp;"!A10:Z10"),0),4),1,""),""))</f>
        <v>F</v>
      </c>
      <c r="D437" s="791" t="s">
        <v>1357</v>
      </c>
      <c r="E437" s="791" t="s">
        <v>1279</v>
      </c>
      <c r="F437" s="1314"/>
      <c r="G437" s="1314"/>
      <c r="H437" s="1314"/>
      <c r="I437" s="1274" t="str">
        <f t="shared" si="45"/>
        <v/>
      </c>
      <c r="J437" s="1314"/>
      <c r="K437" s="1314" t="str">
        <f t="shared" si="46"/>
        <v/>
      </c>
      <c r="L437" s="827" t="s">
        <v>225</v>
      </c>
      <c r="M437" s="1314">
        <v>406</v>
      </c>
      <c r="N437" s="1314"/>
      <c r="O437" s="1311"/>
      <c r="P437" s="1311"/>
      <c r="Q437" s="1311"/>
      <c r="R437" s="1311"/>
      <c r="S437" s="1311"/>
      <c r="T437" s="1311"/>
      <c r="U437" s="1311"/>
      <c r="V437" s="1311"/>
      <c r="W437" s="1311"/>
      <c r="X437" s="1311"/>
      <c r="Y437" s="1311"/>
      <c r="Z437" s="1311"/>
    </row>
    <row r="438" spans="1:26" x14ac:dyDescent="0.25">
      <c r="A438" s="851" t="s">
        <v>463</v>
      </c>
      <c r="B438" s="1274" t="str">
        <f ca="1">_xlfn.CONCAT(IFERROR(SUBSTITUTE(ADDRESS(1,MATCH(A438,INDIRECT("'"&amp;E438&amp;"'"&amp;"!A9:Z9"),0),4),1,""),""),23)</f>
        <v>E23</v>
      </c>
      <c r="C438" s="1274" t="str">
        <f ca="1">_xlfn.CONCAT(IFERROR(SUBSTITUTE(ADDRESS(1,MATCH(A438,INDIRECT("'"&amp;E438&amp;"'"&amp;"!A9:Z9"),0),4),1,""),""))</f>
        <v>E</v>
      </c>
      <c r="D438" s="1314" t="s">
        <v>1357</v>
      </c>
      <c r="E438" s="791" t="s">
        <v>208</v>
      </c>
      <c r="F438" s="1314"/>
      <c r="G438" s="1314"/>
      <c r="H438" s="1314"/>
      <c r="I438" s="1274" t="str">
        <f t="shared" si="45"/>
        <v>Exclude PIM Classes Below</v>
      </c>
      <c r="J438" s="1314" t="str">
        <f t="shared" si="47"/>
        <v>F407</v>
      </c>
      <c r="K438" s="1314" t="str">
        <f t="shared" si="46"/>
        <v>PIM Model</v>
      </c>
      <c r="L438" s="827" t="s">
        <v>463</v>
      </c>
      <c r="M438" s="1314">
        <v>407</v>
      </c>
      <c r="N438" s="1314"/>
      <c r="O438" s="1311"/>
      <c r="P438" s="1311"/>
      <c r="Q438" s="1311"/>
      <c r="R438" s="1311"/>
      <c r="S438" s="1311"/>
      <c r="T438" s="1311"/>
      <c r="U438" s="1311"/>
      <c r="V438" s="1311"/>
      <c r="W438" s="1311"/>
      <c r="X438" s="1311"/>
      <c r="Y438" s="1311"/>
      <c r="Z438" s="1311"/>
    </row>
    <row r="439" spans="1:26" x14ac:dyDescent="0.25">
      <c r="A439" s="851" t="s">
        <v>1282</v>
      </c>
      <c r="B439" s="1274" t="str">
        <f ca="1">IF('Pricing Schedule'!$K$5="No",_xlfn.CONCAT(IFERROR(SUBSTITUTE(ADDRESS(1,MATCH(A439,INDIRECT("'"&amp;E439&amp;"'"&amp;"!A10:Z10"),0),4),1,""),""),23),_xlfn.CONCAT(IFERROR(SUBSTITUTE(ADDRESS(1,MATCH(A439,INDIRECT("'"&amp;E439&amp;"'"&amp;"!A10:Z10"),0),4),1,""),""),57))</f>
        <v>E23</v>
      </c>
      <c r="C439" s="1274" t="str">
        <f ca="1">IF('Pricing Schedule'!$K$5="No",IFERROR(SUBSTITUTE(ADDRESS(1,MATCH(A439,INDIRECT("'"&amp;E439&amp;"'"&amp;"!A10:Z10"),0),4),1,""),""),IFERROR(SUBSTITUTE(ADDRESS(1,MATCH(A439,INDIRECT("'"&amp;E439&amp;"'"&amp;"!A10:Z10"),0),4),1,""),""))</f>
        <v>E</v>
      </c>
      <c r="D439" s="791" t="s">
        <v>1357</v>
      </c>
      <c r="E439" s="791" t="s">
        <v>1279</v>
      </c>
      <c r="F439" s="1314"/>
      <c r="G439" s="1314"/>
      <c r="H439" s="1314"/>
      <c r="I439" s="1274" t="str">
        <f t="shared" si="45"/>
        <v>Special Pricing Code</v>
      </c>
      <c r="J439" s="1314" t="str">
        <f t="shared" si="47"/>
        <v>F408</v>
      </c>
      <c r="K439" s="1314" t="str">
        <f t="shared" si="46"/>
        <v>Pricing Schedule</v>
      </c>
      <c r="L439" s="827" t="s">
        <v>1282</v>
      </c>
      <c r="M439" s="1314">
        <v>408</v>
      </c>
      <c r="N439" s="1314"/>
      <c r="O439" s="1311"/>
      <c r="P439" s="1311"/>
      <c r="Q439" s="1311"/>
      <c r="R439" s="1311"/>
      <c r="S439" s="1311"/>
      <c r="T439" s="1311"/>
      <c r="U439" s="1311"/>
      <c r="V439" s="1311"/>
      <c r="W439" s="1311"/>
      <c r="X439" s="1311"/>
      <c r="Y439" s="1311"/>
      <c r="Z439" s="1311"/>
    </row>
    <row r="440" spans="1:26" x14ac:dyDescent="0.25">
      <c r="A440" s="851" t="s">
        <v>1284</v>
      </c>
      <c r="B440" s="1274" t="str">
        <f ca="1">IF('Pricing Schedule'!$K$5="No",_xlfn.CONCAT(IFERROR(SUBSTITUTE(ADDRESS(1,MATCH(A440,INDIRECT("'"&amp;E440&amp;"'"&amp;"!A10:Z10"),0),4),1,""),""),23),_xlfn.CONCAT(IFERROR(SUBSTITUTE(ADDRESS(1,MATCH(A440,INDIRECT("'"&amp;E440&amp;"'"&amp;"!A10:Z10"),0),4),1,""),""),57))</f>
        <v>G23</v>
      </c>
      <c r="C440" s="1274" t="str">
        <f ca="1">IF('Pricing Schedule'!$K$5="No",IFERROR(SUBSTITUTE(ADDRESS(1,MATCH(A440,INDIRECT("'"&amp;E440&amp;"'"&amp;"!A10:Z10"),0),4),1,""),""),IFERROR(SUBSTITUTE(ADDRESS(1,MATCH(A440,INDIRECT("'"&amp;E440&amp;"'"&amp;"!A10:Z10"),0),4),1,""),""))</f>
        <v>G</v>
      </c>
      <c r="D440" s="791" t="s">
        <v>1357</v>
      </c>
      <c r="E440" s="791" t="s">
        <v>1279</v>
      </c>
      <c r="F440" s="1097"/>
      <c r="G440" s="1314"/>
      <c r="H440" s="1314"/>
      <c r="I440" s="1274" t="str">
        <f t="shared" si="45"/>
        <v>EB Markup Amt</v>
      </c>
      <c r="J440" s="1314" t="str">
        <f t="shared" si="47"/>
        <v>F409</v>
      </c>
      <c r="K440" s="1314" t="str">
        <f t="shared" si="46"/>
        <v>Pricing Schedule</v>
      </c>
      <c r="L440" s="827" t="s">
        <v>1284</v>
      </c>
      <c r="M440" s="1314">
        <v>409</v>
      </c>
      <c r="N440" s="1314"/>
      <c r="O440" s="1311"/>
      <c r="P440" s="1311"/>
      <c r="Q440" s="1311"/>
      <c r="R440" s="1311"/>
      <c r="S440" s="1311"/>
      <c r="T440" s="1311"/>
      <c r="U440" s="1311"/>
      <c r="V440" s="1311"/>
      <c r="W440" s="1311"/>
      <c r="X440" s="1311"/>
      <c r="Y440" s="1311"/>
      <c r="Z440" s="1311"/>
    </row>
    <row r="441" spans="1:26" x14ac:dyDescent="0.25">
      <c r="A441" s="851" t="s">
        <v>1285</v>
      </c>
      <c r="B441" s="1274" t="str">
        <f ca="1">IF('Pricing Schedule'!$K$5="No",_xlfn.CONCAT(IFERROR(SUBSTITUTE(ADDRESS(1,MATCH(A441,INDIRECT("'"&amp;E441&amp;"'"&amp;"!A10:Z10"),0),4),1,""),""),23),_xlfn.CONCAT(IFERROR(SUBSTITUTE(ADDRESS(1,MATCH(A441,INDIRECT("'"&amp;E441&amp;"'"&amp;"!A10:Z10"),0),4),1,""),""),57))</f>
        <v>I23</v>
      </c>
      <c r="C441" s="1274" t="str">
        <f ca="1">IF('Pricing Schedule'!$K$5="No",IFERROR(SUBSTITUTE(ADDRESS(1,MATCH(A441,INDIRECT("'"&amp;E441&amp;"'"&amp;"!A10:Z10"),0),4),1,""),""),IFERROR(SUBSTITUTE(ADDRESS(1,MATCH(A441,INDIRECT("'"&amp;E441&amp;"'"&amp;"!A10:Z10"),0),4),1,""),""))</f>
        <v>I</v>
      </c>
      <c r="D441" s="791" t="s">
        <v>1357</v>
      </c>
      <c r="E441" s="791" t="s">
        <v>1279</v>
      </c>
      <c r="F441" s="1097"/>
      <c r="G441" s="1314"/>
      <c r="H441" s="1314"/>
      <c r="I441" s="1274" t="str">
        <f t="shared" si="45"/>
        <v>Min CS Markup Override Flag</v>
      </c>
      <c r="J441" s="1314" t="str">
        <f t="shared" si="47"/>
        <v>F410</v>
      </c>
      <c r="K441" s="1314" t="str">
        <f t="shared" si="46"/>
        <v>Pricing Schedule</v>
      </c>
      <c r="L441" s="827" t="s">
        <v>1285</v>
      </c>
      <c r="M441" s="1314">
        <v>410</v>
      </c>
      <c r="N441" s="1314"/>
      <c r="O441" s="1311"/>
      <c r="P441" s="1311"/>
      <c r="Q441" s="1311"/>
      <c r="R441" s="1311"/>
      <c r="S441" s="1311"/>
      <c r="T441" s="1311"/>
      <c r="U441" s="1311"/>
      <c r="V441" s="1311"/>
      <c r="W441" s="1311"/>
      <c r="X441" s="1311"/>
      <c r="Y441" s="1311"/>
      <c r="Z441" s="1311"/>
    </row>
    <row r="442" spans="1:26" x14ac:dyDescent="0.25">
      <c r="A442" s="851" t="s">
        <v>1286</v>
      </c>
      <c r="B442" s="1274" t="str">
        <f ca="1">IF('Pricing Schedule'!$K$5="No",_xlfn.CONCAT(IFERROR(SUBSTITUTE(ADDRESS(1,MATCH(A442,INDIRECT("'"&amp;E442&amp;"'"&amp;"!A10:Z10"),0),4),1,""),""),23),_xlfn.CONCAT(IFERROR(SUBSTITUTE(ADDRESS(1,MATCH(A442,INDIRECT("'"&amp;E442&amp;"'"&amp;"!A10:Z10"),0),4),1,""),""),57))</f>
        <v>J23</v>
      </c>
      <c r="C442" s="1274" t="str">
        <f ca="1">IF('Pricing Schedule'!$K$5="No",IFERROR(SUBSTITUTE(ADDRESS(1,MATCH(A442,INDIRECT("'"&amp;E442&amp;"'"&amp;"!A10:Z10"),0),4),1,""),""),IFERROR(SUBSTITUTE(ADDRESS(1,MATCH(A442,INDIRECT("'"&amp;E442&amp;"'"&amp;"!A10:Z10"),0),4),1,""),""))</f>
        <v>J</v>
      </c>
      <c r="D442" s="791" t="s">
        <v>1357</v>
      </c>
      <c r="E442" s="791" t="s">
        <v>1279</v>
      </c>
      <c r="F442" s="1097"/>
      <c r="G442" s="1314"/>
      <c r="H442" s="1314"/>
      <c r="I442" s="1274" t="str">
        <f t="shared" si="45"/>
        <v>Min CS Markup Amt</v>
      </c>
      <c r="J442" s="1314" t="str">
        <f t="shared" si="47"/>
        <v>F411</v>
      </c>
      <c r="K442" s="1314" t="str">
        <f t="shared" si="46"/>
        <v>Pricing Schedule</v>
      </c>
      <c r="L442" s="827" t="s">
        <v>1286</v>
      </c>
      <c r="M442" s="1314">
        <v>411</v>
      </c>
      <c r="N442" s="1314"/>
      <c r="O442" s="1311"/>
      <c r="P442" s="1311"/>
      <c r="Q442" s="1311"/>
      <c r="R442" s="1311"/>
      <c r="S442" s="1311"/>
      <c r="T442" s="1311"/>
      <c r="U442" s="1311"/>
      <c r="V442" s="1311"/>
      <c r="W442" s="1311"/>
      <c r="X442" s="1311"/>
      <c r="Y442" s="1311"/>
      <c r="Z442" s="1311"/>
    </row>
    <row r="443" spans="1:26" x14ac:dyDescent="0.25">
      <c r="A443" s="851" t="s">
        <v>1287</v>
      </c>
      <c r="B443" s="1274" t="str">
        <f ca="1">IF('Pricing Schedule'!$K$5="No",_xlfn.CONCAT(IFERROR(SUBSTITUTE(ADDRESS(1,MATCH(A443,INDIRECT("'"&amp;E443&amp;"'"&amp;"!A10:Z10"),0),4),1,""),""),23),_xlfn.CONCAT(IFERROR(SUBSTITUTE(ADDRESS(1,MATCH(A443,INDIRECT("'"&amp;E443&amp;"'"&amp;"!A10:Z10"),0),4),1,""),""),57))</f>
        <v>K23</v>
      </c>
      <c r="C443" s="1274" t="str">
        <f ca="1">IF('Pricing Schedule'!$K$5="No",IFERROR(SUBSTITUTE(ADDRESS(1,MATCH(A443,INDIRECT("'"&amp;E443&amp;"'"&amp;"!A10:Z10"),0),4),1,""),""),IFERROR(SUBSTITUTE(ADDRESS(1,MATCH(A443,INDIRECT("'"&amp;E443&amp;"'"&amp;"!A10:Z10"),0),4),1,""),""))</f>
        <v>K</v>
      </c>
      <c r="D443" s="791" t="s">
        <v>1357</v>
      </c>
      <c r="E443" s="791" t="s">
        <v>1279</v>
      </c>
      <c r="F443" s="1097"/>
      <c r="G443" s="1314"/>
      <c r="H443" s="1314"/>
      <c r="I443" s="1274" t="str">
        <f t="shared" si="45"/>
        <v>Split Case Fee Override Flag</v>
      </c>
      <c r="J443" s="1314" t="str">
        <f t="shared" si="47"/>
        <v>F412</v>
      </c>
      <c r="K443" s="1314" t="str">
        <f t="shared" si="46"/>
        <v>Pricing Schedule</v>
      </c>
      <c r="L443" s="827" t="s">
        <v>1287</v>
      </c>
      <c r="M443" s="1314">
        <v>412</v>
      </c>
      <c r="N443" s="1314"/>
      <c r="O443" s="1311"/>
      <c r="P443" s="1311"/>
      <c r="Q443" s="1311"/>
      <c r="R443" s="1311"/>
      <c r="S443" s="1311"/>
      <c r="T443" s="1311"/>
      <c r="U443" s="1311"/>
      <c r="V443" s="1311"/>
      <c r="W443" s="1311"/>
      <c r="X443" s="1311"/>
      <c r="Y443" s="1311"/>
      <c r="Z443" s="1311"/>
    </row>
    <row r="444" spans="1:26" x14ac:dyDescent="0.25">
      <c r="A444" s="851" t="s">
        <v>1288</v>
      </c>
      <c r="B444" s="1274" t="str">
        <f ca="1">IF('Pricing Schedule'!$K$5="No",_xlfn.CONCAT(IFERROR(SUBSTITUTE(ADDRESS(1,MATCH(A444,INDIRECT("'"&amp;E444&amp;"'"&amp;"!A10:Z10"),0),4),1,""),""),23),_xlfn.CONCAT(IFERROR(SUBSTITUTE(ADDRESS(1,MATCH(A444,INDIRECT("'"&amp;E444&amp;"'"&amp;"!A10:Z10"),0),4),1,""),""),57))</f>
        <v>L23</v>
      </c>
      <c r="C444" s="1274" t="str">
        <f ca="1">IF('Pricing Schedule'!$K$5="No",IFERROR(SUBSTITUTE(ADDRESS(1,MATCH(A444,INDIRECT("'"&amp;E444&amp;"'"&amp;"!A10:Z10"),0),4),1,""),""),IFERROR(SUBSTITUTE(ADDRESS(1,MATCH(A444,INDIRECT("'"&amp;E444&amp;"'"&amp;"!A10:Z10"),0),4),1,""),""))</f>
        <v>L</v>
      </c>
      <c r="D444" s="791" t="s">
        <v>1357</v>
      </c>
      <c r="E444" s="791" t="s">
        <v>1279</v>
      </c>
      <c r="F444" s="1097"/>
      <c r="G444" s="1314"/>
      <c r="H444" s="1314"/>
      <c r="I444" s="1274" t="str">
        <f t="shared" si="45"/>
        <v>Split Case Fee</v>
      </c>
      <c r="J444" s="1314" t="str">
        <f t="shared" si="47"/>
        <v>F413</v>
      </c>
      <c r="K444" s="1314" t="str">
        <f t="shared" si="46"/>
        <v>Pricing Schedule</v>
      </c>
      <c r="L444" s="827" t="s">
        <v>1288</v>
      </c>
      <c r="M444" s="1314">
        <v>413</v>
      </c>
      <c r="N444" s="1314"/>
      <c r="O444" s="1311"/>
      <c r="P444" s="1311"/>
      <c r="Q444" s="1311"/>
      <c r="R444" s="1311"/>
      <c r="S444" s="1311"/>
      <c r="T444" s="1311"/>
      <c r="U444" s="1311"/>
      <c r="V444" s="1311"/>
      <c r="W444" s="1311"/>
      <c r="X444" s="1311"/>
      <c r="Y444" s="1311"/>
      <c r="Z444" s="1311"/>
    </row>
    <row r="445" spans="1:26" x14ac:dyDescent="0.25">
      <c r="A445" s="851" t="s">
        <v>1228</v>
      </c>
      <c r="B445" s="1274" t="str">
        <f ca="1">IF('Pricing Schedule'!$K$5="No",_xlfn.CONCAT(IFERROR(SUBSTITUTE(ADDRESS(1,MATCH(A445,INDIRECT("'"&amp;E445&amp;"'"&amp;"!A10:Z10"),0),4),1,""),""),23),_xlfn.CONCAT(IFERROR(SUBSTITUTE(ADDRESS(1,MATCH(A445,INDIRECT("'"&amp;E445&amp;"'"&amp;"!A10:Z10"),0),4),1,""),""),57))</f>
        <v>M23</v>
      </c>
      <c r="C445" s="1274" t="str">
        <f ca="1">IF('Pricing Schedule'!$K$5="No",IFERROR(SUBSTITUTE(ADDRESS(1,MATCH(A445,INDIRECT("'"&amp;E445&amp;"'"&amp;"!A10:Z10"),0),4),1,""),""),IFERROR(SUBSTITUTE(ADDRESS(1,MATCH(A445,INDIRECT("'"&amp;E445&amp;"'"&amp;"!A10:Z10"),0),4),1,""),""))</f>
        <v>M</v>
      </c>
      <c r="D445" s="791" t="s">
        <v>1357</v>
      </c>
      <c r="E445" s="791" t="s">
        <v>1279</v>
      </c>
      <c r="F445" s="1097"/>
      <c r="G445" s="1314"/>
      <c r="H445" s="1314"/>
      <c r="I445" s="1274" t="str">
        <f t="shared" si="45"/>
        <v>Split Case Per</v>
      </c>
      <c r="J445" s="1314" t="str">
        <f t="shared" si="47"/>
        <v>F414</v>
      </c>
      <c r="K445" s="1314" t="str">
        <f t="shared" si="46"/>
        <v>Pricing Schedule</v>
      </c>
      <c r="L445" s="827" t="s">
        <v>1228</v>
      </c>
      <c r="M445" s="1314">
        <v>414</v>
      </c>
      <c r="N445" s="1314"/>
      <c r="O445" s="1311"/>
      <c r="P445" s="1311"/>
      <c r="Q445" s="1311"/>
      <c r="R445" s="1311"/>
      <c r="S445" s="1311"/>
      <c r="T445" s="1311"/>
      <c r="U445" s="1311"/>
      <c r="V445" s="1311"/>
      <c r="W445" s="1311"/>
      <c r="X445" s="1311"/>
      <c r="Y445" s="1311"/>
      <c r="Z445" s="1311"/>
    </row>
    <row r="446" spans="1:26" x14ac:dyDescent="0.25">
      <c r="A446" s="846" t="s">
        <v>1289</v>
      </c>
      <c r="B446" s="1274" t="str">
        <f ca="1">IF('Pricing Schedule'!$K$5="No",_xlfn.CONCAT(IFERROR(SUBSTITUTE(ADDRESS(1,MATCH(A446,INDIRECT("'"&amp;E446&amp;"'"&amp;"!A10:Z10"),0),4),1,""),""),24),_xlfn.CONCAT(IFERROR(SUBSTITUTE(ADDRESS(1,MATCH(A446,INDIRECT("'"&amp;E446&amp;"'"&amp;"!A10:Z10"),0),4),1,""),""),58))</f>
        <v>N24</v>
      </c>
      <c r="C446" s="1274" t="str">
        <f ca="1">IF('Pricing Schedule'!$K$5="No",IFERROR(SUBSTITUTE(ADDRESS(1,MATCH(A446,INDIRECT("'"&amp;E446&amp;"'"&amp;"!A10:Z10"),0),4),1,""),""),IFERROR(SUBSTITUTE(ADDRESS(1,MATCH(A446,INDIRECT("'"&amp;E446&amp;"'"&amp;"!A10:Z10"),0),4),1,""),""))</f>
        <v>N</v>
      </c>
      <c r="D446" s="791" t="s">
        <v>1357</v>
      </c>
      <c r="E446" s="791" t="s">
        <v>1279</v>
      </c>
      <c r="F446" s="1314"/>
      <c r="G446" s="1314"/>
      <c r="H446" s="1314"/>
      <c r="I446" s="1274" t="str">
        <f t="shared" si="45"/>
        <v/>
      </c>
      <c r="J446" s="1314"/>
      <c r="K446" s="1314" t="str">
        <f t="shared" si="46"/>
        <v/>
      </c>
      <c r="L446" s="827" t="s">
        <v>1289</v>
      </c>
      <c r="M446" s="1314">
        <v>415</v>
      </c>
      <c r="N446" s="1314"/>
      <c r="O446" s="1311"/>
      <c r="P446" s="1311"/>
      <c r="Q446" s="1311"/>
      <c r="R446" s="1311"/>
      <c r="S446" s="1311"/>
      <c r="T446" s="1311"/>
      <c r="U446" s="1311"/>
      <c r="V446" s="1311"/>
      <c r="W446" s="1311"/>
      <c r="X446" s="1311"/>
      <c r="Y446" s="1311"/>
      <c r="Z446" s="1311"/>
    </row>
    <row r="447" spans="1:26" x14ac:dyDescent="0.25">
      <c r="A447" s="847" t="s">
        <v>1280</v>
      </c>
      <c r="B447" s="1274" t="str">
        <f ca="1">IF('Pricing Schedule'!$K$5="No",_xlfn.CONCAT(IFERROR(SUBSTITUTE(ADDRESS(1,MATCH(A447,INDIRECT("'"&amp;E447&amp;"'"&amp;"!A10:Z10"),0),4),1,""),""),24),_xlfn.CONCAT(IFERROR(SUBSTITUTE(ADDRESS(1,MATCH(A447,INDIRECT("'"&amp;E447&amp;"'"&amp;"!A10:Z10"),0),4),1,""),""),58))</f>
        <v>C24</v>
      </c>
      <c r="C447" s="1274" t="str">
        <f ca="1">IF('Pricing Schedule'!$K$5="No",IFERROR(SUBSTITUTE(ADDRESS(1,MATCH(A447,INDIRECT("'"&amp;E447&amp;"'"&amp;"!A10:Z10"),0),4),1,""),""),IFERROR(SUBSTITUTE(ADDRESS(1,MATCH(A447,INDIRECT("'"&amp;E447&amp;"'"&amp;"!A10:Z10"),0),4),1,""),""))</f>
        <v>C</v>
      </c>
      <c r="D447" s="791" t="s">
        <v>1357</v>
      </c>
      <c r="E447" s="791" t="s">
        <v>1279</v>
      </c>
      <c r="F447" s="1314"/>
      <c r="G447" s="1314"/>
      <c r="H447" s="1314"/>
      <c r="I447" s="1274" t="str">
        <f t="shared" si="45"/>
        <v/>
      </c>
      <c r="J447" s="1314"/>
      <c r="K447" s="1314" t="str">
        <f t="shared" si="46"/>
        <v/>
      </c>
      <c r="L447" s="827" t="s">
        <v>252</v>
      </c>
      <c r="M447" s="52">
        <v>416</v>
      </c>
      <c r="N447" s="1314"/>
      <c r="O447" s="1311"/>
      <c r="P447" s="1311"/>
      <c r="Q447" s="1311"/>
      <c r="R447" s="1311"/>
      <c r="S447" s="1311"/>
      <c r="T447" s="1311"/>
      <c r="U447" s="1311"/>
      <c r="V447" s="1311"/>
      <c r="W447" s="1311"/>
      <c r="X447" s="1311"/>
      <c r="Y447" s="1311"/>
      <c r="Z447" s="1311"/>
    </row>
    <row r="448" spans="1:26" x14ac:dyDescent="0.25">
      <c r="A448" s="847" t="s">
        <v>1246</v>
      </c>
      <c r="B448" s="1274" t="str">
        <f ca="1">IF('Pricing Schedule'!$K$5="No",_xlfn.CONCAT(IFERROR(SUBSTITUTE(ADDRESS(1,MATCH(A448,INDIRECT("'"&amp;E448&amp;"'"&amp;"!A10:Z10"),0),4),1,""),""),24),_xlfn.CONCAT(IFERROR(SUBSTITUTE(ADDRESS(1,MATCH(A448,INDIRECT("'"&amp;E448&amp;"'"&amp;"!A10:Z10"),0),4),1,""),""),58))</f>
        <v>H24</v>
      </c>
      <c r="C448" s="1274" t="str">
        <f ca="1">IF('Pricing Schedule'!$K$5="No",IFERROR(SUBSTITUTE(ADDRESS(1,MATCH(A448,INDIRECT("'"&amp;E448&amp;"'"&amp;"!A10:Z10"),0),4),1,""),""),IFERROR(SUBSTITUTE(ADDRESS(1,MATCH(A448,INDIRECT("'"&amp;E448&amp;"'"&amp;"!A10:Z10"),0),4),1,""),""))</f>
        <v>H</v>
      </c>
      <c r="D448" s="791" t="s">
        <v>1357</v>
      </c>
      <c r="E448" s="791" t="s">
        <v>1279</v>
      </c>
      <c r="F448" s="1314"/>
      <c r="G448" s="1314"/>
      <c r="H448" s="1314"/>
      <c r="I448" s="1274" t="str">
        <f t="shared" si="45"/>
        <v/>
      </c>
      <c r="J448" s="1314"/>
      <c r="K448" s="1314" t="str">
        <f t="shared" si="46"/>
        <v/>
      </c>
      <c r="L448" s="827" t="s">
        <v>1246</v>
      </c>
      <c r="M448" s="1314">
        <v>417</v>
      </c>
      <c r="N448" s="1314"/>
      <c r="O448" s="1311"/>
      <c r="P448" s="1311"/>
      <c r="Q448" s="1311"/>
      <c r="R448" s="1311"/>
      <c r="S448" s="1311"/>
      <c r="T448" s="1311"/>
      <c r="U448" s="1311"/>
      <c r="V448" s="1311"/>
      <c r="W448" s="1311"/>
      <c r="X448" s="1311"/>
      <c r="Y448" s="1311"/>
      <c r="Z448" s="1311"/>
    </row>
    <row r="449" spans="1:26" x14ac:dyDescent="0.25">
      <c r="A449" s="847" t="s">
        <v>1283</v>
      </c>
      <c r="B449" s="1274" t="str">
        <f ca="1">IF('Pricing Schedule'!$K$5="No",_xlfn.CONCAT(IFERROR(SUBSTITUTE(ADDRESS(1,MATCH(A449,INDIRECT("'"&amp;E449&amp;"'"&amp;"!A10:Z10"),0),4),1,""),""),24),_xlfn.CONCAT(IFERROR(SUBSTITUTE(ADDRESS(1,MATCH(A449,INDIRECT("'"&amp;E449&amp;"'"&amp;"!A10:Z10"),0),4),1,""),""),58))</f>
        <v>F24</v>
      </c>
      <c r="C449" s="1274" t="str">
        <f ca="1">IF('Pricing Schedule'!$K$5="No",IFERROR(SUBSTITUTE(ADDRESS(1,MATCH(A449,INDIRECT("'"&amp;E449&amp;"'"&amp;"!A10:Z10"),0),4),1,""),""),IFERROR(SUBSTITUTE(ADDRESS(1,MATCH(A449,INDIRECT("'"&amp;E449&amp;"'"&amp;"!A10:Z10"),0),4),1,""),""))</f>
        <v>F</v>
      </c>
      <c r="D449" s="791" t="s">
        <v>1357</v>
      </c>
      <c r="E449" s="791" t="s">
        <v>1279</v>
      </c>
      <c r="F449" s="1314"/>
      <c r="G449" s="1314"/>
      <c r="H449" s="1314"/>
      <c r="I449" s="1274" t="str">
        <f t="shared" si="45"/>
        <v/>
      </c>
      <c r="J449" s="1314"/>
      <c r="K449" s="1314" t="str">
        <f t="shared" si="46"/>
        <v/>
      </c>
      <c r="L449" s="827" t="s">
        <v>225</v>
      </c>
      <c r="M449" s="1314">
        <v>418</v>
      </c>
      <c r="N449" s="1314"/>
      <c r="O449" s="1311"/>
      <c r="P449" s="1311"/>
      <c r="Q449" s="1311"/>
      <c r="R449" s="1311"/>
      <c r="S449" s="1311"/>
      <c r="T449" s="1311"/>
      <c r="U449" s="1311"/>
      <c r="V449" s="1311"/>
      <c r="W449" s="1311"/>
      <c r="X449" s="1311"/>
      <c r="Y449" s="1311"/>
      <c r="Z449" s="1311"/>
    </row>
    <row r="450" spans="1:26" x14ac:dyDescent="0.25">
      <c r="A450" s="848" t="s">
        <v>463</v>
      </c>
      <c r="B450" s="1274" t="str">
        <f ca="1">_xlfn.CONCAT(IFERROR(SUBSTITUTE(ADDRESS(1,MATCH(A450,INDIRECT("'"&amp;E450&amp;"'"&amp;"!A9:Z9"),0),4),1,""),""),24)</f>
        <v>E24</v>
      </c>
      <c r="C450" s="1274" t="str">
        <f ca="1">_xlfn.CONCAT(IFERROR(SUBSTITUTE(ADDRESS(1,MATCH(A450,INDIRECT("'"&amp;E450&amp;"'"&amp;"!A9:Z9"),0),4),1,""),""))</f>
        <v>E</v>
      </c>
      <c r="D450" s="1314" t="s">
        <v>1357</v>
      </c>
      <c r="E450" s="791" t="s">
        <v>208</v>
      </c>
      <c r="F450" s="1314"/>
      <c r="G450" s="1314"/>
      <c r="H450" s="1314"/>
      <c r="I450" s="1274" t="str">
        <f t="shared" si="45"/>
        <v>Exclude PIM Classes Below</v>
      </c>
      <c r="J450" s="1314" t="str">
        <f t="shared" si="47"/>
        <v>F419</v>
      </c>
      <c r="K450" s="1314" t="str">
        <f t="shared" si="46"/>
        <v>PIM Model</v>
      </c>
      <c r="L450" s="827" t="s">
        <v>463</v>
      </c>
      <c r="M450" s="1314">
        <v>419</v>
      </c>
      <c r="N450" s="1314"/>
      <c r="O450" s="1311"/>
      <c r="P450" s="1311"/>
      <c r="Q450" s="1311"/>
      <c r="R450" s="1311"/>
      <c r="S450" s="1311"/>
      <c r="T450" s="1311"/>
      <c r="U450" s="1311"/>
      <c r="V450" s="1311"/>
      <c r="W450" s="1311"/>
      <c r="X450" s="1311"/>
      <c r="Y450" s="1311"/>
      <c r="Z450" s="1311"/>
    </row>
    <row r="451" spans="1:26" x14ac:dyDescent="0.25">
      <c r="A451" s="848" t="s">
        <v>1282</v>
      </c>
      <c r="B451" s="1274" t="str">
        <f ca="1">IF('Pricing Schedule'!$K$5="No",_xlfn.CONCAT(IFERROR(SUBSTITUTE(ADDRESS(1,MATCH(A451,INDIRECT("'"&amp;E451&amp;"'"&amp;"!A10:Z10"),0),4),1,""),""),24),_xlfn.CONCAT(IFERROR(SUBSTITUTE(ADDRESS(1,MATCH(A451,INDIRECT("'"&amp;E451&amp;"'"&amp;"!A10:Z10"),0),4),1,""),""),58))</f>
        <v>E24</v>
      </c>
      <c r="C451" s="1274" t="str">
        <f ca="1">IF('Pricing Schedule'!$K$5="No",IFERROR(SUBSTITUTE(ADDRESS(1,MATCH(A451,INDIRECT("'"&amp;E451&amp;"'"&amp;"!A10:Z10"),0),4),1,""),""),IFERROR(SUBSTITUTE(ADDRESS(1,MATCH(A451,INDIRECT("'"&amp;E451&amp;"'"&amp;"!A10:Z10"),0),4),1,""),""))</f>
        <v>E</v>
      </c>
      <c r="D451" s="791" t="s">
        <v>1357</v>
      </c>
      <c r="E451" s="791" t="s">
        <v>1279</v>
      </c>
      <c r="F451" s="1314"/>
      <c r="G451" s="1314"/>
      <c r="H451" s="1314"/>
      <c r="I451" s="1274" t="str">
        <f t="shared" si="45"/>
        <v>Special Pricing Code</v>
      </c>
      <c r="J451" s="1314" t="str">
        <f t="shared" si="47"/>
        <v>F420</v>
      </c>
      <c r="K451" s="1314" t="str">
        <f t="shared" si="46"/>
        <v>Pricing Schedule</v>
      </c>
      <c r="L451" s="827" t="s">
        <v>1282</v>
      </c>
      <c r="M451" s="1314">
        <v>420</v>
      </c>
      <c r="N451" s="1314"/>
      <c r="O451" s="1311"/>
      <c r="P451" s="1311"/>
      <c r="Q451" s="1311"/>
      <c r="R451" s="1311"/>
      <c r="S451" s="1311"/>
      <c r="T451" s="1311"/>
      <c r="U451" s="1311"/>
      <c r="V451" s="1311"/>
      <c r="W451" s="1311"/>
      <c r="X451" s="1311"/>
      <c r="Y451" s="1311"/>
      <c r="Z451" s="1311"/>
    </row>
    <row r="452" spans="1:26" x14ac:dyDescent="0.25">
      <c r="A452" s="848" t="s">
        <v>1284</v>
      </c>
      <c r="B452" s="1274" t="str">
        <f ca="1">IF('Pricing Schedule'!$K$5="No",_xlfn.CONCAT(IFERROR(SUBSTITUTE(ADDRESS(1,MATCH(A452,INDIRECT("'"&amp;E452&amp;"'"&amp;"!A10:Z10"),0),4),1,""),""),24),_xlfn.CONCAT(IFERROR(SUBSTITUTE(ADDRESS(1,MATCH(A452,INDIRECT("'"&amp;E452&amp;"'"&amp;"!A10:Z10"),0),4),1,""),""),58))</f>
        <v>G24</v>
      </c>
      <c r="C452" s="1274" t="str">
        <f ca="1">IF('Pricing Schedule'!$K$5="No",IFERROR(SUBSTITUTE(ADDRESS(1,MATCH(A452,INDIRECT("'"&amp;E452&amp;"'"&amp;"!A10:Z10"),0),4),1,""),""),IFERROR(SUBSTITUTE(ADDRESS(1,MATCH(A452,INDIRECT("'"&amp;E452&amp;"'"&amp;"!A10:Z10"),0),4),1,""),""))</f>
        <v>G</v>
      </c>
      <c r="D452" s="791" t="s">
        <v>1357</v>
      </c>
      <c r="E452" s="791" t="s">
        <v>1279</v>
      </c>
      <c r="F452" s="1097"/>
      <c r="G452" s="1314"/>
      <c r="H452" s="1314"/>
      <c r="I452" s="1274" t="str">
        <f t="shared" ref="I452:I515" si="48">IF(J452&lt;&gt;"",A452,"")</f>
        <v>EB Markup Amt</v>
      </c>
      <c r="J452" s="1314" t="str">
        <f t="shared" si="47"/>
        <v>F421</v>
      </c>
      <c r="K452" s="1314" t="str">
        <f t="shared" ref="K452:K515" si="49">IF(J452&lt;&gt;"",E452,"")</f>
        <v>Pricing Schedule</v>
      </c>
      <c r="L452" s="827" t="s">
        <v>1284</v>
      </c>
      <c r="M452" s="1314">
        <v>421</v>
      </c>
      <c r="N452" s="1314"/>
      <c r="O452" s="1311"/>
      <c r="P452" s="1311"/>
      <c r="Q452" s="1311"/>
      <c r="R452" s="1311"/>
      <c r="S452" s="1311"/>
      <c r="T452" s="1311"/>
      <c r="U452" s="1311"/>
      <c r="V452" s="1311"/>
      <c r="W452" s="1311"/>
      <c r="X452" s="1311"/>
      <c r="Y452" s="1311"/>
      <c r="Z452" s="1311"/>
    </row>
    <row r="453" spans="1:26" x14ac:dyDescent="0.25">
      <c r="A453" s="848" t="s">
        <v>1285</v>
      </c>
      <c r="B453" s="1274" t="str">
        <f ca="1">IF('Pricing Schedule'!$K$5="No",_xlfn.CONCAT(IFERROR(SUBSTITUTE(ADDRESS(1,MATCH(A453,INDIRECT("'"&amp;E453&amp;"'"&amp;"!A10:Z10"),0),4),1,""),""),24),_xlfn.CONCAT(IFERROR(SUBSTITUTE(ADDRESS(1,MATCH(A453,INDIRECT("'"&amp;E453&amp;"'"&amp;"!A10:Z10"),0),4),1,""),""),58))</f>
        <v>I24</v>
      </c>
      <c r="C453" s="1274" t="str">
        <f ca="1">IF('Pricing Schedule'!$K$5="No",IFERROR(SUBSTITUTE(ADDRESS(1,MATCH(A453,INDIRECT("'"&amp;E453&amp;"'"&amp;"!A10:Z10"),0),4),1,""),""),IFERROR(SUBSTITUTE(ADDRESS(1,MATCH(A453,INDIRECT("'"&amp;E453&amp;"'"&amp;"!A10:Z10"),0),4),1,""),""))</f>
        <v>I</v>
      </c>
      <c r="D453" s="791" t="s">
        <v>1357</v>
      </c>
      <c r="E453" s="791" t="s">
        <v>1279</v>
      </c>
      <c r="F453" s="1097"/>
      <c r="G453" s="1314"/>
      <c r="H453" s="1314"/>
      <c r="I453" s="1274" t="str">
        <f t="shared" si="48"/>
        <v>Min CS Markup Override Flag</v>
      </c>
      <c r="J453" s="1314" t="str">
        <f t="shared" si="47"/>
        <v>F422</v>
      </c>
      <c r="K453" s="1314" t="str">
        <f t="shared" si="49"/>
        <v>Pricing Schedule</v>
      </c>
      <c r="L453" s="827" t="s">
        <v>1285</v>
      </c>
      <c r="M453" s="1314">
        <v>422</v>
      </c>
      <c r="N453" s="1314"/>
      <c r="O453" s="1311"/>
      <c r="P453" s="1311"/>
      <c r="Q453" s="1311"/>
      <c r="R453" s="1311"/>
      <c r="S453" s="1311"/>
      <c r="T453" s="1311"/>
      <c r="U453" s="1311"/>
      <c r="V453" s="1311"/>
      <c r="W453" s="1311"/>
      <c r="X453" s="1311"/>
      <c r="Y453" s="1311"/>
      <c r="Z453" s="1311"/>
    </row>
    <row r="454" spans="1:26" x14ac:dyDescent="0.25">
      <c r="A454" s="848" t="s">
        <v>1286</v>
      </c>
      <c r="B454" s="1274" t="str">
        <f ca="1">IF('Pricing Schedule'!$K$5="No",_xlfn.CONCAT(IFERROR(SUBSTITUTE(ADDRESS(1,MATCH(A454,INDIRECT("'"&amp;E454&amp;"'"&amp;"!A10:Z10"),0),4),1,""),""),24),_xlfn.CONCAT(IFERROR(SUBSTITUTE(ADDRESS(1,MATCH(A454,INDIRECT("'"&amp;E454&amp;"'"&amp;"!A10:Z10"),0),4),1,""),""),58))</f>
        <v>J24</v>
      </c>
      <c r="C454" s="1274" t="str">
        <f ca="1">IF('Pricing Schedule'!$K$5="No",IFERROR(SUBSTITUTE(ADDRESS(1,MATCH(A454,INDIRECT("'"&amp;E454&amp;"'"&amp;"!A10:Z10"),0),4),1,""),""),IFERROR(SUBSTITUTE(ADDRESS(1,MATCH(A454,INDIRECT("'"&amp;E454&amp;"'"&amp;"!A10:Z10"),0),4),1,""),""))</f>
        <v>J</v>
      </c>
      <c r="D454" s="791" t="s">
        <v>1357</v>
      </c>
      <c r="E454" s="791" t="s">
        <v>1279</v>
      </c>
      <c r="F454" s="1097"/>
      <c r="G454" s="1314"/>
      <c r="H454" s="1314"/>
      <c r="I454" s="1274" t="str">
        <f t="shared" si="48"/>
        <v>Min CS Markup Amt</v>
      </c>
      <c r="J454" s="1314" t="str">
        <f t="shared" ref="J454:J517" si="50">IF(M454&lt;&gt;"",Q$1&amp;M454,"")</f>
        <v>F423</v>
      </c>
      <c r="K454" s="1314" t="str">
        <f t="shared" si="49"/>
        <v>Pricing Schedule</v>
      </c>
      <c r="L454" s="827" t="s">
        <v>1286</v>
      </c>
      <c r="M454" s="1314">
        <v>423</v>
      </c>
      <c r="N454" s="1314"/>
      <c r="O454" s="1311"/>
      <c r="P454" s="1311"/>
      <c r="Q454" s="1311"/>
      <c r="R454" s="1311"/>
      <c r="S454" s="1311"/>
      <c r="T454" s="1311"/>
      <c r="U454" s="1311"/>
      <c r="V454" s="1311"/>
      <c r="W454" s="1311"/>
      <c r="X454" s="1311"/>
      <c r="Y454" s="1311"/>
      <c r="Z454" s="1311"/>
    </row>
    <row r="455" spans="1:26" x14ac:dyDescent="0.25">
      <c r="A455" s="848" t="s">
        <v>1287</v>
      </c>
      <c r="B455" s="1274" t="str">
        <f ca="1">IF('Pricing Schedule'!$K$5="No",_xlfn.CONCAT(IFERROR(SUBSTITUTE(ADDRESS(1,MATCH(A455,INDIRECT("'"&amp;E455&amp;"'"&amp;"!A10:Z10"),0),4),1,""),""),24),_xlfn.CONCAT(IFERROR(SUBSTITUTE(ADDRESS(1,MATCH(A455,INDIRECT("'"&amp;E455&amp;"'"&amp;"!A10:Z10"),0),4),1,""),""),58))</f>
        <v>K24</v>
      </c>
      <c r="C455" s="1274" t="str">
        <f ca="1">IF('Pricing Schedule'!$K$5="No",IFERROR(SUBSTITUTE(ADDRESS(1,MATCH(A455,INDIRECT("'"&amp;E455&amp;"'"&amp;"!A10:Z10"),0),4),1,""),""),IFERROR(SUBSTITUTE(ADDRESS(1,MATCH(A455,INDIRECT("'"&amp;E455&amp;"'"&amp;"!A10:Z10"),0),4),1,""),""))</f>
        <v>K</v>
      </c>
      <c r="D455" s="791" t="s">
        <v>1357</v>
      </c>
      <c r="E455" s="791" t="s">
        <v>1279</v>
      </c>
      <c r="F455" s="1097"/>
      <c r="G455" s="1314"/>
      <c r="H455" s="1314"/>
      <c r="I455" s="1274" t="str">
        <f t="shared" si="48"/>
        <v>Split Case Fee Override Flag</v>
      </c>
      <c r="J455" s="1314" t="str">
        <f t="shared" si="50"/>
        <v>F424</v>
      </c>
      <c r="K455" s="1314" t="str">
        <f t="shared" si="49"/>
        <v>Pricing Schedule</v>
      </c>
      <c r="L455" s="827" t="s">
        <v>1287</v>
      </c>
      <c r="M455" s="1314">
        <v>424</v>
      </c>
      <c r="N455" s="1314"/>
      <c r="O455" s="1311"/>
      <c r="P455" s="1311"/>
      <c r="Q455" s="1311"/>
      <c r="R455" s="1311"/>
      <c r="S455" s="1311"/>
      <c r="T455" s="1311"/>
      <c r="U455" s="1311"/>
      <c r="V455" s="1311"/>
      <c r="W455" s="1311"/>
      <c r="X455" s="1311"/>
      <c r="Y455" s="1311"/>
      <c r="Z455" s="1311"/>
    </row>
    <row r="456" spans="1:26" x14ac:dyDescent="0.25">
      <c r="A456" s="848" t="s">
        <v>1288</v>
      </c>
      <c r="B456" s="1274" t="str">
        <f ca="1">IF('Pricing Schedule'!$K$5="No",_xlfn.CONCAT(IFERROR(SUBSTITUTE(ADDRESS(1,MATCH(A456,INDIRECT("'"&amp;E456&amp;"'"&amp;"!A10:Z10"),0),4),1,""),""),24),_xlfn.CONCAT(IFERROR(SUBSTITUTE(ADDRESS(1,MATCH(A456,INDIRECT("'"&amp;E456&amp;"'"&amp;"!A10:Z10"),0),4),1,""),""),58))</f>
        <v>L24</v>
      </c>
      <c r="C456" s="1274" t="str">
        <f ca="1">IF('Pricing Schedule'!$K$5="No",IFERROR(SUBSTITUTE(ADDRESS(1,MATCH(A456,INDIRECT("'"&amp;E456&amp;"'"&amp;"!A10:Z10"),0),4),1,""),""),IFERROR(SUBSTITUTE(ADDRESS(1,MATCH(A456,INDIRECT("'"&amp;E456&amp;"'"&amp;"!A10:Z10"),0),4),1,""),""))</f>
        <v>L</v>
      </c>
      <c r="D456" s="791" t="s">
        <v>1357</v>
      </c>
      <c r="E456" s="791" t="s">
        <v>1279</v>
      </c>
      <c r="F456" s="1097"/>
      <c r="G456" s="1314"/>
      <c r="H456" s="1314"/>
      <c r="I456" s="1274" t="str">
        <f t="shared" si="48"/>
        <v>Split Case Fee</v>
      </c>
      <c r="J456" s="1314" t="str">
        <f t="shared" si="50"/>
        <v>F425</v>
      </c>
      <c r="K456" s="1314" t="str">
        <f t="shared" si="49"/>
        <v>Pricing Schedule</v>
      </c>
      <c r="L456" s="827" t="s">
        <v>1288</v>
      </c>
      <c r="M456" s="1314">
        <v>425</v>
      </c>
      <c r="N456" s="1314"/>
      <c r="O456" s="1311"/>
      <c r="P456" s="1311"/>
      <c r="Q456" s="1311"/>
      <c r="R456" s="1311"/>
      <c r="S456" s="1311"/>
      <c r="T456" s="1311"/>
      <c r="U456" s="1311"/>
      <c r="V456" s="1311"/>
      <c r="W456" s="1311"/>
      <c r="X456" s="1311"/>
      <c r="Y456" s="1311"/>
      <c r="Z456" s="1311"/>
    </row>
    <row r="457" spans="1:26" x14ac:dyDescent="0.25">
      <c r="A457" s="848" t="s">
        <v>1228</v>
      </c>
      <c r="B457" s="1274" t="str">
        <f ca="1">IF('Pricing Schedule'!$K$5="No",_xlfn.CONCAT(IFERROR(SUBSTITUTE(ADDRESS(1,MATCH(A457,INDIRECT("'"&amp;E457&amp;"'"&amp;"!A10:Z10"),0),4),1,""),""),24),_xlfn.CONCAT(IFERROR(SUBSTITUTE(ADDRESS(1,MATCH(A457,INDIRECT("'"&amp;E457&amp;"'"&amp;"!A10:Z10"),0),4),1,""),""),58))</f>
        <v>M24</v>
      </c>
      <c r="C457" s="1274" t="str">
        <f ca="1">IF('Pricing Schedule'!$K$5="No",IFERROR(SUBSTITUTE(ADDRESS(1,MATCH(A457,INDIRECT("'"&amp;E457&amp;"'"&amp;"!A10:Z10"),0),4),1,""),""),IFERROR(SUBSTITUTE(ADDRESS(1,MATCH(A457,INDIRECT("'"&amp;E457&amp;"'"&amp;"!A10:Z10"),0),4),1,""),""))</f>
        <v>M</v>
      </c>
      <c r="D457" s="791" t="s">
        <v>1357</v>
      </c>
      <c r="E457" s="791" t="s">
        <v>1279</v>
      </c>
      <c r="F457" s="1097"/>
      <c r="G457" s="1314"/>
      <c r="H457" s="1314"/>
      <c r="I457" s="1274" t="str">
        <f t="shared" si="48"/>
        <v>Split Case Per</v>
      </c>
      <c r="J457" s="1314" t="str">
        <f t="shared" si="50"/>
        <v>F426</v>
      </c>
      <c r="K457" s="1314" t="str">
        <f t="shared" si="49"/>
        <v>Pricing Schedule</v>
      </c>
      <c r="L457" s="827" t="s">
        <v>1228</v>
      </c>
      <c r="M457" s="1314">
        <v>426</v>
      </c>
      <c r="N457" s="1314"/>
      <c r="O457" s="1311"/>
      <c r="P457" s="1311"/>
      <c r="Q457" s="1311"/>
      <c r="R457" s="1311"/>
      <c r="S457" s="1311"/>
      <c r="T457" s="1311"/>
      <c r="U457" s="1311"/>
      <c r="V457" s="1311"/>
      <c r="W457" s="1311"/>
      <c r="X457" s="1311"/>
      <c r="Y457" s="1311"/>
      <c r="Z457" s="1311"/>
    </row>
    <row r="458" spans="1:26" x14ac:dyDescent="0.25">
      <c r="A458" s="849" t="s">
        <v>1289</v>
      </c>
      <c r="B458" s="1274" t="str">
        <f ca="1">IF('Pricing Schedule'!$K$5="No",_xlfn.CONCAT(IFERROR(SUBSTITUTE(ADDRESS(1,MATCH(A458,INDIRECT("'"&amp;E458&amp;"'"&amp;"!A10:Z10"),0),4),1,""),""),25),_xlfn.CONCAT(IFERROR(SUBSTITUTE(ADDRESS(1,MATCH(A458,INDIRECT("'"&amp;E458&amp;"'"&amp;"!A10:Z10"),0),4),1,""),""),59))</f>
        <v>N25</v>
      </c>
      <c r="C458" s="1274" t="str">
        <f ca="1">IF('Pricing Schedule'!$K$5="No",IFERROR(SUBSTITUTE(ADDRESS(1,MATCH(A458,INDIRECT("'"&amp;E458&amp;"'"&amp;"!A10:Z10"),0),4),1,""),""),IFERROR(SUBSTITUTE(ADDRESS(1,MATCH(A458,INDIRECT("'"&amp;E458&amp;"'"&amp;"!A10:Z10"),0),4),1,""),""))</f>
        <v>N</v>
      </c>
      <c r="D458" s="791" t="s">
        <v>1357</v>
      </c>
      <c r="E458" s="791" t="s">
        <v>1279</v>
      </c>
      <c r="F458" s="1314"/>
      <c r="G458" s="1314"/>
      <c r="H458" s="1314"/>
      <c r="I458" s="1274" t="str">
        <f t="shared" si="48"/>
        <v/>
      </c>
      <c r="J458" s="1314"/>
      <c r="K458" s="1314" t="str">
        <f t="shared" si="49"/>
        <v/>
      </c>
      <c r="L458" s="827" t="s">
        <v>1289</v>
      </c>
      <c r="M458" s="1314">
        <v>427</v>
      </c>
      <c r="N458" s="1314"/>
      <c r="O458" s="1311"/>
      <c r="P458" s="1311"/>
      <c r="Q458" s="1311"/>
      <c r="R458" s="1311"/>
      <c r="S458" s="1311"/>
      <c r="T458" s="1311"/>
      <c r="U458" s="1311"/>
      <c r="V458" s="1311"/>
      <c r="W458" s="1311"/>
      <c r="X458" s="1311"/>
      <c r="Y458" s="1311"/>
      <c r="Z458" s="1311"/>
    </row>
    <row r="459" spans="1:26" x14ac:dyDescent="0.25">
      <c r="A459" s="850" t="s">
        <v>1280</v>
      </c>
      <c r="B459" s="1274" t="str">
        <f ca="1">IF('Pricing Schedule'!$K$5="No",_xlfn.CONCAT(IFERROR(SUBSTITUTE(ADDRESS(1,MATCH(A459,INDIRECT("'"&amp;E459&amp;"'"&amp;"!A10:Z10"),0),4),1,""),""),25),_xlfn.CONCAT(IFERROR(SUBSTITUTE(ADDRESS(1,MATCH(A459,INDIRECT("'"&amp;E459&amp;"'"&amp;"!A10:Z10"),0),4),1,""),""),59))</f>
        <v>C25</v>
      </c>
      <c r="C459" s="1274" t="str">
        <f ca="1">IF('Pricing Schedule'!$K$5="No",IFERROR(SUBSTITUTE(ADDRESS(1,MATCH(A459,INDIRECT("'"&amp;E459&amp;"'"&amp;"!A10:Z10"),0),4),1,""),""),IFERROR(SUBSTITUTE(ADDRESS(1,MATCH(A459,INDIRECT("'"&amp;E459&amp;"'"&amp;"!A10:Z10"),0),4),1,""),""))</f>
        <v>C</v>
      </c>
      <c r="D459" s="791" t="s">
        <v>1357</v>
      </c>
      <c r="E459" s="791" t="s">
        <v>1279</v>
      </c>
      <c r="F459" s="1314"/>
      <c r="G459" s="1314"/>
      <c r="H459" s="1314"/>
      <c r="I459" s="1274" t="str">
        <f t="shared" si="48"/>
        <v/>
      </c>
      <c r="J459" s="1314"/>
      <c r="K459" s="1314" t="str">
        <f t="shared" si="49"/>
        <v/>
      </c>
      <c r="L459" s="827" t="s">
        <v>252</v>
      </c>
      <c r="M459" s="1314">
        <v>428</v>
      </c>
      <c r="N459" s="1314"/>
      <c r="O459" s="1311"/>
      <c r="P459" s="1311"/>
      <c r="Q459" s="1311"/>
      <c r="R459" s="1311"/>
      <c r="S459" s="1311"/>
      <c r="T459" s="1311"/>
      <c r="U459" s="1311"/>
      <c r="V459" s="1311"/>
      <c r="W459" s="1311"/>
      <c r="X459" s="1311"/>
      <c r="Y459" s="1311"/>
      <c r="Z459" s="1311"/>
    </row>
    <row r="460" spans="1:26" x14ac:dyDescent="0.25">
      <c r="A460" s="850" t="s">
        <v>1246</v>
      </c>
      <c r="B460" s="1274" t="str">
        <f ca="1">IF('Pricing Schedule'!$K$5="No",_xlfn.CONCAT(IFERROR(SUBSTITUTE(ADDRESS(1,MATCH(A460,INDIRECT("'"&amp;E460&amp;"'"&amp;"!A10:Z10"),0),4),1,""),""),25),_xlfn.CONCAT(IFERROR(SUBSTITUTE(ADDRESS(1,MATCH(A460,INDIRECT("'"&amp;E460&amp;"'"&amp;"!A10:Z10"),0),4),1,""),""),59))</f>
        <v>H25</v>
      </c>
      <c r="C460" s="1274" t="str">
        <f ca="1">IF('Pricing Schedule'!$K$5="No",IFERROR(SUBSTITUTE(ADDRESS(1,MATCH(A460,INDIRECT("'"&amp;E460&amp;"'"&amp;"!A10:Z10"),0),4),1,""),""),IFERROR(SUBSTITUTE(ADDRESS(1,MATCH(A460,INDIRECT("'"&amp;E460&amp;"'"&amp;"!A10:Z10"),0),4),1,""),""))</f>
        <v>H</v>
      </c>
      <c r="D460" s="791" t="s">
        <v>1357</v>
      </c>
      <c r="E460" s="791" t="s">
        <v>1279</v>
      </c>
      <c r="F460" s="1314"/>
      <c r="G460" s="1314"/>
      <c r="H460" s="1314"/>
      <c r="I460" s="1274" t="str">
        <f t="shared" si="48"/>
        <v/>
      </c>
      <c r="J460" s="1314"/>
      <c r="K460" s="1314" t="str">
        <f t="shared" si="49"/>
        <v/>
      </c>
      <c r="L460" s="827" t="s">
        <v>1246</v>
      </c>
      <c r="M460" s="1314">
        <v>429</v>
      </c>
      <c r="N460" s="1314"/>
      <c r="O460" s="1311"/>
      <c r="P460" s="1311"/>
      <c r="Q460" s="1311"/>
      <c r="R460" s="1311"/>
      <c r="S460" s="1311"/>
      <c r="T460" s="1311"/>
      <c r="U460" s="1311"/>
      <c r="V460" s="1311"/>
      <c r="W460" s="1311"/>
      <c r="X460" s="1311"/>
      <c r="Y460" s="1311"/>
      <c r="Z460" s="1311"/>
    </row>
    <row r="461" spans="1:26" x14ac:dyDescent="0.25">
      <c r="A461" s="850" t="s">
        <v>1283</v>
      </c>
      <c r="B461" s="1274" t="str">
        <f ca="1">IF('Pricing Schedule'!$K$5="No",_xlfn.CONCAT(IFERROR(SUBSTITUTE(ADDRESS(1,MATCH(A461,INDIRECT("'"&amp;E461&amp;"'"&amp;"!A10:Z10"),0),4),1,""),""),25),_xlfn.CONCAT(IFERROR(SUBSTITUTE(ADDRESS(1,MATCH(A461,INDIRECT("'"&amp;E461&amp;"'"&amp;"!A10:Z10"),0),4),1,""),""),59))</f>
        <v>F25</v>
      </c>
      <c r="C461" s="1274" t="str">
        <f ca="1">IF('Pricing Schedule'!$K$5="No",IFERROR(SUBSTITUTE(ADDRESS(1,MATCH(A461,INDIRECT("'"&amp;E461&amp;"'"&amp;"!A10:Z10"),0),4),1,""),""),IFERROR(SUBSTITUTE(ADDRESS(1,MATCH(A461,INDIRECT("'"&amp;E461&amp;"'"&amp;"!A10:Z10"),0),4),1,""),""))</f>
        <v>F</v>
      </c>
      <c r="D461" s="791" t="s">
        <v>1357</v>
      </c>
      <c r="E461" s="791" t="s">
        <v>1279</v>
      </c>
      <c r="F461" s="1314"/>
      <c r="G461" s="1314"/>
      <c r="H461" s="1314"/>
      <c r="I461" s="1274" t="str">
        <f t="shared" si="48"/>
        <v/>
      </c>
      <c r="J461" s="1314"/>
      <c r="K461" s="1314" t="str">
        <f t="shared" si="49"/>
        <v/>
      </c>
      <c r="L461" s="827" t="s">
        <v>225</v>
      </c>
      <c r="M461" s="1314">
        <v>430</v>
      </c>
      <c r="N461" s="1314"/>
      <c r="O461" s="1311"/>
      <c r="P461" s="1311"/>
      <c r="Q461" s="1311"/>
      <c r="R461" s="1311"/>
      <c r="S461" s="1311"/>
      <c r="T461" s="1311"/>
      <c r="U461" s="1311"/>
      <c r="V461" s="1311"/>
      <c r="W461" s="1311"/>
      <c r="X461" s="1311"/>
      <c r="Y461" s="1311"/>
      <c r="Z461" s="1311"/>
    </row>
    <row r="462" spans="1:26" x14ac:dyDescent="0.25">
      <c r="A462" s="851" t="s">
        <v>463</v>
      </c>
      <c r="B462" s="1274" t="str">
        <f ca="1">_xlfn.CONCAT(IFERROR(SUBSTITUTE(ADDRESS(1,MATCH(A462,INDIRECT("'"&amp;E462&amp;"'"&amp;"!A9:Z9"),0),4),1,""),""),25)</f>
        <v>E25</v>
      </c>
      <c r="C462" s="1274" t="str">
        <f ca="1">_xlfn.CONCAT(IFERROR(SUBSTITUTE(ADDRESS(1,MATCH(A462,INDIRECT("'"&amp;E462&amp;"'"&amp;"!A9:Z9"),0),4),1,""),""))</f>
        <v>E</v>
      </c>
      <c r="D462" s="1314" t="s">
        <v>1357</v>
      </c>
      <c r="E462" s="791" t="s">
        <v>208</v>
      </c>
      <c r="F462" s="1314"/>
      <c r="G462" s="1314"/>
      <c r="H462" s="1314"/>
      <c r="I462" s="1274" t="str">
        <f t="shared" si="48"/>
        <v>Exclude PIM Classes Below</v>
      </c>
      <c r="J462" s="1314" t="str">
        <f t="shared" si="50"/>
        <v>F431</v>
      </c>
      <c r="K462" s="1314" t="str">
        <f t="shared" si="49"/>
        <v>PIM Model</v>
      </c>
      <c r="L462" s="827" t="s">
        <v>463</v>
      </c>
      <c r="M462" s="1314">
        <v>431</v>
      </c>
      <c r="N462" s="1314"/>
      <c r="O462" s="1311"/>
      <c r="P462" s="1311"/>
      <c r="Q462" s="1311"/>
      <c r="R462" s="1311"/>
      <c r="S462" s="1311"/>
      <c r="T462" s="1311"/>
      <c r="U462" s="1311"/>
      <c r="V462" s="1311"/>
      <c r="W462" s="1311"/>
      <c r="X462" s="1311"/>
      <c r="Y462" s="1311"/>
      <c r="Z462" s="1311"/>
    </row>
    <row r="463" spans="1:26" x14ac:dyDescent="0.25">
      <c r="A463" s="851" t="s">
        <v>1282</v>
      </c>
      <c r="B463" s="1274" t="str">
        <f ca="1">IF('Pricing Schedule'!$K$5="No",_xlfn.CONCAT(IFERROR(SUBSTITUTE(ADDRESS(1,MATCH(A463,INDIRECT("'"&amp;E463&amp;"'"&amp;"!A10:Z10"),0),4),1,""),""),25),_xlfn.CONCAT(IFERROR(SUBSTITUTE(ADDRESS(1,MATCH(A463,INDIRECT("'"&amp;E463&amp;"'"&amp;"!A10:Z10"),0),4),1,""),""),59))</f>
        <v>E25</v>
      </c>
      <c r="C463" s="1274" t="str">
        <f ca="1">IF('Pricing Schedule'!$K$5="No",IFERROR(SUBSTITUTE(ADDRESS(1,MATCH(A463,INDIRECT("'"&amp;E463&amp;"'"&amp;"!A10:Z10"),0),4),1,""),""),IFERROR(SUBSTITUTE(ADDRESS(1,MATCH(A463,INDIRECT("'"&amp;E463&amp;"'"&amp;"!A10:Z10"),0),4),1,""),""))</f>
        <v>E</v>
      </c>
      <c r="D463" s="791" t="s">
        <v>1357</v>
      </c>
      <c r="E463" s="791" t="s">
        <v>1279</v>
      </c>
      <c r="F463" s="1314"/>
      <c r="G463" s="1314"/>
      <c r="H463" s="1314"/>
      <c r="I463" s="1274" t="str">
        <f t="shared" si="48"/>
        <v>Special Pricing Code</v>
      </c>
      <c r="J463" s="1314" t="str">
        <f t="shared" si="50"/>
        <v>F432</v>
      </c>
      <c r="K463" s="1314" t="str">
        <f t="shared" si="49"/>
        <v>Pricing Schedule</v>
      </c>
      <c r="L463" s="827" t="s">
        <v>1282</v>
      </c>
      <c r="M463" s="1314">
        <v>432</v>
      </c>
      <c r="N463" s="1314"/>
      <c r="O463" s="1311"/>
      <c r="P463" s="1311"/>
      <c r="Q463" s="1311"/>
      <c r="R463" s="1311"/>
      <c r="S463" s="1311"/>
      <c r="T463" s="1311"/>
      <c r="U463" s="1311"/>
      <c r="V463" s="1311"/>
      <c r="W463" s="1311"/>
      <c r="X463" s="1311"/>
      <c r="Y463" s="1311"/>
      <c r="Z463" s="1311"/>
    </row>
    <row r="464" spans="1:26" x14ac:dyDescent="0.25">
      <c r="A464" s="851" t="s">
        <v>1284</v>
      </c>
      <c r="B464" s="1274" t="str">
        <f ca="1">IF('Pricing Schedule'!$K$5="No",_xlfn.CONCAT(IFERROR(SUBSTITUTE(ADDRESS(1,MATCH(A464,INDIRECT("'"&amp;E464&amp;"'"&amp;"!A10:Z10"),0),4),1,""),""),25),_xlfn.CONCAT(IFERROR(SUBSTITUTE(ADDRESS(1,MATCH(A464,INDIRECT("'"&amp;E464&amp;"'"&amp;"!A10:Z10"),0),4),1,""),""),59))</f>
        <v>G25</v>
      </c>
      <c r="C464" s="1274" t="str">
        <f ca="1">IF('Pricing Schedule'!$K$5="No",IFERROR(SUBSTITUTE(ADDRESS(1,MATCH(A464,INDIRECT("'"&amp;E464&amp;"'"&amp;"!A10:Z10"),0),4),1,""),""),IFERROR(SUBSTITUTE(ADDRESS(1,MATCH(A464,INDIRECT("'"&amp;E464&amp;"'"&amp;"!A10:Z10"),0),4),1,""),""))</f>
        <v>G</v>
      </c>
      <c r="D464" s="791" t="s">
        <v>1357</v>
      </c>
      <c r="E464" s="791" t="s">
        <v>1279</v>
      </c>
      <c r="F464" s="1097"/>
      <c r="G464" s="1314"/>
      <c r="H464" s="1314"/>
      <c r="I464" s="1274" t="str">
        <f t="shared" si="48"/>
        <v>EB Markup Amt</v>
      </c>
      <c r="J464" s="1314" t="str">
        <f t="shared" si="50"/>
        <v>F433</v>
      </c>
      <c r="K464" s="1314" t="str">
        <f t="shared" si="49"/>
        <v>Pricing Schedule</v>
      </c>
      <c r="L464" s="827" t="s">
        <v>1284</v>
      </c>
      <c r="M464" s="1314">
        <v>433</v>
      </c>
      <c r="N464" s="1314"/>
      <c r="O464" s="1311"/>
      <c r="P464" s="1311"/>
      <c r="Q464" s="1311"/>
      <c r="R464" s="1311"/>
      <c r="S464" s="1311"/>
      <c r="T464" s="1311"/>
      <c r="U464" s="1311"/>
      <c r="V464" s="1311"/>
      <c r="W464" s="1311"/>
      <c r="X464" s="1311"/>
      <c r="Y464" s="1311"/>
      <c r="Z464" s="1311"/>
    </row>
    <row r="465" spans="1:26" x14ac:dyDescent="0.25">
      <c r="A465" s="851" t="s">
        <v>1285</v>
      </c>
      <c r="B465" s="1274" t="str">
        <f ca="1">IF('Pricing Schedule'!$K$5="No",_xlfn.CONCAT(IFERROR(SUBSTITUTE(ADDRESS(1,MATCH(A465,INDIRECT("'"&amp;E465&amp;"'"&amp;"!A10:Z10"),0),4),1,""),""),25),_xlfn.CONCAT(IFERROR(SUBSTITUTE(ADDRESS(1,MATCH(A465,INDIRECT("'"&amp;E465&amp;"'"&amp;"!A10:Z10"),0),4),1,""),""),59))</f>
        <v>I25</v>
      </c>
      <c r="C465" s="1274" t="str">
        <f ca="1">IF('Pricing Schedule'!$K$5="No",IFERROR(SUBSTITUTE(ADDRESS(1,MATCH(A465,INDIRECT("'"&amp;E465&amp;"'"&amp;"!A10:Z10"),0),4),1,""),""),IFERROR(SUBSTITUTE(ADDRESS(1,MATCH(A465,INDIRECT("'"&amp;E465&amp;"'"&amp;"!A10:Z10"),0),4),1,""),""))</f>
        <v>I</v>
      </c>
      <c r="D465" s="791" t="s">
        <v>1357</v>
      </c>
      <c r="E465" s="791" t="s">
        <v>1279</v>
      </c>
      <c r="F465" s="1097"/>
      <c r="G465" s="1314"/>
      <c r="H465" s="1314"/>
      <c r="I465" s="1274" t="str">
        <f t="shared" si="48"/>
        <v>Min CS Markup Override Flag</v>
      </c>
      <c r="J465" s="1314" t="str">
        <f t="shared" si="50"/>
        <v>F434</v>
      </c>
      <c r="K465" s="1314" t="str">
        <f t="shared" si="49"/>
        <v>Pricing Schedule</v>
      </c>
      <c r="L465" s="827" t="s">
        <v>1285</v>
      </c>
      <c r="M465" s="1314">
        <v>434</v>
      </c>
      <c r="N465" s="1314"/>
      <c r="O465" s="1311"/>
      <c r="P465" s="1311"/>
      <c r="Q465" s="1311"/>
      <c r="R465" s="1311"/>
      <c r="S465" s="1311"/>
      <c r="T465" s="1311"/>
      <c r="U465" s="1311"/>
      <c r="V465" s="1311"/>
      <c r="W465" s="1311"/>
      <c r="X465" s="1311"/>
      <c r="Y465" s="1311"/>
      <c r="Z465" s="1311"/>
    </row>
    <row r="466" spans="1:26" x14ac:dyDescent="0.25">
      <c r="A466" s="851" t="s">
        <v>1286</v>
      </c>
      <c r="B466" s="1274" t="str">
        <f ca="1">IF('Pricing Schedule'!$K$5="No",_xlfn.CONCAT(IFERROR(SUBSTITUTE(ADDRESS(1,MATCH(A466,INDIRECT("'"&amp;E466&amp;"'"&amp;"!A10:Z10"),0),4),1,""),""),25),_xlfn.CONCAT(IFERROR(SUBSTITUTE(ADDRESS(1,MATCH(A466,INDIRECT("'"&amp;E466&amp;"'"&amp;"!A10:Z10"),0),4),1,""),""),59))</f>
        <v>J25</v>
      </c>
      <c r="C466" s="1274" t="str">
        <f ca="1">IF('Pricing Schedule'!$K$5="No",IFERROR(SUBSTITUTE(ADDRESS(1,MATCH(A466,INDIRECT("'"&amp;E466&amp;"'"&amp;"!A10:Z10"),0),4),1,""),""),IFERROR(SUBSTITUTE(ADDRESS(1,MATCH(A466,INDIRECT("'"&amp;E466&amp;"'"&amp;"!A10:Z10"),0),4),1,""),""))</f>
        <v>J</v>
      </c>
      <c r="D466" s="791" t="s">
        <v>1357</v>
      </c>
      <c r="E466" s="791" t="s">
        <v>1279</v>
      </c>
      <c r="F466" s="1097"/>
      <c r="G466" s="1314"/>
      <c r="H466" s="1314"/>
      <c r="I466" s="1274" t="str">
        <f t="shared" si="48"/>
        <v>Min CS Markup Amt</v>
      </c>
      <c r="J466" s="1314" t="str">
        <f t="shared" si="50"/>
        <v>F435</v>
      </c>
      <c r="K466" s="1314" t="str">
        <f t="shared" si="49"/>
        <v>Pricing Schedule</v>
      </c>
      <c r="L466" s="827" t="s">
        <v>1286</v>
      </c>
      <c r="M466" s="1314">
        <v>435</v>
      </c>
      <c r="N466" s="1314"/>
      <c r="O466" s="1311"/>
      <c r="P466" s="1311"/>
      <c r="Q466" s="1311"/>
      <c r="R466" s="1311"/>
      <c r="S466" s="1311"/>
      <c r="T466" s="1311"/>
      <c r="U466" s="1311"/>
      <c r="V466" s="1311"/>
      <c r="W466" s="1311"/>
      <c r="X466" s="1311"/>
      <c r="Y466" s="1311"/>
      <c r="Z466" s="1311"/>
    </row>
    <row r="467" spans="1:26" x14ac:dyDescent="0.25">
      <c r="A467" s="851" t="s">
        <v>1287</v>
      </c>
      <c r="B467" s="1274" t="str">
        <f ca="1">IF('Pricing Schedule'!$K$5="No",_xlfn.CONCAT(IFERROR(SUBSTITUTE(ADDRESS(1,MATCH(A467,INDIRECT("'"&amp;E467&amp;"'"&amp;"!A10:Z10"),0),4),1,""),""),25),_xlfn.CONCAT(IFERROR(SUBSTITUTE(ADDRESS(1,MATCH(A467,INDIRECT("'"&amp;E467&amp;"'"&amp;"!A10:Z10"),0),4),1,""),""),59))</f>
        <v>K25</v>
      </c>
      <c r="C467" s="1274" t="str">
        <f ca="1">IF('Pricing Schedule'!$K$5="No",IFERROR(SUBSTITUTE(ADDRESS(1,MATCH(A467,INDIRECT("'"&amp;E467&amp;"'"&amp;"!A10:Z10"),0),4),1,""),""),IFERROR(SUBSTITUTE(ADDRESS(1,MATCH(A467,INDIRECT("'"&amp;E467&amp;"'"&amp;"!A10:Z10"),0),4),1,""),""))</f>
        <v>K</v>
      </c>
      <c r="D467" s="791" t="s">
        <v>1357</v>
      </c>
      <c r="E467" s="791" t="s">
        <v>1279</v>
      </c>
      <c r="F467" s="1097"/>
      <c r="G467" s="1314"/>
      <c r="H467" s="1314"/>
      <c r="I467" s="1274" t="str">
        <f t="shared" si="48"/>
        <v>Split Case Fee Override Flag</v>
      </c>
      <c r="J467" s="1314" t="str">
        <f t="shared" si="50"/>
        <v>F436</v>
      </c>
      <c r="K467" s="1314" t="str">
        <f t="shared" si="49"/>
        <v>Pricing Schedule</v>
      </c>
      <c r="L467" s="827" t="s">
        <v>1287</v>
      </c>
      <c r="M467" s="1314">
        <v>436</v>
      </c>
      <c r="N467" s="1314"/>
      <c r="O467" s="1311"/>
      <c r="P467" s="1311"/>
      <c r="Q467" s="1311"/>
      <c r="R467" s="1311"/>
      <c r="S467" s="1311"/>
      <c r="T467" s="1311"/>
      <c r="U467" s="1311"/>
      <c r="V467" s="1311"/>
      <c r="W467" s="1311"/>
      <c r="X467" s="1311"/>
      <c r="Y467" s="1311"/>
      <c r="Z467" s="1311"/>
    </row>
    <row r="468" spans="1:26" x14ac:dyDescent="0.25">
      <c r="A468" s="851" t="s">
        <v>1288</v>
      </c>
      <c r="B468" s="1274" t="str">
        <f ca="1">IF('Pricing Schedule'!$K$5="No",_xlfn.CONCAT(IFERROR(SUBSTITUTE(ADDRESS(1,MATCH(A468,INDIRECT("'"&amp;E468&amp;"'"&amp;"!A10:Z10"),0),4),1,""),""),25),_xlfn.CONCAT(IFERROR(SUBSTITUTE(ADDRESS(1,MATCH(A468,INDIRECT("'"&amp;E468&amp;"'"&amp;"!A10:Z10"),0),4),1,""),""),59))</f>
        <v>L25</v>
      </c>
      <c r="C468" s="1274" t="str">
        <f ca="1">IF('Pricing Schedule'!$K$5="No",IFERROR(SUBSTITUTE(ADDRESS(1,MATCH(A468,INDIRECT("'"&amp;E468&amp;"'"&amp;"!A10:Z10"),0),4),1,""),""),IFERROR(SUBSTITUTE(ADDRESS(1,MATCH(A468,INDIRECT("'"&amp;E468&amp;"'"&amp;"!A10:Z10"),0),4),1,""),""))</f>
        <v>L</v>
      </c>
      <c r="D468" s="791" t="s">
        <v>1357</v>
      </c>
      <c r="E468" s="791" t="s">
        <v>1279</v>
      </c>
      <c r="F468" s="1097"/>
      <c r="G468" s="1314"/>
      <c r="H468" s="1314"/>
      <c r="I468" s="1274" t="str">
        <f t="shared" si="48"/>
        <v>Split Case Fee</v>
      </c>
      <c r="J468" s="1314" t="str">
        <f t="shared" si="50"/>
        <v>F437</v>
      </c>
      <c r="K468" s="1314" t="str">
        <f t="shared" si="49"/>
        <v>Pricing Schedule</v>
      </c>
      <c r="L468" s="827" t="s">
        <v>1288</v>
      </c>
      <c r="M468" s="1314">
        <v>437</v>
      </c>
      <c r="N468" s="1314"/>
      <c r="O468" s="1311"/>
      <c r="P468" s="1311"/>
      <c r="Q468" s="1311"/>
      <c r="R468" s="1311"/>
      <c r="S468" s="1311"/>
      <c r="T468" s="1311"/>
      <c r="U468" s="1311"/>
      <c r="V468" s="1311"/>
      <c r="W468" s="1311"/>
      <c r="X468" s="1311"/>
      <c r="Y468" s="1311"/>
      <c r="Z468" s="1311"/>
    </row>
    <row r="469" spans="1:26" x14ac:dyDescent="0.25">
      <c r="A469" s="851" t="s">
        <v>1228</v>
      </c>
      <c r="B469" s="1274" t="str">
        <f ca="1">IF('Pricing Schedule'!$K$5="No",_xlfn.CONCAT(IFERROR(SUBSTITUTE(ADDRESS(1,MATCH(A469,INDIRECT("'"&amp;E469&amp;"'"&amp;"!A10:Z10"),0),4),1,""),""),25),_xlfn.CONCAT(IFERROR(SUBSTITUTE(ADDRESS(1,MATCH(A469,INDIRECT("'"&amp;E469&amp;"'"&amp;"!A10:Z10"),0),4),1,""),""),59))</f>
        <v>M25</v>
      </c>
      <c r="C469" s="1274" t="str">
        <f ca="1">IF('Pricing Schedule'!$K$5="No",IFERROR(SUBSTITUTE(ADDRESS(1,MATCH(A469,INDIRECT("'"&amp;E469&amp;"'"&amp;"!A10:Z10"),0),4),1,""),""),IFERROR(SUBSTITUTE(ADDRESS(1,MATCH(A469,INDIRECT("'"&amp;E469&amp;"'"&amp;"!A10:Z10"),0),4),1,""),""))</f>
        <v>M</v>
      </c>
      <c r="D469" s="791" t="s">
        <v>1357</v>
      </c>
      <c r="E469" s="791" t="s">
        <v>1279</v>
      </c>
      <c r="F469" s="1097"/>
      <c r="G469" s="1314"/>
      <c r="H469" s="1314"/>
      <c r="I469" s="1274" t="str">
        <f t="shared" si="48"/>
        <v>Split Case Per</v>
      </c>
      <c r="J469" s="1314" t="str">
        <f t="shared" si="50"/>
        <v>F438</v>
      </c>
      <c r="K469" s="1314" t="str">
        <f t="shared" si="49"/>
        <v>Pricing Schedule</v>
      </c>
      <c r="L469" s="827" t="s">
        <v>1228</v>
      </c>
      <c r="M469" s="1314">
        <v>438</v>
      </c>
      <c r="N469" s="1314"/>
      <c r="O469" s="1311"/>
      <c r="P469" s="1311"/>
      <c r="Q469" s="1311"/>
      <c r="R469" s="1311"/>
      <c r="S469" s="1311"/>
      <c r="T469" s="1311"/>
      <c r="U469" s="1311"/>
      <c r="V469" s="1311"/>
      <c r="W469" s="1311"/>
      <c r="X469" s="1311"/>
      <c r="Y469" s="1311"/>
      <c r="Z469" s="1311"/>
    </row>
    <row r="470" spans="1:26" x14ac:dyDescent="0.25">
      <c r="A470" s="846" t="s">
        <v>1289</v>
      </c>
      <c r="B470" s="1274" t="str">
        <f ca="1">IF('Pricing Schedule'!$K$5="No",_xlfn.CONCAT(IFERROR(SUBSTITUTE(ADDRESS(1,MATCH(A470,INDIRECT("'"&amp;E470&amp;"'"&amp;"!A10:Z10"),0),4),1,""),""),26),_xlfn.CONCAT(IFERROR(SUBSTITUTE(ADDRESS(1,MATCH(A470,INDIRECT("'"&amp;E470&amp;"'"&amp;"!A10:Z10"),0),4),1,""),""),60))</f>
        <v>N26</v>
      </c>
      <c r="C470" s="1274" t="str">
        <f ca="1">IF('Pricing Schedule'!$K$5="No",IFERROR(SUBSTITUTE(ADDRESS(1,MATCH(A470,INDIRECT("'"&amp;E470&amp;"'"&amp;"!A10:Z10"),0),4),1,""),""),IFERROR(SUBSTITUTE(ADDRESS(1,MATCH(A470,INDIRECT("'"&amp;E470&amp;"'"&amp;"!A10:Z10"),0),4),1,""),""))</f>
        <v>N</v>
      </c>
      <c r="D470" s="791" t="s">
        <v>1357</v>
      </c>
      <c r="E470" s="791" t="s">
        <v>1279</v>
      </c>
      <c r="F470" s="1314"/>
      <c r="G470" s="1314"/>
      <c r="H470" s="1314"/>
      <c r="I470" s="1274" t="str">
        <f t="shared" si="48"/>
        <v/>
      </c>
      <c r="J470" s="1314"/>
      <c r="K470" s="1314" t="str">
        <f t="shared" si="49"/>
        <v/>
      </c>
      <c r="L470" s="827" t="s">
        <v>1289</v>
      </c>
      <c r="M470" s="1314">
        <v>439</v>
      </c>
      <c r="N470" s="1314"/>
      <c r="O470" s="1311"/>
      <c r="P470" s="1311"/>
      <c r="Q470" s="1311"/>
      <c r="R470" s="1311"/>
      <c r="S470" s="1311"/>
      <c r="T470" s="1311"/>
      <c r="U470" s="1311"/>
      <c r="V470" s="1311"/>
      <c r="W470" s="1311"/>
      <c r="X470" s="1311"/>
      <c r="Y470" s="1311"/>
      <c r="Z470" s="1311"/>
    </row>
    <row r="471" spans="1:26" x14ac:dyDescent="0.25">
      <c r="A471" s="847" t="s">
        <v>1280</v>
      </c>
      <c r="B471" s="1274" t="str">
        <f ca="1">IF('Pricing Schedule'!$K$5="No",_xlfn.CONCAT(IFERROR(SUBSTITUTE(ADDRESS(1,MATCH(A471,INDIRECT("'"&amp;E471&amp;"'"&amp;"!A10:Z10"),0),4),1,""),""),26),_xlfn.CONCAT(IFERROR(SUBSTITUTE(ADDRESS(1,MATCH(A471,INDIRECT("'"&amp;E471&amp;"'"&amp;"!A10:Z10"),0),4),1,""),""),60))</f>
        <v>C26</v>
      </c>
      <c r="C471" s="1274" t="str">
        <f ca="1">IF('Pricing Schedule'!$K$5="No",IFERROR(SUBSTITUTE(ADDRESS(1,MATCH(A471,INDIRECT("'"&amp;E471&amp;"'"&amp;"!A10:Z10"),0),4),1,""),""),IFERROR(SUBSTITUTE(ADDRESS(1,MATCH(A471,INDIRECT("'"&amp;E471&amp;"'"&amp;"!A10:Z10"),0),4),1,""),""))</f>
        <v>C</v>
      </c>
      <c r="D471" s="791" t="s">
        <v>1357</v>
      </c>
      <c r="E471" s="791" t="s">
        <v>1279</v>
      </c>
      <c r="F471" s="1314"/>
      <c r="G471" s="1314"/>
      <c r="H471" s="1314"/>
      <c r="I471" s="1274" t="str">
        <f t="shared" si="48"/>
        <v/>
      </c>
      <c r="J471" s="1314"/>
      <c r="K471" s="1314" t="str">
        <f t="shared" si="49"/>
        <v/>
      </c>
      <c r="L471" s="827" t="s">
        <v>252</v>
      </c>
      <c r="M471" s="1314">
        <v>440</v>
      </c>
      <c r="N471" s="1314"/>
      <c r="O471" s="1311"/>
      <c r="P471" s="1311"/>
      <c r="Q471" s="1311"/>
      <c r="R471" s="1311"/>
      <c r="S471" s="1311"/>
      <c r="T471" s="1311"/>
      <c r="U471" s="1311"/>
      <c r="V471" s="1311"/>
      <c r="W471" s="1311"/>
      <c r="X471" s="1311"/>
      <c r="Y471" s="1311"/>
      <c r="Z471" s="1311"/>
    </row>
    <row r="472" spans="1:26" x14ac:dyDescent="0.25">
      <c r="A472" s="847" t="s">
        <v>1246</v>
      </c>
      <c r="B472" s="1274" t="str">
        <f ca="1">IF('Pricing Schedule'!$K$5="No",_xlfn.CONCAT(IFERROR(SUBSTITUTE(ADDRESS(1,MATCH(A472,INDIRECT("'"&amp;E472&amp;"'"&amp;"!A10:Z10"),0),4),1,""),""),26),_xlfn.CONCAT(IFERROR(SUBSTITUTE(ADDRESS(1,MATCH(A472,INDIRECT("'"&amp;E472&amp;"'"&amp;"!A10:Z10"),0),4),1,""),""),60))</f>
        <v>H26</v>
      </c>
      <c r="C472" s="1274" t="str">
        <f ca="1">IF('Pricing Schedule'!$K$5="No",IFERROR(SUBSTITUTE(ADDRESS(1,MATCH(A472,INDIRECT("'"&amp;E472&amp;"'"&amp;"!A10:Z10"),0),4),1,""),""),IFERROR(SUBSTITUTE(ADDRESS(1,MATCH(A472,INDIRECT("'"&amp;E472&amp;"'"&amp;"!A10:Z10"),0),4),1,""),""))</f>
        <v>H</v>
      </c>
      <c r="D472" s="791" t="s">
        <v>1357</v>
      </c>
      <c r="E472" s="791" t="s">
        <v>1279</v>
      </c>
      <c r="F472" s="1314"/>
      <c r="G472" s="1314"/>
      <c r="H472" s="1314"/>
      <c r="I472" s="1274" t="str">
        <f t="shared" si="48"/>
        <v/>
      </c>
      <c r="J472" s="1314"/>
      <c r="K472" s="1314" t="str">
        <f t="shared" si="49"/>
        <v/>
      </c>
      <c r="L472" s="827" t="s">
        <v>1246</v>
      </c>
      <c r="M472" s="1314">
        <v>441</v>
      </c>
      <c r="N472" s="1314"/>
      <c r="O472" s="1311"/>
      <c r="P472" s="1311"/>
      <c r="Q472" s="1311"/>
      <c r="R472" s="1311"/>
      <c r="S472" s="1311"/>
      <c r="T472" s="1311"/>
      <c r="U472" s="1311"/>
      <c r="V472" s="1311"/>
      <c r="W472" s="1311"/>
      <c r="X472" s="1311"/>
      <c r="Y472" s="1311"/>
      <c r="Z472" s="1311"/>
    </row>
    <row r="473" spans="1:26" x14ac:dyDescent="0.25">
      <c r="A473" s="847" t="s">
        <v>1283</v>
      </c>
      <c r="B473" s="1274" t="str">
        <f ca="1">IF('Pricing Schedule'!$K$5="No",_xlfn.CONCAT(IFERROR(SUBSTITUTE(ADDRESS(1,MATCH(A473,INDIRECT("'"&amp;E473&amp;"'"&amp;"!A10:Z10"),0),4),1,""),""),26),_xlfn.CONCAT(IFERROR(SUBSTITUTE(ADDRESS(1,MATCH(A473,INDIRECT("'"&amp;E473&amp;"'"&amp;"!A10:Z10"),0),4),1,""),""),60))</f>
        <v>F26</v>
      </c>
      <c r="C473" s="1274" t="str">
        <f ca="1">IF('Pricing Schedule'!$K$5="No",IFERROR(SUBSTITUTE(ADDRESS(1,MATCH(A473,INDIRECT("'"&amp;E473&amp;"'"&amp;"!A10:Z10"),0),4),1,""),""),IFERROR(SUBSTITUTE(ADDRESS(1,MATCH(A473,INDIRECT("'"&amp;E473&amp;"'"&amp;"!A10:Z10"),0),4),1,""),""))</f>
        <v>F</v>
      </c>
      <c r="D473" s="791" t="s">
        <v>1357</v>
      </c>
      <c r="E473" s="791" t="s">
        <v>1279</v>
      </c>
      <c r="F473" s="1314"/>
      <c r="G473" s="1314"/>
      <c r="H473" s="1314"/>
      <c r="I473" s="1274" t="str">
        <f t="shared" si="48"/>
        <v/>
      </c>
      <c r="J473" s="1314"/>
      <c r="K473" s="1314" t="str">
        <f t="shared" si="49"/>
        <v/>
      </c>
      <c r="L473" s="827" t="s">
        <v>225</v>
      </c>
      <c r="M473" s="1314">
        <v>442</v>
      </c>
      <c r="N473" s="1314"/>
      <c r="O473" s="1311"/>
      <c r="P473" s="1311"/>
      <c r="Q473" s="1311"/>
      <c r="R473" s="1311"/>
      <c r="S473" s="1311"/>
      <c r="T473" s="1311"/>
      <c r="U473" s="1311"/>
      <c r="V473" s="1311"/>
      <c r="W473" s="1311"/>
      <c r="X473" s="1311"/>
      <c r="Y473" s="1311"/>
      <c r="Z473" s="1311"/>
    </row>
    <row r="474" spans="1:26" x14ac:dyDescent="0.25">
      <c r="A474" s="848" t="s">
        <v>463</v>
      </c>
      <c r="B474" s="1274" t="str">
        <f ca="1">_xlfn.CONCAT(IFERROR(SUBSTITUTE(ADDRESS(1,MATCH(A474,INDIRECT("'"&amp;E474&amp;"'"&amp;"!A9:Z9"),0),4),1,""),""),26)</f>
        <v>E26</v>
      </c>
      <c r="C474" s="1274" t="str">
        <f ca="1">_xlfn.CONCAT(IFERROR(SUBSTITUTE(ADDRESS(1,MATCH(A474,INDIRECT("'"&amp;E474&amp;"'"&amp;"!A9:Z9"),0),4),1,""),""))</f>
        <v>E</v>
      </c>
      <c r="D474" s="1314" t="s">
        <v>1357</v>
      </c>
      <c r="E474" s="791" t="s">
        <v>208</v>
      </c>
      <c r="F474" s="1314"/>
      <c r="G474" s="1314"/>
      <c r="H474" s="1314"/>
      <c r="I474" s="1274" t="str">
        <f t="shared" si="48"/>
        <v>Exclude PIM Classes Below</v>
      </c>
      <c r="J474" s="1314" t="str">
        <f t="shared" si="50"/>
        <v>F443</v>
      </c>
      <c r="K474" s="1314" t="str">
        <f t="shared" si="49"/>
        <v>PIM Model</v>
      </c>
      <c r="L474" s="827" t="s">
        <v>463</v>
      </c>
      <c r="M474" s="1314">
        <v>443</v>
      </c>
      <c r="N474" s="1314"/>
      <c r="O474" s="1311"/>
      <c r="P474" s="1311"/>
      <c r="Q474" s="1311"/>
      <c r="R474" s="1311"/>
      <c r="S474" s="1311"/>
      <c r="T474" s="1311"/>
      <c r="U474" s="1311"/>
      <c r="V474" s="1311"/>
      <c r="W474" s="1311"/>
      <c r="X474" s="1311"/>
      <c r="Y474" s="1311"/>
      <c r="Z474" s="1311"/>
    </row>
    <row r="475" spans="1:26" x14ac:dyDescent="0.25">
      <c r="A475" s="848" t="s">
        <v>1282</v>
      </c>
      <c r="B475" s="1274" t="str">
        <f ca="1">IF('Pricing Schedule'!$K$5="No",_xlfn.CONCAT(IFERROR(SUBSTITUTE(ADDRESS(1,MATCH(A475,INDIRECT("'"&amp;E475&amp;"'"&amp;"!A10:Z10"),0),4),1,""),""),26),_xlfn.CONCAT(IFERROR(SUBSTITUTE(ADDRESS(1,MATCH(A475,INDIRECT("'"&amp;E475&amp;"'"&amp;"!A10:Z10"),0),4),1,""),""),60))</f>
        <v>E26</v>
      </c>
      <c r="C475" s="1274" t="str">
        <f ca="1">IF('Pricing Schedule'!$K$5="No",IFERROR(SUBSTITUTE(ADDRESS(1,MATCH(A475,INDIRECT("'"&amp;E475&amp;"'"&amp;"!A10:Z10"),0),4),1,""),""),IFERROR(SUBSTITUTE(ADDRESS(1,MATCH(A475,INDIRECT("'"&amp;E475&amp;"'"&amp;"!A10:Z10"),0),4),1,""),""))</f>
        <v>E</v>
      </c>
      <c r="D475" s="791" t="s">
        <v>1357</v>
      </c>
      <c r="E475" s="791" t="s">
        <v>1279</v>
      </c>
      <c r="F475" s="1314"/>
      <c r="G475" s="1314"/>
      <c r="H475" s="1314"/>
      <c r="I475" s="1274" t="str">
        <f t="shared" si="48"/>
        <v>Special Pricing Code</v>
      </c>
      <c r="J475" s="1314" t="str">
        <f t="shared" si="50"/>
        <v>F444</v>
      </c>
      <c r="K475" s="1314" t="str">
        <f t="shared" si="49"/>
        <v>Pricing Schedule</v>
      </c>
      <c r="L475" s="827" t="s">
        <v>1282</v>
      </c>
      <c r="M475" s="1314">
        <v>444</v>
      </c>
      <c r="N475" s="1314"/>
      <c r="O475" s="1311"/>
      <c r="P475" s="1311"/>
      <c r="Q475" s="1311"/>
      <c r="R475" s="1311"/>
      <c r="S475" s="1311"/>
      <c r="T475" s="1311"/>
      <c r="U475" s="1311"/>
      <c r="V475" s="1311"/>
      <c r="W475" s="1311"/>
      <c r="X475" s="1311"/>
      <c r="Y475" s="1311"/>
      <c r="Z475" s="1311"/>
    </row>
    <row r="476" spans="1:26" x14ac:dyDescent="0.25">
      <c r="A476" s="848" t="s">
        <v>1284</v>
      </c>
      <c r="B476" s="1274" t="str">
        <f ca="1">IF('Pricing Schedule'!$K$5="No",_xlfn.CONCAT(IFERROR(SUBSTITUTE(ADDRESS(1,MATCH(A476,INDIRECT("'"&amp;E476&amp;"'"&amp;"!A10:Z10"),0),4),1,""),""),26),_xlfn.CONCAT(IFERROR(SUBSTITUTE(ADDRESS(1,MATCH(A476,INDIRECT("'"&amp;E476&amp;"'"&amp;"!A10:Z10"),0),4),1,""),""),60))</f>
        <v>G26</v>
      </c>
      <c r="C476" s="1274" t="str">
        <f ca="1">IF('Pricing Schedule'!$K$5="No",IFERROR(SUBSTITUTE(ADDRESS(1,MATCH(A476,INDIRECT("'"&amp;E476&amp;"'"&amp;"!A10:Z10"),0),4),1,""),""),IFERROR(SUBSTITUTE(ADDRESS(1,MATCH(A476,INDIRECT("'"&amp;E476&amp;"'"&amp;"!A10:Z10"),0),4),1,""),""))</f>
        <v>G</v>
      </c>
      <c r="D476" s="791" t="s">
        <v>1357</v>
      </c>
      <c r="E476" s="791" t="s">
        <v>1279</v>
      </c>
      <c r="F476" s="1097"/>
      <c r="G476" s="1314"/>
      <c r="H476" s="1314"/>
      <c r="I476" s="1274" t="str">
        <f t="shared" si="48"/>
        <v>EB Markup Amt</v>
      </c>
      <c r="J476" s="1314" t="str">
        <f t="shared" si="50"/>
        <v>F445</v>
      </c>
      <c r="K476" s="1314" t="str">
        <f t="shared" si="49"/>
        <v>Pricing Schedule</v>
      </c>
      <c r="L476" s="827" t="s">
        <v>1284</v>
      </c>
      <c r="M476" s="1314">
        <v>445</v>
      </c>
      <c r="N476" s="1314"/>
      <c r="O476" s="1311"/>
      <c r="P476" s="1311"/>
      <c r="Q476" s="1311"/>
      <c r="R476" s="1311"/>
      <c r="S476" s="1311"/>
      <c r="T476" s="1311"/>
      <c r="U476" s="1311"/>
      <c r="V476" s="1311"/>
      <c r="W476" s="1311"/>
      <c r="X476" s="1311"/>
      <c r="Y476" s="1311"/>
      <c r="Z476" s="1311"/>
    </row>
    <row r="477" spans="1:26" x14ac:dyDescent="0.25">
      <c r="A477" s="848" t="s">
        <v>1285</v>
      </c>
      <c r="B477" s="1274" t="str">
        <f ca="1">IF('Pricing Schedule'!$K$5="No",_xlfn.CONCAT(IFERROR(SUBSTITUTE(ADDRESS(1,MATCH(A477,INDIRECT("'"&amp;E477&amp;"'"&amp;"!A10:Z10"),0),4),1,""),""),26),_xlfn.CONCAT(IFERROR(SUBSTITUTE(ADDRESS(1,MATCH(A477,INDIRECT("'"&amp;E477&amp;"'"&amp;"!A10:Z10"),0),4),1,""),""),60))</f>
        <v>I26</v>
      </c>
      <c r="C477" s="1274" t="str">
        <f ca="1">IF('Pricing Schedule'!$K$5="No",IFERROR(SUBSTITUTE(ADDRESS(1,MATCH(A477,INDIRECT("'"&amp;E477&amp;"'"&amp;"!A10:Z10"),0),4),1,""),""),IFERROR(SUBSTITUTE(ADDRESS(1,MATCH(A477,INDIRECT("'"&amp;E477&amp;"'"&amp;"!A10:Z10"),0),4),1,""),""))</f>
        <v>I</v>
      </c>
      <c r="D477" s="791" t="s">
        <v>1357</v>
      </c>
      <c r="E477" s="791" t="s">
        <v>1279</v>
      </c>
      <c r="F477" s="1097"/>
      <c r="G477" s="1314"/>
      <c r="H477" s="1314"/>
      <c r="I477" s="1274" t="str">
        <f t="shared" si="48"/>
        <v>Min CS Markup Override Flag</v>
      </c>
      <c r="J477" s="1314" t="str">
        <f t="shared" si="50"/>
        <v>F446</v>
      </c>
      <c r="K477" s="1314" t="str">
        <f t="shared" si="49"/>
        <v>Pricing Schedule</v>
      </c>
      <c r="L477" s="827" t="s">
        <v>1285</v>
      </c>
      <c r="M477" s="1314">
        <v>446</v>
      </c>
      <c r="N477" s="1314"/>
      <c r="O477" s="1311"/>
      <c r="P477" s="1311"/>
      <c r="Q477" s="1311"/>
      <c r="R477" s="1311"/>
      <c r="S477" s="1311"/>
      <c r="T477" s="1311"/>
      <c r="U477" s="1311"/>
      <c r="V477" s="1311"/>
      <c r="W477" s="1311"/>
      <c r="X477" s="1311"/>
      <c r="Y477" s="1311"/>
      <c r="Z477" s="1311"/>
    </row>
    <row r="478" spans="1:26" x14ac:dyDescent="0.25">
      <c r="A478" s="848" t="s">
        <v>1286</v>
      </c>
      <c r="B478" s="1274" t="str">
        <f ca="1">IF('Pricing Schedule'!$K$5="No",_xlfn.CONCAT(IFERROR(SUBSTITUTE(ADDRESS(1,MATCH(A478,INDIRECT("'"&amp;E478&amp;"'"&amp;"!A10:Z10"),0),4),1,""),""),26),_xlfn.CONCAT(IFERROR(SUBSTITUTE(ADDRESS(1,MATCH(A478,INDIRECT("'"&amp;E478&amp;"'"&amp;"!A10:Z10"),0),4),1,""),""),60))</f>
        <v>J26</v>
      </c>
      <c r="C478" s="1274" t="str">
        <f ca="1">IF('Pricing Schedule'!$K$5="No",IFERROR(SUBSTITUTE(ADDRESS(1,MATCH(A478,INDIRECT("'"&amp;E478&amp;"'"&amp;"!A10:Z10"),0),4),1,""),""),IFERROR(SUBSTITUTE(ADDRESS(1,MATCH(A478,INDIRECT("'"&amp;E478&amp;"'"&amp;"!A10:Z10"),0),4),1,""),""))</f>
        <v>J</v>
      </c>
      <c r="D478" s="791" t="s">
        <v>1357</v>
      </c>
      <c r="E478" s="791" t="s">
        <v>1279</v>
      </c>
      <c r="F478" s="1097"/>
      <c r="G478" s="1314"/>
      <c r="H478" s="1314"/>
      <c r="I478" s="1274" t="str">
        <f t="shared" si="48"/>
        <v>Min CS Markup Amt</v>
      </c>
      <c r="J478" s="1314" t="str">
        <f t="shared" si="50"/>
        <v>F447</v>
      </c>
      <c r="K478" s="1314" t="str">
        <f t="shared" si="49"/>
        <v>Pricing Schedule</v>
      </c>
      <c r="L478" s="827" t="s">
        <v>1286</v>
      </c>
      <c r="M478" s="1314">
        <v>447</v>
      </c>
      <c r="N478" s="1314"/>
      <c r="O478" s="1311"/>
      <c r="P478" s="1311"/>
      <c r="Q478" s="1311"/>
      <c r="R478" s="1311"/>
      <c r="S478" s="1311"/>
      <c r="T478" s="1311"/>
      <c r="U478" s="1311"/>
      <c r="V478" s="1311"/>
      <c r="W478" s="1311"/>
      <c r="X478" s="1311"/>
      <c r="Y478" s="1311"/>
      <c r="Z478" s="1311"/>
    </row>
    <row r="479" spans="1:26" x14ac:dyDescent="0.25">
      <c r="A479" s="848" t="s">
        <v>1287</v>
      </c>
      <c r="B479" s="1274" t="str">
        <f ca="1">IF('Pricing Schedule'!$K$5="No",_xlfn.CONCAT(IFERROR(SUBSTITUTE(ADDRESS(1,MATCH(A479,INDIRECT("'"&amp;E479&amp;"'"&amp;"!A10:Z10"),0),4),1,""),""),26),_xlfn.CONCAT(IFERROR(SUBSTITUTE(ADDRESS(1,MATCH(A479,INDIRECT("'"&amp;E479&amp;"'"&amp;"!A10:Z10"),0),4),1,""),""),60))</f>
        <v>K26</v>
      </c>
      <c r="C479" s="1274" t="str">
        <f ca="1">IF('Pricing Schedule'!$K$5="No",IFERROR(SUBSTITUTE(ADDRESS(1,MATCH(A479,INDIRECT("'"&amp;E479&amp;"'"&amp;"!A10:Z10"),0),4),1,""),""),IFERROR(SUBSTITUTE(ADDRESS(1,MATCH(A479,INDIRECT("'"&amp;E479&amp;"'"&amp;"!A10:Z10"),0),4),1,""),""))</f>
        <v>K</v>
      </c>
      <c r="D479" s="791" t="s">
        <v>1357</v>
      </c>
      <c r="E479" s="791" t="s">
        <v>1279</v>
      </c>
      <c r="F479" s="1097"/>
      <c r="G479" s="1314"/>
      <c r="H479" s="1314"/>
      <c r="I479" s="1274" t="str">
        <f t="shared" si="48"/>
        <v>Split Case Fee Override Flag</v>
      </c>
      <c r="J479" s="1314" t="str">
        <f t="shared" si="50"/>
        <v>F448</v>
      </c>
      <c r="K479" s="1314" t="str">
        <f t="shared" si="49"/>
        <v>Pricing Schedule</v>
      </c>
      <c r="L479" s="827" t="s">
        <v>1287</v>
      </c>
      <c r="M479" s="1314">
        <v>448</v>
      </c>
      <c r="N479" s="1314"/>
      <c r="O479" s="1311"/>
      <c r="P479" s="1311"/>
      <c r="Q479" s="1311"/>
      <c r="R479" s="1311"/>
      <c r="S479" s="1311"/>
      <c r="T479" s="1311"/>
      <c r="U479" s="1311"/>
      <c r="V479" s="1311"/>
      <c r="W479" s="1311"/>
      <c r="X479" s="1311"/>
      <c r="Y479" s="1311"/>
      <c r="Z479" s="1311"/>
    </row>
    <row r="480" spans="1:26" x14ac:dyDescent="0.25">
      <c r="A480" s="848" t="s">
        <v>1288</v>
      </c>
      <c r="B480" s="1274" t="str">
        <f ca="1">IF('Pricing Schedule'!$K$5="No",_xlfn.CONCAT(IFERROR(SUBSTITUTE(ADDRESS(1,MATCH(A480,INDIRECT("'"&amp;E480&amp;"'"&amp;"!A10:Z10"),0),4),1,""),""),26),_xlfn.CONCAT(IFERROR(SUBSTITUTE(ADDRESS(1,MATCH(A480,INDIRECT("'"&amp;E480&amp;"'"&amp;"!A10:Z10"),0),4),1,""),""),60))</f>
        <v>L26</v>
      </c>
      <c r="C480" s="1274" t="str">
        <f ca="1">IF('Pricing Schedule'!$K$5="No",IFERROR(SUBSTITUTE(ADDRESS(1,MATCH(A480,INDIRECT("'"&amp;E480&amp;"'"&amp;"!A10:Z10"),0),4),1,""),""),IFERROR(SUBSTITUTE(ADDRESS(1,MATCH(A480,INDIRECT("'"&amp;E480&amp;"'"&amp;"!A10:Z10"),0),4),1,""),""))</f>
        <v>L</v>
      </c>
      <c r="D480" s="791" t="s">
        <v>1357</v>
      </c>
      <c r="E480" s="791" t="s">
        <v>1279</v>
      </c>
      <c r="F480" s="1097"/>
      <c r="G480" s="1314"/>
      <c r="H480" s="1314"/>
      <c r="I480" s="1274" t="str">
        <f t="shared" si="48"/>
        <v>Split Case Fee</v>
      </c>
      <c r="J480" s="1314" t="str">
        <f t="shared" si="50"/>
        <v>F449</v>
      </c>
      <c r="K480" s="1314" t="str">
        <f t="shared" si="49"/>
        <v>Pricing Schedule</v>
      </c>
      <c r="L480" s="827" t="s">
        <v>1288</v>
      </c>
      <c r="M480" s="1314">
        <v>449</v>
      </c>
      <c r="N480" s="1314"/>
      <c r="O480" s="1311"/>
      <c r="P480" s="1311"/>
      <c r="Q480" s="1311"/>
      <c r="R480" s="1311"/>
      <c r="S480" s="1311"/>
      <c r="T480" s="1311"/>
      <c r="U480" s="1311"/>
      <c r="V480" s="1311"/>
      <c r="W480" s="1311"/>
      <c r="X480" s="1311"/>
      <c r="Y480" s="1311"/>
      <c r="Z480" s="1311"/>
    </row>
    <row r="481" spans="1:26" x14ac:dyDescent="0.25">
      <c r="A481" s="848" t="s">
        <v>1228</v>
      </c>
      <c r="B481" s="1274" t="str">
        <f ca="1">IF('Pricing Schedule'!$K$5="No",_xlfn.CONCAT(IFERROR(SUBSTITUTE(ADDRESS(1,MATCH(A481,INDIRECT("'"&amp;E481&amp;"'"&amp;"!A10:Z10"),0),4),1,""),""),26),_xlfn.CONCAT(IFERROR(SUBSTITUTE(ADDRESS(1,MATCH(A481,INDIRECT("'"&amp;E481&amp;"'"&amp;"!A10:Z10"),0),4),1,""),""),60))</f>
        <v>M26</v>
      </c>
      <c r="C481" s="1274" t="str">
        <f ca="1">IF('Pricing Schedule'!$K$5="No",IFERROR(SUBSTITUTE(ADDRESS(1,MATCH(A481,INDIRECT("'"&amp;E481&amp;"'"&amp;"!A10:Z10"),0),4),1,""),""),IFERROR(SUBSTITUTE(ADDRESS(1,MATCH(A481,INDIRECT("'"&amp;E481&amp;"'"&amp;"!A10:Z10"),0),4),1,""),""))</f>
        <v>M</v>
      </c>
      <c r="D481" s="791" t="s">
        <v>1357</v>
      </c>
      <c r="E481" s="791" t="s">
        <v>1279</v>
      </c>
      <c r="F481" s="1097"/>
      <c r="G481" s="1314"/>
      <c r="H481" s="1314"/>
      <c r="I481" s="1274" t="str">
        <f t="shared" si="48"/>
        <v>Split Case Per</v>
      </c>
      <c r="J481" s="1314" t="str">
        <f t="shared" si="50"/>
        <v>F450</v>
      </c>
      <c r="K481" s="1314" t="str">
        <f t="shared" si="49"/>
        <v>Pricing Schedule</v>
      </c>
      <c r="L481" s="827" t="s">
        <v>1228</v>
      </c>
      <c r="M481" s="1314">
        <v>450</v>
      </c>
      <c r="N481" s="1314"/>
      <c r="O481" s="1311"/>
      <c r="P481" s="1311"/>
      <c r="Q481" s="1311"/>
      <c r="R481" s="1311"/>
      <c r="S481" s="1311"/>
      <c r="T481" s="1311"/>
      <c r="U481" s="1311"/>
      <c r="V481" s="1311"/>
      <c r="W481" s="1311"/>
      <c r="X481" s="1311"/>
      <c r="Y481" s="1311"/>
      <c r="Z481" s="1311"/>
    </row>
    <row r="482" spans="1:26" x14ac:dyDescent="0.25">
      <c r="A482" s="849" t="s">
        <v>1289</v>
      </c>
      <c r="B482" s="1274" t="str">
        <f ca="1">IF('Pricing Schedule'!$K$5="No",_xlfn.CONCAT(IFERROR(SUBSTITUTE(ADDRESS(1,MATCH(A482,INDIRECT("'"&amp;E482&amp;"'"&amp;"!A10:Z10"),0),4),1,""),""),21),_xlfn.CONCAT(IFERROR(SUBSTITUTE(ADDRESS(1,MATCH(A482,INDIRECT("'"&amp;E482&amp;"'"&amp;"!A10:Z10"),0),4),1,""),""),55))</f>
        <v>N21</v>
      </c>
      <c r="C482" s="1274" t="str">
        <f ca="1">IF('Pricing Schedule'!$K$5="No",IFERROR(SUBSTITUTE(ADDRESS(1,MATCH(A482,INDIRECT("'"&amp;E482&amp;"'"&amp;"!A10:Z10"),0),4),1,""),""),IFERROR(SUBSTITUTE(ADDRESS(1,MATCH(A482,INDIRECT("'"&amp;E482&amp;"'"&amp;"!A10:Z10"),0),4),1,""),""))</f>
        <v>N</v>
      </c>
      <c r="D482" s="791" t="s">
        <v>1357</v>
      </c>
      <c r="E482" s="791" t="s">
        <v>1279</v>
      </c>
      <c r="F482" s="1314"/>
      <c r="G482" s="1314"/>
      <c r="H482" s="1314"/>
      <c r="I482" s="1274" t="str">
        <f t="shared" si="48"/>
        <v/>
      </c>
      <c r="J482" s="1314"/>
      <c r="K482" s="1314" t="str">
        <f t="shared" si="49"/>
        <v/>
      </c>
      <c r="L482" s="827" t="s">
        <v>1289</v>
      </c>
      <c r="M482" s="1314">
        <v>451</v>
      </c>
      <c r="N482" s="1314"/>
      <c r="O482" s="1311"/>
      <c r="P482" s="1311"/>
      <c r="Q482" s="1311"/>
      <c r="R482" s="1311"/>
      <c r="S482" s="1311"/>
      <c r="T482" s="1311"/>
      <c r="U482" s="1311"/>
      <c r="V482" s="1311"/>
      <c r="W482" s="1311"/>
      <c r="X482" s="1311"/>
      <c r="Y482" s="1311"/>
      <c r="Z482" s="1311"/>
    </row>
    <row r="483" spans="1:26" x14ac:dyDescent="0.25">
      <c r="A483" s="850" t="s">
        <v>1280</v>
      </c>
      <c r="B483" s="1274" t="str">
        <f ca="1">IF('Pricing Schedule'!$K$5="No",_xlfn.CONCAT(IFERROR(SUBSTITUTE(ADDRESS(1,MATCH(A483,INDIRECT("'"&amp;E483&amp;"'"&amp;"!A10:Z10"),0),4),1,""),""),21),_xlfn.CONCAT(IFERROR(SUBSTITUTE(ADDRESS(1,MATCH(A483,INDIRECT("'"&amp;E483&amp;"'"&amp;"!A10:Z10"),0),4),1,""),""),55))</f>
        <v>C21</v>
      </c>
      <c r="C483" s="1274" t="str">
        <f ca="1">IF('Pricing Schedule'!$K$5="No",IFERROR(SUBSTITUTE(ADDRESS(1,MATCH(A483,INDIRECT("'"&amp;E483&amp;"'"&amp;"!A10:Z10"),0),4),1,""),""),IFERROR(SUBSTITUTE(ADDRESS(1,MATCH(A483,INDIRECT("'"&amp;E483&amp;"'"&amp;"!A10:Z10"),0),4),1,""),""))</f>
        <v>C</v>
      </c>
      <c r="D483" s="791" t="s">
        <v>1357</v>
      </c>
      <c r="E483" s="791" t="s">
        <v>1279</v>
      </c>
      <c r="F483" s="1314"/>
      <c r="G483" s="1314"/>
      <c r="H483" s="1314"/>
      <c r="I483" s="1274" t="str">
        <f t="shared" si="48"/>
        <v/>
      </c>
      <c r="J483" s="1314"/>
      <c r="K483" s="1314" t="str">
        <f t="shared" si="49"/>
        <v/>
      </c>
      <c r="L483" s="827" t="s">
        <v>252</v>
      </c>
      <c r="M483" s="1314">
        <v>452</v>
      </c>
      <c r="N483" s="1314"/>
      <c r="O483" s="1311"/>
      <c r="P483" s="1311"/>
      <c r="Q483" s="1311"/>
      <c r="R483" s="1311"/>
      <c r="S483" s="1311"/>
      <c r="T483" s="1311"/>
      <c r="U483" s="1311"/>
      <c r="V483" s="1311"/>
      <c r="W483" s="1311"/>
      <c r="X483" s="1311"/>
      <c r="Y483" s="1311"/>
      <c r="Z483" s="1311"/>
    </row>
    <row r="484" spans="1:26" x14ac:dyDescent="0.25">
      <c r="A484" s="850" t="s">
        <v>1246</v>
      </c>
      <c r="B484" s="1274" t="str">
        <f ca="1">IF('Pricing Schedule'!$K$5="No",_xlfn.CONCAT(IFERROR(SUBSTITUTE(ADDRESS(1,MATCH(A484,INDIRECT("'"&amp;E484&amp;"'"&amp;"!A10:Z10"),0),4),1,""),""),21),_xlfn.CONCAT(IFERROR(SUBSTITUTE(ADDRESS(1,MATCH(A484,INDIRECT("'"&amp;E484&amp;"'"&amp;"!A10:Z10"),0),4),1,""),""),55))</f>
        <v>H21</v>
      </c>
      <c r="C484" s="1274" t="str">
        <f ca="1">IF('Pricing Schedule'!$K$5="No",IFERROR(SUBSTITUTE(ADDRESS(1,MATCH(A484,INDIRECT("'"&amp;E484&amp;"'"&amp;"!A10:Z10"),0),4),1,""),""),IFERROR(SUBSTITUTE(ADDRESS(1,MATCH(A484,INDIRECT("'"&amp;E484&amp;"'"&amp;"!A10:Z10"),0),4),1,""),""))</f>
        <v>H</v>
      </c>
      <c r="D484" s="791" t="s">
        <v>1357</v>
      </c>
      <c r="E484" s="791" t="s">
        <v>1279</v>
      </c>
      <c r="F484" s="1314"/>
      <c r="G484" s="1314"/>
      <c r="H484" s="1314"/>
      <c r="I484" s="1274" t="str">
        <f t="shared" si="48"/>
        <v/>
      </c>
      <c r="J484" s="1314"/>
      <c r="K484" s="1314" t="str">
        <f t="shared" si="49"/>
        <v/>
      </c>
      <c r="L484" s="827" t="s">
        <v>1246</v>
      </c>
      <c r="M484" s="1314">
        <v>453</v>
      </c>
      <c r="N484" s="1314"/>
      <c r="O484" s="1311"/>
      <c r="P484" s="1311"/>
      <c r="Q484" s="1311"/>
      <c r="R484" s="1311"/>
      <c r="S484" s="1311"/>
      <c r="T484" s="1311"/>
      <c r="U484" s="1311"/>
      <c r="V484" s="1311"/>
      <c r="W484" s="1311"/>
      <c r="X484" s="1311"/>
      <c r="Y484" s="1311"/>
      <c r="Z484" s="1311"/>
    </row>
    <row r="485" spans="1:26" x14ac:dyDescent="0.25">
      <c r="A485" s="850" t="s">
        <v>1283</v>
      </c>
      <c r="B485" s="1274" t="str">
        <f ca="1">IF('Pricing Schedule'!$K$5="No",_xlfn.CONCAT(IFERROR(SUBSTITUTE(ADDRESS(1,MATCH(A485,INDIRECT("'"&amp;E485&amp;"'"&amp;"!A10:Z10"),0),4),1,""),""),21),_xlfn.CONCAT(IFERROR(SUBSTITUTE(ADDRESS(1,MATCH(A485,INDIRECT("'"&amp;E485&amp;"'"&amp;"!A10:Z10"),0),4),1,""),""),55))</f>
        <v>F21</v>
      </c>
      <c r="C485" s="1274" t="str">
        <f ca="1">IF('Pricing Schedule'!$K$5="No",IFERROR(SUBSTITUTE(ADDRESS(1,MATCH(A485,INDIRECT("'"&amp;E485&amp;"'"&amp;"!A10:Z10"),0),4),1,""),""),IFERROR(SUBSTITUTE(ADDRESS(1,MATCH(A485,INDIRECT("'"&amp;E485&amp;"'"&amp;"!A10:Z10"),0),4),1,""),""))</f>
        <v>F</v>
      </c>
      <c r="D485" s="791" t="s">
        <v>1357</v>
      </c>
      <c r="E485" s="791" t="s">
        <v>1279</v>
      </c>
      <c r="F485" s="1314"/>
      <c r="G485" s="1314"/>
      <c r="H485" s="1314"/>
      <c r="I485" s="1274" t="str">
        <f t="shared" si="48"/>
        <v/>
      </c>
      <c r="J485" s="1314"/>
      <c r="K485" s="1314" t="str">
        <f t="shared" si="49"/>
        <v/>
      </c>
      <c r="L485" s="827" t="s">
        <v>225</v>
      </c>
      <c r="M485" s="1314">
        <v>454</v>
      </c>
      <c r="N485" s="1314"/>
      <c r="O485" s="1311"/>
      <c r="P485" s="1311"/>
      <c r="Q485" s="1311"/>
      <c r="R485" s="1311"/>
      <c r="S485" s="1311"/>
      <c r="T485" s="1311"/>
      <c r="U485" s="1311"/>
      <c r="V485" s="1311"/>
      <c r="W485" s="1311"/>
      <c r="X485" s="1311"/>
      <c r="Y485" s="1311"/>
      <c r="Z485" s="1311"/>
    </row>
    <row r="486" spans="1:26" x14ac:dyDescent="0.25">
      <c r="A486" s="851" t="s">
        <v>463</v>
      </c>
      <c r="B486" s="1274" t="str">
        <f ca="1">_xlfn.CONCAT(IFERROR(SUBSTITUTE(ADDRESS(1,MATCH(A486,INDIRECT("'"&amp;E486&amp;"'"&amp;"!A9:Z9"),0),4),1,""),""),27)</f>
        <v>E27</v>
      </c>
      <c r="C486" s="1274" t="str">
        <f ca="1">_xlfn.CONCAT(IFERROR(SUBSTITUTE(ADDRESS(1,MATCH(A486,INDIRECT("'"&amp;E486&amp;"'"&amp;"!A9:Z9"),0),4),1,""),""))</f>
        <v>E</v>
      </c>
      <c r="D486" s="1314" t="s">
        <v>1357</v>
      </c>
      <c r="E486" s="791" t="s">
        <v>208</v>
      </c>
      <c r="F486" s="1314"/>
      <c r="G486" s="1314"/>
      <c r="H486" s="1314"/>
      <c r="I486" s="1274" t="str">
        <f t="shared" si="48"/>
        <v>Exclude PIM Classes Below</v>
      </c>
      <c r="J486" s="1314" t="str">
        <f t="shared" si="50"/>
        <v>F455</v>
      </c>
      <c r="K486" s="1314" t="str">
        <f t="shared" si="49"/>
        <v>PIM Model</v>
      </c>
      <c r="L486" s="827" t="s">
        <v>463</v>
      </c>
      <c r="M486" s="1314">
        <v>455</v>
      </c>
      <c r="N486" s="1314"/>
      <c r="O486" s="1311"/>
      <c r="P486" s="1311"/>
      <c r="Q486" s="1311"/>
      <c r="R486" s="1311"/>
      <c r="S486" s="1311"/>
      <c r="T486" s="1311"/>
      <c r="U486" s="1311"/>
      <c r="V486" s="1311"/>
      <c r="W486" s="1311"/>
      <c r="X486" s="1311"/>
      <c r="Y486" s="1311"/>
      <c r="Z486" s="1311"/>
    </row>
    <row r="487" spans="1:26" x14ac:dyDescent="0.25">
      <c r="A487" s="851" t="s">
        <v>1282</v>
      </c>
      <c r="B487" s="1274" t="str">
        <f ca="1">IF('Pricing Schedule'!$K$5="No",_xlfn.CONCAT(IFERROR(SUBSTITUTE(ADDRESS(1,MATCH(A487,INDIRECT("'"&amp;E487&amp;"'"&amp;"!A10:Z10"),0),4),1,""),""),21),_xlfn.CONCAT(IFERROR(SUBSTITUTE(ADDRESS(1,MATCH(A487,INDIRECT("'"&amp;E487&amp;"'"&amp;"!A10:Z10"),0),4),1,""),""),55))</f>
        <v>E21</v>
      </c>
      <c r="C487" s="1274" t="str">
        <f ca="1">IF('Pricing Schedule'!$K$5="No",IFERROR(SUBSTITUTE(ADDRESS(1,MATCH(A487,INDIRECT("'"&amp;E487&amp;"'"&amp;"!A10:Z10"),0),4),1,""),""),IFERROR(SUBSTITUTE(ADDRESS(1,MATCH(A487,INDIRECT("'"&amp;E487&amp;"'"&amp;"!A10:Z10"),0),4),1,""),""))</f>
        <v>E</v>
      </c>
      <c r="D487" s="791" t="s">
        <v>1357</v>
      </c>
      <c r="E487" s="791" t="s">
        <v>1279</v>
      </c>
      <c r="F487" s="1314"/>
      <c r="G487" s="1314"/>
      <c r="H487" s="1314"/>
      <c r="I487" s="1274" t="str">
        <f t="shared" si="48"/>
        <v>Special Pricing Code</v>
      </c>
      <c r="J487" s="1314" t="str">
        <f t="shared" si="50"/>
        <v>F456</v>
      </c>
      <c r="K487" s="1314" t="str">
        <f t="shared" si="49"/>
        <v>Pricing Schedule</v>
      </c>
      <c r="L487" s="827" t="s">
        <v>1282</v>
      </c>
      <c r="M487" s="1314">
        <v>456</v>
      </c>
      <c r="N487" s="1314"/>
      <c r="O487" s="1311"/>
      <c r="P487" s="1311"/>
      <c r="Q487" s="1311"/>
      <c r="R487" s="1311"/>
      <c r="S487" s="1311"/>
      <c r="T487" s="1311"/>
      <c r="U487" s="1311"/>
      <c r="V487" s="1311"/>
      <c r="W487" s="1311"/>
      <c r="X487" s="1311"/>
      <c r="Y487" s="1311"/>
      <c r="Z487" s="1311"/>
    </row>
    <row r="488" spans="1:26" x14ac:dyDescent="0.25">
      <c r="A488" s="851" t="s">
        <v>1284</v>
      </c>
      <c r="B488" s="1274" t="str">
        <f ca="1">IF('Pricing Schedule'!$K$5="No",_xlfn.CONCAT(IFERROR(SUBSTITUTE(ADDRESS(1,MATCH(A488,INDIRECT("'"&amp;E488&amp;"'"&amp;"!A10:Z10"),0),4),1,""),""),21),_xlfn.CONCAT(IFERROR(SUBSTITUTE(ADDRESS(1,MATCH(A488,INDIRECT("'"&amp;E488&amp;"'"&amp;"!A10:Z10"),0),4),1,""),""),55))</f>
        <v>G21</v>
      </c>
      <c r="C488" s="1274" t="str">
        <f ca="1">IF('Pricing Schedule'!$K$5="No",IFERROR(SUBSTITUTE(ADDRESS(1,MATCH(A488,INDIRECT("'"&amp;E488&amp;"'"&amp;"!A10:Z10"),0),4),1,""),""),IFERROR(SUBSTITUTE(ADDRESS(1,MATCH(A488,INDIRECT("'"&amp;E488&amp;"'"&amp;"!A10:Z10"),0),4),1,""),""))</f>
        <v>G</v>
      </c>
      <c r="D488" s="791" t="s">
        <v>1357</v>
      </c>
      <c r="E488" s="791" t="s">
        <v>1279</v>
      </c>
      <c r="F488" s="1097"/>
      <c r="G488" s="1314"/>
      <c r="H488" s="1314"/>
      <c r="I488" s="1274" t="str">
        <f t="shared" si="48"/>
        <v>EB Markup Amt</v>
      </c>
      <c r="J488" s="1314" t="str">
        <f t="shared" si="50"/>
        <v>F457</v>
      </c>
      <c r="K488" s="1314" t="str">
        <f t="shared" si="49"/>
        <v>Pricing Schedule</v>
      </c>
      <c r="L488" s="827" t="s">
        <v>1284</v>
      </c>
      <c r="M488" s="1314">
        <v>457</v>
      </c>
      <c r="N488" s="1314"/>
      <c r="O488" s="1311"/>
      <c r="P488" s="1311"/>
      <c r="Q488" s="1311"/>
      <c r="R488" s="1311"/>
      <c r="S488" s="1311"/>
      <c r="T488" s="1311"/>
      <c r="U488" s="1311"/>
      <c r="V488" s="1311"/>
      <c r="W488" s="1311"/>
      <c r="X488" s="1311"/>
      <c r="Y488" s="1311"/>
      <c r="Z488" s="1311"/>
    </row>
    <row r="489" spans="1:26" x14ac:dyDescent="0.25">
      <c r="A489" s="851" t="s">
        <v>1285</v>
      </c>
      <c r="B489" s="1274" t="str">
        <f ca="1">IF('Pricing Schedule'!$K$5="No",_xlfn.CONCAT(IFERROR(SUBSTITUTE(ADDRESS(1,MATCH(A489,INDIRECT("'"&amp;E489&amp;"'"&amp;"!A10:Z10"),0),4),1,""),""),21),_xlfn.CONCAT(IFERROR(SUBSTITUTE(ADDRESS(1,MATCH(A489,INDIRECT("'"&amp;E489&amp;"'"&amp;"!A10:Z10"),0),4),1,""),""),55))</f>
        <v>I21</v>
      </c>
      <c r="C489" s="1274" t="str">
        <f ca="1">IF('Pricing Schedule'!$K$5="No",IFERROR(SUBSTITUTE(ADDRESS(1,MATCH(A489,INDIRECT("'"&amp;E489&amp;"'"&amp;"!A10:Z10"),0),4),1,""),""),IFERROR(SUBSTITUTE(ADDRESS(1,MATCH(A489,INDIRECT("'"&amp;E489&amp;"'"&amp;"!A10:Z10"),0),4),1,""),""))</f>
        <v>I</v>
      </c>
      <c r="D489" s="791" t="s">
        <v>1357</v>
      </c>
      <c r="E489" s="791" t="s">
        <v>1279</v>
      </c>
      <c r="F489" s="1097"/>
      <c r="G489" s="1314"/>
      <c r="H489" s="1314"/>
      <c r="I489" s="1274" t="str">
        <f t="shared" si="48"/>
        <v>Min CS Markup Override Flag</v>
      </c>
      <c r="J489" s="1314" t="str">
        <f t="shared" si="50"/>
        <v>F458</v>
      </c>
      <c r="K489" s="1314" t="str">
        <f t="shared" si="49"/>
        <v>Pricing Schedule</v>
      </c>
      <c r="L489" s="827" t="s">
        <v>1285</v>
      </c>
      <c r="M489" s="1314">
        <v>458</v>
      </c>
      <c r="N489" s="1314"/>
      <c r="O489" s="1311"/>
      <c r="P489" s="1311"/>
      <c r="Q489" s="1311"/>
      <c r="R489" s="1311"/>
      <c r="S489" s="1311"/>
      <c r="T489" s="1311"/>
      <c r="U489" s="1311"/>
      <c r="V489" s="1311"/>
      <c r="W489" s="1311"/>
      <c r="X489" s="1311"/>
      <c r="Y489" s="1311"/>
      <c r="Z489" s="1311"/>
    </row>
    <row r="490" spans="1:26" x14ac:dyDescent="0.25">
      <c r="A490" s="851" t="s">
        <v>1286</v>
      </c>
      <c r="B490" s="1274" t="str">
        <f ca="1">IF('Pricing Schedule'!$K$5="No",_xlfn.CONCAT(IFERROR(SUBSTITUTE(ADDRESS(1,MATCH(A490,INDIRECT("'"&amp;E490&amp;"'"&amp;"!A10:Z10"),0),4),1,""),""),21),_xlfn.CONCAT(IFERROR(SUBSTITUTE(ADDRESS(1,MATCH(A490,INDIRECT("'"&amp;E490&amp;"'"&amp;"!A10:Z10"),0),4),1,""),""),55))</f>
        <v>J21</v>
      </c>
      <c r="C490" s="1274" t="str">
        <f ca="1">IF('Pricing Schedule'!$K$5="No",IFERROR(SUBSTITUTE(ADDRESS(1,MATCH(A490,INDIRECT("'"&amp;E490&amp;"'"&amp;"!A10:Z10"),0),4),1,""),""),IFERROR(SUBSTITUTE(ADDRESS(1,MATCH(A490,INDIRECT("'"&amp;E490&amp;"'"&amp;"!A10:Z10"),0),4),1,""),""))</f>
        <v>J</v>
      </c>
      <c r="D490" s="791" t="s">
        <v>1357</v>
      </c>
      <c r="E490" s="791" t="s">
        <v>1279</v>
      </c>
      <c r="F490" s="1097"/>
      <c r="G490" s="1314"/>
      <c r="H490" s="1314"/>
      <c r="I490" s="1274" t="str">
        <f t="shared" si="48"/>
        <v>Min CS Markup Amt</v>
      </c>
      <c r="J490" s="1314" t="str">
        <f t="shared" si="50"/>
        <v>F459</v>
      </c>
      <c r="K490" s="1314" t="str">
        <f t="shared" si="49"/>
        <v>Pricing Schedule</v>
      </c>
      <c r="L490" s="827" t="s">
        <v>1286</v>
      </c>
      <c r="M490" s="1314">
        <v>459</v>
      </c>
      <c r="N490" s="1314"/>
      <c r="O490" s="1311"/>
      <c r="P490" s="1311"/>
      <c r="Q490" s="1311"/>
      <c r="R490" s="1311"/>
      <c r="S490" s="1311"/>
      <c r="T490" s="1311"/>
      <c r="U490" s="1311"/>
      <c r="V490" s="1311"/>
      <c r="W490" s="1311"/>
      <c r="X490" s="1311"/>
      <c r="Y490" s="1311"/>
      <c r="Z490" s="1311"/>
    </row>
    <row r="491" spans="1:26" x14ac:dyDescent="0.25">
      <c r="A491" s="851" t="s">
        <v>1287</v>
      </c>
      <c r="B491" s="1274" t="str">
        <f ca="1">IF('Pricing Schedule'!$K$5="No",_xlfn.CONCAT(IFERROR(SUBSTITUTE(ADDRESS(1,MATCH(A491,INDIRECT("'"&amp;E491&amp;"'"&amp;"!A10:Z10"),0),4),1,""),""),21),_xlfn.CONCAT(IFERROR(SUBSTITUTE(ADDRESS(1,MATCH(A491,INDIRECT("'"&amp;E491&amp;"'"&amp;"!A10:Z10"),0),4),1,""),""),55))</f>
        <v>K21</v>
      </c>
      <c r="C491" s="1274" t="str">
        <f ca="1">IF('Pricing Schedule'!$K$5="No",IFERROR(SUBSTITUTE(ADDRESS(1,MATCH(A491,INDIRECT("'"&amp;E491&amp;"'"&amp;"!A10:Z10"),0),4),1,""),""),IFERROR(SUBSTITUTE(ADDRESS(1,MATCH(A491,INDIRECT("'"&amp;E491&amp;"'"&amp;"!A10:Z10"),0),4),1,""),""))</f>
        <v>K</v>
      </c>
      <c r="D491" s="791" t="s">
        <v>1357</v>
      </c>
      <c r="E491" s="791" t="s">
        <v>1279</v>
      </c>
      <c r="F491" s="1097"/>
      <c r="G491" s="1314"/>
      <c r="H491" s="1314"/>
      <c r="I491" s="1274" t="str">
        <f t="shared" si="48"/>
        <v>Split Case Fee Override Flag</v>
      </c>
      <c r="J491" s="1314" t="str">
        <f t="shared" si="50"/>
        <v>F460</v>
      </c>
      <c r="K491" s="1314" t="str">
        <f t="shared" si="49"/>
        <v>Pricing Schedule</v>
      </c>
      <c r="L491" s="827" t="s">
        <v>1287</v>
      </c>
      <c r="M491" s="1314">
        <v>460</v>
      </c>
      <c r="N491" s="1314"/>
      <c r="O491" s="1311"/>
      <c r="P491" s="1311"/>
      <c r="Q491" s="1311"/>
      <c r="R491" s="1311"/>
      <c r="S491" s="1311"/>
      <c r="T491" s="1311"/>
      <c r="U491" s="1311"/>
      <c r="V491" s="1311"/>
      <c r="W491" s="1311"/>
      <c r="X491" s="1311"/>
      <c r="Y491" s="1311"/>
      <c r="Z491" s="1311"/>
    </row>
    <row r="492" spans="1:26" x14ac:dyDescent="0.25">
      <c r="A492" s="851" t="s">
        <v>1288</v>
      </c>
      <c r="B492" s="1274" t="str">
        <f ca="1">IF('Pricing Schedule'!$K$5="No",_xlfn.CONCAT(IFERROR(SUBSTITUTE(ADDRESS(1,MATCH(A492,INDIRECT("'"&amp;E492&amp;"'"&amp;"!A10:Z10"),0),4),1,""),""),21),_xlfn.CONCAT(IFERROR(SUBSTITUTE(ADDRESS(1,MATCH(A492,INDIRECT("'"&amp;E492&amp;"'"&amp;"!A10:Z10"),0),4),1,""),""),55))</f>
        <v>L21</v>
      </c>
      <c r="C492" s="1274" t="str">
        <f ca="1">IF('Pricing Schedule'!$K$5="No",IFERROR(SUBSTITUTE(ADDRESS(1,MATCH(A492,INDIRECT("'"&amp;E492&amp;"'"&amp;"!A10:Z10"),0),4),1,""),""),IFERROR(SUBSTITUTE(ADDRESS(1,MATCH(A492,INDIRECT("'"&amp;E492&amp;"'"&amp;"!A10:Z10"),0),4),1,""),""))</f>
        <v>L</v>
      </c>
      <c r="D492" s="791" t="s">
        <v>1357</v>
      </c>
      <c r="E492" s="791" t="s">
        <v>1279</v>
      </c>
      <c r="F492" s="1097"/>
      <c r="G492" s="1314"/>
      <c r="H492" s="1314"/>
      <c r="I492" s="1274" t="str">
        <f t="shared" si="48"/>
        <v>Split Case Fee</v>
      </c>
      <c r="J492" s="1314" t="str">
        <f t="shared" si="50"/>
        <v>F461</v>
      </c>
      <c r="K492" s="1314" t="str">
        <f t="shared" si="49"/>
        <v>Pricing Schedule</v>
      </c>
      <c r="L492" s="827" t="s">
        <v>1288</v>
      </c>
      <c r="M492" s="1314">
        <v>461</v>
      </c>
      <c r="N492" s="1314"/>
      <c r="O492" s="1311"/>
      <c r="P492" s="1311"/>
      <c r="Q492" s="1311"/>
      <c r="R492" s="1311"/>
      <c r="S492" s="1311"/>
      <c r="T492" s="1311"/>
      <c r="U492" s="1311"/>
      <c r="V492" s="1311"/>
      <c r="W492" s="1311"/>
      <c r="X492" s="1311"/>
      <c r="Y492" s="1311"/>
      <c r="Z492" s="1311"/>
    </row>
    <row r="493" spans="1:26" x14ac:dyDescent="0.25">
      <c r="A493" s="851" t="s">
        <v>1228</v>
      </c>
      <c r="B493" s="1274" t="str">
        <f ca="1">IF('Pricing Schedule'!$K$5="No",_xlfn.CONCAT(IFERROR(SUBSTITUTE(ADDRESS(1,MATCH(A493,INDIRECT("'"&amp;E493&amp;"'"&amp;"!A10:Z10"),0),4),1,""),""),21),_xlfn.CONCAT(IFERROR(SUBSTITUTE(ADDRESS(1,MATCH(A493,INDIRECT("'"&amp;E493&amp;"'"&amp;"!A10:Z10"),0),4),1,""),""),55))</f>
        <v>M21</v>
      </c>
      <c r="C493" s="1274" t="str">
        <f ca="1">IF('Pricing Schedule'!$K$5="No",IFERROR(SUBSTITUTE(ADDRESS(1,MATCH(A493,INDIRECT("'"&amp;E493&amp;"'"&amp;"!A10:Z10"),0),4),1,""),""),IFERROR(SUBSTITUTE(ADDRESS(1,MATCH(A493,INDIRECT("'"&amp;E493&amp;"'"&amp;"!A10:Z10"),0),4),1,""),""))</f>
        <v>M</v>
      </c>
      <c r="D493" s="791" t="s">
        <v>1357</v>
      </c>
      <c r="E493" s="791" t="s">
        <v>1279</v>
      </c>
      <c r="F493" s="1097"/>
      <c r="G493" s="1314"/>
      <c r="H493" s="1314"/>
      <c r="I493" s="1274" t="str">
        <f t="shared" si="48"/>
        <v>Split Case Per</v>
      </c>
      <c r="J493" s="1314" t="str">
        <f t="shared" si="50"/>
        <v>F462</v>
      </c>
      <c r="K493" s="1314" t="str">
        <f t="shared" si="49"/>
        <v>Pricing Schedule</v>
      </c>
      <c r="L493" s="827" t="s">
        <v>1228</v>
      </c>
      <c r="M493" s="1314">
        <v>462</v>
      </c>
      <c r="N493" s="1314"/>
      <c r="O493" s="1311"/>
      <c r="P493" s="1311"/>
      <c r="Q493" s="1311"/>
      <c r="R493" s="1311"/>
      <c r="S493" s="1311"/>
      <c r="T493" s="1311"/>
      <c r="U493" s="1311"/>
      <c r="V493" s="1311"/>
      <c r="W493" s="1311"/>
      <c r="X493" s="1311"/>
      <c r="Y493" s="1311"/>
      <c r="Z493" s="1311"/>
    </row>
    <row r="494" spans="1:26" x14ac:dyDescent="0.25">
      <c r="A494" s="846" t="s">
        <v>1289</v>
      </c>
      <c r="B494" s="1274" t="str">
        <f ca="1">IF('Pricing Schedule'!$K$5="No",_xlfn.CONCAT(IFERROR(SUBSTITUTE(ADDRESS(1,MATCH(A494,INDIRECT("'"&amp;E494&amp;"'"&amp;"!A10:Z10"),0),4),1,""),""),29),_xlfn.CONCAT(IFERROR(SUBSTITUTE(ADDRESS(1,MATCH(A494,INDIRECT("'"&amp;E494&amp;"'"&amp;"!A10:Z10"),0),4),1,""),""),63))</f>
        <v>N29</v>
      </c>
      <c r="C494" s="1274" t="str">
        <f ca="1">IF('Pricing Schedule'!$K$5="No",IFERROR(SUBSTITUTE(ADDRESS(1,MATCH(A494,INDIRECT("'"&amp;E494&amp;"'"&amp;"!A10:Z10"),0),4),1,""),""),IFERROR(SUBSTITUTE(ADDRESS(1,MATCH(A494,INDIRECT("'"&amp;E494&amp;"'"&amp;"!A10:Z10"),0),4),1,""),""))</f>
        <v>N</v>
      </c>
      <c r="D494" s="791" t="s">
        <v>1357</v>
      </c>
      <c r="E494" s="791" t="s">
        <v>1279</v>
      </c>
      <c r="F494" s="1314"/>
      <c r="G494" s="1314"/>
      <c r="H494" s="1314"/>
      <c r="I494" s="1274" t="str">
        <f t="shared" si="48"/>
        <v/>
      </c>
      <c r="J494" s="1314"/>
      <c r="K494" s="1314" t="str">
        <f t="shared" si="49"/>
        <v/>
      </c>
      <c r="L494" s="827" t="s">
        <v>1289</v>
      </c>
      <c r="M494" s="1314">
        <v>463</v>
      </c>
      <c r="N494" s="1314"/>
      <c r="O494" s="1311"/>
      <c r="P494" s="1311"/>
      <c r="Q494" s="1311"/>
      <c r="R494" s="1311"/>
      <c r="S494" s="1311"/>
      <c r="T494" s="1311"/>
      <c r="U494" s="1311"/>
      <c r="V494" s="1311"/>
      <c r="W494" s="1311"/>
      <c r="X494" s="1311"/>
      <c r="Y494" s="1311"/>
      <c r="Z494" s="1311"/>
    </row>
    <row r="495" spans="1:26" x14ac:dyDescent="0.25">
      <c r="A495" s="847" t="s">
        <v>1280</v>
      </c>
      <c r="B495" s="1274" t="str">
        <f ca="1">IF('Pricing Schedule'!$K$5="No",_xlfn.CONCAT(IFERROR(SUBSTITUTE(ADDRESS(1,MATCH(A495,INDIRECT("'"&amp;E495&amp;"'"&amp;"!A10:Z10"),0),4),1,""),""),29),_xlfn.CONCAT(IFERROR(SUBSTITUTE(ADDRESS(1,MATCH(A495,INDIRECT("'"&amp;E495&amp;"'"&amp;"!A10:Z10"),0),4),1,""),""),63))</f>
        <v>C29</v>
      </c>
      <c r="C495" s="1274" t="str">
        <f ca="1">IF('Pricing Schedule'!$K$5="No",IFERROR(SUBSTITUTE(ADDRESS(1,MATCH(A495,INDIRECT("'"&amp;E495&amp;"'"&amp;"!A10:Z10"),0),4),1,""),""),IFERROR(SUBSTITUTE(ADDRESS(1,MATCH(A495,INDIRECT("'"&amp;E495&amp;"'"&amp;"!A10:Z10"),0),4),1,""),""))</f>
        <v>C</v>
      </c>
      <c r="D495" s="791" t="s">
        <v>1357</v>
      </c>
      <c r="E495" s="791" t="s">
        <v>1279</v>
      </c>
      <c r="F495" s="1314"/>
      <c r="G495" s="1314"/>
      <c r="H495" s="1314"/>
      <c r="I495" s="1274" t="str">
        <f t="shared" si="48"/>
        <v/>
      </c>
      <c r="J495" s="1314"/>
      <c r="K495" s="1314" t="str">
        <f t="shared" si="49"/>
        <v/>
      </c>
      <c r="L495" s="827" t="s">
        <v>252</v>
      </c>
      <c r="M495" s="1314">
        <v>464</v>
      </c>
      <c r="N495" s="1314"/>
      <c r="O495" s="1311"/>
      <c r="P495" s="1311"/>
      <c r="Q495" s="1311"/>
      <c r="R495" s="1311"/>
      <c r="S495" s="1311"/>
      <c r="T495" s="1311"/>
      <c r="U495" s="1311"/>
      <c r="V495" s="1311"/>
      <c r="W495" s="1311"/>
      <c r="X495" s="1311"/>
      <c r="Y495" s="1311"/>
      <c r="Z495" s="1311"/>
    </row>
    <row r="496" spans="1:26" x14ac:dyDescent="0.25">
      <c r="A496" s="847" t="s">
        <v>1246</v>
      </c>
      <c r="B496" s="1274" t="str">
        <f ca="1">IF('Pricing Schedule'!$K$5="No",_xlfn.CONCAT(IFERROR(SUBSTITUTE(ADDRESS(1,MATCH(A496,INDIRECT("'"&amp;E496&amp;"'"&amp;"!A10:Z10"),0),4),1,""),""),29),_xlfn.CONCAT(IFERROR(SUBSTITUTE(ADDRESS(1,MATCH(A496,INDIRECT("'"&amp;E496&amp;"'"&amp;"!A10:Z10"),0),4),1,""),""),63))</f>
        <v>H29</v>
      </c>
      <c r="C496" s="1274" t="str">
        <f ca="1">IF('Pricing Schedule'!$K$5="No",IFERROR(SUBSTITUTE(ADDRESS(1,MATCH(A496,INDIRECT("'"&amp;E496&amp;"'"&amp;"!A10:Z10"),0),4),1,""),""),IFERROR(SUBSTITUTE(ADDRESS(1,MATCH(A496,INDIRECT("'"&amp;E496&amp;"'"&amp;"!A10:Z10"),0),4),1,""),""))</f>
        <v>H</v>
      </c>
      <c r="D496" s="791" t="s">
        <v>1357</v>
      </c>
      <c r="E496" s="791" t="s">
        <v>1279</v>
      </c>
      <c r="F496" s="1314"/>
      <c r="G496" s="1314"/>
      <c r="H496" s="1314"/>
      <c r="I496" s="1274" t="str">
        <f t="shared" si="48"/>
        <v/>
      </c>
      <c r="J496" s="1314"/>
      <c r="K496" s="1314" t="str">
        <f t="shared" si="49"/>
        <v/>
      </c>
      <c r="L496" s="827" t="s">
        <v>1246</v>
      </c>
      <c r="M496" s="1314">
        <v>465</v>
      </c>
      <c r="N496" s="1314"/>
      <c r="O496" s="1311"/>
      <c r="P496" s="1311"/>
      <c r="Q496" s="1311"/>
      <c r="R496" s="1311"/>
      <c r="S496" s="1311"/>
      <c r="T496" s="1311"/>
      <c r="U496" s="1311"/>
      <c r="V496" s="1311"/>
      <c r="W496" s="1311"/>
      <c r="X496" s="1311"/>
      <c r="Y496" s="1311"/>
      <c r="Z496" s="1311"/>
    </row>
    <row r="497" spans="1:26" x14ac:dyDescent="0.25">
      <c r="A497" s="847" t="s">
        <v>1283</v>
      </c>
      <c r="B497" s="1274" t="str">
        <f ca="1">IF('Pricing Schedule'!$K$5="No",_xlfn.CONCAT(IFERROR(SUBSTITUTE(ADDRESS(1,MATCH(A497,INDIRECT("'"&amp;E497&amp;"'"&amp;"!A10:Z10"),0),4),1,""),""),29),_xlfn.CONCAT(IFERROR(SUBSTITUTE(ADDRESS(1,MATCH(A497,INDIRECT("'"&amp;E497&amp;"'"&amp;"!A10:Z10"),0),4),1,""),""),63))</f>
        <v>F29</v>
      </c>
      <c r="C497" s="1274" t="str">
        <f ca="1">IF('Pricing Schedule'!$K$5="No",IFERROR(SUBSTITUTE(ADDRESS(1,MATCH(A497,INDIRECT("'"&amp;E497&amp;"'"&amp;"!A10:Z10"),0),4),1,""),""),IFERROR(SUBSTITUTE(ADDRESS(1,MATCH(A497,INDIRECT("'"&amp;E497&amp;"'"&amp;"!A10:Z10"),0),4),1,""),""))</f>
        <v>F</v>
      </c>
      <c r="D497" s="791" t="s">
        <v>1357</v>
      </c>
      <c r="E497" s="791" t="s">
        <v>1279</v>
      </c>
      <c r="F497" s="1314"/>
      <c r="G497" s="1314"/>
      <c r="H497" s="1314"/>
      <c r="I497" s="1274" t="str">
        <f t="shared" si="48"/>
        <v/>
      </c>
      <c r="J497" s="1314"/>
      <c r="K497" s="1314" t="str">
        <f t="shared" si="49"/>
        <v/>
      </c>
      <c r="L497" s="827" t="s">
        <v>225</v>
      </c>
      <c r="M497" s="1314">
        <v>466</v>
      </c>
      <c r="N497" s="1314"/>
      <c r="O497" s="1311"/>
      <c r="P497" s="1311"/>
      <c r="Q497" s="1311"/>
      <c r="R497" s="1311"/>
      <c r="S497" s="1311"/>
      <c r="T497" s="1311"/>
      <c r="U497" s="1311"/>
      <c r="V497" s="1311"/>
      <c r="W497" s="1311"/>
      <c r="X497" s="1311"/>
      <c r="Y497" s="1311"/>
      <c r="Z497" s="1311"/>
    </row>
    <row r="498" spans="1:26" x14ac:dyDescent="0.25">
      <c r="A498" s="848" t="s">
        <v>463</v>
      </c>
      <c r="B498" s="1274" t="str">
        <f ca="1">_xlfn.CONCAT(IFERROR(SUBSTITUTE(ADDRESS(1,MATCH(A498,INDIRECT("'"&amp;E498&amp;"'"&amp;"!A9:Z9"),0),4),1,""),""),28)</f>
        <v>E28</v>
      </c>
      <c r="C498" s="1274" t="str">
        <f ca="1">_xlfn.CONCAT(IFERROR(SUBSTITUTE(ADDRESS(1,MATCH(A498,INDIRECT("'"&amp;E498&amp;"'"&amp;"!A9:Z9"),0),4),1,""),""))</f>
        <v>E</v>
      </c>
      <c r="D498" s="1314" t="s">
        <v>1357</v>
      </c>
      <c r="E498" s="791" t="s">
        <v>208</v>
      </c>
      <c r="F498" s="1314"/>
      <c r="G498" s="1314"/>
      <c r="H498" s="1314"/>
      <c r="I498" s="1274" t="str">
        <f t="shared" si="48"/>
        <v>Exclude PIM Classes Below</v>
      </c>
      <c r="J498" s="1314" t="str">
        <f t="shared" si="50"/>
        <v>F467</v>
      </c>
      <c r="K498" s="1314" t="str">
        <f t="shared" si="49"/>
        <v>PIM Model</v>
      </c>
      <c r="L498" s="827" t="s">
        <v>463</v>
      </c>
      <c r="M498" s="1314">
        <v>467</v>
      </c>
      <c r="N498" s="1314"/>
      <c r="O498" s="1311"/>
      <c r="P498" s="1311"/>
      <c r="Q498" s="1311"/>
      <c r="R498" s="1311"/>
      <c r="S498" s="1311"/>
      <c r="T498" s="1311"/>
      <c r="U498" s="1311"/>
      <c r="V498" s="1311"/>
      <c r="W498" s="1311"/>
      <c r="X498" s="1311"/>
      <c r="Y498" s="1311"/>
      <c r="Z498" s="1311"/>
    </row>
    <row r="499" spans="1:26" x14ac:dyDescent="0.25">
      <c r="A499" s="848" t="s">
        <v>1282</v>
      </c>
      <c r="B499" s="1274" t="str">
        <f ca="1">IF('Pricing Schedule'!$K$5="No",_xlfn.CONCAT(IFERROR(SUBSTITUTE(ADDRESS(1,MATCH(A499,INDIRECT("'"&amp;E499&amp;"'"&amp;"!A10:Z10"),0),4),1,""),""),29),_xlfn.CONCAT(IFERROR(SUBSTITUTE(ADDRESS(1,MATCH(A499,INDIRECT("'"&amp;E499&amp;"'"&amp;"!A10:Z10"),0),4),1,""),""),63))</f>
        <v>E29</v>
      </c>
      <c r="C499" s="1274" t="str">
        <f ca="1">IF('Pricing Schedule'!$K$5="No",IFERROR(SUBSTITUTE(ADDRESS(1,MATCH(A499,INDIRECT("'"&amp;E499&amp;"'"&amp;"!A10:Z10"),0),4),1,""),""),IFERROR(SUBSTITUTE(ADDRESS(1,MATCH(A499,INDIRECT("'"&amp;E499&amp;"'"&amp;"!A10:Z10"),0),4),1,""),""))</f>
        <v>E</v>
      </c>
      <c r="D499" s="791" t="s">
        <v>1357</v>
      </c>
      <c r="E499" s="791" t="s">
        <v>1279</v>
      </c>
      <c r="F499" s="1314"/>
      <c r="G499" s="1314"/>
      <c r="H499" s="1314"/>
      <c r="I499" s="1274" t="str">
        <f t="shared" si="48"/>
        <v>Special Pricing Code</v>
      </c>
      <c r="J499" s="1314" t="str">
        <f t="shared" si="50"/>
        <v>F468</v>
      </c>
      <c r="K499" s="1314" t="str">
        <f t="shared" si="49"/>
        <v>Pricing Schedule</v>
      </c>
      <c r="L499" s="827" t="s">
        <v>1282</v>
      </c>
      <c r="M499" s="1314">
        <v>468</v>
      </c>
      <c r="N499" s="1314"/>
      <c r="O499" s="1311"/>
      <c r="P499" s="1311"/>
      <c r="Q499" s="1311"/>
      <c r="R499" s="1311"/>
      <c r="S499" s="1311"/>
      <c r="T499" s="1311"/>
      <c r="U499" s="1311"/>
      <c r="V499" s="1311"/>
      <c r="W499" s="1311"/>
      <c r="X499" s="1311"/>
      <c r="Y499" s="1311"/>
      <c r="Z499" s="1311"/>
    </row>
    <row r="500" spans="1:26" x14ac:dyDescent="0.25">
      <c r="A500" s="848" t="s">
        <v>1284</v>
      </c>
      <c r="B500" s="1274" t="str">
        <f ca="1">IF('Pricing Schedule'!$K$5="No",_xlfn.CONCAT(IFERROR(SUBSTITUTE(ADDRESS(1,MATCH(A500,INDIRECT("'"&amp;E500&amp;"'"&amp;"!A10:Z10"),0),4),1,""),""),29),_xlfn.CONCAT(IFERROR(SUBSTITUTE(ADDRESS(1,MATCH(A500,INDIRECT("'"&amp;E500&amp;"'"&amp;"!A10:Z10"),0),4),1,""),""),63))</f>
        <v>G29</v>
      </c>
      <c r="C500" s="1274" t="str">
        <f ca="1">IF('Pricing Schedule'!$K$5="No",IFERROR(SUBSTITUTE(ADDRESS(1,MATCH(A500,INDIRECT("'"&amp;E500&amp;"'"&amp;"!A10:Z10"),0),4),1,""),""),IFERROR(SUBSTITUTE(ADDRESS(1,MATCH(A500,INDIRECT("'"&amp;E500&amp;"'"&amp;"!A10:Z10"),0),4),1,""),""))</f>
        <v>G</v>
      </c>
      <c r="D500" s="791" t="s">
        <v>1357</v>
      </c>
      <c r="E500" s="791" t="s">
        <v>1279</v>
      </c>
      <c r="F500" s="1097"/>
      <c r="G500" s="1314"/>
      <c r="H500" s="1314"/>
      <c r="I500" s="1274" t="str">
        <f t="shared" si="48"/>
        <v>EB Markup Amt</v>
      </c>
      <c r="J500" s="1314" t="str">
        <f t="shared" si="50"/>
        <v>F469</v>
      </c>
      <c r="K500" s="1314" t="str">
        <f t="shared" si="49"/>
        <v>Pricing Schedule</v>
      </c>
      <c r="L500" s="827" t="s">
        <v>1284</v>
      </c>
      <c r="M500" s="1314">
        <v>469</v>
      </c>
      <c r="N500" s="1314"/>
      <c r="O500" s="1311"/>
      <c r="P500" s="1311"/>
      <c r="Q500" s="1311"/>
      <c r="R500" s="1311"/>
      <c r="S500" s="1311"/>
      <c r="T500" s="1311"/>
      <c r="U500" s="1311"/>
      <c r="V500" s="1311"/>
      <c r="W500" s="1311"/>
      <c r="X500" s="1311"/>
      <c r="Y500" s="1311"/>
      <c r="Z500" s="1311"/>
    </row>
    <row r="501" spans="1:26" x14ac:dyDescent="0.25">
      <c r="A501" s="848" t="s">
        <v>1285</v>
      </c>
      <c r="B501" s="1274" t="str">
        <f ca="1">IF('Pricing Schedule'!$K$5="No",_xlfn.CONCAT(IFERROR(SUBSTITUTE(ADDRESS(1,MATCH(A501,INDIRECT("'"&amp;E501&amp;"'"&amp;"!A10:Z10"),0),4),1,""),""),29),_xlfn.CONCAT(IFERROR(SUBSTITUTE(ADDRESS(1,MATCH(A501,INDIRECT("'"&amp;E501&amp;"'"&amp;"!A10:Z10"),0),4),1,""),""),63))</f>
        <v>I29</v>
      </c>
      <c r="C501" s="1274" t="str">
        <f ca="1">IF('Pricing Schedule'!$K$5="No",IFERROR(SUBSTITUTE(ADDRESS(1,MATCH(A501,INDIRECT("'"&amp;E501&amp;"'"&amp;"!A10:Z10"),0),4),1,""),""),IFERROR(SUBSTITUTE(ADDRESS(1,MATCH(A501,INDIRECT("'"&amp;E501&amp;"'"&amp;"!A10:Z10"),0),4),1,""),""))</f>
        <v>I</v>
      </c>
      <c r="D501" s="791" t="s">
        <v>1357</v>
      </c>
      <c r="E501" s="791" t="s">
        <v>1279</v>
      </c>
      <c r="F501" s="1097"/>
      <c r="G501" s="1314"/>
      <c r="H501" s="1314"/>
      <c r="I501" s="1274" t="str">
        <f t="shared" si="48"/>
        <v>Min CS Markup Override Flag</v>
      </c>
      <c r="J501" s="1314" t="str">
        <f t="shared" si="50"/>
        <v>F470</v>
      </c>
      <c r="K501" s="1314" t="str">
        <f t="shared" si="49"/>
        <v>Pricing Schedule</v>
      </c>
      <c r="L501" s="827" t="s">
        <v>1285</v>
      </c>
      <c r="M501" s="1314">
        <v>470</v>
      </c>
      <c r="N501" s="1314"/>
      <c r="O501" s="1311"/>
      <c r="P501" s="1311"/>
      <c r="Q501" s="1311"/>
      <c r="R501" s="1311"/>
      <c r="S501" s="1311"/>
      <c r="T501" s="1311"/>
      <c r="U501" s="1311"/>
      <c r="V501" s="1311"/>
      <c r="W501" s="1311"/>
      <c r="X501" s="1311"/>
      <c r="Y501" s="1311"/>
      <c r="Z501" s="1311"/>
    </row>
    <row r="502" spans="1:26" x14ac:dyDescent="0.25">
      <c r="A502" s="848" t="s">
        <v>1286</v>
      </c>
      <c r="B502" s="1274" t="str">
        <f ca="1">IF('Pricing Schedule'!$K$5="No",_xlfn.CONCAT(IFERROR(SUBSTITUTE(ADDRESS(1,MATCH(A502,INDIRECT("'"&amp;E502&amp;"'"&amp;"!A10:Z10"),0),4),1,""),""),29),_xlfn.CONCAT(IFERROR(SUBSTITUTE(ADDRESS(1,MATCH(A502,INDIRECT("'"&amp;E502&amp;"'"&amp;"!A10:Z10"),0),4),1,""),""),63))</f>
        <v>J29</v>
      </c>
      <c r="C502" s="1274" t="str">
        <f ca="1">IF('Pricing Schedule'!$K$5="No",IFERROR(SUBSTITUTE(ADDRESS(1,MATCH(A502,INDIRECT("'"&amp;E502&amp;"'"&amp;"!A10:Z10"),0),4),1,""),""),IFERROR(SUBSTITUTE(ADDRESS(1,MATCH(A502,INDIRECT("'"&amp;E502&amp;"'"&amp;"!A10:Z10"),0),4),1,""),""))</f>
        <v>J</v>
      </c>
      <c r="D502" s="791" t="s">
        <v>1357</v>
      </c>
      <c r="E502" s="791" t="s">
        <v>1279</v>
      </c>
      <c r="F502" s="1097"/>
      <c r="G502" s="1314"/>
      <c r="H502" s="1314"/>
      <c r="I502" s="1274" t="str">
        <f t="shared" si="48"/>
        <v>Min CS Markup Amt</v>
      </c>
      <c r="J502" s="1314" t="str">
        <f t="shared" si="50"/>
        <v>F471</v>
      </c>
      <c r="K502" s="1314" t="str">
        <f t="shared" si="49"/>
        <v>Pricing Schedule</v>
      </c>
      <c r="L502" s="827" t="s">
        <v>1286</v>
      </c>
      <c r="M502" s="1314">
        <v>471</v>
      </c>
      <c r="N502" s="1314"/>
      <c r="O502" s="1311"/>
      <c r="P502" s="1311"/>
      <c r="Q502" s="1311"/>
      <c r="R502" s="1311"/>
      <c r="S502" s="1311"/>
      <c r="T502" s="1311"/>
      <c r="U502" s="1311"/>
      <c r="V502" s="1311"/>
      <c r="W502" s="1311"/>
      <c r="X502" s="1311"/>
      <c r="Y502" s="1311"/>
      <c r="Z502" s="1311"/>
    </row>
    <row r="503" spans="1:26" x14ac:dyDescent="0.25">
      <c r="A503" s="848" t="s">
        <v>1287</v>
      </c>
      <c r="B503" s="1274" t="str">
        <f ca="1">IF('Pricing Schedule'!$K$5="No",_xlfn.CONCAT(IFERROR(SUBSTITUTE(ADDRESS(1,MATCH(A503,INDIRECT("'"&amp;E503&amp;"'"&amp;"!A10:Z10"),0),4),1,""),""),29),_xlfn.CONCAT(IFERROR(SUBSTITUTE(ADDRESS(1,MATCH(A503,INDIRECT("'"&amp;E503&amp;"'"&amp;"!A10:Z10"),0),4),1,""),""),63))</f>
        <v>K29</v>
      </c>
      <c r="C503" s="1274" t="str">
        <f ca="1">IF('Pricing Schedule'!$K$5="No",IFERROR(SUBSTITUTE(ADDRESS(1,MATCH(A503,INDIRECT("'"&amp;E503&amp;"'"&amp;"!A10:Z10"),0),4),1,""),""),IFERROR(SUBSTITUTE(ADDRESS(1,MATCH(A503,INDIRECT("'"&amp;E503&amp;"'"&amp;"!A10:Z10"),0),4),1,""),""))</f>
        <v>K</v>
      </c>
      <c r="D503" s="791" t="s">
        <v>1357</v>
      </c>
      <c r="E503" s="791" t="s">
        <v>1279</v>
      </c>
      <c r="F503" s="1097"/>
      <c r="G503" s="1314"/>
      <c r="H503" s="1314"/>
      <c r="I503" s="1274" t="str">
        <f t="shared" si="48"/>
        <v>Split Case Fee Override Flag</v>
      </c>
      <c r="J503" s="1314" t="str">
        <f t="shared" si="50"/>
        <v>F472</v>
      </c>
      <c r="K503" s="1314" t="str">
        <f t="shared" si="49"/>
        <v>Pricing Schedule</v>
      </c>
      <c r="L503" s="827" t="s">
        <v>1287</v>
      </c>
      <c r="M503" s="1314">
        <v>472</v>
      </c>
      <c r="N503" s="1314"/>
      <c r="O503" s="1311"/>
      <c r="P503" s="1311"/>
      <c r="Q503" s="1311"/>
      <c r="R503" s="1311"/>
      <c r="S503" s="1311"/>
      <c r="T503" s="1311"/>
      <c r="U503" s="1311"/>
      <c r="V503" s="1311"/>
      <c r="W503" s="1311"/>
      <c r="X503" s="1311"/>
      <c r="Y503" s="1311"/>
      <c r="Z503" s="1311"/>
    </row>
    <row r="504" spans="1:26" x14ac:dyDescent="0.25">
      <c r="A504" s="848" t="s">
        <v>1288</v>
      </c>
      <c r="B504" s="1274" t="str">
        <f ca="1">IF('Pricing Schedule'!$K$5="No",_xlfn.CONCAT(IFERROR(SUBSTITUTE(ADDRESS(1,MATCH(A504,INDIRECT("'"&amp;E504&amp;"'"&amp;"!A10:Z10"),0),4),1,""),""),29),_xlfn.CONCAT(IFERROR(SUBSTITUTE(ADDRESS(1,MATCH(A504,INDIRECT("'"&amp;E504&amp;"'"&amp;"!A10:Z10"),0),4),1,""),""),63))</f>
        <v>L29</v>
      </c>
      <c r="C504" s="1274" t="str">
        <f ca="1">IF('Pricing Schedule'!$K$5="No",IFERROR(SUBSTITUTE(ADDRESS(1,MATCH(A504,INDIRECT("'"&amp;E504&amp;"'"&amp;"!A10:Z10"),0),4),1,""),""),IFERROR(SUBSTITUTE(ADDRESS(1,MATCH(A504,INDIRECT("'"&amp;E504&amp;"'"&amp;"!A10:Z10"),0),4),1,""),""))</f>
        <v>L</v>
      </c>
      <c r="D504" s="791" t="s">
        <v>1357</v>
      </c>
      <c r="E504" s="791" t="s">
        <v>1279</v>
      </c>
      <c r="F504" s="1097"/>
      <c r="G504" s="1314"/>
      <c r="H504" s="1314"/>
      <c r="I504" s="1274" t="str">
        <f t="shared" si="48"/>
        <v>Split Case Fee</v>
      </c>
      <c r="J504" s="1314" t="str">
        <f t="shared" si="50"/>
        <v>F473</v>
      </c>
      <c r="K504" s="1314" t="str">
        <f t="shared" si="49"/>
        <v>Pricing Schedule</v>
      </c>
      <c r="L504" s="827" t="s">
        <v>1288</v>
      </c>
      <c r="M504" s="1314">
        <v>473</v>
      </c>
      <c r="N504" s="1314"/>
      <c r="O504" s="1311"/>
      <c r="P504" s="1311"/>
      <c r="Q504" s="1311"/>
      <c r="R504" s="1311"/>
      <c r="S504" s="1311"/>
      <c r="T504" s="1311"/>
      <c r="U504" s="1311"/>
      <c r="V504" s="1311"/>
      <c r="W504" s="1311"/>
      <c r="X504" s="1311"/>
      <c r="Y504" s="1311"/>
      <c r="Z504" s="1311"/>
    </row>
    <row r="505" spans="1:26" x14ac:dyDescent="0.25">
      <c r="A505" s="848" t="s">
        <v>1228</v>
      </c>
      <c r="B505" s="1274" t="str">
        <f ca="1">IF('Pricing Schedule'!$K$5="No",_xlfn.CONCAT(IFERROR(SUBSTITUTE(ADDRESS(1,MATCH(A505,INDIRECT("'"&amp;E505&amp;"'"&amp;"!A10:Z10"),0),4),1,""),""),29),_xlfn.CONCAT(IFERROR(SUBSTITUTE(ADDRESS(1,MATCH(A505,INDIRECT("'"&amp;E505&amp;"'"&amp;"!A10:Z10"),0),4),1,""),""),63))</f>
        <v>M29</v>
      </c>
      <c r="C505" s="1274" t="str">
        <f ca="1">IF('Pricing Schedule'!$K$5="No",IFERROR(SUBSTITUTE(ADDRESS(1,MATCH(A505,INDIRECT("'"&amp;E505&amp;"'"&amp;"!A10:Z10"),0),4),1,""),""),IFERROR(SUBSTITUTE(ADDRESS(1,MATCH(A505,INDIRECT("'"&amp;E505&amp;"'"&amp;"!A10:Z10"),0),4),1,""),""))</f>
        <v>M</v>
      </c>
      <c r="D505" s="791" t="s">
        <v>1357</v>
      </c>
      <c r="E505" s="791" t="s">
        <v>1279</v>
      </c>
      <c r="F505" s="1097"/>
      <c r="G505" s="1314"/>
      <c r="H505" s="1314"/>
      <c r="I505" s="1274" t="str">
        <f t="shared" si="48"/>
        <v>Split Case Per</v>
      </c>
      <c r="J505" s="1314" t="str">
        <f t="shared" si="50"/>
        <v>F474</v>
      </c>
      <c r="K505" s="1314" t="str">
        <f t="shared" si="49"/>
        <v>Pricing Schedule</v>
      </c>
      <c r="L505" s="827" t="s">
        <v>1228</v>
      </c>
      <c r="M505" s="1314">
        <v>474</v>
      </c>
      <c r="N505" s="1314"/>
      <c r="O505" s="1311"/>
      <c r="P505" s="1311"/>
      <c r="Q505" s="1311"/>
      <c r="R505" s="1311"/>
      <c r="S505" s="1311"/>
      <c r="T505" s="1311"/>
      <c r="U505" s="1311"/>
      <c r="V505" s="1311"/>
      <c r="W505" s="1311"/>
      <c r="X505" s="1311"/>
      <c r="Y505" s="1311"/>
      <c r="Z505" s="1311"/>
    </row>
    <row r="506" spans="1:26" x14ac:dyDescent="0.25">
      <c r="A506" s="849" t="s">
        <v>1289</v>
      </c>
      <c r="B506" s="1274" t="str">
        <f ca="1">IF('Pricing Schedule'!$K$5="No",_xlfn.CONCAT(IFERROR(SUBSTITUTE(ADDRESS(1,MATCH(A506,INDIRECT("'"&amp;E506&amp;"'"&amp;"!A10:Z10"),0),4),1,""),""),27),_xlfn.CONCAT(IFERROR(SUBSTITUTE(ADDRESS(1,MATCH(A506,INDIRECT("'"&amp;E506&amp;"'"&amp;"!A10:Z10"),0),4),1,""),""),61))</f>
        <v>N27</v>
      </c>
      <c r="C506" s="1274" t="str">
        <f ca="1">IF('Pricing Schedule'!$K$5="No",IFERROR(SUBSTITUTE(ADDRESS(1,MATCH(A506,INDIRECT("'"&amp;E506&amp;"'"&amp;"!A10:Z10"),0),4),1,""),""),IFERROR(SUBSTITUTE(ADDRESS(1,MATCH(A506,INDIRECT("'"&amp;E506&amp;"'"&amp;"!A10:Z10"),0),4),1,""),""))</f>
        <v>N</v>
      </c>
      <c r="D506" s="791" t="s">
        <v>1357</v>
      </c>
      <c r="E506" s="791" t="s">
        <v>1279</v>
      </c>
      <c r="F506" s="1314"/>
      <c r="G506" s="1314"/>
      <c r="H506" s="1314"/>
      <c r="I506" s="1274" t="str">
        <f t="shared" si="48"/>
        <v/>
      </c>
      <c r="J506" s="1314"/>
      <c r="K506" s="1314" t="str">
        <f t="shared" si="49"/>
        <v/>
      </c>
      <c r="L506" s="827" t="s">
        <v>1289</v>
      </c>
      <c r="M506" s="1314">
        <v>475</v>
      </c>
      <c r="N506" s="1314"/>
      <c r="O506" s="1311"/>
      <c r="P506" s="1311"/>
      <c r="Q506" s="1311"/>
      <c r="R506" s="1311"/>
      <c r="S506" s="1311"/>
      <c r="T506" s="1311"/>
      <c r="U506" s="1311"/>
      <c r="V506" s="1311"/>
      <c r="W506" s="1311"/>
      <c r="X506" s="1311"/>
      <c r="Y506" s="1311"/>
      <c r="Z506" s="1311"/>
    </row>
    <row r="507" spans="1:26" x14ac:dyDescent="0.25">
      <c r="A507" s="850" t="s">
        <v>1280</v>
      </c>
      <c r="B507" s="1274" t="str">
        <f ca="1">IF('Pricing Schedule'!$K$5="No",_xlfn.CONCAT(IFERROR(SUBSTITUTE(ADDRESS(1,MATCH(A507,INDIRECT("'"&amp;E507&amp;"'"&amp;"!A10:Z10"),0),4),1,""),""),27),_xlfn.CONCAT(IFERROR(SUBSTITUTE(ADDRESS(1,MATCH(A507,INDIRECT("'"&amp;E507&amp;"'"&amp;"!A10:Z10"),0),4),1,""),""),61))</f>
        <v>C27</v>
      </c>
      <c r="C507" s="1274" t="str">
        <f ca="1">IF('Pricing Schedule'!$K$5="No",IFERROR(SUBSTITUTE(ADDRESS(1,MATCH(A507,INDIRECT("'"&amp;E507&amp;"'"&amp;"!A10:Z10"),0),4),1,""),""),IFERROR(SUBSTITUTE(ADDRESS(1,MATCH(A507,INDIRECT("'"&amp;E507&amp;"'"&amp;"!A10:Z10"),0),4),1,""),""))</f>
        <v>C</v>
      </c>
      <c r="D507" s="791" t="s">
        <v>1357</v>
      </c>
      <c r="E507" s="791" t="s">
        <v>1279</v>
      </c>
      <c r="F507" s="1314"/>
      <c r="G507" s="1314"/>
      <c r="H507" s="1314"/>
      <c r="I507" s="1274" t="str">
        <f t="shared" si="48"/>
        <v/>
      </c>
      <c r="J507" s="1314"/>
      <c r="K507" s="1314" t="str">
        <f t="shared" si="49"/>
        <v/>
      </c>
      <c r="L507" s="827" t="s">
        <v>252</v>
      </c>
      <c r="M507" s="1314">
        <v>476</v>
      </c>
      <c r="N507" s="1314"/>
      <c r="O507" s="1311"/>
      <c r="P507" s="1311"/>
      <c r="Q507" s="1311"/>
      <c r="R507" s="1311"/>
      <c r="S507" s="1311"/>
      <c r="T507" s="1311"/>
      <c r="U507" s="1311"/>
      <c r="V507" s="1311"/>
      <c r="W507" s="1311"/>
      <c r="X507" s="1311"/>
      <c r="Y507" s="1311"/>
      <c r="Z507" s="1311"/>
    </row>
    <row r="508" spans="1:26" x14ac:dyDescent="0.25">
      <c r="A508" s="850" t="s">
        <v>1246</v>
      </c>
      <c r="B508" s="1274" t="str">
        <f ca="1">IF('Pricing Schedule'!$K$5="No",_xlfn.CONCAT(IFERROR(SUBSTITUTE(ADDRESS(1,MATCH(A508,INDIRECT("'"&amp;E508&amp;"'"&amp;"!A10:Z10"),0),4),1,""),""),27),_xlfn.CONCAT(IFERROR(SUBSTITUTE(ADDRESS(1,MATCH(A508,INDIRECT("'"&amp;E508&amp;"'"&amp;"!A10:Z10"),0),4),1,""),""),61))</f>
        <v>H27</v>
      </c>
      <c r="C508" s="1274" t="str">
        <f ca="1">IF('Pricing Schedule'!$K$5="No",IFERROR(SUBSTITUTE(ADDRESS(1,MATCH(A508,INDIRECT("'"&amp;E508&amp;"'"&amp;"!A10:Z10"),0),4),1,""),""),IFERROR(SUBSTITUTE(ADDRESS(1,MATCH(A508,INDIRECT("'"&amp;E508&amp;"'"&amp;"!A10:Z10"),0),4),1,""),""))</f>
        <v>H</v>
      </c>
      <c r="D508" s="791" t="s">
        <v>1357</v>
      </c>
      <c r="E508" s="791" t="s">
        <v>1279</v>
      </c>
      <c r="F508" s="1314"/>
      <c r="G508" s="1314"/>
      <c r="H508" s="1314"/>
      <c r="I508" s="1274" t="str">
        <f t="shared" si="48"/>
        <v/>
      </c>
      <c r="J508" s="1314"/>
      <c r="K508" s="1314" t="str">
        <f t="shared" si="49"/>
        <v/>
      </c>
      <c r="L508" s="827" t="s">
        <v>1246</v>
      </c>
      <c r="M508" s="1314">
        <v>477</v>
      </c>
      <c r="N508" s="1314"/>
      <c r="O508" s="1311"/>
      <c r="P508" s="1311"/>
      <c r="Q508" s="1311"/>
      <c r="R508" s="1311"/>
      <c r="S508" s="1311"/>
      <c r="T508" s="1311"/>
      <c r="U508" s="1311"/>
      <c r="V508" s="1311"/>
      <c r="W508" s="1311"/>
      <c r="X508" s="1311"/>
      <c r="Y508" s="1311"/>
      <c r="Z508" s="1311"/>
    </row>
    <row r="509" spans="1:26" x14ac:dyDescent="0.25">
      <c r="A509" s="850" t="s">
        <v>1283</v>
      </c>
      <c r="B509" s="1274" t="str">
        <f ca="1">IF('Pricing Schedule'!$K$5="No",_xlfn.CONCAT(IFERROR(SUBSTITUTE(ADDRESS(1,MATCH(A509,INDIRECT("'"&amp;E509&amp;"'"&amp;"!A10:Z10"),0),4),1,""),""),27),_xlfn.CONCAT(IFERROR(SUBSTITUTE(ADDRESS(1,MATCH(A509,INDIRECT("'"&amp;E509&amp;"'"&amp;"!A10:Z10"),0),4),1,""),""),61))</f>
        <v>F27</v>
      </c>
      <c r="C509" s="1274" t="str">
        <f ca="1">IF('Pricing Schedule'!$K$5="No",IFERROR(SUBSTITUTE(ADDRESS(1,MATCH(A509,INDIRECT("'"&amp;E509&amp;"'"&amp;"!A10:Z10"),0),4),1,""),""),IFERROR(SUBSTITUTE(ADDRESS(1,MATCH(A509,INDIRECT("'"&amp;E509&amp;"'"&amp;"!A10:Z10"),0),4),1,""),""))</f>
        <v>F</v>
      </c>
      <c r="D509" s="791" t="s">
        <v>1357</v>
      </c>
      <c r="E509" s="791" t="s">
        <v>1279</v>
      </c>
      <c r="F509" s="1314"/>
      <c r="G509" s="1314"/>
      <c r="H509" s="1314"/>
      <c r="I509" s="1274" t="str">
        <f t="shared" si="48"/>
        <v/>
      </c>
      <c r="J509" s="1314"/>
      <c r="K509" s="1314" t="str">
        <f t="shared" si="49"/>
        <v/>
      </c>
      <c r="L509" s="827" t="s">
        <v>225</v>
      </c>
      <c r="M509" s="1314">
        <v>478</v>
      </c>
      <c r="N509" s="1314"/>
      <c r="O509" s="1311"/>
      <c r="P509" s="1311"/>
      <c r="Q509" s="1311"/>
      <c r="R509" s="1311"/>
      <c r="S509" s="1311"/>
      <c r="T509" s="1311"/>
      <c r="U509" s="1311"/>
      <c r="V509" s="1311"/>
      <c r="W509" s="1311"/>
      <c r="X509" s="1311"/>
      <c r="Y509" s="1311"/>
      <c r="Z509" s="1311"/>
    </row>
    <row r="510" spans="1:26" x14ac:dyDescent="0.25">
      <c r="A510" s="851" t="s">
        <v>463</v>
      </c>
      <c r="B510" s="1274" t="str">
        <f ca="1">_xlfn.CONCAT(IFERROR(SUBSTITUTE(ADDRESS(1,MATCH(A510,INDIRECT("'"&amp;E510&amp;"'"&amp;"!A9:Z9"),0),4),1,""),""),29)</f>
        <v>E29</v>
      </c>
      <c r="C510" s="1274" t="str">
        <f ca="1">_xlfn.CONCAT(IFERROR(SUBSTITUTE(ADDRESS(1,MATCH(A510,INDIRECT("'"&amp;E510&amp;"'"&amp;"!A9:Z9"),0),4),1,""),""))</f>
        <v>E</v>
      </c>
      <c r="D510" s="1314" t="s">
        <v>1357</v>
      </c>
      <c r="E510" s="791" t="s">
        <v>208</v>
      </c>
      <c r="F510" s="1314"/>
      <c r="G510" s="1314"/>
      <c r="H510" s="1314"/>
      <c r="I510" s="1274" t="str">
        <f t="shared" si="48"/>
        <v>Exclude PIM Classes Below</v>
      </c>
      <c r="J510" s="1314" t="str">
        <f t="shared" si="50"/>
        <v>F479</v>
      </c>
      <c r="K510" s="1314" t="str">
        <f t="shared" si="49"/>
        <v>PIM Model</v>
      </c>
      <c r="L510" s="827" t="s">
        <v>463</v>
      </c>
      <c r="M510" s="1314">
        <v>479</v>
      </c>
      <c r="N510" s="1314"/>
      <c r="O510" s="1311"/>
      <c r="P510" s="1311"/>
      <c r="Q510" s="1311"/>
      <c r="R510" s="1311"/>
      <c r="S510" s="1311"/>
      <c r="T510" s="1311"/>
      <c r="U510" s="1311"/>
      <c r="V510" s="1311"/>
      <c r="W510" s="1311"/>
      <c r="X510" s="1311"/>
      <c r="Y510" s="1311"/>
      <c r="Z510" s="1311"/>
    </row>
    <row r="511" spans="1:26" x14ac:dyDescent="0.25">
      <c r="A511" s="851" t="s">
        <v>1282</v>
      </c>
      <c r="B511" s="1274" t="str">
        <f ca="1">IF('Pricing Schedule'!$K$5="No",_xlfn.CONCAT(IFERROR(SUBSTITUTE(ADDRESS(1,MATCH(A511,INDIRECT("'"&amp;E511&amp;"'"&amp;"!A10:Z10"),0),4),1,""),""),27),_xlfn.CONCAT(IFERROR(SUBSTITUTE(ADDRESS(1,MATCH(A511,INDIRECT("'"&amp;E511&amp;"'"&amp;"!A10:Z10"),0),4),1,""),""),61))</f>
        <v>E27</v>
      </c>
      <c r="C511" s="1274" t="str">
        <f ca="1">IF('Pricing Schedule'!$K$5="No",IFERROR(SUBSTITUTE(ADDRESS(1,MATCH(A511,INDIRECT("'"&amp;E511&amp;"'"&amp;"!A10:Z10"),0),4),1,""),""),IFERROR(SUBSTITUTE(ADDRESS(1,MATCH(A511,INDIRECT("'"&amp;E511&amp;"'"&amp;"!A10:Z10"),0),4),1,""),""))</f>
        <v>E</v>
      </c>
      <c r="D511" s="791" t="s">
        <v>1357</v>
      </c>
      <c r="E511" s="791" t="s">
        <v>1279</v>
      </c>
      <c r="F511" s="1314"/>
      <c r="G511" s="1314"/>
      <c r="H511" s="1314"/>
      <c r="I511" s="1274" t="str">
        <f t="shared" si="48"/>
        <v>Special Pricing Code</v>
      </c>
      <c r="J511" s="1314" t="str">
        <f t="shared" si="50"/>
        <v>F480</v>
      </c>
      <c r="K511" s="1314" t="str">
        <f t="shared" si="49"/>
        <v>Pricing Schedule</v>
      </c>
      <c r="L511" s="827" t="s">
        <v>1282</v>
      </c>
      <c r="M511" s="1314">
        <v>480</v>
      </c>
      <c r="N511" s="1314"/>
      <c r="O511" s="1311"/>
      <c r="P511" s="1311"/>
      <c r="Q511" s="1311"/>
      <c r="R511" s="1311"/>
      <c r="S511" s="1311"/>
      <c r="T511" s="1311"/>
      <c r="U511" s="1311"/>
      <c r="V511" s="1311"/>
      <c r="W511" s="1311"/>
      <c r="X511" s="1311"/>
      <c r="Y511" s="1311"/>
      <c r="Z511" s="1311"/>
    </row>
    <row r="512" spans="1:26" x14ac:dyDescent="0.25">
      <c r="A512" s="851" t="s">
        <v>1284</v>
      </c>
      <c r="B512" s="1274" t="str">
        <f ca="1">IF('Pricing Schedule'!$K$5="No",_xlfn.CONCAT(IFERROR(SUBSTITUTE(ADDRESS(1,MATCH(A512,INDIRECT("'"&amp;E512&amp;"'"&amp;"!A10:Z10"),0),4),1,""),""),27),_xlfn.CONCAT(IFERROR(SUBSTITUTE(ADDRESS(1,MATCH(A512,INDIRECT("'"&amp;E512&amp;"'"&amp;"!A10:Z10"),0),4),1,""),""),61))</f>
        <v>G27</v>
      </c>
      <c r="C512" s="1274" t="str">
        <f ca="1">IF('Pricing Schedule'!$K$5="No",IFERROR(SUBSTITUTE(ADDRESS(1,MATCH(A512,INDIRECT("'"&amp;E512&amp;"'"&amp;"!A10:Z10"),0),4),1,""),""),IFERROR(SUBSTITUTE(ADDRESS(1,MATCH(A512,INDIRECT("'"&amp;E512&amp;"'"&amp;"!A10:Z10"),0),4),1,""),""))</f>
        <v>G</v>
      </c>
      <c r="D512" s="791" t="s">
        <v>1357</v>
      </c>
      <c r="E512" s="791" t="s">
        <v>1279</v>
      </c>
      <c r="F512" s="1097"/>
      <c r="G512" s="1314"/>
      <c r="H512" s="1314"/>
      <c r="I512" s="1274" t="str">
        <f t="shared" si="48"/>
        <v>EB Markup Amt</v>
      </c>
      <c r="J512" s="1314" t="str">
        <f t="shared" si="50"/>
        <v>F481</v>
      </c>
      <c r="K512" s="1314" t="str">
        <f t="shared" si="49"/>
        <v>Pricing Schedule</v>
      </c>
      <c r="L512" s="827" t="s">
        <v>1284</v>
      </c>
      <c r="M512" s="1314">
        <v>481</v>
      </c>
      <c r="N512" s="1314"/>
      <c r="O512" s="1311"/>
      <c r="P512" s="1311"/>
      <c r="Q512" s="1311"/>
      <c r="R512" s="1311"/>
      <c r="S512" s="1311"/>
      <c r="T512" s="1311"/>
      <c r="U512" s="1311"/>
      <c r="V512" s="1311"/>
      <c r="W512" s="1311"/>
      <c r="X512" s="1311"/>
      <c r="Y512" s="1311"/>
      <c r="Z512" s="1311"/>
    </row>
    <row r="513" spans="1:26" x14ac:dyDescent="0.25">
      <c r="A513" s="851" t="s">
        <v>1285</v>
      </c>
      <c r="B513" s="1274" t="str">
        <f ca="1">IF('Pricing Schedule'!$K$5="No",_xlfn.CONCAT(IFERROR(SUBSTITUTE(ADDRESS(1,MATCH(A513,INDIRECT("'"&amp;E513&amp;"'"&amp;"!A10:Z10"),0),4),1,""),""),27),_xlfn.CONCAT(IFERROR(SUBSTITUTE(ADDRESS(1,MATCH(A513,INDIRECT("'"&amp;E513&amp;"'"&amp;"!A10:Z10"),0),4),1,""),""),61))</f>
        <v>I27</v>
      </c>
      <c r="C513" s="1274" t="str">
        <f ca="1">IF('Pricing Schedule'!$K$5="No",IFERROR(SUBSTITUTE(ADDRESS(1,MATCH(A513,INDIRECT("'"&amp;E513&amp;"'"&amp;"!A10:Z10"),0),4),1,""),""),IFERROR(SUBSTITUTE(ADDRESS(1,MATCH(A513,INDIRECT("'"&amp;E513&amp;"'"&amp;"!A10:Z10"),0),4),1,""),""))</f>
        <v>I</v>
      </c>
      <c r="D513" s="791" t="s">
        <v>1357</v>
      </c>
      <c r="E513" s="791" t="s">
        <v>1279</v>
      </c>
      <c r="F513" s="1097"/>
      <c r="G513" s="1314"/>
      <c r="H513" s="1314"/>
      <c r="I513" s="1274" t="str">
        <f t="shared" si="48"/>
        <v>Min CS Markup Override Flag</v>
      </c>
      <c r="J513" s="1314" t="str">
        <f t="shared" si="50"/>
        <v>F482</v>
      </c>
      <c r="K513" s="1314" t="str">
        <f t="shared" si="49"/>
        <v>Pricing Schedule</v>
      </c>
      <c r="L513" s="827" t="s">
        <v>1285</v>
      </c>
      <c r="M513" s="1314">
        <v>482</v>
      </c>
      <c r="N513" s="1314"/>
      <c r="O513" s="1311"/>
      <c r="P513" s="1311"/>
      <c r="Q513" s="1311"/>
      <c r="R513" s="1311"/>
      <c r="S513" s="1311"/>
      <c r="T513" s="1311"/>
      <c r="U513" s="1311"/>
      <c r="V513" s="1311"/>
      <c r="W513" s="1311"/>
      <c r="X513" s="1311"/>
      <c r="Y513" s="1311"/>
      <c r="Z513" s="1311"/>
    </row>
    <row r="514" spans="1:26" x14ac:dyDescent="0.25">
      <c r="A514" s="851" t="s">
        <v>1286</v>
      </c>
      <c r="B514" s="1274" t="str">
        <f ca="1">IF('Pricing Schedule'!$K$5="No",_xlfn.CONCAT(IFERROR(SUBSTITUTE(ADDRESS(1,MATCH(A514,INDIRECT("'"&amp;E514&amp;"'"&amp;"!A10:Z10"),0),4),1,""),""),27),_xlfn.CONCAT(IFERROR(SUBSTITUTE(ADDRESS(1,MATCH(A514,INDIRECT("'"&amp;E514&amp;"'"&amp;"!A10:Z10"),0),4),1,""),""),61))</f>
        <v>J27</v>
      </c>
      <c r="C514" s="1274" t="str">
        <f ca="1">IF('Pricing Schedule'!$K$5="No",IFERROR(SUBSTITUTE(ADDRESS(1,MATCH(A514,INDIRECT("'"&amp;E514&amp;"'"&amp;"!A10:Z10"),0),4),1,""),""),IFERROR(SUBSTITUTE(ADDRESS(1,MATCH(A514,INDIRECT("'"&amp;E514&amp;"'"&amp;"!A10:Z10"),0),4),1,""),""))</f>
        <v>J</v>
      </c>
      <c r="D514" s="791" t="s">
        <v>1357</v>
      </c>
      <c r="E514" s="791" t="s">
        <v>1279</v>
      </c>
      <c r="F514" s="1097"/>
      <c r="G514" s="1314"/>
      <c r="H514" s="1314"/>
      <c r="I514" s="1274" t="str">
        <f t="shared" si="48"/>
        <v>Min CS Markup Amt</v>
      </c>
      <c r="J514" s="1314" t="str">
        <f t="shared" si="50"/>
        <v>F483</v>
      </c>
      <c r="K514" s="1314" t="str">
        <f t="shared" si="49"/>
        <v>Pricing Schedule</v>
      </c>
      <c r="L514" s="827" t="s">
        <v>1286</v>
      </c>
      <c r="M514" s="1314">
        <v>483</v>
      </c>
      <c r="N514" s="1314"/>
      <c r="O514" s="1311"/>
      <c r="P514" s="1311"/>
      <c r="Q514" s="1311"/>
      <c r="R514" s="1311"/>
      <c r="S514" s="1311"/>
      <c r="T514" s="1311"/>
      <c r="U514" s="1311"/>
      <c r="V514" s="1311"/>
      <c r="W514" s="1311"/>
      <c r="X514" s="1311"/>
      <c r="Y514" s="1311"/>
      <c r="Z514" s="1311"/>
    </row>
    <row r="515" spans="1:26" x14ac:dyDescent="0.25">
      <c r="A515" s="851" t="s">
        <v>1287</v>
      </c>
      <c r="B515" s="1274" t="str">
        <f ca="1">IF('Pricing Schedule'!$K$5="No",_xlfn.CONCAT(IFERROR(SUBSTITUTE(ADDRESS(1,MATCH(A515,INDIRECT("'"&amp;E515&amp;"'"&amp;"!A10:Z10"),0),4),1,""),""),27),_xlfn.CONCAT(IFERROR(SUBSTITUTE(ADDRESS(1,MATCH(A515,INDIRECT("'"&amp;E515&amp;"'"&amp;"!A10:Z10"),0),4),1,""),""),61))</f>
        <v>K27</v>
      </c>
      <c r="C515" s="1274" t="str">
        <f ca="1">IF('Pricing Schedule'!$K$5="No",IFERROR(SUBSTITUTE(ADDRESS(1,MATCH(A515,INDIRECT("'"&amp;E515&amp;"'"&amp;"!A10:Z10"),0),4),1,""),""),IFERROR(SUBSTITUTE(ADDRESS(1,MATCH(A515,INDIRECT("'"&amp;E515&amp;"'"&amp;"!A10:Z10"),0),4),1,""),""))</f>
        <v>K</v>
      </c>
      <c r="D515" s="791" t="s">
        <v>1357</v>
      </c>
      <c r="E515" s="791" t="s">
        <v>1279</v>
      </c>
      <c r="F515" s="1097"/>
      <c r="G515" s="1314"/>
      <c r="H515" s="1314"/>
      <c r="I515" s="1274" t="str">
        <f t="shared" si="48"/>
        <v>Split Case Fee Override Flag</v>
      </c>
      <c r="J515" s="1314" t="str">
        <f t="shared" si="50"/>
        <v>F484</v>
      </c>
      <c r="K515" s="1314" t="str">
        <f t="shared" si="49"/>
        <v>Pricing Schedule</v>
      </c>
      <c r="L515" s="827" t="s">
        <v>1287</v>
      </c>
      <c r="M515" s="1314">
        <v>484</v>
      </c>
      <c r="N515" s="1314"/>
      <c r="O515" s="1311"/>
      <c r="P515" s="1311"/>
      <c r="Q515" s="1311"/>
      <c r="R515" s="1311"/>
      <c r="S515" s="1311"/>
      <c r="T515" s="1311"/>
      <c r="U515" s="1311"/>
      <c r="V515" s="1311"/>
      <c r="W515" s="1311"/>
      <c r="X515" s="1311"/>
      <c r="Y515" s="1311"/>
      <c r="Z515" s="1311"/>
    </row>
    <row r="516" spans="1:26" x14ac:dyDescent="0.25">
      <c r="A516" s="851" t="s">
        <v>1288</v>
      </c>
      <c r="B516" s="1274" t="str">
        <f ca="1">IF('Pricing Schedule'!$K$5="No",_xlfn.CONCAT(IFERROR(SUBSTITUTE(ADDRESS(1,MATCH(A516,INDIRECT("'"&amp;E516&amp;"'"&amp;"!A10:Z10"),0),4),1,""),""),27),_xlfn.CONCAT(IFERROR(SUBSTITUTE(ADDRESS(1,MATCH(A516,INDIRECT("'"&amp;E516&amp;"'"&amp;"!A10:Z10"),0),4),1,""),""),61))</f>
        <v>L27</v>
      </c>
      <c r="C516" s="1274" t="str">
        <f ca="1">IF('Pricing Schedule'!$K$5="No",IFERROR(SUBSTITUTE(ADDRESS(1,MATCH(A516,INDIRECT("'"&amp;E516&amp;"'"&amp;"!A10:Z10"),0),4),1,""),""),IFERROR(SUBSTITUTE(ADDRESS(1,MATCH(A516,INDIRECT("'"&amp;E516&amp;"'"&amp;"!A10:Z10"),0),4),1,""),""))</f>
        <v>L</v>
      </c>
      <c r="D516" s="791" t="s">
        <v>1357</v>
      </c>
      <c r="E516" s="791" t="s">
        <v>1279</v>
      </c>
      <c r="F516" s="1097"/>
      <c r="G516" s="1314"/>
      <c r="H516" s="1314"/>
      <c r="I516" s="1274" t="str">
        <f t="shared" ref="I516:I579" si="51">IF(J516&lt;&gt;"",A516,"")</f>
        <v>Split Case Fee</v>
      </c>
      <c r="J516" s="1314" t="str">
        <f t="shared" si="50"/>
        <v>F485</v>
      </c>
      <c r="K516" s="1314" t="str">
        <f t="shared" ref="K516:K579" si="52">IF(J516&lt;&gt;"",E516,"")</f>
        <v>Pricing Schedule</v>
      </c>
      <c r="L516" s="827" t="s">
        <v>1288</v>
      </c>
      <c r="M516" s="1314">
        <v>485</v>
      </c>
      <c r="N516" s="1314"/>
      <c r="O516" s="1311"/>
      <c r="P516" s="1311"/>
      <c r="Q516" s="1311"/>
      <c r="R516" s="1311"/>
      <c r="S516" s="1311"/>
      <c r="T516" s="1311"/>
      <c r="U516" s="1311"/>
      <c r="V516" s="1311"/>
      <c r="W516" s="1311"/>
      <c r="X516" s="1311"/>
      <c r="Y516" s="1311"/>
      <c r="Z516" s="1311"/>
    </row>
    <row r="517" spans="1:26" x14ac:dyDescent="0.25">
      <c r="A517" s="851" t="s">
        <v>1228</v>
      </c>
      <c r="B517" s="1274" t="str">
        <f ca="1">IF('Pricing Schedule'!$K$5="No",_xlfn.CONCAT(IFERROR(SUBSTITUTE(ADDRESS(1,MATCH(A517,INDIRECT("'"&amp;E517&amp;"'"&amp;"!A10:Z10"),0),4),1,""),""),27),_xlfn.CONCAT(IFERROR(SUBSTITUTE(ADDRESS(1,MATCH(A517,INDIRECT("'"&amp;E517&amp;"'"&amp;"!A10:Z10"),0),4),1,""),""),61))</f>
        <v>M27</v>
      </c>
      <c r="C517" s="1274" t="str">
        <f ca="1">IF('Pricing Schedule'!$K$5="No",IFERROR(SUBSTITUTE(ADDRESS(1,MATCH(A517,INDIRECT("'"&amp;E517&amp;"'"&amp;"!A10:Z10"),0),4),1,""),""),IFERROR(SUBSTITUTE(ADDRESS(1,MATCH(A517,INDIRECT("'"&amp;E517&amp;"'"&amp;"!A10:Z10"),0),4),1,""),""))</f>
        <v>M</v>
      </c>
      <c r="D517" s="791" t="s">
        <v>1357</v>
      </c>
      <c r="E517" s="791" t="s">
        <v>1279</v>
      </c>
      <c r="F517" s="1097"/>
      <c r="G517" s="1314"/>
      <c r="H517" s="1314"/>
      <c r="I517" s="1274" t="str">
        <f t="shared" si="51"/>
        <v>Split Case Per</v>
      </c>
      <c r="J517" s="1314" t="str">
        <f t="shared" si="50"/>
        <v>F486</v>
      </c>
      <c r="K517" s="1314" t="str">
        <f t="shared" si="52"/>
        <v>Pricing Schedule</v>
      </c>
      <c r="L517" s="827" t="s">
        <v>1228</v>
      </c>
      <c r="M517" s="1314">
        <v>486</v>
      </c>
      <c r="N517" s="1314"/>
      <c r="O517" s="1311"/>
      <c r="P517" s="1311"/>
      <c r="Q517" s="1311"/>
      <c r="R517" s="1311"/>
      <c r="S517" s="1311"/>
      <c r="T517" s="1311"/>
      <c r="U517" s="1311"/>
      <c r="V517" s="1311"/>
      <c r="W517" s="1311"/>
      <c r="X517" s="1311"/>
      <c r="Y517" s="1311"/>
      <c r="Z517" s="1311"/>
    </row>
    <row r="518" spans="1:26" x14ac:dyDescent="0.25">
      <c r="A518" s="846" t="s">
        <v>1289</v>
      </c>
      <c r="B518" s="1274" t="str">
        <f ca="1">IF('Pricing Schedule'!$K$5="No",_xlfn.CONCAT(IFERROR(SUBSTITUTE(ADDRESS(1,MATCH(A518,INDIRECT("'"&amp;E518&amp;"'"&amp;"!A10:Z10"),0),4),1,""),""),28),_xlfn.CONCAT(IFERROR(SUBSTITUTE(ADDRESS(1,MATCH(A518,INDIRECT("'"&amp;E518&amp;"'"&amp;"!A10:Z10"),0),4),1,""),""),62))</f>
        <v>N28</v>
      </c>
      <c r="C518" s="1274" t="str">
        <f ca="1">IF('Pricing Schedule'!$K$5="No",IFERROR(SUBSTITUTE(ADDRESS(1,MATCH(A518,INDIRECT("'"&amp;E518&amp;"'"&amp;"!A10:Z10"),0),4),1,""),""),IFERROR(SUBSTITUTE(ADDRESS(1,MATCH(A518,INDIRECT("'"&amp;E518&amp;"'"&amp;"!A10:Z10"),0),4),1,""),""))</f>
        <v>N</v>
      </c>
      <c r="D518" s="791" t="s">
        <v>1357</v>
      </c>
      <c r="E518" s="791" t="s">
        <v>1279</v>
      </c>
      <c r="F518" s="1314"/>
      <c r="G518" s="1314"/>
      <c r="H518" s="1314"/>
      <c r="I518" s="1274" t="str">
        <f t="shared" si="51"/>
        <v/>
      </c>
      <c r="J518" s="1314"/>
      <c r="K518" s="1314" t="str">
        <f t="shared" si="52"/>
        <v/>
      </c>
      <c r="L518" s="827" t="s">
        <v>1289</v>
      </c>
      <c r="M518" s="1314">
        <v>487</v>
      </c>
      <c r="N518" s="1314"/>
      <c r="O518" s="1311"/>
      <c r="P518" s="1311"/>
      <c r="Q518" s="1311"/>
      <c r="R518" s="1311"/>
      <c r="S518" s="1311"/>
      <c r="T518" s="1311"/>
      <c r="U518" s="1311"/>
      <c r="V518" s="1311"/>
      <c r="W518" s="1311"/>
      <c r="X518" s="1311"/>
      <c r="Y518" s="1311"/>
      <c r="Z518" s="1311"/>
    </row>
    <row r="519" spans="1:26" x14ac:dyDescent="0.25">
      <c r="A519" s="847" t="s">
        <v>1280</v>
      </c>
      <c r="B519" s="1274" t="str">
        <f ca="1">IF('Pricing Schedule'!$K$5="No",_xlfn.CONCAT(IFERROR(SUBSTITUTE(ADDRESS(1,MATCH(A519,INDIRECT("'"&amp;E519&amp;"'"&amp;"!A10:Z10"),0),4),1,""),""),28),_xlfn.CONCAT(IFERROR(SUBSTITUTE(ADDRESS(1,MATCH(A519,INDIRECT("'"&amp;E519&amp;"'"&amp;"!A10:Z10"),0),4),1,""),""),62))</f>
        <v>C28</v>
      </c>
      <c r="C519" s="1274" t="str">
        <f ca="1">IF('Pricing Schedule'!$K$5="No",IFERROR(SUBSTITUTE(ADDRESS(1,MATCH(A519,INDIRECT("'"&amp;E519&amp;"'"&amp;"!A10:Z10"),0),4),1,""),""),IFERROR(SUBSTITUTE(ADDRESS(1,MATCH(A519,INDIRECT("'"&amp;E519&amp;"'"&amp;"!A10:Z10"),0),4),1,""),""))</f>
        <v>C</v>
      </c>
      <c r="D519" s="791" t="s">
        <v>1357</v>
      </c>
      <c r="E519" s="791" t="s">
        <v>1279</v>
      </c>
      <c r="F519" s="1314"/>
      <c r="G519" s="1314"/>
      <c r="H519" s="1314"/>
      <c r="I519" s="1274" t="str">
        <f t="shared" si="51"/>
        <v/>
      </c>
      <c r="J519" s="1314"/>
      <c r="K519" s="1314" t="str">
        <f t="shared" si="52"/>
        <v/>
      </c>
      <c r="L519" s="827" t="s">
        <v>252</v>
      </c>
      <c r="M519" s="1314">
        <v>488</v>
      </c>
      <c r="N519" s="1314"/>
      <c r="O519" s="1311"/>
      <c r="P519" s="1311"/>
      <c r="Q519" s="1311"/>
      <c r="R519" s="1311"/>
      <c r="S519" s="1311"/>
      <c r="T519" s="1311"/>
      <c r="U519" s="1311"/>
      <c r="V519" s="1311"/>
      <c r="W519" s="1311"/>
      <c r="X519" s="1311"/>
      <c r="Y519" s="1311"/>
      <c r="Z519" s="1311"/>
    </row>
    <row r="520" spans="1:26" x14ac:dyDescent="0.25">
      <c r="A520" s="847" t="s">
        <v>1246</v>
      </c>
      <c r="B520" s="1274" t="str">
        <f ca="1">IF('Pricing Schedule'!$K$5="No",_xlfn.CONCAT(IFERROR(SUBSTITUTE(ADDRESS(1,MATCH(A520,INDIRECT("'"&amp;E520&amp;"'"&amp;"!A10:Z10"),0),4),1,""),""),28),_xlfn.CONCAT(IFERROR(SUBSTITUTE(ADDRESS(1,MATCH(A520,INDIRECT("'"&amp;E520&amp;"'"&amp;"!A10:Z10"),0),4),1,""),""),62))</f>
        <v>H28</v>
      </c>
      <c r="C520" s="1274" t="str">
        <f ca="1">IF('Pricing Schedule'!$K$5="No",IFERROR(SUBSTITUTE(ADDRESS(1,MATCH(A520,INDIRECT("'"&amp;E520&amp;"'"&amp;"!A10:Z10"),0),4),1,""),""),IFERROR(SUBSTITUTE(ADDRESS(1,MATCH(A520,INDIRECT("'"&amp;E520&amp;"'"&amp;"!A10:Z10"),0),4),1,""),""))</f>
        <v>H</v>
      </c>
      <c r="D520" s="791" t="s">
        <v>1357</v>
      </c>
      <c r="E520" s="791" t="s">
        <v>1279</v>
      </c>
      <c r="F520" s="1314"/>
      <c r="G520" s="1314"/>
      <c r="H520" s="1314"/>
      <c r="I520" s="1274" t="str">
        <f t="shared" si="51"/>
        <v/>
      </c>
      <c r="J520" s="1314"/>
      <c r="K520" s="1314" t="str">
        <f t="shared" si="52"/>
        <v/>
      </c>
      <c r="L520" s="827" t="s">
        <v>1246</v>
      </c>
      <c r="M520" s="1314">
        <v>489</v>
      </c>
      <c r="N520" s="1314"/>
      <c r="O520" s="1311"/>
      <c r="P520" s="1311"/>
      <c r="Q520" s="1311"/>
      <c r="R520" s="1311"/>
      <c r="S520" s="1311"/>
      <c r="T520" s="1311"/>
      <c r="U520" s="1311"/>
      <c r="V520" s="1311"/>
      <c r="W520" s="1311"/>
      <c r="X520" s="1311"/>
      <c r="Y520" s="1311"/>
      <c r="Z520" s="1311"/>
    </row>
    <row r="521" spans="1:26" x14ac:dyDescent="0.25">
      <c r="A521" s="847" t="s">
        <v>1283</v>
      </c>
      <c r="B521" s="1274" t="str">
        <f ca="1">IF('Pricing Schedule'!$K$5="No",_xlfn.CONCAT(IFERROR(SUBSTITUTE(ADDRESS(1,MATCH(A521,INDIRECT("'"&amp;E521&amp;"'"&amp;"!A10:Z10"),0),4),1,""),""),28),_xlfn.CONCAT(IFERROR(SUBSTITUTE(ADDRESS(1,MATCH(A521,INDIRECT("'"&amp;E521&amp;"'"&amp;"!A10:Z10"),0),4),1,""),""),62))</f>
        <v>F28</v>
      </c>
      <c r="C521" s="1274" t="str">
        <f ca="1">IF('Pricing Schedule'!$K$5="No",IFERROR(SUBSTITUTE(ADDRESS(1,MATCH(A521,INDIRECT("'"&amp;E521&amp;"'"&amp;"!A10:Z10"),0),4),1,""),""),IFERROR(SUBSTITUTE(ADDRESS(1,MATCH(A521,INDIRECT("'"&amp;E521&amp;"'"&amp;"!A10:Z10"),0),4),1,""),""))</f>
        <v>F</v>
      </c>
      <c r="D521" s="791" t="s">
        <v>1357</v>
      </c>
      <c r="E521" s="791" t="s">
        <v>1279</v>
      </c>
      <c r="F521" s="1314"/>
      <c r="G521" s="1314"/>
      <c r="H521" s="1314"/>
      <c r="I521" s="1274" t="str">
        <f t="shared" si="51"/>
        <v/>
      </c>
      <c r="J521" s="1314"/>
      <c r="K521" s="1314" t="str">
        <f t="shared" si="52"/>
        <v/>
      </c>
      <c r="L521" s="827" t="s">
        <v>225</v>
      </c>
      <c r="M521" s="1314">
        <v>490</v>
      </c>
      <c r="N521" s="1314"/>
      <c r="O521" s="1311"/>
      <c r="P521" s="1311"/>
      <c r="Q521" s="1311"/>
      <c r="R521" s="1311"/>
      <c r="S521" s="1311"/>
      <c r="T521" s="1311"/>
      <c r="U521" s="1311"/>
      <c r="V521" s="1311"/>
      <c r="W521" s="1311"/>
      <c r="X521" s="1311"/>
      <c r="Y521" s="1311"/>
      <c r="Z521" s="1311"/>
    </row>
    <row r="522" spans="1:26" x14ac:dyDescent="0.25">
      <c r="A522" s="848" t="s">
        <v>463</v>
      </c>
      <c r="B522" s="1274" t="str">
        <f ca="1">_xlfn.CONCAT(IFERROR(SUBSTITUTE(ADDRESS(1,MATCH(A522,INDIRECT("'"&amp;E522&amp;"'"&amp;"!A9:Z9"),0),4),1,""),""),30)</f>
        <v>E30</v>
      </c>
      <c r="C522" s="1274" t="str">
        <f ca="1">_xlfn.CONCAT(IFERROR(SUBSTITUTE(ADDRESS(1,MATCH(A522,INDIRECT("'"&amp;E522&amp;"'"&amp;"!A9:Z9"),0),4),1,""),""))</f>
        <v>E</v>
      </c>
      <c r="D522" s="1314" t="s">
        <v>1357</v>
      </c>
      <c r="E522" s="791" t="s">
        <v>208</v>
      </c>
      <c r="F522" s="1314"/>
      <c r="G522" s="1314"/>
      <c r="H522" s="1314"/>
      <c r="I522" s="1274" t="str">
        <f t="shared" si="51"/>
        <v>Exclude PIM Classes Below</v>
      </c>
      <c r="J522" s="1314" t="str">
        <f t="shared" ref="J522:J538" si="53">IF(M522&lt;&gt;"",Q$1&amp;M522,"")</f>
        <v>F491</v>
      </c>
      <c r="K522" s="1314" t="str">
        <f t="shared" si="52"/>
        <v>PIM Model</v>
      </c>
      <c r="L522" s="827" t="s">
        <v>463</v>
      </c>
      <c r="M522" s="1314">
        <v>491</v>
      </c>
      <c r="N522" s="1314"/>
      <c r="O522" s="1311"/>
      <c r="P522" s="1311"/>
      <c r="Q522" s="1311"/>
      <c r="R522" s="1311"/>
      <c r="S522" s="1311"/>
      <c r="T522" s="1311"/>
      <c r="U522" s="1311"/>
      <c r="V522" s="1311"/>
      <c r="W522" s="1311"/>
      <c r="X522" s="1311"/>
      <c r="Y522" s="1311"/>
      <c r="Z522" s="1311"/>
    </row>
    <row r="523" spans="1:26" x14ac:dyDescent="0.25">
      <c r="A523" s="848" t="s">
        <v>1282</v>
      </c>
      <c r="B523" s="1274" t="str">
        <f ca="1">IF('Pricing Schedule'!$K$5="No",_xlfn.CONCAT(IFERROR(SUBSTITUTE(ADDRESS(1,MATCH(A523,INDIRECT("'"&amp;E523&amp;"'"&amp;"!A10:Z10"),0),4),1,""),""),28),_xlfn.CONCAT(IFERROR(SUBSTITUTE(ADDRESS(1,MATCH(A523,INDIRECT("'"&amp;E523&amp;"'"&amp;"!A10:Z10"),0),4),1,""),""),62))</f>
        <v>E28</v>
      </c>
      <c r="C523" s="1274" t="str">
        <f ca="1">IF('Pricing Schedule'!$K$5="No",IFERROR(SUBSTITUTE(ADDRESS(1,MATCH(A523,INDIRECT("'"&amp;E523&amp;"'"&amp;"!A10:Z10"),0),4),1,""),""),IFERROR(SUBSTITUTE(ADDRESS(1,MATCH(A523,INDIRECT("'"&amp;E523&amp;"'"&amp;"!A10:Z10"),0),4),1,""),""))</f>
        <v>E</v>
      </c>
      <c r="D523" s="791" t="s">
        <v>1357</v>
      </c>
      <c r="E523" s="791" t="s">
        <v>1279</v>
      </c>
      <c r="F523" s="1314"/>
      <c r="G523" s="1314"/>
      <c r="H523" s="1314"/>
      <c r="I523" s="1274" t="str">
        <f t="shared" si="51"/>
        <v>Special Pricing Code</v>
      </c>
      <c r="J523" s="1314" t="str">
        <f t="shared" si="53"/>
        <v>F492</v>
      </c>
      <c r="K523" s="1314" t="str">
        <f t="shared" si="52"/>
        <v>Pricing Schedule</v>
      </c>
      <c r="L523" s="827" t="s">
        <v>1282</v>
      </c>
      <c r="M523" s="1314">
        <v>492</v>
      </c>
      <c r="N523" s="1314"/>
      <c r="O523" s="1311"/>
      <c r="P523" s="1311"/>
      <c r="Q523" s="1311"/>
      <c r="R523" s="1311"/>
      <c r="S523" s="1311"/>
      <c r="T523" s="1311"/>
      <c r="U523" s="1311"/>
      <c r="V523" s="1311"/>
      <c r="W523" s="1311"/>
      <c r="X523" s="1311"/>
      <c r="Y523" s="1311"/>
      <c r="Z523" s="1311"/>
    </row>
    <row r="524" spans="1:26" x14ac:dyDescent="0.25">
      <c r="A524" s="848" t="s">
        <v>1284</v>
      </c>
      <c r="B524" s="1274" t="str">
        <f ca="1">IF('Pricing Schedule'!$K$5="No",_xlfn.CONCAT(IFERROR(SUBSTITUTE(ADDRESS(1,MATCH(A524,INDIRECT("'"&amp;E524&amp;"'"&amp;"!A10:Z10"),0),4),1,""),""),28),_xlfn.CONCAT(IFERROR(SUBSTITUTE(ADDRESS(1,MATCH(A524,INDIRECT("'"&amp;E524&amp;"'"&amp;"!A10:Z10"),0),4),1,""),""),62))</f>
        <v>G28</v>
      </c>
      <c r="C524" s="1274" t="str">
        <f ca="1">IF('Pricing Schedule'!$K$5="No",IFERROR(SUBSTITUTE(ADDRESS(1,MATCH(A524,INDIRECT("'"&amp;E524&amp;"'"&amp;"!A10:Z10"),0),4),1,""),""),IFERROR(SUBSTITUTE(ADDRESS(1,MATCH(A524,INDIRECT("'"&amp;E524&amp;"'"&amp;"!A10:Z10"),0),4),1,""),""))</f>
        <v>G</v>
      </c>
      <c r="D524" s="791" t="s">
        <v>1357</v>
      </c>
      <c r="E524" s="791" t="s">
        <v>1279</v>
      </c>
      <c r="F524" s="1097"/>
      <c r="G524" s="1314"/>
      <c r="H524" s="1314"/>
      <c r="I524" s="1274" t="str">
        <f t="shared" si="51"/>
        <v>EB Markup Amt</v>
      </c>
      <c r="J524" s="1314" t="str">
        <f t="shared" si="53"/>
        <v>F493</v>
      </c>
      <c r="K524" s="1314" t="str">
        <f t="shared" si="52"/>
        <v>Pricing Schedule</v>
      </c>
      <c r="L524" s="827" t="s">
        <v>1284</v>
      </c>
      <c r="M524" s="1314">
        <v>493</v>
      </c>
      <c r="N524" s="1314"/>
      <c r="O524" s="1311"/>
      <c r="P524" s="1311"/>
      <c r="Q524" s="1311"/>
      <c r="R524" s="1311"/>
      <c r="S524" s="1311"/>
      <c r="T524" s="1311"/>
      <c r="U524" s="1311"/>
      <c r="V524" s="1311"/>
      <c r="W524" s="1311"/>
      <c r="X524" s="1311"/>
      <c r="Y524" s="1311"/>
      <c r="Z524" s="1311"/>
    </row>
    <row r="525" spans="1:26" x14ac:dyDescent="0.25">
      <c r="A525" s="848" t="s">
        <v>1285</v>
      </c>
      <c r="B525" s="1274" t="str">
        <f ca="1">IF('Pricing Schedule'!$K$5="No",_xlfn.CONCAT(IFERROR(SUBSTITUTE(ADDRESS(1,MATCH(A525,INDIRECT("'"&amp;E525&amp;"'"&amp;"!A10:Z10"),0),4),1,""),""),28),_xlfn.CONCAT(IFERROR(SUBSTITUTE(ADDRESS(1,MATCH(A525,INDIRECT("'"&amp;E525&amp;"'"&amp;"!A10:Z10"),0),4),1,""),""),62))</f>
        <v>I28</v>
      </c>
      <c r="C525" s="1274" t="str">
        <f ca="1">IF('Pricing Schedule'!$K$5="No",IFERROR(SUBSTITUTE(ADDRESS(1,MATCH(A525,INDIRECT("'"&amp;E525&amp;"'"&amp;"!A10:Z10"),0),4),1,""),""),IFERROR(SUBSTITUTE(ADDRESS(1,MATCH(A525,INDIRECT("'"&amp;E525&amp;"'"&amp;"!A10:Z10"),0),4),1,""),""))</f>
        <v>I</v>
      </c>
      <c r="D525" s="791" t="s">
        <v>1357</v>
      </c>
      <c r="E525" s="791" t="s">
        <v>1279</v>
      </c>
      <c r="F525" s="1097"/>
      <c r="G525" s="1314"/>
      <c r="H525" s="1314"/>
      <c r="I525" s="1274" t="str">
        <f t="shared" si="51"/>
        <v>Min CS Markup Override Flag</v>
      </c>
      <c r="J525" s="1314" t="str">
        <f t="shared" si="53"/>
        <v>F494</v>
      </c>
      <c r="K525" s="1314" t="str">
        <f t="shared" si="52"/>
        <v>Pricing Schedule</v>
      </c>
      <c r="L525" s="827" t="s">
        <v>1285</v>
      </c>
      <c r="M525" s="1314">
        <v>494</v>
      </c>
      <c r="N525" s="1314"/>
      <c r="O525" s="1311"/>
      <c r="P525" s="1311"/>
      <c r="Q525" s="1311"/>
      <c r="R525" s="1311"/>
      <c r="S525" s="1311"/>
      <c r="T525" s="1311"/>
      <c r="U525" s="1311"/>
      <c r="V525" s="1311"/>
      <c r="W525" s="1311"/>
      <c r="X525" s="1311"/>
      <c r="Y525" s="1311"/>
      <c r="Z525" s="1311"/>
    </row>
    <row r="526" spans="1:26" x14ac:dyDescent="0.25">
      <c r="A526" s="848" t="s">
        <v>1286</v>
      </c>
      <c r="B526" s="1274" t="str">
        <f ca="1">IF('Pricing Schedule'!$K$5="No",_xlfn.CONCAT(IFERROR(SUBSTITUTE(ADDRESS(1,MATCH(A526,INDIRECT("'"&amp;E526&amp;"'"&amp;"!A10:Z10"),0),4),1,""),""),28),_xlfn.CONCAT(IFERROR(SUBSTITUTE(ADDRESS(1,MATCH(A526,INDIRECT("'"&amp;E526&amp;"'"&amp;"!A10:Z10"),0),4),1,""),""),62))</f>
        <v>J28</v>
      </c>
      <c r="C526" s="1274" t="str">
        <f ca="1">IF('Pricing Schedule'!$K$5="No",IFERROR(SUBSTITUTE(ADDRESS(1,MATCH(A526,INDIRECT("'"&amp;E526&amp;"'"&amp;"!A10:Z10"),0),4),1,""),""),IFERROR(SUBSTITUTE(ADDRESS(1,MATCH(A526,INDIRECT("'"&amp;E526&amp;"'"&amp;"!A10:Z10"),0),4),1,""),""))</f>
        <v>J</v>
      </c>
      <c r="D526" s="791" t="s">
        <v>1357</v>
      </c>
      <c r="E526" s="791" t="s">
        <v>1279</v>
      </c>
      <c r="F526" s="1097"/>
      <c r="G526" s="1314"/>
      <c r="H526" s="1314"/>
      <c r="I526" s="1274" t="str">
        <f t="shared" si="51"/>
        <v>Min CS Markup Amt</v>
      </c>
      <c r="J526" s="1314" t="str">
        <f t="shared" si="53"/>
        <v>F495</v>
      </c>
      <c r="K526" s="1314" t="str">
        <f t="shared" si="52"/>
        <v>Pricing Schedule</v>
      </c>
      <c r="L526" s="827" t="s">
        <v>1286</v>
      </c>
      <c r="M526" s="1314">
        <v>495</v>
      </c>
      <c r="N526" s="1314"/>
      <c r="O526" s="1311"/>
      <c r="P526" s="1311"/>
      <c r="Q526" s="1311"/>
      <c r="R526" s="1311"/>
      <c r="S526" s="1311"/>
      <c r="T526" s="1311"/>
      <c r="U526" s="1311"/>
      <c r="V526" s="1311"/>
      <c r="W526" s="1311"/>
      <c r="X526" s="1311"/>
      <c r="Y526" s="1311"/>
      <c r="Z526" s="1311"/>
    </row>
    <row r="527" spans="1:26" x14ac:dyDescent="0.25">
      <c r="A527" s="848" t="s">
        <v>1287</v>
      </c>
      <c r="B527" s="1274" t="str">
        <f ca="1">IF('Pricing Schedule'!$K$5="No",_xlfn.CONCAT(IFERROR(SUBSTITUTE(ADDRESS(1,MATCH(A527,INDIRECT("'"&amp;E527&amp;"'"&amp;"!A10:Z10"),0),4),1,""),""),28),_xlfn.CONCAT(IFERROR(SUBSTITUTE(ADDRESS(1,MATCH(A527,INDIRECT("'"&amp;E527&amp;"'"&amp;"!A10:Z10"),0),4),1,""),""),62))</f>
        <v>K28</v>
      </c>
      <c r="C527" s="1274" t="str">
        <f ca="1">IF('Pricing Schedule'!$K$5="No",IFERROR(SUBSTITUTE(ADDRESS(1,MATCH(A527,INDIRECT("'"&amp;E527&amp;"'"&amp;"!A10:Z10"),0),4),1,""),""),IFERROR(SUBSTITUTE(ADDRESS(1,MATCH(A527,INDIRECT("'"&amp;E527&amp;"'"&amp;"!A10:Z10"),0),4),1,""),""))</f>
        <v>K</v>
      </c>
      <c r="D527" s="791" t="s">
        <v>1357</v>
      </c>
      <c r="E527" s="791" t="s">
        <v>1279</v>
      </c>
      <c r="F527" s="1097"/>
      <c r="G527" s="1314"/>
      <c r="H527" s="1314"/>
      <c r="I527" s="1274" t="str">
        <f t="shared" si="51"/>
        <v>Split Case Fee Override Flag</v>
      </c>
      <c r="J527" s="1314" t="str">
        <f t="shared" si="53"/>
        <v>F496</v>
      </c>
      <c r="K527" s="1314" t="str">
        <f t="shared" si="52"/>
        <v>Pricing Schedule</v>
      </c>
      <c r="L527" s="827" t="s">
        <v>1287</v>
      </c>
      <c r="M527" s="1314">
        <v>496</v>
      </c>
      <c r="N527" s="1314"/>
      <c r="O527" s="1311"/>
      <c r="P527" s="1311"/>
      <c r="Q527" s="1311"/>
      <c r="R527" s="1311"/>
      <c r="S527" s="1311"/>
      <c r="T527" s="1311"/>
      <c r="U527" s="1311"/>
      <c r="V527" s="1311"/>
      <c r="W527" s="1311"/>
      <c r="X527" s="1311"/>
      <c r="Y527" s="1311"/>
      <c r="Z527" s="1311"/>
    </row>
    <row r="528" spans="1:26" x14ac:dyDescent="0.25">
      <c r="A528" s="848" t="s">
        <v>1288</v>
      </c>
      <c r="B528" s="1274" t="str">
        <f ca="1">IF('Pricing Schedule'!$K$5="No",_xlfn.CONCAT(IFERROR(SUBSTITUTE(ADDRESS(1,MATCH(A528,INDIRECT("'"&amp;E528&amp;"'"&amp;"!A10:Z10"),0),4),1,""),""),28),_xlfn.CONCAT(IFERROR(SUBSTITUTE(ADDRESS(1,MATCH(A528,INDIRECT("'"&amp;E528&amp;"'"&amp;"!A10:Z10"),0),4),1,""),""),62))</f>
        <v>L28</v>
      </c>
      <c r="C528" s="1274" t="str">
        <f ca="1">IF('Pricing Schedule'!$K$5="No",IFERROR(SUBSTITUTE(ADDRESS(1,MATCH(A528,INDIRECT("'"&amp;E528&amp;"'"&amp;"!A10:Z10"),0),4),1,""),""),IFERROR(SUBSTITUTE(ADDRESS(1,MATCH(A528,INDIRECT("'"&amp;E528&amp;"'"&amp;"!A10:Z10"),0),4),1,""),""))</f>
        <v>L</v>
      </c>
      <c r="D528" s="791" t="s">
        <v>1357</v>
      </c>
      <c r="E528" s="791" t="s">
        <v>1279</v>
      </c>
      <c r="F528" s="1097"/>
      <c r="G528" s="1314"/>
      <c r="H528" s="1314"/>
      <c r="I528" s="1274" t="str">
        <f t="shared" si="51"/>
        <v>Split Case Fee</v>
      </c>
      <c r="J528" s="1314" t="str">
        <f t="shared" si="53"/>
        <v>F497</v>
      </c>
      <c r="K528" s="1314" t="str">
        <f t="shared" si="52"/>
        <v>Pricing Schedule</v>
      </c>
      <c r="L528" s="827" t="s">
        <v>1288</v>
      </c>
      <c r="M528" s="1314">
        <v>497</v>
      </c>
      <c r="N528" s="1314"/>
      <c r="O528" s="1311"/>
      <c r="P528" s="1311"/>
      <c r="Q528" s="1311"/>
      <c r="R528" s="1311"/>
      <c r="S528" s="1311"/>
      <c r="T528" s="1311"/>
      <c r="U528" s="1311"/>
      <c r="V528" s="1311"/>
      <c r="W528" s="1311"/>
      <c r="X528" s="1311"/>
      <c r="Y528" s="1311"/>
      <c r="Z528" s="1311"/>
    </row>
    <row r="529" spans="1:26" x14ac:dyDescent="0.25">
      <c r="A529" s="848" t="s">
        <v>1228</v>
      </c>
      <c r="B529" s="1274" t="str">
        <f ca="1">IF('Pricing Schedule'!$K$5="No",_xlfn.CONCAT(IFERROR(SUBSTITUTE(ADDRESS(1,MATCH(A529,INDIRECT("'"&amp;E529&amp;"'"&amp;"!A10:Z10"),0),4),1,""),""),28),_xlfn.CONCAT(IFERROR(SUBSTITUTE(ADDRESS(1,MATCH(A529,INDIRECT("'"&amp;E529&amp;"'"&amp;"!A10:Z10"),0),4),1,""),""),62))</f>
        <v>M28</v>
      </c>
      <c r="C529" s="1274" t="str">
        <f ca="1">IF('Pricing Schedule'!$K$5="No",IFERROR(SUBSTITUTE(ADDRESS(1,MATCH(A529,INDIRECT("'"&amp;E529&amp;"'"&amp;"!A10:Z10"),0),4),1,""),""),IFERROR(SUBSTITUTE(ADDRESS(1,MATCH(A529,INDIRECT("'"&amp;E529&amp;"'"&amp;"!A10:Z10"),0),4),1,""),""))</f>
        <v>M</v>
      </c>
      <c r="D529" s="791" t="s">
        <v>1357</v>
      </c>
      <c r="E529" s="791" t="s">
        <v>1279</v>
      </c>
      <c r="F529" s="1097"/>
      <c r="G529" s="1314"/>
      <c r="H529" s="1314"/>
      <c r="I529" s="1274" t="str">
        <f t="shared" si="51"/>
        <v>Split Case Per</v>
      </c>
      <c r="J529" s="1314" t="str">
        <f t="shared" si="53"/>
        <v>F498</v>
      </c>
      <c r="K529" s="1314" t="str">
        <f t="shared" si="52"/>
        <v>Pricing Schedule</v>
      </c>
      <c r="L529" s="827" t="s">
        <v>1228</v>
      </c>
      <c r="M529" s="1314">
        <v>498</v>
      </c>
      <c r="N529" s="1314"/>
      <c r="O529" s="1311"/>
      <c r="P529" s="1311"/>
      <c r="Q529" s="1311"/>
      <c r="R529" s="1311"/>
      <c r="S529" s="1311"/>
      <c r="T529" s="1311"/>
      <c r="U529" s="1311"/>
      <c r="V529" s="1311"/>
      <c r="W529" s="1311"/>
      <c r="X529" s="1311"/>
      <c r="Y529" s="1311"/>
      <c r="Z529" s="1311"/>
    </row>
    <row r="530" spans="1:26" x14ac:dyDescent="0.25">
      <c r="A530" s="841" t="s">
        <v>1275</v>
      </c>
      <c r="B530" s="791" t="str">
        <f ca="1">_xlfn.CONCAT(IFERROR(SUBSTITUTE(ADDRESS(1,MATCH(A530,INDIRECT("'"&amp;E530&amp;"'"&amp;"!A4:Z4"),0),4),1,""),""),4)</f>
        <v>M4</v>
      </c>
      <c r="C530" s="52" t="str">
        <f ca="1">_xlfn.CONCAT(IFERROR(SUBSTITUTE(ADDRESS(1,MATCH(A530,INDIRECT("'"&amp;E530&amp;"'"&amp;"!A4:Z4"),0),4),1,""),""),5)</f>
        <v>M5</v>
      </c>
      <c r="D530" s="791" t="s">
        <v>1350</v>
      </c>
      <c r="E530" s="791" t="s">
        <v>1279</v>
      </c>
      <c r="F530" s="841" t="s">
        <v>1275</v>
      </c>
      <c r="G530" s="52" t="s">
        <v>1370</v>
      </c>
      <c r="H530" s="52" t="s">
        <v>1781</v>
      </c>
      <c r="I530" s="1274" t="str">
        <f t="shared" si="51"/>
        <v>Pricing Termination End Date</v>
      </c>
      <c r="J530" s="1314" t="str">
        <f t="shared" si="53"/>
        <v>F499</v>
      </c>
      <c r="K530" s="1314" t="str">
        <f t="shared" si="52"/>
        <v>Pricing Schedule</v>
      </c>
      <c r="L530" s="827" t="s">
        <v>1275</v>
      </c>
      <c r="M530" s="1314">
        <v>499</v>
      </c>
      <c r="N530" s="1314"/>
      <c r="O530" s="1311"/>
      <c r="P530" s="1311"/>
      <c r="Q530" s="1311"/>
      <c r="R530" s="1311"/>
      <c r="S530" s="1311"/>
      <c r="T530" s="1311"/>
      <c r="U530" s="1311"/>
      <c r="V530" s="1311"/>
      <c r="W530" s="1311"/>
      <c r="X530" s="1311"/>
      <c r="Y530" s="1311"/>
      <c r="Z530" s="1311"/>
    </row>
    <row r="531" spans="1:26" x14ac:dyDescent="0.25">
      <c r="A531" s="841" t="s">
        <v>1276</v>
      </c>
      <c r="B531" s="791" t="str">
        <f t="shared" ref="B531:B538" ca="1" si="54">_xlfn.CONCAT(IFERROR(SUBSTITUTE(ADDRESS(1,MATCH(A531,INDIRECT("'"&amp;E531&amp;"'"&amp;"!A4:Z4"),0),4),1,""),""),4)</f>
        <v>N4</v>
      </c>
      <c r="C531" s="52" t="str">
        <f t="shared" ref="C531:C538" ca="1" si="55">_xlfn.CONCAT(IFERROR(SUBSTITUTE(ADDRESS(1,MATCH(A531,INDIRECT("'"&amp;E531&amp;"'"&amp;"!A4:Z4"),0),4),1,""),""),5)</f>
        <v>N5</v>
      </c>
      <c r="D531" s="791" t="s">
        <v>1350</v>
      </c>
      <c r="E531" s="791" t="s">
        <v>1279</v>
      </c>
      <c r="F531" s="841" t="s">
        <v>1276</v>
      </c>
      <c r="G531" s="52" t="s">
        <v>656</v>
      </c>
      <c r="H531" s="52" t="s">
        <v>1781</v>
      </c>
      <c r="I531" s="1274" t="str">
        <f t="shared" si="51"/>
        <v>Pricing Termination End Date Flag</v>
      </c>
      <c r="J531" s="1314" t="str">
        <f t="shared" si="53"/>
        <v>F500</v>
      </c>
      <c r="K531" s="1314" t="str">
        <f t="shared" si="52"/>
        <v>Pricing Schedule</v>
      </c>
      <c r="L531" s="827" t="s">
        <v>1276</v>
      </c>
      <c r="M531" s="1314">
        <v>500</v>
      </c>
      <c r="N531" s="1314"/>
      <c r="O531" s="1311"/>
      <c r="P531" s="1311"/>
      <c r="Q531" s="1311"/>
      <c r="R531" s="1311"/>
      <c r="S531" s="1311"/>
      <c r="T531" s="1311"/>
      <c r="U531" s="1311"/>
      <c r="V531" s="1311"/>
      <c r="W531" s="1311"/>
      <c r="X531" s="1311"/>
      <c r="Y531" s="1311"/>
      <c r="Z531" s="1311"/>
    </row>
    <row r="532" spans="1:26" x14ac:dyDescent="0.25">
      <c r="A532" s="826" t="s">
        <v>1270</v>
      </c>
      <c r="B532" s="1274" t="str">
        <f t="shared" ca="1" si="54"/>
        <v>H4</v>
      </c>
      <c r="C532" s="1314" t="str">
        <f t="shared" ca="1" si="55"/>
        <v>H5</v>
      </c>
      <c r="D532" s="791" t="s">
        <v>1350</v>
      </c>
      <c r="E532" s="791" t="s">
        <v>1279</v>
      </c>
      <c r="F532" s="1314"/>
      <c r="G532" s="1314"/>
      <c r="H532" s="1314"/>
      <c r="I532" s="1274" t="str">
        <f t="shared" si="51"/>
        <v>Pricing Override Flag</v>
      </c>
      <c r="J532" s="1314" t="str">
        <f t="shared" si="53"/>
        <v>F501</v>
      </c>
      <c r="K532" s="1314" t="str">
        <f t="shared" si="52"/>
        <v>Pricing Schedule</v>
      </c>
      <c r="L532" s="827" t="s">
        <v>1270</v>
      </c>
      <c r="M532" s="1314">
        <v>501</v>
      </c>
      <c r="N532" s="1314"/>
      <c r="O532" s="1311"/>
      <c r="P532" s="1311"/>
      <c r="Q532" s="1311"/>
      <c r="R532" s="1311"/>
      <c r="S532" s="1311"/>
      <c r="T532" s="1311"/>
      <c r="U532" s="1311"/>
      <c r="V532" s="1311"/>
      <c r="W532" s="1311"/>
      <c r="X532" s="1311"/>
      <c r="Y532" s="1311"/>
      <c r="Z532" s="1311"/>
    </row>
    <row r="533" spans="1:26" x14ac:dyDescent="0.25">
      <c r="A533" s="826" t="s">
        <v>1268</v>
      </c>
      <c r="B533" s="1274" t="str">
        <f t="shared" ca="1" si="54"/>
        <v>F4</v>
      </c>
      <c r="C533" s="1314" t="str">
        <f t="shared" ca="1" si="55"/>
        <v>F5</v>
      </c>
      <c r="D533" s="791" t="s">
        <v>1350</v>
      </c>
      <c r="E533" s="791" t="s">
        <v>1279</v>
      </c>
      <c r="F533" s="1314"/>
      <c r="G533" s="1314"/>
      <c r="H533" s="1314"/>
      <c r="I533" s="1274" t="str">
        <f t="shared" si="51"/>
        <v>EBP Cost Basis</v>
      </c>
      <c r="J533" s="1314" t="str">
        <f t="shared" si="53"/>
        <v>F514</v>
      </c>
      <c r="K533" s="1314" t="str">
        <f t="shared" si="52"/>
        <v>Pricing Schedule</v>
      </c>
      <c r="L533" s="826" t="s">
        <v>1268</v>
      </c>
      <c r="M533" s="1314">
        <v>514</v>
      </c>
      <c r="N533" s="1314"/>
      <c r="O533" s="1311"/>
      <c r="P533" s="1311"/>
      <c r="Q533" s="1311"/>
      <c r="R533" s="1311"/>
      <c r="S533" s="1311"/>
      <c r="T533" s="1311"/>
      <c r="U533" s="1311"/>
      <c r="V533" s="1311"/>
      <c r="W533" s="1311"/>
      <c r="X533" s="1311"/>
      <c r="Y533" s="1311"/>
      <c r="Z533" s="1311"/>
    </row>
    <row r="534" spans="1:26" x14ac:dyDescent="0.25">
      <c r="A534" s="826" t="s">
        <v>1269</v>
      </c>
      <c r="B534" s="1274" t="str">
        <f t="shared" ca="1" si="54"/>
        <v>G4</v>
      </c>
      <c r="C534" s="1314" t="str">
        <f t="shared" ca="1" si="55"/>
        <v>G5</v>
      </c>
      <c r="D534" s="791" t="s">
        <v>1350</v>
      </c>
      <c r="E534" s="791" t="s">
        <v>1279</v>
      </c>
      <c r="F534" s="1314"/>
      <c r="G534" s="1314"/>
      <c r="H534" s="1314"/>
      <c r="I534" s="1274" t="str">
        <f t="shared" si="51"/>
        <v>Eligible EBP Language</v>
      </c>
      <c r="J534" s="1314" t="str">
        <f t="shared" si="53"/>
        <v>F515</v>
      </c>
      <c r="K534" s="1314" t="str">
        <f t="shared" si="52"/>
        <v>Pricing Schedule</v>
      </c>
      <c r="L534" s="826" t="s">
        <v>1459</v>
      </c>
      <c r="M534" s="1314">
        <v>515</v>
      </c>
      <c r="N534" s="1314"/>
      <c r="O534" s="1311"/>
      <c r="P534" s="1311"/>
      <c r="Q534" s="1311"/>
      <c r="R534" s="1311"/>
      <c r="S534" s="1311"/>
      <c r="T534" s="1311"/>
      <c r="U534" s="1311"/>
      <c r="V534" s="1311"/>
      <c r="W534" s="1311"/>
      <c r="X534" s="1311"/>
      <c r="Y534" s="1311"/>
      <c r="Z534" s="1311"/>
    </row>
    <row r="535" spans="1:26" x14ac:dyDescent="0.25">
      <c r="A535" s="826" t="s">
        <v>1271</v>
      </c>
      <c r="B535" s="1274" t="str">
        <f t="shared" ca="1" si="54"/>
        <v>I4</v>
      </c>
      <c r="C535" s="1314" t="str">
        <f t="shared" ca="1" si="55"/>
        <v>I5</v>
      </c>
      <c r="D535" s="791" t="s">
        <v>1350</v>
      </c>
      <c r="E535" s="791" t="s">
        <v>1279</v>
      </c>
      <c r="F535" s="1314"/>
      <c r="G535" s="1314"/>
      <c r="H535" s="1314"/>
      <c r="I535" s="1274" t="str">
        <f t="shared" si="51"/>
        <v>Product Pricing Schedule Included Flag</v>
      </c>
      <c r="J535" s="1314" t="str">
        <f t="shared" si="53"/>
        <v>F517</v>
      </c>
      <c r="K535" s="1314" t="str">
        <f t="shared" si="52"/>
        <v>Pricing Schedule</v>
      </c>
      <c r="L535" s="826" t="s">
        <v>1271</v>
      </c>
      <c r="M535" s="1314">
        <v>517</v>
      </c>
      <c r="N535" s="1314"/>
      <c r="O535" s="1311"/>
      <c r="P535" s="1311"/>
      <c r="Q535" s="1311"/>
      <c r="R535" s="1311"/>
      <c r="S535" s="1311"/>
      <c r="T535" s="1311"/>
      <c r="U535" s="1311"/>
      <c r="V535" s="1311"/>
      <c r="W535" s="1311"/>
      <c r="X535" s="1311"/>
      <c r="Y535" s="1311"/>
      <c r="Z535" s="1311"/>
    </row>
    <row r="536" spans="1:26" x14ac:dyDescent="0.25">
      <c r="A536" s="826" t="s">
        <v>1272</v>
      </c>
      <c r="B536" s="1274" t="str">
        <f t="shared" ca="1" si="54"/>
        <v>J4</v>
      </c>
      <c r="C536" s="1314" t="str">
        <f t="shared" ca="1" si="55"/>
        <v>J5</v>
      </c>
      <c r="D536" s="791" t="s">
        <v>1350</v>
      </c>
      <c r="E536" s="791" t="s">
        <v>1279</v>
      </c>
      <c r="F536" s="1314"/>
      <c r="G536" s="1314"/>
      <c r="H536" s="1314"/>
      <c r="I536" s="1274" t="str">
        <f t="shared" si="51"/>
        <v>Special Pricing Flag</v>
      </c>
      <c r="J536" s="1314" t="str">
        <f t="shared" si="53"/>
        <v>F518</v>
      </c>
      <c r="K536" s="1314" t="str">
        <f t="shared" si="52"/>
        <v>Pricing Schedule</v>
      </c>
      <c r="L536" s="826" t="s">
        <v>1272</v>
      </c>
      <c r="M536" s="1314">
        <v>518</v>
      </c>
      <c r="N536" s="1314"/>
      <c r="O536" s="1311"/>
      <c r="P536" s="1311"/>
      <c r="Q536" s="1311"/>
      <c r="R536" s="1311"/>
      <c r="S536" s="1311"/>
      <c r="T536" s="1311"/>
      <c r="U536" s="1311"/>
      <c r="V536" s="1311"/>
      <c r="W536" s="1311"/>
      <c r="X536" s="1311"/>
      <c r="Y536" s="1311"/>
      <c r="Z536" s="1311"/>
    </row>
    <row r="537" spans="1:26" x14ac:dyDescent="0.25">
      <c r="A537" s="826" t="s">
        <v>1273</v>
      </c>
      <c r="B537" s="1274" t="str">
        <f t="shared" ca="1" si="54"/>
        <v>K4</v>
      </c>
      <c r="C537" s="1314" t="str">
        <f t="shared" ca="1" si="55"/>
        <v>K5</v>
      </c>
      <c r="D537" s="791" t="s">
        <v>1350</v>
      </c>
      <c r="E537" s="791" t="s">
        <v>1279</v>
      </c>
      <c r="F537" s="1314"/>
      <c r="G537" s="1314"/>
      <c r="H537" s="1314"/>
      <c r="I537" s="1274" t="str">
        <f t="shared" si="51"/>
        <v>Altenate Pricing Schedule Flag</v>
      </c>
      <c r="J537" s="1314" t="str">
        <f t="shared" si="53"/>
        <v>F519</v>
      </c>
      <c r="K537" s="1314" t="str">
        <f t="shared" si="52"/>
        <v>Pricing Schedule</v>
      </c>
      <c r="L537" s="826" t="s">
        <v>1461</v>
      </c>
      <c r="M537" s="1314">
        <v>519</v>
      </c>
      <c r="N537" s="1314"/>
      <c r="O537" s="1311"/>
      <c r="P537" s="1311"/>
      <c r="Q537" s="1311"/>
      <c r="R537" s="1311"/>
      <c r="S537" s="1311"/>
      <c r="T537" s="1311"/>
      <c r="U537" s="1311"/>
      <c r="V537" s="1311"/>
      <c r="W537" s="1311"/>
      <c r="X537" s="1311"/>
      <c r="Y537" s="1311"/>
      <c r="Z537" s="1311"/>
    </row>
    <row r="538" spans="1:26" x14ac:dyDescent="0.25">
      <c r="A538" s="826" t="s">
        <v>1274</v>
      </c>
      <c r="B538" s="1274" t="str">
        <f t="shared" ca="1" si="54"/>
        <v>L4</v>
      </c>
      <c r="C538" s="1314" t="str">
        <f t="shared" ca="1" si="55"/>
        <v>L5</v>
      </c>
      <c r="D538" s="791" t="s">
        <v>1350</v>
      </c>
      <c r="E538" s="791" t="s">
        <v>1279</v>
      </c>
      <c r="F538" s="1314"/>
      <c r="G538" s="1314"/>
      <c r="H538" s="1314"/>
      <c r="I538" s="1274" t="str">
        <f t="shared" si="51"/>
        <v>EB Pricing Schedule Flag</v>
      </c>
      <c r="J538" s="1314" t="str">
        <f t="shared" si="53"/>
        <v>F520</v>
      </c>
      <c r="K538" s="1314" t="str">
        <f t="shared" si="52"/>
        <v>Pricing Schedule</v>
      </c>
      <c r="L538" s="826" t="s">
        <v>1274</v>
      </c>
      <c r="M538" s="52">
        <v>520</v>
      </c>
      <c r="N538" s="1314"/>
      <c r="O538" s="1311" t="s">
        <v>725</v>
      </c>
      <c r="P538" s="1311"/>
      <c r="Q538" s="1311"/>
      <c r="R538" s="1311"/>
      <c r="S538" s="1311"/>
      <c r="T538" s="1311"/>
      <c r="U538" s="1311"/>
      <c r="V538" s="1311"/>
      <c r="W538" s="1311"/>
      <c r="X538" s="1311"/>
      <c r="Y538" s="1311"/>
      <c r="Z538" s="1311"/>
    </row>
    <row r="539" spans="1:26" x14ac:dyDescent="0.25">
      <c r="A539" s="846" t="s">
        <v>1491</v>
      </c>
      <c r="B539" s="826" t="str">
        <f ca="1">IFERROR(_xlfn.CONCAT("C",MATCH(A539,INDIRECT("'"&amp;E539&amp;"'!C"&amp;$O$539&amp;":C"&amp;$O$541),0)+$O$539-1),"")</f>
        <v>C7</v>
      </c>
      <c r="C539" s="826" t="str">
        <f ca="1">IFERROR(_xlfn.CONCAT("D",MATCH(A539,INDIRECT("'"&amp;E539&amp;"'!C"&amp;$O$539&amp;":C"&amp;$O$541),0)+$O$539-1),"")</f>
        <v>D7</v>
      </c>
      <c r="D539" s="826" t="s">
        <v>1350</v>
      </c>
      <c r="E539" s="826" t="s">
        <v>1516</v>
      </c>
      <c r="F539" s="1314" t="s">
        <v>1491</v>
      </c>
      <c r="G539" s="1314" t="str">
        <f>IF(T539&lt;&gt;"","A","")</f>
        <v/>
      </c>
      <c r="H539" s="1314" t="s">
        <v>1990</v>
      </c>
      <c r="I539" s="1274" t="str">
        <f t="shared" si="51"/>
        <v/>
      </c>
      <c r="J539" s="1314"/>
      <c r="K539" s="1314" t="str">
        <f t="shared" si="52"/>
        <v/>
      </c>
      <c r="L539" s="826" t="s">
        <v>1491</v>
      </c>
      <c r="M539" s="1329">
        <v>522</v>
      </c>
      <c r="N539" s="1314"/>
      <c r="O539" s="1311">
        <f>'Configurable Tab'!H3</f>
        <v>3</v>
      </c>
      <c r="P539" s="1311"/>
      <c r="Q539" s="1311"/>
      <c r="R539" s="1314" t="s">
        <v>851</v>
      </c>
      <c r="S539" s="1311"/>
      <c r="T539" s="1314" t="str">
        <f>IF(Q$540="Yes",1,"")</f>
        <v/>
      </c>
      <c r="U539" s="1311"/>
      <c r="V539" s="1311"/>
      <c r="W539" s="1311"/>
      <c r="X539" s="1311"/>
      <c r="Y539" s="1311"/>
      <c r="Z539" s="1311"/>
    </row>
    <row r="540" spans="1:26" x14ac:dyDescent="0.25">
      <c r="A540" s="846" t="s">
        <v>1705</v>
      </c>
      <c r="B540" s="826" t="str">
        <f ca="1">_xlfn.CONCAT(IFERROR(SUBSTITUTE(ADDRESS(1,MATCH(A540,INDIRECT("'"&amp;E540&amp;"'"&amp;"!A" &amp; $O$539+11 &amp; ":Z" &amp; $O$539+11 ),0),4),1,""),""),$O$539+11)</f>
        <v>T14</v>
      </c>
      <c r="C540" s="826" t="str">
        <f ca="1">_xlfn.CONCAT(IFERROR(SUBSTITUTE(ADDRESS(1,MATCH(A540,INDIRECT("'"&amp;E540&amp;"'"&amp;"!A" &amp; $O$539+11 &amp; ":Z" &amp; $O$539+11 ),0),4),1,""),""),$O$539+12)</f>
        <v>T15</v>
      </c>
      <c r="D540" s="826" t="s">
        <v>1350</v>
      </c>
      <c r="E540" s="826" t="s">
        <v>1516</v>
      </c>
      <c r="F540" s="1314"/>
      <c r="G540" s="1314"/>
      <c r="H540" s="1314"/>
      <c r="I540" s="1274" t="str">
        <f t="shared" si="51"/>
        <v/>
      </c>
      <c r="J540" s="1314" t="str">
        <f t="shared" ref="J540:J552" si="56">IF(M540&lt;&gt;"",IF($Q$540="Yes",Q$1&amp;M540,""))</f>
        <v/>
      </c>
      <c r="K540" s="1314" t="str">
        <f t="shared" si="52"/>
        <v/>
      </c>
      <c r="L540" s="826" t="s">
        <v>1705</v>
      </c>
      <c r="M540" s="1329">
        <v>523</v>
      </c>
      <c r="N540" s="1314"/>
      <c r="O540" s="1311" t="s">
        <v>726</v>
      </c>
      <c r="P540" s="1311" t="str">
        <f>'Configurable Tab'!J3</f>
        <v>Yes</v>
      </c>
      <c r="Q540" s="1311" t="s">
        <v>648</v>
      </c>
      <c r="R540" s="1314" t="s">
        <v>851</v>
      </c>
      <c r="S540" s="1311"/>
      <c r="T540" s="1314" t="str">
        <f>IF(Q$540="Yes",1,"")</f>
        <v/>
      </c>
      <c r="U540" s="1311"/>
      <c r="V540" s="1311"/>
      <c r="W540" s="1311"/>
      <c r="X540" s="1311"/>
      <c r="Y540" s="1311"/>
      <c r="Z540" s="1311"/>
    </row>
    <row r="541" spans="1:26" x14ac:dyDescent="0.25">
      <c r="A541" s="846" t="s">
        <v>1383</v>
      </c>
      <c r="B541" s="826" t="str">
        <f ca="1">IFERROR(_xlfn.CONCAT("C",MATCH(A541,INDIRECT("'"&amp;E541&amp;"'!C"&amp;$O$539&amp;":C"&amp;$O$541),0)+$O$539-1),"")</f>
        <v>C5</v>
      </c>
      <c r="C541" s="826" t="str">
        <f ca="1">IFERROR(_xlfn.CONCAT("D",MATCH(A541,INDIRECT("'"&amp;E541&amp;"'!C"&amp;$O$539&amp;":C"&amp;$O$541),0)+$O$539-1),"")</f>
        <v>D5</v>
      </c>
      <c r="D541" s="826" t="s">
        <v>1350</v>
      </c>
      <c r="E541" s="826" t="s">
        <v>1516</v>
      </c>
      <c r="F541" s="1314" t="s">
        <v>1383</v>
      </c>
      <c r="G541" s="1314" t="str">
        <f>IF(T541&lt;&gt;"","B","")</f>
        <v/>
      </c>
      <c r="H541" s="1314" t="s">
        <v>1990</v>
      </c>
      <c r="I541" s="1274" t="str">
        <f t="shared" si="51"/>
        <v/>
      </c>
      <c r="J541" s="1314"/>
      <c r="K541" s="1314" t="str">
        <f t="shared" si="52"/>
        <v/>
      </c>
      <c r="L541" s="826" t="s">
        <v>1383</v>
      </c>
      <c r="M541" s="1329">
        <v>524</v>
      </c>
      <c r="N541" s="1314"/>
      <c r="O541" s="1311">
        <f>'Configurable Tab'!I3</f>
        <v>16</v>
      </c>
      <c r="P541" s="1311"/>
      <c r="Q541" s="1311"/>
      <c r="R541" s="1314" t="s">
        <v>851</v>
      </c>
      <c r="S541" s="1311"/>
      <c r="T541" s="1314" t="str">
        <f>IF(Q$540="Yes",1,"")</f>
        <v/>
      </c>
      <c r="U541" s="1311"/>
      <c r="V541" s="1311"/>
      <c r="W541" s="1311"/>
      <c r="X541" s="1311"/>
      <c r="Y541" s="1311"/>
      <c r="Z541" s="1311"/>
    </row>
    <row r="542" spans="1:26" x14ac:dyDescent="0.25">
      <c r="A542" s="846" t="s">
        <v>1380</v>
      </c>
      <c r="B542" s="826" t="str">
        <f t="shared" ref="B542:B548" ca="1" si="57">_xlfn.CONCAT(IFERROR(SUBSTITUTE(ADDRESS(1,MATCH(A542,INDIRECT("'"&amp;E542&amp;"'"&amp;"!A" &amp; $O$539+2 &amp; ":Z"&amp;$O$539+2 ),0),4),1,""),""),$O$539+2)</f>
        <v>H5</v>
      </c>
      <c r="C542" s="826" t="str">
        <f t="shared" ref="C542:C548" ca="1" si="58">_xlfn.CONCAT(IFERROR(SUBSTITUTE(ADDRESS(1,MATCH(A542,INDIRECT("'"&amp;E542&amp;"'"&amp;"!A" &amp; $O$539+2 &amp; ":Z"&amp;$O$539+2 ),0),4),1,""),""),$O$539+3)</f>
        <v>H6</v>
      </c>
      <c r="D542" s="826" t="s">
        <v>1350</v>
      </c>
      <c r="E542" s="826" t="s">
        <v>1516</v>
      </c>
      <c r="F542" s="1314" t="s">
        <v>1991</v>
      </c>
      <c r="G542" s="1314" t="str">
        <f>IF(T542&lt;&gt;"","E","")</f>
        <v/>
      </c>
      <c r="H542" s="1314" t="s">
        <v>1990</v>
      </c>
      <c r="I542" s="1274" t="str">
        <f t="shared" si="51"/>
        <v/>
      </c>
      <c r="J542" s="1314" t="str">
        <f t="shared" si="56"/>
        <v/>
      </c>
      <c r="K542" s="1314" t="str">
        <f t="shared" si="52"/>
        <v/>
      </c>
      <c r="L542" s="826" t="s">
        <v>1380</v>
      </c>
      <c r="M542" s="1329">
        <v>525</v>
      </c>
      <c r="N542" s="1314"/>
      <c r="O542" s="1311" t="s">
        <v>1632</v>
      </c>
      <c r="P542" s="1311"/>
      <c r="Q542" s="1311"/>
      <c r="R542" s="1314" t="s">
        <v>851</v>
      </c>
      <c r="S542" s="1311"/>
      <c r="T542" s="1314" t="str">
        <f t="shared" ref="T542:T553" si="59">IF(Q$540="Yes",1,"")</f>
        <v/>
      </c>
      <c r="U542" s="1311"/>
      <c r="V542" s="1311"/>
      <c r="W542" s="1311"/>
      <c r="X542" s="1311"/>
      <c r="Y542" s="1311"/>
      <c r="Z542" s="1311"/>
    </row>
    <row r="543" spans="1:26" x14ac:dyDescent="0.25">
      <c r="A543" s="846" t="s">
        <v>1381</v>
      </c>
      <c r="B543" s="826" t="str">
        <f t="shared" ca="1" si="57"/>
        <v>J5</v>
      </c>
      <c r="C543" s="826" t="str">
        <f t="shared" ca="1" si="58"/>
        <v>J6</v>
      </c>
      <c r="D543" s="826" t="s">
        <v>1350</v>
      </c>
      <c r="E543" s="826" t="s">
        <v>1516</v>
      </c>
      <c r="F543" s="1314" t="s">
        <v>1992</v>
      </c>
      <c r="G543" s="1314" t="str">
        <f>IF(T543&lt;&gt;"","I","")</f>
        <v/>
      </c>
      <c r="H543" s="1314" t="s">
        <v>1990</v>
      </c>
      <c r="I543" s="1274" t="str">
        <f t="shared" si="51"/>
        <v/>
      </c>
      <c r="J543" s="1314" t="str">
        <f t="shared" si="56"/>
        <v/>
      </c>
      <c r="K543" s="1314" t="str">
        <f t="shared" si="52"/>
        <v/>
      </c>
      <c r="L543" s="826" t="s">
        <v>1381</v>
      </c>
      <c r="M543" s="1329">
        <v>526</v>
      </c>
      <c r="N543" s="1314"/>
      <c r="O543" s="1311"/>
      <c r="P543" s="1311"/>
      <c r="Q543" s="1311"/>
      <c r="R543" s="1314" t="s">
        <v>851</v>
      </c>
      <c r="S543" s="1311"/>
      <c r="T543" s="1314" t="str">
        <f t="shared" si="59"/>
        <v/>
      </c>
      <c r="U543" s="1311"/>
      <c r="V543" s="1311"/>
      <c r="W543" s="1311"/>
      <c r="X543" s="1311"/>
      <c r="Y543" s="1311"/>
      <c r="Z543" s="1311"/>
    </row>
    <row r="544" spans="1:26" x14ac:dyDescent="0.25">
      <c r="A544" s="846" t="s">
        <v>1397</v>
      </c>
      <c r="B544" s="826" t="str">
        <f t="shared" ca="1" si="57"/>
        <v>L5</v>
      </c>
      <c r="C544" s="826" t="str">
        <f t="shared" ca="1" si="58"/>
        <v>L6</v>
      </c>
      <c r="D544" s="826" t="s">
        <v>1350</v>
      </c>
      <c r="E544" s="826" t="s">
        <v>1516</v>
      </c>
      <c r="F544" s="1314" t="s">
        <v>1993</v>
      </c>
      <c r="G544" s="1314" t="str">
        <f>IF(T544&lt;&gt;"","H","")</f>
        <v/>
      </c>
      <c r="H544" s="1314" t="s">
        <v>1990</v>
      </c>
      <c r="I544" s="1274" t="str">
        <f t="shared" si="51"/>
        <v/>
      </c>
      <c r="J544" s="1314" t="str">
        <f t="shared" si="56"/>
        <v/>
      </c>
      <c r="K544" s="1314" t="str">
        <f t="shared" si="52"/>
        <v/>
      </c>
      <c r="L544" s="826" t="s">
        <v>1397</v>
      </c>
      <c r="M544" s="1329">
        <v>527</v>
      </c>
      <c r="N544" s="1314"/>
      <c r="O544" s="1311"/>
      <c r="P544" s="1311"/>
      <c r="Q544" s="1311"/>
      <c r="R544" s="1314" t="s">
        <v>851</v>
      </c>
      <c r="S544" s="1311"/>
      <c r="T544" s="1314" t="str">
        <f t="shared" si="59"/>
        <v/>
      </c>
      <c r="U544" s="1311"/>
      <c r="V544" s="1311"/>
      <c r="W544" s="1311"/>
      <c r="X544" s="1311"/>
      <c r="Y544" s="1311"/>
      <c r="Z544" s="1311"/>
    </row>
    <row r="545" spans="1:26" x14ac:dyDescent="0.25">
      <c r="A545" s="846" t="s">
        <v>1382</v>
      </c>
      <c r="B545" s="826" t="str">
        <f t="shared" ca="1" si="57"/>
        <v>N5</v>
      </c>
      <c r="C545" s="826" t="str">
        <f t="shared" ca="1" si="58"/>
        <v>N6</v>
      </c>
      <c r="D545" s="826" t="s">
        <v>1350</v>
      </c>
      <c r="E545" s="826" t="s">
        <v>1516</v>
      </c>
      <c r="F545" s="1314" t="s">
        <v>1382</v>
      </c>
      <c r="G545" s="1314" t="str">
        <f>IF(T545&lt;&gt;"",IF(Q543="Credit Memo","J",IF(Q543="Check","K","")),"")</f>
        <v/>
      </c>
      <c r="H545" s="1314" t="s">
        <v>1990</v>
      </c>
      <c r="I545" s="1274" t="str">
        <f t="shared" si="51"/>
        <v/>
      </c>
      <c r="J545" s="1314" t="str">
        <f t="shared" si="56"/>
        <v/>
      </c>
      <c r="K545" s="1314" t="str">
        <f t="shared" si="52"/>
        <v/>
      </c>
      <c r="L545" s="826" t="s">
        <v>1382</v>
      </c>
      <c r="M545" s="1329">
        <v>528</v>
      </c>
      <c r="N545" s="1314"/>
      <c r="O545" s="1311"/>
      <c r="P545" s="1311"/>
      <c r="Q545" s="1311"/>
      <c r="R545" s="1314" t="s">
        <v>851</v>
      </c>
      <c r="S545" s="1311"/>
      <c r="T545" s="1314" t="str">
        <f t="shared" si="59"/>
        <v/>
      </c>
      <c r="U545" s="1311"/>
      <c r="V545" s="1311"/>
      <c r="W545" s="1311"/>
      <c r="X545" s="1311"/>
      <c r="Y545" s="1311"/>
      <c r="Z545" s="1311"/>
    </row>
    <row r="546" spans="1:26" x14ac:dyDescent="0.25">
      <c r="A546" s="846" t="s">
        <v>1486</v>
      </c>
      <c r="B546" s="826" t="str">
        <f t="shared" ca="1" si="57"/>
        <v>P5</v>
      </c>
      <c r="C546" s="826" t="str">
        <f t="shared" ca="1" si="58"/>
        <v>P6</v>
      </c>
      <c r="D546" s="826" t="s">
        <v>1350</v>
      </c>
      <c r="E546" s="826" t="s">
        <v>1516</v>
      </c>
      <c r="F546" s="1314" t="s">
        <v>1994</v>
      </c>
      <c r="G546" s="1314" t="str">
        <f>IF(T546&lt;&gt;"","F","")</f>
        <v/>
      </c>
      <c r="H546" s="1314" t="s">
        <v>1990</v>
      </c>
      <c r="I546" s="1274" t="str">
        <f t="shared" si="51"/>
        <v/>
      </c>
      <c r="J546" s="1314" t="str">
        <f t="shared" si="56"/>
        <v/>
      </c>
      <c r="K546" s="1314" t="str">
        <f t="shared" si="52"/>
        <v/>
      </c>
      <c r="L546" s="826" t="s">
        <v>1486</v>
      </c>
      <c r="M546" s="1329">
        <v>529</v>
      </c>
      <c r="N546" s="1314"/>
      <c r="O546" s="1311"/>
      <c r="P546" s="1311"/>
      <c r="Q546" s="1311"/>
      <c r="R546" s="1314" t="s">
        <v>851</v>
      </c>
      <c r="S546" s="1311"/>
      <c r="T546" s="1314" t="str">
        <f t="shared" si="59"/>
        <v/>
      </c>
      <c r="U546" s="1311"/>
      <c r="V546" s="1311"/>
      <c r="W546" s="1311"/>
      <c r="X546" s="1311"/>
      <c r="Y546" s="1311"/>
      <c r="Z546" s="1311"/>
    </row>
    <row r="547" spans="1:26" x14ac:dyDescent="0.25">
      <c r="A547" s="846" t="s">
        <v>1487</v>
      </c>
      <c r="B547" s="826" t="str">
        <f t="shared" ca="1" si="57"/>
        <v>R5</v>
      </c>
      <c r="C547" s="826" t="str">
        <f t="shared" ca="1" si="58"/>
        <v>R6</v>
      </c>
      <c r="D547" s="826" t="s">
        <v>1350</v>
      </c>
      <c r="E547" s="826" t="s">
        <v>1516</v>
      </c>
      <c r="F547" s="1314" t="s">
        <v>1995</v>
      </c>
      <c r="G547" s="1314" t="str">
        <f>IF(T547&lt;&gt;"","G","")</f>
        <v/>
      </c>
      <c r="H547" s="1314" t="s">
        <v>1990</v>
      </c>
      <c r="I547" s="1274" t="str">
        <f t="shared" si="51"/>
        <v/>
      </c>
      <c r="J547" s="1314" t="str">
        <f t="shared" si="56"/>
        <v/>
      </c>
      <c r="K547" s="1314" t="str">
        <f t="shared" si="52"/>
        <v/>
      </c>
      <c r="L547" s="826" t="s">
        <v>1487</v>
      </c>
      <c r="M547" s="1329">
        <v>530</v>
      </c>
      <c r="N547" s="1314"/>
      <c r="O547" s="1311"/>
      <c r="P547" s="1311"/>
      <c r="Q547" s="1311"/>
      <c r="R547" s="1314" t="s">
        <v>851</v>
      </c>
      <c r="S547" s="1311"/>
      <c r="T547" s="1314" t="str">
        <f t="shared" si="59"/>
        <v/>
      </c>
      <c r="U547" s="1311"/>
      <c r="V547" s="1311"/>
      <c r="W547" s="1311"/>
      <c r="X547" s="1311"/>
      <c r="Y547" s="1311"/>
      <c r="Z547" s="1311"/>
    </row>
    <row r="548" spans="1:26" x14ac:dyDescent="0.25">
      <c r="A548" s="846" t="s">
        <v>1488</v>
      </c>
      <c r="B548" s="826" t="str">
        <f t="shared" ca="1" si="57"/>
        <v>T5</v>
      </c>
      <c r="C548" s="826" t="str">
        <f t="shared" ca="1" si="58"/>
        <v>T6</v>
      </c>
      <c r="D548" s="826" t="s">
        <v>1350</v>
      </c>
      <c r="E548" s="826" t="s">
        <v>1516</v>
      </c>
      <c r="F548" s="841" t="s">
        <v>1488</v>
      </c>
      <c r="G548" s="1314" t="str">
        <f>IF(T548&lt;&gt;"","AW","")</f>
        <v/>
      </c>
      <c r="H548" s="1314" t="s">
        <v>1990</v>
      </c>
      <c r="I548" s="1274" t="str">
        <f t="shared" si="51"/>
        <v/>
      </c>
      <c r="J548" s="1314" t="str">
        <f t="shared" si="56"/>
        <v/>
      </c>
      <c r="K548" s="1314" t="str">
        <f t="shared" si="52"/>
        <v/>
      </c>
      <c r="L548" s="826" t="s">
        <v>1488</v>
      </c>
      <c r="M548" s="1329">
        <v>531</v>
      </c>
      <c r="N548" s="1314"/>
      <c r="O548" s="1311"/>
      <c r="P548" s="1311"/>
      <c r="Q548" s="1311"/>
      <c r="R548" s="1314" t="s">
        <v>851</v>
      </c>
      <c r="S548" s="1311"/>
      <c r="T548" s="1314" t="str">
        <f t="shared" si="59"/>
        <v/>
      </c>
      <c r="U548" s="1311"/>
      <c r="V548" s="1311"/>
      <c r="W548" s="1311"/>
      <c r="X548" s="1311"/>
      <c r="Y548" s="1311"/>
      <c r="Z548" s="1311"/>
    </row>
    <row r="549" spans="1:26" x14ac:dyDescent="0.25">
      <c r="A549" s="846" t="s">
        <v>1385</v>
      </c>
      <c r="B549" s="826" t="str">
        <f ca="1">IFERROR(_xlfn.CONCAT("C",MATCH(A549,INDIRECT("'"&amp;E549&amp;"'!C"&amp;$O$539&amp;":C"&amp;$O$541),0)+$O$539-1),"")</f>
        <v>C9</v>
      </c>
      <c r="C549" s="826" t="str">
        <f ca="1">IFERROR(_xlfn.CONCAT("D",MATCH(A549,INDIRECT("'"&amp;E549&amp;"'!C"&amp;$O$539&amp;":C"&amp;$O$541),0)+$O$539-1),"")</f>
        <v>D9</v>
      </c>
      <c r="D549" s="826" t="s">
        <v>1350</v>
      </c>
      <c r="E549" s="826" t="s">
        <v>1516</v>
      </c>
      <c r="F549" s="1314" t="s">
        <v>1385</v>
      </c>
      <c r="G549" s="1314" t="str">
        <f>IF(T549&lt;&gt;"","C","")</f>
        <v/>
      </c>
      <c r="H549" s="1314" t="s">
        <v>1990</v>
      </c>
      <c r="I549" s="1274" t="str">
        <f t="shared" si="51"/>
        <v/>
      </c>
      <c r="J549" s="1314"/>
      <c r="K549" s="1314" t="str">
        <f t="shared" si="52"/>
        <v/>
      </c>
      <c r="L549" s="826" t="s">
        <v>1385</v>
      </c>
      <c r="M549" s="1329">
        <v>532</v>
      </c>
      <c r="N549" s="1314"/>
      <c r="O549" s="1311"/>
      <c r="P549" s="1311"/>
      <c r="Q549" s="1311"/>
      <c r="R549" s="1314" t="s">
        <v>851</v>
      </c>
      <c r="S549" s="1311"/>
      <c r="T549" s="1314" t="str">
        <f t="shared" si="59"/>
        <v/>
      </c>
      <c r="U549" s="1311"/>
      <c r="V549" s="1311"/>
      <c r="W549" s="1311"/>
      <c r="X549" s="1311"/>
      <c r="Y549" s="1311"/>
      <c r="Z549" s="1311"/>
    </row>
    <row r="550" spans="1:26" x14ac:dyDescent="0.25">
      <c r="A550" s="846" t="s">
        <v>1386</v>
      </c>
      <c r="B550" s="826" t="str">
        <f ca="1">IFERROR(_xlfn.CONCAT("C",MATCH(A550,INDIRECT("'"&amp;E550&amp;"'!C"&amp;$O$539&amp;":C"&amp;$O$541),0)+$O$539-1),"")</f>
        <v>C11</v>
      </c>
      <c r="C550" s="826" t="str">
        <f ca="1">IFERROR(_xlfn.CONCAT("D",MATCH(A550,INDIRECT("'"&amp;E550&amp;"'!C"&amp;$O$539&amp;":C"&amp;$O$541),0)+$O$539-1),"")</f>
        <v>D11</v>
      </c>
      <c r="D550" s="826" t="s">
        <v>1350</v>
      </c>
      <c r="E550" s="826" t="s">
        <v>1516</v>
      </c>
      <c r="F550" s="1314" t="s">
        <v>1386</v>
      </c>
      <c r="G550" s="1314" t="str">
        <f>IF(T550&lt;&gt;"","D","")</f>
        <v/>
      </c>
      <c r="H550" s="1314" t="s">
        <v>1990</v>
      </c>
      <c r="I550" s="1274" t="str">
        <f t="shared" si="51"/>
        <v/>
      </c>
      <c r="J550" s="1314"/>
      <c r="K550" s="1314" t="str">
        <f t="shared" si="52"/>
        <v/>
      </c>
      <c r="L550" s="826" t="s">
        <v>1386</v>
      </c>
      <c r="M550" s="1329">
        <v>533</v>
      </c>
      <c r="N550" s="1314"/>
      <c r="O550" s="1311"/>
      <c r="P550" s="1311"/>
      <c r="Q550" s="1311"/>
      <c r="R550" s="1314" t="s">
        <v>851</v>
      </c>
      <c r="S550" s="1311"/>
      <c r="T550" s="1314" t="str">
        <f t="shared" si="59"/>
        <v/>
      </c>
      <c r="U550" s="1311"/>
      <c r="V550" s="1311"/>
      <c r="W550" s="1311"/>
      <c r="X550" s="1311"/>
      <c r="Y550" s="1311"/>
      <c r="Z550" s="1311"/>
    </row>
    <row r="551" spans="1:26" x14ac:dyDescent="0.25">
      <c r="A551" s="846" t="s">
        <v>1495</v>
      </c>
      <c r="B551" s="826" t="str">
        <f ca="1">IFERROR(_xlfn.CONCAT("C",MATCH(A551,INDIRECT("'"&amp;E551&amp;"'!C"&amp;$O$539&amp;":C"&amp;$O$541),0)+$O$539-1),"")</f>
        <v>C13</v>
      </c>
      <c r="C551" s="826" t="str">
        <f ca="1">IFERROR(_xlfn.CONCAT("D",MATCH(A551,INDIRECT("'"&amp;E551&amp;"'!C"&amp;$O$539&amp;":C"&amp;$O$541),0)+$O$539-1),"")</f>
        <v>D13</v>
      </c>
      <c r="D551" s="826" t="s">
        <v>1350</v>
      </c>
      <c r="E551" s="826" t="s">
        <v>1516</v>
      </c>
      <c r="F551" s="1314" t="s">
        <v>1495</v>
      </c>
      <c r="G551" s="1314" t="str">
        <f>IF(T551&lt;&gt;"","AN","")</f>
        <v/>
      </c>
      <c r="H551" s="1314" t="s">
        <v>1990</v>
      </c>
      <c r="I551" s="1274" t="str">
        <f t="shared" si="51"/>
        <v/>
      </c>
      <c r="J551" s="1314" t="str">
        <f t="shared" si="56"/>
        <v/>
      </c>
      <c r="K551" s="1314" t="str">
        <f t="shared" si="52"/>
        <v/>
      </c>
      <c r="L551" s="826" t="s">
        <v>1495</v>
      </c>
      <c r="M551" s="1329">
        <v>534</v>
      </c>
      <c r="N551" s="1314"/>
      <c r="O551" s="1311"/>
      <c r="P551" s="1317" t="str" cm="1">
        <f t="array" aca="1" ref="P551" ca="1">_xlfn.CONCAT("F",RIGHT(B551, LEN(B551) - MAX(IF(ISNUMBER(MID(B551, ROW(INDIRECT("1:"&amp;LEN(B551))), 1) *1)=FALSE, ROW(INDIRECT("1:"&amp;LEN(B551))), 0))))</f>
        <v>F13</v>
      </c>
      <c r="Q551" s="1314" t="str" cm="1">
        <f t="array" aca="1" ref="Q551" ca="1">_xlfn.CONCAT("E",RIGHT(C551, LEN(C551) - MAX(IF(ISNUMBER(MID(C551, ROW(INDIRECT("1:"&amp;LEN(C551))), 1) *1)=FALSE, ROW(INDIRECT("1:"&amp;LEN(C551))), 0))))</f>
        <v>E13</v>
      </c>
      <c r="R551" s="1314" t="s">
        <v>851</v>
      </c>
      <c r="S551" s="1311"/>
      <c r="T551" s="1314" t="str">
        <f t="shared" si="59"/>
        <v/>
      </c>
      <c r="U551" s="1311"/>
      <c r="V551" s="1311"/>
      <c r="W551" s="1311"/>
      <c r="X551" s="1311"/>
      <c r="Y551" s="1311"/>
      <c r="Z551" s="1311"/>
    </row>
    <row r="552" spans="1:26" x14ac:dyDescent="0.25">
      <c r="A552" s="846" t="s">
        <v>1492</v>
      </c>
      <c r="B552" s="826" t="str">
        <f ca="1">_xlfn.CONCAT(IFERROR(SUBSTITUTE(ADDRESS(1,MATCH(A552,INDIRECT("'"&amp;E552&amp;"'"&amp;"!A" &amp; $O$539+8 &amp; ":Z"&amp;$O$539+8),0),4),1,""),""),$O$539+8)</f>
        <v>H11</v>
      </c>
      <c r="C552" s="826" t="str">
        <f ca="1">_xlfn.CONCAT(IFERROR(SUBSTITUTE(ADDRESS(1,MATCH(A552,INDIRECT("'"&amp;E552&amp;"'"&amp;"!A" &amp; $O$539+8 &amp; ":Z"&amp;$O$539+8),0),4),1,""),""),$O$539+9)</f>
        <v>H12</v>
      </c>
      <c r="D552" s="826" t="s">
        <v>1350</v>
      </c>
      <c r="E552" s="826" t="s">
        <v>1516</v>
      </c>
      <c r="F552" s="1314" t="s">
        <v>1492</v>
      </c>
      <c r="G552" s="1314" t="str">
        <f>IF(T552&lt;&gt;"","AL","")</f>
        <v/>
      </c>
      <c r="H552" s="1314" t="s">
        <v>1990</v>
      </c>
      <c r="I552" s="1274" t="str">
        <f t="shared" si="51"/>
        <v/>
      </c>
      <c r="J552" s="1314" t="str">
        <f t="shared" si="56"/>
        <v/>
      </c>
      <c r="K552" s="1314" t="str">
        <f t="shared" si="52"/>
        <v/>
      </c>
      <c r="L552" s="826" t="s">
        <v>1492</v>
      </c>
      <c r="M552" s="1329">
        <v>535</v>
      </c>
      <c r="N552" s="1314"/>
      <c r="O552" s="1311"/>
      <c r="P552" s="1311"/>
      <c r="Q552" s="1311"/>
      <c r="R552" s="1314" t="s">
        <v>851</v>
      </c>
      <c r="S552" s="1311"/>
      <c r="T552" s="1314" t="str">
        <f t="shared" si="59"/>
        <v/>
      </c>
      <c r="U552" s="1311"/>
      <c r="V552" s="1311"/>
      <c r="W552" s="1311"/>
      <c r="X552" s="1311"/>
      <c r="Y552" s="1311"/>
      <c r="Z552" s="1311"/>
    </row>
    <row r="553" spans="1:26" x14ac:dyDescent="0.25">
      <c r="A553" s="846" t="s">
        <v>1389</v>
      </c>
      <c r="B553" s="826" t="str">
        <f ca="1">_xlfn.CONCAT(IFERROR(SUBSTITUTE(ADDRESS(1,MATCH(A553,INDIRECT("'"&amp;E553&amp;"'"&amp;"!A" &amp; $O$539+5 &amp; ":Z"&amp;$O$539+5),0),4),1,""),""),$O$539+5)</f>
        <v>L8</v>
      </c>
      <c r="C553" s="826" t="str">
        <f ca="1">_xlfn.CONCAT(IFERROR(SUBSTITUTE(ADDRESS(1,MATCH(A553,INDIRECT("'"&amp;E553&amp;"'"&amp;"!A" &amp; $O$539+5 &amp; ":Z"&amp;$O$539+5),0),4),1,""),""),$O$539+6)</f>
        <v>L9</v>
      </c>
      <c r="D553" s="826" t="s">
        <v>1350</v>
      </c>
      <c r="E553" s="826" t="s">
        <v>1516</v>
      </c>
      <c r="F553" s="1314" t="s">
        <v>1912</v>
      </c>
      <c r="G553" s="1314" t="str">
        <f>IF(T553&lt;&gt;"","O","")</f>
        <v/>
      </c>
      <c r="H553" s="1314" t="s">
        <v>1990</v>
      </c>
      <c r="I553" s="1274" t="str">
        <f t="shared" si="51"/>
        <v/>
      </c>
      <c r="J553" s="1314"/>
      <c r="K553" s="1314" t="str">
        <f t="shared" si="52"/>
        <v/>
      </c>
      <c r="L553" s="826" t="s">
        <v>1389</v>
      </c>
      <c r="M553" s="1329">
        <v>536</v>
      </c>
      <c r="N553" s="1314"/>
      <c r="O553" s="1311"/>
      <c r="P553" s="1311"/>
      <c r="Q553" s="1311"/>
      <c r="R553" s="1314" t="s">
        <v>851</v>
      </c>
      <c r="S553" s="1311"/>
      <c r="T553" s="1314" t="str">
        <f t="shared" si="59"/>
        <v/>
      </c>
      <c r="U553" s="1311"/>
      <c r="V553" s="1311"/>
      <c r="W553" s="1311"/>
      <c r="X553" s="1311"/>
      <c r="Y553" s="1311"/>
      <c r="Z553" s="1311"/>
    </row>
    <row r="554" spans="1:26" x14ac:dyDescent="0.25">
      <c r="A554" s="849" t="s">
        <v>1491</v>
      </c>
      <c r="B554" s="826" t="str">
        <f ca="1">IFERROR(_xlfn.CONCAT("C",MATCH(A554,INDIRECT("'"&amp;E554&amp;"'!C"&amp;$O$555&amp;":C"&amp;$O$557),0)+$O$555-1),"")</f>
        <v>C21</v>
      </c>
      <c r="C554" s="826" t="str">
        <f ca="1">IFERROR(_xlfn.CONCAT("D",MATCH(A554,INDIRECT("'"&amp;E554&amp;"'!C"&amp;$O$555&amp;":C"&amp;$O$557),0)+$O$555-1),"")</f>
        <v>D21</v>
      </c>
      <c r="D554" s="826" t="s">
        <v>1350</v>
      </c>
      <c r="E554" s="826" t="s">
        <v>1516</v>
      </c>
      <c r="F554" s="1314" t="s">
        <v>1491</v>
      </c>
      <c r="G554" s="1314" t="str">
        <f>IF(T554&lt;&gt;"","A","")</f>
        <v/>
      </c>
      <c r="H554" s="1314" t="s">
        <v>1990</v>
      </c>
      <c r="I554" s="1274" t="str">
        <f t="shared" si="51"/>
        <v/>
      </c>
      <c r="J554" s="1314"/>
      <c r="K554" s="1314" t="str">
        <f t="shared" si="52"/>
        <v/>
      </c>
      <c r="L554" s="826" t="s">
        <v>1491</v>
      </c>
      <c r="M554" s="1329">
        <v>537</v>
      </c>
      <c r="N554" s="1314"/>
      <c r="O554" s="1311" t="s">
        <v>725</v>
      </c>
      <c r="P554" s="1311"/>
      <c r="Q554" s="1311"/>
      <c r="R554" s="1314" t="s">
        <v>851</v>
      </c>
      <c r="S554" s="1311"/>
      <c r="T554" s="1314" t="str">
        <f>IF(Q$555="Yes",2,"")</f>
        <v/>
      </c>
      <c r="U554" s="1311"/>
      <c r="V554" s="1311"/>
      <c r="W554" s="1311"/>
      <c r="X554" s="1311"/>
      <c r="Y554" s="1311"/>
      <c r="Z554" s="1311"/>
    </row>
    <row r="555" spans="1:26" x14ac:dyDescent="0.25">
      <c r="A555" s="849" t="s">
        <v>1705</v>
      </c>
      <c r="B555" s="826" t="str">
        <f ca="1">_xlfn.CONCAT(IFERROR(SUBSTITUTE(ADDRESS(1,MATCH(A555,INDIRECT("'"&amp;E555&amp;"'"&amp;"!A" &amp; $O$555+11 &amp; ":Z" &amp; $O$555+11),0),4),1,""),""),$O$555+11)</f>
        <v>T28</v>
      </c>
      <c r="C555" s="826" t="str">
        <f ca="1">_xlfn.CONCAT(IFERROR(SUBSTITUTE(ADDRESS(1,MATCH(A555,INDIRECT("'"&amp;E555&amp;"'"&amp;"!A" &amp; $O$555+11 &amp; ":Z" &amp; $O$555+11),0),4),1,""),""),$O$555+12)</f>
        <v>T29</v>
      </c>
      <c r="D555" s="826" t="s">
        <v>1350</v>
      </c>
      <c r="E555" s="826" t="s">
        <v>1516</v>
      </c>
      <c r="F555" s="1314"/>
      <c r="G555" s="1314"/>
      <c r="H555" s="1314"/>
      <c r="I555" s="1274" t="str">
        <f t="shared" si="51"/>
        <v/>
      </c>
      <c r="J555" s="1314" t="str">
        <f t="shared" ref="J555:J567" si="60">IF(M555&lt;&gt;"",IF($Q$555="Yes",Q$1&amp;M555,""))</f>
        <v/>
      </c>
      <c r="K555" s="1314" t="str">
        <f t="shared" si="52"/>
        <v/>
      </c>
      <c r="L555" s="826" t="s">
        <v>1705</v>
      </c>
      <c r="M555" s="1329">
        <v>538</v>
      </c>
      <c r="N555" s="1314"/>
      <c r="O555" s="1311">
        <f>'Configurable Tab'!H4</f>
        <v>17</v>
      </c>
      <c r="P555" s="1406" t="str">
        <f>'Configurable Tab'!J4</f>
        <v>Yes</v>
      </c>
      <c r="Q555" s="1351" t="s">
        <v>648</v>
      </c>
      <c r="R555" s="1314" t="s">
        <v>851</v>
      </c>
      <c r="S555" s="1311"/>
      <c r="T555" s="1314" t="str">
        <f>IF(Q$555="Yes",2,"")</f>
        <v/>
      </c>
      <c r="U555" s="1311"/>
      <c r="V555" s="1311"/>
      <c r="W555" s="1311"/>
      <c r="X555" s="1311"/>
      <c r="Y555" s="1311"/>
      <c r="Z555" s="1311"/>
    </row>
    <row r="556" spans="1:26" x14ac:dyDescent="0.25">
      <c r="A556" s="849" t="s">
        <v>1383</v>
      </c>
      <c r="B556" s="826" t="str">
        <f ca="1">IFERROR(_xlfn.CONCAT("C",MATCH(A556,INDIRECT("'"&amp;E556&amp;"'!C"&amp;$O$555&amp;":C"&amp;$O$557),0)+$O$555-1),"")</f>
        <v>C19</v>
      </c>
      <c r="C556" s="826" t="str">
        <f ca="1">IFERROR(_xlfn.CONCAT("D",MATCH(A556,INDIRECT("'"&amp;E556&amp;"'!C"&amp;$O$555&amp;":C"&amp;$O$557),0)+$O$555-1),"")</f>
        <v>D19</v>
      </c>
      <c r="D556" s="826" t="s">
        <v>1350</v>
      </c>
      <c r="E556" s="826" t="s">
        <v>1516</v>
      </c>
      <c r="F556" s="1314" t="s">
        <v>1383</v>
      </c>
      <c r="G556" s="1314" t="str">
        <f>IF(T556&lt;&gt;"","B","")</f>
        <v/>
      </c>
      <c r="H556" s="1314" t="s">
        <v>1990</v>
      </c>
      <c r="I556" s="1274" t="str">
        <f t="shared" si="51"/>
        <v/>
      </c>
      <c r="J556" s="1314"/>
      <c r="K556" s="1314" t="str">
        <f t="shared" si="52"/>
        <v/>
      </c>
      <c r="L556" s="826" t="s">
        <v>1383</v>
      </c>
      <c r="M556" s="1329">
        <v>539</v>
      </c>
      <c r="N556" s="1314"/>
      <c r="O556" s="1311" t="s">
        <v>726</v>
      </c>
      <c r="P556" s="1311"/>
      <c r="Q556" s="1311"/>
      <c r="R556" s="1314" t="s">
        <v>851</v>
      </c>
      <c r="S556" s="1311"/>
      <c r="T556" s="1314" t="str">
        <f>IF(Q$555="Yes",2,"")</f>
        <v/>
      </c>
      <c r="U556" s="1311"/>
      <c r="V556" s="1311"/>
      <c r="W556" s="1311"/>
      <c r="X556" s="1311"/>
      <c r="Y556" s="1311"/>
      <c r="Z556" s="1311"/>
    </row>
    <row r="557" spans="1:26" x14ac:dyDescent="0.25">
      <c r="A557" s="849" t="s">
        <v>1380</v>
      </c>
      <c r="B557" s="826" t="str">
        <f ca="1">_xlfn.CONCAT(IFERROR(SUBSTITUTE(ADDRESS(1,MATCH(A557,INDIRECT("'"&amp;E557&amp;"'"&amp;"!A" &amp; $O$555+2 &amp; ":Z" &amp; $O$555+2),0),4),1,""),""),$O$555+2)</f>
        <v>H19</v>
      </c>
      <c r="C557" s="826" t="str">
        <f ca="1">_xlfn.CONCAT(IFERROR(SUBSTITUTE(ADDRESS(1,MATCH(A557,INDIRECT("'"&amp;E557&amp;"'"&amp;"!A" &amp; $O$555+2 &amp; ":Z" &amp; $O$555+2),0),4),1,""),""),$O$555+3)</f>
        <v>H20</v>
      </c>
      <c r="D557" s="826" t="s">
        <v>1350</v>
      </c>
      <c r="E557" s="826" t="s">
        <v>1516</v>
      </c>
      <c r="F557" s="1314" t="s">
        <v>1991</v>
      </c>
      <c r="G557" s="1314" t="str">
        <f>IF(T557&lt;&gt;"","E","")</f>
        <v/>
      </c>
      <c r="H557" s="1314" t="s">
        <v>1990</v>
      </c>
      <c r="I557" s="1274" t="str">
        <f t="shared" si="51"/>
        <v/>
      </c>
      <c r="J557" s="1314" t="str">
        <f t="shared" si="60"/>
        <v/>
      </c>
      <c r="K557" s="1314" t="str">
        <f t="shared" si="52"/>
        <v/>
      </c>
      <c r="L557" s="826" t="s">
        <v>1380</v>
      </c>
      <c r="M557" s="1329">
        <v>540</v>
      </c>
      <c r="N557" s="1314"/>
      <c r="O557" s="1311">
        <f>'Configurable Tab'!I4</f>
        <v>30</v>
      </c>
      <c r="P557" s="1311"/>
      <c r="Q557" s="1311"/>
      <c r="R557" s="1314" t="s">
        <v>851</v>
      </c>
      <c r="S557" s="1311"/>
      <c r="T557" s="1314" t="str">
        <f t="shared" ref="T557:T568" si="61">IF(Q$555="Yes",2,"")</f>
        <v/>
      </c>
      <c r="U557" s="1311"/>
      <c r="V557" s="1311"/>
      <c r="W557" s="1311"/>
      <c r="X557" s="1311"/>
      <c r="Y557" s="1311"/>
      <c r="Z557" s="1311"/>
    </row>
    <row r="558" spans="1:26" x14ac:dyDescent="0.25">
      <c r="A558" s="849" t="s">
        <v>1381</v>
      </c>
      <c r="B558" s="826" t="str">
        <f t="shared" ref="B558:B563" ca="1" si="62">_xlfn.CONCAT(IFERROR(SUBSTITUTE(ADDRESS(1,MATCH(A558,INDIRECT("'"&amp;E558&amp;"'"&amp;"!A" &amp; $O$555+2 &amp; ":Z" &amp; $O$555+2),0),4),1,""),""),$O$555+2)</f>
        <v>J19</v>
      </c>
      <c r="C558" s="826" t="str">
        <f t="shared" ref="C558:C563" ca="1" si="63">_xlfn.CONCAT(IFERROR(SUBSTITUTE(ADDRESS(1,MATCH(A558,INDIRECT("'"&amp;E558&amp;"'"&amp;"!A" &amp; $O$555+2 &amp; ":Z" &amp; $O$555+2),0),4),1,""),""),$O$555+3)</f>
        <v>J20</v>
      </c>
      <c r="D558" s="826" t="s">
        <v>1350</v>
      </c>
      <c r="E558" s="826" t="s">
        <v>1516</v>
      </c>
      <c r="F558" s="1314" t="s">
        <v>1992</v>
      </c>
      <c r="G558" s="1314" t="str">
        <f>IF(T558&lt;&gt;"","I","")</f>
        <v/>
      </c>
      <c r="H558" s="1314" t="s">
        <v>1990</v>
      </c>
      <c r="I558" s="1274" t="str">
        <f t="shared" si="51"/>
        <v/>
      </c>
      <c r="J558" s="1314" t="str">
        <f t="shared" si="60"/>
        <v/>
      </c>
      <c r="K558" s="1314" t="str">
        <f t="shared" si="52"/>
        <v/>
      </c>
      <c r="L558" s="826" t="s">
        <v>1381</v>
      </c>
      <c r="M558" s="1329">
        <v>541</v>
      </c>
      <c r="N558" s="1314"/>
      <c r="O558" s="1311" t="s">
        <v>1633</v>
      </c>
      <c r="P558" s="1311"/>
      <c r="Q558" s="1311"/>
      <c r="R558" s="1314" t="s">
        <v>851</v>
      </c>
      <c r="S558" s="1311"/>
      <c r="T558" s="1314" t="str">
        <f t="shared" si="61"/>
        <v/>
      </c>
      <c r="U558" s="1311"/>
      <c r="V558" s="1311"/>
      <c r="W558" s="1311"/>
      <c r="X558" s="1311"/>
      <c r="Y558" s="1311"/>
      <c r="Z558" s="1311"/>
    </row>
    <row r="559" spans="1:26" x14ac:dyDescent="0.25">
      <c r="A559" s="849" t="s">
        <v>1397</v>
      </c>
      <c r="B559" s="826" t="str">
        <f t="shared" ca="1" si="62"/>
        <v>L19</v>
      </c>
      <c r="C559" s="826" t="str">
        <f t="shared" ca="1" si="63"/>
        <v>L20</v>
      </c>
      <c r="D559" s="826" t="s">
        <v>1350</v>
      </c>
      <c r="E559" s="826" t="s">
        <v>1516</v>
      </c>
      <c r="F559" s="1314" t="s">
        <v>1993</v>
      </c>
      <c r="G559" s="1314" t="str">
        <f>IF(T559&lt;&gt;"","H","")</f>
        <v/>
      </c>
      <c r="H559" s="1314" t="s">
        <v>1990</v>
      </c>
      <c r="I559" s="1274" t="str">
        <f t="shared" si="51"/>
        <v/>
      </c>
      <c r="J559" s="1314" t="str">
        <f t="shared" si="60"/>
        <v/>
      </c>
      <c r="K559" s="1314" t="str">
        <f t="shared" si="52"/>
        <v/>
      </c>
      <c r="L559" s="826" t="s">
        <v>1397</v>
      </c>
      <c r="M559" s="1329">
        <v>542</v>
      </c>
      <c r="N559" s="1314"/>
      <c r="O559" s="1311"/>
      <c r="P559" s="1311"/>
      <c r="Q559" s="1311"/>
      <c r="R559" s="1314" t="s">
        <v>851</v>
      </c>
      <c r="S559" s="1311"/>
      <c r="T559" s="1314" t="str">
        <f t="shared" si="61"/>
        <v/>
      </c>
      <c r="U559" s="1311"/>
      <c r="V559" s="1311"/>
      <c r="W559" s="1311"/>
      <c r="X559" s="1311"/>
      <c r="Y559" s="1311"/>
      <c r="Z559" s="1311"/>
    </row>
    <row r="560" spans="1:26" x14ac:dyDescent="0.25">
      <c r="A560" s="849" t="s">
        <v>1382</v>
      </c>
      <c r="B560" s="826" t="str">
        <f t="shared" ca="1" si="62"/>
        <v>N19</v>
      </c>
      <c r="C560" s="826" t="str">
        <f t="shared" ca="1" si="63"/>
        <v>N20</v>
      </c>
      <c r="D560" s="826" t="s">
        <v>1350</v>
      </c>
      <c r="E560" s="826" t="s">
        <v>1516</v>
      </c>
      <c r="F560" s="1314" t="s">
        <v>1382</v>
      </c>
      <c r="G560" s="1314" t="str">
        <f>IF(T560&lt;&gt;"",IF(Q558="Credit Memo","J",IF(Q558="Check","K","")),"")</f>
        <v/>
      </c>
      <c r="H560" s="1314" t="s">
        <v>1990</v>
      </c>
      <c r="I560" s="1274" t="str">
        <f t="shared" si="51"/>
        <v/>
      </c>
      <c r="J560" s="1314" t="str">
        <f t="shared" si="60"/>
        <v/>
      </c>
      <c r="K560" s="1314" t="str">
        <f t="shared" si="52"/>
        <v/>
      </c>
      <c r="L560" s="826" t="s">
        <v>1382</v>
      </c>
      <c r="M560" s="1329">
        <v>543</v>
      </c>
      <c r="N560" s="1314"/>
      <c r="O560" s="1311"/>
      <c r="P560" s="1311"/>
      <c r="Q560" s="1311"/>
      <c r="R560" s="1314" t="s">
        <v>851</v>
      </c>
      <c r="S560" s="1311"/>
      <c r="T560" s="1314" t="str">
        <f t="shared" si="61"/>
        <v/>
      </c>
      <c r="U560" s="1311"/>
      <c r="V560" s="1311"/>
      <c r="W560" s="1311"/>
      <c r="X560" s="1311"/>
      <c r="Y560" s="1311"/>
      <c r="Z560" s="1311"/>
    </row>
    <row r="561" spans="1:26" x14ac:dyDescent="0.25">
      <c r="A561" s="849" t="s">
        <v>1486</v>
      </c>
      <c r="B561" s="826" t="str">
        <f t="shared" ca="1" si="62"/>
        <v>P19</v>
      </c>
      <c r="C561" s="826" t="str">
        <f t="shared" ca="1" si="63"/>
        <v>P20</v>
      </c>
      <c r="D561" s="826" t="s">
        <v>1350</v>
      </c>
      <c r="E561" s="826" t="s">
        <v>1516</v>
      </c>
      <c r="F561" s="1314" t="s">
        <v>1994</v>
      </c>
      <c r="G561" s="1314" t="str">
        <f>IF(T561&lt;&gt;"","F","")</f>
        <v/>
      </c>
      <c r="H561" s="1314" t="s">
        <v>1990</v>
      </c>
      <c r="I561" s="1274" t="str">
        <f t="shared" si="51"/>
        <v/>
      </c>
      <c r="J561" s="1314" t="str">
        <f t="shared" si="60"/>
        <v/>
      </c>
      <c r="K561" s="1314" t="str">
        <f t="shared" si="52"/>
        <v/>
      </c>
      <c r="L561" s="826" t="s">
        <v>1486</v>
      </c>
      <c r="M561" s="1329">
        <v>544</v>
      </c>
      <c r="N561" s="1314"/>
      <c r="O561" s="1311"/>
      <c r="P561" s="1311"/>
      <c r="Q561" s="1311"/>
      <c r="R561" s="1314" t="s">
        <v>851</v>
      </c>
      <c r="S561" s="1311"/>
      <c r="T561" s="1314" t="str">
        <f t="shared" si="61"/>
        <v/>
      </c>
      <c r="U561" s="1311"/>
      <c r="V561" s="1311"/>
      <c r="W561" s="1311"/>
      <c r="X561" s="1311"/>
      <c r="Y561" s="1311"/>
      <c r="Z561" s="1311"/>
    </row>
    <row r="562" spans="1:26" x14ac:dyDescent="0.25">
      <c r="A562" s="849" t="s">
        <v>1487</v>
      </c>
      <c r="B562" s="826" t="str">
        <f t="shared" ca="1" si="62"/>
        <v>R19</v>
      </c>
      <c r="C562" s="826" t="str">
        <f t="shared" ca="1" si="63"/>
        <v>R20</v>
      </c>
      <c r="D562" s="826" t="s">
        <v>1350</v>
      </c>
      <c r="E562" s="826" t="s">
        <v>1516</v>
      </c>
      <c r="F562" s="1314" t="s">
        <v>1995</v>
      </c>
      <c r="G562" s="1314" t="str">
        <f>IF(T562&lt;&gt;"","G","")</f>
        <v/>
      </c>
      <c r="H562" s="1314" t="s">
        <v>1990</v>
      </c>
      <c r="I562" s="1274" t="str">
        <f t="shared" si="51"/>
        <v/>
      </c>
      <c r="J562" s="1314" t="str">
        <f t="shared" si="60"/>
        <v/>
      </c>
      <c r="K562" s="1314" t="str">
        <f t="shared" si="52"/>
        <v/>
      </c>
      <c r="L562" s="826" t="s">
        <v>1487</v>
      </c>
      <c r="M562" s="1329">
        <v>545</v>
      </c>
      <c r="N562" s="1314"/>
      <c r="O562" s="1311"/>
      <c r="P562" s="1311"/>
      <c r="Q562" s="1311"/>
      <c r="R562" s="1314" t="s">
        <v>851</v>
      </c>
      <c r="S562" s="1311"/>
      <c r="T562" s="1314" t="str">
        <f t="shared" si="61"/>
        <v/>
      </c>
      <c r="U562" s="1311"/>
      <c r="V562" s="1311"/>
      <c r="W562" s="1311"/>
      <c r="X562" s="1311"/>
      <c r="Y562" s="1311"/>
      <c r="Z562" s="1311"/>
    </row>
    <row r="563" spans="1:26" x14ac:dyDescent="0.25">
      <c r="A563" s="849" t="s">
        <v>1488</v>
      </c>
      <c r="B563" s="826" t="str">
        <f t="shared" ca="1" si="62"/>
        <v>T19</v>
      </c>
      <c r="C563" s="826" t="str">
        <f t="shared" ca="1" si="63"/>
        <v>T20</v>
      </c>
      <c r="D563" s="826" t="s">
        <v>1350</v>
      </c>
      <c r="E563" s="826" t="s">
        <v>1516</v>
      </c>
      <c r="F563" s="841" t="s">
        <v>1488</v>
      </c>
      <c r="G563" s="1314" t="str">
        <f>IF(T563&lt;&gt;"","AW","")</f>
        <v/>
      </c>
      <c r="H563" s="1314" t="s">
        <v>1990</v>
      </c>
      <c r="I563" s="1274" t="str">
        <f t="shared" si="51"/>
        <v/>
      </c>
      <c r="J563" s="1314" t="str">
        <f t="shared" si="60"/>
        <v/>
      </c>
      <c r="K563" s="1314" t="str">
        <f t="shared" si="52"/>
        <v/>
      </c>
      <c r="L563" s="826" t="s">
        <v>1488</v>
      </c>
      <c r="M563" s="1329">
        <v>546</v>
      </c>
      <c r="N563" s="1314"/>
      <c r="O563" s="1311"/>
      <c r="P563" s="1311"/>
      <c r="Q563" s="1311"/>
      <c r="R563" s="1314" t="s">
        <v>851</v>
      </c>
      <c r="S563" s="1311"/>
      <c r="T563" s="1314" t="str">
        <f t="shared" si="61"/>
        <v/>
      </c>
      <c r="U563" s="1311"/>
      <c r="V563" s="1311"/>
      <c r="W563" s="1311"/>
      <c r="X563" s="1311"/>
      <c r="Y563" s="1311"/>
      <c r="Z563" s="1311"/>
    </row>
    <row r="564" spans="1:26" x14ac:dyDescent="0.25">
      <c r="A564" s="849" t="s">
        <v>1385</v>
      </c>
      <c r="B564" s="826" t="str">
        <f ca="1">IFERROR(_xlfn.CONCAT("C",MATCH(A564,INDIRECT("'"&amp;E564&amp;"'!C"&amp;$O$555&amp;":C"&amp;$O$557),0)+$O$555-1),"")</f>
        <v>C23</v>
      </c>
      <c r="C564" s="826" t="str">
        <f ca="1">IFERROR(_xlfn.CONCAT("D",MATCH(A564,INDIRECT("'"&amp;E564&amp;"'!C"&amp;$O$555&amp;":C"&amp;$O$557),0)+$O$555-1),"")</f>
        <v>D23</v>
      </c>
      <c r="D564" s="826" t="s">
        <v>1350</v>
      </c>
      <c r="E564" s="826" t="s">
        <v>1516</v>
      </c>
      <c r="F564" s="1314" t="s">
        <v>1385</v>
      </c>
      <c r="G564" s="1314" t="str">
        <f>IF(T564&lt;&gt;"","C","")</f>
        <v/>
      </c>
      <c r="H564" s="1314" t="s">
        <v>1990</v>
      </c>
      <c r="I564" s="1274" t="str">
        <f t="shared" si="51"/>
        <v/>
      </c>
      <c r="J564" s="1314"/>
      <c r="K564" s="1314" t="str">
        <f t="shared" si="52"/>
        <v/>
      </c>
      <c r="L564" s="826" t="s">
        <v>1385</v>
      </c>
      <c r="M564" s="1329">
        <v>547</v>
      </c>
      <c r="N564" s="1314"/>
      <c r="O564" s="1311"/>
      <c r="P564" s="1311"/>
      <c r="Q564" s="1311"/>
      <c r="R564" s="1314" t="s">
        <v>851</v>
      </c>
      <c r="S564" s="1311"/>
      <c r="T564" s="1314" t="str">
        <f t="shared" si="61"/>
        <v/>
      </c>
      <c r="U564" s="1311"/>
      <c r="V564" s="1311"/>
      <c r="W564" s="1311"/>
      <c r="X564" s="1311"/>
      <c r="Y564" s="1311"/>
      <c r="Z564" s="1311"/>
    </row>
    <row r="565" spans="1:26" x14ac:dyDescent="0.25">
      <c r="A565" s="849" t="s">
        <v>1386</v>
      </c>
      <c r="B565" s="826" t="str">
        <f ca="1">IFERROR(_xlfn.CONCAT("C",MATCH(A565,INDIRECT("'"&amp;E565&amp;"'!C"&amp;$O$555&amp;":C"&amp;$O$557),0)+$O$555-1),"")</f>
        <v>C25</v>
      </c>
      <c r="C565" s="826" t="str">
        <f ca="1">IFERROR(_xlfn.CONCAT("D",MATCH(A565,INDIRECT("'"&amp;E565&amp;"'!C"&amp;$O$555&amp;":C"&amp;$O$557),0)+$O$555-1),"")</f>
        <v>D25</v>
      </c>
      <c r="D565" s="826" t="s">
        <v>1350</v>
      </c>
      <c r="E565" s="826" t="s">
        <v>1516</v>
      </c>
      <c r="F565" s="1314" t="s">
        <v>1386</v>
      </c>
      <c r="G565" s="1314" t="str">
        <f>IF(T565&lt;&gt;"","D","")</f>
        <v/>
      </c>
      <c r="H565" s="1314" t="s">
        <v>1990</v>
      </c>
      <c r="I565" s="1274" t="str">
        <f t="shared" si="51"/>
        <v/>
      </c>
      <c r="J565" s="1314"/>
      <c r="K565" s="1314" t="str">
        <f t="shared" si="52"/>
        <v/>
      </c>
      <c r="L565" s="826" t="s">
        <v>1386</v>
      </c>
      <c r="M565" s="1329">
        <v>548</v>
      </c>
      <c r="N565" s="1314"/>
      <c r="O565" s="1311"/>
      <c r="P565" s="1311"/>
      <c r="Q565" s="1311"/>
      <c r="R565" s="1314" t="s">
        <v>851</v>
      </c>
      <c r="S565" s="1311"/>
      <c r="T565" s="1314" t="str">
        <f t="shared" si="61"/>
        <v/>
      </c>
      <c r="U565" s="1311"/>
      <c r="V565" s="1311"/>
      <c r="W565" s="1311"/>
      <c r="X565" s="1311"/>
      <c r="Y565" s="1311"/>
      <c r="Z565" s="1311"/>
    </row>
    <row r="566" spans="1:26" x14ac:dyDescent="0.25">
      <c r="A566" s="849" t="s">
        <v>1495</v>
      </c>
      <c r="B566" s="826" t="str">
        <f ca="1">IFERROR(_xlfn.CONCAT("C",MATCH(A566,INDIRECT("'"&amp;E566&amp;"'!C"&amp;$O$555&amp;":C"&amp;$O$557),0)+$O$555-1),"")</f>
        <v>C27</v>
      </c>
      <c r="C566" s="826" t="str">
        <f ca="1">IFERROR(_xlfn.CONCAT("D",MATCH(A566,INDIRECT("'"&amp;E566&amp;"'!C"&amp;$O$555&amp;":C"&amp;$O$557),0)+$O$555-1),"")</f>
        <v>D27</v>
      </c>
      <c r="D566" s="826" t="s">
        <v>1350</v>
      </c>
      <c r="E566" s="826" t="s">
        <v>1516</v>
      </c>
      <c r="F566" s="1314" t="s">
        <v>1495</v>
      </c>
      <c r="G566" s="1314" t="str">
        <f>IF(T566&lt;&gt;"","AN","")</f>
        <v/>
      </c>
      <c r="H566" s="1314" t="s">
        <v>1990</v>
      </c>
      <c r="I566" s="1274" t="str">
        <f t="shared" si="51"/>
        <v/>
      </c>
      <c r="J566" s="1314" t="str">
        <f t="shared" si="60"/>
        <v/>
      </c>
      <c r="K566" s="1314" t="str">
        <f t="shared" si="52"/>
        <v/>
      </c>
      <c r="L566" s="826" t="s">
        <v>1495</v>
      </c>
      <c r="M566" s="1329">
        <v>549</v>
      </c>
      <c r="N566" s="1314"/>
      <c r="O566" s="1405"/>
      <c r="P566" s="1317" t="str" cm="1">
        <f t="array" aca="1" ref="P566" ca="1">_xlfn.CONCAT("F",RIGHT(B566, LEN(B566) - MAX(IF(ISNUMBER(MID(B566, ROW(INDIRECT("1:"&amp;LEN(B566))), 1) *1)=FALSE, ROW(INDIRECT("1:"&amp;LEN(B566))), 0))))</f>
        <v>F27</v>
      </c>
      <c r="Q566" s="1314" t="str" cm="1">
        <f t="array" aca="1" ref="Q566" ca="1">_xlfn.CONCAT("E",RIGHT(C566, LEN(C566) - MAX(IF(ISNUMBER(MID(C566, ROW(INDIRECT("1:"&amp;LEN(C566))), 1) *1)=FALSE, ROW(INDIRECT("1:"&amp;LEN(C566))), 0))))</f>
        <v>E27</v>
      </c>
      <c r="R566" s="1314" t="s">
        <v>851</v>
      </c>
      <c r="S566" s="1311"/>
      <c r="T566" s="1314" t="str">
        <f t="shared" si="61"/>
        <v/>
      </c>
      <c r="U566" s="1311"/>
      <c r="V566" s="1311"/>
      <c r="W566" s="1311"/>
      <c r="X566" s="1311"/>
      <c r="Y566" s="1311"/>
      <c r="Z566" s="1311"/>
    </row>
    <row r="567" spans="1:26" x14ac:dyDescent="0.25">
      <c r="A567" s="849" t="s">
        <v>1492</v>
      </c>
      <c r="B567" s="826" t="str">
        <f ca="1">_xlfn.CONCAT(IFERROR(SUBSTITUTE(ADDRESS(1,MATCH(A567,INDIRECT("'"&amp;E567&amp;"'"&amp;"!A" &amp; $O$555+8 &amp; ":Z" &amp; $O$555+8),0),4),1,""),""),$O$555+8)</f>
        <v>H25</v>
      </c>
      <c r="C567" s="826" t="str">
        <f ca="1">_xlfn.CONCAT(IFERROR(SUBSTITUTE(ADDRESS(1,MATCH(A567,INDIRECT("'"&amp;E567&amp;"'"&amp;"!A" &amp; $O$555+8 &amp; ":Z" &amp; $O$555+8),0),4),1,""),""),$O$555+9)</f>
        <v>H26</v>
      </c>
      <c r="D567" s="826" t="s">
        <v>1350</v>
      </c>
      <c r="E567" s="826" t="s">
        <v>1516</v>
      </c>
      <c r="F567" s="1314" t="s">
        <v>1492</v>
      </c>
      <c r="G567" s="1314" t="str">
        <f>IF(T567&lt;&gt;"","AL","")</f>
        <v/>
      </c>
      <c r="H567" s="1314" t="s">
        <v>1990</v>
      </c>
      <c r="I567" s="1274" t="str">
        <f t="shared" si="51"/>
        <v/>
      </c>
      <c r="J567" s="1314" t="str">
        <f t="shared" si="60"/>
        <v/>
      </c>
      <c r="K567" s="1314" t="str">
        <f t="shared" si="52"/>
        <v/>
      </c>
      <c r="L567" s="826" t="s">
        <v>1492</v>
      </c>
      <c r="M567" s="1329">
        <v>550</v>
      </c>
      <c r="N567" s="1314"/>
      <c r="O567" s="1311"/>
      <c r="P567" s="1311"/>
      <c r="Q567" s="1311"/>
      <c r="R567" s="1314" t="s">
        <v>851</v>
      </c>
      <c r="S567" s="1311"/>
      <c r="T567" s="1314" t="str">
        <f t="shared" si="61"/>
        <v/>
      </c>
      <c r="U567" s="1311"/>
      <c r="V567" s="1311"/>
      <c r="W567" s="1311"/>
      <c r="X567" s="1311"/>
      <c r="Y567" s="1311"/>
      <c r="Z567" s="1311"/>
    </row>
    <row r="568" spans="1:26" x14ac:dyDescent="0.25">
      <c r="A568" s="849" t="s">
        <v>1389</v>
      </c>
      <c r="B568" s="826" t="str">
        <f ca="1">_xlfn.CONCAT(IFERROR(SUBSTITUTE(ADDRESS(1,MATCH(A568,INDIRECT("'"&amp;E568&amp;"'"&amp;"!A" &amp; $O$555+5 &amp; ":Z" &amp; $O$555+5),0),4),1,""),""),$O$555+5)</f>
        <v>L22</v>
      </c>
      <c r="C568" s="826" t="str">
        <f ca="1">_xlfn.CONCAT(IFERROR(SUBSTITUTE(ADDRESS(1,MATCH(A568,INDIRECT("'"&amp;E568&amp;"'"&amp;"!A" &amp; $O$555+5 &amp; ":Z" &amp; $O$555+5),0),4),1,""),""),$O$555+6)</f>
        <v>L23</v>
      </c>
      <c r="D568" s="826" t="s">
        <v>1350</v>
      </c>
      <c r="E568" s="826" t="s">
        <v>1516</v>
      </c>
      <c r="F568" s="1314" t="s">
        <v>1912</v>
      </c>
      <c r="G568" s="1314" t="str">
        <f>IF(T568&lt;&gt;"","O","")</f>
        <v/>
      </c>
      <c r="H568" s="1314" t="s">
        <v>1990</v>
      </c>
      <c r="I568" s="1274" t="str">
        <f t="shared" si="51"/>
        <v/>
      </c>
      <c r="J568" s="1314"/>
      <c r="K568" s="1314" t="str">
        <f t="shared" si="52"/>
        <v/>
      </c>
      <c r="L568" s="826" t="s">
        <v>1389</v>
      </c>
      <c r="M568" s="1329">
        <v>551</v>
      </c>
      <c r="N568" s="1314"/>
      <c r="O568" s="1311"/>
      <c r="P568" s="1311"/>
      <c r="Q568" s="1311"/>
      <c r="R568" s="1314" t="s">
        <v>851</v>
      </c>
      <c r="S568" s="1311"/>
      <c r="T568" s="1314" t="str">
        <f t="shared" si="61"/>
        <v/>
      </c>
      <c r="U568" s="1311"/>
      <c r="V568" s="1311"/>
      <c r="W568" s="1311"/>
      <c r="X568" s="1311"/>
      <c r="Y568" s="1311"/>
      <c r="Z568" s="1311"/>
    </row>
    <row r="569" spans="1:26" x14ac:dyDescent="0.25">
      <c r="A569" s="846" t="s">
        <v>1491</v>
      </c>
      <c r="B569" s="826" t="str">
        <f ca="1">IFERROR(_xlfn.CONCAT("C",MATCH(A569,INDIRECT("'"&amp;E569&amp;"'!C"&amp;$O$570&amp;":C"&amp;$O$572),0)+$O$570-1),"")</f>
        <v>C35</v>
      </c>
      <c r="C569" s="826" t="str">
        <f ca="1">IFERROR(_xlfn.CONCAT("D",MATCH(A569,INDIRECT("'"&amp;E569&amp;"'!C"&amp;$O$570&amp;":C"&amp;$O$572),0)+$O$570-1),"")</f>
        <v>D35</v>
      </c>
      <c r="D569" s="826" t="s">
        <v>1350</v>
      </c>
      <c r="E569" s="826" t="s">
        <v>1516</v>
      </c>
      <c r="F569" s="1314" t="s">
        <v>1491</v>
      </c>
      <c r="G569" s="1314" t="str">
        <f>IF(T569&lt;&gt;"","A","")</f>
        <v/>
      </c>
      <c r="H569" s="1314" t="s">
        <v>1990</v>
      </c>
      <c r="I569" s="1274" t="str">
        <f t="shared" si="51"/>
        <v/>
      </c>
      <c r="J569" s="1314"/>
      <c r="K569" s="1314" t="str">
        <f t="shared" si="52"/>
        <v/>
      </c>
      <c r="L569" s="826" t="s">
        <v>1491</v>
      </c>
      <c r="M569" s="1329">
        <v>552</v>
      </c>
      <c r="N569" s="1314"/>
      <c r="O569" s="1311" t="s">
        <v>725</v>
      </c>
      <c r="P569" s="1311"/>
      <c r="Q569" s="1311"/>
      <c r="R569" s="1314" t="s">
        <v>851</v>
      </c>
      <c r="S569" s="1311"/>
      <c r="T569" s="1314" t="str">
        <f t="shared" ref="T569:T586" si="64">IF(Q$570="Yes",3,"")</f>
        <v/>
      </c>
      <c r="U569" s="1311"/>
      <c r="V569" s="1311"/>
      <c r="W569" s="1311"/>
      <c r="X569" s="1311"/>
      <c r="Y569" s="1311"/>
      <c r="Z569" s="1311"/>
    </row>
    <row r="570" spans="1:26" x14ac:dyDescent="0.25">
      <c r="A570" s="846" t="s">
        <v>1705</v>
      </c>
      <c r="B570" s="826" t="str">
        <f ca="1">_xlfn.CONCAT(IFERROR(SUBSTITUTE(ADDRESS(1,MATCH(A570,INDIRECT("'"&amp;E570&amp;"'"&amp;"!A" &amp; $O$570+11 &amp; ":Z" &amp; $O$570+11),0),4),1,""),""),$O$570+11)</f>
        <v>T42</v>
      </c>
      <c r="C570" s="826" t="str">
        <f ca="1">_xlfn.CONCAT(IFERROR(SUBSTITUTE(ADDRESS(1,MATCH(A570,INDIRECT("'"&amp;E570&amp;"'"&amp;"!A" &amp; $O$570+11 &amp; ":Z" &amp; $O$570+11),0),4),1,""),""),$O$570+12)</f>
        <v>T43</v>
      </c>
      <c r="D570" s="826" t="s">
        <v>1350</v>
      </c>
      <c r="E570" s="826" t="s">
        <v>1516</v>
      </c>
      <c r="F570" s="1314"/>
      <c r="G570" s="1314"/>
      <c r="H570" s="1314"/>
      <c r="I570" s="1274" t="str">
        <f t="shared" si="51"/>
        <v/>
      </c>
      <c r="J570" s="1314" t="str">
        <f t="shared" ref="J570:J587" si="65">IF(M570&lt;&gt;"",IF($Q$570="Yes",Q$1&amp;M570,""))</f>
        <v/>
      </c>
      <c r="K570" s="1314" t="str">
        <f t="shared" si="52"/>
        <v/>
      </c>
      <c r="L570" s="826" t="s">
        <v>1705</v>
      </c>
      <c r="M570" s="1329">
        <v>553</v>
      </c>
      <c r="N570" s="1314"/>
      <c r="O570" s="1311">
        <f>'Configurable Tab'!H5</f>
        <v>31</v>
      </c>
      <c r="P570" s="1406" t="str">
        <f>'Configurable Tab'!J5</f>
        <v>Yes</v>
      </c>
      <c r="Q570" s="1351" t="s">
        <v>648</v>
      </c>
      <c r="R570" s="1314" t="s">
        <v>851</v>
      </c>
      <c r="S570" s="1311"/>
      <c r="T570" s="1314" t="str">
        <f t="shared" si="64"/>
        <v/>
      </c>
      <c r="U570" s="1311"/>
      <c r="V570" s="1311"/>
      <c r="W570" s="1311"/>
      <c r="X570" s="1311"/>
      <c r="Y570" s="1311"/>
      <c r="Z570" s="1311"/>
    </row>
    <row r="571" spans="1:26" x14ac:dyDescent="0.25">
      <c r="A571" s="846" t="s">
        <v>1383</v>
      </c>
      <c r="B571" s="826" t="str">
        <f ca="1">IFERROR(_xlfn.CONCAT("C",MATCH(A571,INDIRECT("'"&amp;E571&amp;"'!C"&amp;$O$570&amp;":C"&amp;$O$572),0)+$O$570-1),"")</f>
        <v>C33</v>
      </c>
      <c r="C571" s="826" t="str">
        <f ca="1">IFERROR(_xlfn.CONCAT("D",MATCH(A571,INDIRECT("'"&amp;E571&amp;"'!C"&amp;$O$570&amp;":C"&amp;$O$572),0)+$O$570-1),"")</f>
        <v>D33</v>
      </c>
      <c r="D571" s="826" t="s">
        <v>1350</v>
      </c>
      <c r="E571" s="826" t="s">
        <v>1516</v>
      </c>
      <c r="F571" s="1314" t="s">
        <v>1383</v>
      </c>
      <c r="G571" s="1314" t="str">
        <f>IF(T571&lt;&gt;"","B","")</f>
        <v/>
      </c>
      <c r="H571" s="1314" t="s">
        <v>1990</v>
      </c>
      <c r="I571" s="1274" t="str">
        <f t="shared" si="51"/>
        <v/>
      </c>
      <c r="J571" s="1314"/>
      <c r="K571" s="1314" t="str">
        <f t="shared" si="52"/>
        <v/>
      </c>
      <c r="L571" s="826" t="s">
        <v>1383</v>
      </c>
      <c r="M571" s="1329">
        <v>554</v>
      </c>
      <c r="N571" s="1314"/>
      <c r="O571" s="1311" t="s">
        <v>726</v>
      </c>
      <c r="P571" s="1311"/>
      <c r="Q571" s="1311"/>
      <c r="R571" s="1314" t="s">
        <v>851</v>
      </c>
      <c r="S571" s="1311"/>
      <c r="T571" s="1314" t="str">
        <f t="shared" si="64"/>
        <v/>
      </c>
      <c r="U571" s="1311"/>
      <c r="V571" s="1311"/>
      <c r="W571" s="1311"/>
      <c r="X571" s="1311"/>
      <c r="Y571" s="1311"/>
      <c r="Z571" s="1311"/>
    </row>
    <row r="572" spans="1:26" x14ac:dyDescent="0.25">
      <c r="A572" s="846" t="s">
        <v>1380</v>
      </c>
      <c r="B572" s="826" t="str">
        <f ca="1">_xlfn.CONCAT(IFERROR(SUBSTITUTE(ADDRESS(1,MATCH(A572,INDIRECT("'"&amp;E572&amp;"'"&amp;"!A" &amp; $O$570+2 &amp; ":Z" &amp; $O$570+2),0),4),1,""),""),$O$570+2)</f>
        <v>H33</v>
      </c>
      <c r="C572" s="826" t="str">
        <f ca="1">_xlfn.CONCAT(IFERROR(SUBSTITUTE(ADDRESS(1,MATCH(A572,INDIRECT("'"&amp;E572&amp;"'"&amp;"!A" &amp; $O$570+2 &amp; ":Z" &amp; $O$570+2),0),4),1,""),""),$O$570+3)</f>
        <v>H34</v>
      </c>
      <c r="D572" s="826" t="s">
        <v>1350</v>
      </c>
      <c r="E572" s="826" t="s">
        <v>1516</v>
      </c>
      <c r="F572" s="1314" t="s">
        <v>1991</v>
      </c>
      <c r="G572" s="1314" t="str">
        <f>IF(T572&lt;&gt;"","E","")</f>
        <v/>
      </c>
      <c r="H572" s="1314" t="s">
        <v>1990</v>
      </c>
      <c r="I572" s="1274" t="str">
        <f t="shared" si="51"/>
        <v/>
      </c>
      <c r="J572" s="1314" t="str">
        <f t="shared" si="65"/>
        <v/>
      </c>
      <c r="K572" s="1314" t="str">
        <f t="shared" si="52"/>
        <v/>
      </c>
      <c r="L572" s="826" t="s">
        <v>1380</v>
      </c>
      <c r="M572" s="1329">
        <v>555</v>
      </c>
      <c r="N572" s="1314"/>
      <c r="O572" s="1311">
        <f>'Configurable Tab'!I5</f>
        <v>44</v>
      </c>
      <c r="P572" s="1311"/>
      <c r="Q572" s="1311"/>
      <c r="R572" s="1314" t="s">
        <v>851</v>
      </c>
      <c r="S572" s="1311"/>
      <c r="T572" s="1314" t="str">
        <f t="shared" si="64"/>
        <v/>
      </c>
      <c r="U572" s="1311"/>
      <c r="V572" s="1311"/>
      <c r="W572" s="1311"/>
      <c r="X572" s="1311"/>
      <c r="Y572" s="1311"/>
      <c r="Z572" s="1311"/>
    </row>
    <row r="573" spans="1:26" x14ac:dyDescent="0.25">
      <c r="A573" s="846" t="s">
        <v>1381</v>
      </c>
      <c r="B573" s="826" t="str">
        <f t="shared" ref="B573:B578" ca="1" si="66">_xlfn.CONCAT(IFERROR(SUBSTITUTE(ADDRESS(1,MATCH(A573,INDIRECT("'"&amp;E573&amp;"'"&amp;"!A" &amp; $O$570+2 &amp; ":Z" &amp; $O$570+2),0),4),1,""),""),$O$570+2)</f>
        <v>J33</v>
      </c>
      <c r="C573" s="826" t="str">
        <f t="shared" ref="C573:C578" ca="1" si="67">_xlfn.CONCAT(IFERROR(SUBSTITUTE(ADDRESS(1,MATCH(A573,INDIRECT("'"&amp;E573&amp;"'"&amp;"!A" &amp; $O$570+2 &amp; ":Z" &amp; $O$570+2),0),4),1,""),""),$O$570+3)</f>
        <v>J34</v>
      </c>
      <c r="D573" s="826" t="s">
        <v>1350</v>
      </c>
      <c r="E573" s="826" t="s">
        <v>1516</v>
      </c>
      <c r="F573" s="1314" t="s">
        <v>1992</v>
      </c>
      <c r="G573" s="1314" t="str">
        <f>IF(T573&lt;&gt;"","I","")</f>
        <v/>
      </c>
      <c r="H573" s="1314" t="s">
        <v>1990</v>
      </c>
      <c r="I573" s="1274" t="str">
        <f t="shared" si="51"/>
        <v/>
      </c>
      <c r="J573" s="1314" t="str">
        <f t="shared" si="65"/>
        <v/>
      </c>
      <c r="K573" s="1314" t="str">
        <f t="shared" si="52"/>
        <v/>
      </c>
      <c r="L573" s="826" t="s">
        <v>1381</v>
      </c>
      <c r="M573" s="1329">
        <v>556</v>
      </c>
      <c r="N573" s="1314"/>
      <c r="O573" s="1099" t="s">
        <v>1634</v>
      </c>
      <c r="P573" s="1311"/>
      <c r="Q573" s="1311" t="s">
        <v>482</v>
      </c>
      <c r="R573" s="1314" t="s">
        <v>851</v>
      </c>
      <c r="S573" s="1311"/>
      <c r="T573" s="1314" t="str">
        <f t="shared" si="64"/>
        <v/>
      </c>
      <c r="U573" s="1311"/>
      <c r="V573" s="1311"/>
      <c r="W573" s="1311"/>
      <c r="X573" s="1311"/>
      <c r="Y573" s="1311"/>
      <c r="Z573" s="1311"/>
    </row>
    <row r="574" spans="1:26" x14ac:dyDescent="0.25">
      <c r="A574" s="846" t="s">
        <v>1397</v>
      </c>
      <c r="B574" s="826" t="str">
        <f t="shared" ca="1" si="66"/>
        <v>L33</v>
      </c>
      <c r="C574" s="826" t="str">
        <f t="shared" ca="1" si="67"/>
        <v>L34</v>
      </c>
      <c r="D574" s="826" t="s">
        <v>1350</v>
      </c>
      <c r="E574" s="826" t="s">
        <v>1516</v>
      </c>
      <c r="F574" s="1314" t="s">
        <v>1993</v>
      </c>
      <c r="G574" s="1314" t="str">
        <f>IF(T574&lt;&gt;"","H","")</f>
        <v/>
      </c>
      <c r="H574" s="1314" t="s">
        <v>1990</v>
      </c>
      <c r="I574" s="1274" t="str">
        <f t="shared" si="51"/>
        <v/>
      </c>
      <c r="J574" s="1314" t="str">
        <f t="shared" si="65"/>
        <v/>
      </c>
      <c r="K574" s="1314" t="str">
        <f t="shared" si="52"/>
        <v/>
      </c>
      <c r="L574" s="826" t="s">
        <v>1397</v>
      </c>
      <c r="M574" s="1329">
        <v>557</v>
      </c>
      <c r="N574" s="1314"/>
      <c r="O574" s="1311"/>
      <c r="P574" s="1311"/>
      <c r="Q574" s="1311"/>
      <c r="R574" s="1314" t="s">
        <v>851</v>
      </c>
      <c r="S574" s="1311"/>
      <c r="T574" s="1314" t="str">
        <f t="shared" si="64"/>
        <v/>
      </c>
      <c r="U574" s="1311"/>
      <c r="V574" s="1311"/>
      <c r="W574" s="1311"/>
      <c r="X574" s="1311"/>
      <c r="Y574" s="1311"/>
      <c r="Z574" s="1311"/>
    </row>
    <row r="575" spans="1:26" x14ac:dyDescent="0.25">
      <c r="A575" s="846" t="s">
        <v>1382</v>
      </c>
      <c r="B575" s="826" t="str">
        <f t="shared" ca="1" si="66"/>
        <v>N33</v>
      </c>
      <c r="C575" s="826" t="str">
        <f t="shared" ca="1" si="67"/>
        <v>N34</v>
      </c>
      <c r="D575" s="826" t="s">
        <v>1350</v>
      </c>
      <c r="E575" s="826" t="s">
        <v>1516</v>
      </c>
      <c r="F575" s="1314" t="s">
        <v>1382</v>
      </c>
      <c r="G575" s="1314" t="str">
        <f>IF(T575&lt;&gt;"",IF(Q573="Credit Memo","J",IF(Q573="Check","K","")),"")</f>
        <v/>
      </c>
      <c r="H575" s="1314" t="s">
        <v>1990</v>
      </c>
      <c r="I575" s="1274" t="str">
        <f t="shared" si="51"/>
        <v/>
      </c>
      <c r="J575" s="1314" t="str">
        <f t="shared" si="65"/>
        <v/>
      </c>
      <c r="K575" s="1314" t="str">
        <f t="shared" si="52"/>
        <v/>
      </c>
      <c r="L575" s="826" t="s">
        <v>1382</v>
      </c>
      <c r="M575" s="1329">
        <v>558</v>
      </c>
      <c r="N575" s="1314"/>
      <c r="O575" s="1311"/>
      <c r="P575" s="1311"/>
      <c r="Q575" s="1311"/>
      <c r="R575" s="1314" t="s">
        <v>851</v>
      </c>
      <c r="S575" s="1311"/>
      <c r="T575" s="1314" t="str">
        <f t="shared" si="64"/>
        <v/>
      </c>
      <c r="U575" s="1311"/>
      <c r="V575" s="1311"/>
      <c r="W575" s="1311"/>
      <c r="X575" s="1311"/>
      <c r="Y575" s="1311"/>
      <c r="Z575" s="1311"/>
    </row>
    <row r="576" spans="1:26" x14ac:dyDescent="0.25">
      <c r="A576" s="846" t="s">
        <v>1486</v>
      </c>
      <c r="B576" s="826" t="str">
        <f t="shared" ca="1" si="66"/>
        <v>P33</v>
      </c>
      <c r="C576" s="826" t="str">
        <f t="shared" ca="1" si="67"/>
        <v>P34</v>
      </c>
      <c r="D576" s="826" t="s">
        <v>1350</v>
      </c>
      <c r="E576" s="826" t="s">
        <v>1516</v>
      </c>
      <c r="F576" s="1314" t="s">
        <v>1994</v>
      </c>
      <c r="G576" s="1314" t="str">
        <f>IF(T576&lt;&gt;"","F","")</f>
        <v/>
      </c>
      <c r="H576" s="1314" t="s">
        <v>1990</v>
      </c>
      <c r="I576" s="1274" t="str">
        <f t="shared" si="51"/>
        <v/>
      </c>
      <c r="J576" s="1314" t="str">
        <f t="shared" si="65"/>
        <v/>
      </c>
      <c r="K576" s="1314" t="str">
        <f t="shared" si="52"/>
        <v/>
      </c>
      <c r="L576" s="826" t="s">
        <v>1486</v>
      </c>
      <c r="M576" s="1329">
        <v>559</v>
      </c>
      <c r="N576" s="1314"/>
      <c r="O576" s="1311"/>
      <c r="P576" s="1311"/>
      <c r="Q576" s="1311"/>
      <c r="R576" s="1314" t="s">
        <v>851</v>
      </c>
      <c r="S576" s="1311"/>
      <c r="T576" s="1314" t="str">
        <f t="shared" si="64"/>
        <v/>
      </c>
      <c r="U576" s="1311"/>
      <c r="V576" s="1311"/>
      <c r="W576" s="1311"/>
      <c r="X576" s="1311"/>
      <c r="Y576" s="1311"/>
      <c r="Z576" s="1311"/>
    </row>
    <row r="577" spans="1:26" x14ac:dyDescent="0.25">
      <c r="A577" s="846" t="s">
        <v>1487</v>
      </c>
      <c r="B577" s="826" t="str">
        <f t="shared" ca="1" si="66"/>
        <v>R33</v>
      </c>
      <c r="C577" s="826" t="str">
        <f t="shared" ca="1" si="67"/>
        <v>R34</v>
      </c>
      <c r="D577" s="826" t="s">
        <v>1350</v>
      </c>
      <c r="E577" s="826" t="s">
        <v>1516</v>
      </c>
      <c r="F577" s="1314" t="s">
        <v>1995</v>
      </c>
      <c r="G577" s="1314" t="str">
        <f>IF(T577&lt;&gt;"","G","")</f>
        <v/>
      </c>
      <c r="H577" s="1314" t="s">
        <v>1990</v>
      </c>
      <c r="I577" s="1274" t="str">
        <f t="shared" si="51"/>
        <v/>
      </c>
      <c r="J577" s="1314" t="str">
        <f t="shared" si="65"/>
        <v/>
      </c>
      <c r="K577" s="1314" t="str">
        <f t="shared" si="52"/>
        <v/>
      </c>
      <c r="L577" s="826" t="s">
        <v>1487</v>
      </c>
      <c r="M577" s="1329">
        <v>560</v>
      </c>
      <c r="N577" s="1314"/>
      <c r="O577" s="1311"/>
      <c r="P577" s="1311"/>
      <c r="Q577" s="1311"/>
      <c r="R577" s="1314" t="s">
        <v>851</v>
      </c>
      <c r="S577" s="1311"/>
      <c r="T577" s="1314" t="str">
        <f t="shared" si="64"/>
        <v/>
      </c>
      <c r="U577" s="1311"/>
      <c r="V577" s="1311"/>
      <c r="W577" s="1311"/>
      <c r="X577" s="1311"/>
      <c r="Y577" s="1311"/>
      <c r="Z577" s="1311"/>
    </row>
    <row r="578" spans="1:26" x14ac:dyDescent="0.25">
      <c r="A578" s="846" t="s">
        <v>1488</v>
      </c>
      <c r="B578" s="826" t="str">
        <f t="shared" ca="1" si="66"/>
        <v>T33</v>
      </c>
      <c r="C578" s="826" t="str">
        <f t="shared" ca="1" si="67"/>
        <v>T34</v>
      </c>
      <c r="D578" s="826" t="s">
        <v>1350</v>
      </c>
      <c r="E578" s="826" t="s">
        <v>1516</v>
      </c>
      <c r="F578" s="841" t="s">
        <v>1488</v>
      </c>
      <c r="G578" s="1314" t="str">
        <f>IF(T578&lt;&gt;"","AW","")</f>
        <v/>
      </c>
      <c r="H578" s="1314" t="s">
        <v>1990</v>
      </c>
      <c r="I578" s="1274" t="str">
        <f t="shared" si="51"/>
        <v/>
      </c>
      <c r="J578" s="1314" t="str">
        <f t="shared" si="65"/>
        <v/>
      </c>
      <c r="K578" s="1314" t="str">
        <f t="shared" si="52"/>
        <v/>
      </c>
      <c r="L578" s="826" t="s">
        <v>1488</v>
      </c>
      <c r="M578" s="1329">
        <v>561</v>
      </c>
      <c r="N578" s="1314"/>
      <c r="O578" s="1311"/>
      <c r="P578" s="1311"/>
      <c r="Q578" s="1311"/>
      <c r="R578" s="1314" t="s">
        <v>851</v>
      </c>
      <c r="S578" s="1311"/>
      <c r="T578" s="1314" t="str">
        <f t="shared" si="64"/>
        <v/>
      </c>
      <c r="U578" s="1311"/>
      <c r="V578" s="1311"/>
      <c r="W578" s="1311"/>
      <c r="X578" s="1311"/>
      <c r="Y578" s="1311"/>
      <c r="Z578" s="1311"/>
    </row>
    <row r="579" spans="1:26" x14ac:dyDescent="0.25">
      <c r="A579" s="846" t="s">
        <v>1385</v>
      </c>
      <c r="B579" s="826" t="str">
        <f ca="1">IFERROR(_xlfn.CONCAT("C",MATCH(A579,INDIRECT("'"&amp;E579&amp;"'!C"&amp;$O$570&amp;":C"&amp;$O$572),0)+$O$570-1),"")</f>
        <v>C37</v>
      </c>
      <c r="C579" s="826" t="str">
        <f ca="1">IFERROR(_xlfn.CONCAT("D",MATCH(A579,INDIRECT("'"&amp;E579&amp;"'!C"&amp;$O$570&amp;":C"&amp;$O$572),0)+$O$570-1),"")</f>
        <v>D37</v>
      </c>
      <c r="D579" s="826" t="s">
        <v>1350</v>
      </c>
      <c r="E579" s="826" t="s">
        <v>1516</v>
      </c>
      <c r="F579" s="1314" t="s">
        <v>1385</v>
      </c>
      <c r="G579" s="1314" t="str">
        <f>IF(T579&lt;&gt;"","C","")</f>
        <v/>
      </c>
      <c r="H579" s="1314" t="s">
        <v>1990</v>
      </c>
      <c r="I579" s="1274" t="str">
        <f t="shared" si="51"/>
        <v/>
      </c>
      <c r="J579" s="1314"/>
      <c r="K579" s="1314" t="str">
        <f t="shared" si="52"/>
        <v/>
      </c>
      <c r="L579" s="826" t="s">
        <v>1385</v>
      </c>
      <c r="M579" s="1329">
        <v>562</v>
      </c>
      <c r="N579" s="1314"/>
      <c r="O579" s="1311"/>
      <c r="P579" s="1311"/>
      <c r="Q579" s="1311"/>
      <c r="R579" s="1314" t="s">
        <v>851</v>
      </c>
      <c r="S579" s="1311"/>
      <c r="T579" s="1314" t="str">
        <f t="shared" si="64"/>
        <v/>
      </c>
      <c r="U579" s="1311"/>
      <c r="V579" s="1311"/>
      <c r="W579" s="1311"/>
      <c r="X579" s="1311"/>
      <c r="Y579" s="1311"/>
      <c r="Z579" s="1311"/>
    </row>
    <row r="580" spans="1:26" x14ac:dyDescent="0.25">
      <c r="A580" s="846" t="s">
        <v>1386</v>
      </c>
      <c r="B580" s="826" t="str">
        <f ca="1">IFERROR(_xlfn.CONCAT("C",MATCH(A580,INDIRECT("'"&amp;E580&amp;"'!C"&amp;$O$570&amp;":C"&amp;$O$572),0)+$O$570-1),"")</f>
        <v>C39</v>
      </c>
      <c r="C580" s="826" t="str">
        <f ca="1">IFERROR(_xlfn.CONCAT("D",MATCH(A580,INDIRECT("'"&amp;E580&amp;"'!C"&amp;$O$570&amp;":C"&amp;$O$572),0)+$O$570-1),"")</f>
        <v>D39</v>
      </c>
      <c r="D580" s="826" t="s">
        <v>1350</v>
      </c>
      <c r="E580" s="826" t="s">
        <v>1516</v>
      </c>
      <c r="F580" s="1314" t="s">
        <v>1386</v>
      </c>
      <c r="G580" s="1314" t="str">
        <f>IF(T580&lt;&gt;"","D","")</f>
        <v/>
      </c>
      <c r="H580" s="1314" t="s">
        <v>1990</v>
      </c>
      <c r="I580" s="1274" t="str">
        <f t="shared" ref="I580:I643" si="68">IF(J580&lt;&gt;"",A580,"")</f>
        <v/>
      </c>
      <c r="J580" s="1314"/>
      <c r="K580" s="1314" t="str">
        <f t="shared" ref="K580:K643" si="69">IF(J580&lt;&gt;"",E580,"")</f>
        <v/>
      </c>
      <c r="L580" s="826" t="s">
        <v>1386</v>
      </c>
      <c r="M580" s="1329">
        <v>563</v>
      </c>
      <c r="N580" s="1314"/>
      <c r="O580" s="1311"/>
      <c r="P580" s="1311"/>
      <c r="Q580" s="1311"/>
      <c r="R580" s="1314" t="s">
        <v>851</v>
      </c>
      <c r="S580" s="1311"/>
      <c r="T580" s="1314" t="str">
        <f t="shared" si="64"/>
        <v/>
      </c>
      <c r="U580" s="1311"/>
      <c r="V580" s="1311"/>
      <c r="W580" s="1311"/>
      <c r="X580" s="1311"/>
      <c r="Y580" s="1311"/>
      <c r="Z580" s="1311"/>
    </row>
    <row r="581" spans="1:26" x14ac:dyDescent="0.25">
      <c r="A581" s="846" t="s">
        <v>1495</v>
      </c>
      <c r="B581" s="826" t="str">
        <f ca="1">IFERROR(_xlfn.CONCAT("C",MATCH(A581,INDIRECT("'"&amp;E581&amp;"'!C"&amp;$O$570&amp;":C"&amp;$O$572),0)+$O$570-1),"")</f>
        <v>C41</v>
      </c>
      <c r="C581" s="826" t="str">
        <f ca="1">IFERROR(_xlfn.CONCAT("D",MATCH(A581,INDIRECT("'"&amp;E581&amp;"'!C"&amp;$O$570&amp;":C"&amp;$O$572),0)+$O$570-1),"")</f>
        <v>D41</v>
      </c>
      <c r="D581" s="826" t="s">
        <v>1350</v>
      </c>
      <c r="E581" s="826" t="s">
        <v>1516</v>
      </c>
      <c r="F581" s="1314" t="s">
        <v>1495</v>
      </c>
      <c r="G581" s="1314" t="str">
        <f>IF(T581&lt;&gt;"","AN","")</f>
        <v/>
      </c>
      <c r="H581" s="1314" t="s">
        <v>1990</v>
      </c>
      <c r="I581" s="1274" t="str">
        <f t="shared" si="68"/>
        <v/>
      </c>
      <c r="J581" s="1314" t="str">
        <f t="shared" si="65"/>
        <v/>
      </c>
      <c r="K581" s="1314" t="str">
        <f t="shared" si="69"/>
        <v/>
      </c>
      <c r="L581" s="826" t="s">
        <v>1495</v>
      </c>
      <c r="M581" s="1329">
        <v>564</v>
      </c>
      <c r="N581" s="1314"/>
      <c r="O581" s="1405"/>
      <c r="P581" s="1317" t="str" cm="1">
        <f t="array" aca="1" ref="P581" ca="1">_xlfn.CONCAT("F",RIGHT(B581, LEN(B581) - MAX(IF(ISNUMBER(MID(B581, ROW(INDIRECT("1:"&amp;LEN(B581))), 1) *1)=FALSE, ROW(INDIRECT("1:"&amp;LEN(B581))), 0))))</f>
        <v>F41</v>
      </c>
      <c r="Q581" s="1314" t="str" cm="1">
        <f t="array" aca="1" ref="Q581" ca="1">_xlfn.CONCAT("E",RIGHT(C581, LEN(C581) - MAX(IF(ISNUMBER(MID(C581, ROW(INDIRECT("1:"&amp;LEN(C581))), 1) *1)=FALSE, ROW(INDIRECT("1:"&amp;LEN(C581))), 0))))</f>
        <v>E41</v>
      </c>
      <c r="R581" s="1314" t="s">
        <v>851</v>
      </c>
      <c r="S581" s="1311"/>
      <c r="T581" s="1314" t="str">
        <f t="shared" si="64"/>
        <v/>
      </c>
      <c r="U581" s="1311"/>
      <c r="V581" s="1311"/>
      <c r="W581" s="1311"/>
      <c r="X581" s="1311"/>
      <c r="Y581" s="1311"/>
      <c r="Z581" s="1311"/>
    </row>
    <row r="582" spans="1:26" x14ac:dyDescent="0.25">
      <c r="A582" s="846" t="s">
        <v>1492</v>
      </c>
      <c r="B582" s="826" t="s">
        <v>1777</v>
      </c>
      <c r="C582" s="826" t="s">
        <v>1778</v>
      </c>
      <c r="D582" s="826" t="s">
        <v>1350</v>
      </c>
      <c r="E582" s="826" t="s">
        <v>1516</v>
      </c>
      <c r="F582" s="1314" t="s">
        <v>1492</v>
      </c>
      <c r="G582" s="1314" t="str">
        <f>IF(T582&lt;&gt;"","AL","")</f>
        <v/>
      </c>
      <c r="H582" s="1314" t="s">
        <v>1990</v>
      </c>
      <c r="I582" s="1274" t="str">
        <f t="shared" si="68"/>
        <v/>
      </c>
      <c r="J582" s="1314" t="str">
        <f t="shared" si="65"/>
        <v/>
      </c>
      <c r="K582" s="1314" t="str">
        <f t="shared" si="69"/>
        <v/>
      </c>
      <c r="L582" s="826" t="s">
        <v>1492</v>
      </c>
      <c r="M582" s="1329">
        <v>565</v>
      </c>
      <c r="N582" s="1314"/>
      <c r="O582" s="1311"/>
      <c r="P582" s="1311"/>
      <c r="Q582" s="1311"/>
      <c r="R582" s="1314" t="s">
        <v>851</v>
      </c>
      <c r="S582" s="1311"/>
      <c r="T582" s="1314" t="str">
        <f t="shared" si="64"/>
        <v/>
      </c>
      <c r="U582" s="1311"/>
      <c r="V582" s="1311"/>
      <c r="W582" s="1311"/>
      <c r="X582" s="1311"/>
      <c r="Y582" s="1311"/>
      <c r="Z582" s="1311"/>
    </row>
    <row r="583" spans="1:26" x14ac:dyDescent="0.25">
      <c r="A583" s="846" t="s">
        <v>1506</v>
      </c>
      <c r="B583" s="826" t="s">
        <v>1779</v>
      </c>
      <c r="C583" s="826" t="s">
        <v>1780</v>
      </c>
      <c r="D583" s="826" t="s">
        <v>1350</v>
      </c>
      <c r="E583" s="826" t="s">
        <v>1516</v>
      </c>
      <c r="F583" s="1314" t="s">
        <v>1996</v>
      </c>
      <c r="G583" s="1314" t="str">
        <f>IF(T583&lt;&gt;"","L","")</f>
        <v/>
      </c>
      <c r="H583" s="1314" t="s">
        <v>1990</v>
      </c>
      <c r="I583" s="1274" t="str">
        <f t="shared" si="68"/>
        <v/>
      </c>
      <c r="J583" s="1314" t="str">
        <f t="shared" si="65"/>
        <v/>
      </c>
      <c r="K583" s="1314" t="str">
        <f t="shared" si="69"/>
        <v/>
      </c>
      <c r="L583" s="826" t="s">
        <v>1506</v>
      </c>
      <c r="M583" s="1329">
        <v>566</v>
      </c>
      <c r="N583" s="1314"/>
      <c r="O583" s="1311"/>
      <c r="P583" s="1311"/>
      <c r="Q583" s="1311"/>
      <c r="R583" s="1314" t="s">
        <v>851</v>
      </c>
      <c r="S583" s="1311"/>
      <c r="T583" s="1314" t="str">
        <f t="shared" si="64"/>
        <v/>
      </c>
      <c r="U583" s="1311"/>
      <c r="V583" s="1311"/>
      <c r="W583" s="1311"/>
      <c r="X583" s="1311"/>
      <c r="Y583" s="1311"/>
      <c r="Z583" s="1311"/>
    </row>
    <row r="584" spans="1:26" x14ac:dyDescent="0.25">
      <c r="A584" s="846" t="s">
        <v>1387</v>
      </c>
      <c r="B584" s="826" t="str">
        <f ca="1">_xlfn.CONCAT(IFERROR(SUBSTITUTE(ADDRESS(1,MATCH(A584,INDIRECT("'"&amp;E584&amp;"'"&amp;"!A" &amp; $O$570+5 &amp; ":Z" &amp; $O$570+5),0),4),1,""),""),$O$570+5)</f>
        <v>H36</v>
      </c>
      <c r="C584" s="826" t="str">
        <f ca="1">_xlfn.CONCAT(IFERROR(SUBSTITUTE(ADDRESS(1,MATCH(A584,INDIRECT("'"&amp;E584&amp;"'"&amp;"!A" &amp; $O$570+5 &amp; ":Z" &amp; $O$570+5),0),4),1,""),""),$O$570+6)</f>
        <v>H37</v>
      </c>
      <c r="D584" s="826" t="s">
        <v>1350</v>
      </c>
      <c r="E584" s="826" t="s">
        <v>1516</v>
      </c>
      <c r="F584" s="841" t="s">
        <v>1387</v>
      </c>
      <c r="G584" s="1314" t="str">
        <f>IF(T584&lt;&gt;"","AH","")</f>
        <v/>
      </c>
      <c r="H584" s="1314" t="s">
        <v>1990</v>
      </c>
      <c r="I584" s="1274" t="str">
        <f t="shared" si="68"/>
        <v/>
      </c>
      <c r="J584" s="1314" t="str">
        <f t="shared" si="65"/>
        <v/>
      </c>
      <c r="K584" s="1314" t="str">
        <f t="shared" si="69"/>
        <v/>
      </c>
      <c r="L584" s="826" t="s">
        <v>1387</v>
      </c>
      <c r="M584" s="1329">
        <v>567</v>
      </c>
      <c r="N584" s="1314"/>
      <c r="O584" s="1311"/>
      <c r="P584" s="1311"/>
      <c r="Q584" s="1311"/>
      <c r="R584" s="1314" t="s">
        <v>851</v>
      </c>
      <c r="S584" s="1311"/>
      <c r="T584" s="1314" t="str">
        <f t="shared" si="64"/>
        <v/>
      </c>
      <c r="U584" s="1311"/>
      <c r="V584" s="1311"/>
      <c r="W584" s="1311"/>
      <c r="X584" s="1311"/>
      <c r="Y584" s="1311"/>
      <c r="Z584" s="1311"/>
    </row>
    <row r="585" spans="1:26" x14ac:dyDescent="0.25">
      <c r="A585" s="846" t="s">
        <v>1388</v>
      </c>
      <c r="B585" s="826" t="str">
        <f ca="1">_xlfn.CONCAT(IFERROR(SUBSTITUTE(ADDRESS(1,MATCH(A585,INDIRECT("'"&amp;E585&amp;"'"&amp;"!A" &amp; $O$570+5 &amp; ":Z" &amp; $O$570+5),0),4),1,""),""),$O$570+5)</f>
        <v>J36</v>
      </c>
      <c r="C585" s="826" t="str">
        <f ca="1">_xlfn.CONCAT(IFERROR(SUBSTITUTE(ADDRESS(1,MATCH(A585,INDIRECT("'"&amp;E585&amp;"'"&amp;"!A" &amp; $O$570+5 &amp; ":Z" &amp; $O$570+5),0),4),1,""),""),$O$570+6)</f>
        <v>J37</v>
      </c>
      <c r="D585" s="826" t="s">
        <v>1350</v>
      </c>
      <c r="E585" s="826" t="s">
        <v>1516</v>
      </c>
      <c r="F585" s="841"/>
      <c r="G585" s="1314"/>
      <c r="H585" s="1314"/>
      <c r="I585" s="1274" t="str">
        <f t="shared" si="68"/>
        <v/>
      </c>
      <c r="J585" s="1314"/>
      <c r="K585" s="1314" t="str">
        <f t="shared" si="69"/>
        <v/>
      </c>
      <c r="L585" s="826" t="s">
        <v>1388</v>
      </c>
      <c r="M585" s="1329">
        <v>568</v>
      </c>
      <c r="N585" s="1314"/>
      <c r="O585" s="1311"/>
      <c r="P585" s="1311"/>
      <c r="Q585" s="1311"/>
      <c r="R585" s="1314" t="s">
        <v>851</v>
      </c>
      <c r="S585" s="1311"/>
      <c r="T585" s="1314" t="str">
        <f t="shared" si="64"/>
        <v/>
      </c>
      <c r="U585" s="1311"/>
      <c r="V585" s="1311"/>
      <c r="W585" s="1311"/>
      <c r="X585" s="1311"/>
      <c r="Y585" s="1311"/>
      <c r="Z585" s="1311"/>
    </row>
    <row r="586" spans="1:26" x14ac:dyDescent="0.25">
      <c r="A586" s="847" t="s">
        <v>1389</v>
      </c>
      <c r="B586" s="826" t="str">
        <f ca="1">_xlfn.CONCAT(IFERROR(SUBSTITUTE(ADDRESS(1,MATCH(A586,INDIRECT("'"&amp;E586&amp;"'"&amp;"!A" &amp; $O$570+5 &amp; ":Z" &amp; $O$570+5),0),4),1,""),""),$O$570+5)</f>
        <v>L36</v>
      </c>
      <c r="C586" s="826" t="str">
        <f ca="1">_xlfn.CONCAT(IFERROR(SUBSTITUTE(ADDRESS(1,MATCH(A586,INDIRECT("'"&amp;E586&amp;"'"&amp;"!A" &amp; $O$570+5 &amp; ":Z" &amp; $O$570+5),0),4),1,""),""),$O$570+6)</f>
        <v>L37</v>
      </c>
      <c r="D586" s="826" t="s">
        <v>1350</v>
      </c>
      <c r="E586" s="826" t="s">
        <v>1516</v>
      </c>
      <c r="F586" s="1314" t="s">
        <v>1912</v>
      </c>
      <c r="G586" s="1314" t="str">
        <f>IF(T586&lt;&gt;"","AI","")</f>
        <v/>
      </c>
      <c r="H586" s="1314" t="s">
        <v>1990</v>
      </c>
      <c r="I586" s="1274" t="str">
        <f t="shared" si="68"/>
        <v/>
      </c>
      <c r="J586" s="1314"/>
      <c r="K586" s="1314" t="str">
        <f t="shared" si="69"/>
        <v/>
      </c>
      <c r="L586" s="828" t="s">
        <v>1389</v>
      </c>
      <c r="M586" s="1329">
        <v>569</v>
      </c>
      <c r="N586" s="1314"/>
      <c r="O586" s="1311"/>
      <c r="P586" s="1311"/>
      <c r="Q586" s="1311"/>
      <c r="R586" s="1314" t="s">
        <v>851</v>
      </c>
      <c r="S586" s="1311"/>
      <c r="T586" s="1314" t="str">
        <f t="shared" si="64"/>
        <v/>
      </c>
      <c r="U586" s="1311"/>
      <c r="V586" s="1311"/>
      <c r="W586" s="1311"/>
      <c r="X586" s="1311"/>
      <c r="Y586" s="1311"/>
      <c r="Z586" s="1311"/>
    </row>
    <row r="587" spans="1:26" x14ac:dyDescent="0.25">
      <c r="A587" s="846" t="s">
        <v>1508</v>
      </c>
      <c r="B587" s="826" t="str">
        <f ca="1">_xlfn.CONCAT(IFERROR(SUBSTITUTE(ADDRESS(1,MATCH(A587,INDIRECT("'"&amp;E587&amp;"'"&amp;"!A" &amp; $O$570+8 &amp; ":Z" &amp; $O$570+8),0),4),1,""),""),$O$570+8)</f>
        <v>P39</v>
      </c>
      <c r="C587" s="826" t="str">
        <f ca="1">_xlfn.CONCAT(IFERROR(SUBSTITUTE(ADDRESS(1,MATCH(A587,INDIRECT("'"&amp;E587&amp;"'"&amp;"!A" &amp; $O$570+8 &amp; ":Z" &amp; $O$570+8),0),4),1,""),""),$O$570+9)</f>
        <v>P40</v>
      </c>
      <c r="D587" s="826" t="s">
        <v>1350</v>
      </c>
      <c r="E587" s="826" t="s">
        <v>1516</v>
      </c>
      <c r="F587" s="1314" t="s">
        <v>1508</v>
      </c>
      <c r="G587" s="1314" t="str">
        <f>IF(T587&lt;&gt;"","P","")</f>
        <v/>
      </c>
      <c r="H587" s="1314" t="s">
        <v>1990</v>
      </c>
      <c r="I587" s="1274" t="str">
        <f t="shared" si="68"/>
        <v/>
      </c>
      <c r="J587" s="1314" t="str">
        <f t="shared" si="65"/>
        <v/>
      </c>
      <c r="K587" s="1314" t="str">
        <f t="shared" si="69"/>
        <v/>
      </c>
      <c r="L587" s="826" t="s">
        <v>1508</v>
      </c>
      <c r="M587" s="1329">
        <v>570</v>
      </c>
      <c r="N587" s="1314"/>
      <c r="O587" s="1311"/>
      <c r="P587" s="1311"/>
      <c r="Q587" s="1311"/>
      <c r="R587" s="1314" t="s">
        <v>851</v>
      </c>
      <c r="S587" s="1311"/>
      <c r="T587" s="1314" t="str">
        <f>IF(Q$570="Yes",3,"")</f>
        <v/>
      </c>
      <c r="U587" s="1311"/>
      <c r="V587" s="1311"/>
      <c r="W587" s="1311"/>
      <c r="X587" s="1311"/>
      <c r="Y587" s="1311"/>
      <c r="Z587" s="1311"/>
    </row>
    <row r="588" spans="1:26" x14ac:dyDescent="0.25">
      <c r="A588" s="849" t="s">
        <v>1491</v>
      </c>
      <c r="B588" s="826" t="str">
        <f ca="1">IFERROR(_xlfn.CONCAT("C",MATCH(A588,INDIRECT("'"&amp;E588&amp;"'!C"&amp;$O$589&amp;":C"&amp;$O$591),0)+$O$589-1),"")</f>
        <v>C49</v>
      </c>
      <c r="C588" s="826" t="str">
        <f ca="1">IFERROR(_xlfn.CONCAT("D",MATCH(A588,INDIRECT("'"&amp;E588&amp;"'!C"&amp;$O$589&amp;":C"&amp;$O$591),0)+$O$589-1),"")</f>
        <v>D49</v>
      </c>
      <c r="D588" s="826" t="s">
        <v>1350</v>
      </c>
      <c r="E588" s="826" t="s">
        <v>1516</v>
      </c>
      <c r="F588" s="1314" t="s">
        <v>1491</v>
      </c>
      <c r="G588" s="1314" t="str">
        <f>IF(T588&lt;&gt;"","A","")</f>
        <v/>
      </c>
      <c r="H588" s="1314" t="s">
        <v>1990</v>
      </c>
      <c r="I588" s="1274" t="str">
        <f t="shared" si="68"/>
        <v/>
      </c>
      <c r="J588" s="1314"/>
      <c r="K588" s="1314" t="str">
        <f t="shared" si="69"/>
        <v/>
      </c>
      <c r="L588" s="826" t="s">
        <v>1491</v>
      </c>
      <c r="M588" s="1329">
        <v>571</v>
      </c>
      <c r="N588" s="1314"/>
      <c r="O588" s="1311" t="s">
        <v>725</v>
      </c>
      <c r="P588" s="1311"/>
      <c r="Q588" s="1311"/>
      <c r="R588" s="1314" t="s">
        <v>851</v>
      </c>
      <c r="S588" s="1311"/>
      <c r="T588" s="1314" t="str">
        <f t="shared" ref="T588:T605" si="70">IF(Q$589="Yes",4,"")</f>
        <v/>
      </c>
      <c r="U588" s="1311"/>
      <c r="V588" s="1311"/>
      <c r="W588" s="1311"/>
      <c r="X588" s="1311"/>
      <c r="Y588" s="1311"/>
      <c r="Z588" s="1311"/>
    </row>
    <row r="589" spans="1:26" x14ac:dyDescent="0.25">
      <c r="A589" s="849" t="s">
        <v>1705</v>
      </c>
      <c r="B589" s="826" t="str">
        <f ca="1">_xlfn.CONCAT(IFERROR(SUBSTITUTE(ADDRESS(1,MATCH(A589,INDIRECT("'"&amp;E589&amp;"'"&amp;"!A" &amp; $O$589+11 &amp; ":Z" &amp; $O$589+11),0),4),1,""),""),$O$589+11)</f>
        <v>T56</v>
      </c>
      <c r="C589" s="826" t="str">
        <f ca="1">_xlfn.CONCAT(IFERROR(SUBSTITUTE(ADDRESS(1,MATCH(A589,INDIRECT("'"&amp;E589&amp;"'"&amp;"!A" &amp; $O$589+11 &amp; ":Z" &amp; $O$589+11),0),4),1,""),""),$O$589+12)</f>
        <v>T57</v>
      </c>
      <c r="D589" s="826" t="s">
        <v>1350</v>
      </c>
      <c r="E589" s="826" t="s">
        <v>1516</v>
      </c>
      <c r="F589" s="1314"/>
      <c r="G589" s="1314"/>
      <c r="H589" s="1314"/>
      <c r="I589" s="1274" t="str">
        <f t="shared" si="68"/>
        <v/>
      </c>
      <c r="J589" s="1314" t="str">
        <f t="shared" ref="J589:J606" si="71">IF(M589&lt;&gt;"",IF($Q$589="Yes",Q$1&amp;M589,""))</f>
        <v/>
      </c>
      <c r="K589" s="1314" t="str">
        <f t="shared" si="69"/>
        <v/>
      </c>
      <c r="L589" s="826" t="s">
        <v>1705</v>
      </c>
      <c r="M589" s="1329">
        <v>572</v>
      </c>
      <c r="N589" s="1314"/>
      <c r="O589" s="1311">
        <f>'Configurable Tab'!H6</f>
        <v>45</v>
      </c>
      <c r="P589" s="1406" t="str">
        <f>'Configurable Tab'!J6</f>
        <v>Yes</v>
      </c>
      <c r="Q589" s="1351" t="s">
        <v>648</v>
      </c>
      <c r="R589" s="1314" t="s">
        <v>851</v>
      </c>
      <c r="S589" s="1311"/>
      <c r="T589" s="1314" t="str">
        <f t="shared" si="70"/>
        <v/>
      </c>
      <c r="U589" s="1311"/>
      <c r="V589" s="1311"/>
      <c r="W589" s="1311"/>
      <c r="X589" s="1311"/>
      <c r="Y589" s="1311"/>
      <c r="Z589" s="1311"/>
    </row>
    <row r="590" spans="1:26" x14ac:dyDescent="0.25">
      <c r="A590" s="849" t="s">
        <v>1383</v>
      </c>
      <c r="B590" s="826" t="str">
        <f ca="1">IFERROR(_xlfn.CONCAT("C",MATCH(A590,INDIRECT("'"&amp;E590&amp;"'!C"&amp;$O$589&amp;":C"&amp;$O$591),0)+$O$589-1),"")</f>
        <v>C47</v>
      </c>
      <c r="C590" s="826" t="str">
        <f ca="1">IFERROR(_xlfn.CONCAT("D",MATCH(A590,INDIRECT("'"&amp;E590&amp;"'!C"&amp;$O$589&amp;":C"&amp;$O$591),0)+$O$589-1),"")</f>
        <v>D47</v>
      </c>
      <c r="D590" s="826" t="s">
        <v>1350</v>
      </c>
      <c r="E590" s="826" t="s">
        <v>1516</v>
      </c>
      <c r="F590" s="1314" t="s">
        <v>1383</v>
      </c>
      <c r="G590" s="1314" t="str">
        <f>IF(T590&lt;&gt;"","B","")</f>
        <v/>
      </c>
      <c r="H590" s="1314" t="s">
        <v>1990</v>
      </c>
      <c r="I590" s="1274" t="str">
        <f t="shared" si="68"/>
        <v/>
      </c>
      <c r="J590" s="1314"/>
      <c r="K590" s="1314" t="str">
        <f t="shared" si="69"/>
        <v/>
      </c>
      <c r="L590" s="826" t="s">
        <v>1383</v>
      </c>
      <c r="M590" s="1329">
        <v>573</v>
      </c>
      <c r="N590" s="1314"/>
      <c r="O590" s="1311" t="s">
        <v>726</v>
      </c>
      <c r="P590" s="1311"/>
      <c r="Q590" s="1311"/>
      <c r="R590" s="1314" t="s">
        <v>851</v>
      </c>
      <c r="S590" s="1311"/>
      <c r="T590" s="1314" t="str">
        <f t="shared" si="70"/>
        <v/>
      </c>
      <c r="U590" s="1311"/>
      <c r="V590" s="1311"/>
      <c r="W590" s="1311"/>
      <c r="X590" s="1311"/>
      <c r="Y590" s="1311"/>
      <c r="Z590" s="1311"/>
    </row>
    <row r="591" spans="1:26" x14ac:dyDescent="0.25">
      <c r="A591" s="849" t="s">
        <v>1380</v>
      </c>
      <c r="B591" s="826" t="str">
        <f ca="1">_xlfn.CONCAT(IFERROR(SUBSTITUTE(ADDRESS(1,MATCH(A591,INDIRECT("'"&amp;E591&amp;"'"&amp;"!A" &amp; $O$589+2 &amp; ":Z" &amp; $O$589+2),0),4),1,""),""),$O$589+2)</f>
        <v>H47</v>
      </c>
      <c r="C591" s="826" t="str">
        <f ca="1">_xlfn.CONCAT(IFERROR(SUBSTITUTE(ADDRESS(1,MATCH(A591,INDIRECT("'"&amp;E591&amp;"'"&amp;"!A" &amp; $O$589+2 &amp; ":Z" &amp; $O$589+2),0),4),1,""),""),$O$589+3)</f>
        <v>H48</v>
      </c>
      <c r="D591" s="826" t="s">
        <v>1350</v>
      </c>
      <c r="E591" s="826" t="s">
        <v>1516</v>
      </c>
      <c r="F591" s="1314" t="s">
        <v>1991</v>
      </c>
      <c r="G591" s="1314" t="str">
        <f>IF(T591&lt;&gt;"","E","")</f>
        <v/>
      </c>
      <c r="H591" s="1314" t="s">
        <v>1990</v>
      </c>
      <c r="I591" s="1274" t="str">
        <f t="shared" si="68"/>
        <v/>
      </c>
      <c r="J591" s="1314" t="str">
        <f t="shared" si="71"/>
        <v/>
      </c>
      <c r="K591" s="1314" t="str">
        <f t="shared" si="69"/>
        <v/>
      </c>
      <c r="L591" s="826" t="s">
        <v>1380</v>
      </c>
      <c r="M591" s="1329">
        <v>574</v>
      </c>
      <c r="N591" s="1314"/>
      <c r="O591" s="1311">
        <f>'Configurable Tab'!I6</f>
        <v>58</v>
      </c>
      <c r="P591" s="1311"/>
      <c r="Q591" s="1311"/>
      <c r="R591" s="1314" t="s">
        <v>851</v>
      </c>
      <c r="S591" s="1311"/>
      <c r="T591" s="1314" t="str">
        <f t="shared" si="70"/>
        <v/>
      </c>
      <c r="U591" s="1311"/>
      <c r="V591" s="1311"/>
      <c r="W591" s="1311"/>
      <c r="X591" s="1311"/>
      <c r="Y591" s="1311"/>
      <c r="Z591" s="1311"/>
    </row>
    <row r="592" spans="1:26" x14ac:dyDescent="0.25">
      <c r="A592" s="849" t="s">
        <v>1381</v>
      </c>
      <c r="B592" s="826" t="str">
        <f t="shared" ref="B592:B597" ca="1" si="72">_xlfn.CONCAT(IFERROR(SUBSTITUTE(ADDRESS(1,MATCH(A592,INDIRECT("'"&amp;E592&amp;"'"&amp;"!A" &amp; $O$589+2 &amp; ":Z" &amp; $O$589+2),0),4),1,""),""),$O$589+2)</f>
        <v>J47</v>
      </c>
      <c r="C592" s="826" t="str">
        <f t="shared" ref="C592:C597" ca="1" si="73">_xlfn.CONCAT(IFERROR(SUBSTITUTE(ADDRESS(1,MATCH(A592,INDIRECT("'"&amp;E592&amp;"'"&amp;"!A" &amp; $O$589+2 &amp; ":Z" &amp; $O$589+2),0),4),1,""),""),$O$589+3)</f>
        <v>J48</v>
      </c>
      <c r="D592" s="826" t="s">
        <v>1350</v>
      </c>
      <c r="E592" s="826" t="s">
        <v>1516</v>
      </c>
      <c r="F592" s="1314" t="s">
        <v>1992</v>
      </c>
      <c r="G592" s="1314" t="str">
        <f>IF(T592&lt;&gt;"","I","")</f>
        <v/>
      </c>
      <c r="H592" s="1314" t="s">
        <v>1990</v>
      </c>
      <c r="I592" s="1274" t="str">
        <f t="shared" si="68"/>
        <v/>
      </c>
      <c r="J592" s="1314" t="str">
        <f t="shared" si="71"/>
        <v/>
      </c>
      <c r="K592" s="1314" t="str">
        <f t="shared" si="69"/>
        <v/>
      </c>
      <c r="L592" s="826" t="s">
        <v>1381</v>
      </c>
      <c r="M592" s="1329">
        <v>575</v>
      </c>
      <c r="N592" s="1314"/>
      <c r="O592" s="1099" t="s">
        <v>1635</v>
      </c>
      <c r="P592" s="1311"/>
      <c r="Q592" s="1311"/>
      <c r="R592" s="1314" t="s">
        <v>851</v>
      </c>
      <c r="S592" s="1311"/>
      <c r="T592" s="1314" t="str">
        <f t="shared" si="70"/>
        <v/>
      </c>
      <c r="U592" s="1311"/>
      <c r="V592" s="1311"/>
      <c r="W592" s="1311"/>
      <c r="X592" s="1311"/>
      <c r="Y592" s="1311"/>
      <c r="Z592" s="1311"/>
    </row>
    <row r="593" spans="1:26" x14ac:dyDescent="0.25">
      <c r="A593" s="849" t="s">
        <v>1397</v>
      </c>
      <c r="B593" s="826" t="str">
        <f t="shared" ca="1" si="72"/>
        <v>L47</v>
      </c>
      <c r="C593" s="826" t="str">
        <f t="shared" ca="1" si="73"/>
        <v>L48</v>
      </c>
      <c r="D593" s="826" t="s">
        <v>1350</v>
      </c>
      <c r="E593" s="826" t="s">
        <v>1516</v>
      </c>
      <c r="F593" s="1314" t="s">
        <v>1993</v>
      </c>
      <c r="G593" s="1314" t="str">
        <f>IF(T593&lt;&gt;"","H","")</f>
        <v/>
      </c>
      <c r="H593" s="1314" t="s">
        <v>1990</v>
      </c>
      <c r="I593" s="1274" t="str">
        <f t="shared" si="68"/>
        <v/>
      </c>
      <c r="J593" s="1314" t="str">
        <f t="shared" si="71"/>
        <v/>
      </c>
      <c r="K593" s="1314" t="str">
        <f t="shared" si="69"/>
        <v/>
      </c>
      <c r="L593" s="826" t="s">
        <v>1397</v>
      </c>
      <c r="M593" s="1329">
        <v>576</v>
      </c>
      <c r="N593" s="1314"/>
      <c r="O593" s="1311"/>
      <c r="P593" s="1311"/>
      <c r="Q593" s="1311"/>
      <c r="R593" s="1314" t="s">
        <v>851</v>
      </c>
      <c r="S593" s="1311"/>
      <c r="T593" s="1314" t="str">
        <f t="shared" si="70"/>
        <v/>
      </c>
      <c r="U593" s="1311"/>
      <c r="V593" s="1311"/>
      <c r="W593" s="1311"/>
      <c r="X593" s="1311"/>
      <c r="Y593" s="1311"/>
      <c r="Z593" s="1311"/>
    </row>
    <row r="594" spans="1:26" x14ac:dyDescent="0.25">
      <c r="A594" s="849" t="s">
        <v>1382</v>
      </c>
      <c r="B594" s="826" t="str">
        <f t="shared" ca="1" si="72"/>
        <v>N47</v>
      </c>
      <c r="C594" s="826" t="str">
        <f t="shared" ca="1" si="73"/>
        <v>N48</v>
      </c>
      <c r="D594" s="826" t="s">
        <v>1350</v>
      </c>
      <c r="E594" s="826" t="s">
        <v>1516</v>
      </c>
      <c r="F594" s="1314" t="s">
        <v>1382</v>
      </c>
      <c r="G594" s="1314" t="str">
        <f>IF(T594&lt;&gt;"",IF(Q592="Credit Memo","J",IF(Q592="Check","K","")),"")</f>
        <v/>
      </c>
      <c r="H594" s="1314" t="s">
        <v>1990</v>
      </c>
      <c r="I594" s="1274" t="str">
        <f t="shared" si="68"/>
        <v/>
      </c>
      <c r="J594" s="1314" t="str">
        <f t="shared" si="71"/>
        <v/>
      </c>
      <c r="K594" s="1314" t="str">
        <f t="shared" si="69"/>
        <v/>
      </c>
      <c r="L594" s="826" t="s">
        <v>1382</v>
      </c>
      <c r="M594" s="1329">
        <v>577</v>
      </c>
      <c r="N594" s="1314"/>
      <c r="O594" s="1311"/>
      <c r="P594" s="1311"/>
      <c r="Q594" s="1311"/>
      <c r="R594" s="1314" t="s">
        <v>851</v>
      </c>
      <c r="S594" s="1311"/>
      <c r="T594" s="1314" t="str">
        <f t="shared" si="70"/>
        <v/>
      </c>
      <c r="U594" s="1311"/>
      <c r="V594" s="1311"/>
      <c r="W594" s="1311"/>
      <c r="X594" s="1311"/>
      <c r="Y594" s="1311"/>
      <c r="Z594" s="1311"/>
    </row>
    <row r="595" spans="1:26" x14ac:dyDescent="0.25">
      <c r="A595" s="849" t="s">
        <v>1486</v>
      </c>
      <c r="B595" s="826" t="str">
        <f t="shared" ca="1" si="72"/>
        <v>P47</v>
      </c>
      <c r="C595" s="826" t="str">
        <f t="shared" ca="1" si="73"/>
        <v>P48</v>
      </c>
      <c r="D595" s="826" t="s">
        <v>1350</v>
      </c>
      <c r="E595" s="826" t="s">
        <v>1516</v>
      </c>
      <c r="F595" s="1314" t="s">
        <v>1994</v>
      </c>
      <c r="G595" s="1314" t="str">
        <f>IF(T595&lt;&gt;"","F","")</f>
        <v/>
      </c>
      <c r="H595" s="1314" t="s">
        <v>1990</v>
      </c>
      <c r="I595" s="1274" t="str">
        <f t="shared" si="68"/>
        <v/>
      </c>
      <c r="J595" s="1314" t="str">
        <f t="shared" si="71"/>
        <v/>
      </c>
      <c r="K595" s="1314" t="str">
        <f t="shared" si="69"/>
        <v/>
      </c>
      <c r="L595" s="826" t="s">
        <v>1486</v>
      </c>
      <c r="M595" s="1329">
        <v>578</v>
      </c>
      <c r="N595" s="1314"/>
      <c r="O595" s="1311"/>
      <c r="P595" s="1311"/>
      <c r="Q595" s="1311"/>
      <c r="R595" s="1314" t="s">
        <v>851</v>
      </c>
      <c r="S595" s="1311"/>
      <c r="T595" s="1314" t="str">
        <f t="shared" si="70"/>
        <v/>
      </c>
      <c r="U595" s="1311"/>
      <c r="V595" s="1311"/>
      <c r="W595" s="1311"/>
      <c r="X595" s="1311"/>
      <c r="Y595" s="1311"/>
      <c r="Z595" s="1311"/>
    </row>
    <row r="596" spans="1:26" x14ac:dyDescent="0.25">
      <c r="A596" s="849" t="s">
        <v>1487</v>
      </c>
      <c r="B596" s="826" t="str">
        <f t="shared" ca="1" si="72"/>
        <v>R47</v>
      </c>
      <c r="C596" s="826" t="str">
        <f t="shared" ca="1" si="73"/>
        <v>R48</v>
      </c>
      <c r="D596" s="826" t="s">
        <v>1350</v>
      </c>
      <c r="E596" s="826" t="s">
        <v>1516</v>
      </c>
      <c r="F596" s="1314" t="s">
        <v>1995</v>
      </c>
      <c r="G596" s="1314" t="str">
        <f>IF(T596&lt;&gt;"","G","")</f>
        <v/>
      </c>
      <c r="H596" s="1314" t="s">
        <v>1990</v>
      </c>
      <c r="I596" s="1274" t="str">
        <f t="shared" si="68"/>
        <v/>
      </c>
      <c r="J596" s="1314" t="str">
        <f t="shared" si="71"/>
        <v/>
      </c>
      <c r="K596" s="1314" t="str">
        <f t="shared" si="69"/>
        <v/>
      </c>
      <c r="L596" s="826" t="s">
        <v>1487</v>
      </c>
      <c r="M596" s="1329">
        <v>579</v>
      </c>
      <c r="N596" s="1314"/>
      <c r="O596" s="1311"/>
      <c r="P596" s="1311"/>
      <c r="Q596" s="1311"/>
      <c r="R596" s="1314" t="s">
        <v>851</v>
      </c>
      <c r="S596" s="1311"/>
      <c r="T596" s="1314" t="str">
        <f t="shared" si="70"/>
        <v/>
      </c>
      <c r="U596" s="1311"/>
      <c r="V596" s="1311"/>
      <c r="W596" s="1311"/>
      <c r="X596" s="1311"/>
      <c r="Y596" s="1311"/>
      <c r="Z596" s="1311"/>
    </row>
    <row r="597" spans="1:26" x14ac:dyDescent="0.25">
      <c r="A597" s="849" t="s">
        <v>1488</v>
      </c>
      <c r="B597" s="826" t="str">
        <f t="shared" ca="1" si="72"/>
        <v>T47</v>
      </c>
      <c r="C597" s="826" t="str">
        <f t="shared" ca="1" si="73"/>
        <v>T48</v>
      </c>
      <c r="D597" s="826" t="s">
        <v>1350</v>
      </c>
      <c r="E597" s="826" t="s">
        <v>1516</v>
      </c>
      <c r="F597" s="841" t="s">
        <v>1488</v>
      </c>
      <c r="G597" s="1314" t="str">
        <f>IF(T597&lt;&gt;"","AW","")</f>
        <v/>
      </c>
      <c r="H597" s="1314" t="s">
        <v>1990</v>
      </c>
      <c r="I597" s="1274" t="str">
        <f t="shared" si="68"/>
        <v/>
      </c>
      <c r="J597" s="1314" t="str">
        <f t="shared" si="71"/>
        <v/>
      </c>
      <c r="K597" s="1314" t="str">
        <f t="shared" si="69"/>
        <v/>
      </c>
      <c r="L597" s="826" t="s">
        <v>1488</v>
      </c>
      <c r="M597" s="1329">
        <v>580</v>
      </c>
      <c r="N597" s="1314"/>
      <c r="O597" s="1311"/>
      <c r="P597" s="1311"/>
      <c r="Q597" s="1311"/>
      <c r="R597" s="1314" t="s">
        <v>851</v>
      </c>
      <c r="S597" s="1311"/>
      <c r="T597" s="1314" t="str">
        <f t="shared" si="70"/>
        <v/>
      </c>
      <c r="U597" s="1311"/>
      <c r="V597" s="1311"/>
      <c r="W597" s="1311"/>
      <c r="X597" s="1311"/>
      <c r="Y597" s="1311"/>
      <c r="Z597" s="1311"/>
    </row>
    <row r="598" spans="1:26" x14ac:dyDescent="0.25">
      <c r="A598" s="849" t="s">
        <v>1385</v>
      </c>
      <c r="B598" s="826" t="str">
        <f ca="1">IFERROR(_xlfn.CONCAT("C",MATCH(A598,INDIRECT("'"&amp;E598&amp;"'!C"&amp;$O$589&amp;":C"&amp;$O$591),0)+$O$589-1),"")</f>
        <v>C51</v>
      </c>
      <c r="C598" s="826" t="str">
        <f ca="1">IFERROR(_xlfn.CONCAT("D",MATCH(A598,INDIRECT("'"&amp;E598&amp;"'!C"&amp;$O$589&amp;":C"&amp;$O$591),0)+$O$589-1),"")</f>
        <v>D51</v>
      </c>
      <c r="D598" s="826" t="s">
        <v>1350</v>
      </c>
      <c r="E598" s="826" t="s">
        <v>1516</v>
      </c>
      <c r="F598" s="1314" t="s">
        <v>1385</v>
      </c>
      <c r="G598" s="1314" t="str">
        <f>IF(T598&lt;&gt;"","C","")</f>
        <v/>
      </c>
      <c r="H598" s="1314" t="s">
        <v>1990</v>
      </c>
      <c r="I598" s="1274" t="str">
        <f t="shared" si="68"/>
        <v/>
      </c>
      <c r="J598" s="1314"/>
      <c r="K598" s="1314" t="str">
        <f t="shared" si="69"/>
        <v/>
      </c>
      <c r="L598" s="826" t="s">
        <v>1385</v>
      </c>
      <c r="M598" s="1329">
        <v>581</v>
      </c>
      <c r="N598" s="1314"/>
      <c r="O598" s="1311"/>
      <c r="P598" s="1311"/>
      <c r="Q598" s="1311"/>
      <c r="R598" s="1314" t="s">
        <v>851</v>
      </c>
      <c r="S598" s="1311"/>
      <c r="T598" s="1314" t="str">
        <f t="shared" si="70"/>
        <v/>
      </c>
      <c r="U598" s="1311"/>
      <c r="V598" s="1311"/>
      <c r="W598" s="1311"/>
      <c r="X598" s="1311"/>
      <c r="Y598" s="1311"/>
      <c r="Z598" s="1311"/>
    </row>
    <row r="599" spans="1:26" x14ac:dyDescent="0.25">
      <c r="A599" s="849" t="s">
        <v>1386</v>
      </c>
      <c r="B599" s="826" t="str">
        <f ca="1">IFERROR(_xlfn.CONCAT("C",MATCH(A599,INDIRECT("'"&amp;E599&amp;"'!C"&amp;$O$589&amp;":C"&amp;$O$591),0)+$O$589-1),"")</f>
        <v>C53</v>
      </c>
      <c r="C599" s="826" t="str">
        <f ca="1">IFERROR(_xlfn.CONCAT("D",MATCH(A599,INDIRECT("'"&amp;E599&amp;"'!C"&amp;$O$589&amp;":C"&amp;$O$591),0)+$O$589-1),"")</f>
        <v>D53</v>
      </c>
      <c r="D599" s="826" t="s">
        <v>1350</v>
      </c>
      <c r="E599" s="826" t="s">
        <v>1516</v>
      </c>
      <c r="F599" s="1314" t="s">
        <v>1386</v>
      </c>
      <c r="G599" s="1314" t="str">
        <f>IF(T599&lt;&gt;"","D","")</f>
        <v/>
      </c>
      <c r="H599" s="1314" t="s">
        <v>1990</v>
      </c>
      <c r="I599" s="1274" t="str">
        <f t="shared" si="68"/>
        <v/>
      </c>
      <c r="J599" s="1314"/>
      <c r="K599" s="1314" t="str">
        <f t="shared" si="69"/>
        <v/>
      </c>
      <c r="L599" s="826" t="s">
        <v>1386</v>
      </c>
      <c r="M599" s="1329">
        <v>582</v>
      </c>
      <c r="N599" s="1314"/>
      <c r="O599" s="1311"/>
      <c r="P599" s="1311"/>
      <c r="Q599" s="1311"/>
      <c r="R599" s="1314" t="s">
        <v>851</v>
      </c>
      <c r="S599" s="1311"/>
      <c r="T599" s="1314" t="str">
        <f t="shared" si="70"/>
        <v/>
      </c>
      <c r="U599" s="1311"/>
      <c r="V599" s="1311"/>
      <c r="W599" s="1311"/>
      <c r="X599" s="1311"/>
      <c r="Y599" s="1311"/>
      <c r="Z599" s="1311"/>
    </row>
    <row r="600" spans="1:26" x14ac:dyDescent="0.25">
      <c r="A600" s="849" t="s">
        <v>1495</v>
      </c>
      <c r="B600" s="826" t="str">
        <f ca="1">IFERROR(_xlfn.CONCAT("C",MATCH(A600,INDIRECT("'"&amp;E600&amp;"'!C"&amp;$O$589&amp;":C"&amp;$O$591),0)+$O$589-1),"")</f>
        <v>C55</v>
      </c>
      <c r="C600" s="826" t="str">
        <f ca="1">IFERROR(_xlfn.CONCAT("D",MATCH(A600,INDIRECT("'"&amp;E600&amp;"'!C"&amp;$O$589&amp;":C"&amp;$O$591),0)+$O$589-1),"")</f>
        <v>D55</v>
      </c>
      <c r="D600" s="826" t="s">
        <v>1350</v>
      </c>
      <c r="E600" s="826" t="s">
        <v>1516</v>
      </c>
      <c r="F600" s="1314" t="s">
        <v>1495</v>
      </c>
      <c r="G600" s="1314" t="str">
        <f>IF(T600&lt;&gt;"","AN","")</f>
        <v/>
      </c>
      <c r="H600" s="1314" t="s">
        <v>1990</v>
      </c>
      <c r="I600" s="1274" t="str">
        <f t="shared" si="68"/>
        <v/>
      </c>
      <c r="J600" s="1314" t="str">
        <f t="shared" si="71"/>
        <v/>
      </c>
      <c r="K600" s="1314" t="str">
        <f t="shared" si="69"/>
        <v/>
      </c>
      <c r="L600" s="826" t="s">
        <v>1495</v>
      </c>
      <c r="M600" s="1329">
        <v>583</v>
      </c>
      <c r="N600" s="1314"/>
      <c r="O600" s="1405"/>
      <c r="P600" s="1317" t="str" cm="1">
        <f t="array" aca="1" ref="P600" ca="1">_xlfn.CONCAT("F",RIGHT(B600, LEN(B600) - MAX(IF(ISNUMBER(MID(B600, ROW(INDIRECT("1:"&amp;LEN(B600))), 1) *1)=FALSE, ROW(INDIRECT("1:"&amp;LEN(B600))), 0))))</f>
        <v>F55</v>
      </c>
      <c r="Q600" s="1314" t="str" cm="1">
        <f t="array" aca="1" ref="Q600" ca="1">_xlfn.CONCAT("E",RIGHT(C600, LEN(C600) - MAX(IF(ISNUMBER(MID(C600, ROW(INDIRECT("1:"&amp;LEN(C600))), 1) *1)=FALSE, ROW(INDIRECT("1:"&amp;LEN(C600))), 0))))</f>
        <v>E55</v>
      </c>
      <c r="R600" s="1314" t="s">
        <v>851</v>
      </c>
      <c r="S600" s="1311"/>
      <c r="T600" s="1314" t="str">
        <f t="shared" si="70"/>
        <v/>
      </c>
      <c r="U600" s="1311"/>
      <c r="V600" s="1311"/>
      <c r="W600" s="1311"/>
      <c r="X600" s="1311"/>
      <c r="Y600" s="1311"/>
      <c r="Z600" s="1311"/>
    </row>
    <row r="601" spans="1:26" x14ac:dyDescent="0.25">
      <c r="A601" s="849" t="s">
        <v>1492</v>
      </c>
      <c r="B601" s="826" t="str">
        <f ca="1">_xlfn.CONCAT(IFERROR(SUBSTITUTE(ADDRESS(1,MATCH(A601,INDIRECT("'"&amp;E601&amp;"'"&amp;"!A" &amp; $O$589+8 &amp; ":Z" &amp; $O$589+8),0),4),1,""),""),$O$589+8)</f>
        <v>H53</v>
      </c>
      <c r="C601" s="826" t="str">
        <f ca="1">_xlfn.CONCAT(IFERROR(SUBSTITUTE(ADDRESS(1,MATCH(A601,INDIRECT("'"&amp;E601&amp;"'"&amp;"!A" &amp; $O$589+8 &amp; ":Z" &amp; $O$589+8),0),4),1,""),""),$O$589+9)</f>
        <v>H54</v>
      </c>
      <c r="D601" s="826" t="s">
        <v>1350</v>
      </c>
      <c r="E601" s="826" t="s">
        <v>1516</v>
      </c>
      <c r="F601" s="1314" t="s">
        <v>1492</v>
      </c>
      <c r="G601" s="1314" t="str">
        <f>IF(T601&lt;&gt;"","AL","")</f>
        <v/>
      </c>
      <c r="H601" s="1314" t="s">
        <v>1990</v>
      </c>
      <c r="I601" s="1274" t="str">
        <f t="shared" si="68"/>
        <v/>
      </c>
      <c r="J601" s="1314" t="str">
        <f t="shared" si="71"/>
        <v/>
      </c>
      <c r="K601" s="1314" t="str">
        <f t="shared" si="69"/>
        <v/>
      </c>
      <c r="L601" s="826" t="s">
        <v>1492</v>
      </c>
      <c r="M601" s="1329">
        <v>584</v>
      </c>
      <c r="N601" s="1314"/>
      <c r="O601" s="1311"/>
      <c r="P601" s="1311"/>
      <c r="Q601" s="1311"/>
      <c r="R601" s="1314" t="s">
        <v>851</v>
      </c>
      <c r="S601" s="1311"/>
      <c r="T601" s="1314" t="str">
        <f t="shared" si="70"/>
        <v/>
      </c>
      <c r="U601" s="1311"/>
      <c r="V601" s="1311"/>
      <c r="W601" s="1311"/>
      <c r="X601" s="1311"/>
      <c r="Y601" s="1311"/>
      <c r="Z601" s="1311"/>
    </row>
    <row r="602" spans="1:26" x14ac:dyDescent="0.25">
      <c r="A602" s="849" t="s">
        <v>1506</v>
      </c>
      <c r="B602" s="826" t="str">
        <f ca="1">_xlfn.CONCAT(IFERROR(SUBSTITUTE(ADDRESS(1,MATCH(A602,INDIRECT("'"&amp;E602&amp;"'"&amp;"!A" &amp; $O$589+8 &amp; ":Z" &amp; $O$589+8),0),4),1,""),""),$O$589+8)</f>
        <v>J53</v>
      </c>
      <c r="C602" s="826" t="str">
        <f ca="1">_xlfn.CONCAT(IFERROR(SUBSTITUTE(ADDRESS(1,MATCH(A602,INDIRECT("'"&amp;E602&amp;"'"&amp;"!A" &amp; $O$589+8 &amp; ":Z" &amp; $O$589+8),0),4),1,""),""),$O$589+9)</f>
        <v>J54</v>
      </c>
      <c r="D602" s="826" t="s">
        <v>1350</v>
      </c>
      <c r="E602" s="826" t="s">
        <v>1516</v>
      </c>
      <c r="F602" s="1314" t="s">
        <v>1996</v>
      </c>
      <c r="G602" s="1314" t="str">
        <f>IF(T602&lt;&gt;"","L","")</f>
        <v/>
      </c>
      <c r="H602" s="1314" t="s">
        <v>1990</v>
      </c>
      <c r="I602" s="1274" t="str">
        <f t="shared" si="68"/>
        <v/>
      </c>
      <c r="J602" s="1314" t="str">
        <f t="shared" si="71"/>
        <v/>
      </c>
      <c r="K602" s="1314" t="str">
        <f t="shared" si="69"/>
        <v/>
      </c>
      <c r="L602" s="826" t="s">
        <v>1506</v>
      </c>
      <c r="M602" s="1329">
        <v>585</v>
      </c>
      <c r="N602" s="1314"/>
      <c r="O602" s="1311"/>
      <c r="P602" s="1311"/>
      <c r="Q602" s="1311"/>
      <c r="R602" s="1314" t="s">
        <v>851</v>
      </c>
      <c r="S602" s="1311"/>
      <c r="T602" s="1314" t="str">
        <f t="shared" si="70"/>
        <v/>
      </c>
      <c r="U602" s="1311"/>
      <c r="V602" s="1311"/>
      <c r="W602" s="1311"/>
      <c r="X602" s="1311"/>
      <c r="Y602" s="1311"/>
      <c r="Z602" s="1311"/>
    </row>
    <row r="603" spans="1:26" x14ac:dyDescent="0.25">
      <c r="A603" s="849" t="s">
        <v>1387</v>
      </c>
      <c r="B603" s="826" t="str">
        <f ca="1">_xlfn.CONCAT(IFERROR(SUBSTITUTE(ADDRESS(1,MATCH(A603,INDIRECT("'"&amp;E603&amp;"'"&amp;"!A" &amp; $O$589+5 &amp; ":Z" &amp; $O$589+5),0),4),1,""),""),$O$589+5)</f>
        <v>H50</v>
      </c>
      <c r="C603" s="826" t="str">
        <f ca="1">_xlfn.CONCAT(IFERROR(SUBSTITUTE(ADDRESS(1,MATCH(A603,INDIRECT("'"&amp;E603&amp;"'"&amp;"!A" &amp; $O$589+5 &amp; ":Z" &amp; $O$589+5),0),4),1,""),""),$O$589+6)</f>
        <v>H51</v>
      </c>
      <c r="D603" s="826" t="s">
        <v>1350</v>
      </c>
      <c r="E603" s="826" t="s">
        <v>1516</v>
      </c>
      <c r="F603" s="841" t="s">
        <v>1387</v>
      </c>
      <c r="G603" s="1314" t="str">
        <f>IF(T603&lt;&gt;"","AH","")</f>
        <v/>
      </c>
      <c r="H603" s="1314" t="s">
        <v>1990</v>
      </c>
      <c r="I603" s="1274" t="str">
        <f t="shared" si="68"/>
        <v/>
      </c>
      <c r="J603" s="1314" t="str">
        <f t="shared" si="71"/>
        <v/>
      </c>
      <c r="K603" s="1314" t="str">
        <f t="shared" si="69"/>
        <v/>
      </c>
      <c r="L603" s="826" t="s">
        <v>1387</v>
      </c>
      <c r="M603" s="1329">
        <v>586</v>
      </c>
      <c r="N603" s="1314"/>
      <c r="O603" s="1311"/>
      <c r="P603" s="1311"/>
      <c r="Q603" s="1311"/>
      <c r="R603" s="1314" t="s">
        <v>851</v>
      </c>
      <c r="S603" s="1311"/>
      <c r="T603" s="1314" t="str">
        <f t="shared" si="70"/>
        <v/>
      </c>
      <c r="U603" s="1311"/>
      <c r="V603" s="1311"/>
      <c r="W603" s="1311"/>
      <c r="X603" s="1311"/>
      <c r="Y603" s="1311"/>
      <c r="Z603" s="1311"/>
    </row>
    <row r="604" spans="1:26" x14ac:dyDescent="0.25">
      <c r="A604" s="849" t="s">
        <v>1388</v>
      </c>
      <c r="B604" s="826" t="str">
        <f ca="1">_xlfn.CONCAT(IFERROR(SUBSTITUTE(ADDRESS(1,MATCH(A604,INDIRECT("'"&amp;E604&amp;"'"&amp;"!A" &amp; $O$589+5 &amp; ":Z" &amp; $O$589+5),0),4),1,""),""),$O$589+5)</f>
        <v>J50</v>
      </c>
      <c r="C604" s="826" t="str">
        <f ca="1">_xlfn.CONCAT(IFERROR(SUBSTITUTE(ADDRESS(1,MATCH(A604,INDIRECT("'"&amp;E604&amp;"'"&amp;"!A" &amp; $O$589+5 &amp; ":Z" &amp; $O$589+5),0),4),1,""),""),$O$589+6)</f>
        <v>J51</v>
      </c>
      <c r="D604" s="826" t="s">
        <v>1350</v>
      </c>
      <c r="E604" s="826" t="s">
        <v>1516</v>
      </c>
      <c r="F604" s="841"/>
      <c r="G604" s="1314"/>
      <c r="H604" s="1314"/>
      <c r="I604" s="1274" t="str">
        <f t="shared" si="68"/>
        <v/>
      </c>
      <c r="J604" s="1314"/>
      <c r="K604" s="1314" t="str">
        <f t="shared" si="69"/>
        <v/>
      </c>
      <c r="L604" s="826" t="s">
        <v>1388</v>
      </c>
      <c r="M604" s="1329">
        <v>587</v>
      </c>
      <c r="N604" s="1314"/>
      <c r="O604" s="1311"/>
      <c r="P604" s="1311"/>
      <c r="Q604" s="1311"/>
      <c r="R604" s="1314" t="s">
        <v>851</v>
      </c>
      <c r="S604" s="1311"/>
      <c r="T604" s="1314" t="str">
        <f t="shared" si="70"/>
        <v/>
      </c>
      <c r="U604" s="1311"/>
      <c r="V604" s="1311"/>
      <c r="W604" s="1311"/>
      <c r="X604" s="1311"/>
      <c r="Y604" s="1311"/>
      <c r="Z604" s="1311"/>
    </row>
    <row r="605" spans="1:26" x14ac:dyDescent="0.25">
      <c r="A605" s="850" t="s">
        <v>1389</v>
      </c>
      <c r="B605" s="826" t="str">
        <f ca="1">_xlfn.CONCAT(IFERROR(SUBSTITUTE(ADDRESS(1,MATCH(A605,INDIRECT("'"&amp;E605&amp;"'"&amp;"!A" &amp; $O$589+5 &amp; ":Z" &amp; $O$589+5),0),4),1,""),""),$O$589+5)</f>
        <v>L50</v>
      </c>
      <c r="C605" s="826" t="str">
        <f ca="1">_xlfn.CONCAT(IFERROR(SUBSTITUTE(ADDRESS(1,MATCH(A605,INDIRECT("'"&amp;E605&amp;"'"&amp;"!A" &amp; $O$589+5 &amp; ":Z" &amp; $O$589+5),0),4),1,""),""),$O$589+6)</f>
        <v>L51</v>
      </c>
      <c r="D605" s="826" t="s">
        <v>1350</v>
      </c>
      <c r="E605" s="826" t="s">
        <v>1516</v>
      </c>
      <c r="F605" s="1314" t="s">
        <v>1912</v>
      </c>
      <c r="G605" s="1314"/>
      <c r="H605" s="1314" t="s">
        <v>1990</v>
      </c>
      <c r="I605" s="1274" t="str">
        <f t="shared" si="68"/>
        <v/>
      </c>
      <c r="J605" s="1314"/>
      <c r="K605" s="1314" t="str">
        <f t="shared" si="69"/>
        <v/>
      </c>
      <c r="L605" s="826" t="s">
        <v>1389</v>
      </c>
      <c r="M605" s="1329">
        <v>588</v>
      </c>
      <c r="N605" s="1314"/>
      <c r="O605" s="1311"/>
      <c r="P605" s="1311"/>
      <c r="Q605" s="1311"/>
      <c r="R605" s="1314" t="s">
        <v>851</v>
      </c>
      <c r="S605" s="1311"/>
      <c r="T605" s="1314" t="str">
        <f t="shared" si="70"/>
        <v/>
      </c>
      <c r="U605" s="1311"/>
      <c r="V605" s="1311"/>
      <c r="W605" s="1311"/>
      <c r="X605" s="1311"/>
      <c r="Y605" s="1311"/>
      <c r="Z605" s="1311"/>
    </row>
    <row r="606" spans="1:26" x14ac:dyDescent="0.25">
      <c r="A606" s="849" t="s">
        <v>1508</v>
      </c>
      <c r="B606" s="826" t="str">
        <f ca="1">_xlfn.CONCAT(IFERROR(SUBSTITUTE(ADDRESS(1,MATCH(A606,INDIRECT("'"&amp;E606&amp;"'"&amp;"!A" &amp; $O$589+8 &amp; ":Z" &amp; $O$589+8),0),4),1,""),""),$O$589+8)</f>
        <v>P53</v>
      </c>
      <c r="C606" s="826" t="str">
        <f ca="1">_xlfn.CONCAT(IFERROR(SUBSTITUTE(ADDRESS(1,MATCH(A606,INDIRECT("'"&amp;E606&amp;"'"&amp;"!A" &amp; $O$589+8 &amp; ":Z" &amp; $O$589+8),0),4),1,""),""),$O$589+9)</f>
        <v>P54</v>
      </c>
      <c r="D606" s="826" t="s">
        <v>1350</v>
      </c>
      <c r="E606" s="826" t="s">
        <v>1516</v>
      </c>
      <c r="F606" s="1314" t="s">
        <v>1508</v>
      </c>
      <c r="G606" s="1314" t="str">
        <f>IF(T606&lt;&gt;"","P","")</f>
        <v/>
      </c>
      <c r="H606" s="1314" t="s">
        <v>1990</v>
      </c>
      <c r="I606" s="1274" t="str">
        <f t="shared" si="68"/>
        <v/>
      </c>
      <c r="J606" s="1314" t="str">
        <f t="shared" si="71"/>
        <v/>
      </c>
      <c r="K606" s="1314" t="str">
        <f t="shared" si="69"/>
        <v/>
      </c>
      <c r="L606" s="826" t="s">
        <v>1508</v>
      </c>
      <c r="M606" s="1329">
        <v>589</v>
      </c>
      <c r="N606" s="1314"/>
      <c r="O606" s="1311"/>
      <c r="P606" s="1311"/>
      <c r="Q606" s="1311"/>
      <c r="R606" s="1314" t="s">
        <v>851</v>
      </c>
      <c r="S606" s="1311"/>
      <c r="T606" s="1314" t="str">
        <f>IF(Q$589="Yes",4,"")</f>
        <v/>
      </c>
      <c r="U606" s="1311"/>
      <c r="V606" s="1311"/>
      <c r="W606" s="1311"/>
      <c r="X606" s="1311"/>
      <c r="Y606" s="1311"/>
      <c r="Z606" s="1311"/>
    </row>
    <row r="607" spans="1:26" x14ac:dyDescent="0.25">
      <c r="A607" s="847" t="s">
        <v>1491</v>
      </c>
      <c r="B607" s="826" t="str">
        <f ca="1">IFERROR(_xlfn.CONCAT("C",MATCH(A607,INDIRECT("'"&amp;E607&amp;"'!C"&amp;$O$608&amp;":C"&amp;$O$610),0)+$O$608-1),"")</f>
        <v>C63</v>
      </c>
      <c r="C607" s="826" t="str">
        <f ca="1">IFERROR(_xlfn.CONCAT("D",MATCH(A607,INDIRECT("'"&amp;E607&amp;"'!C"&amp;$O$608&amp;":C"&amp;$O$610),0)+$O$608-1),"")</f>
        <v>D63</v>
      </c>
      <c r="D607" s="826" t="s">
        <v>1350</v>
      </c>
      <c r="E607" s="826" t="s">
        <v>1516</v>
      </c>
      <c r="F607" s="1314" t="s">
        <v>1491</v>
      </c>
      <c r="G607" s="1314" t="str">
        <f>IF(T607&lt;&gt;"","A","")</f>
        <v/>
      </c>
      <c r="H607" s="1314" t="s">
        <v>1990</v>
      </c>
      <c r="I607" s="1274" t="str">
        <f t="shared" si="68"/>
        <v/>
      </c>
      <c r="J607" s="1314"/>
      <c r="K607" s="1314" t="str">
        <f t="shared" si="69"/>
        <v/>
      </c>
      <c r="L607" s="826" t="s">
        <v>1491</v>
      </c>
      <c r="M607" s="1329">
        <v>590</v>
      </c>
      <c r="N607" s="1314"/>
      <c r="O607" s="1311" t="s">
        <v>725</v>
      </c>
      <c r="P607" s="1311"/>
      <c r="Q607" s="1311"/>
      <c r="R607" s="1314" t="s">
        <v>851</v>
      </c>
      <c r="S607" s="1311"/>
      <c r="T607" s="1314" t="str">
        <f t="shared" ref="T607:T620" si="74">IF(Q$608="Yes",5,"")</f>
        <v/>
      </c>
      <c r="U607" s="1311"/>
      <c r="V607" s="1311"/>
      <c r="W607" s="1311"/>
      <c r="X607" s="1311"/>
      <c r="Y607" s="1311"/>
      <c r="Z607" s="1311"/>
    </row>
    <row r="608" spans="1:26" x14ac:dyDescent="0.25">
      <c r="A608" s="847" t="s">
        <v>1705</v>
      </c>
      <c r="B608" s="826" t="str">
        <f ca="1">_xlfn.CONCAT(IFERROR(SUBSTITUTE(ADDRESS(1,MATCH(A608,INDIRECT("'"&amp;E608&amp;"'"&amp;"!A" &amp; $O$608 + 12 &amp; ":Z" &amp; $O$608+12),0),4),1,""),""),$O$608+12)</f>
        <v>T71</v>
      </c>
      <c r="C608" s="826" t="str">
        <f ca="1">_xlfn.CONCAT(IFERROR(SUBSTITUTE(ADDRESS(1,MATCH(A608,INDIRECT("'"&amp;E608&amp;"'"&amp;"!A" &amp; $O$608 + 12 &amp; ":Z" &amp; $O$608+12),0),4),1,""),""),$O$608+13)</f>
        <v>T72</v>
      </c>
      <c r="D608" s="826" t="s">
        <v>1350</v>
      </c>
      <c r="E608" s="826" t="s">
        <v>1516</v>
      </c>
      <c r="F608" s="1314"/>
      <c r="G608" s="1314"/>
      <c r="H608" s="1314"/>
      <c r="I608" s="1274" t="str">
        <f t="shared" si="68"/>
        <v/>
      </c>
      <c r="J608" s="1314" t="str">
        <f t="shared" ref="J608:J637" si="75">IF(M608&lt;&gt;"",IF($Q$608="Yes",Q$1&amp;M608,""))</f>
        <v/>
      </c>
      <c r="K608" s="1314" t="str">
        <f t="shared" si="69"/>
        <v/>
      </c>
      <c r="L608" s="826" t="s">
        <v>1705</v>
      </c>
      <c r="M608" s="1329">
        <v>591</v>
      </c>
      <c r="N608" s="1314"/>
      <c r="O608" s="1311">
        <f>'Configurable Tab'!H7</f>
        <v>59</v>
      </c>
      <c r="P608" s="1406" t="str">
        <f>'Configurable Tab'!J7</f>
        <v>Yes</v>
      </c>
      <c r="Q608" s="1351" t="s">
        <v>648</v>
      </c>
      <c r="R608" s="1314" t="s">
        <v>851</v>
      </c>
      <c r="S608" s="1311"/>
      <c r="T608" s="1314" t="str">
        <f t="shared" si="74"/>
        <v/>
      </c>
      <c r="U608" s="1311"/>
      <c r="V608" s="1311"/>
      <c r="W608" s="1311"/>
      <c r="X608" s="1311"/>
      <c r="Y608" s="1311"/>
      <c r="Z608" s="1311"/>
    </row>
    <row r="609" spans="1:26" x14ac:dyDescent="0.25">
      <c r="A609" s="847" t="s">
        <v>1383</v>
      </c>
      <c r="B609" s="826" t="str">
        <f ca="1">IFERROR(_xlfn.CONCAT("C",MATCH(A609,INDIRECT("'"&amp;E609&amp;"'!C"&amp;$O$589&amp;":C"&amp;$O$591),0)+$O$589-1),"")</f>
        <v>C47</v>
      </c>
      <c r="C609" s="826" t="str">
        <f ca="1">IFERROR(_xlfn.CONCAT("D",MATCH(A609,INDIRECT("'"&amp;E609&amp;"'!C"&amp;$O$608&amp;":C"&amp;$O$610),0)+$O$608-1),"")</f>
        <v>D61</v>
      </c>
      <c r="D609" s="826" t="s">
        <v>1350</v>
      </c>
      <c r="E609" s="826" t="s">
        <v>1516</v>
      </c>
      <c r="F609" s="1314" t="s">
        <v>1383</v>
      </c>
      <c r="G609" s="1314" t="str">
        <f>IF(T609&lt;&gt;"","B","")</f>
        <v/>
      </c>
      <c r="H609" s="1314" t="s">
        <v>1990</v>
      </c>
      <c r="I609" s="1274" t="str">
        <f t="shared" si="68"/>
        <v/>
      </c>
      <c r="J609" s="1314"/>
      <c r="K609" s="1314" t="str">
        <f t="shared" si="69"/>
        <v/>
      </c>
      <c r="L609" s="826" t="s">
        <v>1383</v>
      </c>
      <c r="M609" s="1329">
        <v>592</v>
      </c>
      <c r="N609" s="1314"/>
      <c r="O609" s="1311" t="s">
        <v>726</v>
      </c>
      <c r="P609" s="1311"/>
      <c r="Q609" s="1311"/>
      <c r="R609" s="1314" t="s">
        <v>851</v>
      </c>
      <c r="S609" s="1311"/>
      <c r="T609" s="1314" t="str">
        <f t="shared" si="74"/>
        <v/>
      </c>
      <c r="U609" s="1311"/>
      <c r="V609" s="1311"/>
      <c r="W609" s="1311"/>
      <c r="X609" s="1311"/>
      <c r="Y609" s="1311"/>
      <c r="Z609" s="1311"/>
    </row>
    <row r="610" spans="1:26" x14ac:dyDescent="0.25">
      <c r="A610" s="847" t="s">
        <v>1380</v>
      </c>
      <c r="B610" s="826" t="str">
        <f t="shared" ref="B610:B616" ca="1" si="76">_xlfn.CONCAT(IFERROR(SUBSTITUTE(ADDRESS(1,MATCH(A610,INDIRECT("'"&amp;E610&amp;"'"&amp;"!A" &amp; $O$608+2&amp;":Z" &amp; $O$608+2),0),4),1,""),""),$O$608+2)</f>
        <v>H61</v>
      </c>
      <c r="C610" s="826" t="str">
        <f t="shared" ref="C610:C616" ca="1" si="77">_xlfn.CONCAT(IFERROR(SUBSTITUTE(ADDRESS(1,MATCH(A610,INDIRECT("'"&amp;E610&amp;"'"&amp;"!A" &amp; $O$608+2&amp;":Z" &amp; $O$608+2),0),4),1,""),""),$O$608+3)</f>
        <v>H62</v>
      </c>
      <c r="D610" s="826" t="s">
        <v>1350</v>
      </c>
      <c r="E610" s="826" t="s">
        <v>1516</v>
      </c>
      <c r="F610" s="1314" t="s">
        <v>1991</v>
      </c>
      <c r="G610" s="1314" t="str">
        <f>IF(T610&lt;&gt;"","E","")</f>
        <v/>
      </c>
      <c r="H610" s="1314" t="s">
        <v>1990</v>
      </c>
      <c r="I610" s="1274" t="str">
        <f t="shared" si="68"/>
        <v/>
      </c>
      <c r="J610" s="1314" t="str">
        <f t="shared" si="75"/>
        <v/>
      </c>
      <c r="K610" s="1314" t="str">
        <f t="shared" si="69"/>
        <v/>
      </c>
      <c r="L610" s="826" t="s">
        <v>1380</v>
      </c>
      <c r="M610" s="1329">
        <v>593</v>
      </c>
      <c r="N610" s="1314"/>
      <c r="O610" s="1311">
        <f>'Configurable Tab'!I7</f>
        <v>74</v>
      </c>
      <c r="P610" s="1311"/>
      <c r="Q610" s="1311"/>
      <c r="R610" s="1314" t="s">
        <v>851</v>
      </c>
      <c r="S610" s="1311"/>
      <c r="T610" s="1314" t="str">
        <f t="shared" si="74"/>
        <v/>
      </c>
      <c r="U610" s="1311"/>
      <c r="V610" s="1311"/>
      <c r="W610" s="1311"/>
      <c r="X610" s="1311"/>
      <c r="Y610" s="1311"/>
      <c r="Z610" s="1311"/>
    </row>
    <row r="611" spans="1:26" x14ac:dyDescent="0.25">
      <c r="A611" s="847" t="s">
        <v>1381</v>
      </c>
      <c r="B611" s="826" t="str">
        <f t="shared" ca="1" si="76"/>
        <v>J61</v>
      </c>
      <c r="C611" s="826" t="str">
        <f t="shared" ca="1" si="77"/>
        <v>J62</v>
      </c>
      <c r="D611" s="826" t="s">
        <v>1350</v>
      </c>
      <c r="E611" s="826" t="s">
        <v>1516</v>
      </c>
      <c r="F611" s="1314" t="s">
        <v>1992</v>
      </c>
      <c r="G611" s="1314" t="str">
        <f>IF(T611&lt;&gt;"","I","")</f>
        <v/>
      </c>
      <c r="H611" s="1314" t="s">
        <v>1990</v>
      </c>
      <c r="I611" s="1274" t="str">
        <f t="shared" si="68"/>
        <v/>
      </c>
      <c r="J611" s="1314" t="str">
        <f t="shared" si="75"/>
        <v/>
      </c>
      <c r="K611" s="1314" t="str">
        <f t="shared" si="69"/>
        <v/>
      </c>
      <c r="L611" s="826" t="s">
        <v>1381</v>
      </c>
      <c r="M611" s="1329">
        <v>594</v>
      </c>
      <c r="N611" s="1314"/>
      <c r="O611" s="1311" t="s">
        <v>1636</v>
      </c>
      <c r="P611" s="1311"/>
      <c r="Q611" s="1311"/>
      <c r="R611" s="1314" t="s">
        <v>851</v>
      </c>
      <c r="S611" s="1311"/>
      <c r="T611" s="1314" t="str">
        <f t="shared" si="74"/>
        <v/>
      </c>
      <c r="U611" s="1311"/>
      <c r="V611" s="1311"/>
      <c r="W611" s="1311"/>
      <c r="X611" s="1311"/>
      <c r="Y611" s="1311"/>
      <c r="Z611" s="1311"/>
    </row>
    <row r="612" spans="1:26" x14ac:dyDescent="0.25">
      <c r="A612" s="847" t="s">
        <v>1397</v>
      </c>
      <c r="B612" s="826" t="str">
        <f t="shared" ca="1" si="76"/>
        <v>L61</v>
      </c>
      <c r="C612" s="826" t="str">
        <f t="shared" ca="1" si="77"/>
        <v>L62</v>
      </c>
      <c r="D612" s="826" t="s">
        <v>1350</v>
      </c>
      <c r="E612" s="826" t="s">
        <v>1516</v>
      </c>
      <c r="F612" s="1314" t="s">
        <v>1993</v>
      </c>
      <c r="G612" s="1314" t="str">
        <f>IF(T612&lt;&gt;"","H","")</f>
        <v/>
      </c>
      <c r="H612" s="1314" t="s">
        <v>1990</v>
      </c>
      <c r="I612" s="1274" t="str">
        <f t="shared" si="68"/>
        <v/>
      </c>
      <c r="J612" s="1314" t="str">
        <f t="shared" si="75"/>
        <v/>
      </c>
      <c r="K612" s="1314" t="str">
        <f t="shared" si="69"/>
        <v/>
      </c>
      <c r="L612" s="826" t="s">
        <v>1397</v>
      </c>
      <c r="M612" s="1329">
        <v>595</v>
      </c>
      <c r="N612" s="1314"/>
      <c r="O612" s="1311"/>
      <c r="P612" s="1311"/>
      <c r="Q612" s="1311"/>
      <c r="R612" s="1314" t="s">
        <v>851</v>
      </c>
      <c r="S612" s="1311"/>
      <c r="T612" s="1314" t="str">
        <f t="shared" si="74"/>
        <v/>
      </c>
      <c r="U612" s="1311"/>
      <c r="V612" s="1311"/>
      <c r="W612" s="1311"/>
      <c r="X612" s="1311"/>
      <c r="Y612" s="1311"/>
      <c r="Z612" s="1311"/>
    </row>
    <row r="613" spans="1:26" x14ac:dyDescent="0.25">
      <c r="A613" s="847" t="s">
        <v>1382</v>
      </c>
      <c r="B613" s="826" t="str">
        <f t="shared" ca="1" si="76"/>
        <v>N61</v>
      </c>
      <c r="C613" s="826" t="str">
        <f t="shared" ca="1" si="77"/>
        <v>N62</v>
      </c>
      <c r="D613" s="826" t="s">
        <v>1350</v>
      </c>
      <c r="E613" s="826" t="s">
        <v>1516</v>
      </c>
      <c r="F613" s="1314" t="s">
        <v>1382</v>
      </c>
      <c r="G613" s="1314" t="str">
        <f>IF(T613&lt;&gt;"",IF(Q611="Credit Memo","J",IF(Q611="Check","K","")),"")</f>
        <v/>
      </c>
      <c r="H613" s="1314" t="s">
        <v>1990</v>
      </c>
      <c r="I613" s="1274" t="str">
        <f t="shared" si="68"/>
        <v/>
      </c>
      <c r="J613" s="1314" t="str">
        <f t="shared" si="75"/>
        <v/>
      </c>
      <c r="K613" s="1314" t="str">
        <f t="shared" si="69"/>
        <v/>
      </c>
      <c r="L613" s="826" t="s">
        <v>1382</v>
      </c>
      <c r="M613" s="1329">
        <v>596</v>
      </c>
      <c r="N613" s="1314"/>
      <c r="O613" s="1311"/>
      <c r="P613" s="1311"/>
      <c r="Q613" s="1311"/>
      <c r="R613" s="1314" t="s">
        <v>851</v>
      </c>
      <c r="S613" s="1311"/>
      <c r="T613" s="1314" t="str">
        <f t="shared" si="74"/>
        <v/>
      </c>
      <c r="U613" s="1311"/>
      <c r="V613" s="1311"/>
      <c r="W613" s="1311"/>
      <c r="X613" s="1311"/>
      <c r="Y613" s="1311"/>
      <c r="Z613" s="1311"/>
    </row>
    <row r="614" spans="1:26" x14ac:dyDescent="0.25">
      <c r="A614" s="847" t="s">
        <v>1486</v>
      </c>
      <c r="B614" s="826" t="str">
        <f t="shared" ca="1" si="76"/>
        <v>P61</v>
      </c>
      <c r="C614" s="826" t="str">
        <f t="shared" ca="1" si="77"/>
        <v>P62</v>
      </c>
      <c r="D614" s="826" t="s">
        <v>1350</v>
      </c>
      <c r="E614" s="826" t="s">
        <v>1516</v>
      </c>
      <c r="F614" s="1314" t="s">
        <v>1994</v>
      </c>
      <c r="G614" s="1314" t="str">
        <f>IF(T614&lt;&gt;"","F","")</f>
        <v/>
      </c>
      <c r="H614" s="1314" t="s">
        <v>1990</v>
      </c>
      <c r="I614" s="1274" t="str">
        <f t="shared" si="68"/>
        <v/>
      </c>
      <c r="J614" s="1314" t="str">
        <f t="shared" si="75"/>
        <v/>
      </c>
      <c r="K614" s="1314" t="str">
        <f t="shared" si="69"/>
        <v/>
      </c>
      <c r="L614" s="826" t="s">
        <v>1486</v>
      </c>
      <c r="M614" s="1329">
        <v>597</v>
      </c>
      <c r="N614" s="1314"/>
      <c r="O614" s="1311"/>
      <c r="P614" s="1311"/>
      <c r="Q614" s="1311"/>
      <c r="R614" s="1314" t="s">
        <v>851</v>
      </c>
      <c r="S614" s="1311"/>
      <c r="T614" s="1314" t="str">
        <f t="shared" si="74"/>
        <v/>
      </c>
      <c r="U614" s="1311"/>
      <c r="V614" s="1311"/>
      <c r="W614" s="1311"/>
      <c r="X614" s="1311"/>
      <c r="Y614" s="1311"/>
      <c r="Z614" s="1311"/>
    </row>
    <row r="615" spans="1:26" x14ac:dyDescent="0.25">
      <c r="A615" s="847" t="s">
        <v>1487</v>
      </c>
      <c r="B615" s="826" t="str">
        <f t="shared" ca="1" si="76"/>
        <v>R61</v>
      </c>
      <c r="C615" s="826" t="str">
        <f t="shared" ca="1" si="77"/>
        <v>R62</v>
      </c>
      <c r="D615" s="826" t="s">
        <v>1350</v>
      </c>
      <c r="E615" s="826" t="s">
        <v>1516</v>
      </c>
      <c r="F615" s="1314" t="s">
        <v>1995</v>
      </c>
      <c r="G615" s="1314" t="str">
        <f>IF(T615&lt;&gt;"","G","")</f>
        <v/>
      </c>
      <c r="H615" s="1314" t="s">
        <v>1990</v>
      </c>
      <c r="I615" s="1274" t="str">
        <f t="shared" si="68"/>
        <v/>
      </c>
      <c r="J615" s="1314" t="str">
        <f t="shared" si="75"/>
        <v/>
      </c>
      <c r="K615" s="1314" t="str">
        <f t="shared" si="69"/>
        <v/>
      </c>
      <c r="L615" s="826" t="s">
        <v>1487</v>
      </c>
      <c r="M615" s="1329">
        <v>598</v>
      </c>
      <c r="N615" s="1314"/>
      <c r="O615" s="1311"/>
      <c r="P615" s="1311"/>
      <c r="Q615" s="1311"/>
      <c r="R615" s="1314" t="s">
        <v>851</v>
      </c>
      <c r="S615" s="1311"/>
      <c r="T615" s="1314" t="str">
        <f t="shared" si="74"/>
        <v/>
      </c>
      <c r="U615" s="1311"/>
      <c r="V615" s="1311"/>
      <c r="W615" s="1311"/>
      <c r="X615" s="1311"/>
      <c r="Y615" s="1311"/>
      <c r="Z615" s="1311"/>
    </row>
    <row r="616" spans="1:26" x14ac:dyDescent="0.25">
      <c r="A616" s="847" t="s">
        <v>1488</v>
      </c>
      <c r="B616" s="826" t="str">
        <f t="shared" ca="1" si="76"/>
        <v>T61</v>
      </c>
      <c r="C616" s="826" t="str">
        <f t="shared" ca="1" si="77"/>
        <v>T62</v>
      </c>
      <c r="D616" s="826" t="s">
        <v>1350</v>
      </c>
      <c r="E616" s="826" t="s">
        <v>1516</v>
      </c>
      <c r="F616" s="841" t="s">
        <v>1488</v>
      </c>
      <c r="G616" s="1314" t="str">
        <f>IF(T616&lt;&gt;"","AW","")</f>
        <v/>
      </c>
      <c r="H616" s="1314" t="s">
        <v>1990</v>
      </c>
      <c r="I616" s="1274" t="str">
        <f t="shared" si="68"/>
        <v/>
      </c>
      <c r="J616" s="1314" t="str">
        <f t="shared" si="75"/>
        <v/>
      </c>
      <c r="K616" s="1314" t="str">
        <f t="shared" si="69"/>
        <v/>
      </c>
      <c r="L616" s="826" t="s">
        <v>1488</v>
      </c>
      <c r="M616" s="1329">
        <v>599</v>
      </c>
      <c r="N616" s="1314"/>
      <c r="O616" s="1311"/>
      <c r="P616" s="1311"/>
      <c r="Q616" s="1311"/>
      <c r="R616" s="1314" t="s">
        <v>851</v>
      </c>
      <c r="S616" s="1311"/>
      <c r="T616" s="1314" t="str">
        <f t="shared" si="74"/>
        <v/>
      </c>
      <c r="U616" s="1311"/>
      <c r="V616" s="1311"/>
      <c r="W616" s="1311"/>
      <c r="X616" s="1311"/>
      <c r="Y616" s="1311"/>
      <c r="Z616" s="1311"/>
    </row>
    <row r="617" spans="1:26" x14ac:dyDescent="0.25">
      <c r="A617" s="847" t="s">
        <v>1385</v>
      </c>
      <c r="B617" s="826" t="str">
        <f ca="1">IFERROR(_xlfn.CONCAT("C",MATCH(A617,INDIRECT("'"&amp;E617&amp;"'!C"&amp;$O$608&amp;":C"&amp;$O$610),0)+$O$608-1),"")</f>
        <v>C65</v>
      </c>
      <c r="C617" s="826" t="str">
        <f ca="1">IFERROR(_xlfn.CONCAT("D",MATCH(A617,INDIRECT("'"&amp;E617&amp;"'!C"&amp;$O$608&amp;":C"&amp;$O$610),0)+$O$608-1),"")</f>
        <v>D65</v>
      </c>
      <c r="D617" s="826" t="s">
        <v>1350</v>
      </c>
      <c r="E617" s="826" t="s">
        <v>1516</v>
      </c>
      <c r="F617" s="1314" t="s">
        <v>1385</v>
      </c>
      <c r="G617" s="1314" t="str">
        <f>IF(T617&lt;&gt;"","C","")</f>
        <v/>
      </c>
      <c r="H617" s="1314" t="s">
        <v>1990</v>
      </c>
      <c r="I617" s="1274" t="str">
        <f t="shared" si="68"/>
        <v/>
      </c>
      <c r="J617" s="1314"/>
      <c r="K617" s="1314" t="str">
        <f t="shared" si="69"/>
        <v/>
      </c>
      <c r="L617" s="826" t="s">
        <v>1385</v>
      </c>
      <c r="M617" s="1329">
        <v>600</v>
      </c>
      <c r="N617" s="1314"/>
      <c r="O617" s="1311"/>
      <c r="P617" s="1311"/>
      <c r="Q617" s="1311"/>
      <c r="R617" s="1314" t="s">
        <v>851</v>
      </c>
      <c r="S617" s="1311"/>
      <c r="T617" s="1314" t="str">
        <f t="shared" si="74"/>
        <v/>
      </c>
      <c r="U617" s="1311"/>
      <c r="V617" s="1311"/>
      <c r="W617" s="1311"/>
      <c r="X617" s="1311"/>
      <c r="Y617" s="1311"/>
      <c r="Z617" s="1311"/>
    </row>
    <row r="618" spans="1:26" x14ac:dyDescent="0.25">
      <c r="A618" s="847" t="s">
        <v>1386</v>
      </c>
      <c r="B618" s="826" t="str">
        <f ca="1">IFERROR(_xlfn.CONCAT("C",MATCH(A618,INDIRECT("'"&amp;E618&amp;"'!C"&amp;$O$608&amp;":C"&amp;$O$610),0)+$O$608-1),"")</f>
        <v>C67</v>
      </c>
      <c r="C618" s="826" t="str">
        <f ca="1">IFERROR(_xlfn.CONCAT("D",MATCH(A618,INDIRECT("'"&amp;E618&amp;"'!C"&amp;$O$608&amp;":C"&amp;$O$610),0)+$O$608-1),"")</f>
        <v>D67</v>
      </c>
      <c r="D618" s="826" t="s">
        <v>1350</v>
      </c>
      <c r="E618" s="826" t="s">
        <v>1516</v>
      </c>
      <c r="F618" s="1314" t="s">
        <v>1386</v>
      </c>
      <c r="G618" s="1314" t="str">
        <f>IF(T618&lt;&gt;"","D","")</f>
        <v/>
      </c>
      <c r="H618" s="1314" t="s">
        <v>1990</v>
      </c>
      <c r="I618" s="1274" t="str">
        <f t="shared" si="68"/>
        <v/>
      </c>
      <c r="J618" s="1314"/>
      <c r="K618" s="1314" t="str">
        <f t="shared" si="69"/>
        <v/>
      </c>
      <c r="L618" s="826" t="s">
        <v>1386</v>
      </c>
      <c r="M618" s="1329">
        <v>601</v>
      </c>
      <c r="N618" s="1314"/>
      <c r="O618" s="1311"/>
      <c r="P618" s="1311"/>
      <c r="Q618" s="1311"/>
      <c r="R618" s="1314" t="s">
        <v>851</v>
      </c>
      <c r="S618" s="1311"/>
      <c r="T618" s="1314" t="str">
        <f t="shared" si="74"/>
        <v/>
      </c>
      <c r="U618" s="1311"/>
      <c r="V618" s="1311"/>
      <c r="W618" s="1311"/>
      <c r="X618" s="1311"/>
      <c r="Y618" s="1311"/>
      <c r="Z618" s="1311"/>
    </row>
    <row r="619" spans="1:26" x14ac:dyDescent="0.25">
      <c r="A619" s="847" t="s">
        <v>1495</v>
      </c>
      <c r="B619" s="826" t="str">
        <f ca="1">IFERROR(_xlfn.CONCAT("C",MATCH(A619,INDIRECT("'"&amp;E619&amp;"'!C"&amp;$O$608&amp;":C"&amp;$O$610),0)+$O$608-1),"")</f>
        <v>C71</v>
      </c>
      <c r="C619" s="826" t="str">
        <f ca="1">IFERROR(_xlfn.CONCAT("D",MATCH(A619,INDIRECT("'"&amp;E619&amp;"'!C"&amp;$O$608&amp;":C"&amp;$O$610),0)+$O$608-1),"")</f>
        <v>D71</v>
      </c>
      <c r="D619" s="826" t="s">
        <v>1350</v>
      </c>
      <c r="E619" s="826" t="s">
        <v>1516</v>
      </c>
      <c r="F619" s="1314" t="s">
        <v>1495</v>
      </c>
      <c r="G619" s="1314" t="str">
        <f>IF(T619&lt;&gt;"","AN","")</f>
        <v/>
      </c>
      <c r="H619" s="1314" t="s">
        <v>1990</v>
      </c>
      <c r="I619" s="1274" t="str">
        <f t="shared" si="68"/>
        <v/>
      </c>
      <c r="J619" s="1314" t="str">
        <f t="shared" si="75"/>
        <v/>
      </c>
      <c r="K619" s="1314" t="str">
        <f t="shared" si="69"/>
        <v/>
      </c>
      <c r="L619" s="826" t="s">
        <v>1495</v>
      </c>
      <c r="M619" s="1329">
        <v>602</v>
      </c>
      <c r="N619" s="1314"/>
      <c r="O619" s="1405"/>
      <c r="P619" s="1317" t="str" cm="1">
        <f t="array" aca="1" ref="P619" ca="1">_xlfn.CONCAT("F",RIGHT(B619, LEN(B619) - MAX(IF(ISNUMBER(MID(B619, ROW(INDIRECT("1:"&amp;LEN(B619))), 1) *1)=FALSE, ROW(INDIRECT("1:"&amp;LEN(B619))), 0))))</f>
        <v>F71</v>
      </c>
      <c r="Q619" s="1314" t="str" cm="1">
        <f t="array" aca="1" ref="Q619" ca="1">_xlfn.CONCAT("E",RIGHT(C619, LEN(C619) - MAX(IF(ISNUMBER(MID(C619, ROW(INDIRECT("1:"&amp;LEN(C619))), 1) *1)=FALSE, ROW(INDIRECT("1:"&amp;LEN(C619))), 0))))</f>
        <v>E71</v>
      </c>
      <c r="R619" s="1314" t="s">
        <v>851</v>
      </c>
      <c r="S619" s="1311"/>
      <c r="T619" s="1314" t="str">
        <f t="shared" si="74"/>
        <v/>
      </c>
      <c r="U619" s="1311"/>
      <c r="V619" s="1311"/>
      <c r="W619" s="1311"/>
      <c r="X619" s="1311"/>
      <c r="Y619" s="1311"/>
      <c r="Z619" s="1311"/>
    </row>
    <row r="620" spans="1:26" x14ac:dyDescent="0.25">
      <c r="A620" s="847" t="s">
        <v>1492</v>
      </c>
      <c r="B620" s="826" t="str">
        <f ca="1">_xlfn.CONCAT(IFERROR(SUBSTITUTE(ADDRESS(1,MATCH(A620,INDIRECT("'"&amp;E620&amp;"'"&amp;"!A" &amp; $O$608 + 12 &amp; ":Z" &amp; $O$608+12),0),4),1,""),""),$O$608+12)</f>
        <v>H71</v>
      </c>
      <c r="C620" s="826" t="str">
        <f ca="1">_xlfn.CONCAT(IFERROR(SUBSTITUTE(ADDRESS(1,MATCH(A620,INDIRECT("'"&amp;E620&amp;"'"&amp;"!A" &amp; $O$608 + 12 &amp; ":Z" &amp; $O$608+12),0),4),1,""),""),$O$608+13)</f>
        <v>H72</v>
      </c>
      <c r="D620" s="826" t="s">
        <v>1350</v>
      </c>
      <c r="E620" s="826" t="s">
        <v>1516</v>
      </c>
      <c r="F620" s="1314" t="s">
        <v>1492</v>
      </c>
      <c r="G620" s="1314" t="str">
        <f>IF(T620&lt;&gt;"","AL","")</f>
        <v/>
      </c>
      <c r="H620" s="1314" t="s">
        <v>1990</v>
      </c>
      <c r="I620" s="1274" t="str">
        <f t="shared" si="68"/>
        <v/>
      </c>
      <c r="J620" s="1314" t="str">
        <f t="shared" si="75"/>
        <v/>
      </c>
      <c r="K620" s="1314" t="str">
        <f t="shared" si="69"/>
        <v/>
      </c>
      <c r="L620" s="826" t="s">
        <v>1492</v>
      </c>
      <c r="M620" s="1329">
        <v>603</v>
      </c>
      <c r="N620" s="1314"/>
      <c r="O620" s="1311"/>
      <c r="P620" s="1311"/>
      <c r="Q620" s="1311"/>
      <c r="R620" s="1314" t="s">
        <v>851</v>
      </c>
      <c r="S620" s="1311"/>
      <c r="T620" s="1314" t="str">
        <f t="shared" si="74"/>
        <v/>
      </c>
      <c r="U620" s="1311"/>
      <c r="V620" s="1311"/>
      <c r="W620" s="1311"/>
      <c r="X620" s="1311"/>
      <c r="Y620" s="1311"/>
      <c r="Z620" s="1311"/>
    </row>
    <row r="621" spans="1:26" x14ac:dyDescent="0.25">
      <c r="A621" s="847" t="s">
        <v>1506</v>
      </c>
      <c r="B621" s="826" t="str">
        <f ca="1">_xlfn.CONCAT(IFERROR(SUBSTITUTE(ADDRESS(1,MATCH(A621,INDIRECT("'"&amp;E621&amp;"'"&amp;"!A" &amp; $O$608 + 12 &amp; ":Z" &amp; $O$608+12),0),4),1,""),""),$O$608+12)</f>
        <v>J71</v>
      </c>
      <c r="C621" s="826" t="str">
        <f ca="1">_xlfn.CONCAT(IFERROR(SUBSTITUTE(ADDRESS(1,MATCH(A621,INDIRECT("'"&amp;E621&amp;"'"&amp;"!A" &amp; $O$608 + 12 &amp; ":Z" &amp; $O$608+12),0),4),1,""),""),$O$608+13)</f>
        <v>J72</v>
      </c>
      <c r="D621" s="826" t="s">
        <v>1350</v>
      </c>
      <c r="E621" s="826" t="s">
        <v>1516</v>
      </c>
      <c r="F621" s="1314" t="s">
        <v>1996</v>
      </c>
      <c r="G621" s="1314" t="str">
        <f>IF(T621&lt;&gt;"","L","")</f>
        <v/>
      </c>
      <c r="H621" s="1314" t="s">
        <v>1990</v>
      </c>
      <c r="I621" s="1274" t="str">
        <f t="shared" si="68"/>
        <v/>
      </c>
      <c r="J621" s="1314" t="str">
        <f t="shared" si="75"/>
        <v/>
      </c>
      <c r="K621" s="1314" t="str">
        <f t="shared" si="69"/>
        <v/>
      </c>
      <c r="L621" s="826" t="s">
        <v>1506</v>
      </c>
      <c r="M621" s="1329">
        <v>604</v>
      </c>
      <c r="N621" s="1314"/>
      <c r="O621" s="1311"/>
      <c r="P621" s="1311"/>
      <c r="Q621" s="1311"/>
      <c r="R621" s="1314" t="s">
        <v>851</v>
      </c>
      <c r="S621" s="1311"/>
      <c r="T621" s="1314" t="str">
        <f>IF(Q$608="Yes",5,"")</f>
        <v/>
      </c>
      <c r="U621" s="1311"/>
      <c r="V621" s="1311"/>
      <c r="W621" s="1311"/>
      <c r="X621" s="1311"/>
      <c r="Y621" s="1311"/>
      <c r="Z621" s="1311"/>
    </row>
    <row r="622" spans="1:26" x14ac:dyDescent="0.25">
      <c r="A622" s="847" t="s">
        <v>1387</v>
      </c>
      <c r="B622" s="826" t="str">
        <f ca="1">_xlfn.IFNA(_xlfn.CONCAT(SUBSTITUTE(ADDRESS(1,MATCH(A622,INDIRECT("'"&amp;E622&amp;"'"&amp;"!A" &amp; $O$608+5 &amp; ":Z" &amp; $O$608+5),0),4),1,""),$O$608+6),"")</f>
        <v>H65</v>
      </c>
      <c r="C622" s="826" t="str">
        <f ca="1">_xlfn.IFNA(SUBSTITUTE(ADDRESS(1,MATCH(A622,INDIRECT("'"&amp;E622&amp;"'"&amp;"!A" &amp; O$608+5 &amp; ":Z" &amp; O$608+5),0),4),1,""),"")</f>
        <v>H</v>
      </c>
      <c r="D622" s="826" t="s">
        <v>1357</v>
      </c>
      <c r="E622" s="826" t="s">
        <v>1516</v>
      </c>
      <c r="F622" s="841"/>
      <c r="G622" s="1314"/>
      <c r="H622" s="1314"/>
      <c r="I622" s="1274" t="str">
        <f t="shared" si="68"/>
        <v/>
      </c>
      <c r="J622" s="1314" t="str">
        <f t="shared" si="75"/>
        <v/>
      </c>
      <c r="K622" s="1314" t="str">
        <f t="shared" si="69"/>
        <v/>
      </c>
      <c r="L622" s="826" t="s">
        <v>1387</v>
      </c>
      <c r="M622" s="1329">
        <v>605</v>
      </c>
      <c r="N622" s="1314"/>
      <c r="O622" s="1311"/>
      <c r="P622" s="1311"/>
      <c r="Q622" s="1311"/>
      <c r="R622" s="1314" t="s">
        <v>851</v>
      </c>
      <c r="S622" s="1311"/>
      <c r="T622" s="1314" t="str">
        <f t="shared" ref="T622:T637" si="78">IF(Q$608="Yes",5,"")</f>
        <v/>
      </c>
      <c r="U622" s="1311"/>
      <c r="V622" s="1311"/>
      <c r="W622" s="1311"/>
      <c r="X622" s="1311"/>
      <c r="Y622" s="1311"/>
      <c r="Z622" s="1311"/>
    </row>
    <row r="623" spans="1:26" x14ac:dyDescent="0.25">
      <c r="A623" s="847" t="s">
        <v>1388</v>
      </c>
      <c r="B623" s="826" t="str">
        <f ca="1">_xlfn.IFNA(_xlfn.CONCAT(SUBSTITUTE(ADDRESS(1,MATCH(A623,INDIRECT("'"&amp;E623&amp;"'"&amp;"!A" &amp; $O$608+5 &amp; ":Z" &amp; $O$608+5),0),4),1,""),$O$608+6),"")</f>
        <v>J65</v>
      </c>
      <c r="C623" s="826" t="str">
        <f t="shared" ref="C623:C636" ca="1" si="79">_xlfn.IFNA(SUBSTITUTE(ADDRESS(1,MATCH(A623,INDIRECT("'"&amp;E623&amp;"'"&amp;"!A" &amp; O$608+5 &amp; ":Z" &amp; O$608+5),0),4),1,""),"")</f>
        <v>J</v>
      </c>
      <c r="D623" s="826" t="s">
        <v>1357</v>
      </c>
      <c r="E623" s="826" t="s">
        <v>1516</v>
      </c>
      <c r="F623" s="841"/>
      <c r="G623" s="1314"/>
      <c r="H623" s="1314"/>
      <c r="I623" s="1274" t="str">
        <f t="shared" si="68"/>
        <v/>
      </c>
      <c r="J623" s="1314"/>
      <c r="K623" s="1314" t="str">
        <f t="shared" si="69"/>
        <v/>
      </c>
      <c r="L623" s="826" t="s">
        <v>1388</v>
      </c>
      <c r="M623" s="1329">
        <v>606</v>
      </c>
      <c r="N623" s="1314"/>
      <c r="O623" s="1311"/>
      <c r="P623" s="1311"/>
      <c r="Q623" s="1311"/>
      <c r="R623" s="1314" t="s">
        <v>851</v>
      </c>
      <c r="S623" s="1311"/>
      <c r="T623" s="1314" t="str">
        <f t="shared" si="78"/>
        <v/>
      </c>
      <c r="U623" s="1311"/>
      <c r="V623" s="1311"/>
      <c r="W623" s="1311"/>
      <c r="X623" s="1311"/>
      <c r="Y623" s="1311"/>
      <c r="Z623" s="1311"/>
    </row>
    <row r="624" spans="1:26" x14ac:dyDescent="0.25">
      <c r="A624" s="847" t="s">
        <v>1389</v>
      </c>
      <c r="B624" s="826" t="str">
        <f ca="1">_xlfn.IFNA(_xlfn.CONCAT(SUBSTITUTE(ADDRESS(1,MATCH(A624,INDIRECT("'"&amp;E624&amp;"'"&amp;"!A" &amp; $O$608+5 &amp; ":Z" &amp; $O$608+5),0),4),1,""),$O$608+6),"")</f>
        <v>L65</v>
      </c>
      <c r="C624" s="826" t="str">
        <f t="shared" ca="1" si="79"/>
        <v>L</v>
      </c>
      <c r="D624" s="826" t="s">
        <v>1357</v>
      </c>
      <c r="E624" s="826" t="s">
        <v>1516</v>
      </c>
      <c r="F624" s="1081"/>
      <c r="G624" s="1314"/>
      <c r="H624" s="1314"/>
      <c r="I624" s="1274" t="str">
        <f t="shared" si="68"/>
        <v/>
      </c>
      <c r="J624" s="1314"/>
      <c r="K624" s="1314" t="str">
        <f t="shared" si="69"/>
        <v/>
      </c>
      <c r="L624" s="826" t="s">
        <v>1389</v>
      </c>
      <c r="M624" s="1329">
        <v>607</v>
      </c>
      <c r="N624" s="1314"/>
      <c r="O624" s="1311"/>
      <c r="P624" s="1311"/>
      <c r="Q624" s="1311"/>
      <c r="R624" s="1314" t="s">
        <v>851</v>
      </c>
      <c r="S624" s="1311"/>
      <c r="T624" s="1314" t="str">
        <f t="shared" si="78"/>
        <v/>
      </c>
      <c r="U624" s="1311"/>
      <c r="V624" s="1311"/>
      <c r="W624" s="1311"/>
      <c r="X624" s="1311"/>
      <c r="Y624" s="1311"/>
      <c r="Z624" s="1311"/>
    </row>
    <row r="625" spans="1:26" x14ac:dyDescent="0.25">
      <c r="A625" s="847" t="s">
        <v>1387</v>
      </c>
      <c r="B625" s="826" t="str">
        <f ca="1">_xlfn.IFNA(_xlfn.CONCAT(SUBSTITUTE(ADDRESS(1,MATCH(A625,INDIRECT("'"&amp;E625&amp;"'"&amp;"!A" &amp; $O$608+5 &amp; ":Z" &amp; $O$608+5),0),4),1,""),$O$608+7),"")</f>
        <v>H66</v>
      </c>
      <c r="C625" s="826" t="str">
        <f t="shared" ca="1" si="79"/>
        <v>H</v>
      </c>
      <c r="D625" s="826" t="s">
        <v>1357</v>
      </c>
      <c r="E625" s="826" t="s">
        <v>1516</v>
      </c>
      <c r="F625" s="1314"/>
      <c r="G625" s="1314"/>
      <c r="H625" s="1314"/>
      <c r="I625" s="1274" t="str">
        <f t="shared" si="68"/>
        <v/>
      </c>
      <c r="J625" s="1314" t="str">
        <f t="shared" si="75"/>
        <v/>
      </c>
      <c r="K625" s="1314" t="str">
        <f t="shared" si="69"/>
        <v/>
      </c>
      <c r="L625" s="826" t="s">
        <v>1387</v>
      </c>
      <c r="M625" s="1329">
        <v>608</v>
      </c>
      <c r="N625" s="1314"/>
      <c r="O625" s="1311"/>
      <c r="P625" s="1311"/>
      <c r="Q625" s="1311"/>
      <c r="R625" s="1314" t="s">
        <v>851</v>
      </c>
      <c r="S625" s="1311"/>
      <c r="T625" s="1314" t="str">
        <f t="shared" si="78"/>
        <v/>
      </c>
      <c r="U625" s="1311"/>
      <c r="V625" s="1311"/>
      <c r="W625" s="1311"/>
      <c r="X625" s="1311"/>
      <c r="Y625" s="1311"/>
      <c r="Z625" s="1311"/>
    </row>
    <row r="626" spans="1:26" x14ac:dyDescent="0.25">
      <c r="A626" s="847" t="s">
        <v>1388</v>
      </c>
      <c r="B626" s="826" t="str">
        <f ca="1">_xlfn.IFNA(_xlfn.CONCAT(SUBSTITUTE(ADDRESS(1,MATCH(A626,INDIRECT("'"&amp;E626&amp;"'"&amp;"!A" &amp; $O$608+5 &amp; ":Z" &amp; $O$608+5),0),4),1,""),$O$608+7),"")</f>
        <v>J66</v>
      </c>
      <c r="C626" s="826" t="str">
        <f t="shared" ca="1" si="79"/>
        <v>J</v>
      </c>
      <c r="D626" s="826" t="s">
        <v>1357</v>
      </c>
      <c r="E626" s="826" t="s">
        <v>1516</v>
      </c>
      <c r="F626" s="1314"/>
      <c r="G626" s="1314"/>
      <c r="H626" s="1314"/>
      <c r="I626" s="1274" t="str">
        <f t="shared" si="68"/>
        <v/>
      </c>
      <c r="J626" s="1314"/>
      <c r="K626" s="1314" t="str">
        <f t="shared" si="69"/>
        <v/>
      </c>
      <c r="L626" s="826" t="s">
        <v>1388</v>
      </c>
      <c r="M626" s="1329">
        <v>609</v>
      </c>
      <c r="N626" s="1314"/>
      <c r="O626" s="1311"/>
      <c r="P626" s="1311"/>
      <c r="Q626" s="1311"/>
      <c r="R626" s="1314" t="s">
        <v>851</v>
      </c>
      <c r="S626" s="1311"/>
      <c r="T626" s="1314" t="str">
        <f t="shared" si="78"/>
        <v/>
      </c>
      <c r="U626" s="1311"/>
      <c r="V626" s="1311"/>
      <c r="W626" s="1311"/>
      <c r="X626" s="1311"/>
      <c r="Y626" s="1311"/>
      <c r="Z626" s="1311"/>
    </row>
    <row r="627" spans="1:26" x14ac:dyDescent="0.25">
      <c r="A627" s="847" t="s">
        <v>1389</v>
      </c>
      <c r="B627" s="826" t="str">
        <f ca="1">_xlfn.IFNA(_xlfn.CONCAT(SUBSTITUTE(ADDRESS(1,MATCH(A627,INDIRECT("'"&amp;E627&amp;"'"&amp;"!A" &amp; $O$608+5 &amp; ":Z" &amp; $O$608+5),0),4),1,""),$O$608+7),"")</f>
        <v>L66</v>
      </c>
      <c r="C627" s="826" t="str">
        <f t="shared" ca="1" si="79"/>
        <v>L</v>
      </c>
      <c r="D627" s="826" t="s">
        <v>1357</v>
      </c>
      <c r="E627" s="826" t="s">
        <v>1516</v>
      </c>
      <c r="F627" s="1314"/>
      <c r="G627" s="1314"/>
      <c r="H627" s="1314"/>
      <c r="I627" s="1274" t="str">
        <f t="shared" si="68"/>
        <v/>
      </c>
      <c r="J627" s="1314"/>
      <c r="K627" s="1314" t="str">
        <f t="shared" si="69"/>
        <v/>
      </c>
      <c r="L627" s="826" t="s">
        <v>1389</v>
      </c>
      <c r="M627" s="1329">
        <v>610</v>
      </c>
      <c r="N627" s="1314"/>
      <c r="O627" s="1311"/>
      <c r="P627" s="1311"/>
      <c r="Q627" s="1311"/>
      <c r="R627" s="1314" t="s">
        <v>851</v>
      </c>
      <c r="S627" s="1311"/>
      <c r="T627" s="1314" t="str">
        <f t="shared" si="78"/>
        <v/>
      </c>
      <c r="U627" s="1311"/>
      <c r="V627" s="1311"/>
      <c r="W627" s="1311"/>
      <c r="X627" s="1311"/>
      <c r="Y627" s="1311"/>
      <c r="Z627" s="1311"/>
    </row>
    <row r="628" spans="1:26" x14ac:dyDescent="0.25">
      <c r="A628" s="847" t="s">
        <v>1387</v>
      </c>
      <c r="B628" s="826" t="str">
        <f ca="1">_xlfn.IFNA(_xlfn.CONCAT(SUBSTITUTE(ADDRESS(1,MATCH(A628,INDIRECT("'"&amp;E628&amp;"'"&amp;"!A" &amp; $O$608+5 &amp; ":Z" &amp; $O$608+5),0),4),1,""),$O$608+8),"")</f>
        <v>H67</v>
      </c>
      <c r="C628" s="826" t="str">
        <f t="shared" ca="1" si="79"/>
        <v>H</v>
      </c>
      <c r="D628" s="826" t="s">
        <v>1357</v>
      </c>
      <c r="E628" s="826" t="s">
        <v>1516</v>
      </c>
      <c r="F628" s="1314"/>
      <c r="G628" s="1314"/>
      <c r="H628" s="1314"/>
      <c r="I628" s="1274" t="str">
        <f t="shared" si="68"/>
        <v/>
      </c>
      <c r="J628" s="1314" t="str">
        <f t="shared" si="75"/>
        <v/>
      </c>
      <c r="K628" s="1314" t="str">
        <f t="shared" si="69"/>
        <v/>
      </c>
      <c r="L628" s="826" t="s">
        <v>1387</v>
      </c>
      <c r="M628" s="1329">
        <v>611</v>
      </c>
      <c r="N628" s="1314"/>
      <c r="O628" s="1311"/>
      <c r="P628" s="1311"/>
      <c r="Q628" s="1311"/>
      <c r="R628" s="1314" t="s">
        <v>851</v>
      </c>
      <c r="S628" s="1311"/>
      <c r="T628" s="1314" t="str">
        <f t="shared" si="78"/>
        <v/>
      </c>
      <c r="U628" s="1311"/>
      <c r="V628" s="1311"/>
      <c r="W628" s="1311"/>
      <c r="X628" s="1311"/>
      <c r="Y628" s="1311"/>
      <c r="Z628" s="1311"/>
    </row>
    <row r="629" spans="1:26" x14ac:dyDescent="0.25">
      <c r="A629" s="847" t="s">
        <v>1388</v>
      </c>
      <c r="B629" s="826" t="str">
        <f ca="1">_xlfn.IFNA(_xlfn.CONCAT(SUBSTITUTE(ADDRESS(1,MATCH(A629,INDIRECT("'"&amp;E629&amp;"'"&amp;"!A" &amp; $O$608+5 &amp; ":Z" &amp; $O$608+5),0),4),1,""),$O$608+8),"")</f>
        <v>J67</v>
      </c>
      <c r="C629" s="826" t="str">
        <f t="shared" ca="1" si="79"/>
        <v>J</v>
      </c>
      <c r="D629" s="826" t="s">
        <v>1357</v>
      </c>
      <c r="E629" s="826" t="s">
        <v>1516</v>
      </c>
      <c r="F629" s="1314"/>
      <c r="G629" s="1314"/>
      <c r="H629" s="1314"/>
      <c r="I629" s="1274" t="str">
        <f t="shared" si="68"/>
        <v/>
      </c>
      <c r="J629" s="1314"/>
      <c r="K629" s="1314" t="str">
        <f t="shared" si="69"/>
        <v/>
      </c>
      <c r="L629" s="826" t="s">
        <v>1388</v>
      </c>
      <c r="M629" s="1329">
        <v>612</v>
      </c>
      <c r="N629" s="1314"/>
      <c r="O629" s="1311"/>
      <c r="P629" s="1311"/>
      <c r="Q629" s="1311"/>
      <c r="R629" s="1314" t="s">
        <v>851</v>
      </c>
      <c r="S629" s="1311"/>
      <c r="T629" s="1314" t="str">
        <f t="shared" si="78"/>
        <v/>
      </c>
      <c r="U629" s="1311"/>
      <c r="V629" s="1311"/>
      <c r="W629" s="1311"/>
      <c r="X629" s="1311"/>
      <c r="Y629" s="1311"/>
      <c r="Z629" s="1311"/>
    </row>
    <row r="630" spans="1:26" x14ac:dyDescent="0.25">
      <c r="A630" s="847" t="s">
        <v>1389</v>
      </c>
      <c r="B630" s="826" t="str">
        <f ca="1">_xlfn.IFNA(_xlfn.CONCAT(SUBSTITUTE(ADDRESS(1,MATCH(A630,INDIRECT("'"&amp;E630&amp;"'"&amp;"!A" &amp; $O$608+5 &amp; ":Z" &amp; $O$608+5),0),4),1,""),$O$608+8),"")</f>
        <v>L67</v>
      </c>
      <c r="C630" s="826" t="str">
        <f t="shared" ca="1" si="79"/>
        <v>L</v>
      </c>
      <c r="D630" s="826" t="s">
        <v>1357</v>
      </c>
      <c r="E630" s="826" t="s">
        <v>1516</v>
      </c>
      <c r="F630" s="1314"/>
      <c r="G630" s="1314"/>
      <c r="H630" s="1314"/>
      <c r="I630" s="1274" t="str">
        <f t="shared" si="68"/>
        <v/>
      </c>
      <c r="J630" s="1314"/>
      <c r="K630" s="1314" t="str">
        <f t="shared" si="69"/>
        <v/>
      </c>
      <c r="L630" s="826" t="s">
        <v>1389</v>
      </c>
      <c r="M630" s="1329">
        <v>613</v>
      </c>
      <c r="N630" s="1314"/>
      <c r="O630" s="1311"/>
      <c r="P630" s="1311"/>
      <c r="Q630" s="1311"/>
      <c r="R630" s="1314" t="s">
        <v>851</v>
      </c>
      <c r="S630" s="1311"/>
      <c r="T630" s="1314" t="str">
        <f t="shared" si="78"/>
        <v/>
      </c>
      <c r="U630" s="1311"/>
      <c r="V630" s="1311"/>
      <c r="W630" s="1311"/>
      <c r="X630" s="1311"/>
      <c r="Y630" s="1311"/>
      <c r="Z630" s="1311"/>
    </row>
    <row r="631" spans="1:26" x14ac:dyDescent="0.25">
      <c r="A631" s="847" t="s">
        <v>1387</v>
      </c>
      <c r="B631" s="826" t="str">
        <f ca="1">_xlfn.IFNA(_xlfn.CONCAT(SUBSTITUTE(ADDRESS(1,MATCH(A631,INDIRECT("'"&amp;E631&amp;"'"&amp;"!A" &amp; $O$608+5 &amp; ":Z" &amp; $O$608+5),0),4),1,""),$O$608+9),"")</f>
        <v>H68</v>
      </c>
      <c r="C631" s="826" t="str">
        <f t="shared" ca="1" si="79"/>
        <v>H</v>
      </c>
      <c r="D631" s="826" t="s">
        <v>1357</v>
      </c>
      <c r="E631" s="826" t="s">
        <v>1516</v>
      </c>
      <c r="F631" s="1314"/>
      <c r="G631" s="1314"/>
      <c r="H631" s="1314"/>
      <c r="I631" s="1274" t="str">
        <f t="shared" si="68"/>
        <v/>
      </c>
      <c r="J631" s="1314" t="str">
        <f t="shared" si="75"/>
        <v/>
      </c>
      <c r="K631" s="1314" t="str">
        <f t="shared" si="69"/>
        <v/>
      </c>
      <c r="L631" s="826" t="s">
        <v>1387</v>
      </c>
      <c r="M631" s="1329">
        <v>614</v>
      </c>
      <c r="N631" s="1314"/>
      <c r="O631" s="1311"/>
      <c r="P631" s="1311"/>
      <c r="Q631" s="1311"/>
      <c r="R631" s="1314" t="s">
        <v>851</v>
      </c>
      <c r="S631" s="1311"/>
      <c r="T631" s="1314" t="str">
        <f t="shared" si="78"/>
        <v/>
      </c>
      <c r="U631" s="1311"/>
      <c r="V631" s="1311"/>
      <c r="W631" s="1311"/>
      <c r="X631" s="1311"/>
      <c r="Y631" s="1311"/>
      <c r="Z631" s="1311"/>
    </row>
    <row r="632" spans="1:26" x14ac:dyDescent="0.25">
      <c r="A632" s="847" t="s">
        <v>1388</v>
      </c>
      <c r="B632" s="826" t="str">
        <f ca="1">_xlfn.IFNA(_xlfn.CONCAT(SUBSTITUTE(ADDRESS(1,MATCH(A632,INDIRECT("'"&amp;E632&amp;"'"&amp;"!A" &amp; $O$608+5 &amp; ":Z" &amp; $O$608+5),0),4),1,""),$O$608+9),"")</f>
        <v>J68</v>
      </c>
      <c r="C632" s="826" t="str">
        <f t="shared" ca="1" si="79"/>
        <v>J</v>
      </c>
      <c r="D632" s="826" t="s">
        <v>1357</v>
      </c>
      <c r="E632" s="826" t="s">
        <v>1516</v>
      </c>
      <c r="F632" s="1314"/>
      <c r="G632" s="1314"/>
      <c r="H632" s="1314"/>
      <c r="I632" s="1274" t="str">
        <f t="shared" si="68"/>
        <v/>
      </c>
      <c r="J632" s="1314"/>
      <c r="K632" s="1314" t="str">
        <f t="shared" si="69"/>
        <v/>
      </c>
      <c r="L632" s="826" t="s">
        <v>1388</v>
      </c>
      <c r="M632" s="1329">
        <v>615</v>
      </c>
      <c r="N632" s="1314"/>
      <c r="O632" s="1311"/>
      <c r="P632" s="1311"/>
      <c r="Q632" s="1311"/>
      <c r="R632" s="1314" t="s">
        <v>851</v>
      </c>
      <c r="S632" s="1311"/>
      <c r="T632" s="1314" t="str">
        <f t="shared" si="78"/>
        <v/>
      </c>
      <c r="U632" s="1311"/>
      <c r="V632" s="1311"/>
      <c r="W632" s="1311"/>
      <c r="X632" s="1311"/>
      <c r="Y632" s="1311"/>
      <c r="Z632" s="1311"/>
    </row>
    <row r="633" spans="1:26" x14ac:dyDescent="0.25">
      <c r="A633" s="847" t="s">
        <v>1389</v>
      </c>
      <c r="B633" s="826" t="str">
        <f ca="1">_xlfn.IFNA(_xlfn.CONCAT(SUBSTITUTE(ADDRESS(1,MATCH(A633,INDIRECT("'"&amp;E633&amp;"'"&amp;"!A" &amp; $O$608+5 &amp; ":Z" &amp; $O$608+5),0),4),1,""),$O$608+9),"")</f>
        <v>L68</v>
      </c>
      <c r="C633" s="826" t="str">
        <f t="shared" ca="1" si="79"/>
        <v>L</v>
      </c>
      <c r="D633" s="826" t="s">
        <v>1357</v>
      </c>
      <c r="E633" s="826" t="s">
        <v>1516</v>
      </c>
      <c r="F633" s="1314"/>
      <c r="G633" s="1314"/>
      <c r="H633" s="1314"/>
      <c r="I633" s="1274" t="str">
        <f t="shared" si="68"/>
        <v/>
      </c>
      <c r="J633" s="1314"/>
      <c r="K633" s="1314" t="str">
        <f t="shared" si="69"/>
        <v/>
      </c>
      <c r="L633" s="826" t="s">
        <v>1389</v>
      </c>
      <c r="M633" s="1329">
        <v>616</v>
      </c>
      <c r="N633" s="1314"/>
      <c r="O633" s="1311"/>
      <c r="P633" s="1311"/>
      <c r="Q633" s="1311"/>
      <c r="R633" s="1314" t="s">
        <v>851</v>
      </c>
      <c r="S633" s="1311"/>
      <c r="T633" s="1314" t="str">
        <f t="shared" si="78"/>
        <v/>
      </c>
      <c r="U633" s="1311"/>
      <c r="V633" s="1311"/>
      <c r="W633" s="1311"/>
      <c r="X633" s="1311"/>
      <c r="Y633" s="1311"/>
      <c r="Z633" s="1311"/>
    </row>
    <row r="634" spans="1:26" x14ac:dyDescent="0.25">
      <c r="A634" s="847" t="s">
        <v>1387</v>
      </c>
      <c r="B634" s="826" t="str">
        <f ca="1">_xlfn.IFNA(_xlfn.CONCAT(SUBSTITUTE(ADDRESS(1,MATCH(A634,INDIRECT("'"&amp;E634&amp;"'"&amp;"!A" &amp; $O$608+5 &amp; ":Z" &amp; $O$608+5),0),4),1,""),$O$608+10),"")</f>
        <v>H69</v>
      </c>
      <c r="C634" s="826" t="str">
        <f t="shared" ca="1" si="79"/>
        <v>H</v>
      </c>
      <c r="D634" s="826" t="s">
        <v>1357</v>
      </c>
      <c r="E634" s="826" t="s">
        <v>1516</v>
      </c>
      <c r="F634" s="1314"/>
      <c r="G634" s="1314"/>
      <c r="H634" s="1314"/>
      <c r="I634" s="1274" t="str">
        <f t="shared" si="68"/>
        <v/>
      </c>
      <c r="J634" s="1314" t="str">
        <f t="shared" si="75"/>
        <v/>
      </c>
      <c r="K634" s="1314" t="str">
        <f t="shared" si="69"/>
        <v/>
      </c>
      <c r="L634" s="826" t="s">
        <v>1387</v>
      </c>
      <c r="M634" s="1329">
        <v>617</v>
      </c>
      <c r="N634" s="1314"/>
      <c r="O634" s="1311"/>
      <c r="P634" s="1311"/>
      <c r="Q634" s="1311"/>
      <c r="R634" s="1314" t="s">
        <v>851</v>
      </c>
      <c r="S634" s="1311"/>
      <c r="T634" s="1314" t="str">
        <f t="shared" si="78"/>
        <v/>
      </c>
      <c r="U634" s="1311"/>
      <c r="V634" s="1311"/>
      <c r="W634" s="1311"/>
      <c r="X634" s="1311"/>
      <c r="Y634" s="1311"/>
      <c r="Z634" s="1311"/>
    </row>
    <row r="635" spans="1:26" x14ac:dyDescent="0.25">
      <c r="A635" s="847" t="s">
        <v>1388</v>
      </c>
      <c r="B635" s="826" t="str">
        <f ca="1">_xlfn.IFNA(_xlfn.CONCAT(SUBSTITUTE(ADDRESS(1,MATCH(A635,INDIRECT("'"&amp;E635&amp;"'"&amp;"!A" &amp; $O$608+5 &amp; ":Z" &amp; $O$608+5),0),4),1,""),$O$608+10),"")</f>
        <v>J69</v>
      </c>
      <c r="C635" s="826" t="str">
        <f t="shared" ca="1" si="79"/>
        <v>J</v>
      </c>
      <c r="D635" s="826" t="s">
        <v>1357</v>
      </c>
      <c r="E635" s="826" t="s">
        <v>1516</v>
      </c>
      <c r="F635" s="1314"/>
      <c r="G635" s="1314"/>
      <c r="H635" s="1314"/>
      <c r="I635" s="1274" t="str">
        <f t="shared" si="68"/>
        <v/>
      </c>
      <c r="J635" s="1314"/>
      <c r="K635" s="1314" t="str">
        <f t="shared" si="69"/>
        <v/>
      </c>
      <c r="L635" s="826" t="s">
        <v>1388</v>
      </c>
      <c r="M635" s="1329">
        <v>618</v>
      </c>
      <c r="N635" s="1314"/>
      <c r="O635" s="1311"/>
      <c r="P635" s="1311"/>
      <c r="Q635" s="1311"/>
      <c r="R635" s="1314" t="s">
        <v>851</v>
      </c>
      <c r="S635" s="1311"/>
      <c r="T635" s="1314" t="str">
        <f t="shared" si="78"/>
        <v/>
      </c>
      <c r="U635" s="1311"/>
      <c r="V635" s="1311"/>
      <c r="W635" s="1311"/>
      <c r="X635" s="1311"/>
      <c r="Y635" s="1311"/>
      <c r="Z635" s="1311"/>
    </row>
    <row r="636" spans="1:26" x14ac:dyDescent="0.25">
      <c r="A636" s="847" t="s">
        <v>1389</v>
      </c>
      <c r="B636" s="826" t="str">
        <f ca="1">_xlfn.IFNA(_xlfn.CONCAT(SUBSTITUTE(ADDRESS(1,MATCH(A636,INDIRECT("'"&amp;E636&amp;"'"&amp;"!A" &amp; $O$608+5 &amp; ":Z" &amp; $O$608+5),0),4),1,""),$O$608+10),"")</f>
        <v>L69</v>
      </c>
      <c r="C636" s="826" t="str">
        <f t="shared" ca="1" si="79"/>
        <v>L</v>
      </c>
      <c r="D636" s="826" t="s">
        <v>1357</v>
      </c>
      <c r="E636" s="826" t="s">
        <v>1516</v>
      </c>
      <c r="F636" s="1314"/>
      <c r="G636" s="1314"/>
      <c r="H636" s="1314"/>
      <c r="I636" s="1274" t="str">
        <f t="shared" si="68"/>
        <v/>
      </c>
      <c r="J636" s="1314"/>
      <c r="K636" s="1314" t="str">
        <f t="shared" si="69"/>
        <v/>
      </c>
      <c r="L636" s="826" t="s">
        <v>1389</v>
      </c>
      <c r="M636" s="1329">
        <v>619</v>
      </c>
      <c r="N636" s="1314"/>
      <c r="O636" s="1311"/>
      <c r="P636" s="1311"/>
      <c r="Q636" s="1311"/>
      <c r="R636" s="1314" t="s">
        <v>851</v>
      </c>
      <c r="S636" s="1311"/>
      <c r="T636" s="1314" t="str">
        <f t="shared" si="78"/>
        <v/>
      </c>
      <c r="U636" s="1311"/>
      <c r="V636" s="1311"/>
      <c r="W636" s="1311"/>
      <c r="X636" s="1311"/>
      <c r="Y636" s="1311"/>
      <c r="Z636" s="1311"/>
    </row>
    <row r="637" spans="1:26" x14ac:dyDescent="0.25">
      <c r="A637" s="847" t="s">
        <v>1508</v>
      </c>
      <c r="B637" s="826" t="str">
        <f ca="1">_xlfn.CONCAT(IFERROR(SUBSTITUTE(ADDRESS(1,MATCH(A637,INDIRECT("'"&amp;E637&amp;"'"&amp;"!A" &amp; $O$608 + 12 &amp; ":Z" &amp; $O$608+12),0),4),1,""),""),$O$608+12)</f>
        <v>P71</v>
      </c>
      <c r="C637" s="826" t="str">
        <f ca="1">_xlfn.CONCAT(IFERROR(SUBSTITUTE(ADDRESS(1,MATCH(A637,INDIRECT("'"&amp;E637&amp;"'"&amp;"!A" &amp; $O$608 + 12 &amp; ":Z" &amp; $O$608+12),0),4),1,""),""),$O$608+13)</f>
        <v>P72</v>
      </c>
      <c r="D637" s="826" t="s">
        <v>1350</v>
      </c>
      <c r="E637" s="826" t="s">
        <v>1516</v>
      </c>
      <c r="F637" s="1314" t="s">
        <v>1508</v>
      </c>
      <c r="G637" s="1314" t="str">
        <f>IF(T637&lt;&gt;"","P","")</f>
        <v/>
      </c>
      <c r="H637" s="1314" t="s">
        <v>1990</v>
      </c>
      <c r="I637" s="1274" t="str">
        <f t="shared" si="68"/>
        <v/>
      </c>
      <c r="J637" s="1314" t="str">
        <f t="shared" si="75"/>
        <v/>
      </c>
      <c r="K637" s="1314" t="str">
        <f t="shared" si="69"/>
        <v/>
      </c>
      <c r="L637" s="826" t="s">
        <v>1508</v>
      </c>
      <c r="M637" s="1329">
        <v>620</v>
      </c>
      <c r="N637" s="1314"/>
      <c r="O637" s="1311"/>
      <c r="P637" s="1311"/>
      <c r="Q637" s="1311"/>
      <c r="R637" s="577" t="s">
        <v>851</v>
      </c>
      <c r="S637" s="1311"/>
      <c r="T637" s="1314" t="str">
        <f t="shared" si="78"/>
        <v/>
      </c>
      <c r="U637" s="1311"/>
      <c r="V637" s="1311"/>
      <c r="W637" s="1311"/>
      <c r="X637" s="1311"/>
      <c r="Y637" s="1311"/>
      <c r="Z637" s="1311"/>
    </row>
    <row r="638" spans="1:26" x14ac:dyDescent="0.25">
      <c r="A638" s="850" t="s">
        <v>1491</v>
      </c>
      <c r="B638" s="826" t="str">
        <f ca="1">IFERROR(_xlfn.CONCAT("C",MATCH(A638,INDIRECT("'"&amp;E638&amp;"'!C"&amp;$O$639&amp;":C"&amp;$O$641),0)+$O$639-1),"")</f>
        <v>C79</v>
      </c>
      <c r="C638" s="826" t="str">
        <f ca="1">IFERROR(_xlfn.CONCAT("D",MATCH(A638,INDIRECT("'"&amp;E638&amp;"'!C"&amp;$O$639&amp;":C"&amp;$O$641),0)+$O$639-1),"")</f>
        <v>D79</v>
      </c>
      <c r="D638" s="826" t="s">
        <v>1350</v>
      </c>
      <c r="E638" s="826" t="s">
        <v>1516</v>
      </c>
      <c r="F638" s="1314" t="s">
        <v>1491</v>
      </c>
      <c r="G638" s="1314" t="str">
        <f>IF(T638&lt;&gt;"","A","")</f>
        <v/>
      </c>
      <c r="H638" s="1314" t="s">
        <v>1990</v>
      </c>
      <c r="I638" s="1274" t="str">
        <f t="shared" si="68"/>
        <v/>
      </c>
      <c r="J638" s="1314"/>
      <c r="K638" s="1314" t="str">
        <f t="shared" si="69"/>
        <v/>
      </c>
      <c r="L638" s="826" t="s">
        <v>1491</v>
      </c>
      <c r="M638" s="1329">
        <v>621</v>
      </c>
      <c r="N638" s="1314"/>
      <c r="O638" s="1311" t="s">
        <v>725</v>
      </c>
      <c r="P638" s="1311"/>
      <c r="Q638" s="1311"/>
      <c r="R638" s="1314" t="s">
        <v>851</v>
      </c>
      <c r="S638" s="1311"/>
      <c r="T638" s="1314" t="str">
        <f t="shared" ref="T638:T651" si="80">IF(Q$639="Yes",6,"")</f>
        <v/>
      </c>
      <c r="U638" s="1311"/>
      <c r="V638" s="1311"/>
      <c r="W638" s="1311"/>
      <c r="X638" s="1311"/>
      <c r="Y638" s="1311"/>
      <c r="Z638" s="1311"/>
    </row>
    <row r="639" spans="1:26" x14ac:dyDescent="0.25">
      <c r="A639" s="850" t="s">
        <v>1705</v>
      </c>
      <c r="B639" s="826" t="str">
        <f ca="1">_xlfn.CONCAT(IFERROR(SUBSTITUTE(ADDRESS(1,MATCH(A639,INDIRECT("'"&amp;E639&amp;"'"&amp;"!A" &amp; $O$639 + 12 &amp; ":Z" &amp; $O$639 + 12),0),4),1,""),""),$O$639 + 12)</f>
        <v>T87</v>
      </c>
      <c r="C639" s="826" t="str">
        <f ca="1">_xlfn.CONCAT(IFERROR(SUBSTITUTE(ADDRESS(1,MATCH(A639,INDIRECT("'"&amp;E639&amp;"'"&amp;"!A" &amp; $O$639 + 12 &amp; ":Z" &amp; $O$639 + 12),0),4),1,""),""),$O$639 + 13)</f>
        <v>T88</v>
      </c>
      <c r="D639" s="826" t="s">
        <v>1350</v>
      </c>
      <c r="E639" s="826" t="s">
        <v>1516</v>
      </c>
      <c r="F639" s="1314"/>
      <c r="G639" s="1314"/>
      <c r="H639" s="1314"/>
      <c r="I639" s="1274" t="str">
        <f t="shared" si="68"/>
        <v/>
      </c>
      <c r="J639" s="1314" t="str">
        <f t="shared" ref="J639:J668" si="81">IF(M639&lt;&gt;"",IF($Q$639="Yes",Q$1&amp;M639,""))</f>
        <v/>
      </c>
      <c r="K639" s="1314" t="str">
        <f t="shared" si="69"/>
        <v/>
      </c>
      <c r="L639" s="826" t="s">
        <v>1705</v>
      </c>
      <c r="M639" s="1329">
        <v>622</v>
      </c>
      <c r="N639" s="1314"/>
      <c r="O639" s="1311">
        <f>'Configurable Tab'!H8</f>
        <v>75</v>
      </c>
      <c r="P639" s="1406" t="str">
        <f>'Configurable Tab'!J8</f>
        <v>Yes</v>
      </c>
      <c r="Q639" s="1351" t="s">
        <v>648</v>
      </c>
      <c r="R639" s="577" t="s">
        <v>851</v>
      </c>
      <c r="S639" s="1311"/>
      <c r="T639" s="1314" t="str">
        <f t="shared" si="80"/>
        <v/>
      </c>
      <c r="U639" s="1311"/>
      <c r="V639" s="1311"/>
      <c r="W639" s="1311"/>
      <c r="X639" s="1311"/>
      <c r="Y639" s="1311"/>
      <c r="Z639" s="1311"/>
    </row>
    <row r="640" spans="1:26" x14ac:dyDescent="0.25">
      <c r="A640" s="850" t="s">
        <v>1383</v>
      </c>
      <c r="B640" s="826" t="str">
        <f ca="1">IFERROR(_xlfn.CONCAT("C",MATCH(A640,INDIRECT("'"&amp;E640&amp;"'!C"&amp;$O$639&amp;":C"&amp;$O$641),0)+$O$639-1),"")</f>
        <v>C77</v>
      </c>
      <c r="C640" s="826" t="str">
        <f ca="1">IFERROR(_xlfn.CONCAT("D",MATCH(A640,INDIRECT("'"&amp;E640&amp;"'!C"&amp;$O$639&amp;":C"&amp;$O$641),0)+$O$639-1),"")</f>
        <v>D77</v>
      </c>
      <c r="D640" s="826" t="s">
        <v>1350</v>
      </c>
      <c r="E640" s="826" t="s">
        <v>1516</v>
      </c>
      <c r="F640" s="1314" t="s">
        <v>1383</v>
      </c>
      <c r="G640" s="1314" t="str">
        <f>IF(T640&lt;&gt;"","B","")</f>
        <v/>
      </c>
      <c r="H640" s="1314" t="s">
        <v>1990</v>
      </c>
      <c r="I640" s="1274" t="str">
        <f t="shared" si="68"/>
        <v/>
      </c>
      <c r="J640" s="1314"/>
      <c r="K640" s="1314" t="str">
        <f t="shared" si="69"/>
        <v/>
      </c>
      <c r="L640" s="826" t="s">
        <v>1383</v>
      </c>
      <c r="M640" s="1329">
        <v>623</v>
      </c>
      <c r="N640" s="1314"/>
      <c r="O640" s="1311" t="s">
        <v>726</v>
      </c>
      <c r="P640" s="1311"/>
      <c r="Q640" s="1311"/>
      <c r="R640" s="1314" t="s">
        <v>851</v>
      </c>
      <c r="S640" s="1311"/>
      <c r="T640" s="1314" t="str">
        <f t="shared" si="80"/>
        <v/>
      </c>
      <c r="U640" s="1311"/>
      <c r="V640" s="1311"/>
      <c r="W640" s="1311"/>
      <c r="X640" s="1311"/>
      <c r="Y640" s="1311"/>
      <c r="Z640" s="1311"/>
    </row>
    <row r="641" spans="1:26" x14ac:dyDescent="0.25">
      <c r="A641" s="850" t="s">
        <v>1380</v>
      </c>
      <c r="B641" s="826" t="str">
        <f t="shared" ref="B641:B647" ca="1" si="82">_xlfn.CONCAT(IFERROR(SUBSTITUTE(ADDRESS(1,MATCH(A641,INDIRECT("'"&amp;E641&amp;"'"&amp;"!A" &amp; $O$639 + 2 &amp; ":Z" &amp; $O$639 + 2),0),4),1,""),""),$O$639 + 2)</f>
        <v>H77</v>
      </c>
      <c r="C641" s="826" t="str">
        <f t="shared" ref="C641:C647" ca="1" si="83">_xlfn.CONCAT(IFERROR(SUBSTITUTE(ADDRESS(1,MATCH(A641,INDIRECT("'"&amp;E641&amp;"'"&amp;"!A" &amp; $O$639 + 2 &amp; ":Z" &amp; $O$639 + 2),0),4),1,""),""),$O$639 + 3)</f>
        <v>H78</v>
      </c>
      <c r="D641" s="826" t="s">
        <v>1350</v>
      </c>
      <c r="E641" s="826" t="s">
        <v>1516</v>
      </c>
      <c r="F641" s="1314" t="s">
        <v>1991</v>
      </c>
      <c r="G641" s="1314" t="str">
        <f>IF(T641&lt;&gt;"","E","")</f>
        <v/>
      </c>
      <c r="H641" s="1314" t="s">
        <v>1990</v>
      </c>
      <c r="I641" s="1274" t="str">
        <f t="shared" si="68"/>
        <v/>
      </c>
      <c r="J641" s="1314" t="str">
        <f t="shared" si="81"/>
        <v/>
      </c>
      <c r="K641" s="1314" t="str">
        <f t="shared" si="69"/>
        <v/>
      </c>
      <c r="L641" s="826" t="s">
        <v>1380</v>
      </c>
      <c r="M641" s="1329">
        <v>624</v>
      </c>
      <c r="N641" s="1314"/>
      <c r="O641" s="1311">
        <f>'Configurable Tab'!I8</f>
        <v>90</v>
      </c>
      <c r="P641" s="1311"/>
      <c r="Q641" s="1311"/>
      <c r="R641" s="577" t="s">
        <v>851</v>
      </c>
      <c r="S641" s="1311"/>
      <c r="T641" s="1314" t="str">
        <f t="shared" si="80"/>
        <v/>
      </c>
      <c r="U641" s="1311"/>
      <c r="V641" s="1311"/>
      <c r="W641" s="1311"/>
      <c r="X641" s="1311"/>
      <c r="Y641" s="1311"/>
      <c r="Z641" s="1311"/>
    </row>
    <row r="642" spans="1:26" x14ac:dyDescent="0.25">
      <c r="A642" s="850" t="s">
        <v>1381</v>
      </c>
      <c r="B642" s="826" t="str">
        <f t="shared" ca="1" si="82"/>
        <v>J77</v>
      </c>
      <c r="C642" s="826" t="str">
        <f t="shared" ca="1" si="83"/>
        <v>J78</v>
      </c>
      <c r="D642" s="826" t="s">
        <v>1350</v>
      </c>
      <c r="E642" s="826" t="s">
        <v>1516</v>
      </c>
      <c r="F642" s="1314" t="s">
        <v>1992</v>
      </c>
      <c r="G642" s="1314" t="str">
        <f>IF(T642&lt;&gt;"","I","")</f>
        <v/>
      </c>
      <c r="H642" s="1314" t="s">
        <v>1990</v>
      </c>
      <c r="I642" s="1274" t="str">
        <f t="shared" si="68"/>
        <v/>
      </c>
      <c r="J642" s="1314" t="str">
        <f t="shared" si="81"/>
        <v/>
      </c>
      <c r="K642" s="1314" t="str">
        <f t="shared" si="69"/>
        <v/>
      </c>
      <c r="L642" s="826" t="s">
        <v>1381</v>
      </c>
      <c r="M642" s="1329">
        <v>625</v>
      </c>
      <c r="N642" s="1314"/>
      <c r="O642" s="1311" t="s">
        <v>1637</v>
      </c>
      <c r="P642" s="1311"/>
      <c r="Q642" s="1311"/>
      <c r="R642" s="577" t="s">
        <v>851</v>
      </c>
      <c r="S642" s="1311"/>
      <c r="T642" s="1314" t="str">
        <f t="shared" si="80"/>
        <v/>
      </c>
      <c r="U642" s="1311"/>
      <c r="V642" s="1311"/>
      <c r="W642" s="1311"/>
      <c r="X642" s="1311"/>
      <c r="Y642" s="1311"/>
      <c r="Z642" s="1311"/>
    </row>
    <row r="643" spans="1:26" x14ac:dyDescent="0.25">
      <c r="A643" s="850" t="s">
        <v>1397</v>
      </c>
      <c r="B643" s="826" t="str">
        <f t="shared" ca="1" si="82"/>
        <v>L77</v>
      </c>
      <c r="C643" s="826" t="str">
        <f t="shared" ca="1" si="83"/>
        <v>L78</v>
      </c>
      <c r="D643" s="826" t="s">
        <v>1350</v>
      </c>
      <c r="E643" s="826" t="s">
        <v>1516</v>
      </c>
      <c r="F643" s="1314" t="s">
        <v>1993</v>
      </c>
      <c r="G643" s="1314" t="str">
        <f>IF(T643&lt;&gt;"","H","")</f>
        <v/>
      </c>
      <c r="H643" s="1314" t="s">
        <v>1990</v>
      </c>
      <c r="I643" s="1274" t="str">
        <f t="shared" si="68"/>
        <v/>
      </c>
      <c r="J643" s="1314" t="str">
        <f t="shared" si="81"/>
        <v/>
      </c>
      <c r="K643" s="1314" t="str">
        <f t="shared" si="69"/>
        <v/>
      </c>
      <c r="L643" s="826" t="s">
        <v>1397</v>
      </c>
      <c r="M643" s="1329">
        <v>626</v>
      </c>
      <c r="N643" s="1314"/>
      <c r="O643" s="1311"/>
      <c r="P643" s="1311"/>
      <c r="Q643" s="1311"/>
      <c r="R643" s="577" t="s">
        <v>851</v>
      </c>
      <c r="S643" s="1311"/>
      <c r="T643" s="1314" t="str">
        <f t="shared" si="80"/>
        <v/>
      </c>
      <c r="U643" s="1311"/>
      <c r="V643" s="1311"/>
      <c r="W643" s="1311"/>
      <c r="X643" s="1311"/>
      <c r="Y643" s="1311"/>
      <c r="Z643" s="1311"/>
    </row>
    <row r="644" spans="1:26" x14ac:dyDescent="0.25">
      <c r="A644" s="850" t="s">
        <v>1382</v>
      </c>
      <c r="B644" s="826" t="str">
        <f t="shared" ca="1" si="82"/>
        <v>N77</v>
      </c>
      <c r="C644" s="826" t="str">
        <f t="shared" ca="1" si="83"/>
        <v>N78</v>
      </c>
      <c r="D644" s="826" t="s">
        <v>1350</v>
      </c>
      <c r="E644" s="826" t="s">
        <v>1516</v>
      </c>
      <c r="F644" s="1314" t="s">
        <v>1382</v>
      </c>
      <c r="G644" s="1314" t="str">
        <f>IF(T644&lt;&gt;"",IF(Q642="Credit Memo","J",IF(Q642="Check","K","")),"")</f>
        <v/>
      </c>
      <c r="H644" s="1314" t="s">
        <v>1990</v>
      </c>
      <c r="I644" s="1274" t="str">
        <f t="shared" ref="I644:I707" si="84">IF(J644&lt;&gt;"",A644,"")</f>
        <v/>
      </c>
      <c r="J644" s="1314" t="str">
        <f t="shared" si="81"/>
        <v/>
      </c>
      <c r="K644" s="1314" t="str">
        <f t="shared" ref="K644:K707" si="85">IF(J644&lt;&gt;"",E644,"")</f>
        <v/>
      </c>
      <c r="L644" s="826" t="s">
        <v>1382</v>
      </c>
      <c r="M644" s="1329">
        <v>627</v>
      </c>
      <c r="N644" s="1314"/>
      <c r="O644" s="1311"/>
      <c r="P644" s="1311"/>
      <c r="Q644" s="1311"/>
      <c r="R644" s="577" t="s">
        <v>851</v>
      </c>
      <c r="S644" s="1311"/>
      <c r="T644" s="1314" t="str">
        <f t="shared" si="80"/>
        <v/>
      </c>
      <c r="U644" s="1311"/>
      <c r="V644" s="1311"/>
      <c r="W644" s="1311"/>
      <c r="X644" s="1311"/>
      <c r="Y644" s="1311"/>
      <c r="Z644" s="1311"/>
    </row>
    <row r="645" spans="1:26" x14ac:dyDescent="0.25">
      <c r="A645" s="850" t="s">
        <v>1486</v>
      </c>
      <c r="B645" s="826" t="str">
        <f t="shared" ca="1" si="82"/>
        <v>P77</v>
      </c>
      <c r="C645" s="826" t="str">
        <f t="shared" ca="1" si="83"/>
        <v>P78</v>
      </c>
      <c r="D645" s="826" t="s">
        <v>1350</v>
      </c>
      <c r="E645" s="826" t="s">
        <v>1516</v>
      </c>
      <c r="F645" s="1314" t="s">
        <v>1994</v>
      </c>
      <c r="G645" s="1314" t="str">
        <f>IF(T645&lt;&gt;"","F","")</f>
        <v/>
      </c>
      <c r="H645" s="1314" t="s">
        <v>1990</v>
      </c>
      <c r="I645" s="1274" t="str">
        <f t="shared" si="84"/>
        <v/>
      </c>
      <c r="J645" s="1314" t="str">
        <f t="shared" si="81"/>
        <v/>
      </c>
      <c r="K645" s="1314" t="str">
        <f t="shared" si="85"/>
        <v/>
      </c>
      <c r="L645" s="826" t="s">
        <v>1486</v>
      </c>
      <c r="M645" s="1329">
        <v>628</v>
      </c>
      <c r="N645" s="1314"/>
      <c r="O645" s="1311"/>
      <c r="P645" s="1311"/>
      <c r="Q645" s="1311"/>
      <c r="R645" s="577" t="s">
        <v>851</v>
      </c>
      <c r="S645" s="1311"/>
      <c r="T645" s="1314" t="str">
        <f t="shared" si="80"/>
        <v/>
      </c>
      <c r="U645" s="1311"/>
      <c r="V645" s="1311"/>
      <c r="W645" s="1311"/>
      <c r="X645" s="1311"/>
      <c r="Y645" s="1311"/>
      <c r="Z645" s="1311"/>
    </row>
    <row r="646" spans="1:26" x14ac:dyDescent="0.25">
      <c r="A646" s="850" t="s">
        <v>1487</v>
      </c>
      <c r="B646" s="826" t="str">
        <f t="shared" ca="1" si="82"/>
        <v>R77</v>
      </c>
      <c r="C646" s="826" t="str">
        <f t="shared" ca="1" si="83"/>
        <v>R78</v>
      </c>
      <c r="D646" s="826" t="s">
        <v>1350</v>
      </c>
      <c r="E646" s="826" t="s">
        <v>1516</v>
      </c>
      <c r="F646" s="1314" t="s">
        <v>1995</v>
      </c>
      <c r="G646" s="1314" t="str">
        <f>IF(T646&lt;&gt;"","G","")</f>
        <v/>
      </c>
      <c r="H646" s="1314" t="s">
        <v>1990</v>
      </c>
      <c r="I646" s="1274" t="str">
        <f t="shared" si="84"/>
        <v/>
      </c>
      <c r="J646" s="1314" t="str">
        <f t="shared" si="81"/>
        <v/>
      </c>
      <c r="K646" s="1314" t="str">
        <f t="shared" si="85"/>
        <v/>
      </c>
      <c r="L646" s="826" t="s">
        <v>1487</v>
      </c>
      <c r="M646" s="1329">
        <v>629</v>
      </c>
      <c r="N646" s="1314"/>
      <c r="O646" s="1311"/>
      <c r="P646" s="1311"/>
      <c r="Q646" s="1311"/>
      <c r="R646" s="577" t="s">
        <v>851</v>
      </c>
      <c r="S646" s="1311"/>
      <c r="T646" s="1314" t="str">
        <f t="shared" si="80"/>
        <v/>
      </c>
      <c r="U646" s="1311"/>
      <c r="V646" s="1311"/>
      <c r="W646" s="1311"/>
      <c r="X646" s="1311"/>
      <c r="Y646" s="1311"/>
      <c r="Z646" s="1311"/>
    </row>
    <row r="647" spans="1:26" x14ac:dyDescent="0.25">
      <c r="A647" s="850" t="s">
        <v>1488</v>
      </c>
      <c r="B647" s="826" t="str">
        <f t="shared" ca="1" si="82"/>
        <v>T77</v>
      </c>
      <c r="C647" s="826" t="str">
        <f t="shared" ca="1" si="83"/>
        <v>T78</v>
      </c>
      <c r="D647" s="826" t="s">
        <v>1350</v>
      </c>
      <c r="E647" s="826" t="s">
        <v>1516</v>
      </c>
      <c r="F647" s="841" t="s">
        <v>1488</v>
      </c>
      <c r="G647" s="1314" t="str">
        <f>IF(T647&lt;&gt;"","AW","")</f>
        <v/>
      </c>
      <c r="H647" s="1314" t="s">
        <v>1990</v>
      </c>
      <c r="I647" s="1274" t="str">
        <f t="shared" si="84"/>
        <v/>
      </c>
      <c r="J647" s="1314" t="str">
        <f t="shared" si="81"/>
        <v/>
      </c>
      <c r="K647" s="1314" t="str">
        <f t="shared" si="85"/>
        <v/>
      </c>
      <c r="L647" s="826" t="s">
        <v>1488</v>
      </c>
      <c r="M647" s="1329">
        <v>630</v>
      </c>
      <c r="N647" s="1314"/>
      <c r="O647" s="1311"/>
      <c r="P647" s="1311"/>
      <c r="Q647" s="1311"/>
      <c r="R647" s="577" t="s">
        <v>851</v>
      </c>
      <c r="S647" s="1311"/>
      <c r="T647" s="1314" t="str">
        <f t="shared" si="80"/>
        <v/>
      </c>
      <c r="U647" s="1311"/>
      <c r="V647" s="1311"/>
      <c r="W647" s="1311"/>
      <c r="X647" s="1311"/>
      <c r="Y647" s="1311"/>
      <c r="Z647" s="1311"/>
    </row>
    <row r="648" spans="1:26" x14ac:dyDescent="0.25">
      <c r="A648" s="850" t="s">
        <v>1385</v>
      </c>
      <c r="B648" s="826" t="str">
        <f ca="1">IFERROR(_xlfn.CONCAT("C",MATCH(A648,INDIRECT("'"&amp;E648&amp;"'!C"&amp;$O$639&amp;":C"&amp;$O$641),0)+$O$639-1),"")</f>
        <v>C81</v>
      </c>
      <c r="C648" s="826" t="str">
        <f ca="1">IFERROR(_xlfn.CONCAT("D",MATCH(A648,INDIRECT("'"&amp;E648&amp;"'!C"&amp;$O$639&amp;":C"&amp;$O$641),0)+$O$639-1),"")</f>
        <v>D81</v>
      </c>
      <c r="D648" s="826" t="s">
        <v>1350</v>
      </c>
      <c r="E648" s="826" t="s">
        <v>1516</v>
      </c>
      <c r="F648" s="1314" t="s">
        <v>1385</v>
      </c>
      <c r="G648" s="1314" t="str">
        <f>IF(T648&lt;&gt;"","C","")</f>
        <v/>
      </c>
      <c r="H648" s="1314" t="s">
        <v>1990</v>
      </c>
      <c r="I648" s="1274" t="str">
        <f t="shared" si="84"/>
        <v/>
      </c>
      <c r="J648" s="1314"/>
      <c r="K648" s="1314" t="str">
        <f t="shared" si="85"/>
        <v/>
      </c>
      <c r="L648" s="826" t="s">
        <v>1385</v>
      </c>
      <c r="M648" s="1329">
        <v>631</v>
      </c>
      <c r="N648" s="1314"/>
      <c r="O648" s="1311"/>
      <c r="P648" s="1311"/>
      <c r="Q648" s="1311"/>
      <c r="R648" s="577" t="s">
        <v>851</v>
      </c>
      <c r="S648" s="1311"/>
      <c r="T648" s="1314" t="str">
        <f t="shared" si="80"/>
        <v/>
      </c>
      <c r="U648" s="1311"/>
      <c r="V648" s="1311"/>
      <c r="W648" s="1311"/>
      <c r="X648" s="1311"/>
      <c r="Y648" s="1311"/>
      <c r="Z648" s="1311"/>
    </row>
    <row r="649" spans="1:26" x14ac:dyDescent="0.25">
      <c r="A649" s="850" t="s">
        <v>1386</v>
      </c>
      <c r="B649" s="826" t="str">
        <f ca="1">IFERROR(_xlfn.CONCAT("C",MATCH(A649,INDIRECT("'"&amp;E649&amp;"'!C"&amp;$O$639&amp;":C"&amp;$O$641),0)+$O$639-1),"")</f>
        <v>C83</v>
      </c>
      <c r="C649" s="826" t="str">
        <f ca="1">IFERROR(_xlfn.CONCAT("D",MATCH(A649,INDIRECT("'"&amp;E649&amp;"'!C"&amp;$O$639&amp;":C"&amp;$O$641),0)+$O$639-1),"")</f>
        <v>D83</v>
      </c>
      <c r="D649" s="826" t="s">
        <v>1350</v>
      </c>
      <c r="E649" s="826" t="s">
        <v>1516</v>
      </c>
      <c r="F649" s="1314" t="s">
        <v>1386</v>
      </c>
      <c r="G649" s="1314" t="str">
        <f>IF(T649&lt;&gt;"","D","")</f>
        <v/>
      </c>
      <c r="H649" s="1314" t="s">
        <v>1990</v>
      </c>
      <c r="I649" s="1274" t="str">
        <f t="shared" si="84"/>
        <v/>
      </c>
      <c r="J649" s="1314"/>
      <c r="K649" s="1314" t="str">
        <f t="shared" si="85"/>
        <v/>
      </c>
      <c r="L649" s="826" t="s">
        <v>1386</v>
      </c>
      <c r="M649" s="1329">
        <v>632</v>
      </c>
      <c r="N649" s="1314"/>
      <c r="O649" s="1311"/>
      <c r="P649" s="1311"/>
      <c r="Q649" s="1311"/>
      <c r="R649" s="577" t="s">
        <v>851</v>
      </c>
      <c r="S649" s="1311"/>
      <c r="T649" s="1314" t="str">
        <f t="shared" si="80"/>
        <v/>
      </c>
      <c r="U649" s="1311"/>
      <c r="V649" s="1311"/>
      <c r="W649" s="1311"/>
      <c r="X649" s="1311"/>
      <c r="Y649" s="1311"/>
      <c r="Z649" s="1311"/>
    </row>
    <row r="650" spans="1:26" x14ac:dyDescent="0.25">
      <c r="A650" s="850" t="s">
        <v>1495</v>
      </c>
      <c r="B650" s="826" t="str">
        <f ca="1">IFERROR(_xlfn.CONCAT("C",MATCH(A650,INDIRECT("'"&amp;E650&amp;"'!C"&amp;$O$639&amp;":C"&amp;$O$641),0)+$O$639-1),"")</f>
        <v>C87</v>
      </c>
      <c r="C650" s="826" t="str">
        <f ca="1">IFERROR(_xlfn.CONCAT("D",MATCH(A650,INDIRECT("'"&amp;E650&amp;"'!C"&amp;$O$639&amp;":C"&amp;$O$641),0)+$O$639-1),"")</f>
        <v>D87</v>
      </c>
      <c r="D650" s="826" t="s">
        <v>1350</v>
      </c>
      <c r="E650" s="826" t="s">
        <v>1516</v>
      </c>
      <c r="F650" s="1314" t="s">
        <v>1495</v>
      </c>
      <c r="G650" s="1314" t="str">
        <f>IF(T650&lt;&gt;"","AN","")</f>
        <v/>
      </c>
      <c r="H650" s="1314" t="s">
        <v>1990</v>
      </c>
      <c r="I650" s="1274" t="str">
        <f t="shared" si="84"/>
        <v/>
      </c>
      <c r="J650" s="1314" t="str">
        <f t="shared" si="81"/>
        <v/>
      </c>
      <c r="K650" s="1314" t="str">
        <f t="shared" si="85"/>
        <v/>
      </c>
      <c r="L650" s="826" t="s">
        <v>1495</v>
      </c>
      <c r="M650" s="1329">
        <v>633</v>
      </c>
      <c r="N650" s="1314"/>
      <c r="O650" s="1405"/>
      <c r="P650" s="1317" t="str" cm="1">
        <f t="array" aca="1" ref="P650" ca="1">_xlfn.CONCAT("F",RIGHT(B650, LEN(B650) - MAX(IF(ISNUMBER(MID(B650, ROW(INDIRECT("1:"&amp;LEN(B650))), 1) *1)=FALSE, ROW(INDIRECT("1:"&amp;LEN(B650))), 0))))</f>
        <v>F87</v>
      </c>
      <c r="Q650" s="1314" t="str" cm="1">
        <f t="array" aca="1" ref="Q650" ca="1">_xlfn.CONCAT("E",RIGHT(C650, LEN(C650) - MAX(IF(ISNUMBER(MID(C650, ROW(INDIRECT("1:"&amp;LEN(C650))), 1) *1)=FALSE, ROW(INDIRECT("1:"&amp;LEN(C650))), 0))))</f>
        <v>E87</v>
      </c>
      <c r="R650" s="577" t="s">
        <v>851</v>
      </c>
      <c r="S650" s="1311"/>
      <c r="T650" s="1314" t="str">
        <f t="shared" si="80"/>
        <v/>
      </c>
      <c r="U650" s="1311"/>
      <c r="V650" s="1311"/>
      <c r="W650" s="1311"/>
      <c r="X650" s="1311"/>
      <c r="Y650" s="1311"/>
      <c r="Z650" s="1311"/>
    </row>
    <row r="651" spans="1:26" x14ac:dyDescent="0.25">
      <c r="A651" s="850" t="s">
        <v>1492</v>
      </c>
      <c r="B651" s="826" t="str">
        <f ca="1">_xlfn.CONCAT(IFERROR(SUBSTITUTE(ADDRESS(1,MATCH(A651,INDIRECT("'"&amp;E651&amp;"'"&amp;"!A" &amp; $O$639 + 12 &amp; ":Z" &amp; $O$639 + 12),0),4),1,""),""),$O$639 + 12)</f>
        <v>H87</v>
      </c>
      <c r="C651" s="826" t="str">
        <f ca="1">_xlfn.CONCAT(IFERROR(SUBSTITUTE(ADDRESS(1,MATCH(A651,INDIRECT("'"&amp;E651&amp;"'"&amp;"!A" &amp; $O$639 + 12 &amp; ":Z" &amp; $O$639 + 12),0),4),1,""),""),$O$639 + 13)</f>
        <v>H88</v>
      </c>
      <c r="D651" s="826" t="s">
        <v>1350</v>
      </c>
      <c r="E651" s="826" t="s">
        <v>1516</v>
      </c>
      <c r="F651" s="1314" t="s">
        <v>1492</v>
      </c>
      <c r="G651" s="1314" t="str">
        <f>IF(T651&lt;&gt;"","AL","")</f>
        <v/>
      </c>
      <c r="H651" s="1314" t="s">
        <v>1990</v>
      </c>
      <c r="I651" s="1274" t="str">
        <f t="shared" si="84"/>
        <v/>
      </c>
      <c r="J651" s="1314" t="str">
        <f t="shared" si="81"/>
        <v/>
      </c>
      <c r="K651" s="1314" t="str">
        <f t="shared" si="85"/>
        <v/>
      </c>
      <c r="L651" s="826" t="s">
        <v>1492</v>
      </c>
      <c r="M651" s="1329">
        <v>634</v>
      </c>
      <c r="N651" s="1314"/>
      <c r="O651" s="1311"/>
      <c r="P651" s="1311"/>
      <c r="Q651" s="1311"/>
      <c r="R651" s="577" t="s">
        <v>851</v>
      </c>
      <c r="S651" s="1311"/>
      <c r="T651" s="1314" t="str">
        <f t="shared" si="80"/>
        <v/>
      </c>
      <c r="U651" s="1311"/>
      <c r="V651" s="1311"/>
      <c r="W651" s="1311"/>
      <c r="X651" s="1311"/>
      <c r="Y651" s="1311"/>
      <c r="Z651" s="1311"/>
    </row>
    <row r="652" spans="1:26" x14ac:dyDescent="0.25">
      <c r="A652" s="850" t="s">
        <v>1506</v>
      </c>
      <c r="B652" s="826" t="str">
        <f ca="1">_xlfn.CONCAT(IFERROR(SUBSTITUTE(ADDRESS(1,MATCH(A652,INDIRECT("'"&amp;E652&amp;"'"&amp;"!A" &amp; $O$639 + 12 &amp; ":Z" &amp; $O$639 + 12),0),4),1,""),""),$O$639 + 12)</f>
        <v>J87</v>
      </c>
      <c r="C652" s="826" t="str">
        <f ca="1">_xlfn.CONCAT(IFERROR(SUBSTITUTE(ADDRESS(1,MATCH(A652,INDIRECT("'"&amp;E652&amp;"'"&amp;"!A" &amp; $O$639 + 12 &amp; ":Z" &amp; $O$639 + 12),0),4),1,""),""),$O$639 + 13)</f>
        <v>J88</v>
      </c>
      <c r="D652" s="826" t="s">
        <v>1350</v>
      </c>
      <c r="E652" s="826" t="s">
        <v>1516</v>
      </c>
      <c r="F652" s="1314" t="s">
        <v>1996</v>
      </c>
      <c r="G652" s="1314" t="str">
        <f>IF(T652&lt;&gt;"","L","")</f>
        <v/>
      </c>
      <c r="H652" s="1314" t="s">
        <v>1990</v>
      </c>
      <c r="I652" s="1274" t="str">
        <f t="shared" si="84"/>
        <v/>
      </c>
      <c r="J652" s="1314" t="str">
        <f t="shared" si="81"/>
        <v/>
      </c>
      <c r="K652" s="1314" t="str">
        <f t="shared" si="85"/>
        <v/>
      </c>
      <c r="L652" s="826" t="s">
        <v>1506</v>
      </c>
      <c r="M652" s="1329">
        <v>635</v>
      </c>
      <c r="N652" s="1314"/>
      <c r="O652" s="1311"/>
      <c r="P652" s="1311"/>
      <c r="Q652" s="1311"/>
      <c r="R652" s="577" t="s">
        <v>851</v>
      </c>
      <c r="S652" s="1311"/>
      <c r="T652" s="1314" t="str">
        <f>IF(Q$639="Yes",6,"")</f>
        <v/>
      </c>
      <c r="U652" s="1311"/>
      <c r="V652" s="1311"/>
      <c r="W652" s="1311"/>
      <c r="X652" s="1311"/>
      <c r="Y652" s="1311"/>
      <c r="Z652" s="1311"/>
    </row>
    <row r="653" spans="1:26" x14ac:dyDescent="0.25">
      <c r="A653" s="850" t="s">
        <v>1387</v>
      </c>
      <c r="B653" s="826" t="str">
        <f ca="1">_xlfn.IFNA(_xlfn.CONCAT(SUBSTITUTE(ADDRESS(1,MATCH(A653,INDIRECT("'"&amp;E653&amp;"'"&amp;"!A" &amp; $O$639 + 5 &amp; ":Z" &amp; $O$639 + 5),0),4),1,""), $O$639 + 6),"")</f>
        <v>H81</v>
      </c>
      <c r="C653" s="826" t="str">
        <f t="shared" ref="C653:C667" ca="1" si="86">_xlfn.IFNA(SUBSTITUTE(ADDRESS(1,MATCH(A653,INDIRECT("'"&amp;E653&amp;"'"&amp;"!A" &amp; $O$639 + 5 &amp; ":Z" &amp; $O$639 + 5),0),4),1,""),"")</f>
        <v>H</v>
      </c>
      <c r="D653" s="826" t="s">
        <v>1357</v>
      </c>
      <c r="E653" s="826" t="s">
        <v>1516</v>
      </c>
      <c r="F653" s="841"/>
      <c r="G653" s="1314"/>
      <c r="H653" s="1314"/>
      <c r="I653" s="1274" t="str">
        <f t="shared" si="84"/>
        <v/>
      </c>
      <c r="J653" s="1314" t="str">
        <f t="shared" si="81"/>
        <v/>
      </c>
      <c r="K653" s="1314" t="str">
        <f t="shared" si="85"/>
        <v/>
      </c>
      <c r="L653" s="826" t="s">
        <v>1387</v>
      </c>
      <c r="M653" s="1329">
        <v>636</v>
      </c>
      <c r="N653" s="1314"/>
      <c r="O653" s="1311"/>
      <c r="P653" s="1311"/>
      <c r="Q653" s="1311"/>
      <c r="R653" s="1314" t="s">
        <v>851</v>
      </c>
      <c r="S653" s="1311"/>
      <c r="T653" s="1314" t="str">
        <f t="shared" ref="T653:T667" si="87">IF(Q$639="Yes",6,"")</f>
        <v/>
      </c>
      <c r="U653" s="1311"/>
      <c r="V653" s="1311"/>
      <c r="W653" s="1311"/>
      <c r="X653" s="1311"/>
      <c r="Y653" s="1311"/>
      <c r="Z653" s="1311"/>
    </row>
    <row r="654" spans="1:26" x14ac:dyDescent="0.25">
      <c r="A654" s="850" t="s">
        <v>1388</v>
      </c>
      <c r="B654" s="826" t="str">
        <f ca="1">_xlfn.IFNA(_xlfn.CONCAT(SUBSTITUTE(ADDRESS(1,MATCH(A654,INDIRECT("'"&amp;E654&amp;"'"&amp;"!A" &amp; $O$639 + 5 &amp; ":Z" &amp; $O$639 + 5),0),4),1,""), $O$639 + 6),"")</f>
        <v>J81</v>
      </c>
      <c r="C654" s="826" t="str">
        <f t="shared" ca="1" si="86"/>
        <v>J</v>
      </c>
      <c r="D654" s="826" t="s">
        <v>1357</v>
      </c>
      <c r="E654" s="826" t="s">
        <v>1516</v>
      </c>
      <c r="F654" s="841"/>
      <c r="G654" s="1314"/>
      <c r="H654" s="1314"/>
      <c r="I654" s="1274" t="str">
        <f t="shared" si="84"/>
        <v/>
      </c>
      <c r="J654" s="1314"/>
      <c r="K654" s="1314" t="str">
        <f t="shared" si="85"/>
        <v/>
      </c>
      <c r="L654" s="826" t="s">
        <v>1388</v>
      </c>
      <c r="M654" s="1329">
        <v>637</v>
      </c>
      <c r="N654" s="1314"/>
      <c r="O654" s="1311"/>
      <c r="P654" s="1311"/>
      <c r="Q654" s="1311"/>
      <c r="R654" s="1314" t="s">
        <v>851</v>
      </c>
      <c r="S654" s="1311"/>
      <c r="T654" s="1314" t="str">
        <f t="shared" si="87"/>
        <v/>
      </c>
      <c r="U654" s="1311"/>
      <c r="V654" s="1311"/>
      <c r="W654" s="1311"/>
      <c r="X654" s="1311"/>
      <c r="Y654" s="1311"/>
      <c r="Z654" s="1311"/>
    </row>
    <row r="655" spans="1:26" x14ac:dyDescent="0.25">
      <c r="A655" s="850" t="s">
        <v>1389</v>
      </c>
      <c r="B655" s="826" t="str">
        <f ca="1">_xlfn.IFNA(_xlfn.CONCAT(SUBSTITUTE(ADDRESS(1,MATCH(A655,INDIRECT("'"&amp;E655&amp;"'"&amp;"!A" &amp; $O$639 + 5 &amp; ":Z" &amp; $O$639 + 5),0),4),1,""),$O$639 + 6),"")</f>
        <v>L81</v>
      </c>
      <c r="C655" s="826" t="str">
        <f t="shared" ca="1" si="86"/>
        <v>L</v>
      </c>
      <c r="D655" s="826" t="s">
        <v>1357</v>
      </c>
      <c r="E655" s="826" t="s">
        <v>1516</v>
      </c>
      <c r="F655" s="1081"/>
      <c r="G655" s="1314"/>
      <c r="H655" s="1314"/>
      <c r="I655" s="1274" t="str">
        <f t="shared" si="84"/>
        <v/>
      </c>
      <c r="J655" s="1314"/>
      <c r="K655" s="1314" t="str">
        <f t="shared" si="85"/>
        <v/>
      </c>
      <c r="L655" s="826" t="s">
        <v>1389</v>
      </c>
      <c r="M655" s="1329">
        <v>638</v>
      </c>
      <c r="N655" s="1314"/>
      <c r="O655" s="1311"/>
      <c r="P655" s="1311"/>
      <c r="Q655" s="1311"/>
      <c r="R655" s="1314" t="s">
        <v>851</v>
      </c>
      <c r="S655" s="1311"/>
      <c r="T655" s="1314" t="str">
        <f t="shared" si="87"/>
        <v/>
      </c>
      <c r="U655" s="1311"/>
      <c r="V655" s="1311"/>
      <c r="W655" s="1311"/>
      <c r="X655" s="1311"/>
      <c r="Y655" s="1311"/>
      <c r="Z655" s="1311"/>
    </row>
    <row r="656" spans="1:26" x14ac:dyDescent="0.25">
      <c r="A656" s="850" t="s">
        <v>1387</v>
      </c>
      <c r="B656" s="826" t="str">
        <f ca="1">_xlfn.IFNA(_xlfn.CONCAT(SUBSTITUTE(ADDRESS(1,MATCH(A656,INDIRECT("'"&amp;E656&amp;"'"&amp;"!A" &amp; $O$639 + 5 &amp; ":Z" &amp; $O$639 + 5),0),4),1,""),$O$639 + 7),"")</f>
        <v>H82</v>
      </c>
      <c r="C656" s="826" t="str">
        <f t="shared" ca="1" si="86"/>
        <v>H</v>
      </c>
      <c r="D656" s="826" t="s">
        <v>1357</v>
      </c>
      <c r="E656" s="826" t="s">
        <v>1516</v>
      </c>
      <c r="F656" s="1314"/>
      <c r="G656" s="1314"/>
      <c r="H656" s="1314"/>
      <c r="I656" s="1274" t="str">
        <f t="shared" si="84"/>
        <v/>
      </c>
      <c r="J656" s="1314" t="str">
        <f t="shared" si="81"/>
        <v/>
      </c>
      <c r="K656" s="1314" t="str">
        <f t="shared" si="85"/>
        <v/>
      </c>
      <c r="L656" s="826" t="s">
        <v>1387</v>
      </c>
      <c r="M656" s="1329">
        <v>639</v>
      </c>
      <c r="N656" s="1314"/>
      <c r="O656" s="1311"/>
      <c r="P656" s="1311"/>
      <c r="Q656" s="1311"/>
      <c r="R656" s="1314" t="s">
        <v>851</v>
      </c>
      <c r="S656" s="1311"/>
      <c r="T656" s="1314" t="str">
        <f t="shared" si="87"/>
        <v/>
      </c>
      <c r="U656" s="1311"/>
      <c r="V656" s="1311"/>
      <c r="W656" s="1311"/>
      <c r="X656" s="1311"/>
      <c r="Y656" s="1311"/>
      <c r="Z656" s="1311"/>
    </row>
    <row r="657" spans="1:26" x14ac:dyDescent="0.25">
      <c r="A657" s="850" t="s">
        <v>1388</v>
      </c>
      <c r="B657" s="826" t="str">
        <f ca="1">_xlfn.IFNA(_xlfn.CONCAT(SUBSTITUTE(ADDRESS(1,MATCH(A657,INDIRECT("'"&amp;E657&amp;"'"&amp;"!A" &amp; $O$639 + 5 &amp; ":Z" &amp; $O$639 + 5),0),4),1,""),$O$639 + 7),"")</f>
        <v>J82</v>
      </c>
      <c r="C657" s="826" t="str">
        <f t="shared" ca="1" si="86"/>
        <v>J</v>
      </c>
      <c r="D657" s="826" t="s">
        <v>1357</v>
      </c>
      <c r="E657" s="826" t="s">
        <v>1516</v>
      </c>
      <c r="F657" s="1314"/>
      <c r="G657" s="1314"/>
      <c r="H657" s="1314"/>
      <c r="I657" s="1274" t="str">
        <f t="shared" si="84"/>
        <v/>
      </c>
      <c r="J657" s="1314"/>
      <c r="K657" s="1314" t="str">
        <f t="shared" si="85"/>
        <v/>
      </c>
      <c r="L657" s="826" t="s">
        <v>1388</v>
      </c>
      <c r="M657" s="1329">
        <v>640</v>
      </c>
      <c r="N657" s="1314"/>
      <c r="O657" s="1311"/>
      <c r="P657" s="1311"/>
      <c r="Q657" s="1311"/>
      <c r="R657" s="1314" t="s">
        <v>851</v>
      </c>
      <c r="S657" s="1311"/>
      <c r="T657" s="1314" t="str">
        <f t="shared" si="87"/>
        <v/>
      </c>
      <c r="U657" s="1311"/>
      <c r="V657" s="1311"/>
      <c r="W657" s="1311"/>
      <c r="X657" s="1311"/>
      <c r="Y657" s="1311"/>
      <c r="Z657" s="1311"/>
    </row>
    <row r="658" spans="1:26" x14ac:dyDescent="0.25">
      <c r="A658" s="850" t="s">
        <v>1389</v>
      </c>
      <c r="B658" s="826" t="str">
        <f ca="1">_xlfn.IFNA(_xlfn.CONCAT(SUBSTITUTE(ADDRESS(1,MATCH(A658,INDIRECT("'"&amp;E658&amp;"'"&amp;"!A" &amp; $O$639 + 5 &amp; ":Z" &amp; $O$639 + 5),0),4),1,""),$O$639 + 7),"")</f>
        <v>L82</v>
      </c>
      <c r="C658" s="826" t="str">
        <f t="shared" ca="1" si="86"/>
        <v>L</v>
      </c>
      <c r="D658" s="826" t="s">
        <v>1357</v>
      </c>
      <c r="E658" s="826" t="s">
        <v>1516</v>
      </c>
      <c r="F658" s="1314"/>
      <c r="G658" s="1314"/>
      <c r="H658" s="1314"/>
      <c r="I658" s="1274" t="str">
        <f t="shared" si="84"/>
        <v/>
      </c>
      <c r="J658" s="1314"/>
      <c r="K658" s="1314" t="str">
        <f t="shared" si="85"/>
        <v/>
      </c>
      <c r="L658" s="826" t="s">
        <v>1389</v>
      </c>
      <c r="M658" s="1329">
        <v>641</v>
      </c>
      <c r="N658" s="1314"/>
      <c r="O658" s="1311"/>
      <c r="P658" s="1311"/>
      <c r="Q658" s="1311"/>
      <c r="R658" s="1314" t="s">
        <v>851</v>
      </c>
      <c r="S658" s="1311"/>
      <c r="T658" s="1314" t="str">
        <f t="shared" si="87"/>
        <v/>
      </c>
      <c r="U658" s="1311"/>
      <c r="V658" s="1311"/>
      <c r="W658" s="1311"/>
      <c r="X658" s="1311"/>
      <c r="Y658" s="1311"/>
      <c r="Z658" s="1311"/>
    </row>
    <row r="659" spans="1:26" x14ac:dyDescent="0.25">
      <c r="A659" s="850" t="s">
        <v>1387</v>
      </c>
      <c r="B659" s="826" t="str">
        <f ca="1">_xlfn.IFNA(_xlfn.CONCAT(SUBSTITUTE(ADDRESS(1,MATCH(A659,INDIRECT("'"&amp;E659&amp;"'"&amp;"!A" &amp; $O$639 + 5 &amp; ":Z" &amp; $O$639 + 5),0),4),1,""),$O$639 + 8),"")</f>
        <v>H83</v>
      </c>
      <c r="C659" s="826" t="str">
        <f t="shared" ca="1" si="86"/>
        <v>H</v>
      </c>
      <c r="D659" s="826" t="s">
        <v>1357</v>
      </c>
      <c r="E659" s="826" t="s">
        <v>1516</v>
      </c>
      <c r="F659" s="1314"/>
      <c r="G659" s="1314"/>
      <c r="H659" s="1314"/>
      <c r="I659" s="1274" t="str">
        <f t="shared" si="84"/>
        <v/>
      </c>
      <c r="J659" s="1314" t="str">
        <f t="shared" si="81"/>
        <v/>
      </c>
      <c r="K659" s="1314" t="str">
        <f t="shared" si="85"/>
        <v/>
      </c>
      <c r="L659" s="826" t="s">
        <v>1387</v>
      </c>
      <c r="M659" s="1329">
        <v>642</v>
      </c>
      <c r="N659" s="1314"/>
      <c r="O659" s="1311"/>
      <c r="P659" s="1311"/>
      <c r="Q659" s="1311"/>
      <c r="R659" s="1314" t="s">
        <v>851</v>
      </c>
      <c r="S659" s="1311"/>
      <c r="T659" s="1314" t="str">
        <f t="shared" si="87"/>
        <v/>
      </c>
      <c r="U659" s="1311"/>
      <c r="V659" s="1311"/>
      <c r="W659" s="1311"/>
      <c r="X659" s="1311"/>
      <c r="Y659" s="1311"/>
      <c r="Z659" s="1311"/>
    </row>
    <row r="660" spans="1:26" x14ac:dyDescent="0.25">
      <c r="A660" s="850" t="s">
        <v>1388</v>
      </c>
      <c r="B660" s="826" t="str">
        <f ca="1">_xlfn.IFNA(_xlfn.CONCAT(SUBSTITUTE(ADDRESS(1,MATCH(A660,INDIRECT("'"&amp;E660&amp;"'"&amp;"!A" &amp; $O$639 + 5 &amp; ":Z" &amp; $O$639 + 5),0),4),1,""),$O$639 + 8),"")</f>
        <v>J83</v>
      </c>
      <c r="C660" s="826" t="str">
        <f t="shared" ca="1" si="86"/>
        <v>J</v>
      </c>
      <c r="D660" s="826" t="s">
        <v>1357</v>
      </c>
      <c r="E660" s="826" t="s">
        <v>1516</v>
      </c>
      <c r="F660" s="1314"/>
      <c r="G660" s="1314"/>
      <c r="H660" s="1314"/>
      <c r="I660" s="1274" t="str">
        <f t="shared" si="84"/>
        <v/>
      </c>
      <c r="J660" s="1314"/>
      <c r="K660" s="1314" t="str">
        <f t="shared" si="85"/>
        <v/>
      </c>
      <c r="L660" s="826" t="s">
        <v>1388</v>
      </c>
      <c r="M660" s="1329">
        <v>643</v>
      </c>
      <c r="N660" s="1314"/>
      <c r="O660" s="1311"/>
      <c r="P660" s="1311"/>
      <c r="Q660" s="1311"/>
      <c r="R660" s="1314" t="s">
        <v>851</v>
      </c>
      <c r="S660" s="1311"/>
      <c r="T660" s="1314" t="str">
        <f t="shared" si="87"/>
        <v/>
      </c>
      <c r="U660" s="1311"/>
      <c r="V660" s="1311"/>
      <c r="W660" s="1311"/>
      <c r="X660" s="1311"/>
      <c r="Y660" s="1311"/>
      <c r="Z660" s="1311"/>
    </row>
    <row r="661" spans="1:26" x14ac:dyDescent="0.25">
      <c r="A661" s="850" t="s">
        <v>1389</v>
      </c>
      <c r="B661" s="826" t="str">
        <f ca="1">_xlfn.IFNA(_xlfn.CONCAT(SUBSTITUTE(ADDRESS(1,MATCH(A661,INDIRECT("'"&amp;E661&amp;"'"&amp;"!A" &amp; $O$639 + 5 &amp; ":Z" &amp; $O$639 + 5),0),4),1,""),$O$639 + 8),"")</f>
        <v>L83</v>
      </c>
      <c r="C661" s="826" t="str">
        <f t="shared" ca="1" si="86"/>
        <v>L</v>
      </c>
      <c r="D661" s="826" t="s">
        <v>1357</v>
      </c>
      <c r="E661" s="826" t="s">
        <v>1516</v>
      </c>
      <c r="F661" s="1314"/>
      <c r="G661" s="1314"/>
      <c r="H661" s="1314"/>
      <c r="I661" s="1274" t="str">
        <f t="shared" si="84"/>
        <v/>
      </c>
      <c r="J661" s="1314"/>
      <c r="K661" s="1314" t="str">
        <f t="shared" si="85"/>
        <v/>
      </c>
      <c r="L661" s="826" t="s">
        <v>1389</v>
      </c>
      <c r="M661" s="1329">
        <v>644</v>
      </c>
      <c r="N661" s="1314"/>
      <c r="O661" s="1311"/>
      <c r="P661" s="1311"/>
      <c r="Q661" s="1311"/>
      <c r="R661" s="1314" t="s">
        <v>851</v>
      </c>
      <c r="S661" s="1311"/>
      <c r="T661" s="1314" t="str">
        <f t="shared" si="87"/>
        <v/>
      </c>
      <c r="U661" s="1311"/>
      <c r="V661" s="1311"/>
      <c r="W661" s="1311"/>
      <c r="X661" s="1311"/>
      <c r="Y661" s="1311"/>
      <c r="Z661" s="1311"/>
    </row>
    <row r="662" spans="1:26" x14ac:dyDescent="0.25">
      <c r="A662" s="850" t="s">
        <v>1387</v>
      </c>
      <c r="B662" s="826" t="str">
        <f ca="1">_xlfn.IFNA(_xlfn.CONCAT(SUBSTITUTE(ADDRESS(1,MATCH(A662,INDIRECT("'"&amp;E662&amp;"'"&amp;"!A" &amp; $O$639 + 5 &amp; ":Z" &amp; $O$639 + 5),0),4),1,""),$O$639 + 9),"")</f>
        <v>H84</v>
      </c>
      <c r="C662" s="826" t="str">
        <f t="shared" ca="1" si="86"/>
        <v>H</v>
      </c>
      <c r="D662" s="826" t="s">
        <v>1357</v>
      </c>
      <c r="E662" s="826" t="s">
        <v>1516</v>
      </c>
      <c r="F662" s="1314"/>
      <c r="G662" s="1314"/>
      <c r="H662" s="1314"/>
      <c r="I662" s="1274" t="str">
        <f t="shared" si="84"/>
        <v/>
      </c>
      <c r="J662" s="1314" t="str">
        <f t="shared" si="81"/>
        <v/>
      </c>
      <c r="K662" s="1314" t="str">
        <f t="shared" si="85"/>
        <v/>
      </c>
      <c r="L662" s="826" t="s">
        <v>1387</v>
      </c>
      <c r="M662" s="1329">
        <v>645</v>
      </c>
      <c r="N662" s="1314"/>
      <c r="O662" s="1311"/>
      <c r="P662" s="1311"/>
      <c r="Q662" s="1311"/>
      <c r="R662" s="1314" t="s">
        <v>851</v>
      </c>
      <c r="S662" s="1311"/>
      <c r="T662" s="1314" t="str">
        <f t="shared" si="87"/>
        <v/>
      </c>
      <c r="U662" s="1311"/>
      <c r="V662" s="1311"/>
      <c r="W662" s="1311"/>
      <c r="X662" s="1311"/>
      <c r="Y662" s="1311"/>
      <c r="Z662" s="1311"/>
    </row>
    <row r="663" spans="1:26" x14ac:dyDescent="0.25">
      <c r="A663" s="850" t="s">
        <v>1388</v>
      </c>
      <c r="B663" s="826" t="str">
        <f ca="1">_xlfn.IFNA(_xlfn.CONCAT(SUBSTITUTE(ADDRESS(1,MATCH(A663,INDIRECT("'"&amp;E663&amp;"'"&amp;"!A" &amp; $O$639 + 5 &amp; ":Z" &amp; $O$639 + 5),0),4),1,""),$O$639 + 9),"")</f>
        <v>J84</v>
      </c>
      <c r="C663" s="826" t="str">
        <f t="shared" ca="1" si="86"/>
        <v>J</v>
      </c>
      <c r="D663" s="826" t="s">
        <v>1357</v>
      </c>
      <c r="E663" s="826" t="s">
        <v>1516</v>
      </c>
      <c r="F663" s="1314"/>
      <c r="G663" s="1314"/>
      <c r="H663" s="1314"/>
      <c r="I663" s="1274" t="str">
        <f t="shared" si="84"/>
        <v/>
      </c>
      <c r="J663" s="1314"/>
      <c r="K663" s="1314" t="str">
        <f t="shared" si="85"/>
        <v/>
      </c>
      <c r="L663" s="826" t="s">
        <v>1388</v>
      </c>
      <c r="M663" s="1329">
        <v>646</v>
      </c>
      <c r="N663" s="1314"/>
      <c r="O663" s="1311"/>
      <c r="P663" s="1311"/>
      <c r="Q663" s="1311"/>
      <c r="R663" s="1314" t="s">
        <v>851</v>
      </c>
      <c r="S663" s="1311"/>
      <c r="T663" s="1314" t="str">
        <f t="shared" si="87"/>
        <v/>
      </c>
      <c r="U663" s="1311"/>
      <c r="V663" s="1311"/>
      <c r="W663" s="1311"/>
      <c r="X663" s="1311"/>
      <c r="Y663" s="1311"/>
      <c r="Z663" s="1311"/>
    </row>
    <row r="664" spans="1:26" x14ac:dyDescent="0.25">
      <c r="A664" s="850" t="s">
        <v>1389</v>
      </c>
      <c r="B664" s="826" t="str">
        <f ca="1">_xlfn.IFNA(_xlfn.CONCAT(SUBSTITUTE(ADDRESS(1,MATCH(A664,INDIRECT("'"&amp;E664&amp;"'"&amp;"!A" &amp; $O$639 + 5 &amp; ":Z" &amp; $O$639 + 5),0),4),1,""),$O$639 + 9),"")</f>
        <v>L84</v>
      </c>
      <c r="C664" s="826" t="str">
        <f t="shared" ca="1" si="86"/>
        <v>L</v>
      </c>
      <c r="D664" s="826" t="s">
        <v>1357</v>
      </c>
      <c r="E664" s="826" t="s">
        <v>1516</v>
      </c>
      <c r="F664" s="1314"/>
      <c r="G664" s="1314"/>
      <c r="H664" s="1314"/>
      <c r="I664" s="1274" t="str">
        <f t="shared" si="84"/>
        <v/>
      </c>
      <c r="J664" s="1314"/>
      <c r="K664" s="1314" t="str">
        <f t="shared" si="85"/>
        <v/>
      </c>
      <c r="L664" s="826" t="s">
        <v>1389</v>
      </c>
      <c r="M664" s="1329">
        <v>647</v>
      </c>
      <c r="N664" s="1314"/>
      <c r="O664" s="1311"/>
      <c r="P664" s="1311"/>
      <c r="Q664" s="1311"/>
      <c r="R664" s="1314" t="s">
        <v>851</v>
      </c>
      <c r="S664" s="1311"/>
      <c r="T664" s="1314" t="str">
        <f t="shared" si="87"/>
        <v/>
      </c>
      <c r="U664" s="1311"/>
      <c r="V664" s="1311"/>
      <c r="W664" s="1311"/>
      <c r="X664" s="1311"/>
      <c r="Y664" s="1311"/>
      <c r="Z664" s="1311"/>
    </row>
    <row r="665" spans="1:26" x14ac:dyDescent="0.25">
      <c r="A665" s="850" t="s">
        <v>1387</v>
      </c>
      <c r="B665" s="826" t="str">
        <f ca="1">_xlfn.IFNA(_xlfn.CONCAT(SUBSTITUTE(ADDRESS(1,MATCH(A665,INDIRECT("'"&amp;E665&amp;"'"&amp;"!A" &amp; $O$639 + 5 &amp; ":Z" &amp; $O$639 + 5),0),4),1,""),$O$639 + 10),"")</f>
        <v>H85</v>
      </c>
      <c r="C665" s="826" t="str">
        <f t="shared" ca="1" si="86"/>
        <v>H</v>
      </c>
      <c r="D665" s="826" t="s">
        <v>1357</v>
      </c>
      <c r="E665" s="826" t="s">
        <v>1516</v>
      </c>
      <c r="F665" s="1314"/>
      <c r="G665" s="1314"/>
      <c r="H665" s="1314"/>
      <c r="I665" s="1274" t="str">
        <f t="shared" si="84"/>
        <v/>
      </c>
      <c r="J665" s="1314" t="str">
        <f t="shared" si="81"/>
        <v/>
      </c>
      <c r="K665" s="1314" t="str">
        <f t="shared" si="85"/>
        <v/>
      </c>
      <c r="L665" s="826" t="s">
        <v>1387</v>
      </c>
      <c r="M665" s="1329">
        <v>648</v>
      </c>
      <c r="N665" s="1314"/>
      <c r="O665" s="1311"/>
      <c r="P665" s="1311"/>
      <c r="Q665" s="1311"/>
      <c r="R665" s="1314" t="s">
        <v>851</v>
      </c>
      <c r="S665" s="1311"/>
      <c r="T665" s="1314" t="str">
        <f t="shared" si="87"/>
        <v/>
      </c>
      <c r="U665" s="1311"/>
      <c r="V665" s="1311"/>
      <c r="W665" s="1311"/>
      <c r="X665" s="1311"/>
      <c r="Y665" s="1311"/>
      <c r="Z665" s="1311"/>
    </row>
    <row r="666" spans="1:26" x14ac:dyDescent="0.25">
      <c r="A666" s="850" t="s">
        <v>1388</v>
      </c>
      <c r="B666" s="826" t="str">
        <f ca="1">_xlfn.IFNA(_xlfn.CONCAT(SUBSTITUTE(ADDRESS(1,MATCH(A666,INDIRECT("'"&amp;E666&amp;"'"&amp;"!A" &amp; $O$639 + 5 &amp; ":Z" &amp; $O$639 + 5),0),4),1,""),$O$639 + 10),"")</f>
        <v>J85</v>
      </c>
      <c r="C666" s="826" t="str">
        <f t="shared" ca="1" si="86"/>
        <v>J</v>
      </c>
      <c r="D666" s="826" t="s">
        <v>1357</v>
      </c>
      <c r="E666" s="826" t="s">
        <v>1516</v>
      </c>
      <c r="F666" s="1314"/>
      <c r="G666" s="1314"/>
      <c r="H666" s="1314"/>
      <c r="I666" s="1274" t="str">
        <f t="shared" si="84"/>
        <v/>
      </c>
      <c r="J666" s="1314"/>
      <c r="K666" s="1314" t="str">
        <f t="shared" si="85"/>
        <v/>
      </c>
      <c r="L666" s="826" t="s">
        <v>1388</v>
      </c>
      <c r="M666" s="1329">
        <v>649</v>
      </c>
      <c r="N666" s="1314"/>
      <c r="O666" s="1311"/>
      <c r="P666" s="1311"/>
      <c r="Q666" s="1311"/>
      <c r="R666" s="1314" t="s">
        <v>851</v>
      </c>
      <c r="S666" s="1311"/>
      <c r="T666" s="1314" t="str">
        <f t="shared" si="87"/>
        <v/>
      </c>
      <c r="U666" s="1311"/>
      <c r="V666" s="1311"/>
      <c r="W666" s="1311"/>
      <c r="X666" s="1311"/>
      <c r="Y666" s="1311"/>
      <c r="Z666" s="1311"/>
    </row>
    <row r="667" spans="1:26" x14ac:dyDescent="0.25">
      <c r="A667" s="850" t="s">
        <v>1389</v>
      </c>
      <c r="B667" s="826" t="str">
        <f ca="1">_xlfn.IFNA(_xlfn.CONCAT(SUBSTITUTE(ADDRESS(1,MATCH(A667,INDIRECT("'"&amp;E667&amp;"'"&amp;"!A" &amp; $O$639 + 5 &amp; ":Z" &amp; $O$639 + 5),0),4),1,""),$O$639 + 10),"")</f>
        <v>L85</v>
      </c>
      <c r="C667" s="826" t="str">
        <f t="shared" ca="1" si="86"/>
        <v>L</v>
      </c>
      <c r="D667" s="826" t="s">
        <v>1357</v>
      </c>
      <c r="E667" s="826" t="s">
        <v>1516</v>
      </c>
      <c r="F667" s="1314"/>
      <c r="G667" s="1314"/>
      <c r="H667" s="1314"/>
      <c r="I667" s="1274" t="str">
        <f t="shared" si="84"/>
        <v/>
      </c>
      <c r="J667" s="1314"/>
      <c r="K667" s="1314" t="str">
        <f t="shared" si="85"/>
        <v/>
      </c>
      <c r="L667" s="826" t="s">
        <v>1389</v>
      </c>
      <c r="M667" s="1329">
        <v>650</v>
      </c>
      <c r="N667" s="1314"/>
      <c r="O667" s="1311"/>
      <c r="P667" s="1311"/>
      <c r="Q667" s="1311"/>
      <c r="R667" s="1314" t="s">
        <v>851</v>
      </c>
      <c r="S667" s="1311"/>
      <c r="T667" s="1314" t="str">
        <f t="shared" si="87"/>
        <v/>
      </c>
      <c r="U667" s="1311"/>
      <c r="V667" s="1311"/>
      <c r="W667" s="1311"/>
      <c r="X667" s="1311"/>
      <c r="Y667" s="1311"/>
      <c r="Z667" s="1311"/>
    </row>
    <row r="668" spans="1:26" x14ac:dyDescent="0.25">
      <c r="A668" s="850" t="s">
        <v>1508</v>
      </c>
      <c r="B668" s="826" t="str">
        <f ca="1">_xlfn.CONCAT(IFERROR(SUBSTITUTE(ADDRESS(1,MATCH(A668,INDIRECT("'"&amp;E668&amp;"'"&amp;"!A" &amp; $O$639 + 12 &amp; ":Z" &amp; $O$639 + 12),0),4),1,""),""),$O$639 + 12)</f>
        <v>P87</v>
      </c>
      <c r="C668" s="826" t="str">
        <f ca="1">_xlfn.CONCAT(IFERROR(SUBSTITUTE(ADDRESS(1,MATCH(A668,INDIRECT("'"&amp;E668&amp;"'"&amp;"!A" &amp; $O$639 + 12 &amp; ":Z" &amp; $O$639 + 12),0),4),1,""),""),$O$639 + 13)</f>
        <v>P88</v>
      </c>
      <c r="D668" s="826" t="s">
        <v>1350</v>
      </c>
      <c r="E668" s="826" t="s">
        <v>1516</v>
      </c>
      <c r="F668" s="1314" t="s">
        <v>1508</v>
      </c>
      <c r="G668" s="1314" t="str">
        <f>IF(T668&lt;&gt;"","P","")</f>
        <v/>
      </c>
      <c r="H668" s="1314" t="s">
        <v>1990</v>
      </c>
      <c r="I668" s="1274" t="str">
        <f t="shared" si="84"/>
        <v/>
      </c>
      <c r="J668" s="1314" t="str">
        <f t="shared" si="81"/>
        <v/>
      </c>
      <c r="K668" s="1314" t="str">
        <f t="shared" si="85"/>
        <v/>
      </c>
      <c r="L668" s="826" t="s">
        <v>1508</v>
      </c>
      <c r="M668" s="1329">
        <v>651</v>
      </c>
      <c r="N668" s="1314"/>
      <c r="O668" s="1311"/>
      <c r="P668" s="1311"/>
      <c r="Q668" s="1311"/>
      <c r="R668" s="577" t="s">
        <v>851</v>
      </c>
      <c r="S668" s="1311"/>
      <c r="T668" s="1314" t="str">
        <f>IF(Q$639="Yes",6,"")</f>
        <v/>
      </c>
      <c r="U668" s="1311"/>
      <c r="V668" s="1311"/>
      <c r="W668" s="1311"/>
      <c r="X668" s="1311"/>
      <c r="Y668" s="1311"/>
      <c r="Z668" s="1311"/>
    </row>
    <row r="669" spans="1:26" x14ac:dyDescent="0.25">
      <c r="A669" s="847" t="s">
        <v>1491</v>
      </c>
      <c r="B669" s="826" t="str">
        <f ca="1">IFERROR(_xlfn.CONCAT("C",MATCH(A669,INDIRECT("'"&amp;E669&amp;"'!C"&amp;$O$670&amp;":C"&amp;$O$672),0)+$O$670-1),"")</f>
        <v>C95</v>
      </c>
      <c r="C669" s="826" t="str">
        <f ca="1">IFERROR(_xlfn.CONCAT("D",MATCH(A669,INDIRECT("'"&amp;E669&amp;"'!C"&amp;$O$670&amp;":C"&amp;$O$672),0)+$O$670-1),"")</f>
        <v>D95</v>
      </c>
      <c r="D669" s="826" t="s">
        <v>1350</v>
      </c>
      <c r="E669" s="826" t="s">
        <v>1516</v>
      </c>
      <c r="F669" s="1314" t="s">
        <v>1491</v>
      </c>
      <c r="G669" s="1314" t="str">
        <f>IF(T669&lt;&gt;"","A","")</f>
        <v/>
      </c>
      <c r="H669" s="1314" t="s">
        <v>1990</v>
      </c>
      <c r="I669" s="1274" t="str">
        <f t="shared" si="84"/>
        <v/>
      </c>
      <c r="J669" s="1314"/>
      <c r="K669" s="1314" t="str">
        <f t="shared" si="85"/>
        <v/>
      </c>
      <c r="L669" s="826" t="s">
        <v>1491</v>
      </c>
      <c r="M669" s="1329">
        <v>652</v>
      </c>
      <c r="N669" s="1314"/>
      <c r="O669" s="1311" t="s">
        <v>725</v>
      </c>
      <c r="P669" s="1311"/>
      <c r="Q669" s="1311"/>
      <c r="R669" s="1314" t="s">
        <v>1525</v>
      </c>
      <c r="S669" s="1311"/>
      <c r="T669" s="1314" t="str">
        <f t="shared" ref="T669:T682" si="88">IF(Q$670="Yes",7,"")</f>
        <v/>
      </c>
      <c r="U669" s="1311"/>
      <c r="V669" s="1311"/>
      <c r="W669" s="1311"/>
      <c r="X669" s="1311"/>
      <c r="Y669" s="1311"/>
      <c r="Z669" s="1311"/>
    </row>
    <row r="670" spans="1:26" x14ac:dyDescent="0.25">
      <c r="A670" s="847" t="s">
        <v>1705</v>
      </c>
      <c r="B670" s="826" t="str">
        <f ca="1">_xlfn.CONCAT(IFERROR(SUBSTITUTE(ADDRESS(1,MATCH(A670,INDIRECT("'"&amp;E670&amp;"'"&amp;"!A" &amp; $O$670 + 11 &amp; ":Z" &amp; $O$670 + 11),0),4),1,""),""),$O$670 + 11)</f>
        <v>T102</v>
      </c>
      <c r="C670" s="826" t="str">
        <f ca="1">_xlfn.CONCAT(IFERROR(SUBSTITUTE(ADDRESS(1,MATCH(A670,INDIRECT("'"&amp;E670&amp;"'"&amp;"!A" &amp; $O$670 + 11 &amp; ":Z" &amp; $O$670 + 11),0),4),1,""),""),$O$670 + 12)</f>
        <v>T103</v>
      </c>
      <c r="D670" s="826" t="s">
        <v>1350</v>
      </c>
      <c r="E670" s="826" t="s">
        <v>1516</v>
      </c>
      <c r="F670" s="1314"/>
      <c r="G670" s="1314"/>
      <c r="H670" s="1314"/>
      <c r="I670" s="1274" t="str">
        <f t="shared" si="84"/>
        <v/>
      </c>
      <c r="J670" s="1314" t="str">
        <f t="shared" ref="J670:J684" si="89">IF(M670&lt;&gt;"",IF($Q$670="Yes",Q$1&amp;M670,""))</f>
        <v/>
      </c>
      <c r="K670" s="1314" t="str">
        <f t="shared" si="85"/>
        <v/>
      </c>
      <c r="L670" s="826" t="s">
        <v>1705</v>
      </c>
      <c r="M670" s="1329">
        <v>653</v>
      </c>
      <c r="N670" s="1314"/>
      <c r="O670" s="1311">
        <f>'Configurable Tab'!H9</f>
        <v>91</v>
      </c>
      <c r="P670" s="1406" t="str">
        <f>'Configurable Tab'!J9</f>
        <v>Yes</v>
      </c>
      <c r="Q670" s="1351" t="s">
        <v>648</v>
      </c>
      <c r="R670" s="1314" t="s">
        <v>1525</v>
      </c>
      <c r="S670" s="1311"/>
      <c r="T670" s="1314" t="str">
        <f t="shared" si="88"/>
        <v/>
      </c>
      <c r="U670" s="1311"/>
      <c r="V670" s="1311"/>
      <c r="W670" s="1311"/>
      <c r="X670" s="1311"/>
      <c r="Y670" s="1311"/>
      <c r="Z670" s="1311"/>
    </row>
    <row r="671" spans="1:26" x14ac:dyDescent="0.25">
      <c r="A671" s="847" t="s">
        <v>1383</v>
      </c>
      <c r="B671" s="826" t="str">
        <f ca="1">IFERROR(_xlfn.CONCAT("C",MATCH(A671,INDIRECT("'"&amp;E671&amp;"'!C"&amp;$O$670&amp;":C"&amp;$O$672),0)+$O$670-1),"")</f>
        <v>C93</v>
      </c>
      <c r="C671" s="826" t="str">
        <f ca="1">IFERROR(_xlfn.CONCAT("D",MATCH(A671,INDIRECT("'"&amp;E671&amp;"'!C"&amp;$O$670&amp;":C"&amp;$O$672),0)+$O$670-1),"")</f>
        <v>D93</v>
      </c>
      <c r="D671" s="826" t="s">
        <v>1350</v>
      </c>
      <c r="E671" s="826" t="s">
        <v>1516</v>
      </c>
      <c r="F671" s="1314" t="s">
        <v>1383</v>
      </c>
      <c r="G671" s="1314" t="str">
        <f>IF(T671&lt;&gt;"","B","")</f>
        <v/>
      </c>
      <c r="H671" s="1314" t="s">
        <v>1990</v>
      </c>
      <c r="I671" s="1274" t="str">
        <f t="shared" si="84"/>
        <v/>
      </c>
      <c r="J671" s="1314"/>
      <c r="K671" s="1314" t="str">
        <f t="shared" si="85"/>
        <v/>
      </c>
      <c r="L671" s="826" t="s">
        <v>1383</v>
      </c>
      <c r="M671" s="1329">
        <v>654</v>
      </c>
      <c r="N671" s="1314"/>
      <c r="O671" s="1311" t="s">
        <v>726</v>
      </c>
      <c r="P671" s="1311"/>
      <c r="Q671" s="1311"/>
      <c r="R671" s="1314" t="s">
        <v>1525</v>
      </c>
      <c r="S671" s="1311"/>
      <c r="T671" s="1314" t="str">
        <f t="shared" si="88"/>
        <v/>
      </c>
      <c r="U671" s="1311"/>
      <c r="V671" s="1311"/>
      <c r="W671" s="1311"/>
      <c r="X671" s="1311"/>
      <c r="Y671" s="1311"/>
      <c r="Z671" s="1311"/>
    </row>
    <row r="672" spans="1:26" x14ac:dyDescent="0.25">
      <c r="A672" s="847" t="s">
        <v>1380</v>
      </c>
      <c r="B672" s="826" t="str">
        <f t="shared" ref="B672:B678" ca="1" si="90">_xlfn.CONCAT(IFERROR(SUBSTITUTE(ADDRESS(1,MATCH(A672,INDIRECT("'"&amp;E672&amp;"'"&amp;"!A" &amp; $O$670 + 2 &amp; ":Z" &amp; $O$670 + 2),0),4),1,""),""),$O$670 + 2)</f>
        <v>H93</v>
      </c>
      <c r="C672" s="826" t="str">
        <f t="shared" ref="C672:C678" ca="1" si="91">_xlfn.CONCAT(IFERROR(SUBSTITUTE(ADDRESS(1,MATCH(A672,INDIRECT("'"&amp;E672&amp;"'"&amp;"!A" &amp; $O$670 + 2 &amp; ":Z" &amp; $O$670 + 2),0),4),1,""),""),$O$670 + 3)</f>
        <v>H94</v>
      </c>
      <c r="D672" s="826" t="s">
        <v>1350</v>
      </c>
      <c r="E672" s="826" t="s">
        <v>1516</v>
      </c>
      <c r="F672" s="1314" t="s">
        <v>1991</v>
      </c>
      <c r="G672" s="1314" t="str">
        <f>IF(T672&lt;&gt;"","E","")</f>
        <v/>
      </c>
      <c r="H672" s="1314" t="s">
        <v>1990</v>
      </c>
      <c r="I672" s="1274" t="str">
        <f t="shared" si="84"/>
        <v/>
      </c>
      <c r="J672" s="1314" t="str">
        <f t="shared" si="89"/>
        <v/>
      </c>
      <c r="K672" s="1314" t="str">
        <f t="shared" si="85"/>
        <v/>
      </c>
      <c r="L672" s="826" t="s">
        <v>1380</v>
      </c>
      <c r="M672" s="1329">
        <v>655</v>
      </c>
      <c r="N672" s="1314"/>
      <c r="O672" s="1311">
        <f>'Configurable Tab'!I9</f>
        <v>104</v>
      </c>
      <c r="P672" s="1311"/>
      <c r="Q672" s="1311"/>
      <c r="R672" s="1314" t="s">
        <v>1525</v>
      </c>
      <c r="S672" s="1311"/>
      <c r="T672" s="1314" t="str">
        <f t="shared" si="88"/>
        <v/>
      </c>
      <c r="U672" s="1311"/>
      <c r="V672" s="1311"/>
      <c r="W672" s="1311"/>
      <c r="X672" s="1311"/>
      <c r="Y672" s="1311"/>
      <c r="Z672" s="1311"/>
    </row>
    <row r="673" spans="1:26" x14ac:dyDescent="0.25">
      <c r="A673" s="847" t="s">
        <v>1381</v>
      </c>
      <c r="B673" s="826" t="str">
        <f t="shared" ca="1" si="90"/>
        <v>J93</v>
      </c>
      <c r="C673" s="826" t="str">
        <f t="shared" ca="1" si="91"/>
        <v>J94</v>
      </c>
      <c r="D673" s="826" t="s">
        <v>1350</v>
      </c>
      <c r="E673" s="826" t="s">
        <v>1516</v>
      </c>
      <c r="F673" s="1314" t="s">
        <v>1992</v>
      </c>
      <c r="G673" s="1314" t="str">
        <f>IF(T673&lt;&gt;"","I","")</f>
        <v/>
      </c>
      <c r="H673" s="1314" t="s">
        <v>1990</v>
      </c>
      <c r="I673" s="1274" t="str">
        <f t="shared" si="84"/>
        <v/>
      </c>
      <c r="J673" s="1314" t="str">
        <f t="shared" si="89"/>
        <v/>
      </c>
      <c r="K673" s="1314" t="str">
        <f t="shared" si="85"/>
        <v/>
      </c>
      <c r="L673" s="826" t="s">
        <v>1381</v>
      </c>
      <c r="M673" s="1329">
        <v>656</v>
      </c>
      <c r="N673" s="1314"/>
      <c r="O673" s="1311" t="s">
        <v>1638</v>
      </c>
      <c r="P673" s="1311"/>
      <c r="Q673" s="1311" t="s">
        <v>482</v>
      </c>
      <c r="R673" s="1314" t="s">
        <v>1525</v>
      </c>
      <c r="S673" s="1311"/>
      <c r="T673" s="1314" t="str">
        <f t="shared" si="88"/>
        <v/>
      </c>
      <c r="U673" s="1311"/>
      <c r="V673" s="1311"/>
      <c r="W673" s="1311"/>
      <c r="X673" s="1311"/>
      <c r="Y673" s="1311"/>
      <c r="Z673" s="1311"/>
    </row>
    <row r="674" spans="1:26" x14ac:dyDescent="0.25">
      <c r="A674" s="847" t="s">
        <v>1397</v>
      </c>
      <c r="B674" s="826" t="str">
        <f t="shared" ca="1" si="90"/>
        <v>L93</v>
      </c>
      <c r="C674" s="826" t="str">
        <f t="shared" ca="1" si="91"/>
        <v>L94</v>
      </c>
      <c r="D674" s="826" t="s">
        <v>1350</v>
      </c>
      <c r="E674" s="826" t="s">
        <v>1516</v>
      </c>
      <c r="F674" s="1314" t="s">
        <v>1993</v>
      </c>
      <c r="G674" s="1314" t="str">
        <f>IF(T674&lt;&gt;"","H","")</f>
        <v/>
      </c>
      <c r="H674" s="1314" t="s">
        <v>1990</v>
      </c>
      <c r="I674" s="1274" t="str">
        <f t="shared" si="84"/>
        <v/>
      </c>
      <c r="J674" s="1314" t="str">
        <f t="shared" si="89"/>
        <v/>
      </c>
      <c r="K674" s="1314" t="str">
        <f t="shared" si="85"/>
        <v/>
      </c>
      <c r="L674" s="826" t="s">
        <v>1397</v>
      </c>
      <c r="M674" s="1329">
        <v>657</v>
      </c>
      <c r="N674" s="1314"/>
      <c r="O674" s="1311"/>
      <c r="P674" s="1311"/>
      <c r="Q674" s="1311"/>
      <c r="R674" s="1314" t="s">
        <v>1525</v>
      </c>
      <c r="S674" s="1311"/>
      <c r="T674" s="1314" t="str">
        <f t="shared" si="88"/>
        <v/>
      </c>
      <c r="U674" s="1311"/>
      <c r="V674" s="1311"/>
      <c r="W674" s="1311"/>
      <c r="X674" s="1311"/>
      <c r="Y674" s="1311"/>
      <c r="Z674" s="1311"/>
    </row>
    <row r="675" spans="1:26" x14ac:dyDescent="0.25">
      <c r="A675" s="847" t="s">
        <v>1382</v>
      </c>
      <c r="B675" s="826" t="str">
        <f t="shared" ca="1" si="90"/>
        <v>N93</v>
      </c>
      <c r="C675" s="826" t="str">
        <f t="shared" ca="1" si="91"/>
        <v>N94</v>
      </c>
      <c r="D675" s="826" t="s">
        <v>1350</v>
      </c>
      <c r="E675" s="826" t="s">
        <v>1516</v>
      </c>
      <c r="F675" s="1314" t="s">
        <v>1382</v>
      </c>
      <c r="G675" s="1314" t="str">
        <f>IF(T675&lt;&gt;"",IF(Q673="Credit Memo","J",IF(Q673="Check","K","")),"")</f>
        <v/>
      </c>
      <c r="H675" s="1314" t="s">
        <v>1990</v>
      </c>
      <c r="I675" s="1274" t="str">
        <f t="shared" si="84"/>
        <v/>
      </c>
      <c r="J675" s="1314" t="str">
        <f t="shared" si="89"/>
        <v/>
      </c>
      <c r="K675" s="1314" t="str">
        <f t="shared" si="85"/>
        <v/>
      </c>
      <c r="L675" s="826" t="s">
        <v>1382</v>
      </c>
      <c r="M675" s="1329">
        <v>658</v>
      </c>
      <c r="N675" s="1314"/>
      <c r="O675" s="1311"/>
      <c r="P675" s="1311"/>
      <c r="Q675" s="1311"/>
      <c r="R675" s="1314" t="s">
        <v>1525</v>
      </c>
      <c r="S675" s="1311"/>
      <c r="T675" s="1314" t="str">
        <f t="shared" si="88"/>
        <v/>
      </c>
      <c r="U675" s="1311"/>
      <c r="V675" s="1311"/>
      <c r="W675" s="1311"/>
      <c r="X675" s="1311"/>
      <c r="Y675" s="1311"/>
      <c r="Z675" s="1311"/>
    </row>
    <row r="676" spans="1:26" x14ac:dyDescent="0.25">
      <c r="A676" s="847" t="s">
        <v>1486</v>
      </c>
      <c r="B676" s="826" t="str">
        <f t="shared" ca="1" si="90"/>
        <v>P93</v>
      </c>
      <c r="C676" s="826" t="str">
        <f t="shared" ca="1" si="91"/>
        <v>P94</v>
      </c>
      <c r="D676" s="826" t="s">
        <v>1350</v>
      </c>
      <c r="E676" s="826" t="s">
        <v>1516</v>
      </c>
      <c r="F676" s="1314" t="s">
        <v>1994</v>
      </c>
      <c r="G676" s="1314" t="str">
        <f>IF(T676&lt;&gt;"","F","")</f>
        <v/>
      </c>
      <c r="H676" s="1314" t="s">
        <v>1990</v>
      </c>
      <c r="I676" s="1274" t="str">
        <f t="shared" si="84"/>
        <v/>
      </c>
      <c r="J676" s="1314" t="str">
        <f t="shared" si="89"/>
        <v/>
      </c>
      <c r="K676" s="1314" t="str">
        <f t="shared" si="85"/>
        <v/>
      </c>
      <c r="L676" s="826" t="s">
        <v>1486</v>
      </c>
      <c r="M676" s="1329">
        <v>659</v>
      </c>
      <c r="N676" s="1314"/>
      <c r="O676" s="1311"/>
      <c r="P676" s="1311"/>
      <c r="Q676" s="1311"/>
      <c r="R676" s="1314" t="s">
        <v>1525</v>
      </c>
      <c r="S676" s="1311"/>
      <c r="T676" s="1314" t="str">
        <f t="shared" si="88"/>
        <v/>
      </c>
      <c r="U676" s="1311"/>
      <c r="V676" s="1311"/>
      <c r="W676" s="1311"/>
      <c r="X676" s="1311"/>
      <c r="Y676" s="1311"/>
      <c r="Z676" s="1311"/>
    </row>
    <row r="677" spans="1:26" x14ac:dyDescent="0.25">
      <c r="A677" s="847" t="s">
        <v>1487</v>
      </c>
      <c r="B677" s="826" t="str">
        <f t="shared" ca="1" si="90"/>
        <v>R93</v>
      </c>
      <c r="C677" s="826" t="str">
        <f t="shared" ca="1" si="91"/>
        <v>R94</v>
      </c>
      <c r="D677" s="826" t="s">
        <v>1350</v>
      </c>
      <c r="E677" s="826" t="s">
        <v>1516</v>
      </c>
      <c r="F677" s="1314" t="s">
        <v>1995</v>
      </c>
      <c r="G677" s="1314" t="str">
        <f>IF(T677&lt;&gt;"","G","")</f>
        <v/>
      </c>
      <c r="H677" s="1314" t="s">
        <v>1990</v>
      </c>
      <c r="I677" s="1274" t="str">
        <f t="shared" si="84"/>
        <v/>
      </c>
      <c r="J677" s="1314" t="str">
        <f t="shared" si="89"/>
        <v/>
      </c>
      <c r="K677" s="1314" t="str">
        <f t="shared" si="85"/>
        <v/>
      </c>
      <c r="L677" s="826" t="s">
        <v>1487</v>
      </c>
      <c r="M677" s="1329">
        <v>660</v>
      </c>
      <c r="N677" s="1314"/>
      <c r="O677" s="1311"/>
      <c r="P677" s="1311"/>
      <c r="Q677" s="1311"/>
      <c r="R677" s="1314" t="s">
        <v>1525</v>
      </c>
      <c r="S677" s="1311"/>
      <c r="T677" s="1314" t="str">
        <f t="shared" si="88"/>
        <v/>
      </c>
      <c r="U677" s="1311"/>
      <c r="V677" s="1311"/>
      <c r="W677" s="1311"/>
      <c r="X677" s="1311"/>
      <c r="Y677" s="1311"/>
      <c r="Z677" s="1311"/>
    </row>
    <row r="678" spans="1:26" x14ac:dyDescent="0.25">
      <c r="A678" s="847" t="s">
        <v>1488</v>
      </c>
      <c r="B678" s="826" t="str">
        <f t="shared" ca="1" si="90"/>
        <v>T93</v>
      </c>
      <c r="C678" s="826" t="str">
        <f t="shared" ca="1" si="91"/>
        <v>T94</v>
      </c>
      <c r="D678" s="826" t="s">
        <v>1350</v>
      </c>
      <c r="E678" s="826" t="s">
        <v>1516</v>
      </c>
      <c r="F678" s="841" t="s">
        <v>1488</v>
      </c>
      <c r="G678" s="1314" t="str">
        <f>IF(T678&lt;&gt;"","AW","")</f>
        <v/>
      </c>
      <c r="H678" s="1314" t="s">
        <v>1990</v>
      </c>
      <c r="I678" s="1274" t="str">
        <f t="shared" si="84"/>
        <v/>
      </c>
      <c r="J678" s="1314" t="str">
        <f t="shared" si="89"/>
        <v/>
      </c>
      <c r="K678" s="1314" t="str">
        <f t="shared" si="85"/>
        <v/>
      </c>
      <c r="L678" s="826" t="s">
        <v>1488</v>
      </c>
      <c r="M678" s="1329">
        <v>661</v>
      </c>
      <c r="N678" s="1314"/>
      <c r="O678" s="1311"/>
      <c r="P678" s="1311"/>
      <c r="Q678" s="1311"/>
      <c r="R678" s="1314" t="s">
        <v>1525</v>
      </c>
      <c r="S678" s="1311"/>
      <c r="T678" s="1314" t="str">
        <f t="shared" si="88"/>
        <v/>
      </c>
      <c r="U678" s="1311"/>
      <c r="V678" s="1311"/>
      <c r="W678" s="1311"/>
      <c r="X678" s="1311"/>
      <c r="Y678" s="1311"/>
      <c r="Z678" s="1311"/>
    </row>
    <row r="679" spans="1:26" x14ac:dyDescent="0.25">
      <c r="A679" s="847" t="s">
        <v>1385</v>
      </c>
      <c r="B679" s="826" t="str">
        <f ca="1">IFERROR(_xlfn.CONCAT("C",MATCH(A679,INDIRECT("'"&amp;E679&amp;"'!C"&amp;$O$670&amp;":C"&amp;$O$672),0)+$O$670-1),"")</f>
        <v>C97</v>
      </c>
      <c r="C679" s="826" t="str">
        <f ca="1">IFERROR(_xlfn.CONCAT("D",MATCH(A679,INDIRECT("'"&amp;E679&amp;"'!C"&amp;$O$670&amp;":C"&amp;$O$672),0)+$O$670-1),"")</f>
        <v>D97</v>
      </c>
      <c r="D679" s="826" t="s">
        <v>1350</v>
      </c>
      <c r="E679" s="826" t="s">
        <v>1516</v>
      </c>
      <c r="F679" s="1314" t="s">
        <v>1385</v>
      </c>
      <c r="G679" s="1314" t="str">
        <f>IF(T679&lt;&gt;"","C","")</f>
        <v/>
      </c>
      <c r="H679" s="1314" t="s">
        <v>1990</v>
      </c>
      <c r="I679" s="1274" t="str">
        <f t="shared" si="84"/>
        <v/>
      </c>
      <c r="J679" s="1314"/>
      <c r="K679" s="1314" t="str">
        <f t="shared" si="85"/>
        <v/>
      </c>
      <c r="L679" s="826" t="s">
        <v>1385</v>
      </c>
      <c r="M679" s="1329">
        <v>662</v>
      </c>
      <c r="N679" s="1314"/>
      <c r="O679" s="1311"/>
      <c r="P679" s="1311"/>
      <c r="Q679" s="1311"/>
      <c r="R679" s="1314" t="s">
        <v>1525</v>
      </c>
      <c r="S679" s="1311"/>
      <c r="T679" s="1314" t="str">
        <f t="shared" si="88"/>
        <v/>
      </c>
      <c r="U679" s="1311"/>
      <c r="V679" s="1311"/>
      <c r="W679" s="1311"/>
      <c r="X679" s="1311"/>
      <c r="Y679" s="1311"/>
      <c r="Z679" s="1311"/>
    </row>
    <row r="680" spans="1:26" x14ac:dyDescent="0.25">
      <c r="A680" s="847" t="s">
        <v>1386</v>
      </c>
      <c r="B680" s="826" t="str">
        <f ca="1">IFERROR(_xlfn.CONCAT("C",MATCH(A680,INDIRECT("'"&amp;E680&amp;"'!C"&amp;$O$670&amp;":C"&amp;$O$672),0)+$O$670-1),"")</f>
        <v>C99</v>
      </c>
      <c r="C680" s="826" t="str">
        <f ca="1">IFERROR(_xlfn.CONCAT("D",MATCH(A680,INDIRECT("'"&amp;E680&amp;"'!C"&amp;$O$670&amp;":C"&amp;$O$672),0)+$O$670-1),"")</f>
        <v>D99</v>
      </c>
      <c r="D680" s="826" t="s">
        <v>1350</v>
      </c>
      <c r="E680" s="826" t="s">
        <v>1516</v>
      </c>
      <c r="F680" s="1314" t="s">
        <v>1386</v>
      </c>
      <c r="G680" s="1314" t="str">
        <f>IF(T680&lt;&gt;"","D","")</f>
        <v/>
      </c>
      <c r="H680" s="1314" t="s">
        <v>1990</v>
      </c>
      <c r="I680" s="1274" t="str">
        <f t="shared" si="84"/>
        <v/>
      </c>
      <c r="J680" s="1314"/>
      <c r="K680" s="1314" t="str">
        <f t="shared" si="85"/>
        <v/>
      </c>
      <c r="L680" s="826" t="s">
        <v>1386</v>
      </c>
      <c r="M680" s="1329">
        <v>663</v>
      </c>
      <c r="N680" s="1314"/>
      <c r="O680" s="1311"/>
      <c r="P680" s="1311"/>
      <c r="Q680" s="1311"/>
      <c r="R680" s="1314" t="s">
        <v>1525</v>
      </c>
      <c r="S680" s="1311"/>
      <c r="T680" s="1314" t="str">
        <f t="shared" si="88"/>
        <v/>
      </c>
      <c r="U680" s="1311"/>
      <c r="V680" s="1311"/>
      <c r="W680" s="1311"/>
      <c r="X680" s="1311"/>
      <c r="Y680" s="1311"/>
      <c r="Z680" s="1311"/>
    </row>
    <row r="681" spans="1:26" x14ac:dyDescent="0.25">
      <c r="A681" s="847" t="s">
        <v>1495</v>
      </c>
      <c r="B681" s="826" t="str">
        <f ca="1">IFERROR(_xlfn.CONCAT("C",MATCH(A681,INDIRECT("'"&amp;E681&amp;"'!C"&amp;$O$670&amp;":C"&amp;$O$672),0)+$O$670-1),"")</f>
        <v>C101</v>
      </c>
      <c r="C681" s="826" t="str">
        <f ca="1">IFERROR(_xlfn.CONCAT("D",MATCH(A681,INDIRECT("'"&amp;E681&amp;"'!C"&amp;$O$670&amp;":C"&amp;$O$672),0)+$O$670-1),"")</f>
        <v>D101</v>
      </c>
      <c r="D681" s="826" t="s">
        <v>1350</v>
      </c>
      <c r="E681" s="826" t="s">
        <v>1516</v>
      </c>
      <c r="F681" s="1314" t="s">
        <v>1495</v>
      </c>
      <c r="G681" s="1314" t="str">
        <f>IF(T681&lt;&gt;"","AN","")</f>
        <v/>
      </c>
      <c r="H681" s="1314" t="s">
        <v>1990</v>
      </c>
      <c r="I681" s="1274" t="str">
        <f t="shared" si="84"/>
        <v/>
      </c>
      <c r="J681" s="1314" t="str">
        <f t="shared" si="89"/>
        <v/>
      </c>
      <c r="K681" s="1314" t="str">
        <f t="shared" si="85"/>
        <v/>
      </c>
      <c r="L681" s="826" t="s">
        <v>1495</v>
      </c>
      <c r="M681" s="1329">
        <v>664</v>
      </c>
      <c r="N681" s="1314"/>
      <c r="O681" s="1405"/>
      <c r="P681" s="1317" t="str" cm="1">
        <f t="array" aca="1" ref="P681" ca="1">_xlfn.CONCAT("F",RIGHT(B681, LEN(B681) - MAX(IF(ISNUMBER(MID(B681, ROW(INDIRECT("1:"&amp;LEN(B681))), 1) *1)=FALSE, ROW(INDIRECT("1:"&amp;LEN(B681))), 0))))</f>
        <v>F101</v>
      </c>
      <c r="Q681" s="1314" t="str" cm="1">
        <f t="array" aca="1" ref="Q681" ca="1">_xlfn.CONCAT("E",RIGHT(C681, LEN(C681) - MAX(IF(ISNUMBER(MID(C681, ROW(INDIRECT("1:"&amp;LEN(C681))), 1) *1)=FALSE, ROW(INDIRECT("1:"&amp;LEN(C681))), 0))))</f>
        <v>E101</v>
      </c>
      <c r="R681" s="1314" t="s">
        <v>1525</v>
      </c>
      <c r="S681" s="1311"/>
      <c r="T681" s="1314" t="str">
        <f t="shared" si="88"/>
        <v/>
      </c>
      <c r="U681" s="1311"/>
      <c r="V681" s="1311"/>
      <c r="W681" s="1311"/>
      <c r="X681" s="1311"/>
      <c r="Y681" s="1311"/>
      <c r="Z681" s="1311"/>
    </row>
    <row r="682" spans="1:26" x14ac:dyDescent="0.25">
      <c r="A682" s="847" t="s">
        <v>1492</v>
      </c>
      <c r="B682" s="826" t="str">
        <f ca="1">_xlfn.CONCAT(IFERROR(SUBSTITUTE(ADDRESS(1,MATCH(A682,INDIRECT("'"&amp;E682&amp;"'"&amp;"!A" &amp; $O$670 + 8 &amp; ":Z" &amp; $O$670 + 8),0),4),1,""),""),$O$670 + 8)</f>
        <v>H99</v>
      </c>
      <c r="C682" s="826" t="str">
        <f ca="1">_xlfn.CONCAT(IFERROR(SUBSTITUTE(ADDRESS(1,MATCH(A682,INDIRECT("'"&amp;E682&amp;"'"&amp;"!A" &amp; $O$670 + 8 &amp; ":Z" &amp; $O$670 + 8),0),4),1,""),""),$O$670 + 9)</f>
        <v>H100</v>
      </c>
      <c r="D682" s="826" t="s">
        <v>1350</v>
      </c>
      <c r="E682" s="826" t="s">
        <v>1516</v>
      </c>
      <c r="F682" s="1314" t="s">
        <v>1492</v>
      </c>
      <c r="G682" s="1314" t="str">
        <f>IF(T682&lt;&gt;"","AL","")</f>
        <v/>
      </c>
      <c r="H682" s="1314" t="s">
        <v>1990</v>
      </c>
      <c r="I682" s="1274" t="str">
        <f t="shared" si="84"/>
        <v/>
      </c>
      <c r="J682" s="1314" t="str">
        <f t="shared" si="89"/>
        <v/>
      </c>
      <c r="K682" s="1314" t="str">
        <f t="shared" si="85"/>
        <v/>
      </c>
      <c r="L682" s="826" t="s">
        <v>1492</v>
      </c>
      <c r="M682" s="1329">
        <v>665</v>
      </c>
      <c r="N682" s="1314"/>
      <c r="O682" s="1311"/>
      <c r="P682" s="1311"/>
      <c r="Q682" s="1311"/>
      <c r="R682" s="1314" t="s">
        <v>1525</v>
      </c>
      <c r="S682" s="1311"/>
      <c r="T682" s="1314" t="str">
        <f t="shared" si="88"/>
        <v/>
      </c>
      <c r="U682" s="1311"/>
      <c r="V682" s="1311"/>
      <c r="W682" s="1311"/>
      <c r="X682" s="1311"/>
      <c r="Y682" s="1311"/>
      <c r="Z682" s="1311"/>
    </row>
    <row r="683" spans="1:26" x14ac:dyDescent="0.25">
      <c r="A683" s="847" t="s">
        <v>1506</v>
      </c>
      <c r="B683" s="826" t="str">
        <f ca="1">_xlfn.CONCAT(IFERROR(SUBSTITUTE(ADDRESS(1,MATCH(A683,INDIRECT("'"&amp;E683&amp;"'"&amp;"!A" &amp; $O$670 + 8 &amp; ":Z" &amp; $O$670 + 8),0),4),1,""),""),$O$670 + 8)</f>
        <v>J99</v>
      </c>
      <c r="C683" s="826" t="str">
        <f ca="1">_xlfn.CONCAT(IFERROR(SUBSTITUTE(ADDRESS(1,MATCH(A683,INDIRECT("'"&amp;E683&amp;"'"&amp;"!A" &amp; $O$670 + 8 &amp; ":Z" &amp; $O$670 + 8),0),4),1,""),""),$O$670 + 9)</f>
        <v>J100</v>
      </c>
      <c r="D683" s="826" t="s">
        <v>1350</v>
      </c>
      <c r="E683" s="826" t="s">
        <v>1516</v>
      </c>
      <c r="F683" s="1314" t="s">
        <v>1996</v>
      </c>
      <c r="G683" s="1314" t="str">
        <f>IF(T683&lt;&gt;"","L","")</f>
        <v/>
      </c>
      <c r="H683" s="1314" t="s">
        <v>1990</v>
      </c>
      <c r="I683" s="1274" t="str">
        <f t="shared" si="84"/>
        <v/>
      </c>
      <c r="J683" s="1314" t="str">
        <f t="shared" si="89"/>
        <v/>
      </c>
      <c r="K683" s="1314" t="str">
        <f t="shared" si="85"/>
        <v/>
      </c>
      <c r="L683" s="826" t="s">
        <v>1506</v>
      </c>
      <c r="M683" s="1329">
        <v>666</v>
      </c>
      <c r="N683" s="1314"/>
      <c r="O683" s="1311"/>
      <c r="P683" s="1311"/>
      <c r="Q683" s="1311"/>
      <c r="R683" s="1314" t="s">
        <v>1525</v>
      </c>
      <c r="S683" s="1311"/>
      <c r="T683" s="1314" t="str">
        <f>IF(Q$670="Yes",7,"")</f>
        <v/>
      </c>
      <c r="U683" s="1311"/>
      <c r="V683" s="1311"/>
      <c r="W683" s="1311"/>
      <c r="X683" s="1311"/>
      <c r="Y683" s="1311"/>
      <c r="Z683" s="1311"/>
    </row>
    <row r="684" spans="1:26" x14ac:dyDescent="0.25">
      <c r="A684" s="847" t="s">
        <v>1387</v>
      </c>
      <c r="B684" s="826" t="str">
        <f ca="1">_xlfn.CONCAT(IFERROR(SUBSTITUTE(ADDRESS(1,MATCH(A684,INDIRECT("'"&amp;E684&amp;"'"&amp;"!A" &amp; $O$670 + 5 &amp; ":Z" &amp; $O$670 + 5),0),4),1,""),""),$O$670 + 5)</f>
        <v>H96</v>
      </c>
      <c r="C684" s="826" t="str">
        <f ca="1">_xlfn.CONCAT(IFERROR(SUBSTITUTE(ADDRESS(1,MATCH(A684,INDIRECT("'"&amp;E684&amp;"'"&amp;"!A" &amp; $O$670 + 5 &amp; ":Z" &amp; $O$670 + 5),0),4),1,""),""),$O$670 + 6)</f>
        <v>H97</v>
      </c>
      <c r="D684" s="826" t="s">
        <v>1350</v>
      </c>
      <c r="E684" s="826" t="s">
        <v>1516</v>
      </c>
      <c r="F684" s="841" t="s">
        <v>1387</v>
      </c>
      <c r="G684" s="1314" t="str">
        <f>IF(T684&lt;&gt;"","AH","")</f>
        <v/>
      </c>
      <c r="H684" s="1314" t="s">
        <v>1990</v>
      </c>
      <c r="I684" s="1274" t="str">
        <f t="shared" si="84"/>
        <v/>
      </c>
      <c r="J684" s="1314" t="str">
        <f t="shared" si="89"/>
        <v/>
      </c>
      <c r="K684" s="1314" t="str">
        <f t="shared" si="85"/>
        <v/>
      </c>
      <c r="L684" s="826" t="s">
        <v>1387</v>
      </c>
      <c r="M684" s="1329">
        <v>667</v>
      </c>
      <c r="N684" s="1314"/>
      <c r="O684" s="1311"/>
      <c r="P684" s="1311"/>
      <c r="Q684" s="1311"/>
      <c r="R684" s="1314" t="s">
        <v>1525</v>
      </c>
      <c r="S684" s="1311"/>
      <c r="T684" s="1314" t="str">
        <f t="shared" ref="T684:T686" si="92">IF(Q$670="Yes",7,"")</f>
        <v/>
      </c>
      <c r="U684" s="1311"/>
      <c r="V684" s="1311"/>
      <c r="W684" s="1311"/>
      <c r="X684" s="1311"/>
      <c r="Y684" s="1311"/>
      <c r="Z684" s="1311"/>
    </row>
    <row r="685" spans="1:26" x14ac:dyDescent="0.25">
      <c r="A685" s="847" t="s">
        <v>1388</v>
      </c>
      <c r="B685" s="826" t="str">
        <f ca="1">_xlfn.CONCAT(IFERROR(SUBSTITUTE(ADDRESS(1,MATCH(A685,INDIRECT("'"&amp;E685&amp;"'"&amp;"!A" &amp; $O$670 + 5 &amp; ":Z" &amp; $O$670 + 5),0),4),1,""),""),$O$670 + 5)</f>
        <v>J96</v>
      </c>
      <c r="C685" s="826" t="str">
        <f ca="1">_xlfn.CONCAT(IFERROR(SUBSTITUTE(ADDRESS(1,MATCH(A685,INDIRECT("'"&amp;E685&amp;"'"&amp;"!A" &amp; $O$670 + 5 &amp; ":Z" &amp; $O$670 + 5),0),4),1,""),""),$O$670 + 6)</f>
        <v>J97</v>
      </c>
      <c r="D685" s="826" t="s">
        <v>1350</v>
      </c>
      <c r="E685" s="826" t="s">
        <v>1516</v>
      </c>
      <c r="F685" s="841"/>
      <c r="G685" s="1314"/>
      <c r="H685" s="1314"/>
      <c r="I685" s="1274" t="str">
        <f t="shared" si="84"/>
        <v/>
      </c>
      <c r="J685" s="1314"/>
      <c r="K685" s="1314" t="str">
        <f t="shared" si="85"/>
        <v/>
      </c>
      <c r="L685" s="826" t="s">
        <v>1388</v>
      </c>
      <c r="M685" s="1329">
        <v>668</v>
      </c>
      <c r="N685" s="1314"/>
      <c r="O685" s="1311"/>
      <c r="P685" s="1311"/>
      <c r="Q685" s="1311"/>
      <c r="R685" s="1314" t="s">
        <v>1525</v>
      </c>
      <c r="S685" s="1311"/>
      <c r="T685" s="1314" t="str">
        <f t="shared" si="92"/>
        <v/>
      </c>
      <c r="U685" s="1311"/>
      <c r="V685" s="1311"/>
      <c r="W685" s="1311"/>
      <c r="X685" s="1311"/>
      <c r="Y685" s="1311"/>
      <c r="Z685" s="1311"/>
    </row>
    <row r="686" spans="1:26" x14ac:dyDescent="0.25">
      <c r="A686" s="847" t="s">
        <v>1389</v>
      </c>
      <c r="B686" s="826" t="str">
        <f ca="1">_xlfn.CONCAT(IFERROR(SUBSTITUTE(ADDRESS(1,MATCH(A686,INDIRECT("'"&amp;E686&amp;"'"&amp;"!A" &amp; $O$670 + 5 &amp; ":Z" &amp; $O$670 + 5),0),4),1,""),""),$O$670 + 5)</f>
        <v>L96</v>
      </c>
      <c r="C686" s="826" t="str">
        <f ca="1">_xlfn.CONCAT(IFERROR(SUBSTITUTE(ADDRESS(1,MATCH(A686,INDIRECT("'"&amp;E686&amp;"'"&amp;"!A" &amp; $O$670 + 5 &amp; ":Z" &amp; $O$670 + 5),0),4),1,""),""),$O$670 + 6)</f>
        <v>L97</v>
      </c>
      <c r="D686" s="826" t="s">
        <v>1350</v>
      </c>
      <c r="E686" s="826" t="s">
        <v>1516</v>
      </c>
      <c r="F686" s="1314" t="s">
        <v>1912</v>
      </c>
      <c r="G686" s="1314" t="str">
        <f>IF(T686&lt;&gt;"","AI","")</f>
        <v/>
      </c>
      <c r="H686" s="1314" t="s">
        <v>1990</v>
      </c>
      <c r="I686" s="1274" t="str">
        <f t="shared" si="84"/>
        <v/>
      </c>
      <c r="J686" s="1314"/>
      <c r="K686" s="1314" t="str">
        <f t="shared" si="85"/>
        <v/>
      </c>
      <c r="L686" s="826" t="s">
        <v>1389</v>
      </c>
      <c r="M686" s="1329">
        <v>669</v>
      </c>
      <c r="N686" s="1314"/>
      <c r="O686" s="1311"/>
      <c r="P686" s="1311"/>
      <c r="Q686" s="1311"/>
      <c r="R686" s="1314" t="s">
        <v>1525</v>
      </c>
      <c r="S686" s="1311"/>
      <c r="T686" s="1314" t="str">
        <f t="shared" si="92"/>
        <v/>
      </c>
      <c r="U686" s="1311"/>
      <c r="V686" s="1311"/>
      <c r="W686" s="1311"/>
      <c r="X686" s="1311"/>
      <c r="Y686" s="1311"/>
      <c r="Z686" s="1311"/>
    </row>
    <row r="687" spans="1:26" x14ac:dyDescent="0.25">
      <c r="A687" s="850" t="s">
        <v>1491</v>
      </c>
      <c r="B687" s="826" t="str">
        <f ca="1">IFERROR(_xlfn.CONCAT("C",MATCH(A687,INDIRECT("'"&amp;E687&amp;"'!C"&amp;$O$688&amp;":C"&amp;$O$690),0)+$O$688-1),"")</f>
        <v>C109</v>
      </c>
      <c r="C687" s="826" t="str">
        <f ca="1">IFERROR(_xlfn.CONCAT("D",MATCH(A687,INDIRECT("'"&amp;E687&amp;"'!C"&amp;$O$688&amp;":C"&amp;$O$690),0)+$O$688-1),"")</f>
        <v>D109</v>
      </c>
      <c r="D687" s="826" t="s">
        <v>1350</v>
      </c>
      <c r="E687" s="826" t="s">
        <v>1516</v>
      </c>
      <c r="F687" s="1314" t="s">
        <v>1491</v>
      </c>
      <c r="G687" s="1314" t="str">
        <f>IF(T687&lt;&gt;"","A","")</f>
        <v/>
      </c>
      <c r="H687" s="1314" t="s">
        <v>1990</v>
      </c>
      <c r="I687" s="1274" t="str">
        <f t="shared" si="84"/>
        <v/>
      </c>
      <c r="J687" s="1314"/>
      <c r="K687" s="1314" t="str">
        <f t="shared" si="85"/>
        <v/>
      </c>
      <c r="L687" s="826" t="s">
        <v>1491</v>
      </c>
      <c r="M687" s="1329">
        <v>670</v>
      </c>
      <c r="N687" s="1314"/>
      <c r="O687" s="1311" t="s">
        <v>725</v>
      </c>
      <c r="P687" s="1311"/>
      <c r="Q687" s="1311"/>
      <c r="R687" s="1314" t="s">
        <v>1525</v>
      </c>
      <c r="S687" s="1311"/>
      <c r="T687" s="1314" t="str">
        <f t="shared" ref="T687:T704" si="93">IF(Q$688="Yes",8,"")</f>
        <v/>
      </c>
      <c r="U687" s="1311"/>
      <c r="V687" s="1311"/>
      <c r="W687" s="1311"/>
      <c r="X687" s="1311"/>
      <c r="Y687" s="1311"/>
      <c r="Z687" s="1311"/>
    </row>
    <row r="688" spans="1:26" x14ac:dyDescent="0.25">
      <c r="A688" s="850" t="s">
        <v>1705</v>
      </c>
      <c r="B688" s="826" t="str">
        <f ca="1">_xlfn.CONCAT(IFERROR(SUBSTITUTE(ADDRESS(1,MATCH(A688,INDIRECT("'"&amp;E688&amp;"'"&amp;"!A" &amp; $O$688 + 11 &amp; ":Z" &amp; $O$688 + 11),0),4),1,""),""),$O$688 + 11)</f>
        <v>T116</v>
      </c>
      <c r="C688" s="826" t="str">
        <f ca="1">_xlfn.CONCAT(IFERROR(SUBSTITUTE(ADDRESS(1,MATCH(A688,INDIRECT("'"&amp;E688&amp;"'"&amp;"!A" &amp; $O$688 + 11 &amp; ":Z" &amp; $O$688 + 11),0),4),1,""),""),$O$688 + 12)</f>
        <v>T117</v>
      </c>
      <c r="D688" s="826" t="s">
        <v>1350</v>
      </c>
      <c r="E688" s="826" t="s">
        <v>1516</v>
      </c>
      <c r="F688" s="1314"/>
      <c r="G688" s="1314"/>
      <c r="H688" s="1314"/>
      <c r="I688" s="1274" t="str">
        <f t="shared" si="84"/>
        <v/>
      </c>
      <c r="J688" s="1314" t="str">
        <f t="shared" ref="J688:J702" si="94">IF(M688&lt;&gt;"",IF($Q$688="Yes",Q$1&amp;M688,""))</f>
        <v/>
      </c>
      <c r="K688" s="1314" t="str">
        <f t="shared" si="85"/>
        <v/>
      </c>
      <c r="L688" s="826" t="s">
        <v>1705</v>
      </c>
      <c r="M688" s="1329">
        <v>671</v>
      </c>
      <c r="N688" s="1314"/>
      <c r="O688" s="1311">
        <f>'Configurable Tab'!H10</f>
        <v>105</v>
      </c>
      <c r="P688" s="1406" t="str">
        <f>'Configurable Tab'!J10</f>
        <v>Yes</v>
      </c>
      <c r="Q688" s="1351" t="s">
        <v>648</v>
      </c>
      <c r="R688" s="1314" t="s">
        <v>1525</v>
      </c>
      <c r="S688" s="1311"/>
      <c r="T688" s="1314" t="str">
        <f t="shared" si="93"/>
        <v/>
      </c>
      <c r="U688" s="1311"/>
      <c r="V688" s="1311"/>
      <c r="W688" s="1311"/>
      <c r="X688" s="1311"/>
      <c r="Y688" s="1311"/>
      <c r="Z688" s="1311"/>
    </row>
    <row r="689" spans="1:26" x14ac:dyDescent="0.25">
      <c r="A689" s="850" t="s">
        <v>1383</v>
      </c>
      <c r="B689" s="826" t="str">
        <f ca="1">IFERROR(_xlfn.CONCAT("C",MATCH(A689,INDIRECT("'"&amp;E689&amp;"'!C"&amp;$O$688&amp;":C"&amp;$O$690),0)+$O$688-1),"")</f>
        <v>C107</v>
      </c>
      <c r="C689" s="826" t="str">
        <f ca="1">IFERROR(_xlfn.CONCAT("D",MATCH(A689,INDIRECT("'"&amp;E689&amp;"'!C"&amp;$O$688&amp;":C"&amp;$O$690),0)+$O$688-1),"")</f>
        <v>D107</v>
      </c>
      <c r="D689" s="826" t="s">
        <v>1350</v>
      </c>
      <c r="E689" s="826" t="s">
        <v>1516</v>
      </c>
      <c r="F689" s="1314" t="s">
        <v>1383</v>
      </c>
      <c r="G689" s="1314" t="str">
        <f>IF(T689&lt;&gt;"","B","")</f>
        <v/>
      </c>
      <c r="H689" s="1314" t="s">
        <v>1990</v>
      </c>
      <c r="I689" s="1274" t="str">
        <f t="shared" si="84"/>
        <v/>
      </c>
      <c r="J689" s="1314"/>
      <c r="K689" s="1314" t="str">
        <f t="shared" si="85"/>
        <v/>
      </c>
      <c r="L689" s="826" t="s">
        <v>1383</v>
      </c>
      <c r="M689" s="1329">
        <v>672</v>
      </c>
      <c r="N689" s="1314"/>
      <c r="O689" s="1311" t="s">
        <v>726</v>
      </c>
      <c r="P689" s="1311"/>
      <c r="Q689" s="1311"/>
      <c r="R689" s="1314" t="s">
        <v>1525</v>
      </c>
      <c r="S689" s="1311"/>
      <c r="T689" s="1314" t="str">
        <f t="shared" si="93"/>
        <v/>
      </c>
      <c r="U689" s="1311"/>
      <c r="V689" s="1311"/>
      <c r="W689" s="1311"/>
      <c r="X689" s="1311"/>
      <c r="Y689" s="1311"/>
      <c r="Z689" s="1311"/>
    </row>
    <row r="690" spans="1:26" x14ac:dyDescent="0.25">
      <c r="A690" s="850" t="s">
        <v>1380</v>
      </c>
      <c r="B690" s="826" t="str">
        <f t="shared" ref="B690:B696" ca="1" si="95">_xlfn.CONCAT(IFERROR(SUBSTITUTE(ADDRESS(1,MATCH(A690,INDIRECT("'"&amp;E690&amp;"'"&amp;"!A" &amp; $O$688 + 2 &amp; ":Z" &amp; $O$688 + 2),0),4),1,""),""),$O$688 + 2)</f>
        <v>H107</v>
      </c>
      <c r="C690" s="826" t="str">
        <f t="shared" ref="C690:C696" ca="1" si="96">_xlfn.CONCAT(IFERROR(SUBSTITUTE(ADDRESS(1,MATCH(A690,INDIRECT("'"&amp;E690&amp;"'"&amp;"!A" &amp; $O$688 + 2 &amp; ":Z" &amp; $O$688 + 2),0),4),1,""),""),$O$688 + 3)</f>
        <v>H108</v>
      </c>
      <c r="D690" s="826" t="s">
        <v>1350</v>
      </c>
      <c r="E690" s="826" t="s">
        <v>1516</v>
      </c>
      <c r="F690" s="1314" t="s">
        <v>1991</v>
      </c>
      <c r="G690" s="1314" t="str">
        <f>IF(T690&lt;&gt;"","E","")</f>
        <v/>
      </c>
      <c r="H690" s="1314" t="s">
        <v>1990</v>
      </c>
      <c r="I690" s="1274" t="str">
        <f t="shared" si="84"/>
        <v/>
      </c>
      <c r="J690" s="1314" t="str">
        <f t="shared" si="94"/>
        <v/>
      </c>
      <c r="K690" s="1314" t="str">
        <f t="shared" si="85"/>
        <v/>
      </c>
      <c r="L690" s="826" t="s">
        <v>1380</v>
      </c>
      <c r="M690" s="1329">
        <v>673</v>
      </c>
      <c r="N690" s="1314"/>
      <c r="O690" s="1311">
        <f>'Configurable Tab'!I10</f>
        <v>118</v>
      </c>
      <c r="P690" s="1311"/>
      <c r="Q690" s="1311"/>
      <c r="R690" s="1314" t="s">
        <v>1525</v>
      </c>
      <c r="S690" s="1311"/>
      <c r="T690" s="1314" t="str">
        <f t="shared" si="93"/>
        <v/>
      </c>
      <c r="U690" s="1311"/>
      <c r="V690" s="1311"/>
      <c r="W690" s="1311"/>
      <c r="X690" s="1311"/>
      <c r="Y690" s="1311"/>
      <c r="Z690" s="1311"/>
    </row>
    <row r="691" spans="1:26" x14ac:dyDescent="0.25">
      <c r="A691" s="850" t="s">
        <v>1381</v>
      </c>
      <c r="B691" s="826" t="str">
        <f t="shared" ca="1" si="95"/>
        <v>J107</v>
      </c>
      <c r="C691" s="826" t="str">
        <f t="shared" ca="1" si="96"/>
        <v>J108</v>
      </c>
      <c r="D691" s="826" t="s">
        <v>1350</v>
      </c>
      <c r="E691" s="826" t="s">
        <v>1516</v>
      </c>
      <c r="F691" s="1314" t="s">
        <v>1992</v>
      </c>
      <c r="G691" s="1314" t="str">
        <f>IF(T691&lt;&gt;"","I","")</f>
        <v/>
      </c>
      <c r="H691" s="1314" t="s">
        <v>1990</v>
      </c>
      <c r="I691" s="1274" t="str">
        <f t="shared" si="84"/>
        <v/>
      </c>
      <c r="J691" s="1314" t="str">
        <f t="shared" si="94"/>
        <v/>
      </c>
      <c r="K691" s="1314" t="str">
        <f t="shared" si="85"/>
        <v/>
      </c>
      <c r="L691" s="826" t="s">
        <v>1381</v>
      </c>
      <c r="M691" s="1329">
        <v>674</v>
      </c>
      <c r="N691" s="1314"/>
      <c r="O691" s="1311" t="s">
        <v>1639</v>
      </c>
      <c r="P691" s="1311"/>
      <c r="Q691" s="1311"/>
      <c r="R691" s="1314" t="s">
        <v>1525</v>
      </c>
      <c r="S691" s="1311"/>
      <c r="T691" s="1314" t="str">
        <f t="shared" si="93"/>
        <v/>
      </c>
      <c r="U691" s="1311"/>
      <c r="V691" s="1311"/>
      <c r="W691" s="1311"/>
      <c r="X691" s="1311"/>
      <c r="Y691" s="1311"/>
      <c r="Z691" s="1311"/>
    </row>
    <row r="692" spans="1:26" x14ac:dyDescent="0.25">
      <c r="A692" s="850" t="s">
        <v>1397</v>
      </c>
      <c r="B692" s="826" t="str">
        <f t="shared" ca="1" si="95"/>
        <v>L107</v>
      </c>
      <c r="C692" s="826" t="str">
        <f t="shared" ca="1" si="96"/>
        <v>L108</v>
      </c>
      <c r="D692" s="826" t="s">
        <v>1350</v>
      </c>
      <c r="E692" s="826" t="s">
        <v>1516</v>
      </c>
      <c r="F692" s="1314" t="s">
        <v>1993</v>
      </c>
      <c r="G692" s="1314" t="str">
        <f>IF(T692&lt;&gt;"","H","")</f>
        <v/>
      </c>
      <c r="H692" s="1314" t="s">
        <v>1990</v>
      </c>
      <c r="I692" s="1274" t="str">
        <f t="shared" si="84"/>
        <v/>
      </c>
      <c r="J692" s="1314" t="str">
        <f t="shared" si="94"/>
        <v/>
      </c>
      <c r="K692" s="1314" t="str">
        <f t="shared" si="85"/>
        <v/>
      </c>
      <c r="L692" s="826" t="s">
        <v>1397</v>
      </c>
      <c r="M692" s="1329">
        <v>675</v>
      </c>
      <c r="N692" s="1314"/>
      <c r="O692" s="1311"/>
      <c r="P692" s="1311"/>
      <c r="Q692" s="1311"/>
      <c r="R692" s="1314" t="s">
        <v>1525</v>
      </c>
      <c r="S692" s="1311"/>
      <c r="T692" s="1314" t="str">
        <f t="shared" si="93"/>
        <v/>
      </c>
      <c r="U692" s="1311"/>
      <c r="V692" s="1311"/>
      <c r="W692" s="1311"/>
      <c r="X692" s="1311"/>
      <c r="Y692" s="1311"/>
      <c r="Z692" s="1311"/>
    </row>
    <row r="693" spans="1:26" x14ac:dyDescent="0.25">
      <c r="A693" s="850" t="s">
        <v>1382</v>
      </c>
      <c r="B693" s="826" t="str">
        <f t="shared" ca="1" si="95"/>
        <v>N107</v>
      </c>
      <c r="C693" s="826" t="str">
        <f t="shared" ca="1" si="96"/>
        <v>N108</v>
      </c>
      <c r="D693" s="826" t="s">
        <v>1350</v>
      </c>
      <c r="E693" s="826" t="s">
        <v>1516</v>
      </c>
      <c r="F693" s="1314" t="s">
        <v>1382</v>
      </c>
      <c r="G693" s="1314" t="str">
        <f>IF(T693&lt;&gt;"",IF(Q691="Credit Memo","J",IF(Q691="Check","K","")),"")</f>
        <v/>
      </c>
      <c r="H693" s="1314" t="s">
        <v>1990</v>
      </c>
      <c r="I693" s="1274" t="str">
        <f t="shared" si="84"/>
        <v/>
      </c>
      <c r="J693" s="1314" t="str">
        <f t="shared" si="94"/>
        <v/>
      </c>
      <c r="K693" s="1314" t="str">
        <f t="shared" si="85"/>
        <v/>
      </c>
      <c r="L693" s="826" t="s">
        <v>1382</v>
      </c>
      <c r="M693" s="1329">
        <v>676</v>
      </c>
      <c r="N693" s="1314"/>
      <c r="O693" s="1311"/>
      <c r="P693" s="1311"/>
      <c r="Q693" s="1311"/>
      <c r="R693" s="1314" t="s">
        <v>1525</v>
      </c>
      <c r="S693" s="1311"/>
      <c r="T693" s="1314" t="str">
        <f t="shared" si="93"/>
        <v/>
      </c>
      <c r="U693" s="1311"/>
      <c r="V693" s="1311"/>
      <c r="W693" s="1311"/>
      <c r="X693" s="1311"/>
      <c r="Y693" s="1311"/>
      <c r="Z693" s="1311"/>
    </row>
    <row r="694" spans="1:26" x14ac:dyDescent="0.25">
      <c r="A694" s="850" t="s">
        <v>1486</v>
      </c>
      <c r="B694" s="826" t="str">
        <f t="shared" ca="1" si="95"/>
        <v>P107</v>
      </c>
      <c r="C694" s="826" t="str">
        <f t="shared" ca="1" si="96"/>
        <v>P108</v>
      </c>
      <c r="D694" s="826" t="s">
        <v>1350</v>
      </c>
      <c r="E694" s="826" t="s">
        <v>1516</v>
      </c>
      <c r="F694" s="1314" t="s">
        <v>1994</v>
      </c>
      <c r="G694" s="1314" t="str">
        <f>IF(T694&lt;&gt;"","F","")</f>
        <v/>
      </c>
      <c r="H694" s="1314" t="s">
        <v>1990</v>
      </c>
      <c r="I694" s="1274" t="str">
        <f t="shared" si="84"/>
        <v/>
      </c>
      <c r="J694" s="1314" t="str">
        <f t="shared" si="94"/>
        <v/>
      </c>
      <c r="K694" s="1314" t="str">
        <f t="shared" si="85"/>
        <v/>
      </c>
      <c r="L694" s="826" t="s">
        <v>1486</v>
      </c>
      <c r="M694" s="1329">
        <v>677</v>
      </c>
      <c r="N694" s="1314"/>
      <c r="O694" s="1311"/>
      <c r="P694" s="1311"/>
      <c r="Q694" s="1311"/>
      <c r="R694" s="1314" t="s">
        <v>1525</v>
      </c>
      <c r="S694" s="1311"/>
      <c r="T694" s="1314" t="str">
        <f t="shared" si="93"/>
        <v/>
      </c>
      <c r="U694" s="1311"/>
      <c r="V694" s="1311"/>
      <c r="W694" s="1311"/>
      <c r="X694" s="1311"/>
      <c r="Y694" s="1311"/>
      <c r="Z694" s="1311"/>
    </row>
    <row r="695" spans="1:26" x14ac:dyDescent="0.25">
      <c r="A695" s="850" t="s">
        <v>1487</v>
      </c>
      <c r="B695" s="826" t="str">
        <f t="shared" ca="1" si="95"/>
        <v>R107</v>
      </c>
      <c r="C695" s="826" t="str">
        <f t="shared" ca="1" si="96"/>
        <v>R108</v>
      </c>
      <c r="D695" s="826" t="s">
        <v>1350</v>
      </c>
      <c r="E695" s="826" t="s">
        <v>1516</v>
      </c>
      <c r="F695" s="1314" t="s">
        <v>1995</v>
      </c>
      <c r="G695" s="1314" t="str">
        <f>IF(T695&lt;&gt;"","G","")</f>
        <v/>
      </c>
      <c r="H695" s="1314" t="s">
        <v>1990</v>
      </c>
      <c r="I695" s="1274" t="str">
        <f t="shared" si="84"/>
        <v/>
      </c>
      <c r="J695" s="1314" t="str">
        <f t="shared" si="94"/>
        <v/>
      </c>
      <c r="K695" s="1314" t="str">
        <f t="shared" si="85"/>
        <v/>
      </c>
      <c r="L695" s="826" t="s">
        <v>1487</v>
      </c>
      <c r="M695" s="1329">
        <v>678</v>
      </c>
      <c r="N695" s="1314"/>
      <c r="O695" s="1311"/>
      <c r="P695" s="1311"/>
      <c r="Q695" s="1311"/>
      <c r="R695" s="1314" t="s">
        <v>1525</v>
      </c>
      <c r="S695" s="1311"/>
      <c r="T695" s="1314" t="str">
        <f t="shared" si="93"/>
        <v/>
      </c>
      <c r="U695" s="1311"/>
      <c r="V695" s="1311"/>
      <c r="W695" s="1311"/>
      <c r="X695" s="1311"/>
      <c r="Y695" s="1311"/>
      <c r="Z695" s="1311"/>
    </row>
    <row r="696" spans="1:26" x14ac:dyDescent="0.25">
      <c r="A696" s="850" t="s">
        <v>1488</v>
      </c>
      <c r="B696" s="826" t="str">
        <f t="shared" ca="1" si="95"/>
        <v>T107</v>
      </c>
      <c r="C696" s="826" t="str">
        <f t="shared" ca="1" si="96"/>
        <v>T108</v>
      </c>
      <c r="D696" s="826" t="s">
        <v>1350</v>
      </c>
      <c r="E696" s="826" t="s">
        <v>1516</v>
      </c>
      <c r="F696" s="841" t="s">
        <v>1488</v>
      </c>
      <c r="G696" s="1314" t="str">
        <f>IF(T696&lt;&gt;"","AW","")</f>
        <v/>
      </c>
      <c r="H696" s="1314" t="s">
        <v>1990</v>
      </c>
      <c r="I696" s="1274" t="str">
        <f t="shared" si="84"/>
        <v/>
      </c>
      <c r="J696" s="1314" t="str">
        <f t="shared" si="94"/>
        <v/>
      </c>
      <c r="K696" s="1314" t="str">
        <f t="shared" si="85"/>
        <v/>
      </c>
      <c r="L696" s="826" t="s">
        <v>1488</v>
      </c>
      <c r="M696" s="1329">
        <v>679</v>
      </c>
      <c r="N696" s="1314"/>
      <c r="O696" s="1311"/>
      <c r="P696" s="1311"/>
      <c r="Q696" s="1311"/>
      <c r="R696" s="1314" t="s">
        <v>1525</v>
      </c>
      <c r="S696" s="1311"/>
      <c r="T696" s="1314" t="str">
        <f t="shared" si="93"/>
        <v/>
      </c>
      <c r="U696" s="1311"/>
      <c r="V696" s="1311"/>
      <c r="W696" s="1311"/>
      <c r="X696" s="1311"/>
      <c r="Y696" s="1311"/>
      <c r="Z696" s="1311"/>
    </row>
    <row r="697" spans="1:26" x14ac:dyDescent="0.25">
      <c r="A697" s="850" t="s">
        <v>1385</v>
      </c>
      <c r="B697" s="826" t="str">
        <f ca="1">IFERROR(_xlfn.CONCAT("C",MATCH(A697,INDIRECT("'"&amp;E697&amp;"'!C"&amp;$O$688&amp;":C"&amp;$O$690),0)+$O$688-1),"")</f>
        <v>C111</v>
      </c>
      <c r="C697" s="826" t="str">
        <f ca="1">IFERROR(_xlfn.CONCAT("D",MATCH(A697,INDIRECT("'"&amp;E697&amp;"'!C"&amp;$O$688&amp;":C"&amp;$O$690),0)+$O$688-1),"")</f>
        <v>D111</v>
      </c>
      <c r="D697" s="826" t="s">
        <v>1350</v>
      </c>
      <c r="E697" s="826" t="s">
        <v>1516</v>
      </c>
      <c r="F697" s="1314" t="s">
        <v>1385</v>
      </c>
      <c r="G697" s="1314" t="str">
        <f>IF(T697&lt;&gt;"","C","")</f>
        <v/>
      </c>
      <c r="H697" s="1314" t="s">
        <v>1990</v>
      </c>
      <c r="I697" s="1274" t="str">
        <f t="shared" si="84"/>
        <v/>
      </c>
      <c r="J697" s="1314"/>
      <c r="K697" s="1314" t="str">
        <f t="shared" si="85"/>
        <v/>
      </c>
      <c r="L697" s="826" t="s">
        <v>1385</v>
      </c>
      <c r="M697" s="1329">
        <v>680</v>
      </c>
      <c r="N697" s="1314"/>
      <c r="O697" s="1311"/>
      <c r="P697" s="1311"/>
      <c r="Q697" s="1311"/>
      <c r="R697" s="1314" t="s">
        <v>1525</v>
      </c>
      <c r="S697" s="1311"/>
      <c r="T697" s="1314" t="str">
        <f t="shared" si="93"/>
        <v/>
      </c>
      <c r="U697" s="1311"/>
      <c r="V697" s="1311"/>
      <c r="W697" s="1311"/>
      <c r="X697" s="1311"/>
      <c r="Y697" s="1311"/>
      <c r="Z697" s="1311"/>
    </row>
    <row r="698" spans="1:26" x14ac:dyDescent="0.25">
      <c r="A698" s="850" t="s">
        <v>1386</v>
      </c>
      <c r="B698" s="826" t="str">
        <f ca="1">IFERROR(_xlfn.CONCAT("C",MATCH(A698,INDIRECT("'"&amp;E698&amp;"'!C"&amp;$O$688&amp;":C"&amp;$O$690),0)+$O$688-1),"")</f>
        <v>C113</v>
      </c>
      <c r="C698" s="826" t="str">
        <f ca="1">IFERROR(_xlfn.CONCAT("D",MATCH(A698,INDIRECT("'"&amp;E698&amp;"'!C"&amp;$O$688&amp;":C"&amp;$O$690),0)+$O$688-1),"")</f>
        <v>D113</v>
      </c>
      <c r="D698" s="826" t="s">
        <v>1350</v>
      </c>
      <c r="E698" s="826" t="s">
        <v>1516</v>
      </c>
      <c r="F698" s="1314" t="s">
        <v>1386</v>
      </c>
      <c r="G698" s="1314" t="str">
        <f>IF(T698&lt;&gt;"","D","")</f>
        <v/>
      </c>
      <c r="H698" s="1314" t="s">
        <v>1990</v>
      </c>
      <c r="I698" s="1274" t="str">
        <f t="shared" si="84"/>
        <v/>
      </c>
      <c r="J698" s="1314"/>
      <c r="K698" s="1314" t="str">
        <f t="shared" si="85"/>
        <v/>
      </c>
      <c r="L698" s="826" t="s">
        <v>1386</v>
      </c>
      <c r="M698" s="1329">
        <v>681</v>
      </c>
      <c r="N698" s="1314"/>
      <c r="O698" s="1311"/>
      <c r="P698" s="1311"/>
      <c r="Q698" s="1311"/>
      <c r="R698" s="1314" t="s">
        <v>1525</v>
      </c>
      <c r="S698" s="1311"/>
      <c r="T698" s="1314" t="str">
        <f t="shared" si="93"/>
        <v/>
      </c>
      <c r="U698" s="1311"/>
      <c r="V698" s="1311"/>
      <c r="W698" s="1311"/>
      <c r="X698" s="1311"/>
      <c r="Y698" s="1311"/>
      <c r="Z698" s="1311"/>
    </row>
    <row r="699" spans="1:26" x14ac:dyDescent="0.25">
      <c r="A699" s="850" t="s">
        <v>1495</v>
      </c>
      <c r="B699" s="826" t="str">
        <f ca="1">IFERROR(_xlfn.CONCAT("C",MATCH(A699,INDIRECT("'"&amp;E699&amp;"'!C"&amp;$O$688&amp;":C"&amp;$O$690),0)+$O$688-1),"")</f>
        <v>C115</v>
      </c>
      <c r="C699" s="826" t="str">
        <f ca="1">IFERROR(_xlfn.CONCAT("D",MATCH(A699,INDIRECT("'"&amp;E699&amp;"'!C"&amp;$O$688&amp;":C"&amp;$O$690),0)+$O$688-1),"")</f>
        <v>D115</v>
      </c>
      <c r="D699" s="826" t="s">
        <v>1350</v>
      </c>
      <c r="E699" s="826" t="s">
        <v>1516</v>
      </c>
      <c r="F699" s="1314" t="s">
        <v>1495</v>
      </c>
      <c r="G699" s="1314" t="str">
        <f>IF(T699&lt;&gt;"","AN","")</f>
        <v/>
      </c>
      <c r="H699" s="1314" t="s">
        <v>1990</v>
      </c>
      <c r="I699" s="1274" t="str">
        <f t="shared" si="84"/>
        <v/>
      </c>
      <c r="J699" s="1314" t="str">
        <f t="shared" si="94"/>
        <v/>
      </c>
      <c r="K699" s="1314" t="str">
        <f t="shared" si="85"/>
        <v/>
      </c>
      <c r="L699" s="826" t="s">
        <v>1495</v>
      </c>
      <c r="M699" s="1329">
        <v>682</v>
      </c>
      <c r="N699" s="1314"/>
      <c r="O699" s="1405"/>
      <c r="P699" s="1317" t="str" cm="1">
        <f t="array" aca="1" ref="P699" ca="1">_xlfn.CONCAT("F",RIGHT(B699, LEN(B699) - MAX(IF(ISNUMBER(MID(B699, ROW(INDIRECT("1:"&amp;LEN(B699))), 1) *1)=FALSE, ROW(INDIRECT("1:"&amp;LEN(B699))), 0))))</f>
        <v>F115</v>
      </c>
      <c r="Q699" s="1314" t="str" cm="1">
        <f t="array" aca="1" ref="Q699" ca="1">_xlfn.CONCAT("E",RIGHT(C699, LEN(C699) - MAX(IF(ISNUMBER(MID(C699, ROW(INDIRECT("1:"&amp;LEN(C699))), 1) *1)=FALSE, ROW(INDIRECT("1:"&amp;LEN(C699))), 0))))</f>
        <v>E115</v>
      </c>
      <c r="R699" s="1314" t="s">
        <v>1525</v>
      </c>
      <c r="S699" s="1311"/>
      <c r="T699" s="1314" t="str">
        <f t="shared" si="93"/>
        <v/>
      </c>
      <c r="U699" s="1311"/>
      <c r="V699" s="1311"/>
      <c r="W699" s="1311"/>
      <c r="X699" s="1311"/>
      <c r="Y699" s="1311"/>
      <c r="Z699" s="1311"/>
    </row>
    <row r="700" spans="1:26" x14ac:dyDescent="0.25">
      <c r="A700" s="850" t="s">
        <v>1492</v>
      </c>
      <c r="B700" s="826" t="str">
        <f ca="1">_xlfn.CONCAT(IFERROR(SUBSTITUTE(ADDRESS(1,MATCH(A700,INDIRECT("'"&amp;E700&amp;"'"&amp;"!A" &amp; $O$688 + 8 &amp; ":Z" &amp; $O$688 + 8),0),4),1,""),""),$O$688 + 8)</f>
        <v>H113</v>
      </c>
      <c r="C700" s="826" t="str">
        <f ca="1">_xlfn.CONCAT(IFERROR(SUBSTITUTE(ADDRESS(1,MATCH(A700,INDIRECT("'"&amp;E700&amp;"'"&amp;"!A" &amp; $O$688 + 8 &amp; ":Z" &amp; $O$688 + 8),0),4),1,""),""),$O$688 + 9)</f>
        <v>H114</v>
      </c>
      <c r="D700" s="826" t="s">
        <v>1350</v>
      </c>
      <c r="E700" s="826" t="s">
        <v>1516</v>
      </c>
      <c r="F700" s="1314" t="s">
        <v>1492</v>
      </c>
      <c r="G700" s="1314" t="str">
        <f>IF(T700&lt;&gt;"","AL","")</f>
        <v/>
      </c>
      <c r="H700" s="1314" t="s">
        <v>1990</v>
      </c>
      <c r="I700" s="1274" t="str">
        <f t="shared" si="84"/>
        <v/>
      </c>
      <c r="J700" s="1314" t="str">
        <f t="shared" si="94"/>
        <v/>
      </c>
      <c r="K700" s="1314" t="str">
        <f t="shared" si="85"/>
        <v/>
      </c>
      <c r="L700" s="826" t="s">
        <v>1492</v>
      </c>
      <c r="M700" s="1329">
        <v>683</v>
      </c>
      <c r="N700" s="1314"/>
      <c r="O700" s="1311"/>
      <c r="P700" s="1311"/>
      <c r="Q700" s="1311"/>
      <c r="R700" s="1314" t="s">
        <v>1525</v>
      </c>
      <c r="S700" s="1311"/>
      <c r="T700" s="1314" t="str">
        <f t="shared" si="93"/>
        <v/>
      </c>
      <c r="U700" s="1311"/>
      <c r="V700" s="1311"/>
      <c r="W700" s="1311"/>
      <c r="X700" s="1311"/>
      <c r="Y700" s="1311"/>
      <c r="Z700" s="1311"/>
    </row>
    <row r="701" spans="1:26" x14ac:dyDescent="0.25">
      <c r="A701" s="850" t="s">
        <v>1506</v>
      </c>
      <c r="B701" s="826" t="str">
        <f ca="1">_xlfn.CONCAT(IFERROR(SUBSTITUTE(ADDRESS(1,MATCH(A701,INDIRECT("'"&amp;E701&amp;"'"&amp;"!A" &amp; $O$688 + 8 &amp; ":Z" &amp; $O$688 + 8),0),4),1,""),""),$O$688 + 8)</f>
        <v>J113</v>
      </c>
      <c r="C701" s="826" t="str">
        <f ca="1">_xlfn.CONCAT(IFERROR(SUBSTITUTE(ADDRESS(1,MATCH(A701,INDIRECT("'"&amp;E701&amp;"'"&amp;"!A" &amp; $O$688 + 8 &amp; ":Z" &amp; $O$688 + 8),0),4),1,""),""),$O$688 + 9)</f>
        <v>J114</v>
      </c>
      <c r="D701" s="826" t="s">
        <v>1350</v>
      </c>
      <c r="E701" s="826" t="s">
        <v>1516</v>
      </c>
      <c r="F701" s="1314" t="s">
        <v>1996</v>
      </c>
      <c r="G701" s="1314" t="str">
        <f>IF(T701&lt;&gt;"","L","")</f>
        <v/>
      </c>
      <c r="H701" s="1314" t="s">
        <v>1990</v>
      </c>
      <c r="I701" s="1274" t="str">
        <f t="shared" si="84"/>
        <v/>
      </c>
      <c r="J701" s="1314" t="str">
        <f t="shared" si="94"/>
        <v/>
      </c>
      <c r="K701" s="1314" t="str">
        <f t="shared" si="85"/>
        <v/>
      </c>
      <c r="L701" s="826" t="s">
        <v>1506</v>
      </c>
      <c r="M701" s="1329">
        <v>684</v>
      </c>
      <c r="N701" s="1314"/>
      <c r="O701" s="1311"/>
      <c r="P701" s="1311"/>
      <c r="Q701" s="1311"/>
      <c r="R701" s="1314" t="s">
        <v>1525</v>
      </c>
      <c r="S701" s="1311"/>
      <c r="T701" s="1314" t="str">
        <f t="shared" si="93"/>
        <v/>
      </c>
      <c r="U701" s="1311"/>
      <c r="V701" s="1311"/>
      <c r="W701" s="1311"/>
      <c r="X701" s="1311"/>
      <c r="Y701" s="1311"/>
      <c r="Z701" s="1311"/>
    </row>
    <row r="702" spans="1:26" x14ac:dyDescent="0.25">
      <c r="A702" s="850" t="s">
        <v>1387</v>
      </c>
      <c r="B702" s="826" t="str">
        <f ca="1">_xlfn.CONCAT(IFERROR(SUBSTITUTE(ADDRESS(1,MATCH(A702,INDIRECT("'"&amp;E702&amp;"'"&amp;"!A" &amp; $O$688 + 5 &amp; ":Z" &amp; $O$688 + 5),0),4),1,""),""),$O$688 + 5)</f>
        <v>H110</v>
      </c>
      <c r="C702" s="826" t="str">
        <f ca="1">_xlfn.CONCAT(IFERROR(SUBSTITUTE(ADDRESS(1,MATCH(A702,INDIRECT("'"&amp;E702&amp;"'"&amp;"!A" &amp; $O$688 + 5 &amp; ":Z" &amp; $O$688 + 5),0),4),1,""),""),$O$688 + 6)</f>
        <v>H111</v>
      </c>
      <c r="D702" s="826" t="s">
        <v>1350</v>
      </c>
      <c r="E702" s="826" t="s">
        <v>1516</v>
      </c>
      <c r="F702" s="841" t="s">
        <v>1387</v>
      </c>
      <c r="G702" s="1314" t="str">
        <f>IF(T702&lt;&gt;"","AH","")</f>
        <v/>
      </c>
      <c r="H702" s="1314" t="s">
        <v>1990</v>
      </c>
      <c r="I702" s="1274" t="str">
        <f t="shared" si="84"/>
        <v/>
      </c>
      <c r="J702" s="1314" t="str">
        <f t="shared" si="94"/>
        <v/>
      </c>
      <c r="K702" s="1314" t="str">
        <f t="shared" si="85"/>
        <v/>
      </c>
      <c r="L702" s="826" t="s">
        <v>1387</v>
      </c>
      <c r="M702" s="1329">
        <v>685</v>
      </c>
      <c r="N702" s="1314"/>
      <c r="O702" s="1311"/>
      <c r="P702" s="1311"/>
      <c r="Q702" s="1311"/>
      <c r="R702" s="1314" t="s">
        <v>1525</v>
      </c>
      <c r="S702" s="1311"/>
      <c r="T702" s="1314" t="str">
        <f t="shared" si="93"/>
        <v/>
      </c>
      <c r="U702" s="1311"/>
      <c r="V702" s="1311"/>
      <c r="W702" s="1311"/>
      <c r="X702" s="1311"/>
      <c r="Y702" s="1311"/>
      <c r="Z702" s="1311"/>
    </row>
    <row r="703" spans="1:26" x14ac:dyDescent="0.25">
      <c r="A703" s="850" t="s">
        <v>1388</v>
      </c>
      <c r="B703" s="826" t="str">
        <f ca="1">_xlfn.CONCAT(IFERROR(SUBSTITUTE(ADDRESS(1,MATCH(A703,INDIRECT("'"&amp;E703&amp;"'"&amp;"!A" &amp; $O$688 + 5 &amp; ":Z" &amp; $O$688 + 5),0),4),1,""),""),$O$688 + 5)</f>
        <v>J110</v>
      </c>
      <c r="C703" s="826" t="str">
        <f ca="1">_xlfn.CONCAT(IFERROR(SUBSTITUTE(ADDRESS(1,MATCH(A703,INDIRECT("'"&amp;E703&amp;"'"&amp;"!A" &amp; $O$688 + 5 &amp; ":Z" &amp; $O$688 + 5),0),4),1,""),""),$O$688 + 6)</f>
        <v>J111</v>
      </c>
      <c r="D703" s="826" t="s">
        <v>1350</v>
      </c>
      <c r="E703" s="826" t="s">
        <v>1516</v>
      </c>
      <c r="F703" s="841"/>
      <c r="G703" s="1314"/>
      <c r="H703" s="1314"/>
      <c r="I703" s="1274" t="str">
        <f t="shared" si="84"/>
        <v/>
      </c>
      <c r="J703" s="1314"/>
      <c r="K703" s="1314" t="str">
        <f t="shared" si="85"/>
        <v/>
      </c>
      <c r="L703" s="826" t="s">
        <v>1388</v>
      </c>
      <c r="M703" s="1329">
        <v>686</v>
      </c>
      <c r="N703" s="1314"/>
      <c r="O703" s="1311"/>
      <c r="P703" s="1311"/>
      <c r="Q703" s="1311"/>
      <c r="R703" s="1314" t="s">
        <v>1525</v>
      </c>
      <c r="S703" s="1311"/>
      <c r="T703" s="1314" t="str">
        <f t="shared" si="93"/>
        <v/>
      </c>
      <c r="U703" s="1311"/>
      <c r="V703" s="1311"/>
      <c r="W703" s="1311"/>
      <c r="X703" s="1311"/>
      <c r="Y703" s="1311"/>
      <c r="Z703" s="1311"/>
    </row>
    <row r="704" spans="1:26" x14ac:dyDescent="0.25">
      <c r="A704" s="850" t="s">
        <v>1389</v>
      </c>
      <c r="B704" s="826" t="str">
        <f ca="1">_xlfn.CONCAT(IFERROR(SUBSTITUTE(ADDRESS(1,MATCH(A704,INDIRECT("'"&amp;E704&amp;"'"&amp;"!A" &amp; $O$688 + 5 &amp; ":Z" &amp; $O$688 + 5),0),4),1,""),""),$O$688 + 5)</f>
        <v>L110</v>
      </c>
      <c r="C704" s="826" t="str">
        <f ca="1">_xlfn.CONCAT(IFERROR(SUBSTITUTE(ADDRESS(1,MATCH(A704,INDIRECT("'"&amp;E704&amp;"'"&amp;"!A" &amp; $O$688 + 5 &amp; ":Z" &amp; $O$688 + 5),0),4),1,""),""),$O$688 + 6)</f>
        <v>L111</v>
      </c>
      <c r="D704" s="826" t="s">
        <v>1350</v>
      </c>
      <c r="E704" s="826" t="s">
        <v>1516</v>
      </c>
      <c r="F704" s="1314" t="s">
        <v>1912</v>
      </c>
      <c r="G704" s="1314" t="str">
        <f>IF(T704&lt;&gt;"","AI","")</f>
        <v/>
      </c>
      <c r="H704" s="1314" t="s">
        <v>1990</v>
      </c>
      <c r="I704" s="1274" t="str">
        <f t="shared" si="84"/>
        <v/>
      </c>
      <c r="J704" s="1314"/>
      <c r="K704" s="1314" t="str">
        <f t="shared" si="85"/>
        <v/>
      </c>
      <c r="L704" s="826" t="s">
        <v>1389</v>
      </c>
      <c r="M704" s="1329">
        <v>687</v>
      </c>
      <c r="N704" s="1314"/>
      <c r="O704" s="1311"/>
      <c r="P704" s="1311"/>
      <c r="Q704" s="1311"/>
      <c r="R704" s="1314" t="s">
        <v>1525</v>
      </c>
      <c r="S704" s="1311"/>
      <c r="T704" s="1314" t="str">
        <f t="shared" si="93"/>
        <v/>
      </c>
      <c r="U704" s="1311"/>
      <c r="V704" s="1311"/>
      <c r="W704" s="1311"/>
      <c r="X704" s="1311"/>
      <c r="Y704" s="1311"/>
      <c r="Z704" s="1311"/>
    </row>
    <row r="705" spans="1:26" x14ac:dyDescent="0.25">
      <c r="A705" s="847" t="s">
        <v>1491</v>
      </c>
      <c r="B705" s="826" t="str">
        <f ca="1">IFERROR(_xlfn.CONCAT("C",MATCH(A705,INDIRECT("'"&amp;E705&amp;"'!C"&amp;$O$706&amp;":C"&amp;$O$708),0)+$O$706-1),"")</f>
        <v>C123</v>
      </c>
      <c r="C705" s="826" t="str">
        <f ca="1">IFERROR(_xlfn.CONCAT("D",MATCH(A705,INDIRECT("'"&amp;E705&amp;"'!C"&amp;$O$706&amp;":C"&amp;$O$708),0)+$O$706-1),"")</f>
        <v>D123</v>
      </c>
      <c r="D705" s="826" t="s">
        <v>1350</v>
      </c>
      <c r="E705" s="826" t="s">
        <v>1516</v>
      </c>
      <c r="F705" s="1314" t="s">
        <v>1491</v>
      </c>
      <c r="G705" s="1314" t="str">
        <f>IF(T705&lt;&gt;"","A","")</f>
        <v/>
      </c>
      <c r="H705" s="1314" t="s">
        <v>1990</v>
      </c>
      <c r="I705" s="1274" t="str">
        <f t="shared" si="84"/>
        <v/>
      </c>
      <c r="J705" s="1314"/>
      <c r="K705" s="1314" t="str">
        <f t="shared" si="85"/>
        <v/>
      </c>
      <c r="L705" s="826" t="s">
        <v>1491</v>
      </c>
      <c r="M705" s="1329">
        <v>688</v>
      </c>
      <c r="N705" s="1314"/>
      <c r="O705" s="1311" t="s">
        <v>725</v>
      </c>
      <c r="P705" s="1311"/>
      <c r="Q705" s="1311"/>
      <c r="R705" s="1314" t="s">
        <v>1525</v>
      </c>
      <c r="S705" s="1311"/>
      <c r="T705" s="1314" t="str">
        <f t="shared" ref="T705:T718" si="97">IF(Q$706="Yes",9,"")</f>
        <v/>
      </c>
      <c r="U705" s="1311"/>
      <c r="V705" s="1311"/>
      <c r="W705" s="1311"/>
      <c r="X705" s="1311"/>
      <c r="Y705" s="1311"/>
      <c r="Z705" s="1311"/>
    </row>
    <row r="706" spans="1:26" x14ac:dyDescent="0.25">
      <c r="A706" s="847" t="s">
        <v>1705</v>
      </c>
      <c r="B706" s="826" t="str">
        <f ca="1">_xlfn.CONCAT(IFERROR(SUBSTITUTE(ADDRESS(1,MATCH(A706,INDIRECT("'"&amp;E706&amp;"'"&amp;"!A" &amp; $O$706 + 12 &amp; ":Z" &amp; $O$706+ 12),0),4),1,""),""),$O$706 + 12)</f>
        <v>T131</v>
      </c>
      <c r="C706" s="826" t="str">
        <f ca="1">_xlfn.CONCAT(IFERROR(SUBSTITUTE(ADDRESS(1,MATCH(A706,INDIRECT("'"&amp;E706&amp;"'"&amp;"!A" &amp; $O$706 + 12 &amp; ":Z" &amp; $O$706+ 12),0),4),1,""),""),$O$706 + 13)</f>
        <v>T132</v>
      </c>
      <c r="D706" s="826" t="s">
        <v>1350</v>
      </c>
      <c r="E706" s="826" t="s">
        <v>1516</v>
      </c>
      <c r="F706" s="1314"/>
      <c r="G706" s="1314"/>
      <c r="H706" s="1314"/>
      <c r="I706" s="1274" t="str">
        <f t="shared" si="84"/>
        <v/>
      </c>
      <c r="J706" s="1314" t="str">
        <f t="shared" ref="J706:J732" si="98">IF(M706&lt;&gt;"",IF($Q$706="Yes",Q$1&amp;M706,""))</f>
        <v/>
      </c>
      <c r="K706" s="1314" t="str">
        <f t="shared" si="85"/>
        <v/>
      </c>
      <c r="L706" s="826" t="s">
        <v>1705</v>
      </c>
      <c r="M706" s="1329">
        <v>689</v>
      </c>
      <c r="N706" s="1314"/>
      <c r="O706" s="1311">
        <f>'Configurable Tab'!H11</f>
        <v>119</v>
      </c>
      <c r="P706" s="1406" t="str">
        <f>'Configurable Tab'!J11</f>
        <v>Yes</v>
      </c>
      <c r="Q706" s="1351" t="s">
        <v>648</v>
      </c>
      <c r="R706" s="1314" t="s">
        <v>1525</v>
      </c>
      <c r="S706" s="1311"/>
      <c r="T706" s="1314" t="str">
        <f t="shared" si="97"/>
        <v/>
      </c>
      <c r="U706" s="1311"/>
      <c r="V706" s="1311"/>
      <c r="W706" s="1311"/>
      <c r="X706" s="1311"/>
      <c r="Y706" s="1311"/>
      <c r="Z706" s="1311"/>
    </row>
    <row r="707" spans="1:26" x14ac:dyDescent="0.25">
      <c r="A707" s="847" t="s">
        <v>1383</v>
      </c>
      <c r="B707" s="826" t="str">
        <f ca="1">IFERROR(_xlfn.CONCAT("C",MATCH(A707,INDIRECT("'"&amp;E707&amp;"'!C"&amp;$O$706&amp;":C"&amp;$O$708),0)+$O$706-1),"")</f>
        <v>C121</v>
      </c>
      <c r="C707" s="826" t="str">
        <f ca="1">IFERROR(_xlfn.CONCAT("D",MATCH(A707,INDIRECT("'"&amp;E707&amp;"'!C"&amp;$O$706&amp;":C"&amp;$O$708),0)+$O$706-1),"")</f>
        <v>D121</v>
      </c>
      <c r="D707" s="826" t="s">
        <v>1350</v>
      </c>
      <c r="E707" s="826" t="s">
        <v>1516</v>
      </c>
      <c r="F707" s="1314" t="s">
        <v>1383</v>
      </c>
      <c r="G707" s="1314" t="str">
        <f>IF(T707&lt;&gt;"","B","")</f>
        <v/>
      </c>
      <c r="H707" s="1314" t="s">
        <v>1990</v>
      </c>
      <c r="I707" s="1274" t="str">
        <f t="shared" si="84"/>
        <v/>
      </c>
      <c r="J707" s="1314"/>
      <c r="K707" s="1314" t="str">
        <f t="shared" si="85"/>
        <v/>
      </c>
      <c r="L707" s="826" t="s">
        <v>1383</v>
      </c>
      <c r="M707" s="1329">
        <v>690</v>
      </c>
      <c r="N707" s="1314"/>
      <c r="O707" s="1311" t="s">
        <v>726</v>
      </c>
      <c r="P707" s="1311"/>
      <c r="Q707" s="1311"/>
      <c r="R707" s="1314" t="s">
        <v>1525</v>
      </c>
      <c r="S707" s="1311"/>
      <c r="T707" s="1314" t="str">
        <f t="shared" si="97"/>
        <v/>
      </c>
      <c r="U707" s="1311"/>
      <c r="V707" s="1311"/>
      <c r="W707" s="1311"/>
      <c r="X707" s="1311"/>
      <c r="Y707" s="1311"/>
      <c r="Z707" s="1311"/>
    </row>
    <row r="708" spans="1:26" x14ac:dyDescent="0.25">
      <c r="A708" s="847" t="s">
        <v>1380</v>
      </c>
      <c r="B708" s="826" t="str">
        <f t="shared" ref="B708:B714" ca="1" si="99">_xlfn.CONCAT(IFERROR(SUBSTITUTE(ADDRESS(1,MATCH(A708,INDIRECT("'"&amp;E708&amp;"'"&amp;"!A" &amp; $O$706 + 2 &amp; ":Z" &amp; $O$706+ 2),0),4),1,""),""),$O$706 + 2)</f>
        <v>H121</v>
      </c>
      <c r="C708" s="826" t="str">
        <f t="shared" ref="C708:C714" ca="1" si="100">_xlfn.CONCAT(IFERROR(SUBSTITUTE(ADDRESS(1,MATCH(A708,INDIRECT("'"&amp;E708&amp;"'"&amp;"!A" &amp; $O$706 + 2 &amp; ":Z" &amp; $O$706+ 2),0),4),1,""),""),$O$706 + 3)</f>
        <v>H122</v>
      </c>
      <c r="D708" s="826" t="s">
        <v>1350</v>
      </c>
      <c r="E708" s="826" t="s">
        <v>1516</v>
      </c>
      <c r="F708" s="1314" t="s">
        <v>1991</v>
      </c>
      <c r="G708" s="1314" t="str">
        <f>IF(T708&lt;&gt;"","E","")</f>
        <v/>
      </c>
      <c r="H708" s="1314" t="s">
        <v>1990</v>
      </c>
      <c r="I708" s="1274" t="str">
        <f t="shared" ref="I708:I771" si="101">IF(J708&lt;&gt;"",A708,"")</f>
        <v/>
      </c>
      <c r="J708" s="1314" t="str">
        <f t="shared" si="98"/>
        <v/>
      </c>
      <c r="K708" s="1314" t="str">
        <f t="shared" ref="K708:K771" si="102">IF(J708&lt;&gt;"",E708,"")</f>
        <v/>
      </c>
      <c r="L708" s="826" t="s">
        <v>1380</v>
      </c>
      <c r="M708" s="1329">
        <v>691</v>
      </c>
      <c r="N708" s="1314"/>
      <c r="O708" s="1311">
        <f>'Configurable Tab'!I11</f>
        <v>134</v>
      </c>
      <c r="P708" s="1311"/>
      <c r="Q708" s="1311"/>
      <c r="R708" s="1314" t="s">
        <v>1525</v>
      </c>
      <c r="S708" s="1311"/>
      <c r="T708" s="1314" t="str">
        <f t="shared" si="97"/>
        <v/>
      </c>
      <c r="U708" s="1311"/>
      <c r="V708" s="1311"/>
      <c r="W708" s="1311"/>
      <c r="X708" s="1311"/>
      <c r="Y708" s="1311"/>
      <c r="Z708" s="1311"/>
    </row>
    <row r="709" spans="1:26" x14ac:dyDescent="0.25">
      <c r="A709" s="847" t="s">
        <v>1381</v>
      </c>
      <c r="B709" s="826" t="str">
        <f t="shared" ca="1" si="99"/>
        <v>J121</v>
      </c>
      <c r="C709" s="826" t="str">
        <f t="shared" ca="1" si="100"/>
        <v>J122</v>
      </c>
      <c r="D709" s="826" t="s">
        <v>1350</v>
      </c>
      <c r="E709" s="826" t="s">
        <v>1516</v>
      </c>
      <c r="F709" s="1314" t="s">
        <v>1992</v>
      </c>
      <c r="G709" s="1314" t="str">
        <f>IF(T709&lt;&gt;"","I","")</f>
        <v/>
      </c>
      <c r="H709" s="1314" t="s">
        <v>1990</v>
      </c>
      <c r="I709" s="1274" t="str">
        <f t="shared" si="101"/>
        <v/>
      </c>
      <c r="J709" s="1314" t="str">
        <f t="shared" si="98"/>
        <v/>
      </c>
      <c r="K709" s="1314" t="str">
        <f t="shared" si="102"/>
        <v/>
      </c>
      <c r="L709" s="826" t="s">
        <v>1381</v>
      </c>
      <c r="M709" s="1329">
        <v>692</v>
      </c>
      <c r="N709" s="1314"/>
      <c r="O709" s="1311" t="s">
        <v>1640</v>
      </c>
      <c r="P709" s="1311"/>
      <c r="Q709" s="1311"/>
      <c r="R709" s="1314" t="s">
        <v>1525</v>
      </c>
      <c r="S709" s="1311"/>
      <c r="T709" s="1314" t="str">
        <f t="shared" si="97"/>
        <v/>
      </c>
      <c r="U709" s="1311"/>
      <c r="V709" s="1311"/>
      <c r="W709" s="1311"/>
      <c r="X709" s="1311"/>
      <c r="Y709" s="1311"/>
      <c r="Z709" s="1311"/>
    </row>
    <row r="710" spans="1:26" x14ac:dyDescent="0.25">
      <c r="A710" s="847" t="s">
        <v>1397</v>
      </c>
      <c r="B710" s="826" t="str">
        <f t="shared" ca="1" si="99"/>
        <v>L121</v>
      </c>
      <c r="C710" s="826" t="str">
        <f t="shared" ca="1" si="100"/>
        <v>L122</v>
      </c>
      <c r="D710" s="826" t="s">
        <v>1350</v>
      </c>
      <c r="E710" s="826" t="s">
        <v>1516</v>
      </c>
      <c r="F710" s="1314" t="s">
        <v>1993</v>
      </c>
      <c r="G710" s="1314" t="str">
        <f>IF(T710&lt;&gt;"","H","")</f>
        <v/>
      </c>
      <c r="H710" s="1314" t="s">
        <v>1990</v>
      </c>
      <c r="I710" s="1274" t="str">
        <f t="shared" si="101"/>
        <v/>
      </c>
      <c r="J710" s="1314" t="str">
        <f t="shared" si="98"/>
        <v/>
      </c>
      <c r="K710" s="1314" t="str">
        <f t="shared" si="102"/>
        <v/>
      </c>
      <c r="L710" s="826" t="s">
        <v>1397</v>
      </c>
      <c r="M710" s="1329">
        <v>693</v>
      </c>
      <c r="N710" s="1314"/>
      <c r="O710" s="1311"/>
      <c r="P710" s="1311"/>
      <c r="Q710" s="1311"/>
      <c r="R710" s="1314" t="s">
        <v>1525</v>
      </c>
      <c r="S710" s="1311"/>
      <c r="T710" s="1314" t="str">
        <f t="shared" si="97"/>
        <v/>
      </c>
      <c r="U710" s="1311"/>
      <c r="V710" s="1311"/>
      <c r="W710" s="1311"/>
      <c r="X710" s="1311"/>
      <c r="Y710" s="1311"/>
      <c r="Z710" s="1311"/>
    </row>
    <row r="711" spans="1:26" x14ac:dyDescent="0.25">
      <c r="A711" s="847" t="s">
        <v>1382</v>
      </c>
      <c r="B711" s="826" t="str">
        <f t="shared" ca="1" si="99"/>
        <v>N121</v>
      </c>
      <c r="C711" s="826" t="str">
        <f t="shared" ca="1" si="100"/>
        <v>N122</v>
      </c>
      <c r="D711" s="826" t="s">
        <v>1350</v>
      </c>
      <c r="E711" s="826" t="s">
        <v>1516</v>
      </c>
      <c r="F711" s="1314" t="s">
        <v>1382</v>
      </c>
      <c r="G711" s="1314" t="str">
        <f>IF(T711&lt;&gt;"",IF(Q709="Credit Memo","J",IF(Q709="Check","K","")),"")</f>
        <v/>
      </c>
      <c r="H711" s="1314" t="s">
        <v>1990</v>
      </c>
      <c r="I711" s="1274" t="str">
        <f t="shared" si="101"/>
        <v/>
      </c>
      <c r="J711" s="1314" t="str">
        <f t="shared" si="98"/>
        <v/>
      </c>
      <c r="K711" s="1314" t="str">
        <f t="shared" si="102"/>
        <v/>
      </c>
      <c r="L711" s="826" t="s">
        <v>1382</v>
      </c>
      <c r="M711" s="1329">
        <v>694</v>
      </c>
      <c r="N711" s="1314"/>
      <c r="O711" s="1311"/>
      <c r="P711" s="1311"/>
      <c r="Q711" s="1311"/>
      <c r="R711" s="1314" t="s">
        <v>1525</v>
      </c>
      <c r="S711" s="1311"/>
      <c r="T711" s="1314" t="str">
        <f t="shared" si="97"/>
        <v/>
      </c>
      <c r="U711" s="1311"/>
      <c r="V711" s="1311"/>
      <c r="W711" s="1311"/>
      <c r="X711" s="1311"/>
      <c r="Y711" s="1311"/>
      <c r="Z711" s="1311"/>
    </row>
    <row r="712" spans="1:26" x14ac:dyDescent="0.25">
      <c r="A712" s="847" t="s">
        <v>1486</v>
      </c>
      <c r="B712" s="826" t="str">
        <f t="shared" ca="1" si="99"/>
        <v>P121</v>
      </c>
      <c r="C712" s="826" t="str">
        <f t="shared" ca="1" si="100"/>
        <v>P122</v>
      </c>
      <c r="D712" s="826" t="s">
        <v>1350</v>
      </c>
      <c r="E712" s="826" t="s">
        <v>1516</v>
      </c>
      <c r="F712" s="1314" t="s">
        <v>1994</v>
      </c>
      <c r="G712" s="1314" t="str">
        <f>IF(T712&lt;&gt;"","F","")</f>
        <v/>
      </c>
      <c r="H712" s="1314" t="s">
        <v>1990</v>
      </c>
      <c r="I712" s="1274" t="str">
        <f t="shared" si="101"/>
        <v/>
      </c>
      <c r="J712" s="1314" t="str">
        <f t="shared" si="98"/>
        <v/>
      </c>
      <c r="K712" s="1314" t="str">
        <f t="shared" si="102"/>
        <v/>
      </c>
      <c r="L712" s="826" t="s">
        <v>1486</v>
      </c>
      <c r="M712" s="1329">
        <v>695</v>
      </c>
      <c r="N712" s="1314"/>
      <c r="O712" s="1311"/>
      <c r="P712" s="1311"/>
      <c r="Q712" s="1311"/>
      <c r="R712" s="1314" t="s">
        <v>1525</v>
      </c>
      <c r="S712" s="1311"/>
      <c r="T712" s="1314" t="str">
        <f t="shared" si="97"/>
        <v/>
      </c>
      <c r="U712" s="1311"/>
      <c r="V712" s="1311"/>
      <c r="W712" s="1311"/>
      <c r="X712" s="1311"/>
      <c r="Y712" s="1311"/>
      <c r="Z712" s="1311"/>
    </row>
    <row r="713" spans="1:26" x14ac:dyDescent="0.25">
      <c r="A713" s="847" t="s">
        <v>1487</v>
      </c>
      <c r="B713" s="826" t="str">
        <f t="shared" ca="1" si="99"/>
        <v>R121</v>
      </c>
      <c r="C713" s="826" t="str">
        <f t="shared" ca="1" si="100"/>
        <v>R122</v>
      </c>
      <c r="D713" s="826" t="s">
        <v>1350</v>
      </c>
      <c r="E713" s="826" t="s">
        <v>1516</v>
      </c>
      <c r="F713" s="1314" t="s">
        <v>1995</v>
      </c>
      <c r="G713" s="1314" t="str">
        <f>IF(T713&lt;&gt;"","G","")</f>
        <v/>
      </c>
      <c r="H713" s="1314" t="s">
        <v>1990</v>
      </c>
      <c r="I713" s="1274" t="str">
        <f t="shared" si="101"/>
        <v/>
      </c>
      <c r="J713" s="1314" t="str">
        <f t="shared" si="98"/>
        <v/>
      </c>
      <c r="K713" s="1314" t="str">
        <f t="shared" si="102"/>
        <v/>
      </c>
      <c r="L713" s="826" t="s">
        <v>1487</v>
      </c>
      <c r="M713" s="1329">
        <v>696</v>
      </c>
      <c r="N713" s="1314"/>
      <c r="O713" s="1311"/>
      <c r="P713" s="1311"/>
      <c r="Q713" s="1311"/>
      <c r="R713" s="1314" t="s">
        <v>1525</v>
      </c>
      <c r="S713" s="1311"/>
      <c r="T713" s="1314" t="str">
        <f t="shared" si="97"/>
        <v/>
      </c>
      <c r="U713" s="1311"/>
      <c r="V713" s="1311"/>
      <c r="W713" s="1311"/>
      <c r="X713" s="1311"/>
      <c r="Y713" s="1311"/>
      <c r="Z713" s="1311"/>
    </row>
    <row r="714" spans="1:26" x14ac:dyDescent="0.25">
      <c r="A714" s="847" t="s">
        <v>1488</v>
      </c>
      <c r="B714" s="826" t="str">
        <f t="shared" ca="1" si="99"/>
        <v>T121</v>
      </c>
      <c r="C714" s="826" t="str">
        <f t="shared" ca="1" si="100"/>
        <v>T122</v>
      </c>
      <c r="D714" s="826" t="s">
        <v>1350</v>
      </c>
      <c r="E714" s="826" t="s">
        <v>1516</v>
      </c>
      <c r="F714" s="841" t="s">
        <v>1488</v>
      </c>
      <c r="G714" s="1314" t="str">
        <f>IF(T714&lt;&gt;"","AW","")</f>
        <v/>
      </c>
      <c r="H714" s="1314" t="s">
        <v>1990</v>
      </c>
      <c r="I714" s="1274" t="str">
        <f t="shared" si="101"/>
        <v/>
      </c>
      <c r="J714" s="1314" t="str">
        <f t="shared" si="98"/>
        <v/>
      </c>
      <c r="K714" s="1314" t="str">
        <f t="shared" si="102"/>
        <v/>
      </c>
      <c r="L714" s="826" t="s">
        <v>1488</v>
      </c>
      <c r="M714" s="1329">
        <v>697</v>
      </c>
      <c r="N714" s="1314"/>
      <c r="O714" s="1311"/>
      <c r="P714" s="1311"/>
      <c r="Q714" s="1311"/>
      <c r="R714" s="1314" t="s">
        <v>1525</v>
      </c>
      <c r="S714" s="1311"/>
      <c r="T714" s="1314" t="str">
        <f t="shared" si="97"/>
        <v/>
      </c>
      <c r="U714" s="1311"/>
      <c r="V714" s="1311"/>
      <c r="W714" s="1311"/>
      <c r="X714" s="1311"/>
      <c r="Y714" s="1311"/>
      <c r="Z714" s="1311"/>
    </row>
    <row r="715" spans="1:26" x14ac:dyDescent="0.25">
      <c r="A715" s="847" t="s">
        <v>1385</v>
      </c>
      <c r="B715" s="826" t="str">
        <f ca="1">IFERROR(_xlfn.CONCAT("C",MATCH(A715,INDIRECT("'"&amp;E715&amp;"'!C"&amp;$O$706&amp;":C"&amp;$O$708),0)+$O$706-1),"")</f>
        <v>C125</v>
      </c>
      <c r="C715" s="826" t="str">
        <f ca="1">IFERROR(_xlfn.CONCAT("D",MATCH(A715,INDIRECT("'"&amp;E715&amp;"'!C"&amp;$O$706&amp;":C"&amp;$O$708),0)+$O$706-1),"")</f>
        <v>D125</v>
      </c>
      <c r="D715" s="826" t="s">
        <v>1350</v>
      </c>
      <c r="E715" s="826" t="s">
        <v>1516</v>
      </c>
      <c r="F715" s="1314" t="s">
        <v>1385</v>
      </c>
      <c r="G715" s="1314" t="str">
        <f>IF(T715&lt;&gt;"","C","")</f>
        <v/>
      </c>
      <c r="H715" s="1314" t="s">
        <v>1990</v>
      </c>
      <c r="I715" s="1274" t="str">
        <f t="shared" si="101"/>
        <v/>
      </c>
      <c r="J715" s="1314"/>
      <c r="K715" s="1314" t="str">
        <f t="shared" si="102"/>
        <v/>
      </c>
      <c r="L715" s="826" t="s">
        <v>1385</v>
      </c>
      <c r="M715" s="1329">
        <v>698</v>
      </c>
      <c r="N715" s="1314"/>
      <c r="O715" s="1311"/>
      <c r="P715" s="1311"/>
      <c r="Q715" s="1311"/>
      <c r="R715" s="1314" t="s">
        <v>1525</v>
      </c>
      <c r="S715" s="1311"/>
      <c r="T715" s="1314" t="str">
        <f t="shared" si="97"/>
        <v/>
      </c>
      <c r="U715" s="1311"/>
      <c r="V715" s="1311"/>
      <c r="W715" s="1311"/>
      <c r="X715" s="1311"/>
      <c r="Y715" s="1311"/>
      <c r="Z715" s="1311"/>
    </row>
    <row r="716" spans="1:26" x14ac:dyDescent="0.25">
      <c r="A716" s="847" t="s">
        <v>1386</v>
      </c>
      <c r="B716" s="826" t="str">
        <f ca="1">IFERROR(_xlfn.CONCAT("C",MATCH(A716,INDIRECT("'"&amp;E716&amp;"'!C"&amp;$O$706&amp;":C"&amp;$O$708),0)+$O$706-1),"")</f>
        <v>C127</v>
      </c>
      <c r="C716" s="826" t="str">
        <f ca="1">IFERROR(_xlfn.CONCAT("D",MATCH(A716,INDIRECT("'"&amp;E716&amp;"'!C"&amp;$O$706&amp;":C"&amp;$O$708),0)+$O$706-1),"")</f>
        <v>D127</v>
      </c>
      <c r="D716" s="826" t="s">
        <v>1350</v>
      </c>
      <c r="E716" s="826" t="s">
        <v>1516</v>
      </c>
      <c r="F716" s="1314" t="s">
        <v>1386</v>
      </c>
      <c r="G716" s="1314" t="str">
        <f>IF(T716&lt;&gt;"","D","")</f>
        <v/>
      </c>
      <c r="H716" s="1314" t="s">
        <v>1990</v>
      </c>
      <c r="I716" s="1274" t="str">
        <f t="shared" si="101"/>
        <v/>
      </c>
      <c r="J716" s="1314"/>
      <c r="K716" s="1314" t="str">
        <f t="shared" si="102"/>
        <v/>
      </c>
      <c r="L716" s="826" t="s">
        <v>1386</v>
      </c>
      <c r="M716" s="1329">
        <v>699</v>
      </c>
      <c r="N716" s="1314"/>
      <c r="O716" s="1311"/>
      <c r="P716" s="1311"/>
      <c r="Q716" s="1311"/>
      <c r="R716" s="1314" t="s">
        <v>1525</v>
      </c>
      <c r="S716" s="1311"/>
      <c r="T716" s="1314" t="str">
        <f t="shared" si="97"/>
        <v/>
      </c>
      <c r="U716" s="1311"/>
      <c r="V716" s="1311"/>
      <c r="W716" s="1311"/>
      <c r="X716" s="1311"/>
      <c r="Y716" s="1311"/>
      <c r="Z716" s="1311"/>
    </row>
    <row r="717" spans="1:26" x14ac:dyDescent="0.25">
      <c r="A717" s="847" t="s">
        <v>1495</v>
      </c>
      <c r="B717" s="826" t="str">
        <f ca="1">IFERROR(_xlfn.CONCAT("C",MATCH(A717,INDIRECT("'"&amp;E717&amp;"'!C"&amp;$O$706&amp;":C"&amp;$O$708),0)+$O$706-1),"")</f>
        <v>C131</v>
      </c>
      <c r="C717" s="826" t="str">
        <f ca="1">IFERROR(_xlfn.CONCAT("D",MATCH(A717,INDIRECT("'"&amp;E717&amp;"'!C"&amp;$O$706&amp;":C"&amp;$O$708),0)+$O$706-1),"")</f>
        <v>D131</v>
      </c>
      <c r="D717" s="826" t="s">
        <v>1350</v>
      </c>
      <c r="E717" s="826" t="s">
        <v>1516</v>
      </c>
      <c r="F717" s="1314" t="s">
        <v>1495</v>
      </c>
      <c r="G717" s="1314" t="str">
        <f>IF(T717&lt;&gt;"","AN","")</f>
        <v/>
      </c>
      <c r="H717" s="1314" t="s">
        <v>1990</v>
      </c>
      <c r="I717" s="1274" t="str">
        <f t="shared" si="101"/>
        <v/>
      </c>
      <c r="J717" s="1314" t="str">
        <f t="shared" si="98"/>
        <v/>
      </c>
      <c r="K717" s="1314" t="str">
        <f t="shared" si="102"/>
        <v/>
      </c>
      <c r="L717" s="826" t="s">
        <v>1495</v>
      </c>
      <c r="M717" s="1329">
        <v>700</v>
      </c>
      <c r="N717" s="1314"/>
      <c r="O717" s="1405"/>
      <c r="P717" s="1317" t="str" cm="1">
        <f t="array" aca="1" ref="P717" ca="1">_xlfn.CONCAT("F",RIGHT(B717, LEN(B717) - MAX(IF(ISNUMBER(MID(B717, ROW(INDIRECT("1:"&amp;LEN(B717))), 1) *1)=FALSE, ROW(INDIRECT("1:"&amp;LEN(B717))), 0))))</f>
        <v>F131</v>
      </c>
      <c r="Q717" s="1314" t="str" cm="1">
        <f t="array" aca="1" ref="Q717" ca="1">_xlfn.CONCAT("E",RIGHT(C717, LEN(C717) - MAX(IF(ISNUMBER(MID(C717, ROW(INDIRECT("1:"&amp;LEN(C717))), 1) *1)=FALSE, ROW(INDIRECT("1:"&amp;LEN(C717))), 0))))</f>
        <v>E131</v>
      </c>
      <c r="R717" s="1314" t="s">
        <v>1525</v>
      </c>
      <c r="S717" s="1311"/>
      <c r="T717" s="1314" t="str">
        <f t="shared" si="97"/>
        <v/>
      </c>
      <c r="U717" s="1311"/>
      <c r="V717" s="1311"/>
      <c r="W717" s="1311"/>
      <c r="X717" s="1311"/>
      <c r="Y717" s="1311"/>
      <c r="Z717" s="1311"/>
    </row>
    <row r="718" spans="1:26" x14ac:dyDescent="0.25">
      <c r="A718" s="847" t="s">
        <v>1492</v>
      </c>
      <c r="B718" s="826" t="str">
        <f ca="1">_xlfn.CONCAT(IFERROR(SUBSTITUTE(ADDRESS(1,MATCH(A718,INDIRECT("'"&amp;E718&amp;"'"&amp;"!A" &amp; $O$706 + 12 &amp; ":Z" &amp; $O$706+ 12),0),4),1,""),""),$O$706 + 12)</f>
        <v>H131</v>
      </c>
      <c r="C718" s="826" t="str">
        <f ca="1">_xlfn.CONCAT(IFERROR(SUBSTITUTE(ADDRESS(1,MATCH(A718,INDIRECT("'"&amp;E718&amp;"'"&amp;"!A" &amp; $O$706 + 12 &amp; ":Z" &amp; $O$706+ 12),0),4),1,""),""),$O$706 + 13)</f>
        <v>H132</v>
      </c>
      <c r="D718" s="826" t="s">
        <v>1350</v>
      </c>
      <c r="E718" s="826" t="s">
        <v>1516</v>
      </c>
      <c r="F718" s="1314" t="s">
        <v>1492</v>
      </c>
      <c r="G718" s="1314" t="str">
        <f>IF(T718&lt;&gt;"","AL","")</f>
        <v/>
      </c>
      <c r="H718" s="1314" t="s">
        <v>1990</v>
      </c>
      <c r="I718" s="1274" t="str">
        <f t="shared" si="101"/>
        <v/>
      </c>
      <c r="J718" s="1314" t="str">
        <f t="shared" si="98"/>
        <v/>
      </c>
      <c r="K718" s="1314" t="str">
        <f t="shared" si="102"/>
        <v/>
      </c>
      <c r="L718" s="826" t="s">
        <v>1492</v>
      </c>
      <c r="M718" s="1329">
        <v>701</v>
      </c>
      <c r="N718" s="1314"/>
      <c r="O718" s="1311"/>
      <c r="P718" s="1311"/>
      <c r="Q718" s="1311"/>
      <c r="R718" s="1314" t="s">
        <v>1525</v>
      </c>
      <c r="S718" s="1311"/>
      <c r="T718" s="1314" t="str">
        <f t="shared" si="97"/>
        <v/>
      </c>
      <c r="U718" s="1311"/>
      <c r="V718" s="1311"/>
      <c r="W718" s="1311"/>
      <c r="X718" s="1311"/>
      <c r="Y718" s="1311"/>
      <c r="Z718" s="1311"/>
    </row>
    <row r="719" spans="1:26" x14ac:dyDescent="0.25">
      <c r="A719" s="847" t="s">
        <v>1506</v>
      </c>
      <c r="B719" s="826" t="str">
        <f ca="1">_xlfn.CONCAT(IFERROR(SUBSTITUTE(ADDRESS(1,MATCH(A719,INDIRECT("'"&amp;E719&amp;"'"&amp;"!A" &amp; $O$706 + 12 &amp; ":Z" &amp; $O$706+ 12),0),4),1,""),""),$O$706 + 12)</f>
        <v>J131</v>
      </c>
      <c r="C719" s="826" t="str">
        <f ca="1">_xlfn.CONCAT(IFERROR(SUBSTITUTE(ADDRESS(1,MATCH(A719,INDIRECT("'"&amp;E719&amp;"'"&amp;"!A" &amp; $O$706 + 12 &amp; ":Z" &amp; $O$706+ 12),0),4),1,""),""),$O$706 + 13)</f>
        <v>J132</v>
      </c>
      <c r="D719" s="826" t="s">
        <v>1350</v>
      </c>
      <c r="E719" s="826" t="s">
        <v>1516</v>
      </c>
      <c r="F719" s="1314" t="s">
        <v>1996</v>
      </c>
      <c r="G719" s="1314" t="str">
        <f>IF(T719&lt;&gt;"","L","")</f>
        <v/>
      </c>
      <c r="H719" s="1314" t="s">
        <v>1990</v>
      </c>
      <c r="I719" s="1274" t="str">
        <f t="shared" si="101"/>
        <v/>
      </c>
      <c r="J719" s="1314" t="str">
        <f t="shared" si="98"/>
        <v/>
      </c>
      <c r="K719" s="1314" t="str">
        <f t="shared" si="102"/>
        <v/>
      </c>
      <c r="L719" s="826" t="s">
        <v>1506</v>
      </c>
      <c r="M719" s="1329">
        <v>702</v>
      </c>
      <c r="N719" s="1314"/>
      <c r="O719" s="1311"/>
      <c r="P719" s="1311"/>
      <c r="Q719" s="1311"/>
      <c r="R719" s="1314" t="s">
        <v>1525</v>
      </c>
      <c r="S719" s="1311"/>
      <c r="T719" s="1314" t="str">
        <f>IF(Q$706="Yes",9,"")</f>
        <v/>
      </c>
      <c r="U719" s="1311"/>
      <c r="V719" s="1311"/>
      <c r="W719" s="1311"/>
      <c r="X719" s="1311"/>
      <c r="Y719" s="1311"/>
      <c r="Z719" s="1311"/>
    </row>
    <row r="720" spans="1:26" x14ac:dyDescent="0.25">
      <c r="A720" s="847" t="s">
        <v>1387</v>
      </c>
      <c r="B720" s="826" t="str">
        <f ca="1">_xlfn.IFNA(_xlfn.CONCAT(SUBSTITUTE(ADDRESS(1,MATCH(A720,INDIRECT("'"&amp;E720&amp;"'"&amp;"!A" &amp; $O$706 + 5 &amp; ":Z" &amp; $O$706+ 5),0),4),1,""),$O$706 + 6),"")</f>
        <v>H125</v>
      </c>
      <c r="C720" s="826" t="str">
        <f t="shared" ref="C720:C734" ca="1" si="103">_xlfn.IFNA(SUBSTITUTE(ADDRESS(1,MATCH(A720,INDIRECT("'"&amp;E720&amp;"'"&amp;"!A" &amp; $O$706 + 5 &amp; ":Z" &amp; $O$706+ 5),0),4),1,""),"")</f>
        <v>H</v>
      </c>
      <c r="D720" s="826" t="s">
        <v>1357</v>
      </c>
      <c r="E720" s="826" t="s">
        <v>1516</v>
      </c>
      <c r="F720" s="841"/>
      <c r="G720" s="1314"/>
      <c r="H720" s="1314"/>
      <c r="I720" s="1274" t="str">
        <f t="shared" si="101"/>
        <v/>
      </c>
      <c r="J720" s="1314" t="str">
        <f t="shared" si="98"/>
        <v/>
      </c>
      <c r="K720" s="1314" t="str">
        <f t="shared" si="102"/>
        <v/>
      </c>
      <c r="L720" s="826" t="s">
        <v>1387</v>
      </c>
      <c r="M720" s="1329">
        <v>703</v>
      </c>
      <c r="N720" s="1314"/>
      <c r="O720" s="1311"/>
      <c r="P720" s="1311"/>
      <c r="Q720" s="1311"/>
      <c r="R720" s="1314" t="s">
        <v>1525</v>
      </c>
      <c r="S720" s="1311"/>
      <c r="T720" s="1314" t="str">
        <f t="shared" ref="T720:T734" si="104">IF(Q$706="Yes",9,"")</f>
        <v/>
      </c>
      <c r="U720" s="1311"/>
      <c r="V720" s="1311"/>
      <c r="W720" s="1311"/>
      <c r="X720" s="1311"/>
      <c r="Y720" s="1311"/>
      <c r="Z720" s="1311"/>
    </row>
    <row r="721" spans="1:26" x14ac:dyDescent="0.25">
      <c r="A721" s="847" t="s">
        <v>1388</v>
      </c>
      <c r="B721" s="826" t="str">
        <f ca="1">_xlfn.IFNA(_xlfn.CONCAT(SUBSTITUTE(ADDRESS(1,MATCH(A721,INDIRECT("'"&amp;E721&amp;"'"&amp;"!A" &amp; $O$706 + 5 &amp; ":Z" &amp; $O$706+ 5),0),4),1,""),$O$706 + 6),"")</f>
        <v>J125</v>
      </c>
      <c r="C721" s="826" t="str">
        <f t="shared" ca="1" si="103"/>
        <v>J</v>
      </c>
      <c r="D721" s="826" t="s">
        <v>1357</v>
      </c>
      <c r="E721" s="826" t="s">
        <v>1516</v>
      </c>
      <c r="F721" s="841"/>
      <c r="G721" s="1314"/>
      <c r="H721" s="1314"/>
      <c r="I721" s="1274" t="str">
        <f t="shared" si="101"/>
        <v/>
      </c>
      <c r="J721" s="1314"/>
      <c r="K721" s="1314" t="str">
        <f t="shared" si="102"/>
        <v/>
      </c>
      <c r="L721" s="826" t="s">
        <v>1388</v>
      </c>
      <c r="M721" s="1329">
        <v>704</v>
      </c>
      <c r="N721" s="1314"/>
      <c r="O721" s="1311"/>
      <c r="P721" s="1311"/>
      <c r="Q721" s="1311"/>
      <c r="R721" s="1314" t="s">
        <v>1525</v>
      </c>
      <c r="S721" s="1311"/>
      <c r="T721" s="1314" t="str">
        <f t="shared" si="104"/>
        <v/>
      </c>
      <c r="U721" s="1311"/>
      <c r="V721" s="1311"/>
      <c r="W721" s="1311"/>
      <c r="X721" s="1311"/>
      <c r="Y721" s="1311"/>
      <c r="Z721" s="1311"/>
    </row>
    <row r="722" spans="1:26" x14ac:dyDescent="0.25">
      <c r="A722" s="847" t="s">
        <v>1389</v>
      </c>
      <c r="B722" s="826" t="str">
        <f ca="1">_xlfn.IFNA(_xlfn.CONCAT(SUBSTITUTE(ADDRESS(1,MATCH(A722,INDIRECT("'"&amp;E722&amp;"'"&amp;"!A" &amp; $O$706 + 5 &amp; ":Z" &amp; $O$706+ 5),0),4),1,""),$O$706 + 6),"")</f>
        <v>L125</v>
      </c>
      <c r="C722" s="826" t="str">
        <f t="shared" ca="1" si="103"/>
        <v>L</v>
      </c>
      <c r="D722" s="826" t="s">
        <v>1357</v>
      </c>
      <c r="E722" s="826" t="s">
        <v>1516</v>
      </c>
      <c r="F722" s="1081"/>
      <c r="G722" s="1314"/>
      <c r="H722" s="1314"/>
      <c r="I722" s="1274" t="str">
        <f t="shared" si="101"/>
        <v/>
      </c>
      <c r="J722" s="1314"/>
      <c r="K722" s="1314" t="str">
        <f t="shared" si="102"/>
        <v/>
      </c>
      <c r="L722" s="826" t="s">
        <v>1389</v>
      </c>
      <c r="M722" s="1329">
        <v>705</v>
      </c>
      <c r="N722" s="1314"/>
      <c r="O722" s="1311"/>
      <c r="P722" s="1311"/>
      <c r="Q722" s="1311"/>
      <c r="R722" s="1314" t="s">
        <v>1525</v>
      </c>
      <c r="S722" s="1311"/>
      <c r="T722" s="1314" t="str">
        <f t="shared" si="104"/>
        <v/>
      </c>
      <c r="U722" s="1311"/>
      <c r="V722" s="1311"/>
      <c r="W722" s="1311"/>
      <c r="X722" s="1311"/>
      <c r="Y722" s="1311"/>
      <c r="Z722" s="1311"/>
    </row>
    <row r="723" spans="1:26" x14ac:dyDescent="0.25">
      <c r="A723" s="847" t="s">
        <v>1387</v>
      </c>
      <c r="B723" s="826" t="str">
        <f ca="1">_xlfn.IFNA(_xlfn.CONCAT(SUBSTITUTE(ADDRESS(1,MATCH(A723,INDIRECT("'"&amp;E723&amp;"'"&amp;"!A" &amp; $O$706 + 5 &amp; ":Z" &amp; $O$706+ 5),0),4),1,""),$O$706 + 7),"")</f>
        <v>H126</v>
      </c>
      <c r="C723" s="826" t="str">
        <f t="shared" ca="1" si="103"/>
        <v>H</v>
      </c>
      <c r="D723" s="826" t="s">
        <v>1357</v>
      </c>
      <c r="E723" s="826" t="s">
        <v>1516</v>
      </c>
      <c r="F723" s="1314"/>
      <c r="G723" s="1314"/>
      <c r="H723" s="1314"/>
      <c r="I723" s="1274" t="str">
        <f t="shared" si="101"/>
        <v/>
      </c>
      <c r="J723" s="1314" t="str">
        <f t="shared" si="98"/>
        <v/>
      </c>
      <c r="K723" s="1314" t="str">
        <f t="shared" si="102"/>
        <v/>
      </c>
      <c r="L723" s="826" t="s">
        <v>1387</v>
      </c>
      <c r="M723" s="1329">
        <v>706</v>
      </c>
      <c r="N723" s="1314"/>
      <c r="O723" s="1311"/>
      <c r="P723" s="1311"/>
      <c r="Q723" s="1311"/>
      <c r="R723" s="1314" t="s">
        <v>1525</v>
      </c>
      <c r="S723" s="1311"/>
      <c r="T723" s="1314" t="str">
        <f t="shared" si="104"/>
        <v/>
      </c>
      <c r="U723" s="1311"/>
      <c r="V723" s="1311"/>
      <c r="W723" s="1311"/>
      <c r="X723" s="1311"/>
      <c r="Y723" s="1311"/>
      <c r="Z723" s="1311"/>
    </row>
    <row r="724" spans="1:26" x14ac:dyDescent="0.25">
      <c r="A724" s="847" t="s">
        <v>1388</v>
      </c>
      <c r="B724" s="826" t="str">
        <f ca="1">_xlfn.IFNA(_xlfn.CONCAT(SUBSTITUTE(ADDRESS(1,MATCH(A724,INDIRECT("'"&amp;E724&amp;"'"&amp;"!A" &amp; $O$706 + 5 &amp; ":Z" &amp; $O$706+ 5),0),4),1,""),$O$706 + 7),"")</f>
        <v>J126</v>
      </c>
      <c r="C724" s="826" t="str">
        <f t="shared" ca="1" si="103"/>
        <v>J</v>
      </c>
      <c r="D724" s="826" t="s">
        <v>1357</v>
      </c>
      <c r="E724" s="826" t="s">
        <v>1516</v>
      </c>
      <c r="F724" s="1314"/>
      <c r="G724" s="1314"/>
      <c r="H724" s="1314"/>
      <c r="I724" s="1274" t="str">
        <f t="shared" si="101"/>
        <v/>
      </c>
      <c r="J724" s="1314"/>
      <c r="K724" s="1314" t="str">
        <f t="shared" si="102"/>
        <v/>
      </c>
      <c r="L724" s="826" t="s">
        <v>1388</v>
      </c>
      <c r="M724" s="1329">
        <v>707</v>
      </c>
      <c r="N724" s="1314"/>
      <c r="O724" s="1311"/>
      <c r="P724" s="1311"/>
      <c r="Q724" s="1311"/>
      <c r="R724" s="1314" t="s">
        <v>1525</v>
      </c>
      <c r="S724" s="1311"/>
      <c r="T724" s="1314" t="str">
        <f t="shared" si="104"/>
        <v/>
      </c>
      <c r="U724" s="1311"/>
      <c r="V724" s="1311"/>
      <c r="W724" s="1311"/>
      <c r="X724" s="1311"/>
      <c r="Y724" s="1311"/>
      <c r="Z724" s="1311"/>
    </row>
    <row r="725" spans="1:26" x14ac:dyDescent="0.25">
      <c r="A725" s="847" t="s">
        <v>1389</v>
      </c>
      <c r="B725" s="826" t="str">
        <f ca="1">_xlfn.IFNA(_xlfn.CONCAT(SUBSTITUTE(ADDRESS(1,MATCH(A725,INDIRECT("'"&amp;E725&amp;"'"&amp;"!A" &amp; $O$706 + 5 &amp; ":Z" &amp; $O$706+ 5),0),4),1,""),$O$706 + 7),"")</f>
        <v>L126</v>
      </c>
      <c r="C725" s="826" t="str">
        <f t="shared" ca="1" si="103"/>
        <v>L</v>
      </c>
      <c r="D725" s="826" t="s">
        <v>1357</v>
      </c>
      <c r="E725" s="826" t="s">
        <v>1516</v>
      </c>
      <c r="F725" s="1314"/>
      <c r="G725" s="1314"/>
      <c r="H725" s="1314"/>
      <c r="I725" s="1274" t="str">
        <f t="shared" si="101"/>
        <v/>
      </c>
      <c r="J725" s="1314"/>
      <c r="K725" s="1314" t="str">
        <f t="shared" si="102"/>
        <v/>
      </c>
      <c r="L725" s="826" t="s">
        <v>1389</v>
      </c>
      <c r="M725" s="1329">
        <v>708</v>
      </c>
      <c r="N725" s="1314"/>
      <c r="O725" s="1311"/>
      <c r="P725" s="1311"/>
      <c r="Q725" s="1311"/>
      <c r="R725" s="1314" t="s">
        <v>1525</v>
      </c>
      <c r="S725" s="1311"/>
      <c r="T725" s="1314" t="str">
        <f t="shared" si="104"/>
        <v/>
      </c>
      <c r="U725" s="1311"/>
      <c r="V725" s="1311"/>
      <c r="W725" s="1311"/>
      <c r="X725" s="1311"/>
      <c r="Y725" s="1311"/>
      <c r="Z725" s="1311"/>
    </row>
    <row r="726" spans="1:26" x14ac:dyDescent="0.25">
      <c r="A726" s="847" t="s">
        <v>1387</v>
      </c>
      <c r="B726" s="826" t="str">
        <f ca="1">_xlfn.IFNA(_xlfn.CONCAT(SUBSTITUTE(ADDRESS(1,MATCH(A726,INDIRECT("'"&amp;E726&amp;"'"&amp;"!A" &amp; $O$706 + 5 &amp; ":Z" &amp; $O$706+ 5),0),4),1,""),$O$706 + 8),"")</f>
        <v>H127</v>
      </c>
      <c r="C726" s="826" t="str">
        <f t="shared" ca="1" si="103"/>
        <v>H</v>
      </c>
      <c r="D726" s="826" t="s">
        <v>1357</v>
      </c>
      <c r="E726" s="826" t="s">
        <v>1516</v>
      </c>
      <c r="F726" s="1314"/>
      <c r="G726" s="1314"/>
      <c r="H726" s="1314"/>
      <c r="I726" s="1274" t="str">
        <f t="shared" si="101"/>
        <v/>
      </c>
      <c r="J726" s="1314" t="str">
        <f t="shared" si="98"/>
        <v/>
      </c>
      <c r="K726" s="1314" t="str">
        <f t="shared" si="102"/>
        <v/>
      </c>
      <c r="L726" s="826" t="s">
        <v>1387</v>
      </c>
      <c r="M726" s="1329">
        <v>709</v>
      </c>
      <c r="N726" s="1314"/>
      <c r="O726" s="1311"/>
      <c r="P726" s="1311"/>
      <c r="Q726" s="1311"/>
      <c r="R726" s="1314" t="s">
        <v>1525</v>
      </c>
      <c r="S726" s="1311"/>
      <c r="T726" s="1314" t="str">
        <f t="shared" si="104"/>
        <v/>
      </c>
      <c r="U726" s="1311"/>
      <c r="V726" s="1311"/>
      <c r="W726" s="1311"/>
      <c r="X726" s="1311"/>
      <c r="Y726" s="1311"/>
      <c r="Z726" s="1311"/>
    </row>
    <row r="727" spans="1:26" x14ac:dyDescent="0.25">
      <c r="A727" s="847" t="s">
        <v>1388</v>
      </c>
      <c r="B727" s="826" t="str">
        <f ca="1">_xlfn.IFNA(_xlfn.CONCAT(SUBSTITUTE(ADDRESS(1,MATCH(A727,INDIRECT("'"&amp;E727&amp;"'"&amp;"!A" &amp; $O$706 + 5 &amp; ":Z" &amp; $O$706+ 5),0),4),1,""),$O$706 + 8),"")</f>
        <v>J127</v>
      </c>
      <c r="C727" s="826" t="str">
        <f t="shared" ca="1" si="103"/>
        <v>J</v>
      </c>
      <c r="D727" s="826" t="s">
        <v>1357</v>
      </c>
      <c r="E727" s="826" t="s">
        <v>1516</v>
      </c>
      <c r="F727" s="1314"/>
      <c r="G727" s="1314"/>
      <c r="H727" s="1314"/>
      <c r="I727" s="1274" t="str">
        <f t="shared" si="101"/>
        <v/>
      </c>
      <c r="J727" s="1314"/>
      <c r="K727" s="1314" t="str">
        <f t="shared" si="102"/>
        <v/>
      </c>
      <c r="L727" s="826" t="s">
        <v>1388</v>
      </c>
      <c r="M727" s="1329">
        <v>710</v>
      </c>
      <c r="N727" s="1314"/>
      <c r="O727" s="1311"/>
      <c r="P727" s="1311"/>
      <c r="Q727" s="1311"/>
      <c r="R727" s="1314" t="s">
        <v>1525</v>
      </c>
      <c r="S727" s="1311"/>
      <c r="T727" s="1314" t="str">
        <f t="shared" si="104"/>
        <v/>
      </c>
      <c r="U727" s="1311"/>
      <c r="V727" s="1311"/>
      <c r="W727" s="1311"/>
      <c r="X727" s="1311"/>
      <c r="Y727" s="1311"/>
      <c r="Z727" s="1311"/>
    </row>
    <row r="728" spans="1:26" x14ac:dyDescent="0.25">
      <c r="A728" s="847" t="s">
        <v>1389</v>
      </c>
      <c r="B728" s="826" t="str">
        <f ca="1">_xlfn.IFNA(_xlfn.CONCAT(SUBSTITUTE(ADDRESS(1,MATCH(A728,INDIRECT("'"&amp;E728&amp;"'"&amp;"!A" &amp; $O$706 + 5 &amp; ":Z" &amp; $O$706+ 5),0),4),1,""),$O$706 + 8),"")</f>
        <v>L127</v>
      </c>
      <c r="C728" s="826" t="str">
        <f t="shared" ca="1" si="103"/>
        <v>L</v>
      </c>
      <c r="D728" s="826" t="s">
        <v>1357</v>
      </c>
      <c r="E728" s="826" t="s">
        <v>1516</v>
      </c>
      <c r="F728" s="1314"/>
      <c r="G728" s="1314"/>
      <c r="H728" s="1314"/>
      <c r="I728" s="1274" t="str">
        <f t="shared" si="101"/>
        <v/>
      </c>
      <c r="J728" s="1314"/>
      <c r="K728" s="1314" t="str">
        <f t="shared" si="102"/>
        <v/>
      </c>
      <c r="L728" s="826" t="s">
        <v>1389</v>
      </c>
      <c r="M728" s="1329">
        <v>711</v>
      </c>
      <c r="N728" s="1314"/>
      <c r="O728" s="1311"/>
      <c r="P728" s="1311"/>
      <c r="Q728" s="1311"/>
      <c r="R728" s="1314" t="s">
        <v>1525</v>
      </c>
      <c r="S728" s="1311"/>
      <c r="T728" s="1314" t="str">
        <f t="shared" si="104"/>
        <v/>
      </c>
      <c r="U728" s="1311"/>
      <c r="V728" s="1311"/>
      <c r="W728" s="1311"/>
      <c r="X728" s="1311"/>
      <c r="Y728" s="1311"/>
      <c r="Z728" s="1311"/>
    </row>
    <row r="729" spans="1:26" x14ac:dyDescent="0.25">
      <c r="A729" s="847" t="s">
        <v>1387</v>
      </c>
      <c r="B729" s="826" t="str">
        <f ca="1">_xlfn.IFNA(_xlfn.CONCAT(SUBSTITUTE(ADDRESS(1,MATCH(A729,INDIRECT("'"&amp;E729&amp;"'"&amp;"!A" &amp; $O$706 + 5 &amp; ":Z" &amp; $O$706+ 5),0),4),1,""),$O$706 + 9),"")</f>
        <v>H128</v>
      </c>
      <c r="C729" s="826" t="str">
        <f t="shared" ca="1" si="103"/>
        <v>H</v>
      </c>
      <c r="D729" s="826" t="s">
        <v>1357</v>
      </c>
      <c r="E729" s="826" t="s">
        <v>1516</v>
      </c>
      <c r="F729" s="1314"/>
      <c r="G729" s="1314"/>
      <c r="H729" s="1314"/>
      <c r="I729" s="1274" t="str">
        <f t="shared" si="101"/>
        <v/>
      </c>
      <c r="J729" s="1314" t="str">
        <f t="shared" si="98"/>
        <v/>
      </c>
      <c r="K729" s="1314" t="str">
        <f t="shared" si="102"/>
        <v/>
      </c>
      <c r="L729" s="826" t="s">
        <v>1387</v>
      </c>
      <c r="M729" s="1329">
        <v>712</v>
      </c>
      <c r="N729" s="1314"/>
      <c r="O729" s="1311"/>
      <c r="P729" s="1311"/>
      <c r="Q729" s="1311"/>
      <c r="R729" s="1314" t="s">
        <v>1525</v>
      </c>
      <c r="S729" s="1311"/>
      <c r="T729" s="1314" t="str">
        <f t="shared" si="104"/>
        <v/>
      </c>
      <c r="U729" s="1311"/>
      <c r="V729" s="1311"/>
      <c r="W729" s="1311"/>
      <c r="X729" s="1311"/>
      <c r="Y729" s="1311"/>
      <c r="Z729" s="1311"/>
    </row>
    <row r="730" spans="1:26" x14ac:dyDescent="0.25">
      <c r="A730" s="847" t="s">
        <v>1388</v>
      </c>
      <c r="B730" s="826" t="str">
        <f ca="1">_xlfn.IFNA(_xlfn.CONCAT(SUBSTITUTE(ADDRESS(1,MATCH(A730,INDIRECT("'"&amp;E730&amp;"'"&amp;"!A" &amp; $O$706 + 5 &amp; ":Z" &amp; $O$706+ 5),0),4),1,""),$O$706 + 9),"")</f>
        <v>J128</v>
      </c>
      <c r="C730" s="826" t="str">
        <f t="shared" ca="1" si="103"/>
        <v>J</v>
      </c>
      <c r="D730" s="826" t="s">
        <v>1357</v>
      </c>
      <c r="E730" s="826" t="s">
        <v>1516</v>
      </c>
      <c r="F730" s="1314"/>
      <c r="G730" s="1314"/>
      <c r="H730" s="1314"/>
      <c r="I730" s="1274" t="str">
        <f t="shared" si="101"/>
        <v/>
      </c>
      <c r="J730" s="1314"/>
      <c r="K730" s="1314" t="str">
        <f t="shared" si="102"/>
        <v/>
      </c>
      <c r="L730" s="826" t="s">
        <v>1388</v>
      </c>
      <c r="M730" s="1329">
        <v>713</v>
      </c>
      <c r="N730" s="1314"/>
      <c r="O730" s="1311"/>
      <c r="P730" s="1311"/>
      <c r="Q730" s="1311"/>
      <c r="R730" s="1314" t="s">
        <v>1525</v>
      </c>
      <c r="S730" s="1311"/>
      <c r="T730" s="1314" t="str">
        <f t="shared" si="104"/>
        <v/>
      </c>
      <c r="U730" s="1311"/>
      <c r="V730" s="1311"/>
      <c r="W730" s="1311"/>
      <c r="X730" s="1311"/>
      <c r="Y730" s="1311"/>
      <c r="Z730" s="1311"/>
    </row>
    <row r="731" spans="1:26" x14ac:dyDescent="0.25">
      <c r="A731" s="847" t="s">
        <v>1389</v>
      </c>
      <c r="B731" s="826" t="str">
        <f ca="1">_xlfn.IFNA(_xlfn.CONCAT(SUBSTITUTE(ADDRESS(1,MATCH(A731,INDIRECT("'"&amp;E731&amp;"'"&amp;"!A" &amp; $O$706 + 5 &amp; ":Z" &amp; $O$706+ 5),0),4),1,""),$O$706 + 9),"")</f>
        <v>L128</v>
      </c>
      <c r="C731" s="826" t="str">
        <f t="shared" ca="1" si="103"/>
        <v>L</v>
      </c>
      <c r="D731" s="826" t="s">
        <v>1357</v>
      </c>
      <c r="E731" s="826" t="s">
        <v>1516</v>
      </c>
      <c r="F731" s="1314"/>
      <c r="G731" s="1314"/>
      <c r="H731" s="1314"/>
      <c r="I731" s="1274" t="str">
        <f t="shared" si="101"/>
        <v/>
      </c>
      <c r="J731" s="1314"/>
      <c r="K731" s="1314" t="str">
        <f t="shared" si="102"/>
        <v/>
      </c>
      <c r="L731" s="826" t="s">
        <v>1389</v>
      </c>
      <c r="M731" s="1329">
        <v>714</v>
      </c>
      <c r="N731" s="1314"/>
      <c r="O731" s="1311"/>
      <c r="P731" s="1311"/>
      <c r="Q731" s="1311"/>
      <c r="R731" s="1314" t="s">
        <v>1525</v>
      </c>
      <c r="S731" s="1311"/>
      <c r="T731" s="1314" t="str">
        <f t="shared" si="104"/>
        <v/>
      </c>
      <c r="U731" s="1311"/>
      <c r="V731" s="1311"/>
      <c r="W731" s="1311"/>
      <c r="X731" s="1311"/>
      <c r="Y731" s="1311"/>
      <c r="Z731" s="1311"/>
    </row>
    <row r="732" spans="1:26" x14ac:dyDescent="0.25">
      <c r="A732" s="847" t="s">
        <v>1387</v>
      </c>
      <c r="B732" s="826" t="str">
        <f ca="1">_xlfn.IFNA(_xlfn.CONCAT(SUBSTITUTE(ADDRESS(1,MATCH(A732,INDIRECT("'"&amp;E732&amp;"'"&amp;"!A" &amp; $O$706 + 5 &amp; ":Z" &amp; $O$706+ 5),0),4),1,""),$O$706 + 10),"")</f>
        <v>H129</v>
      </c>
      <c r="C732" s="826" t="str">
        <f t="shared" ca="1" si="103"/>
        <v>H</v>
      </c>
      <c r="D732" s="826" t="s">
        <v>1357</v>
      </c>
      <c r="E732" s="826" t="s">
        <v>1516</v>
      </c>
      <c r="F732" s="1314"/>
      <c r="G732" s="1314"/>
      <c r="H732" s="1314"/>
      <c r="I732" s="1274" t="str">
        <f t="shared" si="101"/>
        <v/>
      </c>
      <c r="J732" s="1314" t="str">
        <f t="shared" si="98"/>
        <v/>
      </c>
      <c r="K732" s="1314" t="str">
        <f t="shared" si="102"/>
        <v/>
      </c>
      <c r="L732" s="826" t="s">
        <v>1387</v>
      </c>
      <c r="M732" s="1329">
        <v>715</v>
      </c>
      <c r="N732" s="1314"/>
      <c r="O732" s="1311"/>
      <c r="P732" s="1311"/>
      <c r="Q732" s="1311"/>
      <c r="R732" s="1314" t="s">
        <v>1525</v>
      </c>
      <c r="S732" s="1311"/>
      <c r="T732" s="1314" t="str">
        <f t="shared" si="104"/>
        <v/>
      </c>
      <c r="U732" s="1311"/>
      <c r="V732" s="1311"/>
      <c r="W732" s="1311"/>
      <c r="X732" s="1311"/>
      <c r="Y732" s="1311"/>
      <c r="Z732" s="1311"/>
    </row>
    <row r="733" spans="1:26" x14ac:dyDescent="0.25">
      <c r="A733" s="847" t="s">
        <v>1388</v>
      </c>
      <c r="B733" s="826" t="str">
        <f ca="1">_xlfn.IFNA(_xlfn.CONCAT(SUBSTITUTE(ADDRESS(1,MATCH(A733,INDIRECT("'"&amp;E733&amp;"'"&amp;"!A" &amp; $O$706 + 5 &amp; ":Z" &amp; $O$706+ 5),0),4),1,""),$O$706 + 10),"")</f>
        <v>J129</v>
      </c>
      <c r="C733" s="826" t="str">
        <f t="shared" ca="1" si="103"/>
        <v>J</v>
      </c>
      <c r="D733" s="826" t="s">
        <v>1357</v>
      </c>
      <c r="E733" s="826" t="s">
        <v>1516</v>
      </c>
      <c r="F733" s="1314"/>
      <c r="G733" s="1314"/>
      <c r="H733" s="1314"/>
      <c r="I733" s="1274" t="str">
        <f t="shared" si="101"/>
        <v/>
      </c>
      <c r="J733" s="1314"/>
      <c r="K733" s="1314" t="str">
        <f t="shared" si="102"/>
        <v/>
      </c>
      <c r="L733" s="826" t="s">
        <v>1388</v>
      </c>
      <c r="M733" s="1329">
        <v>716</v>
      </c>
      <c r="N733" s="1314"/>
      <c r="O733" s="1311"/>
      <c r="P733" s="1311"/>
      <c r="Q733" s="1311"/>
      <c r="R733" s="1314" t="s">
        <v>1525</v>
      </c>
      <c r="S733" s="1311"/>
      <c r="T733" s="1314" t="str">
        <f t="shared" si="104"/>
        <v/>
      </c>
      <c r="U733" s="1311"/>
      <c r="V733" s="1311"/>
      <c r="W733" s="1311"/>
      <c r="X733" s="1311"/>
      <c r="Y733" s="1311"/>
      <c r="Z733" s="1311"/>
    </row>
    <row r="734" spans="1:26" x14ac:dyDescent="0.25">
      <c r="A734" s="847" t="s">
        <v>1389</v>
      </c>
      <c r="B734" s="826" t="str">
        <f ca="1">_xlfn.IFNA(_xlfn.CONCAT(SUBSTITUTE(ADDRESS(1,MATCH(A734,INDIRECT("'"&amp;E734&amp;"'"&amp;"!A" &amp; $O$706 + 5 &amp; ":Z" &amp; $O$706+ 5),0),4),1,""),$O$706 + 10),"")</f>
        <v>L129</v>
      </c>
      <c r="C734" s="826" t="str">
        <f t="shared" ca="1" si="103"/>
        <v>L</v>
      </c>
      <c r="D734" s="826" t="s">
        <v>1357</v>
      </c>
      <c r="E734" s="826" t="s">
        <v>1516</v>
      </c>
      <c r="F734" s="1314"/>
      <c r="G734" s="1314"/>
      <c r="H734" s="1314"/>
      <c r="I734" s="1274" t="str">
        <f t="shared" si="101"/>
        <v/>
      </c>
      <c r="J734" s="1314"/>
      <c r="K734" s="1314" t="str">
        <f t="shared" si="102"/>
        <v/>
      </c>
      <c r="L734" s="826" t="s">
        <v>1389</v>
      </c>
      <c r="M734" s="1329">
        <v>717</v>
      </c>
      <c r="N734" s="1314"/>
      <c r="O734" s="1311"/>
      <c r="P734" s="1311"/>
      <c r="Q734" s="1311"/>
      <c r="R734" s="1314" t="s">
        <v>1525</v>
      </c>
      <c r="S734" s="1311"/>
      <c r="T734" s="1314" t="str">
        <f t="shared" si="104"/>
        <v/>
      </c>
      <c r="U734" s="1311"/>
      <c r="V734" s="1311"/>
      <c r="W734" s="1311"/>
      <c r="X734" s="1311"/>
      <c r="Y734" s="1311"/>
      <c r="Z734" s="1311"/>
    </row>
    <row r="735" spans="1:26" x14ac:dyDescent="0.25">
      <c r="A735" s="850" t="s">
        <v>1491</v>
      </c>
      <c r="B735" s="826" t="str">
        <f ca="1">IFERROR(_xlfn.CONCAT("C",MATCH(A735,INDIRECT("'"&amp;E735&amp;"'!C"&amp;$O$736&amp;":C"&amp;$O$738),0)+$O$736-1),"")</f>
        <v>C139</v>
      </c>
      <c r="C735" s="826" t="str">
        <f ca="1">IFERROR(_xlfn.CONCAT("D",MATCH(A735,INDIRECT("'"&amp;E735&amp;"'!C"&amp;$O$736&amp;":C"&amp;$O$738),0)+$O$736-1),"")</f>
        <v>D139</v>
      </c>
      <c r="D735" s="826" t="s">
        <v>1350</v>
      </c>
      <c r="E735" s="826" t="s">
        <v>1516</v>
      </c>
      <c r="F735" s="1314" t="s">
        <v>1491</v>
      </c>
      <c r="G735" s="1314" t="str">
        <f>IF(T735&lt;&gt;"","A","")</f>
        <v/>
      </c>
      <c r="H735" s="1314" t="s">
        <v>1990</v>
      </c>
      <c r="I735" s="1274" t="str">
        <f t="shared" si="101"/>
        <v/>
      </c>
      <c r="J735" s="1314"/>
      <c r="K735" s="1314" t="str">
        <f t="shared" si="102"/>
        <v/>
      </c>
      <c r="L735" s="826" t="s">
        <v>1491</v>
      </c>
      <c r="M735" s="1329">
        <v>718</v>
      </c>
      <c r="N735" s="1314"/>
      <c r="O735" s="1311" t="s">
        <v>725</v>
      </c>
      <c r="P735" s="1311"/>
      <c r="Q735" s="1311"/>
      <c r="R735" s="1314" t="s">
        <v>1525</v>
      </c>
      <c r="S735" s="1311"/>
      <c r="T735" s="1314" t="str">
        <f t="shared" ref="T735:T764" si="105">IF(Q$736="Yes",10,"")</f>
        <v/>
      </c>
      <c r="U735" s="1311"/>
      <c r="V735" s="1311"/>
      <c r="W735" s="1311"/>
      <c r="X735" s="1311"/>
      <c r="Y735" s="1311"/>
      <c r="Z735" s="1311"/>
    </row>
    <row r="736" spans="1:26" x14ac:dyDescent="0.25">
      <c r="A736" s="850" t="s">
        <v>1705</v>
      </c>
      <c r="B736" s="826" t="str">
        <f ca="1">_xlfn.CONCAT(IFERROR(SUBSTITUTE(ADDRESS(1,MATCH(A736,INDIRECT("'"&amp;E736&amp;"'"&amp;"!A" &amp; $O$736 + 12 &amp; ":Z" &amp; $O$736+ 12),0),4),1,""),""),$O$736 + 12)</f>
        <v>T147</v>
      </c>
      <c r="C736" s="826" t="str">
        <f ca="1">_xlfn.CONCAT(IFERROR(SUBSTITUTE(ADDRESS(1,MATCH(A736,INDIRECT("'"&amp;E736&amp;"'"&amp;"!A" &amp; $O$736 + 12 &amp; ":Z" &amp; $O$736+ 12),0),4),1,""),""),$O$736 + 13)</f>
        <v>T148</v>
      </c>
      <c r="D736" s="826" t="s">
        <v>1350</v>
      </c>
      <c r="E736" s="826" t="s">
        <v>1516</v>
      </c>
      <c r="F736" s="1314"/>
      <c r="G736" s="1314"/>
      <c r="H736" s="1314"/>
      <c r="I736" s="1274" t="str">
        <f t="shared" si="101"/>
        <v/>
      </c>
      <c r="J736" s="1314" t="str">
        <f t="shared" ref="J736:J762" si="106">IF(M736&lt;&gt;"",IF($Q$736="Yes",Q$1&amp;M736,""))</f>
        <v/>
      </c>
      <c r="K736" s="1314" t="str">
        <f t="shared" si="102"/>
        <v/>
      </c>
      <c r="L736" s="826" t="s">
        <v>1705</v>
      </c>
      <c r="M736" s="1329">
        <v>719</v>
      </c>
      <c r="N736" s="1314"/>
      <c r="O736" s="1311">
        <f>'Configurable Tab'!H12</f>
        <v>135</v>
      </c>
      <c r="P736" s="1406" t="str">
        <f>'Configurable Tab'!J12</f>
        <v>Yes</v>
      </c>
      <c r="Q736" s="1351" t="s">
        <v>648</v>
      </c>
      <c r="R736" s="1314" t="s">
        <v>1525</v>
      </c>
      <c r="S736" s="1311"/>
      <c r="T736" s="1314" t="str">
        <f t="shared" si="105"/>
        <v/>
      </c>
      <c r="U736" s="1311"/>
      <c r="V736" s="1311"/>
      <c r="W736" s="1311"/>
      <c r="X736" s="1311"/>
      <c r="Y736" s="1311"/>
      <c r="Z736" s="1311"/>
    </row>
    <row r="737" spans="1:26" x14ac:dyDescent="0.25">
      <c r="A737" s="850" t="s">
        <v>1383</v>
      </c>
      <c r="B737" s="826" t="str">
        <f ca="1">IFERROR(_xlfn.CONCAT("C",MATCH(A737,INDIRECT("'"&amp;E737&amp;"'!C"&amp;$O$736&amp;":C"&amp;$O$738),0)+$O$736-1),"")</f>
        <v>C137</v>
      </c>
      <c r="C737" s="826" t="str">
        <f ca="1">IFERROR(_xlfn.CONCAT("D",MATCH(A737,INDIRECT("'"&amp;E737&amp;"'!C"&amp;$O$736&amp;":C"&amp;$O$738),0)+$O$736-1),"")</f>
        <v>D137</v>
      </c>
      <c r="D737" s="826" t="s">
        <v>1350</v>
      </c>
      <c r="E737" s="826" t="s">
        <v>1516</v>
      </c>
      <c r="F737" s="1314" t="s">
        <v>1383</v>
      </c>
      <c r="G737" s="1314" t="str">
        <f>IF(T737&lt;&gt;"","B","")</f>
        <v/>
      </c>
      <c r="H737" s="1314" t="s">
        <v>1990</v>
      </c>
      <c r="I737" s="1274" t="str">
        <f t="shared" si="101"/>
        <v/>
      </c>
      <c r="J737" s="1314"/>
      <c r="K737" s="1314" t="str">
        <f t="shared" si="102"/>
        <v/>
      </c>
      <c r="L737" s="826" t="s">
        <v>1383</v>
      </c>
      <c r="M737" s="1329">
        <v>720</v>
      </c>
      <c r="N737" s="1314"/>
      <c r="O737" s="1311" t="s">
        <v>726</v>
      </c>
      <c r="P737" s="1311"/>
      <c r="Q737" s="1311"/>
      <c r="R737" s="1314" t="s">
        <v>1525</v>
      </c>
      <c r="S737" s="1311"/>
      <c r="T737" s="1314" t="str">
        <f t="shared" si="105"/>
        <v/>
      </c>
      <c r="U737" s="1311"/>
      <c r="V737" s="1311"/>
      <c r="W737" s="1311"/>
      <c r="X737" s="1311"/>
      <c r="Y737" s="1311"/>
      <c r="Z737" s="1311"/>
    </row>
    <row r="738" spans="1:26" x14ac:dyDescent="0.25">
      <c r="A738" s="850" t="s">
        <v>1380</v>
      </c>
      <c r="B738" s="826" t="str">
        <f t="shared" ref="B738:B744" ca="1" si="107">_xlfn.CONCAT(IFERROR(SUBSTITUTE(ADDRESS(1,MATCH(A738,INDIRECT("'"&amp;E738&amp;"'"&amp;"!A" &amp; $O$736 + 2 &amp; ":Z" &amp; $O$736+ 2),0),4),1,""),""),$O$736 + 2)</f>
        <v>H137</v>
      </c>
      <c r="C738" s="826" t="str">
        <f t="shared" ref="C738:C744" ca="1" si="108">_xlfn.CONCAT(IFERROR(SUBSTITUTE(ADDRESS(1,MATCH(A738,INDIRECT("'"&amp;E738&amp;"'"&amp;"!A" &amp; $O$736 + 2 &amp; ":Z" &amp; $O$736+ 2),0),4),1,""),""),$O$736 + 3)</f>
        <v>H138</v>
      </c>
      <c r="D738" s="826" t="s">
        <v>1350</v>
      </c>
      <c r="E738" s="826" t="s">
        <v>1516</v>
      </c>
      <c r="F738" s="1314" t="s">
        <v>1991</v>
      </c>
      <c r="G738" s="1314" t="str">
        <f>IF(T738&lt;&gt;"","E","")</f>
        <v/>
      </c>
      <c r="H738" s="1314" t="s">
        <v>1990</v>
      </c>
      <c r="I738" s="1274" t="str">
        <f t="shared" si="101"/>
        <v/>
      </c>
      <c r="J738" s="1314" t="str">
        <f t="shared" si="106"/>
        <v/>
      </c>
      <c r="K738" s="1314" t="str">
        <f t="shared" si="102"/>
        <v/>
      </c>
      <c r="L738" s="826" t="s">
        <v>1380</v>
      </c>
      <c r="M738" s="1329">
        <v>721</v>
      </c>
      <c r="N738" s="1314"/>
      <c r="O738" s="1311">
        <f>'Configurable Tab'!I12</f>
        <v>150</v>
      </c>
      <c r="P738" s="1311"/>
      <c r="Q738" s="1311"/>
      <c r="R738" s="1314" t="s">
        <v>1525</v>
      </c>
      <c r="S738" s="1311"/>
      <c r="T738" s="1314" t="str">
        <f t="shared" si="105"/>
        <v/>
      </c>
      <c r="U738" s="1311"/>
      <c r="V738" s="1311"/>
      <c r="W738" s="1311"/>
      <c r="X738" s="1311"/>
      <c r="Y738" s="1311"/>
      <c r="Z738" s="1311"/>
    </row>
    <row r="739" spans="1:26" x14ac:dyDescent="0.25">
      <c r="A739" s="850" t="s">
        <v>1381</v>
      </c>
      <c r="B739" s="826" t="str">
        <f t="shared" ca="1" si="107"/>
        <v>J137</v>
      </c>
      <c r="C739" s="826" t="str">
        <f t="shared" ca="1" si="108"/>
        <v>J138</v>
      </c>
      <c r="D739" s="826" t="s">
        <v>1350</v>
      </c>
      <c r="E739" s="826" t="s">
        <v>1516</v>
      </c>
      <c r="F739" s="1314" t="s">
        <v>1992</v>
      </c>
      <c r="G739" s="1314" t="str">
        <f>IF(T739&lt;&gt;"","I","")</f>
        <v/>
      </c>
      <c r="H739" s="1314" t="s">
        <v>1990</v>
      </c>
      <c r="I739" s="1274" t="str">
        <f t="shared" si="101"/>
        <v/>
      </c>
      <c r="J739" s="1314" t="str">
        <f t="shared" si="106"/>
        <v/>
      </c>
      <c r="K739" s="1314" t="str">
        <f t="shared" si="102"/>
        <v/>
      </c>
      <c r="L739" s="826" t="s">
        <v>1381</v>
      </c>
      <c r="M739" s="1329">
        <v>722</v>
      </c>
      <c r="N739" s="1314"/>
      <c r="O739" s="1311" t="s">
        <v>1641</v>
      </c>
      <c r="P739" s="1311"/>
      <c r="Q739" s="1311"/>
      <c r="R739" s="1314" t="s">
        <v>1525</v>
      </c>
      <c r="S739" s="1311"/>
      <c r="T739" s="1314" t="str">
        <f t="shared" si="105"/>
        <v/>
      </c>
      <c r="U739" s="1311"/>
      <c r="V739" s="1311"/>
      <c r="W739" s="1311"/>
      <c r="X739" s="1311"/>
      <c r="Y739" s="1311"/>
      <c r="Z739" s="1311"/>
    </row>
    <row r="740" spans="1:26" x14ac:dyDescent="0.25">
      <c r="A740" s="850" t="s">
        <v>1397</v>
      </c>
      <c r="B740" s="826" t="str">
        <f t="shared" ca="1" si="107"/>
        <v>L137</v>
      </c>
      <c r="C740" s="826" t="str">
        <f t="shared" ca="1" si="108"/>
        <v>L138</v>
      </c>
      <c r="D740" s="826" t="s">
        <v>1350</v>
      </c>
      <c r="E740" s="826" t="s">
        <v>1516</v>
      </c>
      <c r="F740" s="1314" t="s">
        <v>1993</v>
      </c>
      <c r="G740" s="1314" t="str">
        <f>IF(T740&lt;&gt;"","H","")</f>
        <v/>
      </c>
      <c r="H740" s="1314" t="s">
        <v>1990</v>
      </c>
      <c r="I740" s="1274" t="str">
        <f t="shared" si="101"/>
        <v/>
      </c>
      <c r="J740" s="1314" t="str">
        <f t="shared" si="106"/>
        <v/>
      </c>
      <c r="K740" s="1314" t="str">
        <f t="shared" si="102"/>
        <v/>
      </c>
      <c r="L740" s="826" t="s">
        <v>1397</v>
      </c>
      <c r="M740" s="1329">
        <v>723</v>
      </c>
      <c r="N740" s="1314"/>
      <c r="O740" s="1311"/>
      <c r="P740" s="1311"/>
      <c r="Q740" s="1311"/>
      <c r="R740" s="1314" t="s">
        <v>1525</v>
      </c>
      <c r="S740" s="1311"/>
      <c r="T740" s="1314" t="str">
        <f t="shared" si="105"/>
        <v/>
      </c>
      <c r="U740" s="1311"/>
      <c r="V740" s="1311"/>
      <c r="W740" s="1311"/>
      <c r="X740" s="1311"/>
      <c r="Y740" s="1311"/>
      <c r="Z740" s="1311"/>
    </row>
    <row r="741" spans="1:26" x14ac:dyDescent="0.25">
      <c r="A741" s="850" t="s">
        <v>1382</v>
      </c>
      <c r="B741" s="826" t="str">
        <f t="shared" ca="1" si="107"/>
        <v>N137</v>
      </c>
      <c r="C741" s="826" t="str">
        <f t="shared" ca="1" si="108"/>
        <v>N138</v>
      </c>
      <c r="D741" s="826" t="s">
        <v>1350</v>
      </c>
      <c r="E741" s="826" t="s">
        <v>1516</v>
      </c>
      <c r="F741" s="1314" t="s">
        <v>1382</v>
      </c>
      <c r="G741" s="1314" t="str">
        <f>IF(T741&lt;&gt;"",IF(Q739="Credit Memo","J",IF(Q739="Check","K","")),"")</f>
        <v/>
      </c>
      <c r="H741" s="1314" t="s">
        <v>1990</v>
      </c>
      <c r="I741" s="1274" t="str">
        <f t="shared" si="101"/>
        <v/>
      </c>
      <c r="J741" s="1314" t="str">
        <f t="shared" si="106"/>
        <v/>
      </c>
      <c r="K741" s="1314" t="str">
        <f t="shared" si="102"/>
        <v/>
      </c>
      <c r="L741" s="826" t="s">
        <v>1382</v>
      </c>
      <c r="M741" s="1329">
        <v>724</v>
      </c>
      <c r="N741" s="1314"/>
      <c r="O741" s="1311"/>
      <c r="P741" s="1311"/>
      <c r="Q741" s="1311"/>
      <c r="R741" s="1314" t="s">
        <v>1525</v>
      </c>
      <c r="S741" s="1311"/>
      <c r="T741" s="1314" t="str">
        <f t="shared" si="105"/>
        <v/>
      </c>
      <c r="U741" s="1311"/>
      <c r="V741" s="1311"/>
      <c r="W741" s="1311"/>
      <c r="X741" s="1311"/>
      <c r="Y741" s="1311"/>
      <c r="Z741" s="1311"/>
    </row>
    <row r="742" spans="1:26" x14ac:dyDescent="0.25">
      <c r="A742" s="850" t="s">
        <v>1486</v>
      </c>
      <c r="B742" s="826" t="str">
        <f t="shared" ca="1" si="107"/>
        <v>P137</v>
      </c>
      <c r="C742" s="826" t="str">
        <f t="shared" ca="1" si="108"/>
        <v>P138</v>
      </c>
      <c r="D742" s="826" t="s">
        <v>1350</v>
      </c>
      <c r="E742" s="826" t="s">
        <v>1516</v>
      </c>
      <c r="F742" s="1314" t="s">
        <v>1994</v>
      </c>
      <c r="G742" s="1314" t="str">
        <f>IF(T742&lt;&gt;"","F","")</f>
        <v/>
      </c>
      <c r="H742" s="1314" t="s">
        <v>1990</v>
      </c>
      <c r="I742" s="1274" t="str">
        <f t="shared" si="101"/>
        <v/>
      </c>
      <c r="J742" s="1314" t="str">
        <f t="shared" si="106"/>
        <v/>
      </c>
      <c r="K742" s="1314" t="str">
        <f t="shared" si="102"/>
        <v/>
      </c>
      <c r="L742" s="826" t="s">
        <v>1486</v>
      </c>
      <c r="M742" s="1329">
        <v>725</v>
      </c>
      <c r="N742" s="1314"/>
      <c r="O742" s="1311"/>
      <c r="P742" s="1311"/>
      <c r="Q742" s="1311"/>
      <c r="R742" s="1314" t="s">
        <v>1525</v>
      </c>
      <c r="S742" s="1311"/>
      <c r="T742" s="1314" t="str">
        <f t="shared" si="105"/>
        <v/>
      </c>
      <c r="U742" s="1311"/>
      <c r="V742" s="1311"/>
      <c r="W742" s="1311"/>
      <c r="X742" s="1311"/>
      <c r="Y742" s="1311"/>
      <c r="Z742" s="1311"/>
    </row>
    <row r="743" spans="1:26" x14ac:dyDescent="0.25">
      <c r="A743" s="850" t="s">
        <v>1487</v>
      </c>
      <c r="B743" s="826" t="str">
        <f t="shared" ca="1" si="107"/>
        <v>R137</v>
      </c>
      <c r="C743" s="826" t="str">
        <f t="shared" ca="1" si="108"/>
        <v>R138</v>
      </c>
      <c r="D743" s="826" t="s">
        <v>1350</v>
      </c>
      <c r="E743" s="826" t="s">
        <v>1516</v>
      </c>
      <c r="F743" s="1314" t="s">
        <v>1995</v>
      </c>
      <c r="G743" s="1314" t="str">
        <f>IF(T743&lt;&gt;"","G","")</f>
        <v/>
      </c>
      <c r="H743" s="1314" t="s">
        <v>1990</v>
      </c>
      <c r="I743" s="1274" t="str">
        <f t="shared" si="101"/>
        <v/>
      </c>
      <c r="J743" s="1314" t="str">
        <f t="shared" si="106"/>
        <v/>
      </c>
      <c r="K743" s="1314" t="str">
        <f t="shared" si="102"/>
        <v/>
      </c>
      <c r="L743" s="826" t="s">
        <v>1487</v>
      </c>
      <c r="M743" s="1329">
        <v>726</v>
      </c>
      <c r="N743" s="1314"/>
      <c r="O743" s="1311"/>
      <c r="P743" s="1311"/>
      <c r="Q743" s="1311"/>
      <c r="R743" s="1314" t="s">
        <v>1525</v>
      </c>
      <c r="S743" s="1311"/>
      <c r="T743" s="1314" t="str">
        <f t="shared" si="105"/>
        <v/>
      </c>
      <c r="U743" s="1311"/>
      <c r="V743" s="1311"/>
      <c r="W743" s="1311"/>
      <c r="X743" s="1311"/>
      <c r="Y743" s="1311"/>
      <c r="Z743" s="1311"/>
    </row>
    <row r="744" spans="1:26" x14ac:dyDescent="0.25">
      <c r="A744" s="850" t="s">
        <v>1488</v>
      </c>
      <c r="B744" s="826" t="str">
        <f t="shared" ca="1" si="107"/>
        <v>T137</v>
      </c>
      <c r="C744" s="826" t="str">
        <f t="shared" ca="1" si="108"/>
        <v>T138</v>
      </c>
      <c r="D744" s="826" t="s">
        <v>1350</v>
      </c>
      <c r="E744" s="826" t="s">
        <v>1516</v>
      </c>
      <c r="F744" s="841" t="s">
        <v>1488</v>
      </c>
      <c r="G744" s="1314" t="str">
        <f>IF(T744&lt;&gt;"","AW","")</f>
        <v/>
      </c>
      <c r="H744" s="1314" t="s">
        <v>1990</v>
      </c>
      <c r="I744" s="1274" t="str">
        <f t="shared" si="101"/>
        <v/>
      </c>
      <c r="J744" s="1314" t="str">
        <f t="shared" si="106"/>
        <v/>
      </c>
      <c r="K744" s="1314" t="str">
        <f t="shared" si="102"/>
        <v/>
      </c>
      <c r="L744" s="826" t="s">
        <v>1488</v>
      </c>
      <c r="M744" s="1329">
        <v>727</v>
      </c>
      <c r="N744" s="1314"/>
      <c r="O744" s="1311"/>
      <c r="P744" s="1311"/>
      <c r="Q744" s="1311"/>
      <c r="R744" s="1314" t="s">
        <v>1525</v>
      </c>
      <c r="S744" s="1311"/>
      <c r="T744" s="1314" t="str">
        <f t="shared" si="105"/>
        <v/>
      </c>
      <c r="U744" s="1311"/>
      <c r="V744" s="1311"/>
      <c r="W744" s="1311"/>
      <c r="X744" s="1311"/>
      <c r="Y744" s="1311"/>
      <c r="Z744" s="1311"/>
    </row>
    <row r="745" spans="1:26" x14ac:dyDescent="0.25">
      <c r="A745" s="850" t="s">
        <v>1385</v>
      </c>
      <c r="B745" s="826" t="str">
        <f ca="1">IFERROR(_xlfn.CONCAT("C",MATCH(A745,INDIRECT("'"&amp;E745&amp;"'!C"&amp;$O$736&amp;":C"&amp;$O$738),0)+$O$736-1),"")</f>
        <v>C141</v>
      </c>
      <c r="C745" s="826" t="str">
        <f ca="1">IFERROR(_xlfn.CONCAT("D",MATCH(A745,INDIRECT("'"&amp;E745&amp;"'!C"&amp;$O$736&amp;":C"&amp;$O$738),0)+$O$736-1),"")</f>
        <v>D141</v>
      </c>
      <c r="D745" s="826" t="s">
        <v>1350</v>
      </c>
      <c r="E745" s="826" t="s">
        <v>1516</v>
      </c>
      <c r="F745" s="1314" t="s">
        <v>1385</v>
      </c>
      <c r="G745" s="1314" t="str">
        <f>IF(T745&lt;&gt;"","C","")</f>
        <v/>
      </c>
      <c r="H745" s="1314" t="s">
        <v>1990</v>
      </c>
      <c r="I745" s="1274" t="str">
        <f t="shared" si="101"/>
        <v/>
      </c>
      <c r="J745" s="1314"/>
      <c r="K745" s="1314" t="str">
        <f t="shared" si="102"/>
        <v/>
      </c>
      <c r="L745" s="826" t="s">
        <v>1385</v>
      </c>
      <c r="M745" s="1329">
        <v>728</v>
      </c>
      <c r="N745" s="1314"/>
      <c r="O745" s="1311"/>
      <c r="P745" s="1311"/>
      <c r="Q745" s="1311"/>
      <c r="R745" s="1314" t="s">
        <v>1525</v>
      </c>
      <c r="S745" s="1311"/>
      <c r="T745" s="1314" t="str">
        <f t="shared" si="105"/>
        <v/>
      </c>
      <c r="U745" s="1311"/>
      <c r="V745" s="1311"/>
      <c r="W745" s="1311"/>
      <c r="X745" s="1311"/>
      <c r="Y745" s="1311"/>
      <c r="Z745" s="1311"/>
    </row>
    <row r="746" spans="1:26" x14ac:dyDescent="0.25">
      <c r="A746" s="850" t="s">
        <v>1386</v>
      </c>
      <c r="B746" s="826" t="str">
        <f ca="1">IFERROR(_xlfn.CONCAT("C",MATCH(A746,INDIRECT("'"&amp;E746&amp;"'!C"&amp;$O$736&amp;":C"&amp;$O$738),0)+$O$736-1),"")</f>
        <v>C143</v>
      </c>
      <c r="C746" s="826" t="str">
        <f ca="1">IFERROR(_xlfn.CONCAT("D",MATCH(A746,INDIRECT("'"&amp;E746&amp;"'!C"&amp;$O$736&amp;":C"&amp;$O$738),0)+$O$736-1),"")</f>
        <v>D143</v>
      </c>
      <c r="D746" s="826" t="s">
        <v>1350</v>
      </c>
      <c r="E746" s="826" t="s">
        <v>1516</v>
      </c>
      <c r="F746" s="1314" t="s">
        <v>1386</v>
      </c>
      <c r="G746" s="1314" t="str">
        <f>IF(T746&lt;&gt;"","D","")</f>
        <v/>
      </c>
      <c r="H746" s="1314" t="s">
        <v>1990</v>
      </c>
      <c r="I746" s="1274" t="str">
        <f t="shared" si="101"/>
        <v/>
      </c>
      <c r="J746" s="1314"/>
      <c r="K746" s="1314" t="str">
        <f t="shared" si="102"/>
        <v/>
      </c>
      <c r="L746" s="826" t="s">
        <v>1386</v>
      </c>
      <c r="M746" s="1329">
        <v>729</v>
      </c>
      <c r="N746" s="1314"/>
      <c r="O746" s="1311"/>
      <c r="P746" s="1311"/>
      <c r="Q746" s="1311"/>
      <c r="R746" s="1314" t="s">
        <v>1525</v>
      </c>
      <c r="S746" s="1311"/>
      <c r="T746" s="1314" t="str">
        <f t="shared" si="105"/>
        <v/>
      </c>
      <c r="U746" s="1311"/>
      <c r="V746" s="1311"/>
      <c r="W746" s="1311"/>
      <c r="X746" s="1311"/>
      <c r="Y746" s="1311"/>
      <c r="Z746" s="1311"/>
    </row>
    <row r="747" spans="1:26" x14ac:dyDescent="0.25">
      <c r="A747" s="850" t="s">
        <v>1495</v>
      </c>
      <c r="B747" s="826" t="str">
        <f ca="1">IFERROR(_xlfn.CONCAT("C",MATCH(A747,INDIRECT("'"&amp;E747&amp;"'!C"&amp;$O$736&amp;":C"&amp;$O$738),0)+$O$736-1),"")</f>
        <v>C147</v>
      </c>
      <c r="C747" s="826" t="str">
        <f ca="1">IFERROR(_xlfn.CONCAT("D",MATCH(A747,INDIRECT("'"&amp;E747&amp;"'!C"&amp;$O$736&amp;":C"&amp;$O$738),0)+$O$736-1),"")</f>
        <v>D147</v>
      </c>
      <c r="D747" s="826" t="s">
        <v>1350</v>
      </c>
      <c r="E747" s="826" t="s">
        <v>1516</v>
      </c>
      <c r="F747" s="1314" t="s">
        <v>1495</v>
      </c>
      <c r="G747" s="1314" t="str">
        <f>IF(T747&lt;&gt;"","AN","")</f>
        <v/>
      </c>
      <c r="H747" s="1314" t="s">
        <v>1990</v>
      </c>
      <c r="I747" s="1274" t="str">
        <f t="shared" si="101"/>
        <v/>
      </c>
      <c r="J747" s="1314" t="str">
        <f t="shared" si="106"/>
        <v/>
      </c>
      <c r="K747" s="1314" t="str">
        <f t="shared" si="102"/>
        <v/>
      </c>
      <c r="L747" s="826" t="s">
        <v>1495</v>
      </c>
      <c r="M747" s="1329">
        <v>730</v>
      </c>
      <c r="N747" s="1314"/>
      <c r="O747" s="1405"/>
      <c r="P747" s="1317" t="str" cm="1">
        <f t="array" aca="1" ref="P747" ca="1">_xlfn.CONCAT("F",RIGHT(B747, LEN(B747) - MAX(IF(ISNUMBER(MID(B747, ROW(INDIRECT("1:"&amp;LEN(B747))), 1) *1)=FALSE, ROW(INDIRECT("1:"&amp;LEN(B747))), 0))))</f>
        <v>F147</v>
      </c>
      <c r="Q747" s="1314" t="str" cm="1">
        <f t="array" aca="1" ref="Q747" ca="1">_xlfn.CONCAT("E",RIGHT(C747, LEN(C747) - MAX(IF(ISNUMBER(MID(C747, ROW(INDIRECT("1:"&amp;LEN(C747))), 1) *1)=FALSE, ROW(INDIRECT("1:"&amp;LEN(C747))), 0))))</f>
        <v>E147</v>
      </c>
      <c r="R747" s="1314" t="s">
        <v>1525</v>
      </c>
      <c r="S747" s="1311"/>
      <c r="T747" s="1314" t="str">
        <f t="shared" si="105"/>
        <v/>
      </c>
      <c r="U747" s="1311"/>
      <c r="V747" s="1311"/>
      <c r="W747" s="1311"/>
      <c r="X747" s="1311"/>
      <c r="Y747" s="1311"/>
      <c r="Z747" s="1311"/>
    </row>
    <row r="748" spans="1:26" x14ac:dyDescent="0.25">
      <c r="A748" s="850" t="s">
        <v>1492</v>
      </c>
      <c r="B748" s="826" t="str">
        <f ca="1">_xlfn.CONCAT(IFERROR(SUBSTITUTE(ADDRESS(1,MATCH(A748,INDIRECT("'"&amp;E748&amp;"'"&amp;"!A" &amp; $O$736 + 12 &amp; ":Z" &amp; $O$736+ 12),0),4),1,""),""),$O$736 + 12)</f>
        <v>H147</v>
      </c>
      <c r="C748" s="826" t="str">
        <f ca="1">_xlfn.CONCAT(IFERROR(SUBSTITUTE(ADDRESS(1,MATCH(A748,INDIRECT("'"&amp;E748&amp;"'"&amp;"!A" &amp; $O$736 + 12 &amp; ":Z" &amp; $O$736+ 12),0),4),1,""),""),$O$736 + 13)</f>
        <v>H148</v>
      </c>
      <c r="D748" s="826" t="s">
        <v>1350</v>
      </c>
      <c r="E748" s="826" t="s">
        <v>1516</v>
      </c>
      <c r="F748" s="1314" t="s">
        <v>1492</v>
      </c>
      <c r="G748" s="1314" t="str">
        <f>IF(T748&lt;&gt;"","AL","")</f>
        <v/>
      </c>
      <c r="H748" s="1314" t="s">
        <v>1990</v>
      </c>
      <c r="I748" s="1274" t="str">
        <f t="shared" si="101"/>
        <v/>
      </c>
      <c r="J748" s="1314" t="str">
        <f t="shared" si="106"/>
        <v/>
      </c>
      <c r="K748" s="1314" t="str">
        <f t="shared" si="102"/>
        <v/>
      </c>
      <c r="L748" s="826" t="s">
        <v>1492</v>
      </c>
      <c r="M748" s="1329">
        <v>731</v>
      </c>
      <c r="N748" s="1314"/>
      <c r="O748" s="1311"/>
      <c r="P748" s="1311"/>
      <c r="Q748" s="1311"/>
      <c r="R748" s="1314" t="s">
        <v>1525</v>
      </c>
      <c r="S748" s="1311"/>
      <c r="T748" s="1314" t="str">
        <f t="shared" si="105"/>
        <v/>
      </c>
      <c r="U748" s="1311"/>
      <c r="V748" s="1311"/>
      <c r="W748" s="1311"/>
      <c r="X748" s="1311"/>
      <c r="Y748" s="1311"/>
      <c r="Z748" s="1311"/>
    </row>
    <row r="749" spans="1:26" x14ac:dyDescent="0.25">
      <c r="A749" s="850" t="s">
        <v>1506</v>
      </c>
      <c r="B749" s="826" t="str">
        <f ca="1">_xlfn.CONCAT(IFERROR(SUBSTITUTE(ADDRESS(1,MATCH(A749,INDIRECT("'"&amp;E749&amp;"'"&amp;"!A" &amp; $O$736 + 12 &amp; ":Z" &amp; $O$736+ 12),0),4),1,""),""),$O$736 + 12)</f>
        <v>J147</v>
      </c>
      <c r="C749" s="826" t="str">
        <f ca="1">_xlfn.CONCAT(IFERROR(SUBSTITUTE(ADDRESS(1,MATCH(A749,INDIRECT("'"&amp;E749&amp;"'"&amp;"!A" &amp; $O$736 + 12 &amp; ":Z" &amp; $O$736+ 12),0),4),1,""),""),$O$736 + 13)</f>
        <v>J148</v>
      </c>
      <c r="D749" s="826" t="s">
        <v>1350</v>
      </c>
      <c r="E749" s="826" t="s">
        <v>1516</v>
      </c>
      <c r="F749" s="1314" t="s">
        <v>1996</v>
      </c>
      <c r="G749" s="1314" t="str">
        <f>IF(T749&lt;&gt;"","L","")</f>
        <v/>
      </c>
      <c r="H749" s="1314" t="s">
        <v>1990</v>
      </c>
      <c r="I749" s="1274" t="str">
        <f t="shared" si="101"/>
        <v/>
      </c>
      <c r="J749" s="1314" t="str">
        <f t="shared" si="106"/>
        <v/>
      </c>
      <c r="K749" s="1314" t="str">
        <f t="shared" si="102"/>
        <v/>
      </c>
      <c r="L749" s="826" t="s">
        <v>1506</v>
      </c>
      <c r="M749" s="1329">
        <v>732</v>
      </c>
      <c r="N749" s="1314"/>
      <c r="O749" s="1311"/>
      <c r="P749" s="1311"/>
      <c r="Q749" s="1311"/>
      <c r="R749" s="1314" t="s">
        <v>1525</v>
      </c>
      <c r="S749" s="1311"/>
      <c r="T749" s="1314" t="str">
        <f t="shared" si="105"/>
        <v/>
      </c>
      <c r="U749" s="1311"/>
      <c r="V749" s="1311"/>
      <c r="W749" s="1311"/>
      <c r="X749" s="1311"/>
      <c r="Y749" s="1311"/>
      <c r="Z749" s="1311"/>
    </row>
    <row r="750" spans="1:26" x14ac:dyDescent="0.25">
      <c r="A750" s="850" t="s">
        <v>1387</v>
      </c>
      <c r="B750" s="826" t="str">
        <f ca="1">_xlfn.IFNA(_xlfn.CONCAT(SUBSTITUTE(ADDRESS(1,MATCH(A750,INDIRECT("'"&amp;E750&amp;"'"&amp;"!A" &amp; $O$736 + 5 &amp; ":Z" &amp; $O$736+ 5),0),4),1,""),$O$736 + 6),"")</f>
        <v>H141</v>
      </c>
      <c r="C750" s="826" t="str">
        <f t="shared" ref="C750:C764" ca="1" si="109">_xlfn.IFNA(SUBSTITUTE(ADDRESS(1,MATCH(A750,INDIRECT("'"&amp;E750&amp;"'"&amp;"!A" &amp; $O$736 + 5 &amp; ":Z" &amp; $O$736+ 5),0),4),1,""),"")</f>
        <v>H</v>
      </c>
      <c r="D750" s="826" t="s">
        <v>1357</v>
      </c>
      <c r="E750" s="826" t="s">
        <v>1516</v>
      </c>
      <c r="F750" s="841"/>
      <c r="G750" s="1314"/>
      <c r="H750" s="1314"/>
      <c r="I750" s="1274" t="str">
        <f t="shared" si="101"/>
        <v/>
      </c>
      <c r="J750" s="1314" t="str">
        <f t="shared" si="106"/>
        <v/>
      </c>
      <c r="K750" s="1314" t="str">
        <f t="shared" si="102"/>
        <v/>
      </c>
      <c r="L750" s="826" t="s">
        <v>1387</v>
      </c>
      <c r="M750" s="1329">
        <v>733</v>
      </c>
      <c r="N750" s="1314"/>
      <c r="O750" s="1311"/>
      <c r="P750" s="1311"/>
      <c r="Q750" s="1311"/>
      <c r="R750" s="1314" t="s">
        <v>1525</v>
      </c>
      <c r="S750" s="1311"/>
      <c r="T750" s="1314" t="str">
        <f t="shared" si="105"/>
        <v/>
      </c>
      <c r="U750" s="1311"/>
      <c r="V750" s="1311"/>
      <c r="W750" s="1311"/>
      <c r="X750" s="1311"/>
      <c r="Y750" s="1311"/>
      <c r="Z750" s="1311"/>
    </row>
    <row r="751" spans="1:26" x14ac:dyDescent="0.25">
      <c r="A751" s="850" t="s">
        <v>1388</v>
      </c>
      <c r="B751" s="826" t="str">
        <f ca="1">_xlfn.IFNA(_xlfn.CONCAT(SUBSTITUTE(ADDRESS(1,MATCH(A751,INDIRECT("'"&amp;E751&amp;"'"&amp;"!A" &amp; $O$736 + 5 &amp; ":Z" &amp; $O$736+ 5),0),4),1,""),$O$736 + 6),"")</f>
        <v>J141</v>
      </c>
      <c r="C751" s="826" t="str">
        <f t="shared" ca="1" si="109"/>
        <v>J</v>
      </c>
      <c r="D751" s="826" t="s">
        <v>1357</v>
      </c>
      <c r="E751" s="826" t="s">
        <v>1516</v>
      </c>
      <c r="F751" s="841"/>
      <c r="G751" s="1314"/>
      <c r="H751" s="1314"/>
      <c r="I751" s="1274" t="str">
        <f t="shared" si="101"/>
        <v/>
      </c>
      <c r="J751" s="1314"/>
      <c r="K751" s="1314" t="str">
        <f t="shared" si="102"/>
        <v/>
      </c>
      <c r="L751" s="826" t="s">
        <v>1388</v>
      </c>
      <c r="M751" s="1329">
        <v>734</v>
      </c>
      <c r="N751" s="1314"/>
      <c r="O751" s="1311"/>
      <c r="P751" s="1311"/>
      <c r="Q751" s="1311"/>
      <c r="R751" s="1314" t="s">
        <v>1525</v>
      </c>
      <c r="S751" s="1311"/>
      <c r="T751" s="1314" t="str">
        <f t="shared" si="105"/>
        <v/>
      </c>
      <c r="U751" s="1311"/>
      <c r="V751" s="1311"/>
      <c r="W751" s="1311"/>
      <c r="X751" s="1311"/>
      <c r="Y751" s="1311"/>
      <c r="Z751" s="1311"/>
    </row>
    <row r="752" spans="1:26" x14ac:dyDescent="0.25">
      <c r="A752" s="850" t="s">
        <v>1389</v>
      </c>
      <c r="B752" s="826" t="str">
        <f ca="1">_xlfn.IFNA(_xlfn.CONCAT(SUBSTITUTE(ADDRESS(1,MATCH(A752,INDIRECT("'"&amp;E752&amp;"'"&amp;"!A" &amp; $O$736 + 5 &amp; ":Z" &amp; $O$736+ 5),0),4),1,""),$O$736 + 6),"")</f>
        <v>L141</v>
      </c>
      <c r="C752" s="826" t="str">
        <f t="shared" ca="1" si="109"/>
        <v>L</v>
      </c>
      <c r="D752" s="826" t="s">
        <v>1357</v>
      </c>
      <c r="E752" s="826" t="s">
        <v>1516</v>
      </c>
      <c r="F752" s="1081"/>
      <c r="G752" s="1314"/>
      <c r="H752" s="1314"/>
      <c r="I752" s="1274" t="str">
        <f t="shared" si="101"/>
        <v/>
      </c>
      <c r="J752" s="1314"/>
      <c r="K752" s="1314" t="str">
        <f t="shared" si="102"/>
        <v/>
      </c>
      <c r="L752" s="826" t="s">
        <v>1389</v>
      </c>
      <c r="M752" s="1329">
        <v>735</v>
      </c>
      <c r="N752" s="1314"/>
      <c r="O752" s="1311"/>
      <c r="P752" s="1311"/>
      <c r="Q752" s="1311"/>
      <c r="R752" s="1314" t="s">
        <v>1525</v>
      </c>
      <c r="S752" s="1311"/>
      <c r="T752" s="1314" t="str">
        <f t="shared" si="105"/>
        <v/>
      </c>
      <c r="U752" s="1311"/>
      <c r="V752" s="1311"/>
      <c r="W752" s="1311"/>
      <c r="X752" s="1311"/>
      <c r="Y752" s="1311"/>
      <c r="Z752" s="1311"/>
    </row>
    <row r="753" spans="1:26" x14ac:dyDescent="0.25">
      <c r="A753" s="850" t="s">
        <v>1387</v>
      </c>
      <c r="B753" s="826" t="str">
        <f ca="1">_xlfn.IFNA(_xlfn.CONCAT(SUBSTITUTE(ADDRESS(1,MATCH(A753,INDIRECT("'"&amp;E753&amp;"'"&amp;"!A" &amp; $O$736 + 5 &amp; ":Z" &amp; $O$736+ 5),0),4),1,""),$O$736 + 7),"")</f>
        <v>H142</v>
      </c>
      <c r="C753" s="826" t="str">
        <f t="shared" ca="1" si="109"/>
        <v>H</v>
      </c>
      <c r="D753" s="826" t="s">
        <v>1357</v>
      </c>
      <c r="E753" s="826" t="s">
        <v>1516</v>
      </c>
      <c r="F753" s="1314"/>
      <c r="G753" s="1314"/>
      <c r="H753" s="1314"/>
      <c r="I753" s="1274" t="str">
        <f t="shared" si="101"/>
        <v/>
      </c>
      <c r="J753" s="1314" t="str">
        <f t="shared" si="106"/>
        <v/>
      </c>
      <c r="K753" s="1314" t="str">
        <f t="shared" si="102"/>
        <v/>
      </c>
      <c r="L753" s="826" t="s">
        <v>1387</v>
      </c>
      <c r="M753" s="1329">
        <v>736</v>
      </c>
      <c r="N753" s="1314"/>
      <c r="O753" s="1311"/>
      <c r="P753" s="1311"/>
      <c r="Q753" s="1311"/>
      <c r="R753" s="1314" t="s">
        <v>1525</v>
      </c>
      <c r="S753" s="1311"/>
      <c r="T753" s="1314" t="str">
        <f t="shared" si="105"/>
        <v/>
      </c>
      <c r="U753" s="1311"/>
      <c r="V753" s="1311"/>
      <c r="W753" s="1311"/>
      <c r="X753" s="1311"/>
      <c r="Y753" s="1311"/>
      <c r="Z753" s="1311"/>
    </row>
    <row r="754" spans="1:26" x14ac:dyDescent="0.25">
      <c r="A754" s="850" t="s">
        <v>1388</v>
      </c>
      <c r="B754" s="826" t="str">
        <f ca="1">_xlfn.IFNA(_xlfn.CONCAT(SUBSTITUTE(ADDRESS(1,MATCH(A754,INDIRECT("'"&amp;E754&amp;"'"&amp;"!A" &amp; $O$736 + 5 &amp; ":Z" &amp; $O$736+ 5),0),4),1,""),$O$736 + 7),"")</f>
        <v>J142</v>
      </c>
      <c r="C754" s="826" t="str">
        <f t="shared" ca="1" si="109"/>
        <v>J</v>
      </c>
      <c r="D754" s="826" t="s">
        <v>1357</v>
      </c>
      <c r="E754" s="826" t="s">
        <v>1516</v>
      </c>
      <c r="F754" s="1314"/>
      <c r="G754" s="1314"/>
      <c r="H754" s="1314"/>
      <c r="I754" s="1274" t="str">
        <f t="shared" si="101"/>
        <v/>
      </c>
      <c r="J754" s="1314"/>
      <c r="K754" s="1314" t="str">
        <f t="shared" si="102"/>
        <v/>
      </c>
      <c r="L754" s="826" t="s">
        <v>1388</v>
      </c>
      <c r="M754" s="1329">
        <v>737</v>
      </c>
      <c r="N754" s="1314"/>
      <c r="O754" s="1311"/>
      <c r="P754" s="1311"/>
      <c r="Q754" s="1311"/>
      <c r="R754" s="1314" t="s">
        <v>1525</v>
      </c>
      <c r="S754" s="1311"/>
      <c r="T754" s="1314" t="str">
        <f t="shared" si="105"/>
        <v/>
      </c>
      <c r="U754" s="1311"/>
      <c r="V754" s="1311"/>
      <c r="W754" s="1311"/>
      <c r="X754" s="1311"/>
      <c r="Y754" s="1311"/>
      <c r="Z754" s="1311"/>
    </row>
    <row r="755" spans="1:26" x14ac:dyDescent="0.25">
      <c r="A755" s="850" t="s">
        <v>1389</v>
      </c>
      <c r="B755" s="826" t="str">
        <f ca="1">_xlfn.IFNA(_xlfn.CONCAT(SUBSTITUTE(ADDRESS(1,MATCH(A755,INDIRECT("'"&amp;E755&amp;"'"&amp;"!A" &amp; $O$736 + 5 &amp; ":Z" &amp; $O$736+ 5),0),4),1,""),$O$736 + 7),"")</f>
        <v>L142</v>
      </c>
      <c r="C755" s="826" t="str">
        <f t="shared" ca="1" si="109"/>
        <v>L</v>
      </c>
      <c r="D755" s="826" t="s">
        <v>1357</v>
      </c>
      <c r="E755" s="826" t="s">
        <v>1516</v>
      </c>
      <c r="F755" s="1314"/>
      <c r="G755" s="1314"/>
      <c r="H755" s="1314"/>
      <c r="I755" s="1274" t="str">
        <f t="shared" si="101"/>
        <v/>
      </c>
      <c r="J755" s="1314"/>
      <c r="K755" s="1314" t="str">
        <f t="shared" si="102"/>
        <v/>
      </c>
      <c r="L755" s="826" t="s">
        <v>1389</v>
      </c>
      <c r="M755" s="1329">
        <v>738</v>
      </c>
      <c r="N755" s="1314"/>
      <c r="O755" s="1311"/>
      <c r="P755" s="1311"/>
      <c r="Q755" s="1311"/>
      <c r="R755" s="1314" t="s">
        <v>1525</v>
      </c>
      <c r="S755" s="1311"/>
      <c r="T755" s="1314" t="str">
        <f t="shared" si="105"/>
        <v/>
      </c>
      <c r="U755" s="1311"/>
      <c r="V755" s="1311"/>
      <c r="W755" s="1311"/>
      <c r="X755" s="1311"/>
      <c r="Y755" s="1311"/>
      <c r="Z755" s="1311"/>
    </row>
    <row r="756" spans="1:26" x14ac:dyDescent="0.25">
      <c r="A756" s="850" t="s">
        <v>1387</v>
      </c>
      <c r="B756" s="826" t="str">
        <f ca="1">_xlfn.IFNA(_xlfn.CONCAT(SUBSTITUTE(ADDRESS(1,MATCH(A756,INDIRECT("'"&amp;E756&amp;"'"&amp;"!A" &amp; $O$736 + 5 &amp; ":Z" &amp; $O$736+ 5),0),4),1,""),$O$736 + 8),"")</f>
        <v>H143</v>
      </c>
      <c r="C756" s="826" t="str">
        <f t="shared" ca="1" si="109"/>
        <v>H</v>
      </c>
      <c r="D756" s="826" t="s">
        <v>1357</v>
      </c>
      <c r="E756" s="826" t="s">
        <v>1516</v>
      </c>
      <c r="F756" s="1314"/>
      <c r="G756" s="1314"/>
      <c r="H756" s="1314"/>
      <c r="I756" s="1274" t="str">
        <f t="shared" si="101"/>
        <v/>
      </c>
      <c r="J756" s="1314" t="str">
        <f t="shared" si="106"/>
        <v/>
      </c>
      <c r="K756" s="1314" t="str">
        <f t="shared" si="102"/>
        <v/>
      </c>
      <c r="L756" s="826" t="s">
        <v>1387</v>
      </c>
      <c r="M756" s="1329">
        <v>739</v>
      </c>
      <c r="N756" s="1314"/>
      <c r="O756" s="1311"/>
      <c r="P756" s="1311"/>
      <c r="Q756" s="1311"/>
      <c r="R756" s="1314" t="s">
        <v>1525</v>
      </c>
      <c r="S756" s="1311"/>
      <c r="T756" s="1314" t="str">
        <f t="shared" si="105"/>
        <v/>
      </c>
      <c r="U756" s="1311"/>
      <c r="V756" s="1311"/>
      <c r="W756" s="1311"/>
      <c r="X756" s="1311"/>
      <c r="Y756" s="1311"/>
      <c r="Z756" s="1311"/>
    </row>
    <row r="757" spans="1:26" x14ac:dyDescent="0.25">
      <c r="A757" s="850" t="s">
        <v>1388</v>
      </c>
      <c r="B757" s="826" t="str">
        <f ca="1">_xlfn.IFNA(_xlfn.CONCAT(SUBSTITUTE(ADDRESS(1,MATCH(A757,INDIRECT("'"&amp;E757&amp;"'"&amp;"!A" &amp; $O$736 + 5 &amp; ":Z" &amp; $O$736+ 5),0),4),1,""),$O$736 + 8),"")</f>
        <v>J143</v>
      </c>
      <c r="C757" s="826" t="str">
        <f t="shared" ca="1" si="109"/>
        <v>J</v>
      </c>
      <c r="D757" s="826" t="s">
        <v>1357</v>
      </c>
      <c r="E757" s="826" t="s">
        <v>1516</v>
      </c>
      <c r="F757" s="1314"/>
      <c r="G757" s="1314"/>
      <c r="H757" s="1314"/>
      <c r="I757" s="1274" t="str">
        <f t="shared" si="101"/>
        <v/>
      </c>
      <c r="J757" s="1314"/>
      <c r="K757" s="1314" t="str">
        <f t="shared" si="102"/>
        <v/>
      </c>
      <c r="L757" s="826" t="s">
        <v>1388</v>
      </c>
      <c r="M757" s="1329">
        <v>740</v>
      </c>
      <c r="N757" s="1314"/>
      <c r="O757" s="1311"/>
      <c r="P757" s="1311"/>
      <c r="Q757" s="1311"/>
      <c r="R757" s="1314" t="s">
        <v>1525</v>
      </c>
      <c r="S757" s="1311"/>
      <c r="T757" s="1314" t="str">
        <f t="shared" si="105"/>
        <v/>
      </c>
      <c r="U757" s="1311"/>
      <c r="V757" s="1311"/>
      <c r="W757" s="1311"/>
      <c r="X757" s="1311"/>
      <c r="Y757" s="1311"/>
      <c r="Z757" s="1311"/>
    </row>
    <row r="758" spans="1:26" x14ac:dyDescent="0.25">
      <c r="A758" s="850" t="s">
        <v>1389</v>
      </c>
      <c r="B758" s="826" t="str">
        <f ca="1">_xlfn.IFNA(_xlfn.CONCAT(SUBSTITUTE(ADDRESS(1,MATCH(A758,INDIRECT("'"&amp;E758&amp;"'"&amp;"!A" &amp; $O$736 + 5 &amp; ":Z" &amp; $O$736+ 5),0),4),1,""),$O$736 + 8),"")</f>
        <v>L143</v>
      </c>
      <c r="C758" s="826" t="str">
        <f t="shared" ca="1" si="109"/>
        <v>L</v>
      </c>
      <c r="D758" s="826" t="s">
        <v>1357</v>
      </c>
      <c r="E758" s="826" t="s">
        <v>1516</v>
      </c>
      <c r="F758" s="1314"/>
      <c r="G758" s="1314"/>
      <c r="H758" s="1314"/>
      <c r="I758" s="1274" t="str">
        <f t="shared" si="101"/>
        <v/>
      </c>
      <c r="J758" s="1314"/>
      <c r="K758" s="1314" t="str">
        <f t="shared" si="102"/>
        <v/>
      </c>
      <c r="L758" s="826" t="s">
        <v>1389</v>
      </c>
      <c r="M758" s="1329">
        <v>741</v>
      </c>
      <c r="N758" s="1314"/>
      <c r="O758" s="1311"/>
      <c r="P758" s="1311"/>
      <c r="Q758" s="1311"/>
      <c r="R758" s="1314" t="s">
        <v>1525</v>
      </c>
      <c r="S758" s="1311"/>
      <c r="T758" s="1314" t="str">
        <f t="shared" si="105"/>
        <v/>
      </c>
      <c r="U758" s="1311"/>
      <c r="V758" s="1311"/>
      <c r="W758" s="1311"/>
      <c r="X758" s="1311"/>
      <c r="Y758" s="1311"/>
      <c r="Z758" s="1311"/>
    </row>
    <row r="759" spans="1:26" x14ac:dyDescent="0.25">
      <c r="A759" s="850" t="s">
        <v>1387</v>
      </c>
      <c r="B759" s="826" t="str">
        <f ca="1">_xlfn.IFNA(_xlfn.CONCAT(SUBSTITUTE(ADDRESS(1,MATCH(A759,INDIRECT("'"&amp;E759&amp;"'"&amp;"!A" &amp; $O$736 + 5 &amp; ":Z" &amp; $O$736+ 5),0),4),1,""),$O$736 + 9),"")</f>
        <v>H144</v>
      </c>
      <c r="C759" s="826" t="str">
        <f t="shared" ca="1" si="109"/>
        <v>H</v>
      </c>
      <c r="D759" s="826" t="s">
        <v>1357</v>
      </c>
      <c r="E759" s="826" t="s">
        <v>1516</v>
      </c>
      <c r="F759" s="1314"/>
      <c r="G759" s="1314"/>
      <c r="H759" s="1314"/>
      <c r="I759" s="1274" t="str">
        <f t="shared" si="101"/>
        <v/>
      </c>
      <c r="J759" s="1314" t="str">
        <f t="shared" si="106"/>
        <v/>
      </c>
      <c r="K759" s="1314" t="str">
        <f t="shared" si="102"/>
        <v/>
      </c>
      <c r="L759" s="826" t="s">
        <v>1387</v>
      </c>
      <c r="M759" s="1329">
        <v>742</v>
      </c>
      <c r="N759" s="1314"/>
      <c r="O759" s="1311"/>
      <c r="P759" s="1311"/>
      <c r="Q759" s="1311"/>
      <c r="R759" s="1314" t="s">
        <v>1525</v>
      </c>
      <c r="S759" s="1311"/>
      <c r="T759" s="1314" t="str">
        <f t="shared" si="105"/>
        <v/>
      </c>
      <c r="U759" s="1311"/>
      <c r="V759" s="1311"/>
      <c r="W759" s="1311"/>
      <c r="X759" s="1311"/>
      <c r="Y759" s="1311"/>
      <c r="Z759" s="1311"/>
    </row>
    <row r="760" spans="1:26" x14ac:dyDescent="0.25">
      <c r="A760" s="850" t="s">
        <v>1388</v>
      </c>
      <c r="B760" s="826" t="str">
        <f ca="1">_xlfn.IFNA(_xlfn.CONCAT(SUBSTITUTE(ADDRESS(1,MATCH(A760,INDIRECT("'"&amp;E760&amp;"'"&amp;"!A" &amp; $O$736 + 5 &amp; ":Z" &amp; $O$736+ 5),0),4),1,""),$O$736 + 9),"")</f>
        <v>J144</v>
      </c>
      <c r="C760" s="826" t="str">
        <f t="shared" ca="1" si="109"/>
        <v>J</v>
      </c>
      <c r="D760" s="826" t="s">
        <v>1357</v>
      </c>
      <c r="E760" s="826" t="s">
        <v>1516</v>
      </c>
      <c r="F760" s="1314"/>
      <c r="G760" s="1314"/>
      <c r="H760" s="1314"/>
      <c r="I760" s="1274" t="str">
        <f t="shared" si="101"/>
        <v/>
      </c>
      <c r="J760" s="1314"/>
      <c r="K760" s="1314" t="str">
        <f t="shared" si="102"/>
        <v/>
      </c>
      <c r="L760" s="826" t="s">
        <v>1388</v>
      </c>
      <c r="M760" s="1329">
        <v>743</v>
      </c>
      <c r="N760" s="1314"/>
      <c r="O760" s="1311"/>
      <c r="P760" s="1311"/>
      <c r="Q760" s="1311"/>
      <c r="R760" s="1314" t="s">
        <v>1525</v>
      </c>
      <c r="S760" s="1311"/>
      <c r="T760" s="1314" t="str">
        <f t="shared" si="105"/>
        <v/>
      </c>
      <c r="U760" s="1311"/>
      <c r="V760" s="1311"/>
      <c r="W760" s="1311"/>
      <c r="X760" s="1311"/>
      <c r="Y760" s="1311"/>
      <c r="Z760" s="1311"/>
    </row>
    <row r="761" spans="1:26" x14ac:dyDescent="0.25">
      <c r="A761" s="850" t="s">
        <v>1389</v>
      </c>
      <c r="B761" s="826" t="str">
        <f ca="1">_xlfn.IFNA(_xlfn.CONCAT(SUBSTITUTE(ADDRESS(1,MATCH(A761,INDIRECT("'"&amp;E761&amp;"'"&amp;"!A" &amp; $O$736 + 5 &amp; ":Z" &amp; $O$736+ 5),0),4),1,""),$O$736 + 9),"")</f>
        <v>L144</v>
      </c>
      <c r="C761" s="826" t="str">
        <f t="shared" ca="1" si="109"/>
        <v>L</v>
      </c>
      <c r="D761" s="826" t="s">
        <v>1357</v>
      </c>
      <c r="E761" s="826" t="s">
        <v>1516</v>
      </c>
      <c r="F761" s="1314"/>
      <c r="G761" s="1314"/>
      <c r="H761" s="1314"/>
      <c r="I761" s="1274" t="str">
        <f t="shared" si="101"/>
        <v/>
      </c>
      <c r="J761" s="1314"/>
      <c r="K761" s="1314" t="str">
        <f t="shared" si="102"/>
        <v/>
      </c>
      <c r="L761" s="826" t="s">
        <v>1389</v>
      </c>
      <c r="M761" s="1329">
        <v>744</v>
      </c>
      <c r="N761" s="1314"/>
      <c r="O761" s="1311"/>
      <c r="P761" s="1311"/>
      <c r="Q761" s="1311"/>
      <c r="R761" s="1314" t="s">
        <v>1525</v>
      </c>
      <c r="S761" s="1311"/>
      <c r="T761" s="1314" t="str">
        <f t="shared" si="105"/>
        <v/>
      </c>
      <c r="U761" s="1311"/>
      <c r="V761" s="1311"/>
      <c r="W761" s="1311"/>
      <c r="X761" s="1311"/>
      <c r="Y761" s="1311"/>
      <c r="Z761" s="1311"/>
    </row>
    <row r="762" spans="1:26" x14ac:dyDescent="0.25">
      <c r="A762" s="850" t="s">
        <v>1387</v>
      </c>
      <c r="B762" s="826" t="str">
        <f ca="1">_xlfn.IFNA(_xlfn.CONCAT(SUBSTITUTE(ADDRESS(1,MATCH(A762,INDIRECT("'"&amp;E762&amp;"'"&amp;"!A" &amp; $O$736 + 5 &amp; ":Z" &amp; $O$736+ 5),0),4),1,""),$O$736 + 10),"")</f>
        <v>H145</v>
      </c>
      <c r="C762" s="826" t="str">
        <f t="shared" ca="1" si="109"/>
        <v>H</v>
      </c>
      <c r="D762" s="826" t="s">
        <v>1357</v>
      </c>
      <c r="E762" s="826" t="s">
        <v>1516</v>
      </c>
      <c r="F762" s="1314"/>
      <c r="G762" s="1314"/>
      <c r="H762" s="1314"/>
      <c r="I762" s="1274" t="str">
        <f t="shared" si="101"/>
        <v/>
      </c>
      <c r="J762" s="1314" t="str">
        <f t="shared" si="106"/>
        <v/>
      </c>
      <c r="K762" s="1314" t="str">
        <f t="shared" si="102"/>
        <v/>
      </c>
      <c r="L762" s="826" t="s">
        <v>1387</v>
      </c>
      <c r="M762" s="1329">
        <v>745</v>
      </c>
      <c r="N762" s="1314"/>
      <c r="O762" s="1311"/>
      <c r="P762" s="1311"/>
      <c r="Q762" s="1311"/>
      <c r="R762" s="1314" t="s">
        <v>1525</v>
      </c>
      <c r="S762" s="1311"/>
      <c r="T762" s="1314" t="str">
        <f t="shared" si="105"/>
        <v/>
      </c>
      <c r="U762" s="1311"/>
      <c r="V762" s="1311"/>
      <c r="W762" s="1311"/>
      <c r="X762" s="1311"/>
      <c r="Y762" s="1311"/>
      <c r="Z762" s="1311"/>
    </row>
    <row r="763" spans="1:26" x14ac:dyDescent="0.25">
      <c r="A763" s="850" t="s">
        <v>1388</v>
      </c>
      <c r="B763" s="826" t="str">
        <f ca="1">_xlfn.IFNA(_xlfn.CONCAT(SUBSTITUTE(ADDRESS(1,MATCH(A763,INDIRECT("'"&amp;E763&amp;"'"&amp;"!A" &amp; $O$736 + 5 &amp; ":Z" &amp; $O$736+ 5),0),4),1,""),$O$736 + 10),"")</f>
        <v>J145</v>
      </c>
      <c r="C763" s="826" t="str">
        <f t="shared" ca="1" si="109"/>
        <v>J</v>
      </c>
      <c r="D763" s="826" t="s">
        <v>1357</v>
      </c>
      <c r="E763" s="826" t="s">
        <v>1516</v>
      </c>
      <c r="F763" s="1314"/>
      <c r="G763" s="1314"/>
      <c r="H763" s="1314"/>
      <c r="I763" s="1274" t="str">
        <f t="shared" si="101"/>
        <v/>
      </c>
      <c r="J763" s="1314"/>
      <c r="K763" s="1314" t="str">
        <f t="shared" si="102"/>
        <v/>
      </c>
      <c r="L763" s="826" t="s">
        <v>1388</v>
      </c>
      <c r="M763" s="1329">
        <v>746</v>
      </c>
      <c r="N763" s="1314"/>
      <c r="O763" s="1311"/>
      <c r="P763" s="1311"/>
      <c r="Q763" s="1311"/>
      <c r="R763" s="1314" t="s">
        <v>1525</v>
      </c>
      <c r="S763" s="1311"/>
      <c r="T763" s="1314" t="str">
        <f t="shared" si="105"/>
        <v/>
      </c>
      <c r="U763" s="1311"/>
      <c r="V763" s="1311"/>
      <c r="W763" s="1311"/>
      <c r="X763" s="1311"/>
      <c r="Y763" s="1311"/>
      <c r="Z763" s="1311"/>
    </row>
    <row r="764" spans="1:26" x14ac:dyDescent="0.25">
      <c r="A764" s="850" t="s">
        <v>1389</v>
      </c>
      <c r="B764" s="826" t="str">
        <f ca="1">_xlfn.IFNA(_xlfn.CONCAT(SUBSTITUTE(ADDRESS(1,MATCH(A764,INDIRECT("'"&amp;E764&amp;"'"&amp;"!A" &amp; $O$736 + 5 &amp; ":Z" &amp; $O$736+ 5),0),4),1,""),$O$736 + 10),"")</f>
        <v>L145</v>
      </c>
      <c r="C764" s="826" t="str">
        <f t="shared" ca="1" si="109"/>
        <v>L</v>
      </c>
      <c r="D764" s="826" t="s">
        <v>1357</v>
      </c>
      <c r="E764" s="826" t="s">
        <v>1516</v>
      </c>
      <c r="F764" s="1314"/>
      <c r="G764" s="1314"/>
      <c r="H764" s="1314"/>
      <c r="I764" s="1274" t="str">
        <f t="shared" si="101"/>
        <v/>
      </c>
      <c r="J764" s="1314"/>
      <c r="K764" s="1314" t="str">
        <f t="shared" si="102"/>
        <v/>
      </c>
      <c r="L764" s="826" t="s">
        <v>1389</v>
      </c>
      <c r="M764" s="1329">
        <v>747</v>
      </c>
      <c r="N764" s="1314"/>
      <c r="O764" s="1311"/>
      <c r="P764" s="1311"/>
      <c r="Q764" s="1311"/>
      <c r="R764" s="1314" t="s">
        <v>1525</v>
      </c>
      <c r="S764" s="1311"/>
      <c r="T764" s="1314" t="str">
        <f t="shared" si="105"/>
        <v/>
      </c>
      <c r="U764" s="1311"/>
      <c r="V764" s="1311"/>
      <c r="W764" s="1311"/>
      <c r="X764" s="1311"/>
      <c r="Y764" s="1311"/>
      <c r="Z764" s="1311"/>
    </row>
    <row r="765" spans="1:26" x14ac:dyDescent="0.25">
      <c r="A765" s="847" t="s">
        <v>1491</v>
      </c>
      <c r="B765" s="826" t="str">
        <f ca="1">IFERROR(_xlfn.CONCAT("C",MATCH(A765,INDIRECT("'"&amp;E765&amp;"'!C"&amp;$O$766&amp;":C"&amp;$O$768),0)+$O$766-1),"")</f>
        <v>C155</v>
      </c>
      <c r="C765" s="826" t="str">
        <f ca="1">IFERROR(_xlfn.CONCAT("D",MATCH(A765,INDIRECT("'"&amp;E765&amp;"'!C"&amp;$O$766&amp;":C"&amp;$O$768),0)+$O$766-1),"")</f>
        <v>D155</v>
      </c>
      <c r="D765" s="826" t="s">
        <v>1350</v>
      </c>
      <c r="E765" s="826" t="s">
        <v>1516</v>
      </c>
      <c r="F765" s="1314" t="s">
        <v>1491</v>
      </c>
      <c r="G765" s="1314" t="str">
        <f>IF(T765&lt;&gt;"","A","")</f>
        <v/>
      </c>
      <c r="H765" s="1314" t="s">
        <v>1990</v>
      </c>
      <c r="I765" s="1274" t="str">
        <f t="shared" si="101"/>
        <v/>
      </c>
      <c r="J765" s="1314"/>
      <c r="K765" s="1314" t="str">
        <f t="shared" si="102"/>
        <v/>
      </c>
      <c r="L765" s="826" t="s">
        <v>1491</v>
      </c>
      <c r="M765" s="1329">
        <v>748</v>
      </c>
      <c r="N765" s="1314"/>
      <c r="O765" s="1311" t="s">
        <v>725</v>
      </c>
      <c r="P765" s="1311"/>
      <c r="Q765" s="1311"/>
      <c r="R765" s="1314" t="s">
        <v>1531</v>
      </c>
      <c r="S765" s="1311"/>
      <c r="T765" s="1314" t="str">
        <f t="shared" ref="T765:T778" si="110">IF(Q$766="Yes",11,"")</f>
        <v/>
      </c>
      <c r="U765" s="1311"/>
      <c r="V765" s="1311"/>
      <c r="W765" s="1311"/>
      <c r="X765" s="1311"/>
      <c r="Y765" s="1311"/>
      <c r="Z765" s="1311"/>
    </row>
    <row r="766" spans="1:26" x14ac:dyDescent="0.25">
      <c r="A766" s="847" t="s">
        <v>1705</v>
      </c>
      <c r="B766" s="826" t="str">
        <f ca="1">_xlfn.CONCAT(IFERROR(SUBSTITUTE(ADDRESS(1,MATCH(A766,INDIRECT("'"&amp;E766&amp;"'"&amp;"!A" &amp; $O$766 + 11 &amp; ":Z" &amp; $O$766+ 11),0),4),1,""),""),$O$766 + 11)</f>
        <v>T162</v>
      </c>
      <c r="C766" s="826" t="str">
        <f ca="1">_xlfn.CONCAT(IFERROR(SUBSTITUTE(ADDRESS(1,MATCH(A766,INDIRECT("'"&amp;E766&amp;"'"&amp;"!A" &amp; $O$766 + 11 &amp; ":Z" &amp; $O$766+ 11),0),4),1,""),""),$O$766 + 12)</f>
        <v>T163</v>
      </c>
      <c r="D766" s="826" t="s">
        <v>1350</v>
      </c>
      <c r="E766" s="826" t="s">
        <v>1516</v>
      </c>
      <c r="F766" s="1314"/>
      <c r="G766" s="1314"/>
      <c r="H766" s="1314"/>
      <c r="I766" s="1274" t="str">
        <f t="shared" si="101"/>
        <v/>
      </c>
      <c r="J766" s="1314" t="str">
        <f t="shared" ref="J766:J778" si="111">IF(M766&lt;&gt;"",IF($Q$766="Yes",Q$1&amp;M766,""))</f>
        <v/>
      </c>
      <c r="K766" s="1314" t="str">
        <f t="shared" si="102"/>
        <v/>
      </c>
      <c r="L766" s="826" t="s">
        <v>1705</v>
      </c>
      <c r="M766" s="1329">
        <v>749</v>
      </c>
      <c r="N766" s="1314"/>
      <c r="O766" s="1311">
        <f>'Configurable Tab'!H13</f>
        <v>151</v>
      </c>
      <c r="P766" s="1406" t="str">
        <f>'Configurable Tab'!J13</f>
        <v>Yes</v>
      </c>
      <c r="Q766" s="1351" t="s">
        <v>648</v>
      </c>
      <c r="R766" s="1314" t="s">
        <v>1531</v>
      </c>
      <c r="S766" s="1311"/>
      <c r="T766" s="1314" t="str">
        <f t="shared" si="110"/>
        <v/>
      </c>
      <c r="U766" s="1311"/>
      <c r="V766" s="1311"/>
      <c r="W766" s="1311"/>
      <c r="X766" s="1311"/>
      <c r="Y766" s="1311"/>
      <c r="Z766" s="1311"/>
    </row>
    <row r="767" spans="1:26" x14ac:dyDescent="0.25">
      <c r="A767" s="847" t="s">
        <v>1383</v>
      </c>
      <c r="B767" s="826" t="str">
        <f ca="1">IFERROR(_xlfn.CONCAT("C",MATCH(A767,INDIRECT("'"&amp;E767&amp;"'!C"&amp;$O$766&amp;":C"&amp;$O$768),0)+$O$766-1),"")</f>
        <v>C153</v>
      </c>
      <c r="C767" s="826" t="str">
        <f ca="1">IFERROR(_xlfn.CONCAT("D",MATCH(A767,INDIRECT("'"&amp;E767&amp;"'!C"&amp;$O$766&amp;":C"&amp;$O$768),0)+$O$766-1),"")</f>
        <v>D153</v>
      </c>
      <c r="D767" s="826" t="s">
        <v>1350</v>
      </c>
      <c r="E767" s="826" t="s">
        <v>1516</v>
      </c>
      <c r="F767" s="1314" t="s">
        <v>1383</v>
      </c>
      <c r="G767" s="1314" t="str">
        <f>IF(T767&lt;&gt;"","B","")</f>
        <v/>
      </c>
      <c r="H767" s="1314" t="s">
        <v>1990</v>
      </c>
      <c r="I767" s="1274" t="str">
        <f t="shared" si="101"/>
        <v/>
      </c>
      <c r="J767" s="1314"/>
      <c r="K767" s="1314" t="str">
        <f t="shared" si="102"/>
        <v/>
      </c>
      <c r="L767" s="826" t="s">
        <v>1383</v>
      </c>
      <c r="M767" s="1329">
        <v>750</v>
      </c>
      <c r="N767" s="1314"/>
      <c r="O767" s="1311" t="s">
        <v>726</v>
      </c>
      <c r="P767" s="1311"/>
      <c r="Q767" s="1311"/>
      <c r="R767" s="1314" t="s">
        <v>1531</v>
      </c>
      <c r="S767" s="1311"/>
      <c r="T767" s="1314" t="str">
        <f t="shared" si="110"/>
        <v/>
      </c>
      <c r="U767" s="1311"/>
      <c r="V767" s="1311"/>
      <c r="W767" s="1311"/>
      <c r="X767" s="1311"/>
      <c r="Y767" s="1311"/>
      <c r="Z767" s="1311"/>
    </row>
    <row r="768" spans="1:26" x14ac:dyDescent="0.25">
      <c r="A768" s="847" t="s">
        <v>1380</v>
      </c>
      <c r="B768" s="826" t="str">
        <f t="shared" ref="B768:B774" ca="1" si="112">_xlfn.CONCAT(IFERROR(SUBSTITUTE(ADDRESS(1,MATCH(A768,INDIRECT("'"&amp;E768&amp;"'"&amp;"!A" &amp; $O$766 + 2 &amp; ":Z" &amp; $O$766+ 2),0),4),1,""),""),$O$766 + 2)</f>
        <v>H153</v>
      </c>
      <c r="C768" s="826" t="str">
        <f t="shared" ref="C768:C774" ca="1" si="113">_xlfn.CONCAT(IFERROR(SUBSTITUTE(ADDRESS(1,MATCH(A768,INDIRECT("'"&amp;E768&amp;"'"&amp;"!A" &amp; $O$766 + 2 &amp; ":Z" &amp; $O$766+ 2),0),4),1,""),""),$O$766 + 3)</f>
        <v>H154</v>
      </c>
      <c r="D768" s="826" t="s">
        <v>1350</v>
      </c>
      <c r="E768" s="826" t="s">
        <v>1516</v>
      </c>
      <c r="F768" s="1314" t="s">
        <v>1991</v>
      </c>
      <c r="G768" s="1314" t="str">
        <f>IF(T768&lt;&gt;"","E","")</f>
        <v/>
      </c>
      <c r="H768" s="1314" t="s">
        <v>1990</v>
      </c>
      <c r="I768" s="1274" t="str">
        <f t="shared" si="101"/>
        <v/>
      </c>
      <c r="J768" s="1314" t="str">
        <f t="shared" si="111"/>
        <v/>
      </c>
      <c r="K768" s="1314" t="str">
        <f t="shared" si="102"/>
        <v/>
      </c>
      <c r="L768" s="826" t="s">
        <v>1380</v>
      </c>
      <c r="M768" s="1329">
        <v>751</v>
      </c>
      <c r="N768" s="1314"/>
      <c r="O768" s="1311">
        <f>'Configurable Tab'!I13</f>
        <v>164</v>
      </c>
      <c r="P768" s="1311"/>
      <c r="Q768" s="1311"/>
      <c r="R768" s="1314" t="s">
        <v>1531</v>
      </c>
      <c r="S768" s="1311"/>
      <c r="T768" s="1314" t="str">
        <f t="shared" si="110"/>
        <v/>
      </c>
      <c r="U768" s="1311"/>
      <c r="V768" s="1311"/>
      <c r="W768" s="1311"/>
      <c r="X768" s="1311"/>
      <c r="Y768" s="1311"/>
      <c r="Z768" s="1311"/>
    </row>
    <row r="769" spans="1:26" x14ac:dyDescent="0.25">
      <c r="A769" s="847" t="s">
        <v>1381</v>
      </c>
      <c r="B769" s="826" t="str">
        <f t="shared" ca="1" si="112"/>
        <v>J153</v>
      </c>
      <c r="C769" s="826" t="str">
        <f t="shared" ca="1" si="113"/>
        <v>J154</v>
      </c>
      <c r="D769" s="826" t="s">
        <v>1350</v>
      </c>
      <c r="E769" s="826" t="s">
        <v>1516</v>
      </c>
      <c r="F769" s="1314" t="s">
        <v>1992</v>
      </c>
      <c r="G769" s="1314" t="str">
        <f>IF(T769&lt;&gt;"","I","")</f>
        <v/>
      </c>
      <c r="H769" s="1314" t="s">
        <v>1990</v>
      </c>
      <c r="I769" s="1274" t="str">
        <f t="shared" si="101"/>
        <v/>
      </c>
      <c r="J769" s="1314" t="str">
        <f t="shared" si="111"/>
        <v/>
      </c>
      <c r="K769" s="1314" t="str">
        <f t="shared" si="102"/>
        <v/>
      </c>
      <c r="L769" s="826" t="s">
        <v>1381</v>
      </c>
      <c r="M769" s="1329">
        <v>752</v>
      </c>
      <c r="N769" s="1314"/>
      <c r="O769" s="1311" t="s">
        <v>1642</v>
      </c>
      <c r="P769" s="1311"/>
      <c r="Q769" s="1311"/>
      <c r="R769" s="1314" t="s">
        <v>1531</v>
      </c>
      <c r="S769" s="1311"/>
      <c r="T769" s="1314" t="str">
        <f t="shared" si="110"/>
        <v/>
      </c>
      <c r="U769" s="1311"/>
      <c r="V769" s="1311"/>
      <c r="W769" s="1311"/>
      <c r="X769" s="1311"/>
      <c r="Y769" s="1311"/>
      <c r="Z769" s="1311"/>
    </row>
    <row r="770" spans="1:26" x14ac:dyDescent="0.25">
      <c r="A770" s="847" t="s">
        <v>1397</v>
      </c>
      <c r="B770" s="826" t="str">
        <f t="shared" ca="1" si="112"/>
        <v>L153</v>
      </c>
      <c r="C770" s="826" t="str">
        <f t="shared" ca="1" si="113"/>
        <v>L154</v>
      </c>
      <c r="D770" s="826" t="s">
        <v>1350</v>
      </c>
      <c r="E770" s="826" t="s">
        <v>1516</v>
      </c>
      <c r="F770" s="1314" t="s">
        <v>1993</v>
      </c>
      <c r="G770" s="1314" t="str">
        <f>IF(T770&lt;&gt;"","H","")</f>
        <v/>
      </c>
      <c r="H770" s="1314" t="s">
        <v>1990</v>
      </c>
      <c r="I770" s="1274" t="str">
        <f t="shared" si="101"/>
        <v/>
      </c>
      <c r="J770" s="1314" t="str">
        <f t="shared" si="111"/>
        <v/>
      </c>
      <c r="K770" s="1314" t="str">
        <f t="shared" si="102"/>
        <v/>
      </c>
      <c r="L770" s="826" t="s">
        <v>1397</v>
      </c>
      <c r="M770" s="1329">
        <v>753</v>
      </c>
      <c r="N770" s="1314"/>
      <c r="O770" s="1311"/>
      <c r="P770" s="1311"/>
      <c r="Q770" s="1311"/>
      <c r="R770" s="1314" t="s">
        <v>1531</v>
      </c>
      <c r="S770" s="1311"/>
      <c r="T770" s="1314" t="str">
        <f t="shared" si="110"/>
        <v/>
      </c>
      <c r="U770" s="1311"/>
      <c r="V770" s="1311"/>
      <c r="W770" s="1311"/>
      <c r="X770" s="1311"/>
      <c r="Y770" s="1311"/>
      <c r="Z770" s="1311"/>
    </row>
    <row r="771" spans="1:26" x14ac:dyDescent="0.25">
      <c r="A771" s="847" t="s">
        <v>1382</v>
      </c>
      <c r="B771" s="826" t="str">
        <f t="shared" ca="1" si="112"/>
        <v>N153</v>
      </c>
      <c r="C771" s="826" t="str">
        <f t="shared" ca="1" si="113"/>
        <v>N154</v>
      </c>
      <c r="D771" s="826" t="s">
        <v>1350</v>
      </c>
      <c r="E771" s="826" t="s">
        <v>1516</v>
      </c>
      <c r="F771" s="1314" t="s">
        <v>1382</v>
      </c>
      <c r="G771" s="1314" t="str">
        <f>IF(T771&lt;&gt;"",IF(Q769="Credit Memo","J",IF(Q769="Check","K","")),"")</f>
        <v/>
      </c>
      <c r="H771" s="1314" t="s">
        <v>1990</v>
      </c>
      <c r="I771" s="1274" t="str">
        <f t="shared" si="101"/>
        <v/>
      </c>
      <c r="J771" s="1314" t="str">
        <f t="shared" si="111"/>
        <v/>
      </c>
      <c r="K771" s="1314" t="str">
        <f t="shared" si="102"/>
        <v/>
      </c>
      <c r="L771" s="826" t="s">
        <v>1382</v>
      </c>
      <c r="M771" s="1329">
        <v>754</v>
      </c>
      <c r="N771" s="1314"/>
      <c r="O771" s="1311"/>
      <c r="P771" s="1311"/>
      <c r="Q771" s="1311"/>
      <c r="R771" s="1314" t="s">
        <v>1531</v>
      </c>
      <c r="S771" s="1311"/>
      <c r="T771" s="1314" t="str">
        <f t="shared" si="110"/>
        <v/>
      </c>
      <c r="U771" s="1311"/>
      <c r="V771" s="1311"/>
      <c r="W771" s="1311"/>
      <c r="X771" s="1311"/>
      <c r="Y771" s="1311"/>
      <c r="Z771" s="1311"/>
    </row>
    <row r="772" spans="1:26" x14ac:dyDescent="0.25">
      <c r="A772" s="847" t="s">
        <v>1486</v>
      </c>
      <c r="B772" s="826" t="str">
        <f t="shared" ca="1" si="112"/>
        <v>P153</v>
      </c>
      <c r="C772" s="826" t="str">
        <f t="shared" ca="1" si="113"/>
        <v>P154</v>
      </c>
      <c r="D772" s="826" t="s">
        <v>1350</v>
      </c>
      <c r="E772" s="826" t="s">
        <v>1516</v>
      </c>
      <c r="F772" s="1314" t="s">
        <v>1994</v>
      </c>
      <c r="G772" s="1314" t="str">
        <f>IF(T772&lt;&gt;"","F","")</f>
        <v/>
      </c>
      <c r="H772" s="1314" t="s">
        <v>1990</v>
      </c>
      <c r="I772" s="1274" t="str">
        <f t="shared" ref="I772:I835" si="114">IF(J772&lt;&gt;"",A772,"")</f>
        <v/>
      </c>
      <c r="J772" s="1314" t="str">
        <f t="shared" si="111"/>
        <v/>
      </c>
      <c r="K772" s="1314" t="str">
        <f t="shared" ref="K772:K835" si="115">IF(J772&lt;&gt;"",E772,"")</f>
        <v/>
      </c>
      <c r="L772" s="826" t="s">
        <v>1486</v>
      </c>
      <c r="M772" s="1329">
        <v>755</v>
      </c>
      <c r="N772" s="1314"/>
      <c r="O772" s="1311"/>
      <c r="P772" s="1311"/>
      <c r="Q772" s="1311"/>
      <c r="R772" s="1314" t="s">
        <v>1531</v>
      </c>
      <c r="S772" s="1311"/>
      <c r="T772" s="1314" t="str">
        <f t="shared" si="110"/>
        <v/>
      </c>
      <c r="U772" s="1311"/>
      <c r="V772" s="1311"/>
      <c r="W772" s="1311"/>
      <c r="X772" s="1311"/>
      <c r="Y772" s="1311"/>
      <c r="Z772" s="1311"/>
    </row>
    <row r="773" spans="1:26" x14ac:dyDescent="0.25">
      <c r="A773" s="847" t="s">
        <v>1487</v>
      </c>
      <c r="B773" s="826" t="str">
        <f t="shared" ca="1" si="112"/>
        <v>R153</v>
      </c>
      <c r="C773" s="826" t="str">
        <f t="shared" ca="1" si="113"/>
        <v>R154</v>
      </c>
      <c r="D773" s="826" t="s">
        <v>1350</v>
      </c>
      <c r="E773" s="826" t="s">
        <v>1516</v>
      </c>
      <c r="F773" s="1314" t="s">
        <v>1995</v>
      </c>
      <c r="G773" s="1314" t="str">
        <f>IF(T773&lt;&gt;"","G","")</f>
        <v/>
      </c>
      <c r="H773" s="1314" t="s">
        <v>1990</v>
      </c>
      <c r="I773" s="1274" t="str">
        <f t="shared" si="114"/>
        <v/>
      </c>
      <c r="J773" s="1314" t="str">
        <f t="shared" si="111"/>
        <v/>
      </c>
      <c r="K773" s="1314" t="str">
        <f t="shared" si="115"/>
        <v/>
      </c>
      <c r="L773" s="826" t="s">
        <v>1487</v>
      </c>
      <c r="M773" s="1329">
        <v>756</v>
      </c>
      <c r="N773" s="1314"/>
      <c r="O773" s="1311"/>
      <c r="P773" s="1311"/>
      <c r="Q773" s="1311"/>
      <c r="R773" s="1314" t="s">
        <v>1531</v>
      </c>
      <c r="S773" s="1311"/>
      <c r="T773" s="1314" t="str">
        <f t="shared" si="110"/>
        <v/>
      </c>
      <c r="U773" s="1311"/>
      <c r="V773" s="1311"/>
      <c r="W773" s="1311"/>
      <c r="X773" s="1311"/>
      <c r="Y773" s="1311"/>
      <c r="Z773" s="1311"/>
    </row>
    <row r="774" spans="1:26" x14ac:dyDescent="0.25">
      <c r="A774" s="847" t="s">
        <v>1488</v>
      </c>
      <c r="B774" s="826" t="str">
        <f t="shared" ca="1" si="112"/>
        <v>T153</v>
      </c>
      <c r="C774" s="826" t="str">
        <f t="shared" ca="1" si="113"/>
        <v>T154</v>
      </c>
      <c r="D774" s="826" t="s">
        <v>1350</v>
      </c>
      <c r="E774" s="826" t="s">
        <v>1516</v>
      </c>
      <c r="F774" s="841" t="s">
        <v>1488</v>
      </c>
      <c r="G774" s="1314" t="str">
        <f>IF(T774&lt;&gt;"","AW","")</f>
        <v/>
      </c>
      <c r="H774" s="1314" t="s">
        <v>1990</v>
      </c>
      <c r="I774" s="1274" t="str">
        <f t="shared" si="114"/>
        <v/>
      </c>
      <c r="J774" s="1314" t="str">
        <f t="shared" si="111"/>
        <v/>
      </c>
      <c r="K774" s="1314" t="str">
        <f t="shared" si="115"/>
        <v/>
      </c>
      <c r="L774" s="826" t="s">
        <v>1488</v>
      </c>
      <c r="M774" s="1329">
        <v>757</v>
      </c>
      <c r="N774" s="1314"/>
      <c r="O774" s="1311"/>
      <c r="P774" s="1311"/>
      <c r="Q774" s="1311"/>
      <c r="R774" s="1314" t="s">
        <v>1531</v>
      </c>
      <c r="S774" s="1311"/>
      <c r="T774" s="1314" t="str">
        <f t="shared" si="110"/>
        <v/>
      </c>
      <c r="U774" s="1311"/>
      <c r="V774" s="1311"/>
      <c r="W774" s="1311"/>
      <c r="X774" s="1311"/>
      <c r="Y774" s="1311"/>
      <c r="Z774" s="1311"/>
    </row>
    <row r="775" spans="1:26" x14ac:dyDescent="0.25">
      <c r="A775" s="847" t="s">
        <v>1385</v>
      </c>
      <c r="B775" s="826" t="str">
        <f ca="1">IFERROR(_xlfn.CONCAT("C",MATCH(A775,INDIRECT("'"&amp;E775&amp;"'!C"&amp;$O$766&amp;":C"&amp;$O$768),0)+$O$766-1),"")</f>
        <v>C157</v>
      </c>
      <c r="C775" s="826" t="str">
        <f ca="1">IFERROR(_xlfn.CONCAT("D",MATCH(A775,INDIRECT("'"&amp;E775&amp;"'!C"&amp;$O$766&amp;":C"&amp;$O$768),0)+$O$766-1),"")</f>
        <v>D157</v>
      </c>
      <c r="D775" s="826" t="s">
        <v>1350</v>
      </c>
      <c r="E775" s="826" t="s">
        <v>1516</v>
      </c>
      <c r="F775" s="1314" t="s">
        <v>1385</v>
      </c>
      <c r="G775" s="1314" t="str">
        <f>IF(T775&lt;&gt;"","C","")</f>
        <v/>
      </c>
      <c r="H775" s="1314" t="s">
        <v>1990</v>
      </c>
      <c r="I775" s="1274" t="str">
        <f t="shared" si="114"/>
        <v/>
      </c>
      <c r="J775" s="1314"/>
      <c r="K775" s="1314" t="str">
        <f t="shared" si="115"/>
        <v/>
      </c>
      <c r="L775" s="826" t="s">
        <v>1385</v>
      </c>
      <c r="M775" s="1329">
        <v>758</v>
      </c>
      <c r="N775" s="1314"/>
      <c r="O775" s="1311"/>
      <c r="P775" s="1311"/>
      <c r="Q775" s="1311"/>
      <c r="R775" s="1314" t="s">
        <v>1531</v>
      </c>
      <c r="S775" s="1311"/>
      <c r="T775" s="1314" t="str">
        <f t="shared" si="110"/>
        <v/>
      </c>
      <c r="U775" s="1311"/>
      <c r="V775" s="1311"/>
      <c r="W775" s="1311"/>
      <c r="X775" s="1311"/>
      <c r="Y775" s="1311"/>
      <c r="Z775" s="1311"/>
    </row>
    <row r="776" spans="1:26" x14ac:dyDescent="0.25">
      <c r="A776" s="847" t="s">
        <v>1386</v>
      </c>
      <c r="B776" s="826" t="str">
        <f ca="1">IFERROR(_xlfn.CONCAT("C",MATCH(A776,INDIRECT("'"&amp;E776&amp;"'!C"&amp;$O$766&amp;":C"&amp;$O$768),0)+$O$766-1),"")</f>
        <v>C159</v>
      </c>
      <c r="C776" s="826" t="str">
        <f ca="1">IFERROR(_xlfn.CONCAT("D",MATCH(A776,INDIRECT("'"&amp;E776&amp;"'!C"&amp;$O$766&amp;":C"&amp;$O$768),0)+$O$766-1),"")</f>
        <v>D159</v>
      </c>
      <c r="D776" s="826" t="s">
        <v>1350</v>
      </c>
      <c r="E776" s="826" t="s">
        <v>1516</v>
      </c>
      <c r="F776" s="1314" t="s">
        <v>1386</v>
      </c>
      <c r="G776" s="1314" t="str">
        <f>IF(T776&lt;&gt;"","D","")</f>
        <v/>
      </c>
      <c r="H776" s="1314" t="s">
        <v>1990</v>
      </c>
      <c r="I776" s="1274" t="str">
        <f t="shared" si="114"/>
        <v/>
      </c>
      <c r="J776" s="1314"/>
      <c r="K776" s="1314" t="str">
        <f t="shared" si="115"/>
        <v/>
      </c>
      <c r="L776" s="826" t="s">
        <v>1386</v>
      </c>
      <c r="M776" s="1329">
        <v>759</v>
      </c>
      <c r="N776" s="1314"/>
      <c r="O776" s="1311"/>
      <c r="P776" s="1311"/>
      <c r="Q776" s="1311"/>
      <c r="R776" s="1314" t="s">
        <v>1531</v>
      </c>
      <c r="S776" s="1311"/>
      <c r="T776" s="1314" t="str">
        <f t="shared" si="110"/>
        <v/>
      </c>
      <c r="U776" s="1311"/>
      <c r="V776" s="1311"/>
      <c r="W776" s="1311"/>
      <c r="X776" s="1311"/>
      <c r="Y776" s="1311"/>
      <c r="Z776" s="1311"/>
    </row>
    <row r="777" spans="1:26" x14ac:dyDescent="0.25">
      <c r="A777" s="847" t="s">
        <v>1495</v>
      </c>
      <c r="B777" s="826" t="str">
        <f ca="1">IFERROR(_xlfn.CONCAT("C",MATCH(A777,INDIRECT("'"&amp;E777&amp;"'!C"&amp;$O$766&amp;":C"&amp;$O$768),0)+$O$766-1),"")</f>
        <v>C161</v>
      </c>
      <c r="C777" s="826" t="str">
        <f ca="1">IFERROR(_xlfn.CONCAT("D",MATCH(A777,INDIRECT("'"&amp;E777&amp;"'!C"&amp;$O$766&amp;":C"&amp;$O$768),0)+$O$766-1),"")</f>
        <v>D161</v>
      </c>
      <c r="D777" s="826" t="s">
        <v>1350</v>
      </c>
      <c r="E777" s="826" t="s">
        <v>1516</v>
      </c>
      <c r="F777" s="1314" t="s">
        <v>1495</v>
      </c>
      <c r="G777" s="1314" t="str">
        <f>IF(T777&lt;&gt;"","AN","")</f>
        <v/>
      </c>
      <c r="H777" s="1314" t="s">
        <v>1990</v>
      </c>
      <c r="I777" s="1274" t="str">
        <f t="shared" si="114"/>
        <v/>
      </c>
      <c r="J777" s="1314" t="str">
        <f t="shared" si="111"/>
        <v/>
      </c>
      <c r="K777" s="1314" t="str">
        <f t="shared" si="115"/>
        <v/>
      </c>
      <c r="L777" s="826" t="s">
        <v>1495</v>
      </c>
      <c r="M777" s="1329">
        <v>760</v>
      </c>
      <c r="N777" s="1314"/>
      <c r="O777" s="1405"/>
      <c r="P777" s="1317" t="str" cm="1">
        <f t="array" aca="1" ref="P777" ca="1">_xlfn.CONCAT("F",RIGHT(B777, LEN(B777) - MAX(IF(ISNUMBER(MID(B777, ROW(INDIRECT("1:"&amp;LEN(B777))), 1) *1)=FALSE, ROW(INDIRECT("1:"&amp;LEN(B777))), 0))))</f>
        <v>F161</v>
      </c>
      <c r="Q777" s="1314" t="str" cm="1">
        <f t="array" aca="1" ref="Q777" ca="1">_xlfn.CONCAT("E",RIGHT(C777, LEN(C777) - MAX(IF(ISNUMBER(MID(C777, ROW(INDIRECT("1:"&amp;LEN(C777))), 1) *1)=FALSE, ROW(INDIRECT("1:"&amp;LEN(C777))), 0))))</f>
        <v>E161</v>
      </c>
      <c r="R777" s="1314" t="s">
        <v>1531</v>
      </c>
      <c r="S777" s="1311"/>
      <c r="T777" s="1314" t="str">
        <f t="shared" si="110"/>
        <v/>
      </c>
      <c r="U777" s="1311"/>
      <c r="V777" s="1311"/>
      <c r="W777" s="1311"/>
      <c r="X777" s="1311"/>
      <c r="Y777" s="1311"/>
      <c r="Z777" s="1311"/>
    </row>
    <row r="778" spans="1:26" x14ac:dyDescent="0.25">
      <c r="A778" s="847" t="s">
        <v>1492</v>
      </c>
      <c r="B778" s="826" t="str">
        <f ca="1">_xlfn.CONCAT(IFERROR(SUBSTITUTE(ADDRESS(1,MATCH(A778,INDIRECT("'"&amp;E778&amp;"'"&amp;"!A" &amp; $O$766 + 8 &amp; ":Z" &amp; $O$766+ 8),0),4),1,""),""),$O$766 + 8)</f>
        <v>H159</v>
      </c>
      <c r="C778" s="826" t="str">
        <f ca="1">_xlfn.CONCAT(IFERROR(SUBSTITUTE(ADDRESS(1,MATCH(A778,INDIRECT("'"&amp;E778&amp;"'"&amp;"!A" &amp; $O$766 + 8 &amp; ":Z" &amp; $O$766+ 8),0),4),1,""),""),$O$766 + 9)</f>
        <v>H160</v>
      </c>
      <c r="D778" s="826" t="s">
        <v>1350</v>
      </c>
      <c r="E778" s="826" t="s">
        <v>1516</v>
      </c>
      <c r="F778" s="1314" t="s">
        <v>1492</v>
      </c>
      <c r="G778" s="1314" t="str">
        <f>IF(T778&lt;&gt;"","AL","")</f>
        <v/>
      </c>
      <c r="H778" s="1314" t="s">
        <v>1990</v>
      </c>
      <c r="I778" s="1274" t="str">
        <f t="shared" si="114"/>
        <v/>
      </c>
      <c r="J778" s="1314" t="str">
        <f t="shared" si="111"/>
        <v/>
      </c>
      <c r="K778" s="1314" t="str">
        <f t="shared" si="115"/>
        <v/>
      </c>
      <c r="L778" s="826" t="s">
        <v>1492</v>
      </c>
      <c r="M778" s="1329">
        <v>761</v>
      </c>
      <c r="N778" s="1314"/>
      <c r="O778" s="1311"/>
      <c r="P778" s="1311"/>
      <c r="Q778" s="1311"/>
      <c r="R778" s="1314" t="s">
        <v>1531</v>
      </c>
      <c r="S778" s="1311"/>
      <c r="T778" s="1314" t="str">
        <f t="shared" si="110"/>
        <v/>
      </c>
      <c r="U778" s="1311"/>
      <c r="V778" s="1311"/>
      <c r="W778" s="1311"/>
      <c r="X778" s="1311"/>
      <c r="Y778" s="1311"/>
      <c r="Z778" s="1311"/>
    </row>
    <row r="779" spans="1:26" x14ac:dyDescent="0.25">
      <c r="A779" s="847" t="s">
        <v>1389</v>
      </c>
      <c r="B779" s="826" t="str">
        <f ca="1">_xlfn.CONCAT(IFERROR(SUBSTITUTE(ADDRESS(1,MATCH(A779,INDIRECT("'"&amp;E779&amp;"'"&amp;"!A" &amp; $O$766 + 5 &amp; ":Z" &amp; $O$766+ 5),0),4),1,""),""),$O$766 + 5)</f>
        <v>L156</v>
      </c>
      <c r="C779" s="826" t="str">
        <f ca="1">_xlfn.CONCAT(IFERROR(SUBSTITUTE(ADDRESS(1,MATCH(A779,INDIRECT("'"&amp;E779&amp;"'"&amp;"!A" &amp; $O$766 + 5 &amp; ":Z" &amp; $O$766+ 5),0),4),1,""),""),$O$766 + 6)</f>
        <v>L157</v>
      </c>
      <c r="D779" s="826" t="s">
        <v>1350</v>
      </c>
      <c r="E779" s="826" t="s">
        <v>1516</v>
      </c>
      <c r="F779" s="1314" t="s">
        <v>1912</v>
      </c>
      <c r="G779" s="1314" t="str">
        <f>IF(T779&lt;&gt;"","O","")</f>
        <v/>
      </c>
      <c r="H779" s="1314" t="s">
        <v>1990</v>
      </c>
      <c r="I779" s="1274" t="str">
        <f t="shared" si="114"/>
        <v/>
      </c>
      <c r="J779" s="1314"/>
      <c r="K779" s="1314" t="str">
        <f t="shared" si="115"/>
        <v/>
      </c>
      <c r="L779" s="826" t="s">
        <v>1389</v>
      </c>
      <c r="M779" s="1329">
        <v>762</v>
      </c>
      <c r="N779" s="1314"/>
      <c r="O779" s="1311"/>
      <c r="P779" s="1311"/>
      <c r="Q779" s="1311"/>
      <c r="R779" s="1314" t="s">
        <v>1531</v>
      </c>
      <c r="S779" s="1311"/>
      <c r="T779" s="1314" t="str">
        <f>IF(Q$766="Yes",11,"")</f>
        <v/>
      </c>
      <c r="U779" s="1311"/>
      <c r="V779" s="1311"/>
      <c r="W779" s="1311"/>
      <c r="X779" s="1311"/>
      <c r="Y779" s="1311"/>
      <c r="Z779" s="1311"/>
    </row>
    <row r="780" spans="1:26" x14ac:dyDescent="0.25">
      <c r="A780" s="850" t="s">
        <v>1491</v>
      </c>
      <c r="B780" s="826" t="str">
        <f ca="1">IFERROR(_xlfn.CONCAT("C",MATCH(A780,INDIRECT("'"&amp;E780&amp;"'!C"&amp;$O$781&amp;":C"&amp;$O$783),0)+$O$781-1),"")</f>
        <v>C169</v>
      </c>
      <c r="C780" s="826" t="str">
        <f ca="1">IFERROR(_xlfn.CONCAT("D",MATCH(A780,INDIRECT("'"&amp;E780&amp;"'!C"&amp;$O$781&amp;":C"&amp;$O$783),0)+$O$781-1),"")</f>
        <v>D169</v>
      </c>
      <c r="D780" s="826" t="s">
        <v>1350</v>
      </c>
      <c r="E780" s="826" t="s">
        <v>1516</v>
      </c>
      <c r="F780" s="1314" t="s">
        <v>1491</v>
      </c>
      <c r="G780" s="1314" t="str">
        <f>IF(T780&lt;&gt;"","A","")</f>
        <v/>
      </c>
      <c r="H780" s="1314" t="s">
        <v>1990</v>
      </c>
      <c r="I780" s="1274" t="str">
        <f t="shared" si="114"/>
        <v/>
      </c>
      <c r="J780" s="1314"/>
      <c r="K780" s="1314" t="str">
        <f t="shared" si="115"/>
        <v/>
      </c>
      <c r="L780" s="826" t="s">
        <v>1491</v>
      </c>
      <c r="M780" s="1329">
        <v>763</v>
      </c>
      <c r="N780" s="1314"/>
      <c r="O780" s="1311" t="s">
        <v>725</v>
      </c>
      <c r="P780" s="1311"/>
      <c r="Q780" s="1311"/>
      <c r="R780" s="1314" t="s">
        <v>1531</v>
      </c>
      <c r="S780" s="1311"/>
      <c r="T780" s="1314" t="str">
        <f t="shared" ref="T780:T793" si="116">IF(Q$781="Yes",12,"")</f>
        <v/>
      </c>
      <c r="U780" s="1311"/>
      <c r="V780" s="1311"/>
      <c r="W780" s="1311"/>
      <c r="X780" s="1311"/>
      <c r="Y780" s="1311"/>
      <c r="Z780" s="1311"/>
    </row>
    <row r="781" spans="1:26" x14ac:dyDescent="0.25">
      <c r="A781" s="850" t="s">
        <v>1705</v>
      </c>
      <c r="B781" s="826" t="str">
        <f ca="1">_xlfn.CONCAT(IFERROR(SUBSTITUTE(ADDRESS(1,MATCH(A781,INDIRECT("'"&amp;E781&amp;"'"&amp;"!A" &amp; $O$781 + 11 &amp; ":Z" &amp; $O$781+ 11),0),4),1,""),""),$O$781 + 11)</f>
        <v>T176</v>
      </c>
      <c r="C781" s="826" t="str">
        <f ca="1">_xlfn.CONCAT(IFERROR(SUBSTITUTE(ADDRESS(1,MATCH(A781,INDIRECT("'"&amp;E781&amp;"'"&amp;"!A" &amp; $O$781 + 11 &amp; ":Z" &amp; $O$781+ 11),0),4),1,""),""),$O$781 + 12)</f>
        <v>T177</v>
      </c>
      <c r="D781" s="826" t="s">
        <v>1350</v>
      </c>
      <c r="E781" s="826" t="s">
        <v>1516</v>
      </c>
      <c r="F781" s="1314"/>
      <c r="G781" s="1314"/>
      <c r="H781" s="1314"/>
      <c r="I781" s="1274" t="str">
        <f t="shared" si="114"/>
        <v/>
      </c>
      <c r="J781" s="1314" t="str">
        <f t="shared" ref="J781:J793" si="117">IF(M781&lt;&gt;"",IF($Q$781="Yes",Q$1&amp;M781,""))</f>
        <v/>
      </c>
      <c r="K781" s="1314" t="str">
        <f t="shared" si="115"/>
        <v/>
      </c>
      <c r="L781" s="826" t="s">
        <v>1705</v>
      </c>
      <c r="M781" s="1329">
        <v>764</v>
      </c>
      <c r="N781" s="1314"/>
      <c r="O781" s="1311">
        <f>'Configurable Tab'!H14</f>
        <v>165</v>
      </c>
      <c r="P781" s="1406" t="str">
        <f>'Configurable Tab'!J14</f>
        <v>Yes</v>
      </c>
      <c r="Q781" s="1351" t="s">
        <v>648</v>
      </c>
      <c r="R781" s="1314" t="s">
        <v>1531</v>
      </c>
      <c r="S781" s="1311"/>
      <c r="T781" s="1314" t="str">
        <f t="shared" si="116"/>
        <v/>
      </c>
      <c r="U781" s="1311"/>
      <c r="V781" s="1311"/>
      <c r="W781" s="1311"/>
      <c r="X781" s="1311"/>
      <c r="Y781" s="1311"/>
      <c r="Z781" s="1311"/>
    </row>
    <row r="782" spans="1:26" x14ac:dyDescent="0.25">
      <c r="A782" s="850" t="s">
        <v>1383</v>
      </c>
      <c r="B782" s="826" t="str">
        <f ca="1">IFERROR(_xlfn.CONCAT("C",MATCH(A782,INDIRECT("'"&amp;E782&amp;"'!C"&amp;$O$781&amp;":C"&amp;$O$783),0)+$O$781-1),"")</f>
        <v>C167</v>
      </c>
      <c r="C782" s="826" t="str">
        <f ca="1">IFERROR(_xlfn.CONCAT("D",MATCH(A782,INDIRECT("'"&amp;E782&amp;"'!C"&amp;$O$781&amp;":C"&amp;$O$783),0)+$O$781-1),"")</f>
        <v>D167</v>
      </c>
      <c r="D782" s="826" t="s">
        <v>1350</v>
      </c>
      <c r="E782" s="826" t="s">
        <v>1516</v>
      </c>
      <c r="F782" s="1314" t="s">
        <v>1383</v>
      </c>
      <c r="G782" s="1314" t="str">
        <f>IF(T782&lt;&gt;"","B","")</f>
        <v/>
      </c>
      <c r="H782" s="1314" t="s">
        <v>1990</v>
      </c>
      <c r="I782" s="1274" t="str">
        <f t="shared" si="114"/>
        <v/>
      </c>
      <c r="J782" s="1314"/>
      <c r="K782" s="1314" t="str">
        <f t="shared" si="115"/>
        <v/>
      </c>
      <c r="L782" s="826" t="s">
        <v>1383</v>
      </c>
      <c r="M782" s="1329">
        <v>765</v>
      </c>
      <c r="N782" s="1314"/>
      <c r="O782" s="1311" t="s">
        <v>726</v>
      </c>
      <c r="P782" s="1311"/>
      <c r="Q782" s="1311"/>
      <c r="R782" s="1314" t="s">
        <v>1531</v>
      </c>
      <c r="S782" s="1311"/>
      <c r="T782" s="1314" t="str">
        <f t="shared" si="116"/>
        <v/>
      </c>
      <c r="U782" s="1311"/>
      <c r="V782" s="1311"/>
      <c r="W782" s="1311"/>
      <c r="X782" s="1311"/>
      <c r="Y782" s="1311"/>
      <c r="Z782" s="1311"/>
    </row>
    <row r="783" spans="1:26" x14ac:dyDescent="0.25">
      <c r="A783" s="850" t="s">
        <v>1380</v>
      </c>
      <c r="B783" s="826" t="str">
        <f t="shared" ref="B783:B789" ca="1" si="118">_xlfn.CONCAT(IFERROR(SUBSTITUTE(ADDRESS(1,MATCH(A783,INDIRECT("'"&amp;E783&amp;"'"&amp;"!A" &amp; $O$781 + 2 &amp; ":Z" &amp; $O$781+ 2),0),4),1,""),""),$O$781 + 2)</f>
        <v>H167</v>
      </c>
      <c r="C783" s="826" t="str">
        <f t="shared" ref="C783:C789" ca="1" si="119">_xlfn.CONCAT(IFERROR(SUBSTITUTE(ADDRESS(1,MATCH(A783,INDIRECT("'"&amp;E783&amp;"'"&amp;"!A" &amp; $O$781 + 2 &amp; ":Z" &amp; $O$781+ 2),0),4),1,""),""),$O$781 + 3)</f>
        <v>H168</v>
      </c>
      <c r="D783" s="826" t="s">
        <v>1350</v>
      </c>
      <c r="E783" s="826" t="s">
        <v>1516</v>
      </c>
      <c r="F783" s="1314" t="s">
        <v>1991</v>
      </c>
      <c r="G783" s="1314" t="str">
        <f>IF(T783&lt;&gt;"","E","")</f>
        <v/>
      </c>
      <c r="H783" s="1314" t="s">
        <v>1990</v>
      </c>
      <c r="I783" s="1274" t="str">
        <f t="shared" si="114"/>
        <v/>
      </c>
      <c r="J783" s="1314" t="str">
        <f t="shared" si="117"/>
        <v/>
      </c>
      <c r="K783" s="1314" t="str">
        <f t="shared" si="115"/>
        <v/>
      </c>
      <c r="L783" s="826" t="s">
        <v>1380</v>
      </c>
      <c r="M783" s="1329">
        <v>766</v>
      </c>
      <c r="N783" s="1314"/>
      <c r="O783" s="1311">
        <f>'Configurable Tab'!I14</f>
        <v>178</v>
      </c>
      <c r="P783" s="1311"/>
      <c r="Q783" s="1311"/>
      <c r="R783" s="1314" t="s">
        <v>1531</v>
      </c>
      <c r="S783" s="1311"/>
      <c r="T783" s="1314" t="str">
        <f t="shared" si="116"/>
        <v/>
      </c>
      <c r="U783" s="1311"/>
      <c r="V783" s="1311"/>
      <c r="W783" s="1311"/>
      <c r="X783" s="1311"/>
      <c r="Y783" s="1311"/>
      <c r="Z783" s="1311"/>
    </row>
    <row r="784" spans="1:26" x14ac:dyDescent="0.25">
      <c r="A784" s="850" t="s">
        <v>1381</v>
      </c>
      <c r="B784" s="826" t="str">
        <f t="shared" ca="1" si="118"/>
        <v>J167</v>
      </c>
      <c r="C784" s="826" t="str">
        <f t="shared" ca="1" si="119"/>
        <v>J168</v>
      </c>
      <c r="D784" s="826" t="s">
        <v>1350</v>
      </c>
      <c r="E784" s="826" t="s">
        <v>1516</v>
      </c>
      <c r="F784" s="1314" t="s">
        <v>1992</v>
      </c>
      <c r="G784" s="1314" t="str">
        <f>IF(T784&lt;&gt;"","I","")</f>
        <v/>
      </c>
      <c r="H784" s="1314" t="s">
        <v>1990</v>
      </c>
      <c r="I784" s="1274" t="str">
        <f t="shared" si="114"/>
        <v/>
      </c>
      <c r="J784" s="1314" t="str">
        <f t="shared" si="117"/>
        <v/>
      </c>
      <c r="K784" s="1314" t="str">
        <f t="shared" si="115"/>
        <v/>
      </c>
      <c r="L784" s="826" t="s">
        <v>1381</v>
      </c>
      <c r="M784" s="1329">
        <v>767</v>
      </c>
      <c r="N784" s="1314"/>
      <c r="O784" s="1311" t="s">
        <v>1643</v>
      </c>
      <c r="P784" s="1311"/>
      <c r="Q784" s="1311"/>
      <c r="R784" s="1314" t="s">
        <v>1531</v>
      </c>
      <c r="S784" s="1311"/>
      <c r="T784" s="1314" t="str">
        <f t="shared" si="116"/>
        <v/>
      </c>
      <c r="U784" s="1311"/>
      <c r="V784" s="1311"/>
      <c r="W784" s="1311"/>
      <c r="X784" s="1311"/>
      <c r="Y784" s="1311"/>
      <c r="Z784" s="1311"/>
    </row>
    <row r="785" spans="1:26" x14ac:dyDescent="0.25">
      <c r="A785" s="850" t="s">
        <v>1397</v>
      </c>
      <c r="B785" s="826" t="str">
        <f t="shared" ca="1" si="118"/>
        <v>L167</v>
      </c>
      <c r="C785" s="826" t="str">
        <f t="shared" ca="1" si="119"/>
        <v>L168</v>
      </c>
      <c r="D785" s="826" t="s">
        <v>1350</v>
      </c>
      <c r="E785" s="826" t="s">
        <v>1516</v>
      </c>
      <c r="F785" s="1314" t="s">
        <v>1993</v>
      </c>
      <c r="G785" s="1314" t="str">
        <f>IF(T785&lt;&gt;"","H","")</f>
        <v/>
      </c>
      <c r="H785" s="1314" t="s">
        <v>1990</v>
      </c>
      <c r="I785" s="1274" t="str">
        <f t="shared" si="114"/>
        <v/>
      </c>
      <c r="J785" s="1314" t="str">
        <f t="shared" si="117"/>
        <v/>
      </c>
      <c r="K785" s="1314" t="str">
        <f t="shared" si="115"/>
        <v/>
      </c>
      <c r="L785" s="826" t="s">
        <v>1397</v>
      </c>
      <c r="M785" s="1329">
        <v>768</v>
      </c>
      <c r="N785" s="1314"/>
      <c r="O785" s="1311"/>
      <c r="P785" s="1311"/>
      <c r="Q785" s="1311"/>
      <c r="R785" s="1314" t="s">
        <v>1531</v>
      </c>
      <c r="S785" s="1311"/>
      <c r="T785" s="1314" t="str">
        <f t="shared" si="116"/>
        <v/>
      </c>
      <c r="U785" s="1311"/>
      <c r="V785" s="1311"/>
      <c r="W785" s="1311"/>
      <c r="X785" s="1311"/>
      <c r="Y785" s="1311"/>
      <c r="Z785" s="1311"/>
    </row>
    <row r="786" spans="1:26" x14ac:dyDescent="0.25">
      <c r="A786" s="850" t="s">
        <v>1382</v>
      </c>
      <c r="B786" s="826" t="str">
        <f t="shared" ca="1" si="118"/>
        <v>N167</v>
      </c>
      <c r="C786" s="826" t="str">
        <f t="shared" ca="1" si="119"/>
        <v>N168</v>
      </c>
      <c r="D786" s="826" t="s">
        <v>1350</v>
      </c>
      <c r="E786" s="826" t="s">
        <v>1516</v>
      </c>
      <c r="F786" s="1314" t="s">
        <v>1382</v>
      </c>
      <c r="G786" s="1314" t="str">
        <f>IF(T786&lt;&gt;"",IF(Q784="Credit Memo","J",IF(Q784="Check","K","")),"")</f>
        <v/>
      </c>
      <c r="H786" s="1314" t="s">
        <v>1990</v>
      </c>
      <c r="I786" s="1274" t="str">
        <f t="shared" si="114"/>
        <v/>
      </c>
      <c r="J786" s="1314" t="str">
        <f t="shared" si="117"/>
        <v/>
      </c>
      <c r="K786" s="1314" t="str">
        <f t="shared" si="115"/>
        <v/>
      </c>
      <c r="L786" s="826" t="s">
        <v>1382</v>
      </c>
      <c r="M786" s="1329">
        <v>769</v>
      </c>
      <c r="N786" s="1314"/>
      <c r="O786" s="1311"/>
      <c r="P786" s="1311"/>
      <c r="Q786" s="1311"/>
      <c r="R786" s="1314" t="s">
        <v>1531</v>
      </c>
      <c r="S786" s="1311"/>
      <c r="T786" s="1314" t="str">
        <f t="shared" si="116"/>
        <v/>
      </c>
      <c r="U786" s="1311"/>
      <c r="V786" s="1311"/>
      <c r="W786" s="1311"/>
      <c r="X786" s="1311"/>
      <c r="Y786" s="1311"/>
      <c r="Z786" s="1311"/>
    </row>
    <row r="787" spans="1:26" x14ac:dyDescent="0.25">
      <c r="A787" s="850" t="s">
        <v>1486</v>
      </c>
      <c r="B787" s="826" t="str">
        <f t="shared" ca="1" si="118"/>
        <v>P167</v>
      </c>
      <c r="C787" s="826" t="str">
        <f t="shared" ca="1" si="119"/>
        <v>P168</v>
      </c>
      <c r="D787" s="826" t="s">
        <v>1350</v>
      </c>
      <c r="E787" s="826" t="s">
        <v>1516</v>
      </c>
      <c r="F787" s="1314" t="s">
        <v>1994</v>
      </c>
      <c r="G787" s="1314" t="str">
        <f>IF(T787&lt;&gt;"","F","")</f>
        <v/>
      </c>
      <c r="H787" s="1314" t="s">
        <v>1990</v>
      </c>
      <c r="I787" s="1274" t="str">
        <f t="shared" si="114"/>
        <v/>
      </c>
      <c r="J787" s="1314" t="str">
        <f t="shared" si="117"/>
        <v/>
      </c>
      <c r="K787" s="1314" t="str">
        <f t="shared" si="115"/>
        <v/>
      </c>
      <c r="L787" s="826" t="s">
        <v>1486</v>
      </c>
      <c r="M787" s="1329">
        <v>770</v>
      </c>
      <c r="N787" s="1314"/>
      <c r="O787" s="1311"/>
      <c r="P787" s="1311"/>
      <c r="Q787" s="1311"/>
      <c r="R787" s="1314" t="s">
        <v>1531</v>
      </c>
      <c r="S787" s="1311"/>
      <c r="T787" s="1314" t="str">
        <f t="shared" si="116"/>
        <v/>
      </c>
      <c r="U787" s="1311"/>
      <c r="V787" s="1311"/>
      <c r="W787" s="1311"/>
      <c r="X787" s="1311"/>
      <c r="Y787" s="1311"/>
      <c r="Z787" s="1311"/>
    </row>
    <row r="788" spans="1:26" x14ac:dyDescent="0.25">
      <c r="A788" s="850" t="s">
        <v>1487</v>
      </c>
      <c r="B788" s="826" t="str">
        <f t="shared" ca="1" si="118"/>
        <v>R167</v>
      </c>
      <c r="C788" s="826" t="str">
        <f t="shared" ca="1" si="119"/>
        <v>R168</v>
      </c>
      <c r="D788" s="826" t="s">
        <v>1350</v>
      </c>
      <c r="E788" s="826" t="s">
        <v>1516</v>
      </c>
      <c r="F788" s="1314" t="s">
        <v>1995</v>
      </c>
      <c r="G788" s="1314" t="str">
        <f>IF(T788&lt;&gt;"","G","")</f>
        <v/>
      </c>
      <c r="H788" s="1314" t="s">
        <v>1990</v>
      </c>
      <c r="I788" s="1274" t="str">
        <f t="shared" si="114"/>
        <v/>
      </c>
      <c r="J788" s="1314" t="str">
        <f t="shared" si="117"/>
        <v/>
      </c>
      <c r="K788" s="1314" t="str">
        <f t="shared" si="115"/>
        <v/>
      </c>
      <c r="L788" s="826" t="s">
        <v>1487</v>
      </c>
      <c r="M788" s="1329">
        <v>771</v>
      </c>
      <c r="N788" s="1314"/>
      <c r="O788" s="1311"/>
      <c r="P788" s="1311"/>
      <c r="Q788" s="1311"/>
      <c r="R788" s="1314" t="s">
        <v>1531</v>
      </c>
      <c r="S788" s="1311"/>
      <c r="T788" s="1314" t="str">
        <f t="shared" si="116"/>
        <v/>
      </c>
      <c r="U788" s="1311"/>
      <c r="V788" s="1311"/>
      <c r="W788" s="1311"/>
      <c r="X788" s="1311"/>
      <c r="Y788" s="1311"/>
      <c r="Z788" s="1311"/>
    </row>
    <row r="789" spans="1:26" x14ac:dyDescent="0.25">
      <c r="A789" s="850" t="s">
        <v>1488</v>
      </c>
      <c r="B789" s="826" t="str">
        <f t="shared" ca="1" si="118"/>
        <v>T167</v>
      </c>
      <c r="C789" s="826" t="str">
        <f t="shared" ca="1" si="119"/>
        <v>T168</v>
      </c>
      <c r="D789" s="826" t="s">
        <v>1350</v>
      </c>
      <c r="E789" s="826" t="s">
        <v>1516</v>
      </c>
      <c r="F789" s="841" t="s">
        <v>1488</v>
      </c>
      <c r="G789" s="1314" t="str">
        <f>IF(T789&lt;&gt;"","AW","")</f>
        <v/>
      </c>
      <c r="H789" s="1314" t="s">
        <v>1990</v>
      </c>
      <c r="I789" s="1274" t="str">
        <f t="shared" si="114"/>
        <v/>
      </c>
      <c r="J789" s="1314" t="str">
        <f t="shared" si="117"/>
        <v/>
      </c>
      <c r="K789" s="1314" t="str">
        <f t="shared" si="115"/>
        <v/>
      </c>
      <c r="L789" s="826" t="s">
        <v>1488</v>
      </c>
      <c r="M789" s="1329">
        <v>772</v>
      </c>
      <c r="N789" s="1314"/>
      <c r="O789" s="1311"/>
      <c r="P789" s="1311"/>
      <c r="Q789" s="1311"/>
      <c r="R789" s="1314" t="s">
        <v>1531</v>
      </c>
      <c r="S789" s="1311"/>
      <c r="T789" s="1314" t="str">
        <f t="shared" si="116"/>
        <v/>
      </c>
      <c r="U789" s="1311"/>
      <c r="V789" s="1311"/>
      <c r="W789" s="1311"/>
      <c r="X789" s="1311"/>
      <c r="Y789" s="1311"/>
      <c r="Z789" s="1311"/>
    </row>
    <row r="790" spans="1:26" x14ac:dyDescent="0.25">
      <c r="A790" s="850" t="s">
        <v>1385</v>
      </c>
      <c r="B790" s="826" t="str">
        <f ca="1">IFERROR(_xlfn.CONCAT("C",MATCH(A790,INDIRECT("'"&amp;E790&amp;"'!C"&amp;$O$781&amp;":C"&amp;$O$783),0)+$O$781-1),"")</f>
        <v>C171</v>
      </c>
      <c r="C790" s="826" t="str">
        <f ca="1">IFERROR(_xlfn.CONCAT("D",MATCH(A790,INDIRECT("'"&amp;E790&amp;"'!C"&amp;$O$781&amp;":C"&amp;$O$783),0)+$O$781-1),"")</f>
        <v>D171</v>
      </c>
      <c r="D790" s="826" t="s">
        <v>1350</v>
      </c>
      <c r="E790" s="826" t="s">
        <v>1516</v>
      </c>
      <c r="F790" s="1314" t="s">
        <v>1385</v>
      </c>
      <c r="G790" s="1314" t="str">
        <f>IF(T790&lt;&gt;"","C","")</f>
        <v/>
      </c>
      <c r="H790" s="1314" t="s">
        <v>1990</v>
      </c>
      <c r="I790" s="1274" t="str">
        <f t="shared" si="114"/>
        <v/>
      </c>
      <c r="J790" s="1314"/>
      <c r="K790" s="1314" t="str">
        <f t="shared" si="115"/>
        <v/>
      </c>
      <c r="L790" s="826" t="s">
        <v>1385</v>
      </c>
      <c r="M790" s="1329">
        <v>773</v>
      </c>
      <c r="N790" s="1314"/>
      <c r="O790" s="1311"/>
      <c r="P790" s="1311"/>
      <c r="Q790" s="1311"/>
      <c r="R790" s="1314" t="s">
        <v>1531</v>
      </c>
      <c r="S790" s="1311"/>
      <c r="T790" s="1314" t="str">
        <f t="shared" si="116"/>
        <v/>
      </c>
      <c r="U790" s="1311"/>
      <c r="V790" s="1311"/>
      <c r="W790" s="1311"/>
      <c r="X790" s="1311"/>
      <c r="Y790" s="1311"/>
      <c r="Z790" s="1311"/>
    </row>
    <row r="791" spans="1:26" x14ac:dyDescent="0.25">
      <c r="A791" s="850" t="s">
        <v>1386</v>
      </c>
      <c r="B791" s="826" t="str">
        <f ca="1">IFERROR(_xlfn.CONCAT("C",MATCH(A791,INDIRECT("'"&amp;E791&amp;"'!C"&amp;$O$781&amp;":C"&amp;$O$783),0)+$O$781-1),"")</f>
        <v>C173</v>
      </c>
      <c r="C791" s="826" t="str">
        <f ca="1">IFERROR(_xlfn.CONCAT("D",MATCH(A791,INDIRECT("'"&amp;E791&amp;"'!C"&amp;$O$781&amp;":C"&amp;$O$783),0)+$O$781-1),"")</f>
        <v>D173</v>
      </c>
      <c r="D791" s="826" t="s">
        <v>1350</v>
      </c>
      <c r="E791" s="826" t="s">
        <v>1516</v>
      </c>
      <c r="F791" s="1314" t="s">
        <v>1386</v>
      </c>
      <c r="G791" s="1314" t="str">
        <f>IF(T791&lt;&gt;"","D","")</f>
        <v/>
      </c>
      <c r="H791" s="1314" t="s">
        <v>1990</v>
      </c>
      <c r="I791" s="1274" t="str">
        <f t="shared" si="114"/>
        <v/>
      </c>
      <c r="J791" s="1314"/>
      <c r="K791" s="1314" t="str">
        <f t="shared" si="115"/>
        <v/>
      </c>
      <c r="L791" s="826" t="s">
        <v>1386</v>
      </c>
      <c r="M791" s="1329">
        <v>774</v>
      </c>
      <c r="N791" s="1314"/>
      <c r="O791" s="1311"/>
      <c r="P791" s="1311"/>
      <c r="Q791" s="1311"/>
      <c r="R791" s="1314" t="s">
        <v>1531</v>
      </c>
      <c r="S791" s="1311"/>
      <c r="T791" s="1314" t="str">
        <f t="shared" si="116"/>
        <v/>
      </c>
      <c r="U791" s="1311"/>
      <c r="V791" s="1311"/>
      <c r="W791" s="1311"/>
      <c r="X791" s="1311"/>
      <c r="Y791" s="1311"/>
      <c r="Z791" s="1311"/>
    </row>
    <row r="792" spans="1:26" x14ac:dyDescent="0.25">
      <c r="A792" s="850" t="s">
        <v>1495</v>
      </c>
      <c r="B792" s="826" t="str">
        <f ca="1">IFERROR(_xlfn.CONCAT("C",MATCH(A792,INDIRECT("'"&amp;E792&amp;"'!C"&amp;$O$781&amp;":C"&amp;$O$783),0)+$O$781-1),"")</f>
        <v>C175</v>
      </c>
      <c r="C792" s="826" t="str">
        <f ca="1">IFERROR(_xlfn.CONCAT("D",MATCH(A792,INDIRECT("'"&amp;E792&amp;"'!C"&amp;$O$781&amp;":C"&amp;$O$783),0)+$O$781-1),"")</f>
        <v>D175</v>
      </c>
      <c r="D792" s="826" t="s">
        <v>1350</v>
      </c>
      <c r="E792" s="826" t="s">
        <v>1516</v>
      </c>
      <c r="F792" s="1314" t="s">
        <v>1495</v>
      </c>
      <c r="G792" s="1314" t="str">
        <f>IF(T792&lt;&gt;"","AN","")</f>
        <v/>
      </c>
      <c r="H792" s="1314" t="s">
        <v>1990</v>
      </c>
      <c r="I792" s="1274" t="str">
        <f t="shared" si="114"/>
        <v/>
      </c>
      <c r="J792" s="1314" t="str">
        <f t="shared" si="117"/>
        <v/>
      </c>
      <c r="K792" s="1314" t="str">
        <f t="shared" si="115"/>
        <v/>
      </c>
      <c r="L792" s="826" t="s">
        <v>1495</v>
      </c>
      <c r="M792" s="1329">
        <v>775</v>
      </c>
      <c r="N792" s="1314"/>
      <c r="O792" s="1405"/>
      <c r="P792" s="1317" t="str" cm="1">
        <f t="array" aca="1" ref="P792" ca="1">_xlfn.CONCAT("F",RIGHT(B792, LEN(B792) - MAX(IF(ISNUMBER(MID(B792, ROW(INDIRECT("1:"&amp;LEN(B792))), 1) *1)=FALSE, ROW(INDIRECT("1:"&amp;LEN(B792))), 0))))</f>
        <v>F175</v>
      </c>
      <c r="Q792" s="1314" t="str" cm="1">
        <f t="array" aca="1" ref="Q792" ca="1">_xlfn.CONCAT("E",RIGHT(C792, LEN(C792) - MAX(IF(ISNUMBER(MID(C792, ROW(INDIRECT("1:"&amp;LEN(C792))), 1) *1)=FALSE, ROW(INDIRECT("1:"&amp;LEN(C792))), 0))))</f>
        <v>E175</v>
      </c>
      <c r="R792" s="1314" t="s">
        <v>1531</v>
      </c>
      <c r="S792" s="1311"/>
      <c r="T792" s="1314" t="str">
        <f t="shared" si="116"/>
        <v/>
      </c>
      <c r="U792" s="1311"/>
      <c r="V792" s="1311"/>
      <c r="W792" s="1311"/>
      <c r="X792" s="1311"/>
      <c r="Y792" s="1311"/>
      <c r="Z792" s="1311"/>
    </row>
    <row r="793" spans="1:26" x14ac:dyDescent="0.25">
      <c r="A793" s="850" t="s">
        <v>1492</v>
      </c>
      <c r="B793" s="826" t="str">
        <f ca="1">_xlfn.CONCAT(IFERROR(SUBSTITUTE(ADDRESS(1,MATCH(A793,INDIRECT("'"&amp;E793&amp;"'"&amp;"!A" &amp; $O$781 + 8 &amp; ":Z" &amp; $O$781+ 8),0),4),1,""),""),$O$781 + 8)</f>
        <v>H173</v>
      </c>
      <c r="C793" s="826" t="str">
        <f ca="1">_xlfn.CONCAT(IFERROR(SUBSTITUTE(ADDRESS(1,MATCH(A793,INDIRECT("'"&amp;E793&amp;"'"&amp;"!A" &amp; $O$781 + 8 &amp; ":Z" &amp; $O$781+ 8),0),4),1,""),""),$O$781 + 9)</f>
        <v>H174</v>
      </c>
      <c r="D793" s="826" t="s">
        <v>1350</v>
      </c>
      <c r="E793" s="826" t="s">
        <v>1516</v>
      </c>
      <c r="F793" s="1314" t="s">
        <v>1492</v>
      </c>
      <c r="G793" s="1314" t="str">
        <f>IF(T793&lt;&gt;"","AL","")</f>
        <v/>
      </c>
      <c r="H793" s="1314" t="s">
        <v>1990</v>
      </c>
      <c r="I793" s="1274" t="str">
        <f t="shared" si="114"/>
        <v/>
      </c>
      <c r="J793" s="1314" t="str">
        <f t="shared" si="117"/>
        <v/>
      </c>
      <c r="K793" s="1314" t="str">
        <f t="shared" si="115"/>
        <v/>
      </c>
      <c r="L793" s="826" t="s">
        <v>1492</v>
      </c>
      <c r="M793" s="1329">
        <v>776</v>
      </c>
      <c r="N793" s="1314"/>
      <c r="O793" s="1311"/>
      <c r="P793" s="1311"/>
      <c r="Q793" s="1311"/>
      <c r="R793" s="1314" t="s">
        <v>1531</v>
      </c>
      <c r="S793" s="1311"/>
      <c r="T793" s="1314" t="str">
        <f t="shared" si="116"/>
        <v/>
      </c>
      <c r="U793" s="1311"/>
      <c r="V793" s="1311"/>
      <c r="W793" s="1311"/>
      <c r="X793" s="1311"/>
      <c r="Y793" s="1311"/>
      <c r="Z793" s="1311"/>
    </row>
    <row r="794" spans="1:26" x14ac:dyDescent="0.25">
      <c r="A794" s="850" t="s">
        <v>1389</v>
      </c>
      <c r="B794" s="826" t="str">
        <f ca="1">_xlfn.CONCAT(IFERROR(SUBSTITUTE(ADDRESS(1,MATCH(A794,INDIRECT("'"&amp;E794&amp;"'"&amp;"!A" &amp; $O$781 + 5 &amp; ":Z" &amp; $O$781+ 5),0),4),1,""),""),$O$781 + 5)</f>
        <v>L170</v>
      </c>
      <c r="C794" s="826" t="str">
        <f ca="1">_xlfn.CONCAT(IFERROR(SUBSTITUTE(ADDRESS(1,MATCH(A794,INDIRECT("'"&amp;E794&amp;"'"&amp;"!A" &amp; $O$781 + 5 &amp; ":Z" &amp; $O$781+ 5),0),4),1,""),""),$O$781 + 6)</f>
        <v>L171</v>
      </c>
      <c r="D794" s="826" t="s">
        <v>1350</v>
      </c>
      <c r="E794" s="826" t="s">
        <v>1516</v>
      </c>
      <c r="F794" s="1314" t="s">
        <v>1912</v>
      </c>
      <c r="G794" s="1314" t="str">
        <f>IF(T794&lt;&gt;"","O","")</f>
        <v/>
      </c>
      <c r="H794" s="1314" t="s">
        <v>1990</v>
      </c>
      <c r="I794" s="1274" t="str">
        <f t="shared" si="114"/>
        <v/>
      </c>
      <c r="J794" s="1314"/>
      <c r="K794" s="1314" t="str">
        <f t="shared" si="115"/>
        <v/>
      </c>
      <c r="L794" s="826" t="s">
        <v>1389</v>
      </c>
      <c r="M794" s="1329">
        <v>777</v>
      </c>
      <c r="N794" s="1314"/>
      <c r="O794" s="1311"/>
      <c r="P794" s="1311"/>
      <c r="Q794" s="1311"/>
      <c r="R794" s="1314" t="s">
        <v>1531</v>
      </c>
      <c r="S794" s="1311"/>
      <c r="T794" s="1314" t="str">
        <f>IF(Q$781="Yes",12,"")</f>
        <v/>
      </c>
      <c r="U794" s="1311"/>
      <c r="V794" s="1311"/>
      <c r="W794" s="1311"/>
      <c r="X794" s="1311"/>
      <c r="Y794" s="1311"/>
      <c r="Z794" s="1311"/>
    </row>
    <row r="795" spans="1:26" x14ac:dyDescent="0.25">
      <c r="A795" s="847" t="s">
        <v>1491</v>
      </c>
      <c r="B795" s="826" t="str">
        <f ca="1">IFERROR(_xlfn.CONCAT("C",MATCH(A795,INDIRECT("'"&amp;E795&amp;"'!C"&amp;$O$796&amp;":C"&amp;$O$798),0)+$O$796-1),"")</f>
        <v>C183</v>
      </c>
      <c r="C795" s="826" t="str">
        <f ca="1">IFERROR(_xlfn.CONCAT("D",MATCH(A795,INDIRECT("'"&amp;E795&amp;"'!C"&amp;$O$796&amp;":C"&amp;$O$798),0)+$O$796-1),"")</f>
        <v>D183</v>
      </c>
      <c r="D795" s="826" t="s">
        <v>1350</v>
      </c>
      <c r="E795" s="826" t="s">
        <v>1516</v>
      </c>
      <c r="F795" s="1314" t="s">
        <v>1491</v>
      </c>
      <c r="G795" s="1314" t="str">
        <f>IF(T795&lt;&gt;"","A","")</f>
        <v/>
      </c>
      <c r="H795" s="1314" t="s">
        <v>1990</v>
      </c>
      <c r="I795" s="1274" t="str">
        <f t="shared" si="114"/>
        <v/>
      </c>
      <c r="J795" s="1314"/>
      <c r="K795" s="1314" t="str">
        <f t="shared" si="115"/>
        <v/>
      </c>
      <c r="L795" s="826" t="s">
        <v>1491</v>
      </c>
      <c r="M795" s="1329">
        <v>778</v>
      </c>
      <c r="N795" s="1314"/>
      <c r="O795" s="1311" t="s">
        <v>725</v>
      </c>
      <c r="P795" s="1311"/>
      <c r="Q795" s="1311"/>
      <c r="R795" s="1314" t="s">
        <v>1531</v>
      </c>
      <c r="S795" s="1311"/>
      <c r="T795" s="1314" t="str">
        <f t="shared" ref="T795:T812" si="120">IF(Q$796="Yes",13,"")</f>
        <v/>
      </c>
      <c r="U795" s="1311"/>
      <c r="V795" s="1311"/>
      <c r="W795" s="1311"/>
      <c r="X795" s="1311"/>
      <c r="Y795" s="1311"/>
      <c r="Z795" s="1311"/>
    </row>
    <row r="796" spans="1:26" x14ac:dyDescent="0.25">
      <c r="A796" s="847" t="s">
        <v>1705</v>
      </c>
      <c r="B796" s="826" t="str">
        <f ca="1">_xlfn.CONCAT(IFERROR(SUBSTITUTE(ADDRESS(1,MATCH(A796,INDIRECT("'"&amp;E796&amp;"'"&amp;"!A" &amp; $O$796 + 11 &amp; ":Z" &amp; $O$796+ 11),0),4),1,""),""),$O$796 + 11)</f>
        <v>T190</v>
      </c>
      <c r="C796" s="826" t="str">
        <f ca="1">_xlfn.CONCAT(IFERROR(SUBSTITUTE(ADDRESS(1,MATCH(A796,INDIRECT("'"&amp;E796&amp;"'"&amp;"!A" &amp; $O$796 + 11 &amp; ":Z" &amp; $O$796+ 11),0),4),1,""),""),$O$796 + 12)</f>
        <v>T191</v>
      </c>
      <c r="D796" s="826" t="s">
        <v>1350</v>
      </c>
      <c r="E796" s="826" t="s">
        <v>1516</v>
      </c>
      <c r="F796" s="1314"/>
      <c r="G796" s="1314"/>
      <c r="H796" s="1314"/>
      <c r="I796" s="1274" t="str">
        <f t="shared" si="114"/>
        <v/>
      </c>
      <c r="J796" s="1314" t="str">
        <f t="shared" ref="J796:J810" si="121">IF(M796&lt;&gt;"",IF($Q$796="Yes",Q$1&amp;M796,""))</f>
        <v/>
      </c>
      <c r="K796" s="1314" t="str">
        <f t="shared" si="115"/>
        <v/>
      </c>
      <c r="L796" s="826" t="s">
        <v>1705</v>
      </c>
      <c r="M796" s="1329">
        <v>779</v>
      </c>
      <c r="N796" s="1314"/>
      <c r="O796" s="1311">
        <f>'Configurable Tab'!H15</f>
        <v>179</v>
      </c>
      <c r="P796" s="1406" t="str">
        <f>'Configurable Tab'!J15</f>
        <v>Yes</v>
      </c>
      <c r="Q796" s="1351" t="s">
        <v>648</v>
      </c>
      <c r="R796" s="1314" t="s">
        <v>1531</v>
      </c>
      <c r="S796" s="1311"/>
      <c r="T796" s="1314" t="str">
        <f t="shared" si="120"/>
        <v/>
      </c>
      <c r="U796" s="1311"/>
      <c r="V796" s="1311"/>
      <c r="W796" s="1311"/>
      <c r="X796" s="1311"/>
      <c r="Y796" s="1311"/>
      <c r="Z796" s="1311"/>
    </row>
    <row r="797" spans="1:26" x14ac:dyDescent="0.25">
      <c r="A797" s="847" t="s">
        <v>1383</v>
      </c>
      <c r="B797" s="826" t="str">
        <f ca="1">IFERROR(_xlfn.CONCAT("C",MATCH(A797,INDIRECT("'"&amp;E797&amp;"'!C"&amp;$O$796&amp;":C"&amp;$O$798),0)+$O$796-1),"")</f>
        <v>C181</v>
      </c>
      <c r="C797" s="826" t="str">
        <f ca="1">IFERROR(_xlfn.CONCAT("D",MATCH(A797,INDIRECT("'"&amp;E797&amp;"'!C"&amp;$O$796&amp;":C"&amp;$O$798),0)+$O$796-1),"")</f>
        <v>D181</v>
      </c>
      <c r="D797" s="826" t="s">
        <v>1350</v>
      </c>
      <c r="E797" s="826" t="s">
        <v>1516</v>
      </c>
      <c r="F797" s="1314" t="s">
        <v>1383</v>
      </c>
      <c r="G797" s="1314" t="str">
        <f>IF(T797&lt;&gt;"","B","")</f>
        <v/>
      </c>
      <c r="H797" s="1314" t="s">
        <v>1990</v>
      </c>
      <c r="I797" s="1274" t="str">
        <f t="shared" si="114"/>
        <v/>
      </c>
      <c r="J797" s="1314"/>
      <c r="K797" s="1314" t="str">
        <f t="shared" si="115"/>
        <v/>
      </c>
      <c r="L797" s="826" t="s">
        <v>1383</v>
      </c>
      <c r="M797" s="1329">
        <v>780</v>
      </c>
      <c r="N797" s="1314"/>
      <c r="O797" s="1311" t="s">
        <v>726</v>
      </c>
      <c r="P797" s="1311"/>
      <c r="Q797" s="1311"/>
      <c r="R797" s="1314" t="s">
        <v>1531</v>
      </c>
      <c r="S797" s="1311"/>
      <c r="T797" s="1314" t="str">
        <f t="shared" si="120"/>
        <v/>
      </c>
      <c r="U797" s="1311"/>
      <c r="V797" s="1311"/>
      <c r="W797" s="1311"/>
      <c r="X797" s="1311"/>
      <c r="Y797" s="1311"/>
      <c r="Z797" s="1311"/>
    </row>
    <row r="798" spans="1:26" x14ac:dyDescent="0.25">
      <c r="A798" s="847" t="s">
        <v>1380</v>
      </c>
      <c r="B798" s="826" t="str">
        <f t="shared" ref="B798:B804" ca="1" si="122">_xlfn.CONCAT(IFERROR(SUBSTITUTE(ADDRESS(1,MATCH(A798,INDIRECT("'"&amp;E798&amp;"'"&amp;"!A" &amp; $O$796 + 2 &amp; ":Z" &amp; $O$796+ 2),0),4),1,""),""),$O$796 + 2)</f>
        <v>H181</v>
      </c>
      <c r="C798" s="826" t="str">
        <f t="shared" ref="C798:C804" ca="1" si="123">_xlfn.CONCAT(IFERROR(SUBSTITUTE(ADDRESS(1,MATCH(A798,INDIRECT("'"&amp;E798&amp;"'"&amp;"!A" &amp; $O$796 + 2 &amp; ":Z" &amp; $O$796+ 2),0),4),1,""),""),$O$796 + 3)</f>
        <v>H182</v>
      </c>
      <c r="D798" s="826" t="s">
        <v>1350</v>
      </c>
      <c r="E798" s="826" t="s">
        <v>1516</v>
      </c>
      <c r="F798" s="1314" t="s">
        <v>1991</v>
      </c>
      <c r="G798" s="1314" t="str">
        <f>IF(T798&lt;&gt;"","E","")</f>
        <v/>
      </c>
      <c r="H798" s="1314" t="s">
        <v>1990</v>
      </c>
      <c r="I798" s="1274" t="str">
        <f t="shared" si="114"/>
        <v/>
      </c>
      <c r="J798" s="1314" t="str">
        <f t="shared" si="121"/>
        <v/>
      </c>
      <c r="K798" s="1314" t="str">
        <f t="shared" si="115"/>
        <v/>
      </c>
      <c r="L798" s="826" t="s">
        <v>1380</v>
      </c>
      <c r="M798" s="1329">
        <v>781</v>
      </c>
      <c r="N798" s="1314"/>
      <c r="O798" s="1311">
        <f>'Configurable Tab'!I15</f>
        <v>192</v>
      </c>
      <c r="P798" s="1311"/>
      <c r="Q798" s="1311"/>
      <c r="R798" s="1314" t="s">
        <v>1531</v>
      </c>
      <c r="S798" s="1311"/>
      <c r="T798" s="1314" t="str">
        <f t="shared" si="120"/>
        <v/>
      </c>
      <c r="U798" s="1311"/>
      <c r="V798" s="1311"/>
      <c r="W798" s="1311"/>
      <c r="X798" s="1311"/>
      <c r="Y798" s="1311"/>
      <c r="Z798" s="1311"/>
    </row>
    <row r="799" spans="1:26" x14ac:dyDescent="0.25">
      <c r="A799" s="847" t="s">
        <v>1381</v>
      </c>
      <c r="B799" s="826" t="str">
        <f t="shared" ca="1" si="122"/>
        <v>J181</v>
      </c>
      <c r="C799" s="826" t="str">
        <f t="shared" ca="1" si="123"/>
        <v>J182</v>
      </c>
      <c r="D799" s="826" t="s">
        <v>1350</v>
      </c>
      <c r="E799" s="826" t="s">
        <v>1516</v>
      </c>
      <c r="F799" s="1314" t="s">
        <v>1992</v>
      </c>
      <c r="G799" s="1314" t="str">
        <f>IF(T799&lt;&gt;"","I","")</f>
        <v/>
      </c>
      <c r="H799" s="1314" t="s">
        <v>1990</v>
      </c>
      <c r="I799" s="1274" t="str">
        <f t="shared" si="114"/>
        <v/>
      </c>
      <c r="J799" s="1314" t="str">
        <f t="shared" si="121"/>
        <v/>
      </c>
      <c r="K799" s="1314" t="str">
        <f t="shared" si="115"/>
        <v/>
      </c>
      <c r="L799" s="826" t="s">
        <v>1381</v>
      </c>
      <c r="M799" s="1329">
        <v>782</v>
      </c>
      <c r="N799" s="1314"/>
      <c r="O799" s="1311" t="s">
        <v>1644</v>
      </c>
      <c r="P799" s="1311"/>
      <c r="Q799" s="1311" t="s">
        <v>482</v>
      </c>
      <c r="R799" s="1314" t="s">
        <v>1531</v>
      </c>
      <c r="S799" s="1311"/>
      <c r="T799" s="1314" t="str">
        <f t="shared" si="120"/>
        <v/>
      </c>
      <c r="U799" s="1311"/>
      <c r="V799" s="1311"/>
      <c r="W799" s="1311"/>
      <c r="X799" s="1311"/>
      <c r="Y799" s="1311"/>
      <c r="Z799" s="1311"/>
    </row>
    <row r="800" spans="1:26" x14ac:dyDescent="0.25">
      <c r="A800" s="847" t="s">
        <v>1397</v>
      </c>
      <c r="B800" s="826" t="str">
        <f t="shared" ca="1" si="122"/>
        <v>L181</v>
      </c>
      <c r="C800" s="826" t="str">
        <f t="shared" ca="1" si="123"/>
        <v>L182</v>
      </c>
      <c r="D800" s="826" t="s">
        <v>1350</v>
      </c>
      <c r="E800" s="826" t="s">
        <v>1516</v>
      </c>
      <c r="F800" s="1314" t="s">
        <v>1993</v>
      </c>
      <c r="G800" s="1314" t="str">
        <f>IF(T800&lt;&gt;"","H","")</f>
        <v/>
      </c>
      <c r="H800" s="1314" t="s">
        <v>1990</v>
      </c>
      <c r="I800" s="1274" t="str">
        <f t="shared" si="114"/>
        <v/>
      </c>
      <c r="J800" s="1314" t="str">
        <f t="shared" si="121"/>
        <v/>
      </c>
      <c r="K800" s="1314" t="str">
        <f t="shared" si="115"/>
        <v/>
      </c>
      <c r="L800" s="826" t="s">
        <v>1397</v>
      </c>
      <c r="M800" s="1329">
        <v>783</v>
      </c>
      <c r="N800" s="1314"/>
      <c r="O800" s="1311"/>
      <c r="P800" s="1311"/>
      <c r="Q800" s="1311"/>
      <c r="R800" s="1314" t="s">
        <v>1531</v>
      </c>
      <c r="S800" s="1311"/>
      <c r="T800" s="1314" t="str">
        <f t="shared" si="120"/>
        <v/>
      </c>
      <c r="U800" s="1311"/>
      <c r="V800" s="1311"/>
      <c r="W800" s="1311"/>
      <c r="X800" s="1311"/>
      <c r="Y800" s="1311"/>
      <c r="Z800" s="1311"/>
    </row>
    <row r="801" spans="1:26" x14ac:dyDescent="0.25">
      <c r="A801" s="847" t="s">
        <v>1382</v>
      </c>
      <c r="B801" s="826" t="str">
        <f t="shared" ca="1" si="122"/>
        <v>N181</v>
      </c>
      <c r="C801" s="826" t="str">
        <f t="shared" ca="1" si="123"/>
        <v>N182</v>
      </c>
      <c r="D801" s="826" t="s">
        <v>1350</v>
      </c>
      <c r="E801" s="826" t="s">
        <v>1516</v>
      </c>
      <c r="F801" s="1314" t="s">
        <v>1382</v>
      </c>
      <c r="G801" s="1314" t="str">
        <f>IF(T801&lt;&gt;"",IF(Q799="Credit Memo","J",IF(Q799="Check","K","")),"")</f>
        <v/>
      </c>
      <c r="H801" s="1314" t="s">
        <v>1990</v>
      </c>
      <c r="I801" s="1274" t="str">
        <f t="shared" si="114"/>
        <v/>
      </c>
      <c r="J801" s="1314" t="str">
        <f t="shared" si="121"/>
        <v/>
      </c>
      <c r="K801" s="1314" t="str">
        <f t="shared" si="115"/>
        <v/>
      </c>
      <c r="L801" s="826" t="s">
        <v>1382</v>
      </c>
      <c r="M801" s="1329">
        <v>784</v>
      </c>
      <c r="N801" s="1314"/>
      <c r="O801" s="1311"/>
      <c r="P801" s="1311"/>
      <c r="Q801" s="1311"/>
      <c r="R801" s="1314" t="s">
        <v>1531</v>
      </c>
      <c r="S801" s="1311"/>
      <c r="T801" s="1314" t="str">
        <f t="shared" si="120"/>
        <v/>
      </c>
      <c r="U801" s="1311"/>
      <c r="V801" s="1311"/>
      <c r="W801" s="1311"/>
      <c r="X801" s="1311"/>
      <c r="Y801" s="1311"/>
      <c r="Z801" s="1311"/>
    </row>
    <row r="802" spans="1:26" x14ac:dyDescent="0.25">
      <c r="A802" s="847" t="s">
        <v>1486</v>
      </c>
      <c r="B802" s="826" t="str">
        <f t="shared" ca="1" si="122"/>
        <v>P181</v>
      </c>
      <c r="C802" s="826" t="str">
        <f t="shared" ca="1" si="123"/>
        <v>P182</v>
      </c>
      <c r="D802" s="826" t="s">
        <v>1350</v>
      </c>
      <c r="E802" s="826" t="s">
        <v>1516</v>
      </c>
      <c r="F802" s="1314" t="s">
        <v>1994</v>
      </c>
      <c r="G802" s="1314" t="str">
        <f>IF(T802&lt;&gt;"","F","")</f>
        <v/>
      </c>
      <c r="H802" s="1314" t="s">
        <v>1990</v>
      </c>
      <c r="I802" s="1274" t="str">
        <f t="shared" si="114"/>
        <v/>
      </c>
      <c r="J802" s="1314" t="str">
        <f t="shared" si="121"/>
        <v/>
      </c>
      <c r="K802" s="1314" t="str">
        <f t="shared" si="115"/>
        <v/>
      </c>
      <c r="L802" s="826" t="s">
        <v>1486</v>
      </c>
      <c r="M802" s="1329">
        <v>785</v>
      </c>
      <c r="N802" s="1314"/>
      <c r="O802" s="1311"/>
      <c r="P802" s="1311"/>
      <c r="Q802" s="1311"/>
      <c r="R802" s="1314" t="s">
        <v>1531</v>
      </c>
      <c r="S802" s="1311"/>
      <c r="T802" s="1314" t="str">
        <f t="shared" si="120"/>
        <v/>
      </c>
      <c r="U802" s="1311"/>
      <c r="V802" s="1311"/>
      <c r="W802" s="1311"/>
      <c r="X802" s="1311"/>
      <c r="Y802" s="1311"/>
      <c r="Z802" s="1311"/>
    </row>
    <row r="803" spans="1:26" x14ac:dyDescent="0.25">
      <c r="A803" s="847" t="s">
        <v>1487</v>
      </c>
      <c r="B803" s="826" t="str">
        <f t="shared" ca="1" si="122"/>
        <v>R181</v>
      </c>
      <c r="C803" s="826" t="str">
        <f t="shared" ca="1" si="123"/>
        <v>R182</v>
      </c>
      <c r="D803" s="826" t="s">
        <v>1350</v>
      </c>
      <c r="E803" s="826" t="s">
        <v>1516</v>
      </c>
      <c r="F803" s="1314" t="s">
        <v>1995</v>
      </c>
      <c r="G803" s="1314" t="str">
        <f>IF(T803&lt;&gt;"","G","")</f>
        <v/>
      </c>
      <c r="H803" s="1314" t="s">
        <v>1990</v>
      </c>
      <c r="I803" s="1274" t="str">
        <f t="shared" si="114"/>
        <v/>
      </c>
      <c r="J803" s="1314" t="str">
        <f t="shared" si="121"/>
        <v/>
      </c>
      <c r="K803" s="1314" t="str">
        <f t="shared" si="115"/>
        <v/>
      </c>
      <c r="L803" s="826" t="s">
        <v>1487</v>
      </c>
      <c r="M803" s="1329">
        <v>786</v>
      </c>
      <c r="N803" s="1314"/>
      <c r="O803" s="1311"/>
      <c r="P803" s="1311"/>
      <c r="Q803" s="1311"/>
      <c r="R803" s="1314" t="s">
        <v>1531</v>
      </c>
      <c r="S803" s="1311"/>
      <c r="T803" s="1314" t="str">
        <f t="shared" si="120"/>
        <v/>
      </c>
      <c r="U803" s="1311"/>
      <c r="V803" s="1311"/>
      <c r="W803" s="1311"/>
      <c r="X803" s="1311"/>
      <c r="Y803" s="1311"/>
      <c r="Z803" s="1311"/>
    </row>
    <row r="804" spans="1:26" x14ac:dyDescent="0.25">
      <c r="A804" s="847" t="s">
        <v>1488</v>
      </c>
      <c r="B804" s="826" t="str">
        <f t="shared" ca="1" si="122"/>
        <v>T181</v>
      </c>
      <c r="C804" s="826" t="str">
        <f t="shared" ca="1" si="123"/>
        <v>T182</v>
      </c>
      <c r="D804" s="826" t="s">
        <v>1350</v>
      </c>
      <c r="E804" s="826" t="s">
        <v>1516</v>
      </c>
      <c r="F804" s="841" t="s">
        <v>1488</v>
      </c>
      <c r="G804" s="1314" t="str">
        <f>IF(T804&lt;&gt;"","AW","")</f>
        <v/>
      </c>
      <c r="H804" s="1314" t="s">
        <v>1990</v>
      </c>
      <c r="I804" s="1274" t="str">
        <f t="shared" si="114"/>
        <v/>
      </c>
      <c r="J804" s="1314" t="str">
        <f t="shared" si="121"/>
        <v/>
      </c>
      <c r="K804" s="1314" t="str">
        <f t="shared" si="115"/>
        <v/>
      </c>
      <c r="L804" s="826" t="s">
        <v>1488</v>
      </c>
      <c r="M804" s="1329">
        <v>787</v>
      </c>
      <c r="N804" s="1314"/>
      <c r="O804" s="1311"/>
      <c r="P804" s="1311"/>
      <c r="Q804" s="1311"/>
      <c r="R804" s="1314" t="s">
        <v>1531</v>
      </c>
      <c r="S804" s="1311"/>
      <c r="T804" s="1314" t="str">
        <f t="shared" si="120"/>
        <v/>
      </c>
      <c r="U804" s="1311"/>
      <c r="V804" s="1311"/>
      <c r="W804" s="1311"/>
      <c r="X804" s="1311"/>
      <c r="Y804" s="1311"/>
      <c r="Z804" s="1311"/>
    </row>
    <row r="805" spans="1:26" x14ac:dyDescent="0.25">
      <c r="A805" s="847" t="s">
        <v>1385</v>
      </c>
      <c r="B805" s="826" t="str">
        <f ca="1">IFERROR(_xlfn.CONCAT("C",MATCH(A805,INDIRECT("'"&amp;E805&amp;"'!C"&amp;$O$796&amp;":C"&amp;$O$798),0)+$O$796-1),"")</f>
        <v>C185</v>
      </c>
      <c r="C805" s="826" t="str">
        <f ca="1">IFERROR(_xlfn.CONCAT("D",MATCH(A805,INDIRECT("'"&amp;E805&amp;"'!C"&amp;$O$796&amp;":C"&amp;$O$798),0)+$O$796-1),"")</f>
        <v>D185</v>
      </c>
      <c r="D805" s="826" t="s">
        <v>1350</v>
      </c>
      <c r="E805" s="826" t="s">
        <v>1516</v>
      </c>
      <c r="F805" s="1314" t="s">
        <v>1385</v>
      </c>
      <c r="G805" s="1314" t="str">
        <f>IF(T805&lt;&gt;"","C","")</f>
        <v/>
      </c>
      <c r="H805" s="1314" t="s">
        <v>1990</v>
      </c>
      <c r="I805" s="1274" t="str">
        <f t="shared" si="114"/>
        <v/>
      </c>
      <c r="J805" s="1314"/>
      <c r="K805" s="1314" t="str">
        <f t="shared" si="115"/>
        <v/>
      </c>
      <c r="L805" s="826" t="s">
        <v>1385</v>
      </c>
      <c r="M805" s="1329">
        <v>788</v>
      </c>
      <c r="N805" s="1314"/>
      <c r="O805" s="1311"/>
      <c r="P805" s="1311"/>
      <c r="Q805" s="1311"/>
      <c r="R805" s="1314" t="s">
        <v>1531</v>
      </c>
      <c r="S805" s="1311"/>
      <c r="T805" s="1314" t="str">
        <f t="shared" si="120"/>
        <v/>
      </c>
      <c r="U805" s="1311"/>
      <c r="V805" s="1311"/>
      <c r="W805" s="1311"/>
      <c r="X805" s="1311"/>
      <c r="Y805" s="1311"/>
      <c r="Z805" s="1311"/>
    </row>
    <row r="806" spans="1:26" x14ac:dyDescent="0.25">
      <c r="A806" s="847" t="s">
        <v>1386</v>
      </c>
      <c r="B806" s="826" t="str">
        <f ca="1">IFERROR(_xlfn.CONCAT("C",MATCH(A806,INDIRECT("'"&amp;E806&amp;"'!C"&amp;$O$796&amp;":C"&amp;$O$798),0)+$O$796-1),"")</f>
        <v>C187</v>
      </c>
      <c r="C806" s="826" t="str">
        <f ca="1">IFERROR(_xlfn.CONCAT("D",MATCH(A806,INDIRECT("'"&amp;E806&amp;"'!C"&amp;$O$796&amp;":C"&amp;$O$798),0)+$O$796-1),"")</f>
        <v>D187</v>
      </c>
      <c r="D806" s="826" t="s">
        <v>1350</v>
      </c>
      <c r="E806" s="826" t="s">
        <v>1516</v>
      </c>
      <c r="F806" s="1314" t="s">
        <v>1386</v>
      </c>
      <c r="G806" s="1314" t="str">
        <f>IF(T806&lt;&gt;"","D","")</f>
        <v/>
      </c>
      <c r="H806" s="1314" t="s">
        <v>1990</v>
      </c>
      <c r="I806" s="1274" t="str">
        <f t="shared" si="114"/>
        <v/>
      </c>
      <c r="J806" s="1314"/>
      <c r="K806" s="1314" t="str">
        <f t="shared" si="115"/>
        <v/>
      </c>
      <c r="L806" s="826" t="s">
        <v>1386</v>
      </c>
      <c r="M806" s="1329">
        <v>789</v>
      </c>
      <c r="N806" s="1314"/>
      <c r="O806" s="1311"/>
      <c r="P806" s="1311"/>
      <c r="Q806" s="1311"/>
      <c r="R806" s="1314" t="s">
        <v>1531</v>
      </c>
      <c r="S806" s="1311"/>
      <c r="T806" s="1314" t="str">
        <f t="shared" si="120"/>
        <v/>
      </c>
      <c r="U806" s="1311"/>
      <c r="V806" s="1311"/>
      <c r="W806" s="1311"/>
      <c r="X806" s="1311"/>
      <c r="Y806" s="1311"/>
      <c r="Z806" s="1311"/>
    </row>
    <row r="807" spans="1:26" x14ac:dyDescent="0.25">
      <c r="A807" s="847" t="s">
        <v>1495</v>
      </c>
      <c r="B807" s="826" t="str">
        <f ca="1">IFERROR(_xlfn.CONCAT("C",MATCH(A807,INDIRECT("'"&amp;E807&amp;"'!C"&amp;$O$796&amp;":C"&amp;$O$798),0)+$O$796-1),"")</f>
        <v>C189</v>
      </c>
      <c r="C807" s="826" t="str">
        <f ca="1">IFERROR(_xlfn.CONCAT("D",MATCH(A807,INDIRECT("'"&amp;E807&amp;"'!C"&amp;$O$796&amp;":C"&amp;$O$798),0)+$O$796-1),"")</f>
        <v>D189</v>
      </c>
      <c r="D807" s="826" t="s">
        <v>1350</v>
      </c>
      <c r="E807" s="826" t="s">
        <v>1516</v>
      </c>
      <c r="F807" s="1314" t="s">
        <v>1495</v>
      </c>
      <c r="G807" s="1314" t="str">
        <f>IF(T807&lt;&gt;"","AN","")</f>
        <v/>
      </c>
      <c r="H807" s="1314" t="s">
        <v>1990</v>
      </c>
      <c r="I807" s="1274" t="str">
        <f t="shared" si="114"/>
        <v/>
      </c>
      <c r="J807" s="1314" t="str">
        <f t="shared" si="121"/>
        <v/>
      </c>
      <c r="K807" s="1314" t="str">
        <f t="shared" si="115"/>
        <v/>
      </c>
      <c r="L807" s="826" t="s">
        <v>1495</v>
      </c>
      <c r="M807" s="1329">
        <v>790</v>
      </c>
      <c r="N807" s="1314"/>
      <c r="O807" s="1405"/>
      <c r="P807" s="1317" t="str" cm="1">
        <f t="array" aca="1" ref="P807" ca="1">_xlfn.CONCAT("F",RIGHT(B807, LEN(B807) - MAX(IF(ISNUMBER(MID(B807, ROW(INDIRECT("1:"&amp;LEN(B807))), 1) *1)=FALSE, ROW(INDIRECT("1:"&amp;LEN(B807))), 0))))</f>
        <v>F189</v>
      </c>
      <c r="Q807" s="1314" t="str" cm="1">
        <f t="array" aca="1" ref="Q807" ca="1">_xlfn.CONCAT("E",RIGHT(C807, LEN(C807) - MAX(IF(ISNUMBER(MID(C807, ROW(INDIRECT("1:"&amp;LEN(C807))), 1) *1)=FALSE, ROW(INDIRECT("1:"&amp;LEN(C807))), 0))))</f>
        <v>E189</v>
      </c>
      <c r="R807" s="1314" t="s">
        <v>1531</v>
      </c>
      <c r="S807" s="1311"/>
      <c r="T807" s="1314" t="str">
        <f t="shared" si="120"/>
        <v/>
      </c>
      <c r="U807" s="1311"/>
      <c r="V807" s="1311"/>
      <c r="W807" s="1311"/>
      <c r="X807" s="1311"/>
      <c r="Y807" s="1311"/>
      <c r="Z807" s="1311"/>
    </row>
    <row r="808" spans="1:26" x14ac:dyDescent="0.25">
      <c r="A808" s="847" t="s">
        <v>1492</v>
      </c>
      <c r="B808" s="826" t="str">
        <f ca="1">_xlfn.CONCAT(IFERROR(SUBSTITUTE(ADDRESS(1,MATCH(A808,INDIRECT("'"&amp;E808&amp;"'"&amp;"!A" &amp; $O$796 + 8 &amp; ":Z" &amp; $O$796+ 8),0),4),1,""),""),$O$796 + 8)</f>
        <v>H187</v>
      </c>
      <c r="C808" s="826" t="str">
        <f ca="1">_xlfn.CONCAT(IFERROR(SUBSTITUTE(ADDRESS(1,MATCH(A808,INDIRECT("'"&amp;E808&amp;"'"&amp;"!A" &amp; $O$796 + 8 &amp; ":Z" &amp; $O$796+ 8),0),4),1,""),""),$O$796 + 9)</f>
        <v>H188</v>
      </c>
      <c r="D808" s="826" t="s">
        <v>1350</v>
      </c>
      <c r="E808" s="826" t="s">
        <v>1516</v>
      </c>
      <c r="F808" s="1314" t="s">
        <v>1492</v>
      </c>
      <c r="G808" s="1314" t="str">
        <f>IF(T808&lt;&gt;"","AL","")</f>
        <v/>
      </c>
      <c r="H808" s="1314" t="s">
        <v>1990</v>
      </c>
      <c r="I808" s="1274" t="str">
        <f t="shared" si="114"/>
        <v/>
      </c>
      <c r="J808" s="1314" t="str">
        <f t="shared" si="121"/>
        <v/>
      </c>
      <c r="K808" s="1314" t="str">
        <f t="shared" si="115"/>
        <v/>
      </c>
      <c r="L808" s="826" t="s">
        <v>1492</v>
      </c>
      <c r="M808" s="1329">
        <v>791</v>
      </c>
      <c r="N808" s="1314"/>
      <c r="O808" s="1311"/>
      <c r="P808" s="1311"/>
      <c r="Q808" s="1311"/>
      <c r="R808" s="1314" t="s">
        <v>1531</v>
      </c>
      <c r="S808" s="1311"/>
      <c r="T808" s="1314" t="str">
        <f t="shared" si="120"/>
        <v/>
      </c>
      <c r="U808" s="1311"/>
      <c r="V808" s="1311"/>
      <c r="W808" s="1311"/>
      <c r="X808" s="1311"/>
      <c r="Y808" s="1311"/>
      <c r="Z808" s="1311"/>
    </row>
    <row r="809" spans="1:26" x14ac:dyDescent="0.25">
      <c r="A809" s="847" t="s">
        <v>1506</v>
      </c>
      <c r="B809" s="826" t="str">
        <f ca="1">_xlfn.CONCAT(IFERROR(SUBSTITUTE(ADDRESS(1,MATCH(A809,INDIRECT("'"&amp;E809&amp;"'"&amp;"!A" &amp; $O$796 + 8 &amp; ":Z" &amp; $O$796+ 8),0),4),1,""),""),$O$796 + 8)</f>
        <v>J187</v>
      </c>
      <c r="C809" s="826" t="str">
        <f ca="1">_xlfn.CONCAT(IFERROR(SUBSTITUTE(ADDRESS(1,MATCH(A809,INDIRECT("'"&amp;E809&amp;"'"&amp;"!A" &amp; $O$796 + 8 &amp; ":Z" &amp; $O$796+ 8),0),4),1,""),""),$O$796 + 9)</f>
        <v>J188</v>
      </c>
      <c r="D809" s="826" t="s">
        <v>1350</v>
      </c>
      <c r="E809" s="826" t="s">
        <v>1516</v>
      </c>
      <c r="F809" s="1314" t="s">
        <v>1996</v>
      </c>
      <c r="G809" s="1314" t="str">
        <f>IF(T809&lt;&gt;"","L","")</f>
        <v/>
      </c>
      <c r="H809" s="1314" t="s">
        <v>1990</v>
      </c>
      <c r="I809" s="1274" t="str">
        <f t="shared" si="114"/>
        <v/>
      </c>
      <c r="J809" s="1314" t="str">
        <f t="shared" si="121"/>
        <v/>
      </c>
      <c r="K809" s="1314" t="str">
        <f t="shared" si="115"/>
        <v/>
      </c>
      <c r="L809" s="826" t="s">
        <v>1506</v>
      </c>
      <c r="M809" s="1329">
        <v>792</v>
      </c>
      <c r="N809" s="1314"/>
      <c r="O809" s="1311"/>
      <c r="P809" s="1311"/>
      <c r="Q809" s="1311"/>
      <c r="R809" s="1314" t="s">
        <v>1531</v>
      </c>
      <c r="S809" s="1311"/>
      <c r="T809" s="1314" t="str">
        <f t="shared" si="120"/>
        <v/>
      </c>
      <c r="U809" s="1311"/>
      <c r="V809" s="1311"/>
      <c r="W809" s="1311"/>
      <c r="X809" s="1311"/>
      <c r="Y809" s="1311"/>
      <c r="Z809" s="1311"/>
    </row>
    <row r="810" spans="1:26" x14ac:dyDescent="0.25">
      <c r="A810" s="847" t="s">
        <v>1387</v>
      </c>
      <c r="B810" s="826" t="str">
        <f ca="1">_xlfn.CONCAT(IFERROR(SUBSTITUTE(ADDRESS(1,MATCH(A810,INDIRECT("'"&amp;E810&amp;"'"&amp;"!A" &amp; $O$796 + 5 &amp; ":Z" &amp; $O$796+ 5),0),4),1,""),""),$O$796 + 5)</f>
        <v>H184</v>
      </c>
      <c r="C810" s="826" t="str">
        <f ca="1">_xlfn.CONCAT(IFERROR(SUBSTITUTE(ADDRESS(1,MATCH(A810,INDIRECT("'"&amp;E810&amp;"'"&amp;"!A" &amp; $O$796 + 5 &amp; ":Z" &amp; $O$796+ 5),0),4),1,""),""),$O$796 + 6)</f>
        <v>H185</v>
      </c>
      <c r="D810" s="826" t="s">
        <v>1350</v>
      </c>
      <c r="E810" s="826" t="s">
        <v>1516</v>
      </c>
      <c r="F810" s="841" t="s">
        <v>1387</v>
      </c>
      <c r="G810" s="1314" t="str">
        <f>IF(T810&lt;&gt;"","AH","")</f>
        <v/>
      </c>
      <c r="H810" s="1314" t="s">
        <v>1990</v>
      </c>
      <c r="I810" s="1274" t="str">
        <f t="shared" si="114"/>
        <v/>
      </c>
      <c r="J810" s="1314" t="str">
        <f t="shared" si="121"/>
        <v/>
      </c>
      <c r="K810" s="1314" t="str">
        <f t="shared" si="115"/>
        <v/>
      </c>
      <c r="L810" s="826" t="s">
        <v>1387</v>
      </c>
      <c r="M810" s="1329">
        <v>793</v>
      </c>
      <c r="N810" s="1314"/>
      <c r="O810" s="1311"/>
      <c r="P810" s="1311"/>
      <c r="Q810" s="1311"/>
      <c r="R810" s="1314" t="s">
        <v>1531</v>
      </c>
      <c r="S810" s="1311"/>
      <c r="T810" s="1314" t="str">
        <f t="shared" si="120"/>
        <v/>
      </c>
      <c r="U810" s="1311"/>
      <c r="V810" s="1311"/>
      <c r="W810" s="1311"/>
      <c r="X810" s="1311"/>
      <c r="Y810" s="1311"/>
      <c r="Z810" s="1311"/>
    </row>
    <row r="811" spans="1:26" x14ac:dyDescent="0.25">
      <c r="A811" s="847" t="s">
        <v>1388</v>
      </c>
      <c r="B811" s="826" t="str">
        <f ca="1">_xlfn.CONCAT(IFERROR(SUBSTITUTE(ADDRESS(1,MATCH(A811,INDIRECT("'"&amp;E811&amp;"'"&amp;"!A" &amp; $O$796 + 5 &amp; ":Z" &amp; $O$796+ 5),0),4),1,""),""),$O$796 + 5)</f>
        <v>J184</v>
      </c>
      <c r="C811" s="826" t="str">
        <f ca="1">_xlfn.CONCAT(IFERROR(SUBSTITUTE(ADDRESS(1,MATCH(A811,INDIRECT("'"&amp;E811&amp;"'"&amp;"!A" &amp; $O$796 + 5 &amp; ":Z" &amp; $O$796+ 5),0),4),1,""),""),$O$796 + 6)</f>
        <v>J185</v>
      </c>
      <c r="D811" s="826" t="s">
        <v>1350</v>
      </c>
      <c r="E811" s="826" t="s">
        <v>1516</v>
      </c>
      <c r="F811" s="841"/>
      <c r="G811" s="1314"/>
      <c r="H811" s="1314"/>
      <c r="I811" s="1274" t="str">
        <f t="shared" si="114"/>
        <v/>
      </c>
      <c r="J811" s="1314"/>
      <c r="K811" s="1314" t="str">
        <f t="shared" si="115"/>
        <v/>
      </c>
      <c r="L811" s="826" t="s">
        <v>1388</v>
      </c>
      <c r="M811" s="1329">
        <v>794</v>
      </c>
      <c r="N811" s="1314"/>
      <c r="O811" s="1311"/>
      <c r="P811" s="1311"/>
      <c r="Q811" s="1311"/>
      <c r="R811" s="1314" t="s">
        <v>1531</v>
      </c>
      <c r="S811" s="1311"/>
      <c r="T811" s="1314" t="str">
        <f t="shared" si="120"/>
        <v/>
      </c>
      <c r="U811" s="1311"/>
      <c r="V811" s="1311"/>
      <c r="W811" s="1311"/>
      <c r="X811" s="1311"/>
      <c r="Y811" s="1311"/>
      <c r="Z811" s="1311"/>
    </row>
    <row r="812" spans="1:26" x14ac:dyDescent="0.25">
      <c r="A812" s="847" t="s">
        <v>1389</v>
      </c>
      <c r="B812" s="826" t="str">
        <f ca="1">_xlfn.CONCAT(IFERROR(SUBSTITUTE(ADDRESS(1,MATCH(A812,INDIRECT("'"&amp;E812&amp;"'"&amp;"!A" &amp; $O$796 + 5 &amp; ":Z" &amp; $O$796+ 5),0),4),1,""),""),$O$796 + 5)</f>
        <v>L184</v>
      </c>
      <c r="C812" s="826" t="str">
        <f ca="1">_xlfn.CONCAT(IFERROR(SUBSTITUTE(ADDRESS(1,MATCH(A812,INDIRECT("'"&amp;E812&amp;"'"&amp;"!A" &amp; $O$796 + 5 &amp; ":Z" &amp; $O$796+ 5),0),4),1,""),""),$O$796 + 6)</f>
        <v>L185</v>
      </c>
      <c r="D812" s="826" t="s">
        <v>1350</v>
      </c>
      <c r="E812" s="826" t="s">
        <v>1516</v>
      </c>
      <c r="F812" s="1314" t="s">
        <v>1912</v>
      </c>
      <c r="G812" s="1314" t="str">
        <f>IF(T812&lt;&gt;"","AI","")</f>
        <v/>
      </c>
      <c r="H812" s="1314" t="s">
        <v>1990</v>
      </c>
      <c r="I812" s="1274" t="str">
        <f t="shared" si="114"/>
        <v/>
      </c>
      <c r="J812" s="1314"/>
      <c r="K812" s="1314" t="str">
        <f t="shared" si="115"/>
        <v/>
      </c>
      <c r="L812" s="826" t="s">
        <v>1389</v>
      </c>
      <c r="M812" s="1329">
        <v>795</v>
      </c>
      <c r="N812" s="1314"/>
      <c r="O812" s="1311"/>
      <c r="P812" s="1311"/>
      <c r="Q812" s="1311"/>
      <c r="R812" s="1314" t="s">
        <v>1531</v>
      </c>
      <c r="S812" s="1311"/>
      <c r="T812" s="1314" t="str">
        <f t="shared" si="120"/>
        <v/>
      </c>
      <c r="U812" s="1311"/>
      <c r="V812" s="1311"/>
      <c r="W812" s="1311"/>
      <c r="X812" s="1311"/>
      <c r="Y812" s="1311"/>
      <c r="Z812" s="1311"/>
    </row>
    <row r="813" spans="1:26" x14ac:dyDescent="0.25">
      <c r="A813" s="850" t="s">
        <v>1491</v>
      </c>
      <c r="B813" s="826" t="str">
        <f ca="1">IFERROR(_xlfn.CONCAT("C",MATCH(A813,INDIRECT("'"&amp;E813&amp;"'!C"&amp;$O$814&amp;":C"&amp;$O$816),0)+$O$814-1),"")</f>
        <v>C197</v>
      </c>
      <c r="C813" s="826" t="str">
        <f ca="1">IFERROR(_xlfn.CONCAT("D",MATCH(A813,INDIRECT("'"&amp;E813&amp;"'!C"&amp;$O$814&amp;":C"&amp;$O$816),0)+$O$814-1),"")</f>
        <v>D197</v>
      </c>
      <c r="D813" s="826" t="s">
        <v>1350</v>
      </c>
      <c r="E813" s="826" t="s">
        <v>1516</v>
      </c>
      <c r="F813" s="1314" t="s">
        <v>1491</v>
      </c>
      <c r="G813" s="1314" t="str">
        <f>IF(T813&lt;&gt;"","A","")</f>
        <v/>
      </c>
      <c r="H813" s="1314" t="s">
        <v>1990</v>
      </c>
      <c r="I813" s="1274" t="str">
        <f t="shared" si="114"/>
        <v/>
      </c>
      <c r="J813" s="1314"/>
      <c r="K813" s="1314" t="str">
        <f t="shared" si="115"/>
        <v/>
      </c>
      <c r="L813" s="826" t="s">
        <v>1491</v>
      </c>
      <c r="M813" s="1329">
        <v>796</v>
      </c>
      <c r="N813" s="1314"/>
      <c r="O813" s="1311" t="s">
        <v>725</v>
      </c>
      <c r="P813" s="1406"/>
      <c r="Q813" s="1311"/>
      <c r="R813" s="1314" t="s">
        <v>1531</v>
      </c>
      <c r="S813" s="1311"/>
      <c r="T813" s="1314" t="str">
        <f t="shared" ref="T813:T830" si="124">IF(Q$814="Yes",14,"")</f>
        <v/>
      </c>
      <c r="U813" s="1311"/>
      <c r="V813" s="1311"/>
      <c r="W813" s="1311"/>
      <c r="X813" s="1311"/>
      <c r="Y813" s="1311"/>
      <c r="Z813" s="1311"/>
    </row>
    <row r="814" spans="1:26" x14ac:dyDescent="0.25">
      <c r="A814" s="850" t="s">
        <v>1705</v>
      </c>
      <c r="B814" s="826" t="str">
        <f ca="1">_xlfn.CONCAT(IFERROR(SUBSTITUTE(ADDRESS(1,MATCH(A814,INDIRECT("'"&amp;E814&amp;"'"&amp;"!A" &amp; $O$814 + 11 &amp; ":Z" &amp; $O$814+ 11),0),4),1,""),""),$O$814 + 11)</f>
        <v>T204</v>
      </c>
      <c r="C814" s="826" t="str">
        <f ca="1">_xlfn.CONCAT(IFERROR(SUBSTITUTE(ADDRESS(1,MATCH(A814,INDIRECT("'"&amp;E814&amp;"'"&amp;"!A" &amp; $O$814 + 11 &amp; ":Z" &amp; $O$814+ 11),0),4),1,""),""),$O$814 + 12)</f>
        <v>T205</v>
      </c>
      <c r="D814" s="826" t="s">
        <v>1350</v>
      </c>
      <c r="E814" s="826" t="s">
        <v>1516</v>
      </c>
      <c r="F814" s="1314"/>
      <c r="G814" s="1314"/>
      <c r="H814" s="1314"/>
      <c r="I814" s="1274" t="str">
        <f t="shared" si="114"/>
        <v/>
      </c>
      <c r="J814" s="1314" t="str">
        <f t="shared" ref="J814:J828" si="125">IF(M814&lt;&gt;"",IF($Q$814="Yes",Q$1&amp;M814,""))</f>
        <v/>
      </c>
      <c r="K814" s="1314" t="str">
        <f t="shared" si="115"/>
        <v/>
      </c>
      <c r="L814" s="826" t="s">
        <v>1705</v>
      </c>
      <c r="M814" s="1329">
        <v>797</v>
      </c>
      <c r="N814" s="1314"/>
      <c r="O814" s="1311">
        <f>'Configurable Tab'!H16</f>
        <v>193</v>
      </c>
      <c r="P814" s="1406" t="str">
        <f>'Configurable Tab'!J16</f>
        <v>Yes</v>
      </c>
      <c r="Q814" s="1351" t="s">
        <v>648</v>
      </c>
      <c r="R814" s="1314" t="s">
        <v>1531</v>
      </c>
      <c r="S814" s="1311"/>
      <c r="T814" s="1314" t="str">
        <f t="shared" si="124"/>
        <v/>
      </c>
      <c r="U814" s="1311"/>
      <c r="V814" s="1311"/>
      <c r="W814" s="1311"/>
      <c r="X814" s="1311"/>
      <c r="Y814" s="1311"/>
      <c r="Z814" s="1311"/>
    </row>
    <row r="815" spans="1:26" x14ac:dyDescent="0.25">
      <c r="A815" s="850" t="s">
        <v>1383</v>
      </c>
      <c r="B815" s="826" t="str">
        <f ca="1">IFERROR(_xlfn.CONCAT("C",MATCH(A815,INDIRECT("'"&amp;E815&amp;"'!C"&amp;$O$814&amp;":C"&amp;$O$816),0)+$O$814-1),"")</f>
        <v>C195</v>
      </c>
      <c r="C815" s="826" t="str">
        <f ca="1">IFERROR(_xlfn.CONCAT("D",MATCH(A815,INDIRECT("'"&amp;E815&amp;"'!C"&amp;$O$814&amp;":C"&amp;$O$816),0)+$O$814-1),"")</f>
        <v>D195</v>
      </c>
      <c r="D815" s="826" t="s">
        <v>1350</v>
      </c>
      <c r="E815" s="826" t="s">
        <v>1516</v>
      </c>
      <c r="F815" s="1314" t="s">
        <v>1383</v>
      </c>
      <c r="G815" s="1314" t="str">
        <f>IF(T815&lt;&gt;"","B","")</f>
        <v/>
      </c>
      <c r="H815" s="1314" t="s">
        <v>1990</v>
      </c>
      <c r="I815" s="1274" t="str">
        <f t="shared" si="114"/>
        <v/>
      </c>
      <c r="J815" s="1314"/>
      <c r="K815" s="1314" t="str">
        <f t="shared" si="115"/>
        <v/>
      </c>
      <c r="L815" s="826" t="s">
        <v>1383</v>
      </c>
      <c r="M815" s="1329">
        <v>798</v>
      </c>
      <c r="N815" s="1314"/>
      <c r="O815" s="1311" t="s">
        <v>726</v>
      </c>
      <c r="P815" s="1311"/>
      <c r="Q815" s="1311"/>
      <c r="R815" s="1314" t="s">
        <v>1531</v>
      </c>
      <c r="S815" s="1311"/>
      <c r="T815" s="1314" t="str">
        <f t="shared" si="124"/>
        <v/>
      </c>
      <c r="U815" s="1311"/>
      <c r="V815" s="1311"/>
      <c r="W815" s="1311"/>
      <c r="X815" s="1311"/>
      <c r="Y815" s="1311"/>
      <c r="Z815" s="1311"/>
    </row>
    <row r="816" spans="1:26" x14ac:dyDescent="0.25">
      <c r="A816" s="850" t="s">
        <v>1380</v>
      </c>
      <c r="B816" s="826" t="str">
        <f t="shared" ref="B816:B822" ca="1" si="126">_xlfn.CONCAT(IFERROR(SUBSTITUTE(ADDRESS(1,MATCH(A816,INDIRECT("'"&amp;E816&amp;"'"&amp;"!A" &amp; $O$814 + 2 &amp; ":Z" &amp; $O$814+ 2),0),4),1,""),""),$O$814 + 2)</f>
        <v>H195</v>
      </c>
      <c r="C816" s="826" t="str">
        <f t="shared" ref="C816:C822" ca="1" si="127">_xlfn.CONCAT(IFERROR(SUBSTITUTE(ADDRESS(1,MATCH(A816,INDIRECT("'"&amp;E816&amp;"'"&amp;"!A" &amp; $O$814 + 2 &amp; ":Z" &amp; $O$814+ 2),0),4),1,""),""),$O$814 + 3)</f>
        <v>H196</v>
      </c>
      <c r="D816" s="826" t="s">
        <v>1350</v>
      </c>
      <c r="E816" s="826" t="s">
        <v>1516</v>
      </c>
      <c r="F816" s="1314" t="s">
        <v>1991</v>
      </c>
      <c r="G816" s="1314" t="str">
        <f>IF(T816&lt;&gt;"","E","")</f>
        <v/>
      </c>
      <c r="H816" s="1314" t="s">
        <v>1990</v>
      </c>
      <c r="I816" s="1274" t="str">
        <f t="shared" si="114"/>
        <v/>
      </c>
      <c r="J816" s="1314" t="str">
        <f t="shared" si="125"/>
        <v/>
      </c>
      <c r="K816" s="1314" t="str">
        <f t="shared" si="115"/>
        <v/>
      </c>
      <c r="L816" s="826" t="s">
        <v>1380</v>
      </c>
      <c r="M816" s="1329">
        <v>799</v>
      </c>
      <c r="N816" s="1314"/>
      <c r="O816" s="1311">
        <f>'Configurable Tab'!I16</f>
        <v>206</v>
      </c>
      <c r="P816" s="1311"/>
      <c r="Q816" s="1311"/>
      <c r="R816" s="1314" t="s">
        <v>1531</v>
      </c>
      <c r="S816" s="1311"/>
      <c r="T816" s="1314" t="str">
        <f t="shared" si="124"/>
        <v/>
      </c>
      <c r="U816" s="1311"/>
      <c r="V816" s="1311"/>
      <c r="W816" s="1311"/>
      <c r="X816" s="1311"/>
      <c r="Y816" s="1311"/>
      <c r="Z816" s="1311"/>
    </row>
    <row r="817" spans="1:26" x14ac:dyDescent="0.25">
      <c r="A817" s="850" t="s">
        <v>1381</v>
      </c>
      <c r="B817" s="826" t="str">
        <f t="shared" ca="1" si="126"/>
        <v>J195</v>
      </c>
      <c r="C817" s="826" t="str">
        <f t="shared" ca="1" si="127"/>
        <v>J196</v>
      </c>
      <c r="D817" s="826" t="s">
        <v>1350</v>
      </c>
      <c r="E817" s="826" t="s">
        <v>1516</v>
      </c>
      <c r="F817" s="1314" t="s">
        <v>1992</v>
      </c>
      <c r="G817" s="1314" t="str">
        <f>IF(T817&lt;&gt;"","I","")</f>
        <v/>
      </c>
      <c r="H817" s="1314" t="s">
        <v>1990</v>
      </c>
      <c r="I817" s="1274" t="str">
        <f t="shared" si="114"/>
        <v/>
      </c>
      <c r="J817" s="1314" t="str">
        <f t="shared" si="125"/>
        <v/>
      </c>
      <c r="K817" s="1314" t="str">
        <f t="shared" si="115"/>
        <v/>
      </c>
      <c r="L817" s="826" t="s">
        <v>1381</v>
      </c>
      <c r="M817" s="1329">
        <v>800</v>
      </c>
      <c r="N817" s="1314"/>
      <c r="O817" s="1311" t="s">
        <v>1645</v>
      </c>
      <c r="P817" s="1311"/>
      <c r="Q817" s="1311"/>
      <c r="R817" s="1314" t="s">
        <v>1531</v>
      </c>
      <c r="S817" s="1311"/>
      <c r="T817" s="1314" t="str">
        <f t="shared" si="124"/>
        <v/>
      </c>
      <c r="U817" s="1311"/>
      <c r="V817" s="1311"/>
      <c r="W817" s="1311"/>
      <c r="X817" s="1311"/>
      <c r="Y817" s="1311"/>
      <c r="Z817" s="1311"/>
    </row>
    <row r="818" spans="1:26" x14ac:dyDescent="0.25">
      <c r="A818" s="850" t="s">
        <v>1397</v>
      </c>
      <c r="B818" s="826" t="str">
        <f t="shared" ca="1" si="126"/>
        <v>L195</v>
      </c>
      <c r="C818" s="826" t="str">
        <f t="shared" ca="1" si="127"/>
        <v>L196</v>
      </c>
      <c r="D818" s="826" t="s">
        <v>1350</v>
      </c>
      <c r="E818" s="826" t="s">
        <v>1516</v>
      </c>
      <c r="F818" s="1314" t="s">
        <v>1993</v>
      </c>
      <c r="G818" s="1314" t="str">
        <f>IF(T818&lt;&gt;"","H","")</f>
        <v/>
      </c>
      <c r="H818" s="1314" t="s">
        <v>1990</v>
      </c>
      <c r="I818" s="1274" t="str">
        <f t="shared" si="114"/>
        <v/>
      </c>
      <c r="J818" s="1314" t="str">
        <f t="shared" si="125"/>
        <v/>
      </c>
      <c r="K818" s="1314" t="str">
        <f t="shared" si="115"/>
        <v/>
      </c>
      <c r="L818" s="826" t="s">
        <v>1397</v>
      </c>
      <c r="M818" s="1329">
        <v>801</v>
      </c>
      <c r="N818" s="1314"/>
      <c r="O818" s="1311"/>
      <c r="P818" s="1311"/>
      <c r="Q818" s="1311"/>
      <c r="R818" s="1314" t="s">
        <v>1531</v>
      </c>
      <c r="S818" s="1311"/>
      <c r="T818" s="1314" t="str">
        <f t="shared" si="124"/>
        <v/>
      </c>
      <c r="U818" s="1311"/>
      <c r="V818" s="1311"/>
      <c r="W818" s="1311"/>
      <c r="X818" s="1311"/>
      <c r="Y818" s="1311"/>
      <c r="Z818" s="1311"/>
    </row>
    <row r="819" spans="1:26" x14ac:dyDescent="0.25">
      <c r="A819" s="850" t="s">
        <v>1382</v>
      </c>
      <c r="B819" s="826" t="str">
        <f t="shared" ca="1" si="126"/>
        <v>N195</v>
      </c>
      <c r="C819" s="826" t="str">
        <f t="shared" ca="1" si="127"/>
        <v>N196</v>
      </c>
      <c r="D819" s="826" t="s">
        <v>1350</v>
      </c>
      <c r="E819" s="826" t="s">
        <v>1516</v>
      </c>
      <c r="F819" s="1314" t="s">
        <v>1382</v>
      </c>
      <c r="G819" s="1314" t="str">
        <f>IF(T819&lt;&gt;"",IF(Q817="Credit Memo","J",IF(Q817="Check","K","")),"")</f>
        <v/>
      </c>
      <c r="H819" s="1314" t="s">
        <v>1990</v>
      </c>
      <c r="I819" s="1274" t="str">
        <f t="shared" si="114"/>
        <v/>
      </c>
      <c r="J819" s="1314" t="str">
        <f t="shared" si="125"/>
        <v/>
      </c>
      <c r="K819" s="1314" t="str">
        <f t="shared" si="115"/>
        <v/>
      </c>
      <c r="L819" s="826" t="s">
        <v>1382</v>
      </c>
      <c r="M819" s="1329">
        <v>802</v>
      </c>
      <c r="N819" s="1314"/>
      <c r="O819" s="1311"/>
      <c r="P819" s="1311"/>
      <c r="Q819" s="1311"/>
      <c r="R819" s="1314" t="s">
        <v>1531</v>
      </c>
      <c r="S819" s="1311"/>
      <c r="T819" s="1314" t="str">
        <f t="shared" si="124"/>
        <v/>
      </c>
      <c r="U819" s="1311"/>
      <c r="V819" s="1311"/>
      <c r="W819" s="1311"/>
      <c r="X819" s="1311"/>
      <c r="Y819" s="1311"/>
      <c r="Z819" s="1311"/>
    </row>
    <row r="820" spans="1:26" x14ac:dyDescent="0.25">
      <c r="A820" s="850" t="s">
        <v>1486</v>
      </c>
      <c r="B820" s="826" t="str">
        <f t="shared" ca="1" si="126"/>
        <v>P195</v>
      </c>
      <c r="C820" s="826" t="str">
        <f t="shared" ca="1" si="127"/>
        <v>P196</v>
      </c>
      <c r="D820" s="826" t="s">
        <v>1350</v>
      </c>
      <c r="E820" s="826" t="s">
        <v>1516</v>
      </c>
      <c r="F820" s="1314" t="s">
        <v>1994</v>
      </c>
      <c r="G820" s="1314" t="str">
        <f>IF(T820&lt;&gt;"","F","")</f>
        <v/>
      </c>
      <c r="H820" s="1314" t="s">
        <v>1990</v>
      </c>
      <c r="I820" s="1274" t="str">
        <f t="shared" si="114"/>
        <v/>
      </c>
      <c r="J820" s="1314" t="str">
        <f t="shared" si="125"/>
        <v/>
      </c>
      <c r="K820" s="1314" t="str">
        <f t="shared" si="115"/>
        <v/>
      </c>
      <c r="L820" s="826" t="s">
        <v>1486</v>
      </c>
      <c r="M820" s="1329">
        <v>803</v>
      </c>
      <c r="N820" s="1314"/>
      <c r="O820" s="1311"/>
      <c r="P820" s="1311"/>
      <c r="Q820" s="1311"/>
      <c r="R820" s="1314" t="s">
        <v>1531</v>
      </c>
      <c r="S820" s="1311"/>
      <c r="T820" s="1314" t="str">
        <f t="shared" si="124"/>
        <v/>
      </c>
      <c r="U820" s="1311"/>
      <c r="V820" s="1311"/>
      <c r="W820" s="1311"/>
      <c r="X820" s="1311"/>
      <c r="Y820" s="1311"/>
      <c r="Z820" s="1311"/>
    </row>
    <row r="821" spans="1:26" x14ac:dyDescent="0.25">
      <c r="A821" s="850" t="s">
        <v>1487</v>
      </c>
      <c r="B821" s="826" t="str">
        <f t="shared" ca="1" si="126"/>
        <v>R195</v>
      </c>
      <c r="C821" s="826" t="str">
        <f t="shared" ca="1" si="127"/>
        <v>R196</v>
      </c>
      <c r="D821" s="826" t="s">
        <v>1350</v>
      </c>
      <c r="E821" s="826" t="s">
        <v>1516</v>
      </c>
      <c r="F821" s="1314" t="s">
        <v>1995</v>
      </c>
      <c r="G821" s="1314" t="str">
        <f>IF(T821&lt;&gt;"","G","")</f>
        <v/>
      </c>
      <c r="H821" s="1314" t="s">
        <v>1990</v>
      </c>
      <c r="I821" s="1274" t="str">
        <f t="shared" si="114"/>
        <v/>
      </c>
      <c r="J821" s="1314" t="str">
        <f t="shared" si="125"/>
        <v/>
      </c>
      <c r="K821" s="1314" t="str">
        <f t="shared" si="115"/>
        <v/>
      </c>
      <c r="L821" s="826" t="s">
        <v>1487</v>
      </c>
      <c r="M821" s="1329">
        <v>804</v>
      </c>
      <c r="N821" s="1314"/>
      <c r="O821" s="1311"/>
      <c r="P821" s="1311"/>
      <c r="Q821" s="1311"/>
      <c r="R821" s="1314" t="s">
        <v>1531</v>
      </c>
      <c r="S821" s="1311"/>
      <c r="T821" s="1314" t="str">
        <f t="shared" si="124"/>
        <v/>
      </c>
      <c r="U821" s="1311"/>
      <c r="V821" s="1311"/>
      <c r="W821" s="1311"/>
      <c r="X821" s="1311"/>
      <c r="Y821" s="1311"/>
      <c r="Z821" s="1311"/>
    </row>
    <row r="822" spans="1:26" x14ac:dyDescent="0.25">
      <c r="A822" s="850" t="s">
        <v>1488</v>
      </c>
      <c r="B822" s="826" t="str">
        <f t="shared" ca="1" si="126"/>
        <v>T195</v>
      </c>
      <c r="C822" s="826" t="str">
        <f t="shared" ca="1" si="127"/>
        <v>T196</v>
      </c>
      <c r="D822" s="826" t="s">
        <v>1350</v>
      </c>
      <c r="E822" s="826" t="s">
        <v>1516</v>
      </c>
      <c r="F822" s="841" t="s">
        <v>1488</v>
      </c>
      <c r="G822" s="1314" t="str">
        <f>IF(T822&lt;&gt;"","AW","")</f>
        <v/>
      </c>
      <c r="H822" s="1314" t="s">
        <v>1990</v>
      </c>
      <c r="I822" s="1274" t="str">
        <f t="shared" si="114"/>
        <v/>
      </c>
      <c r="J822" s="1314" t="str">
        <f t="shared" si="125"/>
        <v/>
      </c>
      <c r="K822" s="1314" t="str">
        <f t="shared" si="115"/>
        <v/>
      </c>
      <c r="L822" s="826" t="s">
        <v>1488</v>
      </c>
      <c r="M822" s="1329">
        <v>805</v>
      </c>
      <c r="N822" s="1314"/>
      <c r="O822" s="1311"/>
      <c r="P822" s="1311"/>
      <c r="Q822" s="1311"/>
      <c r="R822" s="1314" t="s">
        <v>1531</v>
      </c>
      <c r="S822" s="1311"/>
      <c r="T822" s="1314" t="str">
        <f t="shared" si="124"/>
        <v/>
      </c>
      <c r="U822" s="1311"/>
      <c r="V822" s="1311"/>
      <c r="W822" s="1311"/>
      <c r="X822" s="1311"/>
      <c r="Y822" s="1311"/>
      <c r="Z822" s="1311"/>
    </row>
    <row r="823" spans="1:26" x14ac:dyDescent="0.25">
      <c r="A823" s="850" t="s">
        <v>1385</v>
      </c>
      <c r="B823" s="826" t="str">
        <f ca="1">IFERROR(_xlfn.CONCAT("C",MATCH(A823,INDIRECT("'"&amp;E823&amp;"'!C"&amp;$O$814&amp;":C"&amp;$O$816),0)+$O$814-1),"")</f>
        <v>C199</v>
      </c>
      <c r="C823" s="826" t="str">
        <f ca="1">IFERROR(_xlfn.CONCAT("D",MATCH(A823,INDIRECT("'"&amp;E823&amp;"'!C"&amp;$O$814&amp;":C"&amp;$O$816),0)+$O$814-1),"")</f>
        <v>D199</v>
      </c>
      <c r="D823" s="826" t="s">
        <v>1350</v>
      </c>
      <c r="E823" s="826" t="s">
        <v>1516</v>
      </c>
      <c r="F823" s="1314" t="s">
        <v>1385</v>
      </c>
      <c r="G823" s="1314" t="str">
        <f>IF(T823&lt;&gt;"","C","")</f>
        <v/>
      </c>
      <c r="H823" s="1314" t="s">
        <v>1990</v>
      </c>
      <c r="I823" s="1274" t="str">
        <f t="shared" si="114"/>
        <v/>
      </c>
      <c r="J823" s="1314"/>
      <c r="K823" s="1314" t="str">
        <f t="shared" si="115"/>
        <v/>
      </c>
      <c r="L823" s="826" t="s">
        <v>1385</v>
      </c>
      <c r="M823" s="1329">
        <v>806</v>
      </c>
      <c r="N823" s="1314"/>
      <c r="O823" s="1311"/>
      <c r="P823" s="1311"/>
      <c r="Q823" s="1311"/>
      <c r="R823" s="1314" t="s">
        <v>1531</v>
      </c>
      <c r="S823" s="1311"/>
      <c r="T823" s="1314" t="str">
        <f t="shared" si="124"/>
        <v/>
      </c>
      <c r="U823" s="1311"/>
      <c r="V823" s="1311"/>
      <c r="W823" s="1311"/>
      <c r="X823" s="1311"/>
      <c r="Y823" s="1311"/>
      <c r="Z823" s="1311"/>
    </row>
    <row r="824" spans="1:26" x14ac:dyDescent="0.25">
      <c r="A824" s="850" t="s">
        <v>1386</v>
      </c>
      <c r="B824" s="826" t="str">
        <f ca="1">IFERROR(_xlfn.CONCAT("C",MATCH(A824,INDIRECT("'"&amp;E824&amp;"'!C"&amp;$O$814&amp;":C"&amp;$O$816),0)+$O$814-1),"")</f>
        <v>C201</v>
      </c>
      <c r="C824" s="826" t="str">
        <f ca="1">IFERROR(_xlfn.CONCAT("D",MATCH(A824,INDIRECT("'"&amp;E824&amp;"'!C"&amp;$O$814&amp;":C"&amp;$O$816),0)+$O$814-1),"")</f>
        <v>D201</v>
      </c>
      <c r="D824" s="826" t="s">
        <v>1350</v>
      </c>
      <c r="E824" s="826" t="s">
        <v>1516</v>
      </c>
      <c r="F824" s="1314" t="s">
        <v>1386</v>
      </c>
      <c r="G824" s="1314" t="str">
        <f>IF(T824&lt;&gt;"","D","")</f>
        <v/>
      </c>
      <c r="H824" s="1314" t="s">
        <v>1990</v>
      </c>
      <c r="I824" s="1274" t="str">
        <f t="shared" si="114"/>
        <v/>
      </c>
      <c r="J824" s="1314"/>
      <c r="K824" s="1314" t="str">
        <f t="shared" si="115"/>
        <v/>
      </c>
      <c r="L824" s="826" t="s">
        <v>1386</v>
      </c>
      <c r="M824" s="1329">
        <v>807</v>
      </c>
      <c r="N824" s="1314"/>
      <c r="O824" s="1311"/>
      <c r="P824" s="1311"/>
      <c r="Q824" s="1311"/>
      <c r="R824" s="1314" t="s">
        <v>1531</v>
      </c>
      <c r="S824" s="1311"/>
      <c r="T824" s="1314" t="str">
        <f t="shared" si="124"/>
        <v/>
      </c>
      <c r="U824" s="1311"/>
      <c r="V824" s="1311"/>
      <c r="W824" s="1311"/>
      <c r="X824" s="1311"/>
      <c r="Y824" s="1311"/>
      <c r="Z824" s="1311"/>
    </row>
    <row r="825" spans="1:26" x14ac:dyDescent="0.25">
      <c r="A825" s="850" t="s">
        <v>1495</v>
      </c>
      <c r="B825" s="826" t="str">
        <f ca="1">IFERROR(_xlfn.CONCAT("C",MATCH(A825,INDIRECT("'"&amp;E825&amp;"'!C"&amp;$O$814&amp;":C"&amp;$O$816),0)+$O$814-1),"")</f>
        <v>C203</v>
      </c>
      <c r="C825" s="826" t="str">
        <f ca="1">IFERROR(_xlfn.CONCAT("D",MATCH(A825,INDIRECT("'"&amp;E825&amp;"'!C"&amp;$O$814&amp;":C"&amp;$O$816),0)+$O$814-1),"")</f>
        <v>D203</v>
      </c>
      <c r="D825" s="826" t="s">
        <v>1350</v>
      </c>
      <c r="E825" s="826" t="s">
        <v>1516</v>
      </c>
      <c r="F825" s="1314" t="s">
        <v>1495</v>
      </c>
      <c r="G825" s="1314" t="str">
        <f>IF(T825&lt;&gt;"","AN","")</f>
        <v/>
      </c>
      <c r="H825" s="1314" t="s">
        <v>1990</v>
      </c>
      <c r="I825" s="1274" t="str">
        <f t="shared" si="114"/>
        <v/>
      </c>
      <c r="J825" s="1314" t="str">
        <f t="shared" si="125"/>
        <v/>
      </c>
      <c r="K825" s="1314" t="str">
        <f t="shared" si="115"/>
        <v/>
      </c>
      <c r="L825" s="826" t="s">
        <v>1495</v>
      </c>
      <c r="M825" s="1329">
        <v>808</v>
      </c>
      <c r="N825" s="1314"/>
      <c r="O825" s="1405"/>
      <c r="P825" s="1317" t="str" cm="1">
        <f t="array" aca="1" ref="P825" ca="1">_xlfn.CONCAT("F",RIGHT(B825, LEN(B825) - MAX(IF(ISNUMBER(MID(B825, ROW(INDIRECT("1:"&amp;LEN(B825))), 1) *1)=FALSE, ROW(INDIRECT("1:"&amp;LEN(B825))), 0))))</f>
        <v>F203</v>
      </c>
      <c r="Q825" s="1314" t="str" cm="1">
        <f t="array" aca="1" ref="Q825" ca="1">_xlfn.CONCAT("E",RIGHT(C825, LEN(C825) - MAX(IF(ISNUMBER(MID(C825, ROW(INDIRECT("1:"&amp;LEN(C825))), 1) *1)=FALSE, ROW(INDIRECT("1:"&amp;LEN(C825))), 0))))</f>
        <v>E203</v>
      </c>
      <c r="R825" s="1314" t="s">
        <v>1531</v>
      </c>
      <c r="S825" s="1311"/>
      <c r="T825" s="1314" t="str">
        <f t="shared" si="124"/>
        <v/>
      </c>
      <c r="U825" s="1311"/>
      <c r="V825" s="1311"/>
      <c r="W825" s="1311"/>
      <c r="X825" s="1311"/>
      <c r="Y825" s="1311"/>
      <c r="Z825" s="1311"/>
    </row>
    <row r="826" spans="1:26" x14ac:dyDescent="0.25">
      <c r="A826" s="850" t="s">
        <v>1492</v>
      </c>
      <c r="B826" s="826" t="str">
        <f ca="1">_xlfn.CONCAT(IFERROR(SUBSTITUTE(ADDRESS(1,MATCH(A826,INDIRECT("'"&amp;E826&amp;"'"&amp;"!A" &amp; $O$814 + 8 &amp; ":Z" &amp; $O$814+ 8),0),4),1,""),""),$O$814 + 8)</f>
        <v>H201</v>
      </c>
      <c r="C826" s="826" t="str">
        <f ca="1">_xlfn.CONCAT(IFERROR(SUBSTITUTE(ADDRESS(1,MATCH(A826,INDIRECT("'"&amp;E826&amp;"'"&amp;"!A" &amp; $O$814 + 8 &amp; ":Z" &amp; $O$814+ 8),0),4),1,""),""),$O$814 + 9)</f>
        <v>H202</v>
      </c>
      <c r="D826" s="826" t="s">
        <v>1350</v>
      </c>
      <c r="E826" s="826" t="s">
        <v>1516</v>
      </c>
      <c r="F826" s="1314" t="s">
        <v>1492</v>
      </c>
      <c r="G826" s="1314" t="str">
        <f>IF(T826&lt;&gt;"","AL","")</f>
        <v/>
      </c>
      <c r="H826" s="1314" t="s">
        <v>1990</v>
      </c>
      <c r="I826" s="1274" t="str">
        <f t="shared" si="114"/>
        <v/>
      </c>
      <c r="J826" s="1314" t="str">
        <f t="shared" si="125"/>
        <v/>
      </c>
      <c r="K826" s="1314" t="str">
        <f t="shared" si="115"/>
        <v/>
      </c>
      <c r="L826" s="826" t="s">
        <v>1492</v>
      </c>
      <c r="M826" s="1329">
        <v>809</v>
      </c>
      <c r="N826" s="1314"/>
      <c r="O826" s="1311"/>
      <c r="P826" s="1311"/>
      <c r="Q826" s="1311"/>
      <c r="R826" s="1314" t="s">
        <v>1531</v>
      </c>
      <c r="S826" s="1311"/>
      <c r="T826" s="1314" t="str">
        <f t="shared" si="124"/>
        <v/>
      </c>
      <c r="U826" s="1311"/>
      <c r="V826" s="1311"/>
      <c r="W826" s="1311"/>
      <c r="X826" s="1311"/>
      <c r="Y826" s="1311"/>
      <c r="Z826" s="1311"/>
    </row>
    <row r="827" spans="1:26" x14ac:dyDescent="0.25">
      <c r="A827" s="850" t="s">
        <v>1506</v>
      </c>
      <c r="B827" s="826" t="str">
        <f ca="1">_xlfn.CONCAT(IFERROR(SUBSTITUTE(ADDRESS(1,MATCH(A827,INDIRECT("'"&amp;E827&amp;"'"&amp;"!A" &amp; $O$814 + 8 &amp; ":Z" &amp; $O$814+ 8),0),4),1,""),""),$O$814 + 8)</f>
        <v>J201</v>
      </c>
      <c r="C827" s="826" t="str">
        <f ca="1">_xlfn.CONCAT(IFERROR(SUBSTITUTE(ADDRESS(1,MATCH(A827,INDIRECT("'"&amp;E827&amp;"'"&amp;"!A" &amp; $O$814 + 8 &amp; ":Z" &amp; $O$814+ 8),0),4),1,""),""),$O$814 + 9)</f>
        <v>J202</v>
      </c>
      <c r="D827" s="826" t="s">
        <v>1350</v>
      </c>
      <c r="E827" s="826" t="s">
        <v>1516</v>
      </c>
      <c r="F827" s="1314" t="s">
        <v>1996</v>
      </c>
      <c r="G827" s="1314" t="str">
        <f>IF(T827&lt;&gt;"","L","")</f>
        <v/>
      </c>
      <c r="H827" s="1314" t="s">
        <v>1990</v>
      </c>
      <c r="I827" s="1274" t="str">
        <f t="shared" si="114"/>
        <v/>
      </c>
      <c r="J827" s="1314" t="str">
        <f t="shared" si="125"/>
        <v/>
      </c>
      <c r="K827" s="1314" t="str">
        <f t="shared" si="115"/>
        <v/>
      </c>
      <c r="L827" s="826" t="s">
        <v>1506</v>
      </c>
      <c r="M827" s="1329">
        <v>810</v>
      </c>
      <c r="N827" s="1314"/>
      <c r="O827" s="1311"/>
      <c r="P827" s="1311"/>
      <c r="Q827" s="1311"/>
      <c r="R827" s="1314" t="s">
        <v>1531</v>
      </c>
      <c r="S827" s="1311"/>
      <c r="T827" s="1314" t="str">
        <f t="shared" si="124"/>
        <v/>
      </c>
      <c r="U827" s="1311"/>
      <c r="V827" s="1311"/>
      <c r="W827" s="1311"/>
      <c r="X827" s="1311"/>
      <c r="Y827" s="1311"/>
      <c r="Z827" s="1311"/>
    </row>
    <row r="828" spans="1:26" x14ac:dyDescent="0.25">
      <c r="A828" s="850" t="s">
        <v>1387</v>
      </c>
      <c r="B828" s="826" t="str">
        <f ca="1">_xlfn.CONCAT(IFERROR(SUBSTITUTE(ADDRESS(1,MATCH(A828,INDIRECT("'"&amp;E828&amp;"'"&amp;"!A" &amp; $O$814 + 5 &amp; ":Z" &amp; $O$814+ 5),0),4),1,""),""),$O$814 + 5)</f>
        <v>H198</v>
      </c>
      <c r="C828" s="826" t="str">
        <f ca="1">_xlfn.CONCAT(IFERROR(SUBSTITUTE(ADDRESS(1,MATCH(A828,INDIRECT("'"&amp;E828&amp;"'"&amp;"!A" &amp; $O$814 + 5 &amp; ":Z" &amp; $O$814+ 5),0),4),1,""),""),$O$814 + 6)</f>
        <v>H199</v>
      </c>
      <c r="D828" s="826" t="s">
        <v>1350</v>
      </c>
      <c r="E828" s="826" t="s">
        <v>1516</v>
      </c>
      <c r="F828" s="841" t="s">
        <v>1387</v>
      </c>
      <c r="G828" s="1314" t="str">
        <f>IF(T828&lt;&gt;"","AH","")</f>
        <v/>
      </c>
      <c r="H828" s="1314" t="s">
        <v>1990</v>
      </c>
      <c r="I828" s="1274" t="str">
        <f t="shared" si="114"/>
        <v/>
      </c>
      <c r="J828" s="1314" t="str">
        <f t="shared" si="125"/>
        <v/>
      </c>
      <c r="K828" s="1314" t="str">
        <f t="shared" si="115"/>
        <v/>
      </c>
      <c r="L828" s="826" t="s">
        <v>1387</v>
      </c>
      <c r="M828" s="1329">
        <v>811</v>
      </c>
      <c r="N828" s="1314"/>
      <c r="O828" s="1311"/>
      <c r="P828" s="1311"/>
      <c r="Q828" s="1311"/>
      <c r="R828" s="1314" t="s">
        <v>1531</v>
      </c>
      <c r="S828" s="1311"/>
      <c r="T828" s="1314" t="str">
        <f t="shared" si="124"/>
        <v/>
      </c>
      <c r="U828" s="1311"/>
      <c r="V828" s="1311"/>
      <c r="W828" s="1311"/>
      <c r="X828" s="1311"/>
      <c r="Y828" s="1311"/>
      <c r="Z828" s="1311"/>
    </row>
    <row r="829" spans="1:26" x14ac:dyDescent="0.25">
      <c r="A829" s="850" t="s">
        <v>1388</v>
      </c>
      <c r="B829" s="826" t="str">
        <f ca="1">_xlfn.CONCAT(IFERROR(SUBSTITUTE(ADDRESS(1,MATCH(A829,INDIRECT("'"&amp;E829&amp;"'"&amp;"!A" &amp; $O$814 + 5 &amp; ":Z" &amp; $O$814+ 5),0),4),1,""),""),$O$814 + 5)</f>
        <v>J198</v>
      </c>
      <c r="C829" s="826" t="str">
        <f ca="1">_xlfn.CONCAT(IFERROR(SUBSTITUTE(ADDRESS(1,MATCH(A829,INDIRECT("'"&amp;E829&amp;"'"&amp;"!A" &amp; $O$814 + 5 &amp; ":Z" &amp; $O$814+ 5),0),4),1,""),""),$O$814 + 6)</f>
        <v>J199</v>
      </c>
      <c r="D829" s="826" t="s">
        <v>1350</v>
      </c>
      <c r="E829" s="826" t="s">
        <v>1516</v>
      </c>
      <c r="F829" s="841"/>
      <c r="G829" s="1314"/>
      <c r="H829" s="1314"/>
      <c r="I829" s="1274" t="str">
        <f t="shared" si="114"/>
        <v/>
      </c>
      <c r="J829" s="1314"/>
      <c r="K829" s="1314" t="str">
        <f t="shared" si="115"/>
        <v/>
      </c>
      <c r="L829" s="826" t="s">
        <v>1388</v>
      </c>
      <c r="M829" s="1329">
        <v>812</v>
      </c>
      <c r="N829" s="1314"/>
      <c r="O829" s="1311"/>
      <c r="P829" s="1311"/>
      <c r="Q829" s="1311"/>
      <c r="R829" s="1314" t="s">
        <v>1531</v>
      </c>
      <c r="S829" s="1311"/>
      <c r="T829" s="1314" t="str">
        <f t="shared" si="124"/>
        <v/>
      </c>
      <c r="U829" s="1311"/>
      <c r="V829" s="1311"/>
      <c r="W829" s="1311"/>
      <c r="X829" s="1311"/>
      <c r="Y829" s="1311"/>
      <c r="Z829" s="1311"/>
    </row>
    <row r="830" spans="1:26" x14ac:dyDescent="0.25">
      <c r="A830" s="850" t="s">
        <v>1389</v>
      </c>
      <c r="B830" s="826" t="str">
        <f ca="1">_xlfn.CONCAT(IFERROR(SUBSTITUTE(ADDRESS(1,MATCH(A830,INDIRECT("'"&amp;E830&amp;"'"&amp;"!A" &amp; $O$814 + 5 &amp; ":Z" &amp; $O$814+ 5),0),4),1,""),""),$O$814 + 5)</f>
        <v>L198</v>
      </c>
      <c r="C830" s="826" t="str">
        <f ca="1">_xlfn.CONCAT(IFERROR(SUBSTITUTE(ADDRESS(1,MATCH(A830,INDIRECT("'"&amp;E830&amp;"'"&amp;"!A" &amp; $O$814 + 5 &amp; ":Z" &amp; $O$814+ 5),0),4),1,""),""),$O$814 + 6)</f>
        <v>L199</v>
      </c>
      <c r="D830" s="826" t="s">
        <v>1350</v>
      </c>
      <c r="E830" s="826" t="s">
        <v>1516</v>
      </c>
      <c r="F830" s="1314" t="s">
        <v>1912</v>
      </c>
      <c r="G830" s="1314" t="str">
        <f>IF(T830&lt;&gt;"","AI","")</f>
        <v/>
      </c>
      <c r="H830" s="1314" t="s">
        <v>1990</v>
      </c>
      <c r="I830" s="1274" t="str">
        <f t="shared" si="114"/>
        <v/>
      </c>
      <c r="J830" s="1314"/>
      <c r="K830" s="1314" t="str">
        <f t="shared" si="115"/>
        <v/>
      </c>
      <c r="L830" s="826" t="s">
        <v>1389</v>
      </c>
      <c r="M830" s="1329">
        <v>813</v>
      </c>
      <c r="N830" s="1314"/>
      <c r="O830" s="1311"/>
      <c r="P830" s="1311"/>
      <c r="Q830" s="1311"/>
      <c r="R830" s="1314" t="s">
        <v>1531</v>
      </c>
      <c r="S830" s="1311"/>
      <c r="T830" s="1314" t="str">
        <f t="shared" si="124"/>
        <v/>
      </c>
      <c r="U830" s="1311"/>
      <c r="V830" s="1311"/>
      <c r="W830" s="1311"/>
      <c r="X830" s="1311"/>
      <c r="Y830" s="1311"/>
      <c r="Z830" s="1311"/>
    </row>
    <row r="831" spans="1:26" x14ac:dyDescent="0.25">
      <c r="A831" s="847" t="s">
        <v>1491</v>
      </c>
      <c r="B831" s="826" t="str">
        <f ca="1">IFERROR(_xlfn.CONCAT("C",MATCH(A831,INDIRECT("'"&amp;E831&amp;"'!C"&amp;$O$832&amp;":C"&amp;$O$834),0)+$O$832-1),"")</f>
        <v>C211</v>
      </c>
      <c r="C831" s="826" t="str">
        <f ca="1">IFERROR(_xlfn.CONCAT("D",MATCH(A831,INDIRECT("'"&amp;E831&amp;"'!C"&amp;$O$832&amp;":C"&amp;$O$834),0)+$O$832-1),"")</f>
        <v>D211</v>
      </c>
      <c r="D831" s="826" t="s">
        <v>1350</v>
      </c>
      <c r="E831" s="826" t="s">
        <v>1516</v>
      </c>
      <c r="F831" s="1314" t="s">
        <v>1491</v>
      </c>
      <c r="G831" s="1314" t="str">
        <f>IF(T831&lt;&gt;"","A","")</f>
        <v/>
      </c>
      <c r="H831" s="1314" t="s">
        <v>1990</v>
      </c>
      <c r="I831" s="1274" t="str">
        <f t="shared" si="114"/>
        <v/>
      </c>
      <c r="J831" s="1314"/>
      <c r="K831" s="1314" t="str">
        <f t="shared" si="115"/>
        <v/>
      </c>
      <c r="L831" s="826" t="s">
        <v>1491</v>
      </c>
      <c r="M831" s="1329">
        <v>814</v>
      </c>
      <c r="N831" s="1314"/>
      <c r="O831" s="1311" t="s">
        <v>725</v>
      </c>
      <c r="P831" s="1406"/>
      <c r="Q831" s="1311"/>
      <c r="R831" s="1314" t="s">
        <v>1531</v>
      </c>
      <c r="S831" s="1311"/>
      <c r="T831" s="1314" t="str">
        <f t="shared" ref="T831:T844" si="128">IF(Q$832="Yes",15,"")</f>
        <v/>
      </c>
      <c r="U831" s="1311"/>
      <c r="V831" s="1311"/>
      <c r="W831" s="1311"/>
      <c r="X831" s="1311"/>
      <c r="Y831" s="1311"/>
      <c r="Z831" s="1311"/>
    </row>
    <row r="832" spans="1:26" x14ac:dyDescent="0.25">
      <c r="A832" s="847" t="s">
        <v>1705</v>
      </c>
      <c r="B832" s="826" t="str">
        <f ca="1">_xlfn.CONCAT(IFERROR(SUBSTITUTE(ADDRESS(1,MATCH(A832,INDIRECT("'"&amp;E832&amp;"'"&amp;"!A" &amp; $O$832 + 12 &amp; ":Z" &amp; $O$832+ 12),0),4),1,""),""),$O$832 + 12)</f>
        <v>T219</v>
      </c>
      <c r="C832" s="826" t="str">
        <f ca="1">_xlfn.CONCAT(IFERROR(SUBSTITUTE(ADDRESS(1,MATCH(A832,INDIRECT("'"&amp;E832&amp;"'"&amp;"!A" &amp; $O$832 + 12 &amp; ":Z" &amp; $O$832+ 12),0),4),1,""),""),$O$832 + 13)</f>
        <v>T220</v>
      </c>
      <c r="D832" s="826" t="s">
        <v>1350</v>
      </c>
      <c r="E832" s="826" t="s">
        <v>1516</v>
      </c>
      <c r="F832" s="1314"/>
      <c r="G832" s="1314"/>
      <c r="H832" s="1314"/>
      <c r="I832" s="1274" t="str">
        <f t="shared" si="114"/>
        <v/>
      </c>
      <c r="J832" s="1314" t="str">
        <f>IF(M832&lt;&gt;"",IF($Q$832="Yes",Q$1&amp;M832,""))</f>
        <v/>
      </c>
      <c r="K832" s="1314" t="str">
        <f t="shared" si="115"/>
        <v/>
      </c>
      <c r="L832" s="826" t="s">
        <v>1705</v>
      </c>
      <c r="M832" s="1329">
        <v>815</v>
      </c>
      <c r="N832" s="1314"/>
      <c r="O832" s="1311">
        <f>'Configurable Tab'!H17</f>
        <v>207</v>
      </c>
      <c r="P832" s="1406" t="str">
        <f>'Configurable Tab'!J17</f>
        <v>Yes</v>
      </c>
      <c r="Q832" s="1351" t="s">
        <v>648</v>
      </c>
      <c r="R832" s="1314" t="s">
        <v>1531</v>
      </c>
      <c r="S832" s="1285"/>
      <c r="T832" s="1314" t="str">
        <f t="shared" si="128"/>
        <v/>
      </c>
      <c r="U832" s="1311"/>
      <c r="V832" s="1311"/>
      <c r="W832" s="1311"/>
      <c r="X832" s="1311"/>
      <c r="Y832" s="1311"/>
      <c r="Z832" s="1311"/>
    </row>
    <row r="833" spans="1:26" x14ac:dyDescent="0.25">
      <c r="A833" s="847" t="s">
        <v>1383</v>
      </c>
      <c r="B833" s="826" t="str">
        <f ca="1">IFERROR(_xlfn.CONCAT("C",MATCH(A833,INDIRECT("'"&amp;E833&amp;"'!C"&amp;$O$832&amp;":C"&amp;$O$834),0)+$O$832-1),"")</f>
        <v>C209</v>
      </c>
      <c r="C833" s="826" t="str">
        <f ca="1">IFERROR(_xlfn.CONCAT("D",MATCH(A833,INDIRECT("'"&amp;E833&amp;"'!C"&amp;$O$832&amp;":C"&amp;$O$834),0)+$O$832-1),"")</f>
        <v>D209</v>
      </c>
      <c r="D833" s="826" t="s">
        <v>1350</v>
      </c>
      <c r="E833" s="826" t="s">
        <v>1516</v>
      </c>
      <c r="F833" s="1314" t="s">
        <v>1383</v>
      </c>
      <c r="G833" s="1314" t="str">
        <f>IF(T833&lt;&gt;"","B","")</f>
        <v/>
      </c>
      <c r="H833" s="1314" t="s">
        <v>1990</v>
      </c>
      <c r="I833" s="1274" t="str">
        <f t="shared" si="114"/>
        <v/>
      </c>
      <c r="J833" s="1314"/>
      <c r="K833" s="1314" t="str">
        <f t="shared" si="115"/>
        <v/>
      </c>
      <c r="L833" s="826" t="s">
        <v>1383</v>
      </c>
      <c r="M833" s="1329">
        <v>816</v>
      </c>
      <c r="N833" s="1314"/>
      <c r="O833" s="1311" t="s">
        <v>726</v>
      </c>
      <c r="P833" s="1311"/>
      <c r="Q833" s="1311"/>
      <c r="R833" s="1314" t="s">
        <v>1531</v>
      </c>
      <c r="S833" s="1311"/>
      <c r="T833" s="1314" t="str">
        <f t="shared" si="128"/>
        <v/>
      </c>
      <c r="U833" s="1311"/>
      <c r="V833" s="1311"/>
      <c r="W833" s="1311"/>
      <c r="X833" s="1311"/>
      <c r="Y833" s="1311"/>
      <c r="Z833" s="1311"/>
    </row>
    <row r="834" spans="1:26" x14ac:dyDescent="0.25">
      <c r="A834" s="847" t="s">
        <v>1380</v>
      </c>
      <c r="B834" s="826" t="str">
        <f t="shared" ref="B834:B840" ca="1" si="129">_xlfn.CONCAT(IFERROR(SUBSTITUTE(ADDRESS(1,MATCH(A834,INDIRECT("'"&amp;E834&amp;"'"&amp;"!A" &amp; $O$832 + 2 &amp; ":Z" &amp; $O$832+ 2),0),4),1,""),""),$O$832 + 2)</f>
        <v>H209</v>
      </c>
      <c r="C834" s="826" t="str">
        <f t="shared" ref="C834:C840" ca="1" si="130">_xlfn.CONCAT(IFERROR(SUBSTITUTE(ADDRESS(1,MATCH(A834,INDIRECT("'"&amp;E834&amp;"'"&amp;"!A" &amp; $O$832 + 2 &amp; ":Z" &amp; $O$832+ 2),0),4),1,""),""),$O$832 + 3)</f>
        <v>H210</v>
      </c>
      <c r="D834" s="826" t="s">
        <v>1350</v>
      </c>
      <c r="E834" s="826" t="s">
        <v>1516</v>
      </c>
      <c r="F834" s="1314" t="s">
        <v>1991</v>
      </c>
      <c r="G834" s="1314" t="str">
        <f>IF(T834&lt;&gt;"","E","")</f>
        <v/>
      </c>
      <c r="H834" s="1314" t="s">
        <v>1990</v>
      </c>
      <c r="I834" s="1274" t="str">
        <f t="shared" si="114"/>
        <v/>
      </c>
      <c r="J834" s="1314" t="str">
        <f t="shared" ref="J834:J840" si="131">IF(M834&lt;&gt;"",IF($Q$832="Yes",Q$1&amp;M834,""))</f>
        <v/>
      </c>
      <c r="K834" s="1314" t="str">
        <f t="shared" si="115"/>
        <v/>
      </c>
      <c r="L834" s="826" t="s">
        <v>1380</v>
      </c>
      <c r="M834" s="1329">
        <v>817</v>
      </c>
      <c r="N834" s="1314"/>
      <c r="O834" s="1311">
        <f>'Configurable Tab'!I17</f>
        <v>222</v>
      </c>
      <c r="P834" s="1311"/>
      <c r="Q834" s="1311"/>
      <c r="R834" s="1314" t="s">
        <v>1531</v>
      </c>
      <c r="S834" s="1311"/>
      <c r="T834" s="1314" t="str">
        <f t="shared" si="128"/>
        <v/>
      </c>
      <c r="U834" s="1311"/>
      <c r="V834" s="1311"/>
      <c r="W834" s="1311"/>
      <c r="X834" s="1311"/>
      <c r="Y834" s="1311"/>
      <c r="Z834" s="1311"/>
    </row>
    <row r="835" spans="1:26" x14ac:dyDescent="0.25">
      <c r="A835" s="847" t="s">
        <v>1381</v>
      </c>
      <c r="B835" s="826" t="str">
        <f t="shared" ca="1" si="129"/>
        <v>J209</v>
      </c>
      <c r="C835" s="826" t="str">
        <f t="shared" ca="1" si="130"/>
        <v>J210</v>
      </c>
      <c r="D835" s="826" t="s">
        <v>1350</v>
      </c>
      <c r="E835" s="826" t="s">
        <v>1516</v>
      </c>
      <c r="F835" s="1314" t="s">
        <v>1992</v>
      </c>
      <c r="G835" s="1314" t="str">
        <f>IF(T835&lt;&gt;"","I","")</f>
        <v/>
      </c>
      <c r="H835" s="1314" t="s">
        <v>1990</v>
      </c>
      <c r="I835" s="1274" t="str">
        <f t="shared" si="114"/>
        <v/>
      </c>
      <c r="J835" s="1314" t="str">
        <f t="shared" si="131"/>
        <v/>
      </c>
      <c r="K835" s="1314" t="str">
        <f t="shared" si="115"/>
        <v/>
      </c>
      <c r="L835" s="826" t="s">
        <v>1381</v>
      </c>
      <c r="M835" s="1329">
        <v>818</v>
      </c>
      <c r="N835" s="1314"/>
      <c r="O835" s="1311" t="s">
        <v>1646</v>
      </c>
      <c r="P835" s="1311"/>
      <c r="Q835" s="1311"/>
      <c r="R835" s="1314" t="s">
        <v>1531</v>
      </c>
      <c r="S835" s="1311"/>
      <c r="T835" s="1314" t="str">
        <f t="shared" si="128"/>
        <v/>
      </c>
      <c r="U835" s="1311"/>
      <c r="V835" s="1311"/>
      <c r="W835" s="1311"/>
      <c r="X835" s="1311"/>
      <c r="Y835" s="1311"/>
      <c r="Z835" s="1311"/>
    </row>
    <row r="836" spans="1:26" x14ac:dyDescent="0.25">
      <c r="A836" s="847" t="s">
        <v>1397</v>
      </c>
      <c r="B836" s="826" t="str">
        <f t="shared" ca="1" si="129"/>
        <v>L209</v>
      </c>
      <c r="C836" s="826" t="str">
        <f t="shared" ca="1" si="130"/>
        <v>L210</v>
      </c>
      <c r="D836" s="826" t="s">
        <v>1350</v>
      </c>
      <c r="E836" s="826" t="s">
        <v>1516</v>
      </c>
      <c r="F836" s="1314" t="s">
        <v>1993</v>
      </c>
      <c r="G836" s="1314" t="str">
        <f>IF(T836&lt;&gt;"","H","")</f>
        <v/>
      </c>
      <c r="H836" s="1314" t="s">
        <v>1990</v>
      </c>
      <c r="I836" s="1274" t="str">
        <f t="shared" ref="I836:I899" si="132">IF(J836&lt;&gt;"",A836,"")</f>
        <v/>
      </c>
      <c r="J836" s="1314" t="str">
        <f t="shared" si="131"/>
        <v/>
      </c>
      <c r="K836" s="1314" t="str">
        <f t="shared" ref="K836:K899" si="133">IF(J836&lt;&gt;"",E836,"")</f>
        <v/>
      </c>
      <c r="L836" s="826" t="s">
        <v>1397</v>
      </c>
      <c r="M836" s="1329">
        <v>819</v>
      </c>
      <c r="N836" s="1314"/>
      <c r="O836" s="1311"/>
      <c r="P836" s="1311"/>
      <c r="Q836" s="1311"/>
      <c r="R836" s="1314" t="s">
        <v>1531</v>
      </c>
      <c r="S836" s="1311"/>
      <c r="T836" s="1314" t="str">
        <f t="shared" si="128"/>
        <v/>
      </c>
      <c r="U836" s="1311"/>
      <c r="V836" s="1311"/>
      <c r="W836" s="1311"/>
      <c r="X836" s="1311"/>
      <c r="Y836" s="1311"/>
      <c r="Z836" s="1311"/>
    </row>
    <row r="837" spans="1:26" x14ac:dyDescent="0.25">
      <c r="A837" s="847" t="s">
        <v>1382</v>
      </c>
      <c r="B837" s="826" t="str">
        <f t="shared" ca="1" si="129"/>
        <v>N209</v>
      </c>
      <c r="C837" s="826" t="str">
        <f t="shared" ca="1" si="130"/>
        <v>N210</v>
      </c>
      <c r="D837" s="826" t="s">
        <v>1350</v>
      </c>
      <c r="E837" s="826" t="s">
        <v>1516</v>
      </c>
      <c r="F837" s="1314" t="s">
        <v>1382</v>
      </c>
      <c r="G837" s="1314" t="str">
        <f>IF(T837&lt;&gt;"",IF(Q835="Credit Memo","J",IF(Q835="Check","K","")),"")</f>
        <v/>
      </c>
      <c r="H837" s="1314" t="s">
        <v>1990</v>
      </c>
      <c r="I837" s="1274" t="str">
        <f t="shared" si="132"/>
        <v/>
      </c>
      <c r="J837" s="1314" t="str">
        <f t="shared" si="131"/>
        <v/>
      </c>
      <c r="K837" s="1314" t="str">
        <f t="shared" si="133"/>
        <v/>
      </c>
      <c r="L837" s="826" t="s">
        <v>1382</v>
      </c>
      <c r="M837" s="1329">
        <v>820</v>
      </c>
      <c r="N837" s="1314"/>
      <c r="O837" s="1311"/>
      <c r="P837" s="1311"/>
      <c r="Q837" s="1311"/>
      <c r="R837" s="1314" t="s">
        <v>1531</v>
      </c>
      <c r="S837" s="1311"/>
      <c r="T837" s="1314" t="str">
        <f t="shared" si="128"/>
        <v/>
      </c>
      <c r="U837" s="1311"/>
      <c r="V837" s="1311"/>
      <c r="W837" s="1311"/>
      <c r="X837" s="1311"/>
      <c r="Y837" s="1311"/>
      <c r="Z837" s="1311"/>
    </row>
    <row r="838" spans="1:26" x14ac:dyDescent="0.25">
      <c r="A838" s="847" t="s">
        <v>1486</v>
      </c>
      <c r="B838" s="826" t="str">
        <f t="shared" ca="1" si="129"/>
        <v>P209</v>
      </c>
      <c r="C838" s="826" t="str">
        <f t="shared" ca="1" si="130"/>
        <v>P210</v>
      </c>
      <c r="D838" s="826" t="s">
        <v>1350</v>
      </c>
      <c r="E838" s="826" t="s">
        <v>1516</v>
      </c>
      <c r="F838" s="1314" t="s">
        <v>1994</v>
      </c>
      <c r="G838" s="1314" t="str">
        <f>IF(T838&lt;&gt;"","F","")</f>
        <v/>
      </c>
      <c r="H838" s="1314" t="s">
        <v>1990</v>
      </c>
      <c r="I838" s="1274" t="str">
        <f t="shared" si="132"/>
        <v/>
      </c>
      <c r="J838" s="1314" t="str">
        <f t="shared" si="131"/>
        <v/>
      </c>
      <c r="K838" s="1314" t="str">
        <f t="shared" si="133"/>
        <v/>
      </c>
      <c r="L838" s="826" t="s">
        <v>1486</v>
      </c>
      <c r="M838" s="1329">
        <v>821</v>
      </c>
      <c r="N838" s="1314"/>
      <c r="O838" s="1311"/>
      <c r="P838" s="1311"/>
      <c r="Q838" s="1311"/>
      <c r="R838" s="1314" t="s">
        <v>1531</v>
      </c>
      <c r="S838" s="1311"/>
      <c r="T838" s="1314" t="str">
        <f t="shared" si="128"/>
        <v/>
      </c>
      <c r="U838" s="1311"/>
      <c r="V838" s="1311"/>
      <c r="W838" s="1311"/>
      <c r="X838" s="1311"/>
      <c r="Y838" s="1311"/>
      <c r="Z838" s="1311"/>
    </row>
    <row r="839" spans="1:26" x14ac:dyDescent="0.25">
      <c r="A839" s="847" t="s">
        <v>1487</v>
      </c>
      <c r="B839" s="826" t="str">
        <f t="shared" ca="1" si="129"/>
        <v>R209</v>
      </c>
      <c r="C839" s="826" t="str">
        <f t="shared" ca="1" si="130"/>
        <v>R210</v>
      </c>
      <c r="D839" s="826" t="s">
        <v>1350</v>
      </c>
      <c r="E839" s="826" t="s">
        <v>1516</v>
      </c>
      <c r="F839" s="1314" t="s">
        <v>1995</v>
      </c>
      <c r="G839" s="1314" t="str">
        <f>IF(T839&lt;&gt;"","G","")</f>
        <v/>
      </c>
      <c r="H839" s="1314" t="s">
        <v>1990</v>
      </c>
      <c r="I839" s="1274" t="str">
        <f t="shared" si="132"/>
        <v/>
      </c>
      <c r="J839" s="1314" t="str">
        <f t="shared" si="131"/>
        <v/>
      </c>
      <c r="K839" s="1314" t="str">
        <f t="shared" si="133"/>
        <v/>
      </c>
      <c r="L839" s="826" t="s">
        <v>1487</v>
      </c>
      <c r="M839" s="1329">
        <v>822</v>
      </c>
      <c r="N839" s="1314"/>
      <c r="O839" s="1311"/>
      <c r="P839" s="1311"/>
      <c r="Q839" s="1311"/>
      <c r="R839" s="1314" t="s">
        <v>1531</v>
      </c>
      <c r="S839" s="1311"/>
      <c r="T839" s="1314" t="str">
        <f t="shared" si="128"/>
        <v/>
      </c>
      <c r="U839" s="1311"/>
      <c r="V839" s="1311"/>
      <c r="W839" s="1311"/>
      <c r="X839" s="1311"/>
      <c r="Y839" s="1311"/>
      <c r="Z839" s="1311"/>
    </row>
    <row r="840" spans="1:26" x14ac:dyDescent="0.25">
      <c r="A840" s="847" t="s">
        <v>1488</v>
      </c>
      <c r="B840" s="826" t="str">
        <f t="shared" ca="1" si="129"/>
        <v>T209</v>
      </c>
      <c r="C840" s="826" t="str">
        <f t="shared" ca="1" si="130"/>
        <v>T210</v>
      </c>
      <c r="D840" s="826" t="s">
        <v>1350</v>
      </c>
      <c r="E840" s="826" t="s">
        <v>1516</v>
      </c>
      <c r="F840" s="841" t="s">
        <v>1488</v>
      </c>
      <c r="G840" s="1314" t="str">
        <f>IF(T840&lt;&gt;"","AW","")</f>
        <v/>
      </c>
      <c r="H840" s="1314" t="s">
        <v>1990</v>
      </c>
      <c r="I840" s="1274" t="str">
        <f t="shared" si="132"/>
        <v/>
      </c>
      <c r="J840" s="1314" t="str">
        <f t="shared" si="131"/>
        <v/>
      </c>
      <c r="K840" s="1314" t="str">
        <f t="shared" si="133"/>
        <v/>
      </c>
      <c r="L840" s="826" t="s">
        <v>1488</v>
      </c>
      <c r="M840" s="1329">
        <v>823</v>
      </c>
      <c r="N840" s="1314"/>
      <c r="O840" s="1311"/>
      <c r="P840" s="1311"/>
      <c r="Q840" s="1311"/>
      <c r="R840" s="1314" t="s">
        <v>1531</v>
      </c>
      <c r="S840" s="1311"/>
      <c r="T840" s="1314" t="str">
        <f t="shared" si="128"/>
        <v/>
      </c>
      <c r="U840" s="1311"/>
      <c r="V840" s="1311"/>
      <c r="W840" s="1311"/>
      <c r="X840" s="1311"/>
      <c r="Y840" s="1311"/>
      <c r="Z840" s="1311"/>
    </row>
    <row r="841" spans="1:26" x14ac:dyDescent="0.25">
      <c r="A841" s="847" t="s">
        <v>1385</v>
      </c>
      <c r="B841" s="826" t="str">
        <f ca="1">IFERROR(_xlfn.CONCAT("C",MATCH(A841,INDIRECT("'"&amp;E841&amp;"'!C"&amp;$O$832&amp;":C"&amp;$O$834),0)+$O$832-1),"")</f>
        <v>C213</v>
      </c>
      <c r="C841" s="826" t="str">
        <f ca="1">IFERROR(_xlfn.CONCAT("D",MATCH(A841,INDIRECT("'"&amp;E841&amp;"'!C"&amp;$O$832&amp;":C"&amp;$O$834),0)+$O$832-1),"")</f>
        <v>D213</v>
      </c>
      <c r="D841" s="826" t="s">
        <v>1350</v>
      </c>
      <c r="E841" s="826" t="s">
        <v>1516</v>
      </c>
      <c r="F841" s="1314" t="s">
        <v>1385</v>
      </c>
      <c r="G841" s="1314" t="str">
        <f>IF(T841&lt;&gt;"","C","")</f>
        <v/>
      </c>
      <c r="H841" s="1314" t="s">
        <v>1990</v>
      </c>
      <c r="I841" s="1274" t="str">
        <f t="shared" si="132"/>
        <v/>
      </c>
      <c r="J841" s="1314"/>
      <c r="K841" s="1314" t="str">
        <f t="shared" si="133"/>
        <v/>
      </c>
      <c r="L841" s="826" t="s">
        <v>1385</v>
      </c>
      <c r="M841" s="1329">
        <v>824</v>
      </c>
      <c r="N841" s="1314"/>
      <c r="O841" s="1311"/>
      <c r="P841" s="1311"/>
      <c r="Q841" s="1311"/>
      <c r="R841" s="1314" t="s">
        <v>1531</v>
      </c>
      <c r="S841" s="1311"/>
      <c r="T841" s="1314" t="str">
        <f t="shared" si="128"/>
        <v/>
      </c>
      <c r="U841" s="1311"/>
      <c r="V841" s="1311"/>
      <c r="W841" s="1311"/>
      <c r="X841" s="1311"/>
      <c r="Y841" s="1311"/>
      <c r="Z841" s="1311"/>
    </row>
    <row r="842" spans="1:26" x14ac:dyDescent="0.25">
      <c r="A842" s="847" t="s">
        <v>1386</v>
      </c>
      <c r="B842" s="826" t="str">
        <f ca="1">IFERROR(_xlfn.CONCAT("C",MATCH(A842,INDIRECT("'"&amp;E842&amp;"'!C"&amp;$O$832&amp;":C"&amp;$O$834),0)+$O$832-1),"")</f>
        <v>C215</v>
      </c>
      <c r="C842" s="826" t="str">
        <f ca="1">IFERROR(_xlfn.CONCAT("D",MATCH(A842,INDIRECT("'"&amp;E842&amp;"'!C"&amp;$O$832&amp;":C"&amp;$O$834),0)+$O$832-1),"")</f>
        <v>D215</v>
      </c>
      <c r="D842" s="826" t="s">
        <v>1350</v>
      </c>
      <c r="E842" s="826" t="s">
        <v>1516</v>
      </c>
      <c r="F842" s="1314" t="s">
        <v>1386</v>
      </c>
      <c r="G842" s="1314" t="str">
        <f>IF(T842&lt;&gt;"","D","")</f>
        <v/>
      </c>
      <c r="H842" s="1314" t="s">
        <v>1990</v>
      </c>
      <c r="I842" s="1274" t="str">
        <f t="shared" si="132"/>
        <v/>
      </c>
      <c r="J842" s="1314"/>
      <c r="K842" s="1314" t="str">
        <f t="shared" si="133"/>
        <v/>
      </c>
      <c r="L842" s="826" t="s">
        <v>1386</v>
      </c>
      <c r="M842" s="1329">
        <v>825</v>
      </c>
      <c r="N842" s="1314"/>
      <c r="O842" s="1311"/>
      <c r="P842" s="1311"/>
      <c r="Q842" s="1311"/>
      <c r="R842" s="1314" t="s">
        <v>1531</v>
      </c>
      <c r="S842" s="1311"/>
      <c r="T842" s="1314" t="str">
        <f t="shared" si="128"/>
        <v/>
      </c>
      <c r="U842" s="1311"/>
      <c r="V842" s="1311"/>
      <c r="W842" s="1311"/>
      <c r="X842" s="1311"/>
      <c r="Y842" s="1311"/>
      <c r="Z842" s="1311"/>
    </row>
    <row r="843" spans="1:26" x14ac:dyDescent="0.25">
      <c r="A843" s="847" t="s">
        <v>1495</v>
      </c>
      <c r="B843" s="826" t="str">
        <f ca="1">IFERROR(_xlfn.CONCAT("C",MATCH(A843,INDIRECT("'"&amp;E843&amp;"'!C"&amp;$O$832&amp;":C"&amp;$O$834),0)+$O$832-1),"")</f>
        <v>C219</v>
      </c>
      <c r="C843" s="826" t="str">
        <f ca="1">IFERROR(_xlfn.CONCAT("D",MATCH(A843,INDIRECT("'"&amp;E843&amp;"'!C"&amp;$O$832&amp;":C"&amp;$O$834),0)+$O$832-1),"")</f>
        <v>D219</v>
      </c>
      <c r="D843" s="826" t="s">
        <v>1350</v>
      </c>
      <c r="E843" s="826" t="s">
        <v>1516</v>
      </c>
      <c r="F843" s="1314" t="s">
        <v>1495</v>
      </c>
      <c r="G843" s="1314" t="str">
        <f>IF(T843&lt;&gt;"","AN","")</f>
        <v/>
      </c>
      <c r="H843" s="1314" t="s">
        <v>1990</v>
      </c>
      <c r="I843" s="1274" t="str">
        <f t="shared" si="132"/>
        <v/>
      </c>
      <c r="J843" s="1314" t="str">
        <f>IF(M843&lt;&gt;"",IF($Q$832="Yes",Q$1&amp;M843,""))</f>
        <v/>
      </c>
      <c r="K843" s="1314" t="str">
        <f t="shared" si="133"/>
        <v/>
      </c>
      <c r="L843" s="826" t="s">
        <v>1495</v>
      </c>
      <c r="M843" s="1329">
        <v>826</v>
      </c>
      <c r="N843" s="1314"/>
      <c r="O843" s="1405"/>
      <c r="P843" s="1317" t="str" cm="1">
        <f t="array" aca="1" ref="P843" ca="1">_xlfn.CONCAT("F",RIGHT(B843, LEN(B843) - MAX(IF(ISNUMBER(MID(B843, ROW(INDIRECT("1:"&amp;LEN(B843))), 1) *1)=FALSE, ROW(INDIRECT("1:"&amp;LEN(B843))), 0))))</f>
        <v>F219</v>
      </c>
      <c r="Q843" s="1314" t="str" cm="1">
        <f t="array" aca="1" ref="Q843" ca="1">_xlfn.CONCAT("E",RIGHT(C843, LEN(C843) - MAX(IF(ISNUMBER(MID(C843, ROW(INDIRECT("1:"&amp;LEN(C843))), 1) *1)=FALSE, ROW(INDIRECT("1:"&amp;LEN(C843))), 0))))</f>
        <v>E219</v>
      </c>
      <c r="R843" s="1314" t="s">
        <v>1531</v>
      </c>
      <c r="S843" s="1311"/>
      <c r="T843" s="1314" t="str">
        <f t="shared" si="128"/>
        <v/>
      </c>
      <c r="U843" s="1311"/>
      <c r="V843" s="1311"/>
      <c r="W843" s="1311"/>
      <c r="X843" s="1311"/>
      <c r="Y843" s="1311"/>
      <c r="Z843" s="1311"/>
    </row>
    <row r="844" spans="1:26" x14ac:dyDescent="0.25">
      <c r="A844" s="847" t="s">
        <v>1492</v>
      </c>
      <c r="B844" s="826" t="str">
        <f ca="1">_xlfn.CONCAT(IFERROR(SUBSTITUTE(ADDRESS(1,MATCH(A844,INDIRECT("'"&amp;E844&amp;"'"&amp;"!A" &amp; $O$832 + 12 &amp; ":Z" &amp; $O$832+ 12),0),4),1,""),""),$O$832 + 12)</f>
        <v>H219</v>
      </c>
      <c r="C844" s="826" t="str">
        <f ca="1">_xlfn.CONCAT(IFERROR(SUBSTITUTE(ADDRESS(1,MATCH(A844,INDIRECT("'"&amp;E844&amp;"'"&amp;"!A" &amp; $O$832 + 12 &amp; ":Z" &amp; $O$832+ 12),0),4),1,""),""),$O$832 + 13)</f>
        <v>H220</v>
      </c>
      <c r="D844" s="826" t="s">
        <v>1350</v>
      </c>
      <c r="E844" s="826" t="s">
        <v>1516</v>
      </c>
      <c r="F844" s="1314" t="s">
        <v>1492</v>
      </c>
      <c r="G844" s="1314" t="str">
        <f>IF(T844&lt;&gt;"","AL","")</f>
        <v/>
      </c>
      <c r="H844" s="1314" t="s">
        <v>1990</v>
      </c>
      <c r="I844" s="1274" t="str">
        <f t="shared" si="132"/>
        <v/>
      </c>
      <c r="J844" s="1314" t="str">
        <f>IF(M844&lt;&gt;"",IF($Q$832="Yes",Q$1&amp;M844,""))</f>
        <v/>
      </c>
      <c r="K844" s="1314" t="str">
        <f t="shared" si="133"/>
        <v/>
      </c>
      <c r="L844" s="826" t="s">
        <v>1492</v>
      </c>
      <c r="M844" s="1329">
        <v>827</v>
      </c>
      <c r="N844" s="1314"/>
      <c r="O844" s="1311"/>
      <c r="P844" s="1311"/>
      <c r="Q844" s="1311"/>
      <c r="R844" s="1314" t="s">
        <v>1531</v>
      </c>
      <c r="S844" s="1311"/>
      <c r="T844" s="1314" t="str">
        <f t="shared" si="128"/>
        <v/>
      </c>
      <c r="U844" s="1311"/>
      <c r="V844" s="1311"/>
      <c r="W844" s="1311"/>
      <c r="X844" s="1311"/>
      <c r="Y844" s="1311"/>
      <c r="Z844" s="1311"/>
    </row>
    <row r="845" spans="1:26" x14ac:dyDescent="0.25">
      <c r="A845" s="847" t="s">
        <v>1506</v>
      </c>
      <c r="B845" s="826" t="str">
        <f ca="1">_xlfn.CONCAT(IFERROR(SUBSTITUTE(ADDRESS(1,MATCH(A845,INDIRECT("'"&amp;E845&amp;"'"&amp;"!A" &amp; $O$832 + 12 &amp; ":Z" &amp; $O$832+ 12),0),4),1,""),""),$O$832 + 12)</f>
        <v>J219</v>
      </c>
      <c r="C845" s="826" t="str">
        <f ca="1">_xlfn.CONCAT(IFERROR(SUBSTITUTE(ADDRESS(1,MATCH(A845,INDIRECT("'"&amp;E845&amp;"'"&amp;"!A" &amp; $O$832 + 12 &amp; ":Z" &amp; $O$832+ 12),0),4),1,""),""),$O$832 + 13)</f>
        <v>J220</v>
      </c>
      <c r="D845" s="826" t="s">
        <v>1350</v>
      </c>
      <c r="E845" s="826" t="s">
        <v>1516</v>
      </c>
      <c r="F845" s="1314" t="s">
        <v>1996</v>
      </c>
      <c r="G845" s="1314" t="str">
        <f>IF(T845&lt;&gt;"","L","")</f>
        <v/>
      </c>
      <c r="H845" s="1314" t="s">
        <v>1990</v>
      </c>
      <c r="I845" s="1274" t="str">
        <f t="shared" si="132"/>
        <v/>
      </c>
      <c r="J845" s="1314" t="str">
        <f>IF(M845&lt;&gt;"",IF($Q$832="Yes",Q$1&amp;M845,""))</f>
        <v/>
      </c>
      <c r="K845" s="1314" t="str">
        <f t="shared" si="133"/>
        <v/>
      </c>
      <c r="L845" s="826" t="s">
        <v>1506</v>
      </c>
      <c r="M845" s="1329">
        <v>828</v>
      </c>
      <c r="N845" s="1314"/>
      <c r="O845" s="1311"/>
      <c r="P845" s="1311"/>
      <c r="Q845" s="1311"/>
      <c r="R845" s="1314" t="s">
        <v>1531</v>
      </c>
      <c r="S845" s="1311"/>
      <c r="T845" s="1314" t="str">
        <f>IF(Q$832="Yes",15,"")</f>
        <v/>
      </c>
      <c r="U845" s="1311"/>
      <c r="V845" s="1311"/>
      <c r="W845" s="1311"/>
      <c r="X845" s="1311"/>
      <c r="Y845" s="1311"/>
      <c r="Z845" s="1311"/>
    </row>
    <row r="846" spans="1:26" x14ac:dyDescent="0.25">
      <c r="A846" s="847" t="s">
        <v>1387</v>
      </c>
      <c r="B846" s="826" t="str">
        <f ca="1">_xlfn.IFNA(_xlfn.CONCAT(SUBSTITUTE(ADDRESS(1,MATCH(A846,INDIRECT("'"&amp;E846&amp;"'"&amp;"!A" &amp; $O$832 + 5 &amp; ":Z" &amp; $O$832+ 5),0),4),1,""),$O$832 + 6),"")</f>
        <v>H213</v>
      </c>
      <c r="C846" s="826" t="str">
        <f t="shared" ref="C846:C860" ca="1" si="134">_xlfn.IFNA(SUBSTITUTE(ADDRESS(1,MATCH(A846,INDIRECT("'"&amp;E846&amp;"'"&amp;"!A" &amp; $O$832 + 5 &amp; ":Z" &amp; $O$832+ 5),0),4),1,""),"")</f>
        <v>H</v>
      </c>
      <c r="D846" s="826" t="s">
        <v>1357</v>
      </c>
      <c r="E846" s="826" t="s">
        <v>1516</v>
      </c>
      <c r="F846" s="841"/>
      <c r="G846" s="1314"/>
      <c r="H846" s="1314"/>
      <c r="I846" s="1274" t="str">
        <f t="shared" si="132"/>
        <v/>
      </c>
      <c r="J846" s="1314" t="str">
        <f>IF(M846&lt;&gt;"",IF($Q$832="Yes",Q$1&amp;M846,""))</f>
        <v/>
      </c>
      <c r="K846" s="1314" t="str">
        <f t="shared" si="133"/>
        <v/>
      </c>
      <c r="L846" s="826" t="s">
        <v>1387</v>
      </c>
      <c r="M846" s="1329">
        <v>829</v>
      </c>
      <c r="N846" s="1314"/>
      <c r="O846" s="1311"/>
      <c r="P846" s="1311"/>
      <c r="Q846" s="1311"/>
      <c r="R846" s="1314" t="s">
        <v>1531</v>
      </c>
      <c r="S846" s="1311"/>
      <c r="T846" s="1314" t="str">
        <f t="shared" ref="T846:T860" si="135">IF(Q$832="Yes",15,"")</f>
        <v/>
      </c>
      <c r="U846" s="1311"/>
      <c r="V846" s="1311"/>
      <c r="W846" s="1311"/>
      <c r="X846" s="1311"/>
      <c r="Y846" s="1311"/>
      <c r="Z846" s="1311"/>
    </row>
    <row r="847" spans="1:26" x14ac:dyDescent="0.25">
      <c r="A847" s="847" t="s">
        <v>1388</v>
      </c>
      <c r="B847" s="826" t="str">
        <f ca="1">_xlfn.IFNA(_xlfn.CONCAT(SUBSTITUTE(ADDRESS(1,MATCH(A847,INDIRECT("'"&amp;E847&amp;"'"&amp;"!A" &amp; $O$832 + 5 &amp; ":Z" &amp; $O$832+ 5),0),4),1,""),$O$832 + 6),"")</f>
        <v>J213</v>
      </c>
      <c r="C847" s="826" t="str">
        <f t="shared" ca="1" si="134"/>
        <v>J</v>
      </c>
      <c r="D847" s="826" t="s">
        <v>1357</v>
      </c>
      <c r="E847" s="826" t="s">
        <v>1516</v>
      </c>
      <c r="F847" s="841"/>
      <c r="G847" s="1314"/>
      <c r="H847" s="1314"/>
      <c r="I847" s="1274" t="str">
        <f t="shared" si="132"/>
        <v/>
      </c>
      <c r="J847" s="1314"/>
      <c r="K847" s="1314" t="str">
        <f t="shared" si="133"/>
        <v/>
      </c>
      <c r="L847" s="826" t="s">
        <v>1388</v>
      </c>
      <c r="M847" s="1329">
        <v>830</v>
      </c>
      <c r="N847" s="1314"/>
      <c r="O847" s="1311"/>
      <c r="P847" s="1311"/>
      <c r="Q847" s="1311"/>
      <c r="R847" s="1314" t="s">
        <v>1531</v>
      </c>
      <c r="S847" s="1311"/>
      <c r="T847" s="1314" t="str">
        <f t="shared" si="135"/>
        <v/>
      </c>
      <c r="U847" s="1311"/>
      <c r="V847" s="1311"/>
      <c r="W847" s="1311"/>
      <c r="X847" s="1311"/>
      <c r="Y847" s="1311"/>
      <c r="Z847" s="1311"/>
    </row>
    <row r="848" spans="1:26" x14ac:dyDescent="0.25">
      <c r="A848" s="847" t="s">
        <v>1389</v>
      </c>
      <c r="B848" s="826" t="str">
        <f ca="1">_xlfn.IFNA(_xlfn.CONCAT(SUBSTITUTE(ADDRESS(1,MATCH(A848,INDIRECT("'"&amp;E848&amp;"'"&amp;"!A" &amp; $O$832 + 5 &amp; ":Z" &amp; $O$832+ 5),0),4),1,""),$O$832 + 6),"")</f>
        <v>L213</v>
      </c>
      <c r="C848" s="826" t="str">
        <f t="shared" ca="1" si="134"/>
        <v>L</v>
      </c>
      <c r="D848" s="826" t="s">
        <v>1357</v>
      </c>
      <c r="E848" s="826" t="s">
        <v>1516</v>
      </c>
      <c r="F848" s="1081"/>
      <c r="G848" s="1314"/>
      <c r="H848" s="1314"/>
      <c r="I848" s="1274" t="str">
        <f t="shared" si="132"/>
        <v/>
      </c>
      <c r="J848" s="1314"/>
      <c r="K848" s="1314" t="str">
        <f t="shared" si="133"/>
        <v/>
      </c>
      <c r="L848" s="826" t="s">
        <v>1389</v>
      </c>
      <c r="M848" s="1329">
        <v>831</v>
      </c>
      <c r="N848" s="1314"/>
      <c r="O848" s="1311"/>
      <c r="P848" s="1311"/>
      <c r="Q848" s="1311"/>
      <c r="R848" s="1314" t="s">
        <v>1531</v>
      </c>
      <c r="S848" s="1311"/>
      <c r="T848" s="1314" t="str">
        <f t="shared" si="135"/>
        <v/>
      </c>
      <c r="U848" s="1311"/>
      <c r="V848" s="1311"/>
      <c r="W848" s="1311"/>
      <c r="X848" s="1311"/>
      <c r="Y848" s="1311"/>
      <c r="Z848" s="1311"/>
    </row>
    <row r="849" spans="1:26" x14ac:dyDescent="0.25">
      <c r="A849" s="847" t="s">
        <v>1387</v>
      </c>
      <c r="B849" s="826" t="str">
        <f ca="1">_xlfn.IFNA(_xlfn.CONCAT(SUBSTITUTE(ADDRESS(1,MATCH(A849,INDIRECT("'"&amp;E849&amp;"'"&amp;"!A" &amp; $O$832 + 5 &amp; ":Z" &amp; $O$832+ 5),0),4),1,""),$O$832 + 7),"")</f>
        <v>H214</v>
      </c>
      <c r="C849" s="826" t="str">
        <f t="shared" ca="1" si="134"/>
        <v>H</v>
      </c>
      <c r="D849" s="826" t="s">
        <v>1357</v>
      </c>
      <c r="E849" s="826" t="s">
        <v>1516</v>
      </c>
      <c r="F849" s="1314"/>
      <c r="G849" s="1314"/>
      <c r="H849" s="1314"/>
      <c r="I849" s="1274" t="str">
        <f t="shared" si="132"/>
        <v/>
      </c>
      <c r="J849" s="1314" t="str">
        <f>IF(M849&lt;&gt;"",IF($Q$832="Yes",Q$1&amp;M849,""))</f>
        <v/>
      </c>
      <c r="K849" s="1314" t="str">
        <f t="shared" si="133"/>
        <v/>
      </c>
      <c r="L849" s="826" t="s">
        <v>1387</v>
      </c>
      <c r="M849" s="1329">
        <v>832</v>
      </c>
      <c r="N849" s="1314"/>
      <c r="O849" s="1311"/>
      <c r="P849" s="1311"/>
      <c r="Q849" s="1311"/>
      <c r="R849" s="1314" t="s">
        <v>1531</v>
      </c>
      <c r="S849" s="1311"/>
      <c r="T849" s="1314" t="str">
        <f t="shared" si="135"/>
        <v/>
      </c>
      <c r="U849" s="1311"/>
      <c r="V849" s="1311"/>
      <c r="W849" s="1311"/>
      <c r="X849" s="1311"/>
      <c r="Y849" s="1311"/>
      <c r="Z849" s="1311"/>
    </row>
    <row r="850" spans="1:26" x14ac:dyDescent="0.25">
      <c r="A850" s="847" t="s">
        <v>1388</v>
      </c>
      <c r="B850" s="826" t="str">
        <f ca="1">_xlfn.IFNA(_xlfn.CONCAT(SUBSTITUTE(ADDRESS(1,MATCH(A850,INDIRECT("'"&amp;E850&amp;"'"&amp;"!A" &amp; $O$832 + 5 &amp; ":Z" &amp; $O$832+ 5),0),4),1,""),$O$832 + 7),"")</f>
        <v>J214</v>
      </c>
      <c r="C850" s="826" t="str">
        <f t="shared" ca="1" si="134"/>
        <v>J</v>
      </c>
      <c r="D850" s="826" t="s">
        <v>1357</v>
      </c>
      <c r="E850" s="826" t="s">
        <v>1516</v>
      </c>
      <c r="F850" s="1314"/>
      <c r="G850" s="1314"/>
      <c r="H850" s="1314"/>
      <c r="I850" s="1274" t="str">
        <f t="shared" si="132"/>
        <v/>
      </c>
      <c r="J850" s="1314"/>
      <c r="K850" s="1314" t="str">
        <f t="shared" si="133"/>
        <v/>
      </c>
      <c r="L850" s="826" t="s">
        <v>1388</v>
      </c>
      <c r="M850" s="1329">
        <v>833</v>
      </c>
      <c r="N850" s="1314"/>
      <c r="O850" s="1311"/>
      <c r="P850" s="1311"/>
      <c r="Q850" s="1311"/>
      <c r="R850" s="1314" t="s">
        <v>1531</v>
      </c>
      <c r="S850" s="1311"/>
      <c r="T850" s="1314" t="str">
        <f t="shared" si="135"/>
        <v/>
      </c>
      <c r="U850" s="1311"/>
      <c r="V850" s="1311"/>
      <c r="W850" s="1311"/>
      <c r="X850" s="1311"/>
      <c r="Y850" s="1311"/>
      <c r="Z850" s="1311"/>
    </row>
    <row r="851" spans="1:26" x14ac:dyDescent="0.25">
      <c r="A851" s="847" t="s">
        <v>1389</v>
      </c>
      <c r="B851" s="826" t="str">
        <f ca="1">_xlfn.IFNA(_xlfn.CONCAT(SUBSTITUTE(ADDRESS(1,MATCH(A851,INDIRECT("'"&amp;E851&amp;"'"&amp;"!A" &amp; $O$832 + 5 &amp; ":Z" &amp; $O$832+ 5),0),4),1,""),$O$832 + 7),"")</f>
        <v>L214</v>
      </c>
      <c r="C851" s="826" t="str">
        <f t="shared" ca="1" si="134"/>
        <v>L</v>
      </c>
      <c r="D851" s="826" t="s">
        <v>1357</v>
      </c>
      <c r="E851" s="826" t="s">
        <v>1516</v>
      </c>
      <c r="F851" s="1314"/>
      <c r="G851" s="1314"/>
      <c r="H851" s="1314"/>
      <c r="I851" s="1274" t="str">
        <f t="shared" si="132"/>
        <v/>
      </c>
      <c r="J851" s="1314"/>
      <c r="K851" s="1314" t="str">
        <f t="shared" si="133"/>
        <v/>
      </c>
      <c r="L851" s="826" t="s">
        <v>1389</v>
      </c>
      <c r="M851" s="1329">
        <v>834</v>
      </c>
      <c r="N851" s="1314"/>
      <c r="O851" s="1311"/>
      <c r="P851" s="1311"/>
      <c r="Q851" s="1311"/>
      <c r="R851" s="1314" t="s">
        <v>1531</v>
      </c>
      <c r="S851" s="1311"/>
      <c r="T851" s="1314" t="str">
        <f t="shared" si="135"/>
        <v/>
      </c>
      <c r="U851" s="1311"/>
      <c r="V851" s="1311"/>
      <c r="W851" s="1311"/>
      <c r="X851" s="1311"/>
      <c r="Y851" s="1311"/>
      <c r="Z851" s="1311"/>
    </row>
    <row r="852" spans="1:26" x14ac:dyDescent="0.25">
      <c r="A852" s="847" t="s">
        <v>1387</v>
      </c>
      <c r="B852" s="826" t="str">
        <f ca="1">_xlfn.IFNA(_xlfn.CONCAT(SUBSTITUTE(ADDRESS(1,MATCH(A852,INDIRECT("'"&amp;E852&amp;"'"&amp;"!A" &amp; $O$832 + 5 &amp; ":Z" &amp; $O$832+ 5),0),4),1,""),$O$832 + 8),"")</f>
        <v>H215</v>
      </c>
      <c r="C852" s="826" t="str">
        <f t="shared" ca="1" si="134"/>
        <v>H</v>
      </c>
      <c r="D852" s="826" t="s">
        <v>1357</v>
      </c>
      <c r="E852" s="826" t="s">
        <v>1516</v>
      </c>
      <c r="F852" s="1314"/>
      <c r="G852" s="1314"/>
      <c r="H852" s="1314"/>
      <c r="I852" s="1274" t="str">
        <f t="shared" si="132"/>
        <v/>
      </c>
      <c r="J852" s="1314" t="str">
        <f>IF(M852&lt;&gt;"",IF($Q$832="Yes",Q$1&amp;M852,""))</f>
        <v/>
      </c>
      <c r="K852" s="1314" t="str">
        <f t="shared" si="133"/>
        <v/>
      </c>
      <c r="L852" s="826" t="s">
        <v>1387</v>
      </c>
      <c r="M852" s="1329">
        <v>835</v>
      </c>
      <c r="N852" s="1314"/>
      <c r="O852" s="1311"/>
      <c r="P852" s="1311"/>
      <c r="Q852" s="1311"/>
      <c r="R852" s="1314" t="s">
        <v>1531</v>
      </c>
      <c r="S852" s="1311"/>
      <c r="T852" s="1314" t="str">
        <f t="shared" si="135"/>
        <v/>
      </c>
      <c r="U852" s="1311"/>
      <c r="V852" s="1311"/>
      <c r="W852" s="1311"/>
      <c r="X852" s="1311"/>
      <c r="Y852" s="1311"/>
      <c r="Z852" s="1311"/>
    </row>
    <row r="853" spans="1:26" x14ac:dyDescent="0.25">
      <c r="A853" s="847" t="s">
        <v>1388</v>
      </c>
      <c r="B853" s="826" t="str">
        <f ca="1">_xlfn.IFNA(_xlfn.CONCAT(SUBSTITUTE(ADDRESS(1,MATCH(A853,INDIRECT("'"&amp;E853&amp;"'"&amp;"!A" &amp; $O$832 + 5 &amp; ":Z" &amp; $O$832+ 5),0),4),1,""),$O$832 + 8),"")</f>
        <v>J215</v>
      </c>
      <c r="C853" s="826" t="str">
        <f t="shared" ca="1" si="134"/>
        <v>J</v>
      </c>
      <c r="D853" s="826" t="s">
        <v>1357</v>
      </c>
      <c r="E853" s="826" t="s">
        <v>1516</v>
      </c>
      <c r="F853" s="1314"/>
      <c r="G853" s="1314"/>
      <c r="H853" s="1314"/>
      <c r="I853" s="1274" t="str">
        <f t="shared" si="132"/>
        <v/>
      </c>
      <c r="J853" s="1314"/>
      <c r="K853" s="1314" t="str">
        <f t="shared" si="133"/>
        <v/>
      </c>
      <c r="L853" s="826" t="s">
        <v>1388</v>
      </c>
      <c r="M853" s="1329">
        <v>836</v>
      </c>
      <c r="N853" s="1314"/>
      <c r="O853" s="1311"/>
      <c r="P853" s="1311"/>
      <c r="Q853" s="1311"/>
      <c r="R853" s="1314" t="s">
        <v>1531</v>
      </c>
      <c r="S853" s="1311"/>
      <c r="T853" s="1314" t="str">
        <f t="shared" si="135"/>
        <v/>
      </c>
      <c r="U853" s="1311"/>
      <c r="V853" s="1311"/>
      <c r="W853" s="1311"/>
      <c r="X853" s="1311"/>
      <c r="Y853" s="1311"/>
      <c r="Z853" s="1311"/>
    </row>
    <row r="854" spans="1:26" x14ac:dyDescent="0.25">
      <c r="A854" s="847" t="s">
        <v>1389</v>
      </c>
      <c r="B854" s="826" t="str">
        <f ca="1">_xlfn.IFNA(_xlfn.CONCAT(SUBSTITUTE(ADDRESS(1,MATCH(A854,INDIRECT("'"&amp;E854&amp;"'"&amp;"!A" &amp; $O$832 + 5 &amp; ":Z" &amp; $O$832+ 5),0),4),1,""),$O$832 + 8),"")</f>
        <v>L215</v>
      </c>
      <c r="C854" s="826" t="str">
        <f t="shared" ca="1" si="134"/>
        <v>L</v>
      </c>
      <c r="D854" s="826" t="s">
        <v>1357</v>
      </c>
      <c r="E854" s="826" t="s">
        <v>1516</v>
      </c>
      <c r="F854" s="1314"/>
      <c r="G854" s="1314"/>
      <c r="H854" s="1314"/>
      <c r="I854" s="1274" t="str">
        <f t="shared" si="132"/>
        <v/>
      </c>
      <c r="J854" s="1314"/>
      <c r="K854" s="1314" t="str">
        <f t="shared" si="133"/>
        <v/>
      </c>
      <c r="L854" s="826" t="s">
        <v>1389</v>
      </c>
      <c r="M854" s="1329">
        <v>837</v>
      </c>
      <c r="N854" s="1314"/>
      <c r="O854" s="1311"/>
      <c r="P854" s="1311"/>
      <c r="Q854" s="1311"/>
      <c r="R854" s="1314" t="s">
        <v>1531</v>
      </c>
      <c r="S854" s="1311"/>
      <c r="T854" s="1314" t="str">
        <f t="shared" si="135"/>
        <v/>
      </c>
      <c r="U854" s="1311"/>
      <c r="V854" s="1311"/>
      <c r="W854" s="1311"/>
      <c r="X854" s="1311"/>
      <c r="Y854" s="1311"/>
      <c r="Z854" s="1311"/>
    </row>
    <row r="855" spans="1:26" x14ac:dyDescent="0.25">
      <c r="A855" s="847" t="s">
        <v>1387</v>
      </c>
      <c r="B855" s="826" t="str">
        <f ca="1">_xlfn.IFNA(_xlfn.CONCAT(SUBSTITUTE(ADDRESS(1,MATCH(A855,INDIRECT("'"&amp;E855&amp;"'"&amp;"!A" &amp; $O$832 + 5 &amp; ":Z" &amp; $O$832+ 5),0),4),1,""),$O$832 + 9),"")</f>
        <v>H216</v>
      </c>
      <c r="C855" s="826" t="str">
        <f t="shared" ca="1" si="134"/>
        <v>H</v>
      </c>
      <c r="D855" s="826" t="s">
        <v>1357</v>
      </c>
      <c r="E855" s="826" t="s">
        <v>1516</v>
      </c>
      <c r="F855" s="1314"/>
      <c r="G855" s="1314"/>
      <c r="H855" s="1314"/>
      <c r="I855" s="1274" t="str">
        <f t="shared" si="132"/>
        <v/>
      </c>
      <c r="J855" s="1314" t="str">
        <f>IF(M855&lt;&gt;"",IF($Q$832="Yes",Q$1&amp;M855,""))</f>
        <v/>
      </c>
      <c r="K855" s="1314" t="str">
        <f t="shared" si="133"/>
        <v/>
      </c>
      <c r="L855" s="826" t="s">
        <v>1387</v>
      </c>
      <c r="M855" s="1329">
        <v>838</v>
      </c>
      <c r="N855" s="1314"/>
      <c r="O855" s="1311"/>
      <c r="P855" s="1311"/>
      <c r="Q855" s="1311"/>
      <c r="R855" s="1314" t="s">
        <v>1531</v>
      </c>
      <c r="S855" s="1311"/>
      <c r="T855" s="1314" t="str">
        <f t="shared" si="135"/>
        <v/>
      </c>
      <c r="U855" s="1311"/>
      <c r="V855" s="1311"/>
      <c r="W855" s="1311"/>
      <c r="X855" s="1311"/>
      <c r="Y855" s="1311"/>
      <c r="Z855" s="1311"/>
    </row>
    <row r="856" spans="1:26" x14ac:dyDescent="0.25">
      <c r="A856" s="847" t="s">
        <v>1388</v>
      </c>
      <c r="B856" s="826" t="str">
        <f ca="1">_xlfn.IFNA(_xlfn.CONCAT(SUBSTITUTE(ADDRESS(1,MATCH(A856,INDIRECT("'"&amp;E856&amp;"'"&amp;"!A" &amp; $O$832 + 5 &amp; ":Z" &amp; $O$832+ 5),0),4),1,""),$O$832 + 9),"")</f>
        <v>J216</v>
      </c>
      <c r="C856" s="826" t="str">
        <f t="shared" ca="1" si="134"/>
        <v>J</v>
      </c>
      <c r="D856" s="826" t="s">
        <v>1357</v>
      </c>
      <c r="E856" s="826" t="s">
        <v>1516</v>
      </c>
      <c r="F856" s="1314"/>
      <c r="G856" s="1314"/>
      <c r="H856" s="1314"/>
      <c r="I856" s="1274" t="str">
        <f t="shared" si="132"/>
        <v/>
      </c>
      <c r="J856" s="1314"/>
      <c r="K856" s="1314" t="str">
        <f t="shared" si="133"/>
        <v/>
      </c>
      <c r="L856" s="826" t="s">
        <v>1388</v>
      </c>
      <c r="M856" s="1329">
        <v>839</v>
      </c>
      <c r="N856" s="1314"/>
      <c r="O856" s="1311"/>
      <c r="P856" s="1311"/>
      <c r="Q856" s="1311"/>
      <c r="R856" s="1314" t="s">
        <v>1531</v>
      </c>
      <c r="S856" s="1311"/>
      <c r="T856" s="1314" t="str">
        <f t="shared" si="135"/>
        <v/>
      </c>
      <c r="U856" s="1311"/>
      <c r="V856" s="1311"/>
      <c r="W856" s="1311"/>
      <c r="X856" s="1311"/>
      <c r="Y856" s="1311"/>
      <c r="Z856" s="1311"/>
    </row>
    <row r="857" spans="1:26" x14ac:dyDescent="0.25">
      <c r="A857" s="847" t="s">
        <v>1389</v>
      </c>
      <c r="B857" s="826" t="str">
        <f ca="1">_xlfn.IFNA(_xlfn.CONCAT(SUBSTITUTE(ADDRESS(1,MATCH(A857,INDIRECT("'"&amp;E857&amp;"'"&amp;"!A" &amp; $O$832 + 5 &amp; ":Z" &amp; $O$832+ 5),0),4),1,""),$O$832 + 9),"")</f>
        <v>L216</v>
      </c>
      <c r="C857" s="826" t="str">
        <f t="shared" ca="1" si="134"/>
        <v>L</v>
      </c>
      <c r="D857" s="826" t="s">
        <v>1357</v>
      </c>
      <c r="E857" s="826" t="s">
        <v>1516</v>
      </c>
      <c r="F857" s="1314"/>
      <c r="G857" s="1314"/>
      <c r="H857" s="1314"/>
      <c r="I857" s="1274" t="str">
        <f t="shared" si="132"/>
        <v/>
      </c>
      <c r="J857" s="1314"/>
      <c r="K857" s="1314" t="str">
        <f t="shared" si="133"/>
        <v/>
      </c>
      <c r="L857" s="826" t="s">
        <v>1389</v>
      </c>
      <c r="M857" s="1329">
        <v>840</v>
      </c>
      <c r="N857" s="1314"/>
      <c r="O857" s="1311"/>
      <c r="P857" s="1311"/>
      <c r="Q857" s="1311"/>
      <c r="R857" s="1314" t="s">
        <v>1531</v>
      </c>
      <c r="S857" s="1311"/>
      <c r="T857" s="1314" t="str">
        <f t="shared" si="135"/>
        <v/>
      </c>
      <c r="U857" s="1311"/>
      <c r="V857" s="1311"/>
      <c r="W857" s="1311"/>
      <c r="X857" s="1311"/>
      <c r="Y857" s="1311"/>
      <c r="Z857" s="1311"/>
    </row>
    <row r="858" spans="1:26" x14ac:dyDescent="0.25">
      <c r="A858" s="847" t="s">
        <v>1387</v>
      </c>
      <c r="B858" s="826" t="str">
        <f ca="1">_xlfn.IFNA(_xlfn.CONCAT(SUBSTITUTE(ADDRESS(1,MATCH(A858,INDIRECT("'"&amp;E858&amp;"'"&amp;"!A" &amp; $O$832 + 5 &amp; ":Z" &amp; $O$832+ 5),0),4),1,""),$O$832 + 10),"")</f>
        <v>H217</v>
      </c>
      <c r="C858" s="826" t="str">
        <f t="shared" ca="1" si="134"/>
        <v>H</v>
      </c>
      <c r="D858" s="826" t="s">
        <v>1357</v>
      </c>
      <c r="E858" s="826" t="s">
        <v>1516</v>
      </c>
      <c r="F858" s="1314"/>
      <c r="G858" s="1314"/>
      <c r="H858" s="1314"/>
      <c r="I858" s="1274" t="str">
        <f t="shared" si="132"/>
        <v/>
      </c>
      <c r="J858" s="1314" t="str">
        <f>IF(M858&lt;&gt;"",IF($Q$832="Yes",Q$1&amp;M858,""))</f>
        <v/>
      </c>
      <c r="K858" s="1314" t="str">
        <f t="shared" si="133"/>
        <v/>
      </c>
      <c r="L858" s="826" t="s">
        <v>1387</v>
      </c>
      <c r="M858" s="1329">
        <v>841</v>
      </c>
      <c r="N858" s="1314"/>
      <c r="O858" s="1311"/>
      <c r="P858" s="1311"/>
      <c r="Q858" s="1311"/>
      <c r="R858" s="1314" t="s">
        <v>1531</v>
      </c>
      <c r="S858" s="1311"/>
      <c r="T858" s="1314" t="str">
        <f t="shared" si="135"/>
        <v/>
      </c>
      <c r="U858" s="1311"/>
      <c r="V858" s="1311"/>
      <c r="W858" s="1311"/>
      <c r="X858" s="1311"/>
      <c r="Y858" s="1311"/>
      <c r="Z858" s="1311"/>
    </row>
    <row r="859" spans="1:26" x14ac:dyDescent="0.25">
      <c r="A859" s="847" t="s">
        <v>1388</v>
      </c>
      <c r="B859" s="826" t="str">
        <f ca="1">_xlfn.IFNA(_xlfn.CONCAT(SUBSTITUTE(ADDRESS(1,MATCH(A859,INDIRECT("'"&amp;E859&amp;"'"&amp;"!A" &amp; $O$832 + 5 &amp; ":Z" &amp; $O$832+ 5),0),4),1,""),$O$832 + 10),"")</f>
        <v>J217</v>
      </c>
      <c r="C859" s="826" t="str">
        <f t="shared" ca="1" si="134"/>
        <v>J</v>
      </c>
      <c r="D859" s="826" t="s">
        <v>1357</v>
      </c>
      <c r="E859" s="826" t="s">
        <v>1516</v>
      </c>
      <c r="F859" s="1314"/>
      <c r="G859" s="1314"/>
      <c r="H859" s="1314"/>
      <c r="I859" s="1274" t="str">
        <f t="shared" si="132"/>
        <v/>
      </c>
      <c r="J859" s="1314"/>
      <c r="K859" s="1314" t="str">
        <f t="shared" si="133"/>
        <v/>
      </c>
      <c r="L859" s="826" t="s">
        <v>1388</v>
      </c>
      <c r="M859" s="1329">
        <v>842</v>
      </c>
      <c r="N859" s="1314"/>
      <c r="O859" s="1311"/>
      <c r="P859" s="1311"/>
      <c r="Q859" s="1311"/>
      <c r="R859" s="1314" t="s">
        <v>1531</v>
      </c>
      <c r="S859" s="1311"/>
      <c r="T859" s="1314" t="str">
        <f t="shared" si="135"/>
        <v/>
      </c>
      <c r="U859" s="1311"/>
      <c r="V859" s="1311"/>
      <c r="W859" s="1311"/>
      <c r="X859" s="1311"/>
      <c r="Y859" s="1311"/>
      <c r="Z859" s="1311"/>
    </row>
    <row r="860" spans="1:26" x14ac:dyDescent="0.25">
      <c r="A860" s="847" t="s">
        <v>1389</v>
      </c>
      <c r="B860" s="826" t="str">
        <f ca="1">_xlfn.IFNA(_xlfn.CONCAT(SUBSTITUTE(ADDRESS(1,MATCH(A860,INDIRECT("'"&amp;E860&amp;"'"&amp;"!A" &amp; $O$832 + 5 &amp; ":Z" &amp; $O$832+ 5),0),4),1,""),$O$832 + 10),"")</f>
        <v>L217</v>
      </c>
      <c r="C860" s="826" t="str">
        <f t="shared" ca="1" si="134"/>
        <v>L</v>
      </c>
      <c r="D860" s="826" t="s">
        <v>1357</v>
      </c>
      <c r="E860" s="826" t="s">
        <v>1516</v>
      </c>
      <c r="F860" s="1314"/>
      <c r="G860" s="1314"/>
      <c r="H860" s="1314"/>
      <c r="I860" s="1274" t="str">
        <f t="shared" si="132"/>
        <v/>
      </c>
      <c r="J860" s="1314"/>
      <c r="K860" s="1314" t="str">
        <f t="shared" si="133"/>
        <v/>
      </c>
      <c r="L860" s="826" t="s">
        <v>1389</v>
      </c>
      <c r="M860" s="1329">
        <v>843</v>
      </c>
      <c r="N860" s="1314"/>
      <c r="O860" s="1311"/>
      <c r="P860" s="1311"/>
      <c r="Q860" s="1311"/>
      <c r="R860" s="1314" t="s">
        <v>1531</v>
      </c>
      <c r="S860" s="1311"/>
      <c r="T860" s="1314" t="str">
        <f t="shared" si="135"/>
        <v/>
      </c>
      <c r="U860" s="1311"/>
      <c r="V860" s="1311"/>
      <c r="W860" s="1311"/>
      <c r="X860" s="1311"/>
      <c r="Y860" s="1311"/>
      <c r="Z860" s="1311"/>
    </row>
    <row r="861" spans="1:26" x14ac:dyDescent="0.25">
      <c r="A861" s="850" t="s">
        <v>1491</v>
      </c>
      <c r="B861" s="826" t="str">
        <f ca="1">IFERROR(_xlfn.CONCAT("C",MATCH(A861,INDIRECT("'"&amp;E861&amp;"'!C"&amp;$O$862&amp;":C"&amp;$O$864),0)+$O$862-1),"")</f>
        <v>C227</v>
      </c>
      <c r="C861" s="826" t="str">
        <f ca="1">IFERROR(_xlfn.CONCAT("D",MATCH(A861,INDIRECT("'"&amp;E861&amp;"'!C"&amp;$O$862&amp;":C"&amp;$O$864),0)+$O$862-1),"")</f>
        <v>D227</v>
      </c>
      <c r="D861" s="826" t="s">
        <v>1350</v>
      </c>
      <c r="E861" s="826" t="s">
        <v>1516</v>
      </c>
      <c r="F861" s="1314" t="s">
        <v>1491</v>
      </c>
      <c r="G861" s="1314" t="str">
        <f>IF(T861&lt;&gt;"","A","")</f>
        <v/>
      </c>
      <c r="H861" s="1314" t="s">
        <v>1990</v>
      </c>
      <c r="I861" s="1274" t="str">
        <f t="shared" si="132"/>
        <v/>
      </c>
      <c r="J861" s="1314"/>
      <c r="K861" s="1314" t="str">
        <f t="shared" si="133"/>
        <v/>
      </c>
      <c r="L861" s="826" t="s">
        <v>1491</v>
      </c>
      <c r="M861" s="1329">
        <v>844</v>
      </c>
      <c r="N861" s="1314"/>
      <c r="O861" s="1311" t="s">
        <v>725</v>
      </c>
      <c r="P861" s="1406"/>
      <c r="Q861" s="1311"/>
      <c r="R861" s="1314" t="s">
        <v>1531</v>
      </c>
      <c r="S861" s="1311"/>
      <c r="T861" s="1314" t="str">
        <f t="shared" ref="T861:T890" si="136">IF(Q$862="Yes",16,"")</f>
        <v/>
      </c>
      <c r="U861" s="1311"/>
      <c r="V861" s="1311"/>
      <c r="W861" s="1311"/>
      <c r="X861" s="1311"/>
      <c r="Y861" s="1311"/>
      <c r="Z861" s="1311"/>
    </row>
    <row r="862" spans="1:26" x14ac:dyDescent="0.25">
      <c r="A862" s="850" t="s">
        <v>1705</v>
      </c>
      <c r="B862" s="826" t="str">
        <f ca="1">_xlfn.CONCAT(IFERROR(SUBSTITUTE(ADDRESS(1,MATCH(A862,INDIRECT("'"&amp;E862&amp;"'"&amp;"!A" &amp; $O$862 + 12 &amp; ":Z" &amp; $O$862+ 12),0),4),1,""),""),$O$862 + 12)</f>
        <v>T235</v>
      </c>
      <c r="C862" s="826" t="str">
        <f ca="1">_xlfn.CONCAT(IFERROR(SUBSTITUTE(ADDRESS(1,MATCH(A862,INDIRECT("'"&amp;E862&amp;"'"&amp;"!A" &amp; $O$862 + 12 &amp; ":Z" &amp; $O$862+ 12),0),4),1,""),""),$O$862 + 13)</f>
        <v>T236</v>
      </c>
      <c r="D862" s="826" t="s">
        <v>1350</v>
      </c>
      <c r="E862" s="826" t="s">
        <v>1516</v>
      </c>
      <c r="F862" s="1314"/>
      <c r="G862" s="1314"/>
      <c r="H862" s="1314"/>
      <c r="I862" s="1274" t="str">
        <f t="shared" si="132"/>
        <v/>
      </c>
      <c r="J862" s="1314" t="str">
        <f t="shared" ref="J862:J888" si="137">IF(M862&lt;&gt;"",IF($Q$862="Yes",Q$1&amp;M862,""))</f>
        <v/>
      </c>
      <c r="K862" s="1314" t="str">
        <f t="shared" si="133"/>
        <v/>
      </c>
      <c r="L862" s="826" t="s">
        <v>1705</v>
      </c>
      <c r="M862" s="1329">
        <v>845</v>
      </c>
      <c r="N862" s="1314"/>
      <c r="O862" s="1311">
        <f>'Configurable Tab'!H18</f>
        <v>223</v>
      </c>
      <c r="P862" s="1406" t="str">
        <f>'Configurable Tab'!J18</f>
        <v>Yes</v>
      </c>
      <c r="Q862" s="1351" t="s">
        <v>648</v>
      </c>
      <c r="R862" s="1314" t="s">
        <v>1531</v>
      </c>
      <c r="S862" s="1311"/>
      <c r="T862" s="1314" t="str">
        <f t="shared" si="136"/>
        <v/>
      </c>
      <c r="U862" s="1311"/>
      <c r="V862" s="1311"/>
      <c r="W862" s="1311"/>
      <c r="X862" s="1311"/>
      <c r="Y862" s="1311"/>
      <c r="Z862" s="1311"/>
    </row>
    <row r="863" spans="1:26" x14ac:dyDescent="0.25">
      <c r="A863" s="850" t="s">
        <v>1383</v>
      </c>
      <c r="B863" s="826" t="str">
        <f ca="1">IFERROR(_xlfn.CONCAT("C",MATCH(A863,INDIRECT("'"&amp;E863&amp;"'!C"&amp;$O$862&amp;":C"&amp;$O$864),0)+$O$862-1),"")</f>
        <v>C225</v>
      </c>
      <c r="C863" s="826" t="str">
        <f ca="1">IFERROR(_xlfn.CONCAT("D",MATCH(A863,INDIRECT("'"&amp;E863&amp;"'!C"&amp;$O$862&amp;":C"&amp;$O$864),0)+$O$862-1),"")</f>
        <v>D225</v>
      </c>
      <c r="D863" s="826" t="s">
        <v>1350</v>
      </c>
      <c r="E863" s="826" t="s">
        <v>1516</v>
      </c>
      <c r="F863" s="1314" t="s">
        <v>1383</v>
      </c>
      <c r="G863" s="1314" t="str">
        <f>IF(T863&lt;&gt;"","B","")</f>
        <v/>
      </c>
      <c r="H863" s="1314" t="s">
        <v>1990</v>
      </c>
      <c r="I863" s="1274" t="str">
        <f t="shared" si="132"/>
        <v/>
      </c>
      <c r="J863" s="1314"/>
      <c r="K863" s="1314" t="str">
        <f t="shared" si="133"/>
        <v/>
      </c>
      <c r="L863" s="826" t="s">
        <v>1383</v>
      </c>
      <c r="M863" s="1329">
        <v>846</v>
      </c>
      <c r="N863" s="1314"/>
      <c r="O863" s="1311" t="s">
        <v>726</v>
      </c>
      <c r="P863" s="1311"/>
      <c r="Q863" s="1311"/>
      <c r="R863" s="1314" t="s">
        <v>1531</v>
      </c>
      <c r="S863" s="1311"/>
      <c r="T863" s="1314" t="str">
        <f t="shared" si="136"/>
        <v/>
      </c>
      <c r="U863" s="1311"/>
      <c r="V863" s="1311"/>
      <c r="W863" s="1311"/>
      <c r="X863" s="1311"/>
      <c r="Y863" s="1311"/>
      <c r="Z863" s="1311"/>
    </row>
    <row r="864" spans="1:26" x14ac:dyDescent="0.25">
      <c r="A864" s="850" t="s">
        <v>1380</v>
      </c>
      <c r="B864" s="826" t="str">
        <f t="shared" ref="B864:B870" ca="1" si="138">_xlfn.CONCAT(IFERROR(SUBSTITUTE(ADDRESS(1,MATCH(A864,INDIRECT("'"&amp;E864&amp;"'"&amp;"!A" &amp; $O$862 + 2 &amp; ":Z" &amp; $O$862+ 2),0),4),1,""),""),$O$862 + 2)</f>
        <v>H225</v>
      </c>
      <c r="C864" s="826" t="str">
        <f t="shared" ref="C864:C870" ca="1" si="139">_xlfn.CONCAT(IFERROR(SUBSTITUTE(ADDRESS(1,MATCH(A864,INDIRECT("'"&amp;E864&amp;"'"&amp;"!A" &amp; $O$862 + 2 &amp; ":Z" &amp; $O$862+ 2),0),4),1,""),""),$O$862 + 3)</f>
        <v>H226</v>
      </c>
      <c r="D864" s="826" t="s">
        <v>1350</v>
      </c>
      <c r="E864" s="826" t="s">
        <v>1516</v>
      </c>
      <c r="F864" s="1314" t="s">
        <v>1991</v>
      </c>
      <c r="G864" s="1314" t="str">
        <f>IF(T864&lt;&gt;"","E","")</f>
        <v/>
      </c>
      <c r="H864" s="1314" t="s">
        <v>1990</v>
      </c>
      <c r="I864" s="1274" t="str">
        <f t="shared" si="132"/>
        <v/>
      </c>
      <c r="J864" s="1314" t="str">
        <f t="shared" si="137"/>
        <v/>
      </c>
      <c r="K864" s="1314" t="str">
        <f t="shared" si="133"/>
        <v/>
      </c>
      <c r="L864" s="826" t="s">
        <v>1380</v>
      </c>
      <c r="M864" s="1329">
        <v>847</v>
      </c>
      <c r="N864" s="1314"/>
      <c r="O864" s="1311">
        <f>'Configurable Tab'!I18</f>
        <v>238</v>
      </c>
      <c r="P864" s="1311"/>
      <c r="Q864" s="1311"/>
      <c r="R864" s="1314" t="s">
        <v>1531</v>
      </c>
      <c r="S864" s="1311"/>
      <c r="T864" s="1314" t="str">
        <f t="shared" si="136"/>
        <v/>
      </c>
      <c r="U864" s="1311"/>
      <c r="V864" s="1311"/>
      <c r="W864" s="1311"/>
      <c r="X864" s="1311"/>
      <c r="Y864" s="1311"/>
      <c r="Z864" s="1311"/>
    </row>
    <row r="865" spans="1:26" x14ac:dyDescent="0.25">
      <c r="A865" s="850" t="s">
        <v>1381</v>
      </c>
      <c r="B865" s="826" t="str">
        <f t="shared" ca="1" si="138"/>
        <v>J225</v>
      </c>
      <c r="C865" s="826" t="str">
        <f t="shared" ca="1" si="139"/>
        <v>J226</v>
      </c>
      <c r="D865" s="826" t="s">
        <v>1350</v>
      </c>
      <c r="E865" s="826" t="s">
        <v>1516</v>
      </c>
      <c r="F865" s="1314" t="s">
        <v>1992</v>
      </c>
      <c r="G865" s="1314" t="str">
        <f>IF(T865&lt;&gt;"","I","")</f>
        <v/>
      </c>
      <c r="H865" s="1314" t="s">
        <v>1990</v>
      </c>
      <c r="I865" s="1274" t="str">
        <f t="shared" si="132"/>
        <v/>
      </c>
      <c r="J865" s="1314" t="str">
        <f t="shared" si="137"/>
        <v/>
      </c>
      <c r="K865" s="1314" t="str">
        <f t="shared" si="133"/>
        <v/>
      </c>
      <c r="L865" s="826" t="s">
        <v>1381</v>
      </c>
      <c r="M865" s="1329">
        <v>848</v>
      </c>
      <c r="N865" s="1314"/>
      <c r="O865" s="1311" t="s">
        <v>1647</v>
      </c>
      <c r="P865" s="1311"/>
      <c r="Q865" s="1311"/>
      <c r="R865" s="1314" t="s">
        <v>1531</v>
      </c>
      <c r="S865" s="1311"/>
      <c r="T865" s="1314" t="str">
        <f t="shared" si="136"/>
        <v/>
      </c>
      <c r="U865" s="1311"/>
      <c r="V865" s="1311"/>
      <c r="W865" s="1311"/>
      <c r="X865" s="1311"/>
      <c r="Y865" s="1311"/>
      <c r="Z865" s="1311"/>
    </row>
    <row r="866" spans="1:26" x14ac:dyDescent="0.25">
      <c r="A866" s="850" t="s">
        <v>1397</v>
      </c>
      <c r="B866" s="826" t="str">
        <f t="shared" ca="1" si="138"/>
        <v>L225</v>
      </c>
      <c r="C866" s="826" t="str">
        <f t="shared" ca="1" si="139"/>
        <v>L226</v>
      </c>
      <c r="D866" s="826" t="s">
        <v>1350</v>
      </c>
      <c r="E866" s="826" t="s">
        <v>1516</v>
      </c>
      <c r="F866" s="1314" t="s">
        <v>1993</v>
      </c>
      <c r="G866" s="1314" t="str">
        <f>IF(T866&lt;&gt;"","H","")</f>
        <v/>
      </c>
      <c r="H866" s="1314" t="s">
        <v>1990</v>
      </c>
      <c r="I866" s="1274" t="str">
        <f t="shared" si="132"/>
        <v/>
      </c>
      <c r="J866" s="1314" t="str">
        <f t="shared" si="137"/>
        <v/>
      </c>
      <c r="K866" s="1314" t="str">
        <f t="shared" si="133"/>
        <v/>
      </c>
      <c r="L866" s="826" t="s">
        <v>1397</v>
      </c>
      <c r="M866" s="1329">
        <v>849</v>
      </c>
      <c r="N866" s="1314"/>
      <c r="O866" s="1311"/>
      <c r="P866" s="1311"/>
      <c r="Q866" s="1311"/>
      <c r="R866" s="1314" t="s">
        <v>1531</v>
      </c>
      <c r="S866" s="1311"/>
      <c r="T866" s="1314" t="str">
        <f t="shared" si="136"/>
        <v/>
      </c>
      <c r="U866" s="1311"/>
      <c r="V866" s="1311"/>
      <c r="W866" s="1311"/>
      <c r="X866" s="1311"/>
      <c r="Y866" s="1311"/>
      <c r="Z866" s="1311"/>
    </row>
    <row r="867" spans="1:26" x14ac:dyDescent="0.25">
      <c r="A867" s="850" t="s">
        <v>1382</v>
      </c>
      <c r="B867" s="826" t="str">
        <f t="shared" ca="1" si="138"/>
        <v>N225</v>
      </c>
      <c r="C867" s="826" t="str">
        <f t="shared" ca="1" si="139"/>
        <v>N226</v>
      </c>
      <c r="D867" s="826" t="s">
        <v>1350</v>
      </c>
      <c r="E867" s="826" t="s">
        <v>1516</v>
      </c>
      <c r="F867" s="1314" t="s">
        <v>1382</v>
      </c>
      <c r="G867" s="1314" t="str">
        <f>IF(T867&lt;&gt;"",IF(Q865="Credit Memo","J",IF(Q865="Check","K","")),"")</f>
        <v/>
      </c>
      <c r="H867" s="1314" t="s">
        <v>1990</v>
      </c>
      <c r="I867" s="1274" t="str">
        <f t="shared" si="132"/>
        <v/>
      </c>
      <c r="J867" s="1314" t="str">
        <f t="shared" si="137"/>
        <v/>
      </c>
      <c r="K867" s="1314" t="str">
        <f t="shared" si="133"/>
        <v/>
      </c>
      <c r="L867" s="826" t="s">
        <v>1382</v>
      </c>
      <c r="M867" s="1329">
        <v>850</v>
      </c>
      <c r="N867" s="1314"/>
      <c r="O867" s="1311"/>
      <c r="P867" s="1311"/>
      <c r="Q867" s="1311"/>
      <c r="R867" s="1314" t="s">
        <v>1531</v>
      </c>
      <c r="S867" s="1311"/>
      <c r="T867" s="1314" t="str">
        <f t="shared" si="136"/>
        <v/>
      </c>
      <c r="U867" s="1311"/>
      <c r="V867" s="1311"/>
      <c r="W867" s="1311"/>
      <c r="X867" s="1311"/>
      <c r="Y867" s="1311"/>
      <c r="Z867" s="1311"/>
    </row>
    <row r="868" spans="1:26" x14ac:dyDescent="0.25">
      <c r="A868" s="850" t="s">
        <v>1486</v>
      </c>
      <c r="B868" s="826" t="str">
        <f t="shared" ca="1" si="138"/>
        <v>P225</v>
      </c>
      <c r="C868" s="826" t="str">
        <f t="shared" ca="1" si="139"/>
        <v>P226</v>
      </c>
      <c r="D868" s="826" t="s">
        <v>1350</v>
      </c>
      <c r="E868" s="826" t="s">
        <v>1516</v>
      </c>
      <c r="F868" s="1314" t="s">
        <v>1994</v>
      </c>
      <c r="G868" s="1314" t="str">
        <f>IF(T868&lt;&gt;"","F","")</f>
        <v/>
      </c>
      <c r="H868" s="1314" t="s">
        <v>1990</v>
      </c>
      <c r="I868" s="1274" t="str">
        <f t="shared" si="132"/>
        <v/>
      </c>
      <c r="J868" s="1314" t="str">
        <f t="shared" si="137"/>
        <v/>
      </c>
      <c r="K868" s="1314" t="str">
        <f t="shared" si="133"/>
        <v/>
      </c>
      <c r="L868" s="826" t="s">
        <v>1486</v>
      </c>
      <c r="M868" s="1329">
        <v>851</v>
      </c>
      <c r="N868" s="1314"/>
      <c r="O868" s="1311"/>
      <c r="P868" s="1311"/>
      <c r="Q868" s="1311"/>
      <c r="R868" s="1314" t="s">
        <v>1531</v>
      </c>
      <c r="S868" s="1311"/>
      <c r="T868" s="1314" t="str">
        <f t="shared" si="136"/>
        <v/>
      </c>
      <c r="U868" s="1311"/>
      <c r="V868" s="1311"/>
      <c r="W868" s="1311"/>
      <c r="X868" s="1311"/>
      <c r="Y868" s="1311"/>
      <c r="Z868" s="1311"/>
    </row>
    <row r="869" spans="1:26" x14ac:dyDescent="0.25">
      <c r="A869" s="850" t="s">
        <v>1487</v>
      </c>
      <c r="B869" s="826" t="str">
        <f t="shared" ca="1" si="138"/>
        <v>R225</v>
      </c>
      <c r="C869" s="826" t="str">
        <f t="shared" ca="1" si="139"/>
        <v>R226</v>
      </c>
      <c r="D869" s="826" t="s">
        <v>1350</v>
      </c>
      <c r="E869" s="826" t="s">
        <v>1516</v>
      </c>
      <c r="F869" s="1314" t="s">
        <v>1995</v>
      </c>
      <c r="G869" s="1314" t="str">
        <f>IF(T869&lt;&gt;"","G","")</f>
        <v/>
      </c>
      <c r="H869" s="1314" t="s">
        <v>1990</v>
      </c>
      <c r="I869" s="1274" t="str">
        <f t="shared" si="132"/>
        <v/>
      </c>
      <c r="J869" s="1314" t="str">
        <f t="shared" si="137"/>
        <v/>
      </c>
      <c r="K869" s="1314" t="str">
        <f t="shared" si="133"/>
        <v/>
      </c>
      <c r="L869" s="826" t="s">
        <v>1487</v>
      </c>
      <c r="M869" s="1329">
        <v>852</v>
      </c>
      <c r="N869" s="1314"/>
      <c r="O869" s="1311"/>
      <c r="P869" s="1311"/>
      <c r="Q869" s="1311"/>
      <c r="R869" s="1314" t="s">
        <v>1531</v>
      </c>
      <c r="S869" s="1311"/>
      <c r="T869" s="1314" t="str">
        <f t="shared" si="136"/>
        <v/>
      </c>
      <c r="U869" s="1311"/>
      <c r="V869" s="1311"/>
      <c r="W869" s="1311"/>
      <c r="X869" s="1311"/>
      <c r="Y869" s="1311"/>
      <c r="Z869" s="1311"/>
    </row>
    <row r="870" spans="1:26" x14ac:dyDescent="0.25">
      <c r="A870" s="850" t="s">
        <v>1488</v>
      </c>
      <c r="B870" s="826" t="str">
        <f t="shared" ca="1" si="138"/>
        <v>T225</v>
      </c>
      <c r="C870" s="826" t="str">
        <f t="shared" ca="1" si="139"/>
        <v>T226</v>
      </c>
      <c r="D870" s="826" t="s">
        <v>1350</v>
      </c>
      <c r="E870" s="826" t="s">
        <v>1516</v>
      </c>
      <c r="F870" s="841" t="s">
        <v>1488</v>
      </c>
      <c r="G870" s="1314" t="str">
        <f>IF(T870&lt;&gt;"","AW","")</f>
        <v/>
      </c>
      <c r="H870" s="1314" t="s">
        <v>1990</v>
      </c>
      <c r="I870" s="1274" t="str">
        <f t="shared" si="132"/>
        <v/>
      </c>
      <c r="J870" s="1314" t="str">
        <f t="shared" si="137"/>
        <v/>
      </c>
      <c r="K870" s="1314" t="str">
        <f t="shared" si="133"/>
        <v/>
      </c>
      <c r="L870" s="826" t="s">
        <v>1488</v>
      </c>
      <c r="M870" s="1329">
        <v>853</v>
      </c>
      <c r="N870" s="1314"/>
      <c r="O870" s="1311"/>
      <c r="P870" s="1311"/>
      <c r="Q870" s="1311"/>
      <c r="R870" s="1314" t="s">
        <v>1531</v>
      </c>
      <c r="S870" s="1311"/>
      <c r="T870" s="1314" t="str">
        <f t="shared" si="136"/>
        <v/>
      </c>
      <c r="U870" s="1311"/>
      <c r="V870" s="1311"/>
      <c r="W870" s="1311"/>
      <c r="X870" s="1311"/>
      <c r="Y870" s="1311"/>
      <c r="Z870" s="1311"/>
    </row>
    <row r="871" spans="1:26" x14ac:dyDescent="0.25">
      <c r="A871" s="850" t="s">
        <v>1385</v>
      </c>
      <c r="B871" s="826" t="str">
        <f ca="1">IFERROR(_xlfn.CONCAT("C",MATCH(A871,INDIRECT("'"&amp;E871&amp;"'!C"&amp;$O$862&amp;":C"&amp;$O$864),0)+$O$862-1),"")</f>
        <v>C229</v>
      </c>
      <c r="C871" s="826" t="str">
        <f ca="1">IFERROR(_xlfn.CONCAT("D",MATCH(A871,INDIRECT("'"&amp;E871&amp;"'!C"&amp;$O$862&amp;":C"&amp;$O$864),0)+$O$862-1),"")</f>
        <v>D229</v>
      </c>
      <c r="D871" s="826" t="s">
        <v>1350</v>
      </c>
      <c r="E871" s="826" t="s">
        <v>1516</v>
      </c>
      <c r="F871" s="1314" t="s">
        <v>1385</v>
      </c>
      <c r="G871" s="1314" t="str">
        <f>IF(T871&lt;&gt;"","C","")</f>
        <v/>
      </c>
      <c r="H871" s="1314" t="s">
        <v>1990</v>
      </c>
      <c r="I871" s="1274" t="str">
        <f t="shared" si="132"/>
        <v/>
      </c>
      <c r="J871" s="1314"/>
      <c r="K871" s="1314" t="str">
        <f t="shared" si="133"/>
        <v/>
      </c>
      <c r="L871" s="826" t="s">
        <v>1385</v>
      </c>
      <c r="M871" s="1329">
        <v>854</v>
      </c>
      <c r="N871" s="1314"/>
      <c r="O871" s="1311"/>
      <c r="P871" s="1311"/>
      <c r="Q871" s="1311"/>
      <c r="R871" s="1314" t="s">
        <v>1531</v>
      </c>
      <c r="S871" s="1311"/>
      <c r="T871" s="1314" t="str">
        <f t="shared" si="136"/>
        <v/>
      </c>
      <c r="U871" s="1311"/>
      <c r="V871" s="1311"/>
      <c r="W871" s="1311"/>
      <c r="X871" s="1311"/>
      <c r="Y871" s="1311"/>
      <c r="Z871" s="1311"/>
    </row>
    <row r="872" spans="1:26" x14ac:dyDescent="0.25">
      <c r="A872" s="850" t="s">
        <v>1386</v>
      </c>
      <c r="B872" s="826" t="str">
        <f ca="1">IFERROR(_xlfn.CONCAT("C",MATCH(A872,INDIRECT("'"&amp;E872&amp;"'!C"&amp;$O$862&amp;":C"&amp;$O$864),0)+$O$862-1),"")</f>
        <v>C231</v>
      </c>
      <c r="C872" s="826" t="str">
        <f ca="1">IFERROR(_xlfn.CONCAT("D",MATCH(A872,INDIRECT("'"&amp;E872&amp;"'!C"&amp;$O$862&amp;":C"&amp;$O$864),0)+$O$862-1),"")</f>
        <v>D231</v>
      </c>
      <c r="D872" s="826" t="s">
        <v>1350</v>
      </c>
      <c r="E872" s="826" t="s">
        <v>1516</v>
      </c>
      <c r="F872" s="1314" t="s">
        <v>1386</v>
      </c>
      <c r="G872" s="1314" t="str">
        <f>IF(T872&lt;&gt;"","D","")</f>
        <v/>
      </c>
      <c r="H872" s="1314" t="s">
        <v>1990</v>
      </c>
      <c r="I872" s="1274" t="str">
        <f t="shared" si="132"/>
        <v/>
      </c>
      <c r="J872" s="1314"/>
      <c r="K872" s="1314" t="str">
        <f t="shared" si="133"/>
        <v/>
      </c>
      <c r="L872" s="826" t="s">
        <v>1386</v>
      </c>
      <c r="M872" s="1329">
        <v>855</v>
      </c>
      <c r="N872" s="1314"/>
      <c r="O872" s="1311"/>
      <c r="P872" s="1311"/>
      <c r="Q872" s="1311"/>
      <c r="R872" s="1314" t="s">
        <v>1531</v>
      </c>
      <c r="S872" s="1311"/>
      <c r="T872" s="1314" t="str">
        <f t="shared" si="136"/>
        <v/>
      </c>
      <c r="U872" s="1311"/>
      <c r="V872" s="1311"/>
      <c r="W872" s="1311"/>
      <c r="X872" s="1311"/>
      <c r="Y872" s="1311"/>
      <c r="Z872" s="1311"/>
    </row>
    <row r="873" spans="1:26" x14ac:dyDescent="0.25">
      <c r="A873" s="850" t="s">
        <v>1495</v>
      </c>
      <c r="B873" s="826" t="str">
        <f ca="1">IFERROR(_xlfn.CONCAT("C",MATCH(A873,INDIRECT("'"&amp;E873&amp;"'!C"&amp;$O$862&amp;":C"&amp;$O$864),0)+$O$862-1),"")</f>
        <v>C235</v>
      </c>
      <c r="C873" s="826" t="str">
        <f ca="1">IFERROR(_xlfn.CONCAT("D",MATCH(A873,INDIRECT("'"&amp;E873&amp;"'!C"&amp;$O$862&amp;":C"&amp;$O$864),0)+$O$862-1),"")</f>
        <v>D235</v>
      </c>
      <c r="D873" s="826" t="s">
        <v>1350</v>
      </c>
      <c r="E873" s="826" t="s">
        <v>1516</v>
      </c>
      <c r="F873" s="1314" t="s">
        <v>1495</v>
      </c>
      <c r="G873" s="1314" t="str">
        <f>IF(T873&lt;&gt;"","AN","")</f>
        <v/>
      </c>
      <c r="H873" s="1314" t="s">
        <v>1990</v>
      </c>
      <c r="I873" s="1274" t="str">
        <f t="shared" si="132"/>
        <v/>
      </c>
      <c r="J873" s="1314" t="str">
        <f t="shared" si="137"/>
        <v/>
      </c>
      <c r="K873" s="1314" t="str">
        <f t="shared" si="133"/>
        <v/>
      </c>
      <c r="L873" s="826" t="s">
        <v>1495</v>
      </c>
      <c r="M873" s="1329">
        <v>856</v>
      </c>
      <c r="N873" s="1314"/>
      <c r="O873" s="1405"/>
      <c r="P873" s="1317" t="str" cm="1">
        <f t="array" aca="1" ref="P873" ca="1">_xlfn.CONCAT("F",RIGHT(B873, LEN(B873) - MAX(IF(ISNUMBER(MID(B873, ROW(INDIRECT("1:"&amp;LEN(B873))), 1) *1)=FALSE, ROW(INDIRECT("1:"&amp;LEN(B873))), 0))))</f>
        <v>F235</v>
      </c>
      <c r="Q873" s="1314" t="str" cm="1">
        <f t="array" aca="1" ref="Q873" ca="1">_xlfn.CONCAT("E",RIGHT(C873, LEN(C873) - MAX(IF(ISNUMBER(MID(C873, ROW(INDIRECT("1:"&amp;LEN(C873))), 1) *1)=FALSE, ROW(INDIRECT("1:"&amp;LEN(C873))), 0))))</f>
        <v>E235</v>
      </c>
      <c r="R873" s="1314" t="s">
        <v>1531</v>
      </c>
      <c r="S873" s="1311"/>
      <c r="T873" s="1314" t="str">
        <f t="shared" si="136"/>
        <v/>
      </c>
      <c r="U873" s="1311"/>
      <c r="V873" s="1311"/>
      <c r="W873" s="1311"/>
      <c r="X873" s="1311"/>
      <c r="Y873" s="1311"/>
      <c r="Z873" s="1311"/>
    </row>
    <row r="874" spans="1:26" x14ac:dyDescent="0.25">
      <c r="A874" s="850" t="s">
        <v>1492</v>
      </c>
      <c r="B874" s="826" t="str">
        <f ca="1">_xlfn.CONCAT(IFERROR(SUBSTITUTE(ADDRESS(1,MATCH(A874,INDIRECT("'"&amp;E874&amp;"'"&amp;"!A" &amp; $O$862 + 12 &amp; ":Z" &amp; $O$862+ 12),0),4),1,""),""),$O$862 + 12)</f>
        <v>H235</v>
      </c>
      <c r="C874" s="826" t="str">
        <f ca="1">_xlfn.CONCAT(IFERROR(SUBSTITUTE(ADDRESS(1,MATCH(A874,INDIRECT("'"&amp;E874&amp;"'"&amp;"!A" &amp; $O$862 + 12 &amp; ":Z" &amp; $O$862+ 12),0),4),1,""),""),$O$862 + 13)</f>
        <v>H236</v>
      </c>
      <c r="D874" s="826" t="s">
        <v>1350</v>
      </c>
      <c r="E874" s="826" t="s">
        <v>1516</v>
      </c>
      <c r="F874" s="1314" t="s">
        <v>1492</v>
      </c>
      <c r="G874" s="1314" t="str">
        <f>IF(T874&lt;&gt;"","AL","")</f>
        <v/>
      </c>
      <c r="H874" s="1314" t="s">
        <v>1990</v>
      </c>
      <c r="I874" s="1274" t="str">
        <f t="shared" si="132"/>
        <v/>
      </c>
      <c r="J874" s="1314" t="str">
        <f t="shared" si="137"/>
        <v/>
      </c>
      <c r="K874" s="1314" t="str">
        <f t="shared" si="133"/>
        <v/>
      </c>
      <c r="L874" s="826" t="s">
        <v>1492</v>
      </c>
      <c r="M874" s="1329">
        <v>857</v>
      </c>
      <c r="N874" s="1314"/>
      <c r="O874" s="1311"/>
      <c r="P874" s="1311"/>
      <c r="Q874" s="1311"/>
      <c r="R874" s="1314" t="s">
        <v>1531</v>
      </c>
      <c r="S874" s="1311"/>
      <c r="T874" s="1314" t="str">
        <f t="shared" si="136"/>
        <v/>
      </c>
      <c r="U874" s="1311"/>
      <c r="V874" s="1311"/>
      <c r="W874" s="1311"/>
      <c r="X874" s="1311"/>
      <c r="Y874" s="1311"/>
      <c r="Z874" s="1311"/>
    </row>
    <row r="875" spans="1:26" x14ac:dyDescent="0.25">
      <c r="A875" s="850" t="s">
        <v>1506</v>
      </c>
      <c r="B875" s="826" t="str">
        <f ca="1">_xlfn.CONCAT(IFERROR(SUBSTITUTE(ADDRESS(1,MATCH(A875,INDIRECT("'"&amp;E875&amp;"'"&amp;"!A" &amp; $O$862 + 12 &amp; ":Z" &amp; $O$862+ 12),0),4),1,""),""),$O$862 + 12)</f>
        <v>J235</v>
      </c>
      <c r="C875" s="826" t="str">
        <f ca="1">_xlfn.CONCAT(IFERROR(SUBSTITUTE(ADDRESS(1,MATCH(A875,INDIRECT("'"&amp;E875&amp;"'"&amp;"!A" &amp; $O$862 + 12 &amp; ":Z" &amp; $O$862+ 12),0),4),1,""),""),$O$862 + 13)</f>
        <v>J236</v>
      </c>
      <c r="D875" s="826" t="s">
        <v>1350</v>
      </c>
      <c r="E875" s="826" t="s">
        <v>1516</v>
      </c>
      <c r="F875" s="1314" t="s">
        <v>1996</v>
      </c>
      <c r="G875" s="1314" t="str">
        <f>IF(T875&lt;&gt;"","L","")</f>
        <v/>
      </c>
      <c r="H875" s="1314" t="s">
        <v>1990</v>
      </c>
      <c r="I875" s="1274" t="str">
        <f t="shared" si="132"/>
        <v/>
      </c>
      <c r="J875" s="1314" t="str">
        <f t="shared" si="137"/>
        <v/>
      </c>
      <c r="K875" s="1314" t="str">
        <f t="shared" si="133"/>
        <v/>
      </c>
      <c r="L875" s="826" t="s">
        <v>1506</v>
      </c>
      <c r="M875" s="1329">
        <v>858</v>
      </c>
      <c r="N875" s="1314"/>
      <c r="O875" s="1311"/>
      <c r="P875" s="1311"/>
      <c r="Q875" s="1311"/>
      <c r="R875" s="1314" t="s">
        <v>1531</v>
      </c>
      <c r="S875" s="1311"/>
      <c r="T875" s="1314" t="str">
        <f t="shared" si="136"/>
        <v/>
      </c>
      <c r="U875" s="1311"/>
      <c r="V875" s="1311"/>
      <c r="W875" s="1311"/>
      <c r="X875" s="1311"/>
      <c r="Y875" s="1311"/>
      <c r="Z875" s="1311"/>
    </row>
    <row r="876" spans="1:26" x14ac:dyDescent="0.25">
      <c r="A876" s="850" t="s">
        <v>1387</v>
      </c>
      <c r="B876" s="826" t="str">
        <f ca="1">_xlfn.IFNA(_xlfn.CONCAT(SUBSTITUTE(ADDRESS(1,MATCH(A876,INDIRECT("'"&amp;E876&amp;"'"&amp;"!A" &amp; $O$862 + 5 &amp; ":Z" &amp; $O$862+ 5),0),4),1,""),$O$862 + 6),"")</f>
        <v>H229</v>
      </c>
      <c r="C876" s="826" t="str">
        <f t="shared" ref="C876:C890" ca="1" si="140">_xlfn.IFNA(SUBSTITUTE(ADDRESS(1,MATCH(A876,INDIRECT("'"&amp;E876&amp;"'"&amp;"!A" &amp; $O$862 + 5 &amp; ":Z" &amp; $O$862+ 5),0),4),1,""),"")</f>
        <v>H</v>
      </c>
      <c r="D876" s="826" t="s">
        <v>1357</v>
      </c>
      <c r="E876" s="826" t="s">
        <v>1516</v>
      </c>
      <c r="F876" s="841"/>
      <c r="G876" s="1314"/>
      <c r="H876" s="1314"/>
      <c r="I876" s="1274" t="str">
        <f t="shared" si="132"/>
        <v/>
      </c>
      <c r="J876" s="1314" t="str">
        <f t="shared" si="137"/>
        <v/>
      </c>
      <c r="K876" s="1314" t="str">
        <f t="shared" si="133"/>
        <v/>
      </c>
      <c r="L876" s="826" t="s">
        <v>1387</v>
      </c>
      <c r="M876" s="1329">
        <v>859</v>
      </c>
      <c r="N876" s="1314"/>
      <c r="O876" s="1311"/>
      <c r="P876" s="1311"/>
      <c r="Q876" s="1311"/>
      <c r="R876" s="1314" t="s">
        <v>1531</v>
      </c>
      <c r="S876" s="1311"/>
      <c r="T876" s="1314" t="str">
        <f t="shared" si="136"/>
        <v/>
      </c>
      <c r="U876" s="1311"/>
      <c r="V876" s="1311"/>
      <c r="W876" s="1311"/>
      <c r="X876" s="1311"/>
      <c r="Y876" s="1311"/>
      <c r="Z876" s="1311"/>
    </row>
    <row r="877" spans="1:26" x14ac:dyDescent="0.25">
      <c r="A877" s="850" t="s">
        <v>1388</v>
      </c>
      <c r="B877" s="826" t="str">
        <f ca="1">_xlfn.IFNA(_xlfn.CONCAT(SUBSTITUTE(ADDRESS(1,MATCH(A877,INDIRECT("'"&amp;E877&amp;"'"&amp;"!A" &amp; $O$862 + 5 &amp; ":Z" &amp; $O$862+ 5),0),4),1,""),$O$862 + 6),"")</f>
        <v>J229</v>
      </c>
      <c r="C877" s="826" t="str">
        <f t="shared" ca="1" si="140"/>
        <v>J</v>
      </c>
      <c r="D877" s="826" t="s">
        <v>1357</v>
      </c>
      <c r="E877" s="826" t="s">
        <v>1516</v>
      </c>
      <c r="F877" s="841"/>
      <c r="G877" s="1314"/>
      <c r="H877" s="1314"/>
      <c r="I877" s="1274" t="str">
        <f t="shared" si="132"/>
        <v/>
      </c>
      <c r="J877" s="1314"/>
      <c r="K877" s="1314" t="str">
        <f t="shared" si="133"/>
        <v/>
      </c>
      <c r="L877" s="826" t="s">
        <v>1388</v>
      </c>
      <c r="M877" s="1329">
        <v>860</v>
      </c>
      <c r="N877" s="1314"/>
      <c r="O877" s="1311"/>
      <c r="P877" s="1311"/>
      <c r="Q877" s="1311"/>
      <c r="R877" s="1314" t="s">
        <v>1531</v>
      </c>
      <c r="S877" s="1311"/>
      <c r="T877" s="1314" t="str">
        <f t="shared" si="136"/>
        <v/>
      </c>
      <c r="U877" s="1311"/>
      <c r="V877" s="1311"/>
      <c r="W877" s="1311"/>
      <c r="X877" s="1311"/>
      <c r="Y877" s="1311"/>
      <c r="Z877" s="1311"/>
    </row>
    <row r="878" spans="1:26" x14ac:dyDescent="0.25">
      <c r="A878" s="850" t="s">
        <v>1389</v>
      </c>
      <c r="B878" s="826" t="str">
        <f ca="1">_xlfn.IFNA(_xlfn.CONCAT(SUBSTITUTE(ADDRESS(1,MATCH(A878,INDIRECT("'"&amp;E878&amp;"'"&amp;"!A" &amp; $O$862 + 5 &amp; ":Z" &amp; $O$862+ 5),0),4),1,""),$O$862 + 6),"")</f>
        <v>L229</v>
      </c>
      <c r="C878" s="826" t="str">
        <f t="shared" ca="1" si="140"/>
        <v>L</v>
      </c>
      <c r="D878" s="826" t="s">
        <v>1357</v>
      </c>
      <c r="E878" s="826" t="s">
        <v>1516</v>
      </c>
      <c r="F878" s="1081"/>
      <c r="G878" s="1314"/>
      <c r="H878" s="1314"/>
      <c r="I878" s="1274" t="str">
        <f t="shared" si="132"/>
        <v/>
      </c>
      <c r="J878" s="1314"/>
      <c r="K878" s="1314" t="str">
        <f t="shared" si="133"/>
        <v/>
      </c>
      <c r="L878" s="826" t="s">
        <v>1389</v>
      </c>
      <c r="M878" s="1329">
        <v>861</v>
      </c>
      <c r="N878" s="1314"/>
      <c r="O878" s="1311"/>
      <c r="P878" s="1311"/>
      <c r="Q878" s="1311"/>
      <c r="R878" s="1314" t="s">
        <v>1531</v>
      </c>
      <c r="S878" s="1311"/>
      <c r="T878" s="1314" t="str">
        <f t="shared" si="136"/>
        <v/>
      </c>
      <c r="U878" s="1311"/>
      <c r="V878" s="1311"/>
      <c r="W878" s="1311"/>
      <c r="X878" s="1311"/>
      <c r="Y878" s="1311"/>
      <c r="Z878" s="1311"/>
    </row>
    <row r="879" spans="1:26" x14ac:dyDescent="0.25">
      <c r="A879" s="850" t="s">
        <v>1387</v>
      </c>
      <c r="B879" s="826" t="str">
        <f ca="1">_xlfn.IFNA(_xlfn.CONCAT(SUBSTITUTE(ADDRESS(1,MATCH(A879,INDIRECT("'"&amp;E879&amp;"'"&amp;"!A" &amp; $O$862 + 5 &amp; ":Z" &amp; $O$862+ 5),0),4),1,""),$O$862 + 7),"")</f>
        <v>H230</v>
      </c>
      <c r="C879" s="826" t="str">
        <f t="shared" ca="1" si="140"/>
        <v>H</v>
      </c>
      <c r="D879" s="826" t="s">
        <v>1357</v>
      </c>
      <c r="E879" s="826" t="s">
        <v>1516</v>
      </c>
      <c r="F879" s="1314"/>
      <c r="G879" s="1314"/>
      <c r="H879" s="1314"/>
      <c r="I879" s="1274" t="str">
        <f t="shared" si="132"/>
        <v/>
      </c>
      <c r="J879" s="1314" t="str">
        <f t="shared" si="137"/>
        <v/>
      </c>
      <c r="K879" s="1314" t="str">
        <f t="shared" si="133"/>
        <v/>
      </c>
      <c r="L879" s="826" t="s">
        <v>1387</v>
      </c>
      <c r="M879" s="1329">
        <v>862</v>
      </c>
      <c r="N879" s="1314"/>
      <c r="O879" s="1311"/>
      <c r="P879" s="1311"/>
      <c r="Q879" s="1311"/>
      <c r="R879" s="1314" t="s">
        <v>1531</v>
      </c>
      <c r="S879" s="1311"/>
      <c r="T879" s="1314" t="str">
        <f t="shared" si="136"/>
        <v/>
      </c>
      <c r="U879" s="1311"/>
      <c r="V879" s="1311"/>
      <c r="W879" s="1311"/>
      <c r="X879" s="1311"/>
      <c r="Y879" s="1311"/>
      <c r="Z879" s="1311"/>
    </row>
    <row r="880" spans="1:26" x14ac:dyDescent="0.25">
      <c r="A880" s="850" t="s">
        <v>1388</v>
      </c>
      <c r="B880" s="826" t="str">
        <f ca="1">_xlfn.IFNA(_xlfn.CONCAT(SUBSTITUTE(ADDRESS(1,MATCH(A880,INDIRECT("'"&amp;E880&amp;"'"&amp;"!A" &amp; $O$862 + 5 &amp; ":Z" &amp; $O$862+ 5),0),4),1,""),$O$862 + 7),"")</f>
        <v>J230</v>
      </c>
      <c r="C880" s="826" t="str">
        <f t="shared" ca="1" si="140"/>
        <v>J</v>
      </c>
      <c r="D880" s="826" t="s">
        <v>1357</v>
      </c>
      <c r="E880" s="826" t="s">
        <v>1516</v>
      </c>
      <c r="F880" s="1314"/>
      <c r="G880" s="1314"/>
      <c r="H880" s="1314"/>
      <c r="I880" s="1274" t="str">
        <f t="shared" si="132"/>
        <v/>
      </c>
      <c r="J880" s="1314"/>
      <c r="K880" s="1314" t="str">
        <f t="shared" si="133"/>
        <v/>
      </c>
      <c r="L880" s="826" t="s">
        <v>1388</v>
      </c>
      <c r="M880" s="1329">
        <v>863</v>
      </c>
      <c r="N880" s="1314"/>
      <c r="O880" s="1311"/>
      <c r="P880" s="1311"/>
      <c r="Q880" s="1311"/>
      <c r="R880" s="1314" t="s">
        <v>1531</v>
      </c>
      <c r="S880" s="1311"/>
      <c r="T880" s="1314" t="str">
        <f t="shared" si="136"/>
        <v/>
      </c>
      <c r="U880" s="1311"/>
      <c r="V880" s="1311"/>
      <c r="W880" s="1311"/>
      <c r="X880" s="1311"/>
      <c r="Y880" s="1311"/>
      <c r="Z880" s="1311"/>
    </row>
    <row r="881" spans="1:26" x14ac:dyDescent="0.25">
      <c r="A881" s="850" t="s">
        <v>1389</v>
      </c>
      <c r="B881" s="826" t="str">
        <f ca="1">_xlfn.IFNA(_xlfn.CONCAT(SUBSTITUTE(ADDRESS(1,MATCH(A881,INDIRECT("'"&amp;E881&amp;"'"&amp;"!A" &amp; $O$862 + 5 &amp; ":Z" &amp; $O$862+ 5),0),4),1,""),$O$862 + 7),"")</f>
        <v>L230</v>
      </c>
      <c r="C881" s="826" t="str">
        <f t="shared" ca="1" si="140"/>
        <v>L</v>
      </c>
      <c r="D881" s="826" t="s">
        <v>1357</v>
      </c>
      <c r="E881" s="826" t="s">
        <v>1516</v>
      </c>
      <c r="F881" s="1314"/>
      <c r="G881" s="1314"/>
      <c r="H881" s="1314"/>
      <c r="I881" s="1274" t="str">
        <f t="shared" si="132"/>
        <v/>
      </c>
      <c r="J881" s="1314"/>
      <c r="K881" s="1314" t="str">
        <f t="shared" si="133"/>
        <v/>
      </c>
      <c r="L881" s="826" t="s">
        <v>1389</v>
      </c>
      <c r="M881" s="1329">
        <v>864</v>
      </c>
      <c r="N881" s="1314"/>
      <c r="O881" s="1311"/>
      <c r="P881" s="1311"/>
      <c r="Q881" s="1311"/>
      <c r="R881" s="1314" t="s">
        <v>1531</v>
      </c>
      <c r="S881" s="1311"/>
      <c r="T881" s="1314" t="str">
        <f t="shared" si="136"/>
        <v/>
      </c>
      <c r="U881" s="1311"/>
      <c r="V881" s="1311"/>
      <c r="W881" s="1311"/>
      <c r="X881" s="1311"/>
      <c r="Y881" s="1311"/>
      <c r="Z881" s="1311"/>
    </row>
    <row r="882" spans="1:26" x14ac:dyDescent="0.25">
      <c r="A882" s="850" t="s">
        <v>1387</v>
      </c>
      <c r="B882" s="826" t="str">
        <f ca="1">_xlfn.IFNA(_xlfn.CONCAT(SUBSTITUTE(ADDRESS(1,MATCH(A882,INDIRECT("'"&amp;E882&amp;"'"&amp;"!A" &amp; $O$862 + 5 &amp; ":Z" &amp; $O$862+ 5),0),4),1,""),$O$862 + 8),"")</f>
        <v>H231</v>
      </c>
      <c r="C882" s="826" t="str">
        <f t="shared" ca="1" si="140"/>
        <v>H</v>
      </c>
      <c r="D882" s="826" t="s">
        <v>1357</v>
      </c>
      <c r="E882" s="826" t="s">
        <v>1516</v>
      </c>
      <c r="F882" s="1314"/>
      <c r="G882" s="1314"/>
      <c r="H882" s="1314"/>
      <c r="I882" s="1274" t="str">
        <f t="shared" si="132"/>
        <v/>
      </c>
      <c r="J882" s="1314" t="str">
        <f t="shared" si="137"/>
        <v/>
      </c>
      <c r="K882" s="1314" t="str">
        <f t="shared" si="133"/>
        <v/>
      </c>
      <c r="L882" s="826" t="s">
        <v>1387</v>
      </c>
      <c r="M882" s="1329">
        <v>865</v>
      </c>
      <c r="N882" s="1314"/>
      <c r="O882" s="1311"/>
      <c r="P882" s="1311"/>
      <c r="Q882" s="1311"/>
      <c r="R882" s="1314" t="s">
        <v>1531</v>
      </c>
      <c r="S882" s="1311"/>
      <c r="T882" s="1314" t="str">
        <f t="shared" si="136"/>
        <v/>
      </c>
      <c r="U882" s="1311"/>
      <c r="V882" s="1311"/>
      <c r="W882" s="1311"/>
      <c r="X882" s="1311"/>
      <c r="Y882" s="1311"/>
      <c r="Z882" s="1311"/>
    </row>
    <row r="883" spans="1:26" x14ac:dyDescent="0.25">
      <c r="A883" s="850" t="s">
        <v>1388</v>
      </c>
      <c r="B883" s="826" t="str">
        <f ca="1">_xlfn.IFNA(_xlfn.CONCAT(SUBSTITUTE(ADDRESS(1,MATCH(A883,INDIRECT("'"&amp;E883&amp;"'"&amp;"!A" &amp; $O$862 + 5 &amp; ":Z" &amp; $O$862+ 5),0),4),1,""),$O$862 + 8),"")</f>
        <v>J231</v>
      </c>
      <c r="C883" s="826" t="str">
        <f t="shared" ca="1" si="140"/>
        <v>J</v>
      </c>
      <c r="D883" s="826" t="s">
        <v>1357</v>
      </c>
      <c r="E883" s="826" t="s">
        <v>1516</v>
      </c>
      <c r="F883" s="1314"/>
      <c r="G883" s="1314"/>
      <c r="H883" s="1314"/>
      <c r="I883" s="1274" t="str">
        <f t="shared" si="132"/>
        <v/>
      </c>
      <c r="J883" s="1314"/>
      <c r="K883" s="1314" t="str">
        <f t="shared" si="133"/>
        <v/>
      </c>
      <c r="L883" s="826" t="s">
        <v>1388</v>
      </c>
      <c r="M883" s="1329">
        <v>866</v>
      </c>
      <c r="N883" s="1314"/>
      <c r="O883" s="1311"/>
      <c r="P883" s="1311"/>
      <c r="Q883" s="1311"/>
      <c r="R883" s="1314" t="s">
        <v>1531</v>
      </c>
      <c r="S883" s="1311"/>
      <c r="T883" s="1314" t="str">
        <f t="shared" si="136"/>
        <v/>
      </c>
      <c r="U883" s="1311"/>
      <c r="V883" s="1311"/>
      <c r="W883" s="1311"/>
      <c r="X883" s="1311"/>
      <c r="Y883" s="1311"/>
      <c r="Z883" s="1311"/>
    </row>
    <row r="884" spans="1:26" x14ac:dyDescent="0.25">
      <c r="A884" s="850" t="s">
        <v>1389</v>
      </c>
      <c r="B884" s="826" t="str">
        <f ca="1">_xlfn.IFNA(_xlfn.CONCAT(SUBSTITUTE(ADDRESS(1,MATCH(A884,INDIRECT("'"&amp;E884&amp;"'"&amp;"!A" &amp; $O$862 + 5 &amp; ":Z" &amp; $O$862+ 5),0),4),1,""),$O$862 + 8),"")</f>
        <v>L231</v>
      </c>
      <c r="C884" s="826" t="str">
        <f t="shared" ca="1" si="140"/>
        <v>L</v>
      </c>
      <c r="D884" s="826" t="s">
        <v>1357</v>
      </c>
      <c r="E884" s="826" t="s">
        <v>1516</v>
      </c>
      <c r="F884" s="1314"/>
      <c r="G884" s="1314"/>
      <c r="H884" s="1314"/>
      <c r="I884" s="1274" t="str">
        <f t="shared" si="132"/>
        <v/>
      </c>
      <c r="J884" s="1314"/>
      <c r="K884" s="1314" t="str">
        <f t="shared" si="133"/>
        <v/>
      </c>
      <c r="L884" s="826" t="s">
        <v>1389</v>
      </c>
      <c r="M884" s="1329">
        <v>867</v>
      </c>
      <c r="N884" s="1314"/>
      <c r="O884" s="1311"/>
      <c r="P884" s="1311"/>
      <c r="Q884" s="1311"/>
      <c r="R884" s="1314" t="s">
        <v>1531</v>
      </c>
      <c r="S884" s="1311"/>
      <c r="T884" s="1314" t="str">
        <f t="shared" si="136"/>
        <v/>
      </c>
      <c r="U884" s="1311"/>
      <c r="V884" s="1311"/>
      <c r="W884" s="1311"/>
      <c r="X884" s="1311"/>
      <c r="Y884" s="1311"/>
      <c r="Z884" s="1311"/>
    </row>
    <row r="885" spans="1:26" x14ac:dyDescent="0.25">
      <c r="A885" s="850" t="s">
        <v>1387</v>
      </c>
      <c r="B885" s="826" t="str">
        <f ca="1">_xlfn.IFNA(_xlfn.CONCAT(SUBSTITUTE(ADDRESS(1,MATCH(A885,INDIRECT("'"&amp;E885&amp;"'"&amp;"!A" &amp; $O$862 + 5 &amp; ":Z" &amp; $O$862+ 5),0),4),1,""),$O$862 + 9),"")</f>
        <v>H232</v>
      </c>
      <c r="C885" s="826" t="str">
        <f t="shared" ca="1" si="140"/>
        <v>H</v>
      </c>
      <c r="D885" s="826" t="s">
        <v>1357</v>
      </c>
      <c r="E885" s="826" t="s">
        <v>1516</v>
      </c>
      <c r="F885" s="1314"/>
      <c r="G885" s="1314"/>
      <c r="H885" s="1314"/>
      <c r="I885" s="1274" t="str">
        <f t="shared" si="132"/>
        <v/>
      </c>
      <c r="J885" s="1314" t="str">
        <f t="shared" si="137"/>
        <v/>
      </c>
      <c r="K885" s="1314" t="str">
        <f t="shared" si="133"/>
        <v/>
      </c>
      <c r="L885" s="826" t="s">
        <v>1387</v>
      </c>
      <c r="M885" s="1329">
        <v>868</v>
      </c>
      <c r="N885" s="1314"/>
      <c r="O885" s="1311"/>
      <c r="P885" s="1311"/>
      <c r="Q885" s="1311"/>
      <c r="R885" s="1314" t="s">
        <v>1531</v>
      </c>
      <c r="S885" s="1311"/>
      <c r="T885" s="1314" t="str">
        <f t="shared" si="136"/>
        <v/>
      </c>
      <c r="U885" s="1311"/>
      <c r="V885" s="1311"/>
      <c r="W885" s="1311"/>
      <c r="X885" s="1311"/>
      <c r="Y885" s="1311"/>
      <c r="Z885" s="1311"/>
    </row>
    <row r="886" spans="1:26" x14ac:dyDescent="0.25">
      <c r="A886" s="850" t="s">
        <v>1388</v>
      </c>
      <c r="B886" s="826" t="str">
        <f ca="1">_xlfn.IFNA(_xlfn.CONCAT(SUBSTITUTE(ADDRESS(1,MATCH(A886,INDIRECT("'"&amp;E886&amp;"'"&amp;"!A" &amp; $O$862 + 5 &amp; ":Z" &amp; $O$862+ 5),0),4),1,""),$O$862 + 9),"")</f>
        <v>J232</v>
      </c>
      <c r="C886" s="826" t="str">
        <f t="shared" ca="1" si="140"/>
        <v>J</v>
      </c>
      <c r="D886" s="826" t="s">
        <v>1357</v>
      </c>
      <c r="E886" s="826" t="s">
        <v>1516</v>
      </c>
      <c r="F886" s="1314"/>
      <c r="G886" s="1314"/>
      <c r="H886" s="1314"/>
      <c r="I886" s="1274" t="str">
        <f t="shared" si="132"/>
        <v/>
      </c>
      <c r="J886" s="1314"/>
      <c r="K886" s="1314" t="str">
        <f t="shared" si="133"/>
        <v/>
      </c>
      <c r="L886" s="826" t="s">
        <v>1388</v>
      </c>
      <c r="M886" s="1329">
        <v>869</v>
      </c>
      <c r="N886" s="1314"/>
      <c r="O886" s="1311"/>
      <c r="P886" s="1311"/>
      <c r="Q886" s="1311"/>
      <c r="R886" s="1314" t="s">
        <v>1531</v>
      </c>
      <c r="S886" s="1311"/>
      <c r="T886" s="1314" t="str">
        <f t="shared" si="136"/>
        <v/>
      </c>
      <c r="U886" s="1311"/>
      <c r="V886" s="1311"/>
      <c r="W886" s="1311"/>
      <c r="X886" s="1311"/>
      <c r="Y886" s="1311"/>
      <c r="Z886" s="1311"/>
    </row>
    <row r="887" spans="1:26" x14ac:dyDescent="0.25">
      <c r="A887" s="850" t="s">
        <v>1389</v>
      </c>
      <c r="B887" s="826" t="str">
        <f ca="1">_xlfn.IFNA(_xlfn.CONCAT(SUBSTITUTE(ADDRESS(1,MATCH(A887,INDIRECT("'"&amp;E887&amp;"'"&amp;"!A" &amp; $O$862 + 5 &amp; ":Z" &amp; $O$862+ 5),0),4),1,""),$O$862 + 9),"")</f>
        <v>L232</v>
      </c>
      <c r="C887" s="826" t="str">
        <f t="shared" ca="1" si="140"/>
        <v>L</v>
      </c>
      <c r="D887" s="826" t="s">
        <v>1357</v>
      </c>
      <c r="E887" s="826" t="s">
        <v>1516</v>
      </c>
      <c r="F887" s="1314"/>
      <c r="G887" s="1314"/>
      <c r="H887" s="1314"/>
      <c r="I887" s="1274" t="str">
        <f t="shared" si="132"/>
        <v/>
      </c>
      <c r="J887" s="1314"/>
      <c r="K887" s="1314" t="str">
        <f t="shared" si="133"/>
        <v/>
      </c>
      <c r="L887" s="826" t="s">
        <v>1389</v>
      </c>
      <c r="M887" s="1329">
        <v>870</v>
      </c>
      <c r="N887" s="1314"/>
      <c r="O887" s="1311"/>
      <c r="P887" s="1311"/>
      <c r="Q887" s="1311"/>
      <c r="R887" s="1314" t="s">
        <v>1531</v>
      </c>
      <c r="S887" s="1311"/>
      <c r="T887" s="1314" t="str">
        <f t="shared" si="136"/>
        <v/>
      </c>
      <c r="U887" s="1311"/>
      <c r="V887" s="1311"/>
      <c r="W887" s="1311"/>
      <c r="X887" s="1311"/>
      <c r="Y887" s="1311"/>
      <c r="Z887" s="1311"/>
    </row>
    <row r="888" spans="1:26" x14ac:dyDescent="0.25">
      <c r="A888" s="850" t="s">
        <v>1387</v>
      </c>
      <c r="B888" s="826" t="str">
        <f ca="1">_xlfn.IFNA(_xlfn.CONCAT(SUBSTITUTE(ADDRESS(1,MATCH(A888,INDIRECT("'"&amp;E888&amp;"'"&amp;"!A" &amp; $O$862 + 5 &amp; ":Z" &amp; $O$862+ 5),0),4),1,""),$O$862 + 10),"")</f>
        <v>H233</v>
      </c>
      <c r="C888" s="826" t="str">
        <f t="shared" ca="1" si="140"/>
        <v>H</v>
      </c>
      <c r="D888" s="826" t="s">
        <v>1357</v>
      </c>
      <c r="E888" s="826" t="s">
        <v>1516</v>
      </c>
      <c r="F888" s="1314"/>
      <c r="G888" s="1314"/>
      <c r="H888" s="1314"/>
      <c r="I888" s="1274" t="str">
        <f t="shared" si="132"/>
        <v/>
      </c>
      <c r="J888" s="1314" t="str">
        <f t="shared" si="137"/>
        <v/>
      </c>
      <c r="K888" s="1314" t="str">
        <f t="shared" si="133"/>
        <v/>
      </c>
      <c r="L888" s="826" t="s">
        <v>1387</v>
      </c>
      <c r="M888" s="1329">
        <v>871</v>
      </c>
      <c r="N888" s="1314"/>
      <c r="O888" s="1311"/>
      <c r="P888" s="1311"/>
      <c r="Q888" s="1311"/>
      <c r="R888" s="1314" t="s">
        <v>1531</v>
      </c>
      <c r="S888" s="1311"/>
      <c r="T888" s="1314" t="str">
        <f t="shared" si="136"/>
        <v/>
      </c>
      <c r="U888" s="1311"/>
      <c r="V888" s="1311"/>
      <c r="W888" s="1311"/>
      <c r="X888" s="1311"/>
      <c r="Y888" s="1311"/>
      <c r="Z888" s="1311"/>
    </row>
    <row r="889" spans="1:26" x14ac:dyDescent="0.25">
      <c r="A889" s="850" t="s">
        <v>1388</v>
      </c>
      <c r="B889" s="826" t="str">
        <f ca="1">_xlfn.IFNA(_xlfn.CONCAT(SUBSTITUTE(ADDRESS(1,MATCH(A889,INDIRECT("'"&amp;E889&amp;"'"&amp;"!A" &amp; $O$862 + 5 &amp; ":Z" &amp; $O$862+ 5),0),4),1,""),$O$862 + 10),"")</f>
        <v>J233</v>
      </c>
      <c r="C889" s="826" t="str">
        <f t="shared" ca="1" si="140"/>
        <v>J</v>
      </c>
      <c r="D889" s="826" t="s">
        <v>1357</v>
      </c>
      <c r="E889" s="826" t="s">
        <v>1516</v>
      </c>
      <c r="F889" s="1314"/>
      <c r="G889" s="1314"/>
      <c r="H889" s="1314"/>
      <c r="I889" s="1274" t="str">
        <f t="shared" si="132"/>
        <v/>
      </c>
      <c r="J889" s="1314"/>
      <c r="K889" s="1314" t="str">
        <f t="shared" si="133"/>
        <v/>
      </c>
      <c r="L889" s="826" t="s">
        <v>1388</v>
      </c>
      <c r="M889" s="1329">
        <v>872</v>
      </c>
      <c r="N889" s="1314"/>
      <c r="O889" s="1311"/>
      <c r="P889" s="1311"/>
      <c r="Q889" s="1311"/>
      <c r="R889" s="1314" t="s">
        <v>1531</v>
      </c>
      <c r="S889" s="1311"/>
      <c r="T889" s="1314" t="str">
        <f t="shared" si="136"/>
        <v/>
      </c>
      <c r="U889" s="1311"/>
      <c r="V889" s="1311"/>
      <c r="W889" s="1311"/>
      <c r="X889" s="1311"/>
      <c r="Y889" s="1311"/>
      <c r="Z889" s="1311"/>
    </row>
    <row r="890" spans="1:26" x14ac:dyDescent="0.25">
      <c r="A890" s="850" t="s">
        <v>1389</v>
      </c>
      <c r="B890" s="826" t="str">
        <f ca="1">_xlfn.IFNA(_xlfn.CONCAT(SUBSTITUTE(ADDRESS(1,MATCH(A890,INDIRECT("'"&amp;E890&amp;"'"&amp;"!A" &amp; $O$862 + 5 &amp; ":Z" &amp; $O$862+ 5),0),4),1,""),$O$862 + 10),"")</f>
        <v>L233</v>
      </c>
      <c r="C890" s="826" t="str">
        <f t="shared" ca="1" si="140"/>
        <v>L</v>
      </c>
      <c r="D890" s="826" t="s">
        <v>1357</v>
      </c>
      <c r="E890" s="826" t="s">
        <v>1516</v>
      </c>
      <c r="F890" s="1314"/>
      <c r="G890" s="1314"/>
      <c r="H890" s="1314"/>
      <c r="I890" s="1274" t="str">
        <f t="shared" si="132"/>
        <v/>
      </c>
      <c r="J890" s="1314"/>
      <c r="K890" s="1314" t="str">
        <f t="shared" si="133"/>
        <v/>
      </c>
      <c r="L890" s="826" t="s">
        <v>1389</v>
      </c>
      <c r="M890" s="1329">
        <v>873</v>
      </c>
      <c r="N890" s="1314"/>
      <c r="O890" s="1311"/>
      <c r="P890" s="1311"/>
      <c r="Q890" s="1311"/>
      <c r="R890" s="1314" t="s">
        <v>1531</v>
      </c>
      <c r="S890" s="1311"/>
      <c r="T890" s="1314" t="str">
        <f t="shared" si="136"/>
        <v/>
      </c>
      <c r="U890" s="1311"/>
      <c r="V890" s="1311"/>
      <c r="W890" s="1311"/>
      <c r="X890" s="1311"/>
      <c r="Y890" s="1311"/>
      <c r="Z890" s="1311"/>
    </row>
    <row r="891" spans="1:26" x14ac:dyDescent="0.25">
      <c r="A891" s="847" t="s">
        <v>1491</v>
      </c>
      <c r="B891" s="826" t="str">
        <f ca="1">IFERROR(_xlfn.CONCAT("C",MATCH(A891,INDIRECT("'"&amp;E891&amp;"'!C"&amp;$O$892&amp;":C"&amp;$O$894),0)+$O$892-1),"")</f>
        <v>C243</v>
      </c>
      <c r="C891" s="826" t="str">
        <f ca="1">IFERROR(_xlfn.CONCAT("D",MATCH(A891,INDIRECT("'"&amp;E891&amp;"'!C"&amp;$O$892&amp;":C"&amp;$O$894),0)+$O$892-1),"")</f>
        <v>D243</v>
      </c>
      <c r="D891" s="826" t="s">
        <v>1350</v>
      </c>
      <c r="E891" s="826" t="s">
        <v>1516</v>
      </c>
      <c r="F891" s="1314" t="s">
        <v>1491</v>
      </c>
      <c r="G891" s="1314" t="str">
        <f>IF(T891&lt;&gt;"","A","")</f>
        <v/>
      </c>
      <c r="H891" s="1314" t="s">
        <v>1990</v>
      </c>
      <c r="I891" s="1274" t="str">
        <f t="shared" si="132"/>
        <v/>
      </c>
      <c r="J891" s="1314"/>
      <c r="K891" s="1314" t="str">
        <f t="shared" si="133"/>
        <v/>
      </c>
      <c r="L891" s="826" t="s">
        <v>1491</v>
      </c>
      <c r="M891" s="1329">
        <v>874</v>
      </c>
      <c r="N891" s="1314"/>
      <c r="O891" s="1311" t="s">
        <v>725</v>
      </c>
      <c r="P891" s="1406"/>
      <c r="Q891" s="1311"/>
      <c r="R891" s="1314" t="s">
        <v>395</v>
      </c>
      <c r="S891" s="1311"/>
      <c r="T891" s="1314" t="str">
        <f>IF(Q$892="Yes",17,"")</f>
        <v/>
      </c>
      <c r="U891" s="1311"/>
      <c r="V891" s="1311"/>
      <c r="W891" s="1311"/>
      <c r="X891" s="1311"/>
      <c r="Y891" s="1311"/>
      <c r="Z891" s="1311"/>
    </row>
    <row r="892" spans="1:26" x14ac:dyDescent="0.25">
      <c r="A892" s="847" t="s">
        <v>1705</v>
      </c>
      <c r="B892" s="826" t="str">
        <f ca="1">_xlfn.CONCAT(IFERROR(SUBSTITUTE(ADDRESS(1,MATCH(A892,INDIRECT("'"&amp;E892&amp;"'"&amp;"!A" &amp; $O$892 + 11 &amp; ":Z" &amp; $O$892+ 11),0),4),1,""),""),$O$892 + 11)</f>
        <v>T250</v>
      </c>
      <c r="C892" s="826" t="str">
        <f ca="1">_xlfn.CONCAT(IFERROR(SUBSTITUTE(ADDRESS(1,MATCH(A892,INDIRECT("'"&amp;E892&amp;"'"&amp;"!A" &amp; $O$892 + 11 &amp; ":Z" &amp; $O$892+ 11),0),4),1,""),""),$O$892 + 12)</f>
        <v>T251</v>
      </c>
      <c r="D892" s="826" t="s">
        <v>1350</v>
      </c>
      <c r="E892" s="826" t="s">
        <v>1516</v>
      </c>
      <c r="F892" s="1314"/>
      <c r="G892" s="1314"/>
      <c r="H892" s="1314"/>
      <c r="I892" s="1274" t="str">
        <f t="shared" si="132"/>
        <v/>
      </c>
      <c r="J892" s="1314" t="str">
        <f t="shared" ref="J892:J909" si="141">IF(M892&lt;&gt;"",IF($Q$892="Yes",Q$1&amp;M892,""))</f>
        <v/>
      </c>
      <c r="K892" s="1314" t="str">
        <f t="shared" si="133"/>
        <v/>
      </c>
      <c r="L892" s="826" t="s">
        <v>1705</v>
      </c>
      <c r="M892" s="1329">
        <v>875</v>
      </c>
      <c r="N892" s="1314"/>
      <c r="O892" s="1311">
        <f>'Configurable Tab'!H19</f>
        <v>239</v>
      </c>
      <c r="P892" s="1406">
        <f>'Configurable Tab'!J19</f>
        <v>0</v>
      </c>
      <c r="Q892" s="1351" t="s">
        <v>648</v>
      </c>
      <c r="R892" s="1314" t="s">
        <v>395</v>
      </c>
      <c r="S892" s="1311"/>
      <c r="T892" s="1314" t="str">
        <f t="shared" ref="T892:T909" si="142">IF(Q$892="Yes",17,"")</f>
        <v/>
      </c>
      <c r="U892" s="1311" t="str">
        <f>IF(Q892="Yes",M892,"")</f>
        <v/>
      </c>
      <c r="V892" s="1311"/>
      <c r="W892" s="1311"/>
      <c r="X892" s="1311"/>
      <c r="Y892" s="1311"/>
      <c r="Z892" s="1311"/>
    </row>
    <row r="893" spans="1:26" x14ac:dyDescent="0.25">
      <c r="A893" s="847" t="s">
        <v>1383</v>
      </c>
      <c r="B893" s="826" t="str">
        <f ca="1">IFERROR(_xlfn.CONCAT("C",MATCH(A893,INDIRECT("'"&amp;E893&amp;"'!C"&amp;$O$892&amp;":C"&amp;$O$894),0)+$O$892-1),"")</f>
        <v>C241</v>
      </c>
      <c r="C893" s="826" t="str">
        <f ca="1">IFERROR(_xlfn.CONCAT("D",MATCH(A893,INDIRECT("'"&amp;E893&amp;"'!C"&amp;$O$892&amp;":C"&amp;$O$894),0)+$O$892-1),"")</f>
        <v>D241</v>
      </c>
      <c r="D893" s="826" t="s">
        <v>1350</v>
      </c>
      <c r="E893" s="826" t="s">
        <v>1516</v>
      </c>
      <c r="F893" s="1314" t="s">
        <v>1383</v>
      </c>
      <c r="G893" s="1314" t="str">
        <f>IF(T893&lt;&gt;"","B","")</f>
        <v/>
      </c>
      <c r="H893" s="1314" t="s">
        <v>1990</v>
      </c>
      <c r="I893" s="1274" t="str">
        <f t="shared" si="132"/>
        <v/>
      </c>
      <c r="J893" s="1314"/>
      <c r="K893" s="1314" t="str">
        <f t="shared" si="133"/>
        <v/>
      </c>
      <c r="L893" s="826" t="s">
        <v>1383</v>
      </c>
      <c r="M893" s="1329">
        <v>876</v>
      </c>
      <c r="N893" s="1314"/>
      <c r="O893" s="1311" t="s">
        <v>726</v>
      </c>
      <c r="P893" s="1311"/>
      <c r="Q893" s="1311"/>
      <c r="R893" s="1314" t="s">
        <v>395</v>
      </c>
      <c r="S893" s="1311"/>
      <c r="T893" s="1314" t="str">
        <f t="shared" si="142"/>
        <v/>
      </c>
      <c r="U893" s="1311"/>
      <c r="V893" s="1311"/>
      <c r="W893" s="1311"/>
      <c r="X893" s="1311"/>
      <c r="Y893" s="1311"/>
      <c r="Z893" s="1311"/>
    </row>
    <row r="894" spans="1:26" x14ac:dyDescent="0.25">
      <c r="A894" s="847" t="s">
        <v>1380</v>
      </c>
      <c r="B894" s="826" t="str">
        <f t="shared" ref="B894:B900" ca="1" si="143">_xlfn.CONCAT(IFERROR(SUBSTITUTE(ADDRESS(1,MATCH(A894,INDIRECT("'"&amp;E894&amp;"'"&amp;"!A" &amp; $O$892 + 2 &amp; ":Z" &amp; $O$892+ 2),0),4),1,""),""),$O$892 + 2)</f>
        <v>H241</v>
      </c>
      <c r="C894" s="826" t="str">
        <f t="shared" ref="C894:C900" ca="1" si="144">_xlfn.CONCAT(IFERROR(SUBSTITUTE(ADDRESS(1,MATCH(A894,INDIRECT("'"&amp;E894&amp;"'"&amp;"!A" &amp; $O$892 + 2 &amp; ":Z" &amp; $O$892+ 2),0),4),1,""),""),$O$892 + 3)</f>
        <v>H242</v>
      </c>
      <c r="D894" s="826" t="s">
        <v>1350</v>
      </c>
      <c r="E894" s="826" t="s">
        <v>1516</v>
      </c>
      <c r="F894" s="1314" t="s">
        <v>1991</v>
      </c>
      <c r="G894" s="1314" t="str">
        <f>IF(T894&lt;&gt;"","E","")</f>
        <v/>
      </c>
      <c r="H894" s="1314" t="s">
        <v>1990</v>
      </c>
      <c r="I894" s="1274" t="str">
        <f t="shared" si="132"/>
        <v/>
      </c>
      <c r="J894" s="1314" t="str">
        <f t="shared" si="141"/>
        <v/>
      </c>
      <c r="K894" s="1314" t="str">
        <f t="shared" si="133"/>
        <v/>
      </c>
      <c r="L894" s="826" t="s">
        <v>1380</v>
      </c>
      <c r="M894" s="1329">
        <v>877</v>
      </c>
      <c r="N894" s="1314"/>
      <c r="O894" s="1311">
        <f>'Configurable Tab'!I19</f>
        <v>252</v>
      </c>
      <c r="P894" s="1311"/>
      <c r="Q894" s="1311"/>
      <c r="R894" s="1314" t="s">
        <v>395</v>
      </c>
      <c r="S894" s="1311"/>
      <c r="T894" s="1314" t="str">
        <f t="shared" si="142"/>
        <v/>
      </c>
      <c r="U894" s="1311"/>
      <c r="V894" s="1311"/>
      <c r="W894" s="1311"/>
      <c r="X894" s="1311"/>
      <c r="Y894" s="1311"/>
      <c r="Z894" s="1311"/>
    </row>
    <row r="895" spans="1:26" x14ac:dyDescent="0.25">
      <c r="A895" s="847" t="s">
        <v>1381</v>
      </c>
      <c r="B895" s="826" t="str">
        <f t="shared" ca="1" si="143"/>
        <v>J241</v>
      </c>
      <c r="C895" s="826" t="str">
        <f t="shared" ca="1" si="144"/>
        <v>J242</v>
      </c>
      <c r="D895" s="826" t="s">
        <v>1350</v>
      </c>
      <c r="E895" s="826" t="s">
        <v>1516</v>
      </c>
      <c r="F895" s="1314" t="s">
        <v>1992</v>
      </c>
      <c r="G895" s="1314" t="str">
        <f>IF(T895&lt;&gt;"","I","")</f>
        <v/>
      </c>
      <c r="H895" s="1314" t="s">
        <v>1990</v>
      </c>
      <c r="I895" s="1274" t="str">
        <f t="shared" si="132"/>
        <v/>
      </c>
      <c r="J895" s="1314" t="str">
        <f t="shared" si="141"/>
        <v/>
      </c>
      <c r="K895" s="1314" t="str">
        <f t="shared" si="133"/>
        <v/>
      </c>
      <c r="L895" s="826" t="s">
        <v>1381</v>
      </c>
      <c r="M895" s="1329">
        <v>878</v>
      </c>
      <c r="N895" s="1314"/>
      <c r="O895" s="1311" t="s">
        <v>1648</v>
      </c>
      <c r="P895" s="1311"/>
      <c r="Q895" s="1311" t="s">
        <v>482</v>
      </c>
      <c r="R895" s="1314" t="s">
        <v>395</v>
      </c>
      <c r="S895" s="1311"/>
      <c r="T895" s="1314" t="str">
        <f t="shared" si="142"/>
        <v/>
      </c>
      <c r="U895" s="1311"/>
      <c r="V895" s="1311"/>
      <c r="W895" s="1311"/>
      <c r="X895" s="1311"/>
      <c r="Y895" s="1311"/>
      <c r="Z895" s="1311"/>
    </row>
    <row r="896" spans="1:26" x14ac:dyDescent="0.25">
      <c r="A896" s="847" t="s">
        <v>1397</v>
      </c>
      <c r="B896" s="826" t="str">
        <f t="shared" ca="1" si="143"/>
        <v>L241</v>
      </c>
      <c r="C896" s="826" t="str">
        <f t="shared" ca="1" si="144"/>
        <v>L242</v>
      </c>
      <c r="D896" s="826" t="s">
        <v>1350</v>
      </c>
      <c r="E896" s="826" t="s">
        <v>1516</v>
      </c>
      <c r="F896" s="1314" t="s">
        <v>1993</v>
      </c>
      <c r="G896" s="1314" t="str">
        <f>IF(T896&lt;&gt;"","H","")</f>
        <v/>
      </c>
      <c r="H896" s="1314" t="s">
        <v>1990</v>
      </c>
      <c r="I896" s="1274" t="str">
        <f t="shared" si="132"/>
        <v/>
      </c>
      <c r="J896" s="1314" t="str">
        <f t="shared" si="141"/>
        <v/>
      </c>
      <c r="K896" s="1314" t="str">
        <f t="shared" si="133"/>
        <v/>
      </c>
      <c r="L896" s="826" t="s">
        <v>1397</v>
      </c>
      <c r="M896" s="1329">
        <v>879</v>
      </c>
      <c r="N896" s="1314"/>
      <c r="O896" s="1311"/>
      <c r="P896" s="1311"/>
      <c r="Q896" s="1311"/>
      <c r="R896" s="1314" t="s">
        <v>395</v>
      </c>
      <c r="S896" s="1311"/>
      <c r="T896" s="1314" t="str">
        <f t="shared" si="142"/>
        <v/>
      </c>
      <c r="U896" s="1311"/>
      <c r="V896" s="1311"/>
      <c r="W896" s="1311"/>
      <c r="X896" s="1311"/>
      <c r="Y896" s="1311"/>
      <c r="Z896" s="1311"/>
    </row>
    <row r="897" spans="1:26" x14ac:dyDescent="0.25">
      <c r="A897" s="847" t="s">
        <v>1382</v>
      </c>
      <c r="B897" s="826" t="str">
        <f t="shared" ca="1" si="143"/>
        <v>N241</v>
      </c>
      <c r="C897" s="826" t="str">
        <f t="shared" ca="1" si="144"/>
        <v>N242</v>
      </c>
      <c r="D897" s="826" t="s">
        <v>1350</v>
      </c>
      <c r="E897" s="826" t="s">
        <v>1516</v>
      </c>
      <c r="F897" s="1314" t="s">
        <v>1382</v>
      </c>
      <c r="G897" s="1314" t="str">
        <f>IF(T897&lt;&gt;"",IF(Q895="Credit Memo","J",IF(Q895="Check","K","")),"")</f>
        <v/>
      </c>
      <c r="H897" s="1314" t="s">
        <v>1990</v>
      </c>
      <c r="I897" s="1274" t="str">
        <f t="shared" si="132"/>
        <v/>
      </c>
      <c r="J897" s="1314" t="str">
        <f t="shared" si="141"/>
        <v/>
      </c>
      <c r="K897" s="1314" t="str">
        <f t="shared" si="133"/>
        <v/>
      </c>
      <c r="L897" s="826" t="s">
        <v>1382</v>
      </c>
      <c r="M897" s="1329">
        <v>880</v>
      </c>
      <c r="N897" s="1314"/>
      <c r="O897" s="1311"/>
      <c r="P897" s="1311"/>
      <c r="Q897" s="1311"/>
      <c r="R897" s="1314" t="s">
        <v>395</v>
      </c>
      <c r="S897" s="1311"/>
      <c r="T897" s="1314" t="str">
        <f t="shared" si="142"/>
        <v/>
      </c>
      <c r="U897" s="1311"/>
      <c r="V897" s="1311"/>
      <c r="W897" s="1311"/>
      <c r="X897" s="1311"/>
      <c r="Y897" s="1311"/>
      <c r="Z897" s="1311"/>
    </row>
    <row r="898" spans="1:26" x14ac:dyDescent="0.25">
      <c r="A898" s="847" t="s">
        <v>1486</v>
      </c>
      <c r="B898" s="826" t="str">
        <f t="shared" ca="1" si="143"/>
        <v>P241</v>
      </c>
      <c r="C898" s="826" t="str">
        <f t="shared" ca="1" si="144"/>
        <v>P242</v>
      </c>
      <c r="D898" s="826" t="s">
        <v>1350</v>
      </c>
      <c r="E898" s="826" t="s">
        <v>1516</v>
      </c>
      <c r="F898" s="1314" t="s">
        <v>1994</v>
      </c>
      <c r="G898" s="1314" t="str">
        <f>IF(T898&lt;&gt;"","F","")</f>
        <v/>
      </c>
      <c r="H898" s="1314" t="s">
        <v>1990</v>
      </c>
      <c r="I898" s="1274" t="str">
        <f t="shared" si="132"/>
        <v/>
      </c>
      <c r="J898" s="1314" t="str">
        <f t="shared" si="141"/>
        <v/>
      </c>
      <c r="K898" s="1314" t="str">
        <f t="shared" si="133"/>
        <v/>
      </c>
      <c r="L898" s="826" t="s">
        <v>1486</v>
      </c>
      <c r="M898" s="1329">
        <v>881</v>
      </c>
      <c r="N898" s="1314"/>
      <c r="O898" s="1311"/>
      <c r="P898" s="1311"/>
      <c r="Q898" s="1311"/>
      <c r="R898" s="1314" t="s">
        <v>395</v>
      </c>
      <c r="S898" s="1311"/>
      <c r="T898" s="1314" t="str">
        <f t="shared" si="142"/>
        <v/>
      </c>
      <c r="U898" s="1311"/>
      <c r="V898" s="1311"/>
      <c r="W898" s="1311"/>
      <c r="X898" s="1311"/>
      <c r="Y898" s="1311"/>
      <c r="Z898" s="1311"/>
    </row>
    <row r="899" spans="1:26" x14ac:dyDescent="0.25">
      <c r="A899" s="847" t="s">
        <v>1487</v>
      </c>
      <c r="B899" s="826" t="str">
        <f t="shared" ca="1" si="143"/>
        <v>R241</v>
      </c>
      <c r="C899" s="826" t="str">
        <f t="shared" ca="1" si="144"/>
        <v>R242</v>
      </c>
      <c r="D899" s="826" t="s">
        <v>1350</v>
      </c>
      <c r="E899" s="826" t="s">
        <v>1516</v>
      </c>
      <c r="F899" s="1314" t="s">
        <v>1995</v>
      </c>
      <c r="G899" s="1314" t="str">
        <f>IF(T899&lt;&gt;"","G","")</f>
        <v/>
      </c>
      <c r="H899" s="1314" t="s">
        <v>1990</v>
      </c>
      <c r="I899" s="1274" t="str">
        <f t="shared" si="132"/>
        <v/>
      </c>
      <c r="J899" s="1314" t="str">
        <f t="shared" si="141"/>
        <v/>
      </c>
      <c r="K899" s="1314" t="str">
        <f t="shared" si="133"/>
        <v/>
      </c>
      <c r="L899" s="826" t="s">
        <v>1487</v>
      </c>
      <c r="M899" s="1329">
        <v>882</v>
      </c>
      <c r="N899" s="1314"/>
      <c r="O899" s="1311"/>
      <c r="P899" s="1311"/>
      <c r="Q899" s="1311"/>
      <c r="R899" s="1314" t="s">
        <v>395</v>
      </c>
      <c r="S899" s="1311"/>
      <c r="T899" s="1314" t="str">
        <f t="shared" si="142"/>
        <v/>
      </c>
      <c r="U899" s="1311"/>
      <c r="V899" s="1311"/>
      <c r="W899" s="1311"/>
      <c r="X899" s="1311"/>
      <c r="Y899" s="1311"/>
      <c r="Z899" s="1311"/>
    </row>
    <row r="900" spans="1:26" x14ac:dyDescent="0.25">
      <c r="A900" s="847" t="s">
        <v>1488</v>
      </c>
      <c r="B900" s="826" t="str">
        <f t="shared" ca="1" si="143"/>
        <v>T241</v>
      </c>
      <c r="C900" s="826" t="str">
        <f t="shared" ca="1" si="144"/>
        <v>T242</v>
      </c>
      <c r="D900" s="826" t="s">
        <v>1350</v>
      </c>
      <c r="E900" s="826" t="s">
        <v>1516</v>
      </c>
      <c r="F900" s="841" t="s">
        <v>1488</v>
      </c>
      <c r="G900" s="1314" t="str">
        <f>IF(T900&lt;&gt;"","AW","")</f>
        <v/>
      </c>
      <c r="H900" s="1314" t="s">
        <v>1990</v>
      </c>
      <c r="I900" s="1274" t="str">
        <f t="shared" ref="I900:I963" si="145">IF(J900&lt;&gt;"",A900,"")</f>
        <v/>
      </c>
      <c r="J900" s="1314" t="str">
        <f t="shared" si="141"/>
        <v/>
      </c>
      <c r="K900" s="1314" t="str">
        <f t="shared" ref="K900:K963" si="146">IF(J900&lt;&gt;"",E900,"")</f>
        <v/>
      </c>
      <c r="L900" s="826" t="s">
        <v>1488</v>
      </c>
      <c r="M900" s="1329">
        <v>883</v>
      </c>
      <c r="N900" s="1314"/>
      <c r="O900" s="1311"/>
      <c r="P900" s="1311"/>
      <c r="Q900" s="1311"/>
      <c r="R900" s="1314" t="s">
        <v>395</v>
      </c>
      <c r="S900" s="1311"/>
      <c r="T900" s="1314" t="str">
        <f t="shared" si="142"/>
        <v/>
      </c>
      <c r="U900" s="1311"/>
      <c r="V900" s="1311"/>
      <c r="W900" s="1311"/>
      <c r="X900" s="1311"/>
      <c r="Y900" s="1311"/>
      <c r="Z900" s="1311"/>
    </row>
    <row r="901" spans="1:26" x14ac:dyDescent="0.25">
      <c r="A901" s="847" t="s">
        <v>1385</v>
      </c>
      <c r="B901" s="826" t="str">
        <f ca="1">IFERROR(_xlfn.CONCAT("C",MATCH(A901,INDIRECT("'"&amp;E901&amp;"'!C"&amp;$O$892&amp;":C"&amp;$O$894),0)+$O$892-1),"")</f>
        <v>C245</v>
      </c>
      <c r="C901" s="826" t="str">
        <f ca="1">IFERROR(_xlfn.CONCAT("D",MATCH(A901,INDIRECT("'"&amp;E901&amp;"'!C"&amp;$O$892&amp;":C"&amp;$O$894),0)+$O$892-1),"")</f>
        <v>D245</v>
      </c>
      <c r="D901" s="826" t="s">
        <v>1350</v>
      </c>
      <c r="E901" s="826" t="s">
        <v>1516</v>
      </c>
      <c r="F901" s="1314" t="s">
        <v>1385</v>
      </c>
      <c r="G901" s="1314" t="str">
        <f>IF(T901&lt;&gt;"","C","")</f>
        <v/>
      </c>
      <c r="H901" s="1314" t="s">
        <v>1990</v>
      </c>
      <c r="I901" s="1274" t="str">
        <f t="shared" si="145"/>
        <v/>
      </c>
      <c r="J901" s="1314"/>
      <c r="K901" s="1314" t="str">
        <f t="shared" si="146"/>
        <v/>
      </c>
      <c r="L901" s="826" t="s">
        <v>1385</v>
      </c>
      <c r="M901" s="1329">
        <v>884</v>
      </c>
      <c r="N901" s="1314"/>
      <c r="O901" s="1311"/>
      <c r="P901" s="1311"/>
      <c r="Q901" s="1311"/>
      <c r="R901" s="1314" t="s">
        <v>395</v>
      </c>
      <c r="S901" s="1311"/>
      <c r="T901" s="1314" t="str">
        <f t="shared" si="142"/>
        <v/>
      </c>
      <c r="U901" s="1311"/>
      <c r="V901" s="1311"/>
      <c r="W901" s="1311"/>
      <c r="X901" s="1311"/>
      <c r="Y901" s="1311"/>
      <c r="Z901" s="1311"/>
    </row>
    <row r="902" spans="1:26" x14ac:dyDescent="0.25">
      <c r="A902" s="847" t="s">
        <v>1386</v>
      </c>
      <c r="B902" s="826" t="str">
        <f ca="1">IFERROR(_xlfn.CONCAT("C",MATCH(A902,INDIRECT("'"&amp;E902&amp;"'!C"&amp;$O$892&amp;":C"&amp;$O$894),0)+$O$892-1),"")</f>
        <v>C247</v>
      </c>
      <c r="C902" s="826" t="str">
        <f ca="1">IFERROR(_xlfn.CONCAT("D",MATCH(A902,INDIRECT("'"&amp;E902&amp;"'!C"&amp;$O$892&amp;":C"&amp;$O$894),0)+$O$892-1),"")</f>
        <v>D247</v>
      </c>
      <c r="D902" s="826" t="s">
        <v>1350</v>
      </c>
      <c r="E902" s="826" t="s">
        <v>1516</v>
      </c>
      <c r="F902" s="1314" t="s">
        <v>1386</v>
      </c>
      <c r="G902" s="1314" t="str">
        <f>IF(T902&lt;&gt;"","D","")</f>
        <v/>
      </c>
      <c r="H902" s="1314" t="s">
        <v>1990</v>
      </c>
      <c r="I902" s="1274" t="str">
        <f t="shared" si="145"/>
        <v/>
      </c>
      <c r="J902" s="1314"/>
      <c r="K902" s="1314" t="str">
        <f t="shared" si="146"/>
        <v/>
      </c>
      <c r="L902" s="826" t="s">
        <v>1386</v>
      </c>
      <c r="M902" s="1329">
        <v>885</v>
      </c>
      <c r="N902" s="1314"/>
      <c r="O902" s="1311"/>
      <c r="P902" s="1311"/>
      <c r="Q902" s="1311"/>
      <c r="R902" s="1314" t="s">
        <v>395</v>
      </c>
      <c r="S902" s="1311"/>
      <c r="T902" s="1314" t="str">
        <f t="shared" si="142"/>
        <v/>
      </c>
      <c r="U902" s="1311"/>
      <c r="V902" s="1311"/>
      <c r="W902" s="1311"/>
      <c r="X902" s="1311"/>
      <c r="Y902" s="1311"/>
      <c r="Z902" s="1311"/>
    </row>
    <row r="903" spans="1:26" x14ac:dyDescent="0.25">
      <c r="A903" s="842" t="s">
        <v>1495</v>
      </c>
      <c r="B903" s="826" t="str">
        <f ca="1">IFERROR(_xlfn.CONCAT("C",MATCH(A903,INDIRECT("'"&amp;E903&amp;"'!C"&amp;$O$892&amp;":C"&amp;$O$894),0)+$O$892-1),"")</f>
        <v>C249</v>
      </c>
      <c r="C903" s="826" t="str">
        <f ca="1">IFERROR(_xlfn.CONCAT("D",MATCH(A903,INDIRECT("'"&amp;E903&amp;"'!C"&amp;$O$892&amp;":C"&amp;$O$894),0)+$O$892-1),"")</f>
        <v>D249</v>
      </c>
      <c r="D903" s="826" t="s">
        <v>1350</v>
      </c>
      <c r="E903" s="826" t="s">
        <v>1516</v>
      </c>
      <c r="F903" s="1314" t="s">
        <v>1495</v>
      </c>
      <c r="G903" s="1314" t="str">
        <f>IF(T903&lt;&gt;"","AN","")</f>
        <v/>
      </c>
      <c r="H903" s="1314" t="s">
        <v>1990</v>
      </c>
      <c r="I903" s="1274" t="str">
        <f t="shared" si="145"/>
        <v/>
      </c>
      <c r="J903" s="1314" t="str">
        <f t="shared" si="141"/>
        <v/>
      </c>
      <c r="K903" s="1314" t="str">
        <f t="shared" si="146"/>
        <v/>
      </c>
      <c r="L903" s="827" t="s">
        <v>1495</v>
      </c>
      <c r="M903" s="1329">
        <v>886</v>
      </c>
      <c r="N903" s="1314"/>
      <c r="O903" s="1405"/>
      <c r="P903" s="1317" t="str" cm="1">
        <f t="array" aca="1" ref="P903" ca="1">_xlfn.CONCAT("F",RIGHT(B903, LEN(B903) - MAX(IF(ISNUMBER(MID(B903, ROW(INDIRECT("1:"&amp;LEN(B903))), 1) *1)=FALSE, ROW(INDIRECT("1:"&amp;LEN(B903))), 0))))</f>
        <v>F249</v>
      </c>
      <c r="Q903" s="1314" t="str" cm="1">
        <f t="array" aca="1" ref="Q903" ca="1">_xlfn.CONCAT("E",RIGHT(C903, LEN(C903) - MAX(IF(ISNUMBER(MID(C903, ROW(INDIRECT("1:"&amp;LEN(C903))), 1) *1)=FALSE, ROW(INDIRECT("1:"&amp;LEN(C903))), 0))))</f>
        <v>E249</v>
      </c>
      <c r="R903" s="1314" t="s">
        <v>395</v>
      </c>
      <c r="S903" s="1311"/>
      <c r="T903" s="1314" t="str">
        <f t="shared" si="142"/>
        <v/>
      </c>
      <c r="U903" s="1311"/>
      <c r="V903" s="1311"/>
      <c r="W903" s="1311"/>
      <c r="X903" s="1311"/>
      <c r="Y903" s="1311"/>
      <c r="Z903" s="1311"/>
    </row>
    <row r="904" spans="1:26" x14ac:dyDescent="0.25">
      <c r="A904" s="847" t="s">
        <v>1492</v>
      </c>
      <c r="B904" s="826" t="str">
        <f ca="1">_xlfn.CONCAT(IFERROR(SUBSTITUTE(ADDRESS(1,MATCH(A904,INDIRECT("'"&amp;E904&amp;"'"&amp;"!A" &amp; $O$892 + 8 &amp; ":Z" &amp; $O$892+ 8),0),4),1,""),""),$O$892 + 8)</f>
        <v>H247</v>
      </c>
      <c r="C904" s="826" t="str">
        <f ca="1">_xlfn.CONCAT(IFERROR(SUBSTITUTE(ADDRESS(1,MATCH(A904,INDIRECT("'"&amp;E904&amp;"'"&amp;"!A" &amp; $O$892 + 8 &amp; ":Z" &amp; $O$892+ 8),0),4),1,""),""),$O$892 + 9)</f>
        <v>H248</v>
      </c>
      <c r="D904" s="826" t="s">
        <v>1350</v>
      </c>
      <c r="E904" s="826" t="s">
        <v>1516</v>
      </c>
      <c r="F904" s="1314" t="s">
        <v>1492</v>
      </c>
      <c r="G904" s="1314" t="str">
        <f>IF(T904&lt;&gt;"","AL","")</f>
        <v/>
      </c>
      <c r="H904" s="1314" t="s">
        <v>1990</v>
      </c>
      <c r="I904" s="1274" t="str">
        <f t="shared" si="145"/>
        <v/>
      </c>
      <c r="J904" s="1314" t="str">
        <f t="shared" si="141"/>
        <v/>
      </c>
      <c r="K904" s="1314" t="str">
        <f t="shared" si="146"/>
        <v/>
      </c>
      <c r="L904" s="826" t="s">
        <v>1492</v>
      </c>
      <c r="M904" s="1329">
        <v>887</v>
      </c>
      <c r="N904" s="1314"/>
      <c r="O904" s="1311"/>
      <c r="P904" s="1311"/>
      <c r="Q904" s="1311"/>
      <c r="R904" s="1314" t="s">
        <v>395</v>
      </c>
      <c r="S904" s="1311"/>
      <c r="T904" s="1314" t="str">
        <f t="shared" si="142"/>
        <v/>
      </c>
      <c r="U904" s="1311"/>
      <c r="V904" s="1311"/>
      <c r="W904" s="1311"/>
      <c r="X904" s="1311"/>
      <c r="Y904" s="1311"/>
      <c r="Z904" s="1311"/>
    </row>
    <row r="905" spans="1:26" x14ac:dyDescent="0.25">
      <c r="A905" s="847" t="s">
        <v>1506</v>
      </c>
      <c r="B905" s="826" t="str">
        <f ca="1">_xlfn.CONCAT(IFERROR(SUBSTITUTE(ADDRESS(1,MATCH(A905,INDIRECT("'"&amp;E905&amp;"'"&amp;"!A" &amp; $O$892 + 8 &amp; ":Z" &amp; $O$892+ 8),0),4),1,""),""),$O$892 + 8)</f>
        <v>J247</v>
      </c>
      <c r="C905" s="826" t="str">
        <f ca="1">_xlfn.CONCAT(IFERROR(SUBSTITUTE(ADDRESS(1,MATCH(A905,INDIRECT("'"&amp;E905&amp;"'"&amp;"!A" &amp; $O$892 + 8 &amp; ":Z" &amp; $O$892+ 8),0),4),1,""),""),$O$892 + 9)</f>
        <v>J248</v>
      </c>
      <c r="D905" s="826" t="s">
        <v>1350</v>
      </c>
      <c r="E905" s="826" t="s">
        <v>1516</v>
      </c>
      <c r="F905" s="1314" t="s">
        <v>1996</v>
      </c>
      <c r="G905" s="1314" t="str">
        <f>IF(T905&lt;&gt;"","L","")</f>
        <v/>
      </c>
      <c r="H905" s="1314" t="s">
        <v>1990</v>
      </c>
      <c r="I905" s="1274" t="str">
        <f t="shared" si="145"/>
        <v/>
      </c>
      <c r="J905" s="1314" t="str">
        <f t="shared" si="141"/>
        <v/>
      </c>
      <c r="K905" s="1314" t="str">
        <f t="shared" si="146"/>
        <v/>
      </c>
      <c r="L905" s="826" t="s">
        <v>1506</v>
      </c>
      <c r="M905" s="1329">
        <v>888</v>
      </c>
      <c r="N905" s="1314"/>
      <c r="O905" s="1311"/>
      <c r="P905" s="1311"/>
      <c r="Q905" s="1311"/>
      <c r="R905" s="1314" t="s">
        <v>395</v>
      </c>
      <c r="S905" s="1311"/>
      <c r="T905" s="1314" t="str">
        <f t="shared" si="142"/>
        <v/>
      </c>
      <c r="U905" s="1311"/>
      <c r="V905" s="1311"/>
      <c r="W905" s="1311"/>
      <c r="X905" s="1311"/>
      <c r="Y905" s="1311"/>
      <c r="Z905" s="1311"/>
    </row>
    <row r="906" spans="1:26" x14ac:dyDescent="0.25">
      <c r="A906" s="847" t="s">
        <v>1387</v>
      </c>
      <c r="B906" s="826" t="str">
        <f ca="1">_xlfn.CONCAT(IFERROR(SUBSTITUTE(ADDRESS(1,MATCH(A906,INDIRECT("'"&amp;E906&amp;"'"&amp;"!A" &amp; $O$892 + 5 &amp; ":Z" &amp; $O$892+ 5),0),4),1,""),""),$O$892 + 5)</f>
        <v>H244</v>
      </c>
      <c r="C906" s="826" t="str">
        <f ca="1">_xlfn.CONCAT(IFERROR(SUBSTITUTE(ADDRESS(1,MATCH(A906,INDIRECT("'"&amp;E906&amp;"'"&amp;"!A" &amp; $O$892 + 5 &amp; ":Z" &amp; $O$892+ 5),0),4),1,""),""),$O$892 + 6)</f>
        <v>H245</v>
      </c>
      <c r="D906" s="826" t="s">
        <v>1350</v>
      </c>
      <c r="E906" s="826" t="s">
        <v>1516</v>
      </c>
      <c r="F906" s="841" t="s">
        <v>1387</v>
      </c>
      <c r="G906" s="1314" t="str">
        <f>IF(T906&lt;&gt;"","AH","")</f>
        <v/>
      </c>
      <c r="H906" s="1314" t="s">
        <v>1990</v>
      </c>
      <c r="I906" s="1274" t="str">
        <f t="shared" si="145"/>
        <v/>
      </c>
      <c r="J906" s="1314" t="str">
        <f t="shared" si="141"/>
        <v/>
      </c>
      <c r="K906" s="1314" t="str">
        <f t="shared" si="146"/>
        <v/>
      </c>
      <c r="L906" s="826" t="s">
        <v>1387</v>
      </c>
      <c r="M906" s="1329">
        <v>889</v>
      </c>
      <c r="N906" s="1314"/>
      <c r="O906" s="1311"/>
      <c r="P906" s="1311"/>
      <c r="Q906" s="1311"/>
      <c r="R906" s="1314" t="s">
        <v>395</v>
      </c>
      <c r="S906" s="1311"/>
      <c r="T906" s="1314" t="str">
        <f t="shared" si="142"/>
        <v/>
      </c>
      <c r="U906" s="1311"/>
      <c r="V906" s="1311"/>
      <c r="W906" s="1311"/>
      <c r="X906" s="1311"/>
      <c r="Y906" s="1311"/>
      <c r="Z906" s="1311"/>
    </row>
    <row r="907" spans="1:26" x14ac:dyDescent="0.25">
      <c r="A907" s="847" t="s">
        <v>1388</v>
      </c>
      <c r="B907" s="826" t="str">
        <f ca="1">_xlfn.CONCAT(IFERROR(SUBSTITUTE(ADDRESS(1,MATCH(A907,INDIRECT("'"&amp;E907&amp;"'"&amp;"!A" &amp; $O$892 + 5 &amp; ":Z" &amp; $O$892+ 5),0),4),1,""),""),$O$892 + 5)</f>
        <v>J244</v>
      </c>
      <c r="C907" s="826" t="str">
        <f ca="1">_xlfn.CONCAT(IFERROR(SUBSTITUTE(ADDRESS(1,MATCH(A907,INDIRECT("'"&amp;E907&amp;"'"&amp;"!A" &amp; $O$892 + 5 &amp; ":Z" &amp; $O$892+ 5),0),4),1,""),""),$O$892 + 6)</f>
        <v>J245</v>
      </c>
      <c r="D907" s="826" t="s">
        <v>1350</v>
      </c>
      <c r="E907" s="826" t="s">
        <v>1516</v>
      </c>
      <c r="F907" s="841"/>
      <c r="G907" s="1314"/>
      <c r="H907" s="1314"/>
      <c r="I907" s="1274" t="str">
        <f t="shared" si="145"/>
        <v/>
      </c>
      <c r="J907" s="1314"/>
      <c r="K907" s="1314" t="str">
        <f t="shared" si="146"/>
        <v/>
      </c>
      <c r="L907" s="826" t="s">
        <v>1388</v>
      </c>
      <c r="M907" s="1329">
        <v>890</v>
      </c>
      <c r="N907" s="1314"/>
      <c r="O907" s="1311"/>
      <c r="P907" s="1311"/>
      <c r="Q907" s="1311"/>
      <c r="R907" s="1314" t="s">
        <v>395</v>
      </c>
      <c r="S907" s="1311"/>
      <c r="T907" s="1314" t="str">
        <f t="shared" si="142"/>
        <v/>
      </c>
      <c r="U907" s="1311"/>
      <c r="V907" s="1311"/>
      <c r="W907" s="1311"/>
      <c r="X907" s="1311"/>
      <c r="Y907" s="1311"/>
      <c r="Z907" s="1311"/>
    </row>
    <row r="908" spans="1:26" x14ac:dyDescent="0.25">
      <c r="A908" s="847" t="s">
        <v>1389</v>
      </c>
      <c r="B908" s="826" t="str">
        <f ca="1">_xlfn.CONCAT(IFERROR(SUBSTITUTE(ADDRESS(1,MATCH(A908,INDIRECT("'"&amp;E908&amp;"'"&amp;"!A" &amp; $O$892 + 5 &amp; ":Z" &amp; $O$892+ 5),0),4),1,""),""),$O$892 + 5)</f>
        <v>L244</v>
      </c>
      <c r="C908" s="826" t="str">
        <f ca="1">_xlfn.CONCAT(IFERROR(SUBSTITUTE(ADDRESS(1,MATCH(A908,INDIRECT("'"&amp;E908&amp;"'"&amp;"!A" &amp; $O$892 + 5 &amp; ":Z" &amp; $O$892+ 5),0),4),1,""),""),$O$892 + 6)</f>
        <v>L245</v>
      </c>
      <c r="D908" s="826" t="s">
        <v>1350</v>
      </c>
      <c r="E908" s="826" t="s">
        <v>1516</v>
      </c>
      <c r="F908" s="1314" t="s">
        <v>1912</v>
      </c>
      <c r="G908" s="1314" t="str">
        <f>IF(T908&lt;&gt;"","AI","")</f>
        <v/>
      </c>
      <c r="H908" s="1314" t="s">
        <v>1990</v>
      </c>
      <c r="I908" s="1274" t="str">
        <f t="shared" si="145"/>
        <v/>
      </c>
      <c r="J908" s="1314"/>
      <c r="K908" s="1314" t="str">
        <f t="shared" si="146"/>
        <v/>
      </c>
      <c r="L908" s="826" t="s">
        <v>1389</v>
      </c>
      <c r="M908" s="1329">
        <v>891</v>
      </c>
      <c r="N908" s="1314"/>
      <c r="O908" s="1311"/>
      <c r="P908" s="1311"/>
      <c r="Q908" s="1311"/>
      <c r="R908" s="1314" t="s">
        <v>395</v>
      </c>
      <c r="S908" s="1311"/>
      <c r="T908" s="1314" t="str">
        <f t="shared" si="142"/>
        <v/>
      </c>
      <c r="U908" s="1311"/>
      <c r="V908" s="1311"/>
      <c r="W908" s="1311"/>
      <c r="X908" s="1311"/>
      <c r="Y908" s="1311"/>
      <c r="Z908" s="1311"/>
    </row>
    <row r="909" spans="1:26" x14ac:dyDescent="0.25">
      <c r="A909" s="847" t="s">
        <v>1508</v>
      </c>
      <c r="B909" s="826" t="str">
        <f ca="1">_xlfn.CONCAT(IFERROR(SUBSTITUTE(ADDRESS(1,MATCH(A909,INDIRECT("'"&amp;E909&amp;"'"&amp;"!A" &amp; $O$892 + 8 &amp; ":Z" &amp; $O$892+ 8),0),4),1,""),""),$O$892 + 8)</f>
        <v>P247</v>
      </c>
      <c r="C909" s="826" t="str">
        <f ca="1">_xlfn.CONCAT(IFERROR(SUBSTITUTE(ADDRESS(1,MATCH(A909,INDIRECT("'"&amp;E909&amp;"'"&amp;"!A" &amp; $O$892 + 8 &amp; ":Z" &amp; $O$892+ 8),0),4),1,""),""),$O$892 + 9)</f>
        <v>P248</v>
      </c>
      <c r="D909" s="826" t="s">
        <v>1350</v>
      </c>
      <c r="E909" s="826" t="s">
        <v>1516</v>
      </c>
      <c r="F909" s="1314" t="s">
        <v>1508</v>
      </c>
      <c r="G909" s="1314" t="str">
        <f>IF(T909&lt;&gt;"","P","")</f>
        <v/>
      </c>
      <c r="H909" s="1314" t="s">
        <v>1990</v>
      </c>
      <c r="I909" s="1274" t="str">
        <f t="shared" si="145"/>
        <v/>
      </c>
      <c r="J909" s="1314" t="str">
        <f t="shared" si="141"/>
        <v/>
      </c>
      <c r="K909" s="1314" t="str">
        <f t="shared" si="146"/>
        <v/>
      </c>
      <c r="L909" s="826" t="s">
        <v>1508</v>
      </c>
      <c r="M909" s="1329">
        <v>892</v>
      </c>
      <c r="N909" s="1314"/>
      <c r="O909" s="1311"/>
      <c r="P909" s="1311"/>
      <c r="Q909" s="1311"/>
      <c r="R909" s="1314" t="s">
        <v>395</v>
      </c>
      <c r="S909" s="1311"/>
      <c r="T909" s="1314" t="str">
        <f t="shared" si="142"/>
        <v/>
      </c>
      <c r="U909" s="1311"/>
      <c r="V909" s="1311"/>
      <c r="W909" s="1311"/>
      <c r="X909" s="1311"/>
      <c r="Y909" s="1311"/>
      <c r="Z909" s="1311"/>
    </row>
    <row r="910" spans="1:26" x14ac:dyDescent="0.25">
      <c r="A910" s="992" t="s">
        <v>1491</v>
      </c>
      <c r="B910" s="826" t="str">
        <f ca="1">IFERROR(_xlfn.CONCAT("C",MATCH(A910,INDIRECT("'"&amp;E910&amp;"'!C"&amp;$O$911&amp;":C"&amp;$O$913),0)+$O$911-1),"")</f>
        <v>C257</v>
      </c>
      <c r="C910" s="826" t="str">
        <f ca="1">IFERROR(_xlfn.CONCAT("D",MATCH(A910,INDIRECT("'"&amp;E910&amp;"'!C"&amp;$O$911&amp;":C"&amp;$O$913),0)+$O$911-1),"")</f>
        <v>D257</v>
      </c>
      <c r="D910" s="826" t="s">
        <v>1350</v>
      </c>
      <c r="E910" s="826" t="s">
        <v>1516</v>
      </c>
      <c r="F910" s="1314" t="s">
        <v>1491</v>
      </c>
      <c r="G910" s="1314" t="str">
        <f>IF(T910&lt;&gt;"","A","")</f>
        <v/>
      </c>
      <c r="H910" s="1314" t="s">
        <v>1990</v>
      </c>
      <c r="I910" s="1274" t="str">
        <f t="shared" si="145"/>
        <v/>
      </c>
      <c r="J910" s="1314"/>
      <c r="K910" s="1314" t="str">
        <f t="shared" si="146"/>
        <v/>
      </c>
      <c r="L910" s="826" t="s">
        <v>1491</v>
      </c>
      <c r="M910" s="1329">
        <v>893</v>
      </c>
      <c r="N910" s="1314"/>
      <c r="O910" s="1311" t="s">
        <v>725</v>
      </c>
      <c r="P910" s="1406"/>
      <c r="Q910" s="1311"/>
      <c r="R910" s="1314" t="s">
        <v>395</v>
      </c>
      <c r="S910" s="1311"/>
      <c r="T910" s="1314" t="str">
        <f t="shared" ref="T910:T927" si="147">IF(Q$911="Yes",18,"")</f>
        <v/>
      </c>
      <c r="U910" s="1311"/>
      <c r="V910" s="1311"/>
      <c r="W910" s="1311"/>
      <c r="X910" s="1311"/>
      <c r="Y910" s="1311"/>
      <c r="Z910" s="1311"/>
    </row>
    <row r="911" spans="1:26" x14ac:dyDescent="0.25">
      <c r="A911" s="992" t="s">
        <v>1705</v>
      </c>
      <c r="B911" s="826" t="str">
        <f ca="1">_xlfn.CONCAT(IFERROR(SUBSTITUTE(ADDRESS(1,MATCH(A911,INDIRECT("'"&amp;E911&amp;"'"&amp;"!A" &amp; $O$911 + 11 &amp; ":Z" &amp; $O$911 + 11),0),4),1,""),""),$O$911 + 11)</f>
        <v>T264</v>
      </c>
      <c r="C911" s="826" t="str">
        <f ca="1">_xlfn.CONCAT(IFERROR(SUBSTITUTE(ADDRESS(1,MATCH(A911,INDIRECT("'"&amp;E911&amp;"'"&amp;"!A" &amp; $O$911 + 11 &amp; ":Z" &amp; $O$911 + 11),0),4),1,""),""),$O$911 + 12)</f>
        <v>T265</v>
      </c>
      <c r="D911" s="826" t="s">
        <v>1350</v>
      </c>
      <c r="E911" s="826" t="s">
        <v>1516</v>
      </c>
      <c r="F911" s="1314"/>
      <c r="G911" s="1314"/>
      <c r="H911" s="1314"/>
      <c r="I911" s="1274" t="str">
        <f t="shared" si="145"/>
        <v/>
      </c>
      <c r="J911" s="1314" t="str">
        <f>IF(M911&lt;&gt;"",IF($Q$911="Yes",Q$1&amp;M911,""))</f>
        <v/>
      </c>
      <c r="K911" s="1314" t="str">
        <f t="shared" si="146"/>
        <v/>
      </c>
      <c r="L911" s="826" t="s">
        <v>1705</v>
      </c>
      <c r="M911" s="1329">
        <v>894</v>
      </c>
      <c r="N911" s="1314"/>
      <c r="O911" s="1311">
        <f>'Configurable Tab'!H20</f>
        <v>253</v>
      </c>
      <c r="P911" s="1406">
        <f>'Configurable Tab'!J20</f>
        <v>0</v>
      </c>
      <c r="Q911" s="1351" t="s">
        <v>648</v>
      </c>
      <c r="R911" s="1314" t="s">
        <v>395</v>
      </c>
      <c r="S911" s="1311"/>
      <c r="T911" s="1314" t="str">
        <f t="shared" si="147"/>
        <v/>
      </c>
      <c r="U911" s="1311"/>
      <c r="V911" s="1311"/>
      <c r="W911" s="1311"/>
      <c r="X911" s="1311"/>
      <c r="Y911" s="1311"/>
      <c r="Z911" s="1311"/>
    </row>
    <row r="912" spans="1:26" x14ac:dyDescent="0.25">
      <c r="A912" s="992" t="s">
        <v>1383</v>
      </c>
      <c r="B912" s="826" t="str">
        <f ca="1">IFERROR(_xlfn.CONCAT("C",MATCH(A912,INDIRECT("'"&amp;E912&amp;"'!C"&amp;$O$911&amp;":C"&amp;$O$913),0)+$O$911-1),"")</f>
        <v>C255</v>
      </c>
      <c r="C912" s="826" t="str">
        <f ca="1">IFERROR(_xlfn.CONCAT("D",MATCH(A912,INDIRECT("'"&amp;E912&amp;"'!C"&amp;$O$911&amp;":C"&amp;$O$913),0)+$O$911-1),"")</f>
        <v>D255</v>
      </c>
      <c r="D912" s="826" t="s">
        <v>1350</v>
      </c>
      <c r="E912" s="826" t="s">
        <v>1516</v>
      </c>
      <c r="F912" s="1314" t="s">
        <v>1383</v>
      </c>
      <c r="G912" s="1314" t="str">
        <f>IF(T912&lt;&gt;"","B","")</f>
        <v/>
      </c>
      <c r="H912" s="1314" t="s">
        <v>1990</v>
      </c>
      <c r="I912" s="1274" t="str">
        <f t="shared" si="145"/>
        <v/>
      </c>
      <c r="J912" s="1314"/>
      <c r="K912" s="1314" t="str">
        <f t="shared" si="146"/>
        <v/>
      </c>
      <c r="L912" s="826" t="s">
        <v>1383</v>
      </c>
      <c r="M912" s="1329">
        <v>895</v>
      </c>
      <c r="N912" s="1314"/>
      <c r="O912" s="1311" t="s">
        <v>726</v>
      </c>
      <c r="P912" s="1311"/>
      <c r="Q912" s="1311"/>
      <c r="R912" s="1314" t="s">
        <v>395</v>
      </c>
      <c r="S912" s="1311"/>
      <c r="T912" s="1314" t="str">
        <f t="shared" si="147"/>
        <v/>
      </c>
      <c r="U912" s="1311"/>
      <c r="V912" s="1311"/>
      <c r="W912" s="1311"/>
      <c r="X912" s="1311"/>
      <c r="Y912" s="1311"/>
      <c r="Z912" s="1311"/>
    </row>
    <row r="913" spans="1:26" x14ac:dyDescent="0.25">
      <c r="A913" s="992" t="s">
        <v>1380</v>
      </c>
      <c r="B913" s="826" t="str">
        <f t="shared" ref="B913:B919" ca="1" si="148">_xlfn.CONCAT(IFERROR(SUBSTITUTE(ADDRESS(1,MATCH(A913,INDIRECT("'"&amp;E913&amp;"'"&amp;"!A" &amp; $O$911 + 2 &amp; ":Z" &amp; $O$911 + 2),0),4),1,""),""),$O$911 + 2)</f>
        <v>H255</v>
      </c>
      <c r="C913" s="826" t="str">
        <f t="shared" ref="C913:C919" ca="1" si="149">_xlfn.CONCAT(IFERROR(SUBSTITUTE(ADDRESS(1,MATCH(A913,INDIRECT("'"&amp;E913&amp;"'"&amp;"!A" &amp; $O$911 + 2 &amp; ":Z" &amp; $O$911 + 2),0),4),1,""),""),$O$911 + 3)</f>
        <v>H256</v>
      </c>
      <c r="D913" s="826" t="s">
        <v>1350</v>
      </c>
      <c r="E913" s="826" t="s">
        <v>1516</v>
      </c>
      <c r="F913" s="1314" t="s">
        <v>1991</v>
      </c>
      <c r="G913" s="1314" t="str">
        <f>IF(T913&lt;&gt;"","E","")</f>
        <v/>
      </c>
      <c r="H913" s="1314" t="s">
        <v>1990</v>
      </c>
      <c r="I913" s="1274" t="str">
        <f t="shared" si="145"/>
        <v/>
      </c>
      <c r="J913" s="1314" t="str">
        <f t="shared" ref="J913:J919" si="150">IF(M913&lt;&gt;"",IF($Q$911="Yes",Q$1&amp;M913,""))</f>
        <v/>
      </c>
      <c r="K913" s="1314" t="str">
        <f t="shared" si="146"/>
        <v/>
      </c>
      <c r="L913" s="826" t="s">
        <v>1380</v>
      </c>
      <c r="M913" s="1329">
        <v>896</v>
      </c>
      <c r="N913" s="1314"/>
      <c r="O913" s="1311">
        <f>'Configurable Tab'!I20</f>
        <v>266</v>
      </c>
      <c r="P913" s="1311"/>
      <c r="Q913" s="1311"/>
      <c r="R913" s="1314" t="s">
        <v>395</v>
      </c>
      <c r="S913" s="1311"/>
      <c r="T913" s="1314" t="str">
        <f t="shared" si="147"/>
        <v/>
      </c>
      <c r="U913" s="1311"/>
      <c r="V913" s="1311"/>
      <c r="W913" s="1311"/>
      <c r="X913" s="1311"/>
      <c r="Y913" s="1311"/>
      <c r="Z913" s="1311"/>
    </row>
    <row r="914" spans="1:26" x14ac:dyDescent="0.25">
      <c r="A914" s="992" t="s">
        <v>1381</v>
      </c>
      <c r="B914" s="826" t="str">
        <f t="shared" ca="1" si="148"/>
        <v>J255</v>
      </c>
      <c r="C914" s="826" t="str">
        <f t="shared" ca="1" si="149"/>
        <v>J256</v>
      </c>
      <c r="D914" s="826" t="s">
        <v>1350</v>
      </c>
      <c r="E914" s="826" t="s">
        <v>1516</v>
      </c>
      <c r="F914" s="1314" t="s">
        <v>1992</v>
      </c>
      <c r="G914" s="1314" t="str">
        <f>IF(T914&lt;&gt;"","I","")</f>
        <v/>
      </c>
      <c r="H914" s="1314" t="s">
        <v>1990</v>
      </c>
      <c r="I914" s="1274" t="str">
        <f t="shared" si="145"/>
        <v/>
      </c>
      <c r="J914" s="1314" t="str">
        <f t="shared" si="150"/>
        <v/>
      </c>
      <c r="K914" s="1314" t="str">
        <f t="shared" si="146"/>
        <v/>
      </c>
      <c r="L914" s="826" t="s">
        <v>1381</v>
      </c>
      <c r="M914" s="1329">
        <v>897</v>
      </c>
      <c r="N914" s="1314"/>
      <c r="O914" s="1311" t="s">
        <v>1706</v>
      </c>
      <c r="P914" s="1311"/>
      <c r="Q914" s="1311"/>
      <c r="R914" s="1314" t="s">
        <v>395</v>
      </c>
      <c r="S914" s="1311"/>
      <c r="T914" s="1314" t="str">
        <f t="shared" si="147"/>
        <v/>
      </c>
      <c r="U914" s="1311"/>
      <c r="V914" s="1311"/>
      <c r="W914" s="1311"/>
      <c r="X914" s="1311"/>
      <c r="Y914" s="1311"/>
      <c r="Z914" s="1311"/>
    </row>
    <row r="915" spans="1:26" x14ac:dyDescent="0.25">
      <c r="A915" s="992" t="s">
        <v>1397</v>
      </c>
      <c r="B915" s="826" t="str">
        <f t="shared" ca="1" si="148"/>
        <v>L255</v>
      </c>
      <c r="C915" s="826" t="str">
        <f t="shared" ca="1" si="149"/>
        <v>L256</v>
      </c>
      <c r="D915" s="826" t="s">
        <v>1350</v>
      </c>
      <c r="E915" s="826" t="s">
        <v>1516</v>
      </c>
      <c r="F915" s="1314" t="s">
        <v>1993</v>
      </c>
      <c r="G915" s="1314" t="str">
        <f>IF(T915&lt;&gt;"","H","")</f>
        <v/>
      </c>
      <c r="H915" s="1314" t="s">
        <v>1990</v>
      </c>
      <c r="I915" s="1274" t="str">
        <f t="shared" si="145"/>
        <v/>
      </c>
      <c r="J915" s="1314" t="str">
        <f t="shared" si="150"/>
        <v/>
      </c>
      <c r="K915" s="1314" t="str">
        <f t="shared" si="146"/>
        <v/>
      </c>
      <c r="L915" s="826" t="s">
        <v>1397</v>
      </c>
      <c r="M915" s="1329">
        <v>898</v>
      </c>
      <c r="N915" s="1314"/>
      <c r="O915" s="1311"/>
      <c r="P915" s="1311"/>
      <c r="Q915" s="1311"/>
      <c r="R915" s="1314" t="s">
        <v>395</v>
      </c>
      <c r="S915" s="1311"/>
      <c r="T915" s="1314" t="str">
        <f t="shared" si="147"/>
        <v/>
      </c>
      <c r="U915" s="1311"/>
      <c r="V915" s="1311"/>
      <c r="W915" s="1311"/>
      <c r="X915" s="1311"/>
      <c r="Y915" s="1311"/>
      <c r="Z915" s="1311"/>
    </row>
    <row r="916" spans="1:26" x14ac:dyDescent="0.25">
      <c r="A916" s="992" t="s">
        <v>1382</v>
      </c>
      <c r="B916" s="826" t="str">
        <f t="shared" ca="1" si="148"/>
        <v>N255</v>
      </c>
      <c r="C916" s="826" t="str">
        <f t="shared" ca="1" si="149"/>
        <v>N256</v>
      </c>
      <c r="D916" s="826" t="s">
        <v>1350</v>
      </c>
      <c r="E916" s="826" t="s">
        <v>1516</v>
      </c>
      <c r="F916" s="1314" t="s">
        <v>1382</v>
      </c>
      <c r="G916" s="1314" t="str">
        <f>IF(T916&lt;&gt;"",IF(Q914="Credit Memo","J",IF(Q914="Check","K","")),"")</f>
        <v/>
      </c>
      <c r="H916" s="1314" t="s">
        <v>1990</v>
      </c>
      <c r="I916" s="1274" t="str">
        <f t="shared" si="145"/>
        <v/>
      </c>
      <c r="J916" s="1314" t="str">
        <f t="shared" si="150"/>
        <v/>
      </c>
      <c r="K916" s="1314" t="str">
        <f t="shared" si="146"/>
        <v/>
      </c>
      <c r="L916" s="826" t="s">
        <v>1382</v>
      </c>
      <c r="M916" s="1329">
        <v>899</v>
      </c>
      <c r="N916" s="1314"/>
      <c r="O916" s="1311"/>
      <c r="P916" s="1311"/>
      <c r="Q916" s="1311"/>
      <c r="R916" s="1314" t="s">
        <v>395</v>
      </c>
      <c r="S916" s="1311"/>
      <c r="T916" s="1314" t="str">
        <f t="shared" si="147"/>
        <v/>
      </c>
      <c r="U916" s="1311"/>
      <c r="V916" s="1311"/>
      <c r="W916" s="1311"/>
      <c r="X916" s="1311"/>
      <c r="Y916" s="1311"/>
      <c r="Z916" s="1311"/>
    </row>
    <row r="917" spans="1:26" x14ac:dyDescent="0.25">
      <c r="A917" s="992" t="s">
        <v>1486</v>
      </c>
      <c r="B917" s="826" t="str">
        <f t="shared" ca="1" si="148"/>
        <v>P255</v>
      </c>
      <c r="C917" s="826" t="str">
        <f t="shared" ca="1" si="149"/>
        <v>P256</v>
      </c>
      <c r="D917" s="826" t="s">
        <v>1350</v>
      </c>
      <c r="E917" s="826" t="s">
        <v>1516</v>
      </c>
      <c r="F917" s="1314" t="s">
        <v>1994</v>
      </c>
      <c r="G917" s="1314" t="str">
        <f>IF(T917&lt;&gt;"","F","")</f>
        <v/>
      </c>
      <c r="H917" s="1314" t="s">
        <v>1990</v>
      </c>
      <c r="I917" s="1274" t="str">
        <f t="shared" si="145"/>
        <v/>
      </c>
      <c r="J917" s="1314" t="str">
        <f t="shared" si="150"/>
        <v/>
      </c>
      <c r="K917" s="1314" t="str">
        <f t="shared" si="146"/>
        <v/>
      </c>
      <c r="L917" s="826" t="s">
        <v>1486</v>
      </c>
      <c r="M917" s="1329">
        <v>900</v>
      </c>
      <c r="N917" s="1314"/>
      <c r="O917" s="1311"/>
      <c r="P917" s="1311"/>
      <c r="Q917" s="1311"/>
      <c r="R917" s="1314" t="s">
        <v>395</v>
      </c>
      <c r="S917" s="1311"/>
      <c r="T917" s="1314" t="str">
        <f t="shared" si="147"/>
        <v/>
      </c>
      <c r="U917" s="1311"/>
      <c r="V917" s="1311"/>
      <c r="W917" s="1311"/>
      <c r="X917" s="1311"/>
      <c r="Y917" s="1311"/>
      <c r="Z917" s="1311"/>
    </row>
    <row r="918" spans="1:26" x14ac:dyDescent="0.25">
      <c r="A918" s="992" t="s">
        <v>1487</v>
      </c>
      <c r="B918" s="826" t="str">
        <f t="shared" ca="1" si="148"/>
        <v>R255</v>
      </c>
      <c r="C918" s="826" t="str">
        <f t="shared" ca="1" si="149"/>
        <v>R256</v>
      </c>
      <c r="D918" s="826" t="s">
        <v>1350</v>
      </c>
      <c r="E918" s="826" t="s">
        <v>1516</v>
      </c>
      <c r="F918" s="1314" t="s">
        <v>1995</v>
      </c>
      <c r="G918" s="1314" t="str">
        <f>IF(T918&lt;&gt;"","G","")</f>
        <v/>
      </c>
      <c r="H918" s="1314" t="s">
        <v>1990</v>
      </c>
      <c r="I918" s="1274" t="str">
        <f t="shared" si="145"/>
        <v/>
      </c>
      <c r="J918" s="1314" t="str">
        <f t="shared" si="150"/>
        <v/>
      </c>
      <c r="K918" s="1314" t="str">
        <f t="shared" si="146"/>
        <v/>
      </c>
      <c r="L918" s="826" t="s">
        <v>1487</v>
      </c>
      <c r="M918" s="1329">
        <v>901</v>
      </c>
      <c r="N918" s="1314"/>
      <c r="O918" s="1311"/>
      <c r="P918" s="1311"/>
      <c r="Q918" s="1311"/>
      <c r="R918" s="1314" t="s">
        <v>395</v>
      </c>
      <c r="S918" s="1311"/>
      <c r="T918" s="1314" t="str">
        <f t="shared" si="147"/>
        <v/>
      </c>
      <c r="U918" s="1311"/>
      <c r="V918" s="1311"/>
      <c r="W918" s="1311"/>
      <c r="X918" s="1311"/>
      <c r="Y918" s="1311"/>
      <c r="Z918" s="1311"/>
    </row>
    <row r="919" spans="1:26" x14ac:dyDescent="0.25">
      <c r="A919" s="992" t="s">
        <v>1488</v>
      </c>
      <c r="B919" s="826" t="str">
        <f t="shared" ca="1" si="148"/>
        <v>T255</v>
      </c>
      <c r="C919" s="826" t="str">
        <f t="shared" ca="1" si="149"/>
        <v>T256</v>
      </c>
      <c r="D919" s="826" t="s">
        <v>1350</v>
      </c>
      <c r="E919" s="826" t="s">
        <v>1516</v>
      </c>
      <c r="F919" s="841" t="s">
        <v>1488</v>
      </c>
      <c r="G919" s="1314" t="str">
        <f>IF(T919&lt;&gt;"","AW","")</f>
        <v/>
      </c>
      <c r="H919" s="1314" t="s">
        <v>1990</v>
      </c>
      <c r="I919" s="1274" t="str">
        <f t="shared" si="145"/>
        <v/>
      </c>
      <c r="J919" s="1314" t="str">
        <f t="shared" si="150"/>
        <v/>
      </c>
      <c r="K919" s="1314" t="str">
        <f t="shared" si="146"/>
        <v/>
      </c>
      <c r="L919" s="826" t="s">
        <v>1488</v>
      </c>
      <c r="M919" s="1329">
        <v>902</v>
      </c>
      <c r="N919" s="1314"/>
      <c r="O919" s="1311"/>
      <c r="P919" s="1311"/>
      <c r="Q919" s="1311"/>
      <c r="R919" s="1314" t="s">
        <v>395</v>
      </c>
      <c r="S919" s="1311"/>
      <c r="T919" s="1314" t="str">
        <f t="shared" si="147"/>
        <v/>
      </c>
      <c r="U919" s="1311"/>
      <c r="V919" s="1311"/>
      <c r="W919" s="1311"/>
      <c r="X919" s="1311"/>
      <c r="Y919" s="1311"/>
      <c r="Z919" s="1311"/>
    </row>
    <row r="920" spans="1:26" x14ac:dyDescent="0.25">
      <c r="A920" s="992" t="s">
        <v>1385</v>
      </c>
      <c r="B920" s="826" t="str">
        <f ca="1">IFERROR(_xlfn.CONCAT("C",MATCH(A920,INDIRECT("'"&amp;E920&amp;"'!C"&amp;$O$911&amp;":C"&amp;$O$913),0)+$O$911-1),"")</f>
        <v>C259</v>
      </c>
      <c r="C920" s="826" t="str">
        <f ca="1">IFERROR(_xlfn.CONCAT("D",MATCH(A920,INDIRECT("'"&amp;E920&amp;"'!C"&amp;$O$911&amp;":C"&amp;$O$913),0)+$O$911-1),"")</f>
        <v>D259</v>
      </c>
      <c r="D920" s="826" t="s">
        <v>1350</v>
      </c>
      <c r="E920" s="826" t="s">
        <v>1516</v>
      </c>
      <c r="F920" s="1314" t="s">
        <v>1385</v>
      </c>
      <c r="G920" s="1314" t="str">
        <f>IF(T920&lt;&gt;"","C","")</f>
        <v/>
      </c>
      <c r="H920" s="1314" t="s">
        <v>1990</v>
      </c>
      <c r="I920" s="1274" t="str">
        <f t="shared" si="145"/>
        <v/>
      </c>
      <c r="J920" s="1314"/>
      <c r="K920" s="1314" t="str">
        <f t="shared" si="146"/>
        <v/>
      </c>
      <c r="L920" s="826" t="s">
        <v>1385</v>
      </c>
      <c r="M920" s="1329">
        <v>903</v>
      </c>
      <c r="N920" s="1314"/>
      <c r="O920" s="1311"/>
      <c r="P920" s="1311"/>
      <c r="Q920" s="1311"/>
      <c r="R920" s="1314" t="s">
        <v>395</v>
      </c>
      <c r="S920" s="1311"/>
      <c r="T920" s="1314" t="str">
        <f t="shared" si="147"/>
        <v/>
      </c>
      <c r="U920" s="1311"/>
      <c r="V920" s="1311"/>
      <c r="W920" s="1311"/>
      <c r="X920" s="1311"/>
      <c r="Y920" s="1311"/>
      <c r="Z920" s="1311"/>
    </row>
    <row r="921" spans="1:26" x14ac:dyDescent="0.25">
      <c r="A921" s="992" t="s">
        <v>1386</v>
      </c>
      <c r="B921" s="826" t="str">
        <f ca="1">IFERROR(_xlfn.CONCAT("C",MATCH(A921,INDIRECT("'"&amp;E921&amp;"'!C"&amp;$O$911&amp;":C"&amp;$O$913),0)+$O$911-1),"")</f>
        <v>C261</v>
      </c>
      <c r="C921" s="826" t="str">
        <f ca="1">IFERROR(_xlfn.CONCAT("D",MATCH(A921,INDIRECT("'"&amp;E921&amp;"'!C"&amp;$O$911&amp;":C"&amp;$O$913),0)+$O$911-1),"")</f>
        <v>D261</v>
      </c>
      <c r="D921" s="826" t="s">
        <v>1350</v>
      </c>
      <c r="E921" s="826" t="s">
        <v>1516</v>
      </c>
      <c r="F921" s="1314" t="s">
        <v>1386</v>
      </c>
      <c r="G921" s="1314" t="str">
        <f>IF(T921&lt;&gt;"","D","")</f>
        <v/>
      </c>
      <c r="H921" s="1314" t="s">
        <v>1990</v>
      </c>
      <c r="I921" s="1274" t="str">
        <f t="shared" si="145"/>
        <v/>
      </c>
      <c r="J921" s="1314"/>
      <c r="K921" s="1314" t="str">
        <f t="shared" si="146"/>
        <v/>
      </c>
      <c r="L921" s="826" t="s">
        <v>1386</v>
      </c>
      <c r="M921" s="1329">
        <v>904</v>
      </c>
      <c r="N921" s="1314"/>
      <c r="O921" s="1311"/>
      <c r="P921" s="1311"/>
      <c r="Q921" s="1311"/>
      <c r="R921" s="1314" t="s">
        <v>395</v>
      </c>
      <c r="S921" s="1311"/>
      <c r="T921" s="1314" t="str">
        <f t="shared" si="147"/>
        <v/>
      </c>
      <c r="U921" s="1311"/>
      <c r="V921" s="1311"/>
      <c r="W921" s="1311"/>
      <c r="X921" s="1311"/>
      <c r="Y921" s="1311"/>
      <c r="Z921" s="1311"/>
    </row>
    <row r="922" spans="1:26" x14ac:dyDescent="0.25">
      <c r="A922" s="1010" t="s">
        <v>1495</v>
      </c>
      <c r="B922" s="826" t="str">
        <f ca="1">IFERROR(_xlfn.CONCAT("C",MATCH(A922,INDIRECT("'"&amp;E922&amp;"'!C"&amp;$O$911&amp;":C"&amp;$O$913),0)+$O$911-1),"")</f>
        <v>C263</v>
      </c>
      <c r="C922" s="826" t="str">
        <f ca="1">IFERROR(_xlfn.CONCAT("D",MATCH(A922,INDIRECT("'"&amp;E922&amp;"'!C"&amp;$O$911&amp;":C"&amp;$O$913),0)+$O$911-1),"")</f>
        <v>D263</v>
      </c>
      <c r="D922" s="826" t="s">
        <v>1350</v>
      </c>
      <c r="E922" s="826" t="s">
        <v>1516</v>
      </c>
      <c r="F922" s="1314" t="s">
        <v>1495</v>
      </c>
      <c r="G922" s="1314" t="str">
        <f>IF(T922&lt;&gt;"","AN","")</f>
        <v/>
      </c>
      <c r="H922" s="1314" t="s">
        <v>1990</v>
      </c>
      <c r="I922" s="1274" t="str">
        <f t="shared" si="145"/>
        <v/>
      </c>
      <c r="J922" s="1314" t="str">
        <f>IF(M922&lt;&gt;"",IF($Q$911="Yes",Q$1&amp;M922,""))</f>
        <v/>
      </c>
      <c r="K922" s="1314" t="str">
        <f t="shared" si="146"/>
        <v/>
      </c>
      <c r="L922" s="827" t="s">
        <v>1495</v>
      </c>
      <c r="M922" s="1329">
        <v>905</v>
      </c>
      <c r="N922" s="1314"/>
      <c r="O922" s="1405"/>
      <c r="P922" s="1317" t="str" cm="1">
        <f t="array" aca="1" ref="P922" ca="1">_xlfn.CONCAT("F",RIGHT(B922, LEN(B922) - MAX(IF(ISNUMBER(MID(B922, ROW(INDIRECT("1:"&amp;LEN(B922))), 1) *1)=FALSE, ROW(INDIRECT("1:"&amp;LEN(B922))), 0))))</f>
        <v>F263</v>
      </c>
      <c r="Q922" s="1314" t="str" cm="1">
        <f t="array" aca="1" ref="Q922" ca="1">_xlfn.CONCAT("E",RIGHT(C922, LEN(C922) - MAX(IF(ISNUMBER(MID(C922, ROW(INDIRECT("1:"&amp;LEN(C922))), 1) *1)=FALSE, ROW(INDIRECT("1:"&amp;LEN(C922))), 0))))</f>
        <v>E263</v>
      </c>
      <c r="R922" s="1314" t="s">
        <v>395</v>
      </c>
      <c r="S922" s="1311"/>
      <c r="T922" s="1314" t="str">
        <f t="shared" si="147"/>
        <v/>
      </c>
      <c r="U922" s="1311"/>
      <c r="V922" s="1311"/>
      <c r="W922" s="1311"/>
      <c r="X922" s="1311"/>
      <c r="Y922" s="1311"/>
      <c r="Z922" s="1311"/>
    </row>
    <row r="923" spans="1:26" x14ac:dyDescent="0.25">
      <c r="A923" s="992" t="s">
        <v>1492</v>
      </c>
      <c r="B923" s="826" t="str">
        <f ca="1">_xlfn.CONCAT(IFERROR(SUBSTITUTE(ADDRESS(1,MATCH(A923,INDIRECT("'"&amp;E923&amp;"'"&amp;"!A" &amp; $O$911 + 8 &amp; ":Z" &amp; $O$911 + 8),0),4),1,""),""),$O$911 + 8)</f>
        <v>H261</v>
      </c>
      <c r="C923" s="826" t="str">
        <f ca="1">_xlfn.CONCAT(IFERROR(SUBSTITUTE(ADDRESS(1,MATCH(A923,INDIRECT("'"&amp;E923&amp;"'"&amp;"!A" &amp; $O$911 + 8 &amp; ":Z" &amp; $O$911 + 8),0),4),1,""),""),$O$911 + 9)</f>
        <v>H262</v>
      </c>
      <c r="D923" s="826" t="s">
        <v>1350</v>
      </c>
      <c r="E923" s="826" t="s">
        <v>1516</v>
      </c>
      <c r="F923" s="1314" t="s">
        <v>1492</v>
      </c>
      <c r="G923" s="1314" t="str">
        <f>IF(T923&lt;&gt;"","AL","")</f>
        <v/>
      </c>
      <c r="H923" s="1314" t="s">
        <v>1990</v>
      </c>
      <c r="I923" s="1274" t="str">
        <f t="shared" si="145"/>
        <v/>
      </c>
      <c r="J923" s="1314" t="str">
        <f>IF(M923&lt;&gt;"",IF($Q$911="Yes",Q$1&amp;M923,""))</f>
        <v/>
      </c>
      <c r="K923" s="1314" t="str">
        <f t="shared" si="146"/>
        <v/>
      </c>
      <c r="L923" s="826" t="s">
        <v>1492</v>
      </c>
      <c r="M923" s="1329">
        <v>906</v>
      </c>
      <c r="N923" s="1314"/>
      <c r="O923" s="1311"/>
      <c r="P923" s="1311"/>
      <c r="Q923" s="1311"/>
      <c r="R923" s="1314" t="s">
        <v>395</v>
      </c>
      <c r="S923" s="1311"/>
      <c r="T923" s="1314" t="str">
        <f t="shared" si="147"/>
        <v/>
      </c>
      <c r="U923" s="1311"/>
      <c r="V923" s="1311"/>
      <c r="W923" s="1311"/>
      <c r="X923" s="1311"/>
      <c r="Y923" s="1311"/>
      <c r="Z923" s="1311"/>
    </row>
    <row r="924" spans="1:26" x14ac:dyDescent="0.25">
      <c r="A924" s="992" t="s">
        <v>1506</v>
      </c>
      <c r="B924" s="826" t="str">
        <f ca="1">_xlfn.CONCAT(IFERROR(SUBSTITUTE(ADDRESS(1,MATCH(A924,INDIRECT("'"&amp;E924&amp;"'"&amp;"!A" &amp; $O$911 + 8 &amp; ":Z" &amp; $O$911 + 8),0),4),1,""),""),$O$911 + 8)</f>
        <v>J261</v>
      </c>
      <c r="C924" s="826" t="str">
        <f ca="1">_xlfn.CONCAT(IFERROR(SUBSTITUTE(ADDRESS(1,MATCH(A924,INDIRECT("'"&amp;E924&amp;"'"&amp;"!A" &amp; $O$911 + 8 &amp; ":Z" &amp; $O$911 + 8),0),4),1,""),""),$O$911 + 9)</f>
        <v>J262</v>
      </c>
      <c r="D924" s="826" t="s">
        <v>1350</v>
      </c>
      <c r="E924" s="826" t="s">
        <v>1516</v>
      </c>
      <c r="F924" s="1314" t="s">
        <v>1996</v>
      </c>
      <c r="G924" s="1314" t="str">
        <f>IF(T924&lt;&gt;"","L","")</f>
        <v/>
      </c>
      <c r="H924" s="1314" t="s">
        <v>1990</v>
      </c>
      <c r="I924" s="1274" t="str">
        <f t="shared" si="145"/>
        <v/>
      </c>
      <c r="J924" s="1314" t="str">
        <f>IF(M924&lt;&gt;"",IF($Q$911="Yes",Q$1&amp;M924,""))</f>
        <v/>
      </c>
      <c r="K924" s="1314" t="str">
        <f t="shared" si="146"/>
        <v/>
      </c>
      <c r="L924" s="826" t="s">
        <v>1506</v>
      </c>
      <c r="M924" s="1329">
        <v>907</v>
      </c>
      <c r="N924" s="1314"/>
      <c r="O924" s="1311"/>
      <c r="P924" s="1311"/>
      <c r="Q924" s="1311"/>
      <c r="R924" s="1314" t="s">
        <v>395</v>
      </c>
      <c r="S924" s="1311"/>
      <c r="T924" s="1314" t="str">
        <f t="shared" si="147"/>
        <v/>
      </c>
      <c r="U924" s="1311"/>
      <c r="V924" s="1311"/>
      <c r="W924" s="1311"/>
      <c r="X924" s="1311"/>
      <c r="Y924" s="1311"/>
      <c r="Z924" s="1311"/>
    </row>
    <row r="925" spans="1:26" x14ac:dyDescent="0.25">
      <c r="A925" s="992" t="s">
        <v>1387</v>
      </c>
      <c r="B925" s="826" t="str">
        <f ca="1">_xlfn.CONCAT(IFERROR(SUBSTITUTE(ADDRESS(1,MATCH(A925,INDIRECT("'"&amp;E925&amp;"'"&amp;"!A" &amp; $O$911 + 5 &amp; ":Z" &amp; $O$911 + 5),0),4),1,""),""),$O$911 + 5)</f>
        <v>H258</v>
      </c>
      <c r="C925" s="826" t="str">
        <f ca="1">_xlfn.CONCAT(IFERROR(SUBSTITUTE(ADDRESS(1,MATCH(A925,INDIRECT("'"&amp;E925&amp;"'"&amp;"!A" &amp; $O$911 + 5 &amp; ":Z" &amp; $O$911 + 5),0),4),1,""),""),$O$911 + 6)</f>
        <v>H259</v>
      </c>
      <c r="D925" s="826" t="s">
        <v>1350</v>
      </c>
      <c r="E925" s="826" t="s">
        <v>1516</v>
      </c>
      <c r="F925" s="841" t="s">
        <v>1387</v>
      </c>
      <c r="G925" s="1314" t="str">
        <f>IF(T925&lt;&gt;"","AH","")</f>
        <v/>
      </c>
      <c r="H925" s="1314" t="s">
        <v>1990</v>
      </c>
      <c r="I925" s="1274" t="str">
        <f t="shared" si="145"/>
        <v/>
      </c>
      <c r="J925" s="1314" t="str">
        <f>IF(M925&lt;&gt;"",IF($Q$911="Yes",Q$1&amp;M925,""))</f>
        <v/>
      </c>
      <c r="K925" s="1314" t="str">
        <f t="shared" si="146"/>
        <v/>
      </c>
      <c r="L925" s="826" t="s">
        <v>1387</v>
      </c>
      <c r="M925" s="1329">
        <v>908</v>
      </c>
      <c r="N925" s="1314"/>
      <c r="O925" s="1311"/>
      <c r="P925" s="1311"/>
      <c r="Q925" s="1311"/>
      <c r="R925" s="1314" t="s">
        <v>395</v>
      </c>
      <c r="S925" s="1311"/>
      <c r="T925" s="1314" t="str">
        <f t="shared" si="147"/>
        <v/>
      </c>
      <c r="U925" s="1311"/>
      <c r="V925" s="1311"/>
      <c r="W925" s="1311"/>
      <c r="X925" s="1311"/>
      <c r="Y925" s="1311"/>
      <c r="Z925" s="1311"/>
    </row>
    <row r="926" spans="1:26" x14ac:dyDescent="0.25">
      <c r="A926" s="992" t="s">
        <v>1388</v>
      </c>
      <c r="B926" s="826" t="str">
        <f ca="1">_xlfn.CONCAT(IFERROR(SUBSTITUTE(ADDRESS(1,MATCH(A926,INDIRECT("'"&amp;E926&amp;"'"&amp;"!A" &amp; $O$911 + 5 &amp; ":Z" &amp; $O$911 + 5),0),4),1,""),""),$O$911 + 5)</f>
        <v>J258</v>
      </c>
      <c r="C926" s="826" t="str">
        <f ca="1">_xlfn.CONCAT(IFERROR(SUBSTITUTE(ADDRESS(1,MATCH(A926,INDIRECT("'"&amp;E926&amp;"'"&amp;"!A" &amp; $O$911 + 5 &amp; ":Z" &amp; $O$911 + 5),0),4),1,""),""),$O$911 + 6)</f>
        <v>J259</v>
      </c>
      <c r="D926" s="826" t="s">
        <v>1350</v>
      </c>
      <c r="E926" s="826" t="s">
        <v>1516</v>
      </c>
      <c r="F926" s="841"/>
      <c r="G926" s="1314"/>
      <c r="H926" s="1314"/>
      <c r="I926" s="1274" t="str">
        <f t="shared" si="145"/>
        <v/>
      </c>
      <c r="J926" s="1314"/>
      <c r="K926" s="1314" t="str">
        <f t="shared" si="146"/>
        <v/>
      </c>
      <c r="L926" s="826" t="s">
        <v>1388</v>
      </c>
      <c r="M926" s="1329">
        <v>909</v>
      </c>
      <c r="N926" s="1314"/>
      <c r="O926" s="1311"/>
      <c r="P926" s="1311"/>
      <c r="Q926" s="1311"/>
      <c r="R926" s="1314" t="s">
        <v>395</v>
      </c>
      <c r="S926" s="1311"/>
      <c r="T926" s="1314" t="str">
        <f t="shared" si="147"/>
        <v/>
      </c>
      <c r="U926" s="1311"/>
      <c r="V926" s="1311"/>
      <c r="W926" s="1311"/>
      <c r="X926" s="1311"/>
      <c r="Y926" s="1311"/>
      <c r="Z926" s="1311"/>
    </row>
    <row r="927" spans="1:26" x14ac:dyDescent="0.25">
      <c r="A927" s="992" t="s">
        <v>1389</v>
      </c>
      <c r="B927" s="826" t="str">
        <f ca="1">_xlfn.CONCAT(IFERROR(SUBSTITUTE(ADDRESS(1,MATCH(A927,INDIRECT("'"&amp;E927&amp;"'"&amp;"!A" &amp; $O$911 + 5 &amp; ":Z" &amp; $O$911 + 5),0),4),1,""),""),$O$911 + 5)</f>
        <v>L258</v>
      </c>
      <c r="C927" s="826" t="str">
        <f ca="1">_xlfn.CONCAT(IFERROR(SUBSTITUTE(ADDRESS(1,MATCH(A927,INDIRECT("'"&amp;E927&amp;"'"&amp;"!A" &amp; $O$911 + 5 &amp; ":Z" &amp; $O$911 + 5),0),4),1,""),""),$O$911 + 6)</f>
        <v>L259</v>
      </c>
      <c r="D927" s="826" t="s">
        <v>1350</v>
      </c>
      <c r="E927" s="826" t="s">
        <v>1516</v>
      </c>
      <c r="F927" s="1314" t="s">
        <v>1912</v>
      </c>
      <c r="G927" s="1314" t="str">
        <f>IF(T927&lt;&gt;"","AI","")</f>
        <v/>
      </c>
      <c r="H927" s="1314" t="s">
        <v>1990</v>
      </c>
      <c r="I927" s="1274" t="str">
        <f t="shared" si="145"/>
        <v/>
      </c>
      <c r="J927" s="1314"/>
      <c r="K927" s="1314" t="str">
        <f t="shared" si="146"/>
        <v/>
      </c>
      <c r="L927" s="826" t="s">
        <v>1389</v>
      </c>
      <c r="M927" s="1329">
        <v>910</v>
      </c>
      <c r="N927" s="1314"/>
      <c r="O927" s="1311"/>
      <c r="P927" s="1311"/>
      <c r="Q927" s="1311"/>
      <c r="R927" s="1314" t="s">
        <v>395</v>
      </c>
      <c r="S927" s="1311"/>
      <c r="T927" s="1314" t="str">
        <f t="shared" si="147"/>
        <v/>
      </c>
      <c r="U927" s="1311"/>
      <c r="V927" s="1311"/>
      <c r="W927" s="1311"/>
      <c r="X927" s="1311"/>
      <c r="Y927" s="1311"/>
      <c r="Z927" s="1311"/>
    </row>
    <row r="928" spans="1:26" x14ac:dyDescent="0.25">
      <c r="A928" s="992" t="s">
        <v>1508</v>
      </c>
      <c r="B928" s="826" t="str">
        <f ca="1">_xlfn.CONCAT(IFERROR(SUBSTITUTE(ADDRESS(1,MATCH(A928,INDIRECT("'"&amp;E928&amp;"'"&amp;"!A" &amp; $O$911 + 8 &amp; ":Z" &amp; $O$911 + 8),0),4),1,""),""),$O$911 + 8)</f>
        <v>P261</v>
      </c>
      <c r="C928" s="826" t="str">
        <f ca="1">_xlfn.CONCAT(IFERROR(SUBSTITUTE(ADDRESS(1,MATCH(A928,INDIRECT("'"&amp;E928&amp;"'"&amp;"!A" &amp; $O$911 + 8 &amp; ":Z" &amp; $O$911 + 8),0),4),1,""),""),$O$911 + 9)</f>
        <v>P262</v>
      </c>
      <c r="D928" s="826" t="s">
        <v>1350</v>
      </c>
      <c r="E928" s="826" t="s">
        <v>1516</v>
      </c>
      <c r="F928" s="1314" t="s">
        <v>1508</v>
      </c>
      <c r="G928" s="1314" t="str">
        <f>IF(T928&lt;&gt;"","P","")</f>
        <v/>
      </c>
      <c r="H928" s="1314" t="s">
        <v>1990</v>
      </c>
      <c r="I928" s="1274" t="str">
        <f t="shared" si="145"/>
        <v/>
      </c>
      <c r="J928" s="1314" t="str">
        <f>IF(M928&lt;&gt;"",IF($Q$911="Yes",Q$1&amp;M928,""))</f>
        <v/>
      </c>
      <c r="K928" s="1314" t="str">
        <f t="shared" si="146"/>
        <v/>
      </c>
      <c r="L928" s="826" t="s">
        <v>1508</v>
      </c>
      <c r="M928" s="1329">
        <v>911</v>
      </c>
      <c r="N928" s="1314"/>
      <c r="O928" s="1311"/>
      <c r="P928" s="1311"/>
      <c r="Q928" s="1311"/>
      <c r="R928" s="1314" t="s">
        <v>395</v>
      </c>
      <c r="S928" s="1311"/>
      <c r="T928" s="1314" t="str">
        <f>IF(Q$911="Yes",18,"")</f>
        <v/>
      </c>
      <c r="U928" s="1311"/>
      <c r="V928" s="1311"/>
      <c r="W928" s="1311"/>
      <c r="X928" s="1311"/>
      <c r="Y928" s="1311"/>
      <c r="Z928" s="1311"/>
    </row>
    <row r="929" spans="1:26" x14ac:dyDescent="0.25">
      <c r="A929" s="1011" t="s">
        <v>1491</v>
      </c>
      <c r="B929" s="826" t="str">
        <f ca="1">IFERROR(_xlfn.CONCAT("C",MATCH(A929,INDIRECT("'"&amp;E929&amp;"'!C"&amp;$O$930&amp;":C"&amp;$O$932),0)+$O$930-1),"")</f>
        <v>C271</v>
      </c>
      <c r="C929" s="826" t="str">
        <f ca="1">IFERROR(_xlfn.CONCAT("D",MATCH(A929,INDIRECT("'"&amp;E929&amp;"'!C"&amp;$O$930&amp;":C"&amp;$O$932),0)+$O$930-1),"")</f>
        <v>D271</v>
      </c>
      <c r="D929" s="826" t="s">
        <v>1350</v>
      </c>
      <c r="E929" s="826" t="s">
        <v>1516</v>
      </c>
      <c r="F929" s="1314" t="s">
        <v>1491</v>
      </c>
      <c r="G929" s="1314" t="str">
        <f>IF(T929&lt;&gt;"","A","")</f>
        <v/>
      </c>
      <c r="H929" s="1314" t="s">
        <v>1990</v>
      </c>
      <c r="I929" s="1274" t="str">
        <f t="shared" si="145"/>
        <v/>
      </c>
      <c r="J929" s="1314"/>
      <c r="K929" s="1314" t="str">
        <f t="shared" si="146"/>
        <v/>
      </c>
      <c r="L929" s="826" t="s">
        <v>1491</v>
      </c>
      <c r="M929" s="1329">
        <v>912</v>
      </c>
      <c r="N929" s="1314"/>
      <c r="O929" s="1311" t="s">
        <v>725</v>
      </c>
      <c r="P929" s="1406"/>
      <c r="Q929" s="1311"/>
      <c r="R929" s="1314" t="s">
        <v>395</v>
      </c>
      <c r="S929" s="1311"/>
      <c r="T929" s="1314" t="str">
        <f t="shared" ref="T929:T946" si="151">IF(Q$930="Yes",19,"")</f>
        <v/>
      </c>
      <c r="U929" s="1311"/>
      <c r="V929" s="1311"/>
      <c r="W929" s="1311"/>
      <c r="X929" s="1311"/>
      <c r="Y929" s="1311"/>
      <c r="Z929" s="1311"/>
    </row>
    <row r="930" spans="1:26" x14ac:dyDescent="0.25">
      <c r="A930" s="1011" t="s">
        <v>1705</v>
      </c>
      <c r="B930" s="826" t="str">
        <f ca="1">_xlfn.CONCAT(IFERROR(SUBSTITUTE(ADDRESS(1,MATCH(A930,INDIRECT("'"&amp;E930&amp;"'"&amp;"!A" &amp; $O$930 + 11 &amp; ":Z" &amp; $O$930 + 11),0),4),1,""),""),$O$930 + 11)</f>
        <v>T278</v>
      </c>
      <c r="C930" s="826" t="str">
        <f ca="1">_xlfn.CONCAT(IFERROR(SUBSTITUTE(ADDRESS(1,MATCH(A930,INDIRECT("'"&amp;E930&amp;"'"&amp;"!A" &amp; $O$930 + 11 &amp; ":Z" &amp; $O$930 + 11),0),4),1,""),""),$O$930 + 12)</f>
        <v>T279</v>
      </c>
      <c r="D930" s="826" t="s">
        <v>1350</v>
      </c>
      <c r="E930" s="826" t="s">
        <v>1516</v>
      </c>
      <c r="F930" s="1314"/>
      <c r="G930" s="1314"/>
      <c r="H930" s="1314"/>
      <c r="I930" s="1274" t="str">
        <f t="shared" si="145"/>
        <v/>
      </c>
      <c r="J930" s="1314" t="str">
        <f t="shared" ref="J930:J947" si="152">IF(M930&lt;&gt;"",IF($Q$930="Yes",Q$1&amp;M930,""))</f>
        <v/>
      </c>
      <c r="K930" s="1314" t="str">
        <f t="shared" si="146"/>
        <v/>
      </c>
      <c r="L930" s="826" t="s">
        <v>1705</v>
      </c>
      <c r="M930" s="1329">
        <v>913</v>
      </c>
      <c r="N930" s="1314"/>
      <c r="O930" s="1311">
        <f>'Configurable Tab'!H21</f>
        <v>267</v>
      </c>
      <c r="P930" s="1406">
        <f>'Configurable Tab'!J21</f>
        <v>0</v>
      </c>
      <c r="Q930" s="1351" t="s">
        <v>648</v>
      </c>
      <c r="R930" s="1314" t="s">
        <v>395</v>
      </c>
      <c r="S930" s="1311"/>
      <c r="T930" s="1314" t="str">
        <f t="shared" si="151"/>
        <v/>
      </c>
      <c r="U930" s="1311"/>
      <c r="V930" s="1311"/>
      <c r="W930" s="1311"/>
      <c r="X930" s="1311"/>
      <c r="Y930" s="1311"/>
      <c r="Z930" s="1311"/>
    </row>
    <row r="931" spans="1:26" x14ac:dyDescent="0.25">
      <c r="A931" s="1011" t="s">
        <v>1383</v>
      </c>
      <c r="B931" s="826" t="str">
        <f ca="1">IFERROR(_xlfn.CONCAT("C",MATCH(A931,INDIRECT("'"&amp;E931&amp;"'!C"&amp;$O$930&amp;":C"&amp;$O$932),0)+$O$930-1),"")</f>
        <v>C269</v>
      </c>
      <c r="C931" s="826" t="str">
        <f ca="1">IFERROR(_xlfn.CONCAT("D",MATCH(A931,INDIRECT("'"&amp;E931&amp;"'!C"&amp;$O$930&amp;":C"&amp;$O$932),0)+$O$930-1),"")</f>
        <v>D269</v>
      </c>
      <c r="D931" s="826" t="s">
        <v>1350</v>
      </c>
      <c r="E931" s="826" t="s">
        <v>1516</v>
      </c>
      <c r="F931" s="1314" t="s">
        <v>1383</v>
      </c>
      <c r="G931" s="1314" t="str">
        <f>IF(T931&lt;&gt;"","B","")</f>
        <v/>
      </c>
      <c r="H931" s="1314" t="s">
        <v>1990</v>
      </c>
      <c r="I931" s="1274" t="str">
        <f t="shared" si="145"/>
        <v/>
      </c>
      <c r="J931" s="1314"/>
      <c r="K931" s="1314" t="str">
        <f t="shared" si="146"/>
        <v/>
      </c>
      <c r="L931" s="826" t="s">
        <v>1383</v>
      </c>
      <c r="M931" s="1329">
        <v>914</v>
      </c>
      <c r="N931" s="1314"/>
      <c r="O931" s="1311" t="s">
        <v>726</v>
      </c>
      <c r="P931" s="1311"/>
      <c r="Q931" s="1311"/>
      <c r="R931" s="1314" t="s">
        <v>395</v>
      </c>
      <c r="S931" s="1311"/>
      <c r="T931" s="1314" t="str">
        <f t="shared" si="151"/>
        <v/>
      </c>
      <c r="U931" s="1311"/>
      <c r="V931" s="1311"/>
      <c r="W931" s="1311"/>
      <c r="X931" s="1311"/>
      <c r="Y931" s="1311"/>
      <c r="Z931" s="1311"/>
    </row>
    <row r="932" spans="1:26" x14ac:dyDescent="0.25">
      <c r="A932" s="1011" t="s">
        <v>1380</v>
      </c>
      <c r="B932" s="826" t="str">
        <f t="shared" ref="B932:B938" ca="1" si="153">_xlfn.CONCAT(IFERROR(SUBSTITUTE(ADDRESS(1,MATCH(A932,INDIRECT("'"&amp;E932&amp;"'"&amp;"!A" &amp; $O$930 + 2 &amp; ":Z" &amp; $O$930 + 2),0),4),1,""),""),$O$930 + 2)</f>
        <v>H269</v>
      </c>
      <c r="C932" s="826" t="str">
        <f t="shared" ref="C932:C938" ca="1" si="154">_xlfn.CONCAT(IFERROR(SUBSTITUTE(ADDRESS(1,MATCH(A932,INDIRECT("'"&amp;E932&amp;"'"&amp;"!A" &amp; $O$930 + 2 &amp; ":Z" &amp; $O$930 + 2),0),4),1,""),""),$O$930 + 3)</f>
        <v>H270</v>
      </c>
      <c r="D932" s="826" t="s">
        <v>1350</v>
      </c>
      <c r="E932" s="826" t="s">
        <v>1516</v>
      </c>
      <c r="F932" s="1314" t="s">
        <v>1991</v>
      </c>
      <c r="G932" s="1314" t="str">
        <f>IF(T932&lt;&gt;"","E","")</f>
        <v/>
      </c>
      <c r="H932" s="1314" t="s">
        <v>1990</v>
      </c>
      <c r="I932" s="1274" t="str">
        <f t="shared" si="145"/>
        <v/>
      </c>
      <c r="J932" s="1314" t="str">
        <f t="shared" si="152"/>
        <v/>
      </c>
      <c r="K932" s="1314" t="str">
        <f t="shared" si="146"/>
        <v/>
      </c>
      <c r="L932" s="826" t="s">
        <v>1380</v>
      </c>
      <c r="M932" s="1329">
        <v>915</v>
      </c>
      <c r="N932" s="1314"/>
      <c r="O932" s="1311">
        <f>'Configurable Tab'!I21</f>
        <v>280</v>
      </c>
      <c r="P932" s="1311"/>
      <c r="Q932" s="1311"/>
      <c r="R932" s="1314" t="s">
        <v>395</v>
      </c>
      <c r="S932" s="1311"/>
      <c r="T932" s="1314" t="str">
        <f t="shared" si="151"/>
        <v/>
      </c>
      <c r="U932" s="1311"/>
      <c r="V932" s="1311"/>
      <c r="W932" s="1311"/>
      <c r="X932" s="1311"/>
      <c r="Y932" s="1311"/>
      <c r="Z932" s="1311"/>
    </row>
    <row r="933" spans="1:26" x14ac:dyDescent="0.25">
      <c r="A933" s="1011" t="s">
        <v>1381</v>
      </c>
      <c r="B933" s="826" t="str">
        <f t="shared" ca="1" si="153"/>
        <v>J269</v>
      </c>
      <c r="C933" s="826" t="str">
        <f t="shared" ca="1" si="154"/>
        <v>J270</v>
      </c>
      <c r="D933" s="826" t="s">
        <v>1350</v>
      </c>
      <c r="E933" s="826" t="s">
        <v>1516</v>
      </c>
      <c r="F933" s="1314" t="s">
        <v>1992</v>
      </c>
      <c r="G933" s="1314" t="str">
        <f>IF(T933&lt;&gt;"","I","")</f>
        <v/>
      </c>
      <c r="H933" s="1314" t="s">
        <v>1990</v>
      </c>
      <c r="I933" s="1274" t="str">
        <f t="shared" si="145"/>
        <v/>
      </c>
      <c r="J933" s="1314" t="str">
        <f t="shared" si="152"/>
        <v/>
      </c>
      <c r="K933" s="1314" t="str">
        <f t="shared" si="146"/>
        <v/>
      </c>
      <c r="L933" s="826" t="s">
        <v>1381</v>
      </c>
      <c r="M933" s="1329">
        <v>916</v>
      </c>
      <c r="N933" s="1314"/>
      <c r="O933" s="1311" t="s">
        <v>1707</v>
      </c>
      <c r="P933" s="1311"/>
      <c r="Q933" s="1311"/>
      <c r="R933" s="1314" t="s">
        <v>395</v>
      </c>
      <c r="S933" s="1311"/>
      <c r="T933" s="1314" t="str">
        <f t="shared" si="151"/>
        <v/>
      </c>
      <c r="U933" s="1311"/>
      <c r="V933" s="1311"/>
      <c r="W933" s="1311"/>
      <c r="X933" s="1311"/>
      <c r="Y933" s="1311"/>
      <c r="Z933" s="1311"/>
    </row>
    <row r="934" spans="1:26" x14ac:dyDescent="0.25">
      <c r="A934" s="1011" t="s">
        <v>1397</v>
      </c>
      <c r="B934" s="826" t="str">
        <f t="shared" ca="1" si="153"/>
        <v>L269</v>
      </c>
      <c r="C934" s="826" t="str">
        <f t="shared" ca="1" si="154"/>
        <v>L270</v>
      </c>
      <c r="D934" s="826" t="s">
        <v>1350</v>
      </c>
      <c r="E934" s="826" t="s">
        <v>1516</v>
      </c>
      <c r="F934" s="1314" t="s">
        <v>1993</v>
      </c>
      <c r="G934" s="1314" t="str">
        <f>IF(T934&lt;&gt;"","H","")</f>
        <v/>
      </c>
      <c r="H934" s="1314" t="s">
        <v>1990</v>
      </c>
      <c r="I934" s="1274" t="str">
        <f t="shared" si="145"/>
        <v/>
      </c>
      <c r="J934" s="1314" t="str">
        <f t="shared" si="152"/>
        <v/>
      </c>
      <c r="K934" s="1314" t="str">
        <f t="shared" si="146"/>
        <v/>
      </c>
      <c r="L934" s="826" t="s">
        <v>1397</v>
      </c>
      <c r="M934" s="1329">
        <v>917</v>
      </c>
      <c r="N934" s="1314"/>
      <c r="O934" s="1311"/>
      <c r="P934" s="1311"/>
      <c r="Q934" s="1311"/>
      <c r="R934" s="1314" t="s">
        <v>395</v>
      </c>
      <c r="S934" s="1311"/>
      <c r="T934" s="1314" t="str">
        <f t="shared" si="151"/>
        <v/>
      </c>
      <c r="U934" s="1311"/>
      <c r="V934" s="1311"/>
      <c r="W934" s="1311"/>
      <c r="X934" s="1311"/>
      <c r="Y934" s="1311"/>
      <c r="Z934" s="1311"/>
    </row>
    <row r="935" spans="1:26" x14ac:dyDescent="0.25">
      <c r="A935" s="1011" t="s">
        <v>1382</v>
      </c>
      <c r="B935" s="826" t="str">
        <f t="shared" ca="1" si="153"/>
        <v>N269</v>
      </c>
      <c r="C935" s="826" t="str">
        <f t="shared" ca="1" si="154"/>
        <v>N270</v>
      </c>
      <c r="D935" s="826" t="s">
        <v>1350</v>
      </c>
      <c r="E935" s="826" t="s">
        <v>1516</v>
      </c>
      <c r="F935" s="1314" t="s">
        <v>1382</v>
      </c>
      <c r="G935" s="1314" t="str">
        <f>IF(T935&lt;&gt;"",IF(Q933="Credit Memo","J",IF(Q933="Check","K","")),"")</f>
        <v/>
      </c>
      <c r="H935" s="1314" t="s">
        <v>1990</v>
      </c>
      <c r="I935" s="1274" t="str">
        <f t="shared" si="145"/>
        <v/>
      </c>
      <c r="J935" s="1314" t="str">
        <f t="shared" si="152"/>
        <v/>
      </c>
      <c r="K935" s="1314" t="str">
        <f t="shared" si="146"/>
        <v/>
      </c>
      <c r="L935" s="826" t="s">
        <v>1382</v>
      </c>
      <c r="M935" s="1329">
        <v>918</v>
      </c>
      <c r="N935" s="1314"/>
      <c r="O935" s="1311"/>
      <c r="P935" s="1311"/>
      <c r="Q935" s="1311"/>
      <c r="R935" s="1314" t="s">
        <v>395</v>
      </c>
      <c r="S935" s="1311"/>
      <c r="T935" s="1314" t="str">
        <f t="shared" si="151"/>
        <v/>
      </c>
      <c r="U935" s="1311"/>
      <c r="V935" s="1311"/>
      <c r="W935" s="1311"/>
      <c r="X935" s="1311"/>
      <c r="Y935" s="1311"/>
      <c r="Z935" s="1311"/>
    </row>
    <row r="936" spans="1:26" x14ac:dyDescent="0.25">
      <c r="A936" s="1011" t="s">
        <v>1486</v>
      </c>
      <c r="B936" s="826" t="str">
        <f t="shared" ca="1" si="153"/>
        <v>P269</v>
      </c>
      <c r="C936" s="826" t="str">
        <f t="shared" ca="1" si="154"/>
        <v>P270</v>
      </c>
      <c r="D936" s="826" t="s">
        <v>1350</v>
      </c>
      <c r="E936" s="826" t="s">
        <v>1516</v>
      </c>
      <c r="F936" s="1314" t="s">
        <v>1994</v>
      </c>
      <c r="G936" s="1314" t="str">
        <f>IF(T936&lt;&gt;"","F","")</f>
        <v/>
      </c>
      <c r="H936" s="1314" t="s">
        <v>1990</v>
      </c>
      <c r="I936" s="1274" t="str">
        <f t="shared" si="145"/>
        <v/>
      </c>
      <c r="J936" s="1314" t="str">
        <f t="shared" si="152"/>
        <v/>
      </c>
      <c r="K936" s="1314" t="str">
        <f t="shared" si="146"/>
        <v/>
      </c>
      <c r="L936" s="826" t="s">
        <v>1486</v>
      </c>
      <c r="M936" s="1329">
        <v>919</v>
      </c>
      <c r="N936" s="1314"/>
      <c r="O936" s="1311"/>
      <c r="P936" s="1311"/>
      <c r="Q936" s="1311"/>
      <c r="R936" s="1314" t="s">
        <v>395</v>
      </c>
      <c r="S936" s="1311"/>
      <c r="T936" s="1314" t="str">
        <f t="shared" si="151"/>
        <v/>
      </c>
      <c r="U936" s="1311"/>
      <c r="V936" s="1311"/>
      <c r="W936" s="1311"/>
      <c r="X936" s="1311"/>
      <c r="Y936" s="1311"/>
      <c r="Z936" s="1311"/>
    </row>
    <row r="937" spans="1:26" x14ac:dyDescent="0.25">
      <c r="A937" s="1011" t="s">
        <v>1487</v>
      </c>
      <c r="B937" s="826" t="str">
        <f t="shared" ca="1" si="153"/>
        <v>R269</v>
      </c>
      <c r="C937" s="826" t="str">
        <f t="shared" ca="1" si="154"/>
        <v>R270</v>
      </c>
      <c r="D937" s="826" t="s">
        <v>1350</v>
      </c>
      <c r="E937" s="826" t="s">
        <v>1516</v>
      </c>
      <c r="F937" s="1314" t="s">
        <v>1995</v>
      </c>
      <c r="G937" s="1314" t="str">
        <f>IF(T937&lt;&gt;"","G","")</f>
        <v/>
      </c>
      <c r="H937" s="1314" t="s">
        <v>1990</v>
      </c>
      <c r="I937" s="1274" t="str">
        <f t="shared" si="145"/>
        <v/>
      </c>
      <c r="J937" s="1314" t="str">
        <f t="shared" si="152"/>
        <v/>
      </c>
      <c r="K937" s="1314" t="str">
        <f t="shared" si="146"/>
        <v/>
      </c>
      <c r="L937" s="826" t="s">
        <v>1487</v>
      </c>
      <c r="M937" s="1329">
        <v>920</v>
      </c>
      <c r="N937" s="1314"/>
      <c r="O937" s="1311"/>
      <c r="P937" s="1311"/>
      <c r="Q937" s="1311"/>
      <c r="R937" s="1314" t="s">
        <v>395</v>
      </c>
      <c r="S937" s="1311"/>
      <c r="T937" s="1314" t="str">
        <f t="shared" si="151"/>
        <v/>
      </c>
      <c r="U937" s="1311"/>
      <c r="V937" s="1311"/>
      <c r="W937" s="1311"/>
      <c r="X937" s="1311"/>
      <c r="Y937" s="1311"/>
      <c r="Z937" s="1311"/>
    </row>
    <row r="938" spans="1:26" x14ac:dyDescent="0.25">
      <c r="A938" s="1011" t="s">
        <v>1488</v>
      </c>
      <c r="B938" s="826" t="str">
        <f t="shared" ca="1" si="153"/>
        <v>T269</v>
      </c>
      <c r="C938" s="826" t="str">
        <f t="shared" ca="1" si="154"/>
        <v>T270</v>
      </c>
      <c r="D938" s="826" t="s">
        <v>1350</v>
      </c>
      <c r="E938" s="826" t="s">
        <v>1516</v>
      </c>
      <c r="F938" s="841" t="s">
        <v>1488</v>
      </c>
      <c r="G938" s="1314" t="str">
        <f>IF(T938&lt;&gt;"","AW","")</f>
        <v/>
      </c>
      <c r="H938" s="1314" t="s">
        <v>1990</v>
      </c>
      <c r="I938" s="1274" t="str">
        <f t="shared" si="145"/>
        <v/>
      </c>
      <c r="J938" s="1314" t="str">
        <f t="shared" si="152"/>
        <v/>
      </c>
      <c r="K938" s="1314" t="str">
        <f t="shared" si="146"/>
        <v/>
      </c>
      <c r="L938" s="826" t="s">
        <v>1488</v>
      </c>
      <c r="M938" s="1329">
        <v>921</v>
      </c>
      <c r="N938" s="1314"/>
      <c r="O938" s="1311"/>
      <c r="P938" s="1311"/>
      <c r="Q938" s="1311"/>
      <c r="R938" s="1314" t="s">
        <v>395</v>
      </c>
      <c r="S938" s="1311"/>
      <c r="T938" s="1314" t="str">
        <f t="shared" si="151"/>
        <v/>
      </c>
      <c r="U938" s="1311"/>
      <c r="V938" s="1311"/>
      <c r="W938" s="1311"/>
      <c r="X938" s="1311"/>
      <c r="Y938" s="1311"/>
      <c r="Z938" s="1311"/>
    </row>
    <row r="939" spans="1:26" x14ac:dyDescent="0.25">
      <c r="A939" s="1011" t="s">
        <v>1385</v>
      </c>
      <c r="B939" s="826" t="str">
        <f ca="1">IFERROR(_xlfn.CONCAT("C",MATCH(A939,INDIRECT("'"&amp;E939&amp;"'!C"&amp;$O$930&amp;":C"&amp;$O$932),0)+$O$930-1),"")</f>
        <v>C273</v>
      </c>
      <c r="C939" s="826" t="str">
        <f ca="1">IFERROR(_xlfn.CONCAT("D",MATCH(A939,INDIRECT("'"&amp;E939&amp;"'!C"&amp;$O$930&amp;":C"&amp;$O$932),0)+$O$930-1),"")</f>
        <v>D273</v>
      </c>
      <c r="D939" s="826" t="s">
        <v>1350</v>
      </c>
      <c r="E939" s="826" t="s">
        <v>1516</v>
      </c>
      <c r="F939" s="1314" t="s">
        <v>1385</v>
      </c>
      <c r="G939" s="1314" t="str">
        <f>IF(T939&lt;&gt;"","C","")</f>
        <v/>
      </c>
      <c r="H939" s="1314" t="s">
        <v>1990</v>
      </c>
      <c r="I939" s="1274" t="str">
        <f t="shared" si="145"/>
        <v/>
      </c>
      <c r="J939" s="1314"/>
      <c r="K939" s="1314" t="str">
        <f t="shared" si="146"/>
        <v/>
      </c>
      <c r="L939" s="826" t="s">
        <v>1385</v>
      </c>
      <c r="M939" s="1329">
        <v>922</v>
      </c>
      <c r="N939" s="1314"/>
      <c r="O939" s="1311"/>
      <c r="P939" s="1311"/>
      <c r="Q939" s="1311"/>
      <c r="R939" s="1314" t="s">
        <v>395</v>
      </c>
      <c r="S939" s="1311"/>
      <c r="T939" s="1314" t="str">
        <f t="shared" si="151"/>
        <v/>
      </c>
      <c r="U939" s="1311"/>
      <c r="V939" s="1311"/>
      <c r="W939" s="1311"/>
      <c r="X939" s="1311"/>
      <c r="Y939" s="1311"/>
      <c r="Z939" s="1311"/>
    </row>
    <row r="940" spans="1:26" x14ac:dyDescent="0.25">
      <c r="A940" s="1011" t="s">
        <v>1386</v>
      </c>
      <c r="B940" s="826" t="str">
        <f ca="1">IFERROR(_xlfn.CONCAT("C",MATCH(A940,INDIRECT("'"&amp;E940&amp;"'!C"&amp;$O$930&amp;":C"&amp;$O$932),0)+$O$930-1),"")</f>
        <v>C275</v>
      </c>
      <c r="C940" s="826" t="str">
        <f ca="1">IFERROR(_xlfn.CONCAT("D",MATCH(A940,INDIRECT("'"&amp;E940&amp;"'!C"&amp;$O$930&amp;":C"&amp;$O$932),0)+$O$930-1),"")</f>
        <v>D275</v>
      </c>
      <c r="D940" s="826" t="s">
        <v>1350</v>
      </c>
      <c r="E940" s="826" t="s">
        <v>1516</v>
      </c>
      <c r="F940" s="1314" t="s">
        <v>1386</v>
      </c>
      <c r="G940" s="1314" t="str">
        <f>IF(T940&lt;&gt;"","D","")</f>
        <v/>
      </c>
      <c r="H940" s="1314" t="s">
        <v>1990</v>
      </c>
      <c r="I940" s="1274" t="str">
        <f t="shared" si="145"/>
        <v/>
      </c>
      <c r="J940" s="1314"/>
      <c r="K940" s="1314" t="str">
        <f t="shared" si="146"/>
        <v/>
      </c>
      <c r="L940" s="826" t="s">
        <v>1386</v>
      </c>
      <c r="M940" s="1329">
        <v>923</v>
      </c>
      <c r="N940" s="1314"/>
      <c r="O940" s="1311"/>
      <c r="P940" s="1311"/>
      <c r="Q940" s="1311"/>
      <c r="R940" s="1314" t="s">
        <v>395</v>
      </c>
      <c r="S940" s="1311"/>
      <c r="T940" s="1314" t="str">
        <f t="shared" si="151"/>
        <v/>
      </c>
      <c r="U940" s="1311"/>
      <c r="V940" s="1311"/>
      <c r="W940" s="1311"/>
      <c r="X940" s="1311"/>
      <c r="Y940" s="1311"/>
      <c r="Z940" s="1311"/>
    </row>
    <row r="941" spans="1:26" x14ac:dyDescent="0.25">
      <c r="A941" s="1012" t="s">
        <v>1495</v>
      </c>
      <c r="B941" s="826" t="str">
        <f ca="1">IFERROR(_xlfn.CONCAT("C",MATCH(A941,INDIRECT("'"&amp;E941&amp;"'!C"&amp;$O$930&amp;":C"&amp;$O$932),0)+$O$930-1),"")</f>
        <v>C277</v>
      </c>
      <c r="C941" s="826" t="str">
        <f ca="1">IFERROR(_xlfn.CONCAT("D",MATCH(A941,INDIRECT("'"&amp;E941&amp;"'!C"&amp;$O$930&amp;":C"&amp;$O$932),0)+$O$930-1),"")</f>
        <v>D277</v>
      </c>
      <c r="D941" s="826" t="s">
        <v>1350</v>
      </c>
      <c r="E941" s="826" t="s">
        <v>1516</v>
      </c>
      <c r="F941" s="1314" t="s">
        <v>1495</v>
      </c>
      <c r="G941" s="1314" t="str">
        <f>IF(T941&lt;&gt;"","AN","")</f>
        <v/>
      </c>
      <c r="H941" s="1314" t="s">
        <v>1990</v>
      </c>
      <c r="I941" s="1274" t="str">
        <f t="shared" si="145"/>
        <v/>
      </c>
      <c r="J941" s="1314" t="str">
        <f t="shared" si="152"/>
        <v/>
      </c>
      <c r="K941" s="1314" t="str">
        <f t="shared" si="146"/>
        <v/>
      </c>
      <c r="L941" s="827" t="s">
        <v>1495</v>
      </c>
      <c r="M941" s="1329">
        <v>924</v>
      </c>
      <c r="N941" s="1314"/>
      <c r="O941" s="1405"/>
      <c r="P941" s="1317" t="str" cm="1">
        <f t="array" aca="1" ref="P941" ca="1">_xlfn.CONCAT("F",RIGHT(B941, LEN(B941) - MAX(IF(ISNUMBER(MID(B941, ROW(INDIRECT("1:"&amp;LEN(B941))), 1) *1)=FALSE, ROW(INDIRECT("1:"&amp;LEN(B941))), 0))))</f>
        <v>F277</v>
      </c>
      <c r="Q941" s="1314" t="str" cm="1">
        <f t="array" aca="1" ref="Q941" ca="1">_xlfn.CONCAT("E",RIGHT(C941, LEN(C941) - MAX(IF(ISNUMBER(MID(C941, ROW(INDIRECT("1:"&amp;LEN(C941))), 1) *1)=FALSE, ROW(INDIRECT("1:"&amp;LEN(C941))), 0))))</f>
        <v>E277</v>
      </c>
      <c r="R941" s="1314" t="s">
        <v>395</v>
      </c>
      <c r="S941" s="1311"/>
      <c r="T941" s="1314" t="str">
        <f t="shared" si="151"/>
        <v/>
      </c>
      <c r="U941" s="1311"/>
      <c r="V941" s="1311"/>
      <c r="W941" s="1311"/>
      <c r="X941" s="1311"/>
      <c r="Y941" s="1311"/>
      <c r="Z941" s="1311"/>
    </row>
    <row r="942" spans="1:26" x14ac:dyDescent="0.25">
      <c r="A942" s="1011" t="s">
        <v>1492</v>
      </c>
      <c r="B942" s="826" t="str">
        <f ca="1">_xlfn.CONCAT(IFERROR(SUBSTITUTE(ADDRESS(1,MATCH(A942,INDIRECT("'"&amp;E942&amp;"'"&amp;"!A" &amp; $O$930 + 8 &amp; ":Z" &amp; $O$930 + 8),0),4),1,""),""),$O$930 + 8)</f>
        <v>H275</v>
      </c>
      <c r="C942" s="826" t="str">
        <f ca="1">_xlfn.CONCAT(IFERROR(SUBSTITUTE(ADDRESS(1,MATCH(A942,INDIRECT("'"&amp;E942&amp;"'"&amp;"!A" &amp; $O$930 + 8 &amp; ":Z" &amp; $O$930 + 8),0),4),1,""),""),$O$930 + 9)</f>
        <v>H276</v>
      </c>
      <c r="D942" s="826" t="s">
        <v>1350</v>
      </c>
      <c r="E942" s="826" t="s">
        <v>1516</v>
      </c>
      <c r="F942" s="1314" t="s">
        <v>1492</v>
      </c>
      <c r="G942" s="1314" t="str">
        <f>IF(T942&lt;&gt;"","AL","")</f>
        <v/>
      </c>
      <c r="H942" s="1314" t="s">
        <v>1990</v>
      </c>
      <c r="I942" s="1274" t="str">
        <f t="shared" si="145"/>
        <v/>
      </c>
      <c r="J942" s="1314" t="str">
        <f t="shared" si="152"/>
        <v/>
      </c>
      <c r="K942" s="1314" t="str">
        <f t="shared" si="146"/>
        <v/>
      </c>
      <c r="L942" s="826" t="s">
        <v>1492</v>
      </c>
      <c r="M942" s="1329">
        <v>925</v>
      </c>
      <c r="N942" s="1314"/>
      <c r="O942" s="1311"/>
      <c r="P942" s="1311"/>
      <c r="Q942" s="1311"/>
      <c r="R942" s="1314" t="s">
        <v>395</v>
      </c>
      <c r="S942" s="1311"/>
      <c r="T942" s="1314" t="str">
        <f t="shared" si="151"/>
        <v/>
      </c>
      <c r="U942" s="1311"/>
      <c r="V942" s="1311"/>
      <c r="W942" s="1311"/>
      <c r="X942" s="1311"/>
      <c r="Y942" s="1311"/>
      <c r="Z942" s="1311"/>
    </row>
    <row r="943" spans="1:26" x14ac:dyDescent="0.25">
      <c r="A943" s="1011" t="s">
        <v>1506</v>
      </c>
      <c r="B943" s="826" t="str">
        <f ca="1">_xlfn.CONCAT(IFERROR(SUBSTITUTE(ADDRESS(1,MATCH(A943,INDIRECT("'"&amp;E943&amp;"'"&amp;"!A" &amp; $O$930 + 8 &amp; ":Z" &amp; $O$930 + 8),0),4),1,""),""),$O$930 + 8)</f>
        <v>J275</v>
      </c>
      <c r="C943" s="826" t="str">
        <f ca="1">_xlfn.CONCAT(IFERROR(SUBSTITUTE(ADDRESS(1,MATCH(A943,INDIRECT("'"&amp;E943&amp;"'"&amp;"!A" &amp; $O$930 + 8 &amp; ":Z" &amp; $O$930 + 8),0),4),1,""),""),$O$930 + 9)</f>
        <v>J276</v>
      </c>
      <c r="D943" s="826" t="s">
        <v>1350</v>
      </c>
      <c r="E943" s="826" t="s">
        <v>1516</v>
      </c>
      <c r="F943" s="1314" t="s">
        <v>1996</v>
      </c>
      <c r="G943" s="1314" t="str">
        <f>IF(T943&lt;&gt;"","L","")</f>
        <v/>
      </c>
      <c r="H943" s="1314" t="s">
        <v>1990</v>
      </c>
      <c r="I943" s="1274" t="str">
        <f t="shared" si="145"/>
        <v/>
      </c>
      <c r="J943" s="1314" t="str">
        <f t="shared" si="152"/>
        <v/>
      </c>
      <c r="K943" s="1314" t="str">
        <f t="shared" si="146"/>
        <v/>
      </c>
      <c r="L943" s="826" t="s">
        <v>1506</v>
      </c>
      <c r="M943" s="1329">
        <v>926</v>
      </c>
      <c r="N943" s="1314"/>
      <c r="O943" s="1311"/>
      <c r="P943" s="1311"/>
      <c r="Q943" s="1311"/>
      <c r="R943" s="1314" t="s">
        <v>395</v>
      </c>
      <c r="S943" s="1311"/>
      <c r="T943" s="1314" t="str">
        <f t="shared" si="151"/>
        <v/>
      </c>
      <c r="U943" s="1311"/>
      <c r="V943" s="1311"/>
      <c r="W943" s="1311"/>
      <c r="X943" s="1311"/>
      <c r="Y943" s="1311"/>
      <c r="Z943" s="1311"/>
    </row>
    <row r="944" spans="1:26" x14ac:dyDescent="0.25">
      <c r="A944" s="1011" t="s">
        <v>1387</v>
      </c>
      <c r="B944" s="826" t="str">
        <f ca="1">_xlfn.CONCAT(IFERROR(SUBSTITUTE(ADDRESS(1,MATCH(A944,INDIRECT("'"&amp;E944&amp;"'"&amp;"!A" &amp; $O$930 + 5 &amp; ":Z" &amp; $O$930 + 5),0),4),1,""),""),$O$930 + 5)</f>
        <v>H272</v>
      </c>
      <c r="C944" s="826" t="str">
        <f ca="1">_xlfn.CONCAT(IFERROR(SUBSTITUTE(ADDRESS(1,MATCH(A944,INDIRECT("'"&amp;E944&amp;"'"&amp;"!A" &amp; $O$930 + 5 &amp; ":Z" &amp; $O$930 + 5),0),4),1,""),""),$O$930 + 6)</f>
        <v>H273</v>
      </c>
      <c r="D944" s="826" t="s">
        <v>1350</v>
      </c>
      <c r="E944" s="826" t="s">
        <v>1516</v>
      </c>
      <c r="F944" s="841" t="s">
        <v>1387</v>
      </c>
      <c r="G944" s="1314" t="str">
        <f>IF(T944&lt;&gt;"","AH","")</f>
        <v/>
      </c>
      <c r="H944" s="1314" t="s">
        <v>1990</v>
      </c>
      <c r="I944" s="1274" t="str">
        <f t="shared" si="145"/>
        <v/>
      </c>
      <c r="J944" s="1314" t="str">
        <f t="shared" si="152"/>
        <v/>
      </c>
      <c r="K944" s="1314" t="str">
        <f t="shared" si="146"/>
        <v/>
      </c>
      <c r="L944" s="826" t="s">
        <v>1387</v>
      </c>
      <c r="M944" s="1329">
        <v>927</v>
      </c>
      <c r="N944" s="1314"/>
      <c r="O944" s="1311"/>
      <c r="P944" s="1311"/>
      <c r="Q944" s="1311"/>
      <c r="R944" s="1314" t="s">
        <v>395</v>
      </c>
      <c r="S944" s="1311"/>
      <c r="T944" s="1314" t="str">
        <f t="shared" si="151"/>
        <v/>
      </c>
      <c r="U944" s="1311"/>
      <c r="V944" s="1311"/>
      <c r="W944" s="1311"/>
      <c r="X944" s="1311"/>
      <c r="Y944" s="1311"/>
      <c r="Z944" s="1311"/>
    </row>
    <row r="945" spans="1:26" x14ac:dyDescent="0.25">
      <c r="A945" s="1011" t="s">
        <v>1388</v>
      </c>
      <c r="B945" s="826" t="str">
        <f ca="1">_xlfn.CONCAT(IFERROR(SUBSTITUTE(ADDRESS(1,MATCH(A945,INDIRECT("'"&amp;E945&amp;"'"&amp;"!A" &amp; $O$930 + 5 &amp; ":Z" &amp; $O$930 + 5),0),4),1,""),""),$O$930 + 5)</f>
        <v>J272</v>
      </c>
      <c r="C945" s="826" t="str">
        <f ca="1">_xlfn.CONCAT(IFERROR(SUBSTITUTE(ADDRESS(1,MATCH(A945,INDIRECT("'"&amp;E945&amp;"'"&amp;"!A" &amp; $O$930 + 5 &amp; ":Z" &amp; $O$930 + 5),0),4),1,""),""),$O$930 + 6)</f>
        <v>J273</v>
      </c>
      <c r="D945" s="826" t="s">
        <v>1350</v>
      </c>
      <c r="E945" s="826" t="s">
        <v>1516</v>
      </c>
      <c r="F945" s="841"/>
      <c r="G945" s="1314"/>
      <c r="H945" s="1314"/>
      <c r="I945" s="1274" t="str">
        <f t="shared" si="145"/>
        <v/>
      </c>
      <c r="J945" s="1314"/>
      <c r="K945" s="1314" t="str">
        <f t="shared" si="146"/>
        <v/>
      </c>
      <c r="L945" s="826" t="s">
        <v>1388</v>
      </c>
      <c r="M945" s="1329">
        <v>928</v>
      </c>
      <c r="N945" s="1314"/>
      <c r="O945" s="1311"/>
      <c r="P945" s="1311"/>
      <c r="Q945" s="1311"/>
      <c r="R945" s="1314" t="s">
        <v>395</v>
      </c>
      <c r="S945" s="1311"/>
      <c r="T945" s="1314" t="str">
        <f t="shared" si="151"/>
        <v/>
      </c>
      <c r="U945" s="1311"/>
      <c r="V945" s="1311"/>
      <c r="W945" s="1311"/>
      <c r="X945" s="1311"/>
      <c r="Y945" s="1311"/>
      <c r="Z945" s="1311"/>
    </row>
    <row r="946" spans="1:26" x14ac:dyDescent="0.25">
      <c r="A946" s="1011" t="s">
        <v>1389</v>
      </c>
      <c r="B946" s="826" t="str">
        <f ca="1">_xlfn.CONCAT(IFERROR(SUBSTITUTE(ADDRESS(1,MATCH(A946,INDIRECT("'"&amp;E946&amp;"'"&amp;"!A" &amp; $O$930 + 5 &amp; ":Z" &amp; $O$930 + 5),0),4),1,""),""),$O$930 + 5)</f>
        <v>L272</v>
      </c>
      <c r="C946" s="826" t="str">
        <f ca="1">_xlfn.CONCAT(IFERROR(SUBSTITUTE(ADDRESS(1,MATCH(A946,INDIRECT("'"&amp;E946&amp;"'"&amp;"!A" &amp; $O$930 + 5 &amp; ":Z" &amp; $O$930 + 5),0),4),1,""),""),$O$930 + 6)</f>
        <v>L273</v>
      </c>
      <c r="D946" s="826" t="s">
        <v>1350</v>
      </c>
      <c r="E946" s="826" t="s">
        <v>1516</v>
      </c>
      <c r="F946" s="1314" t="s">
        <v>1912</v>
      </c>
      <c r="G946" s="1314" t="str">
        <f>IF(T946&lt;&gt;"","AI","")</f>
        <v/>
      </c>
      <c r="H946" s="1314" t="s">
        <v>1990</v>
      </c>
      <c r="I946" s="1274" t="str">
        <f t="shared" si="145"/>
        <v/>
      </c>
      <c r="J946" s="1314"/>
      <c r="K946" s="1314" t="str">
        <f t="shared" si="146"/>
        <v/>
      </c>
      <c r="L946" s="826" t="s">
        <v>1389</v>
      </c>
      <c r="M946" s="1329">
        <v>929</v>
      </c>
      <c r="N946" s="1314"/>
      <c r="O946" s="1311"/>
      <c r="P946" s="1311"/>
      <c r="Q946" s="1311"/>
      <c r="R946" s="1314" t="s">
        <v>395</v>
      </c>
      <c r="S946" s="1311"/>
      <c r="T946" s="1314" t="str">
        <f t="shared" si="151"/>
        <v/>
      </c>
      <c r="U946" s="1311"/>
      <c r="V946" s="1311"/>
      <c r="W946" s="1311"/>
      <c r="X946" s="1311"/>
      <c r="Y946" s="1311"/>
      <c r="Z946" s="1311"/>
    </row>
    <row r="947" spans="1:26" x14ac:dyDescent="0.25">
      <c r="A947" s="1011" t="s">
        <v>1508</v>
      </c>
      <c r="B947" s="826" t="str">
        <f ca="1">_xlfn.CONCAT(IFERROR(SUBSTITUTE(ADDRESS(1,MATCH(A947,INDIRECT("'"&amp;E947&amp;"'"&amp;"!A" &amp; $O$930 + 8 &amp; ":Z" &amp; $O$930 + 8),0),4),1,""),""),$O$930 + 8)</f>
        <v>P275</v>
      </c>
      <c r="C947" s="826" t="str">
        <f ca="1">_xlfn.CONCAT(IFERROR(SUBSTITUTE(ADDRESS(1,MATCH(A947,INDIRECT("'"&amp;E947&amp;"'"&amp;"!A" &amp; $O$930 + 8 &amp; ":Z" &amp; $O$930 + 8),0),4),1,""),""),$O$930 + 9)</f>
        <v>P276</v>
      </c>
      <c r="D947" s="826" t="s">
        <v>1350</v>
      </c>
      <c r="E947" s="826" t="s">
        <v>1516</v>
      </c>
      <c r="F947" s="1314" t="s">
        <v>1508</v>
      </c>
      <c r="G947" s="1314" t="str">
        <f>IF(T947&lt;&gt;"","P","")</f>
        <v/>
      </c>
      <c r="H947" s="1314" t="s">
        <v>1990</v>
      </c>
      <c r="I947" s="1274" t="str">
        <f t="shared" si="145"/>
        <v/>
      </c>
      <c r="J947" s="1314" t="str">
        <f t="shared" si="152"/>
        <v/>
      </c>
      <c r="K947" s="1314" t="str">
        <f t="shared" si="146"/>
        <v/>
      </c>
      <c r="L947" s="826" t="s">
        <v>1508</v>
      </c>
      <c r="M947" s="1329">
        <v>930</v>
      </c>
      <c r="N947" s="1314"/>
      <c r="O947" s="1311"/>
      <c r="P947" s="1311"/>
      <c r="Q947" s="1311"/>
      <c r="R947" s="1314" t="s">
        <v>395</v>
      </c>
      <c r="S947" s="1311"/>
      <c r="T947" s="1314" t="str">
        <f>IF(Q$930="Yes",19,"")</f>
        <v/>
      </c>
      <c r="U947" s="1311"/>
      <c r="V947" s="1311"/>
      <c r="W947" s="1311"/>
      <c r="X947" s="1311"/>
      <c r="Y947" s="1311"/>
      <c r="Z947" s="1311"/>
    </row>
    <row r="948" spans="1:26" x14ac:dyDescent="0.25">
      <c r="A948" s="992" t="s">
        <v>1491</v>
      </c>
      <c r="B948" s="826" t="str">
        <f ca="1">IFERROR(_xlfn.CONCAT("C",MATCH(A948,INDIRECT("'"&amp;E948&amp;"'!C"&amp;$O$949&amp;":C"&amp;$O$951),0)+$O$949-1),"")</f>
        <v>C285</v>
      </c>
      <c r="C948" s="826" t="str">
        <f ca="1">IFERROR(_xlfn.CONCAT("D",MATCH(A948,INDIRECT("'"&amp;E948&amp;"'!C"&amp;$O$949&amp;":C"&amp;$O$951),0)+$O$949-1),"")</f>
        <v>D285</v>
      </c>
      <c r="D948" s="826" t="s">
        <v>1350</v>
      </c>
      <c r="E948" s="826" t="s">
        <v>1516</v>
      </c>
      <c r="F948" s="1314" t="s">
        <v>1491</v>
      </c>
      <c r="G948" s="1314" t="str">
        <f>IF(T948&lt;&gt;"","A","")</f>
        <v/>
      </c>
      <c r="H948" s="1314" t="s">
        <v>1990</v>
      </c>
      <c r="I948" s="1274" t="str">
        <f t="shared" si="145"/>
        <v/>
      </c>
      <c r="J948" s="1314"/>
      <c r="K948" s="1314" t="str">
        <f t="shared" si="146"/>
        <v/>
      </c>
      <c r="L948" s="826" t="s">
        <v>1491</v>
      </c>
      <c r="M948" s="1329">
        <v>931</v>
      </c>
      <c r="N948" s="1314"/>
      <c r="O948" s="1311" t="s">
        <v>725</v>
      </c>
      <c r="P948" s="1406"/>
      <c r="Q948" s="1311"/>
      <c r="R948" s="1314" t="s">
        <v>395</v>
      </c>
      <c r="S948" s="1311"/>
      <c r="T948" s="1314" t="str">
        <f>IF(Q$949="Yes",20,"")</f>
        <v/>
      </c>
      <c r="U948" s="1311"/>
      <c r="V948" s="1311"/>
      <c r="W948" s="1311"/>
      <c r="X948" s="1311"/>
      <c r="Y948" s="1311"/>
      <c r="Z948" s="1311"/>
    </row>
    <row r="949" spans="1:26" x14ac:dyDescent="0.25">
      <c r="A949" s="992" t="s">
        <v>1705</v>
      </c>
      <c r="B949" s="826" t="str">
        <f ca="1">_xlfn.CONCAT(IFERROR(SUBSTITUTE(ADDRESS(1,MATCH(A949,INDIRECT("'"&amp;E949&amp;"'"&amp;"!A" &amp; $O$949 + 11 &amp; ":Z" &amp; $O$949 + 11),0),4),1,""),""),$O$949 + 11)</f>
        <v>T292</v>
      </c>
      <c r="C949" s="826" t="str">
        <f ca="1">_xlfn.CONCAT(IFERROR(SUBSTITUTE(ADDRESS(1,MATCH(A949,INDIRECT("'"&amp;E949&amp;"'"&amp;"!A" &amp; $O$949 + 11 &amp; ":Z" &amp; $O$949 + 11),0),4),1,""),""),$O$949 + 12)</f>
        <v>T293</v>
      </c>
      <c r="D949" s="826" t="s">
        <v>1350</v>
      </c>
      <c r="E949" s="826" t="s">
        <v>1516</v>
      </c>
      <c r="F949" s="1314"/>
      <c r="G949" s="1314"/>
      <c r="H949" s="1314"/>
      <c r="I949" s="1274" t="str">
        <f t="shared" si="145"/>
        <v/>
      </c>
      <c r="J949" s="1314" t="str">
        <f t="shared" ref="J949:J966" si="155">IF(M949&lt;&gt;"",IF($Q$949="Yes",Q$1&amp;M949,""))</f>
        <v/>
      </c>
      <c r="K949" s="1314" t="str">
        <f t="shared" si="146"/>
        <v/>
      </c>
      <c r="L949" s="826" t="s">
        <v>1705</v>
      </c>
      <c r="M949" s="1329">
        <v>932</v>
      </c>
      <c r="N949" s="1314"/>
      <c r="O949" s="1311">
        <f>'Configurable Tab'!H22</f>
        <v>281</v>
      </c>
      <c r="P949" s="1406">
        <f>'Configurable Tab'!J22</f>
        <v>0</v>
      </c>
      <c r="Q949" s="1351" t="s">
        <v>648</v>
      </c>
      <c r="R949" s="1314" t="s">
        <v>395</v>
      </c>
      <c r="S949" s="1311"/>
      <c r="T949" s="1314" t="str">
        <f t="shared" ref="T949:T965" si="156">IF(Q$949="Yes",20,"")</f>
        <v/>
      </c>
      <c r="U949" s="1311"/>
      <c r="V949" s="1311"/>
      <c r="W949" s="1311"/>
      <c r="X949" s="1311"/>
      <c r="Y949" s="1311"/>
      <c r="Z949" s="1311"/>
    </row>
    <row r="950" spans="1:26" x14ac:dyDescent="0.25">
      <c r="A950" s="992" t="s">
        <v>1383</v>
      </c>
      <c r="B950" s="826" t="str">
        <f ca="1">IFERROR(_xlfn.CONCAT("C",MATCH(A950,INDIRECT("'"&amp;E950&amp;"'!C"&amp;$O$949&amp;":C"&amp;$O$951),0)+$O$949-1),"")</f>
        <v>C283</v>
      </c>
      <c r="C950" s="826" t="str">
        <f ca="1">IFERROR(_xlfn.CONCAT("D",MATCH(A950,INDIRECT("'"&amp;E950&amp;"'!C"&amp;$O$949&amp;":C"&amp;$O$951),0)+$O$949-1),"")</f>
        <v>D283</v>
      </c>
      <c r="D950" s="826" t="s">
        <v>1350</v>
      </c>
      <c r="E950" s="826" t="s">
        <v>1516</v>
      </c>
      <c r="F950" s="1314" t="s">
        <v>1383</v>
      </c>
      <c r="G950" s="1314" t="str">
        <f>IF(T950&lt;&gt;"","B","")</f>
        <v/>
      </c>
      <c r="H950" s="1314" t="s">
        <v>1990</v>
      </c>
      <c r="I950" s="1274" t="str">
        <f t="shared" si="145"/>
        <v/>
      </c>
      <c r="J950" s="1314"/>
      <c r="K950" s="1314" t="str">
        <f t="shared" si="146"/>
        <v/>
      </c>
      <c r="L950" s="826" t="s">
        <v>1383</v>
      </c>
      <c r="M950" s="1329">
        <v>933</v>
      </c>
      <c r="N950" s="1314"/>
      <c r="O950" s="1311" t="s">
        <v>726</v>
      </c>
      <c r="P950" s="1311"/>
      <c r="Q950" s="1311"/>
      <c r="R950" s="1314" t="s">
        <v>395</v>
      </c>
      <c r="S950" s="1311"/>
      <c r="T950" s="1314" t="str">
        <f t="shared" si="156"/>
        <v/>
      </c>
      <c r="U950" s="1311"/>
      <c r="V950" s="1311"/>
      <c r="W950" s="1311"/>
      <c r="X950" s="1311"/>
      <c r="Y950" s="1311"/>
      <c r="Z950" s="1311"/>
    </row>
    <row r="951" spans="1:26" x14ac:dyDescent="0.25">
      <c r="A951" s="992" t="s">
        <v>1380</v>
      </c>
      <c r="B951" s="826" t="str">
        <f t="shared" ref="B951:B957" ca="1" si="157">_xlfn.CONCAT(IFERROR(SUBSTITUTE(ADDRESS(1,MATCH(A951,INDIRECT("'"&amp;E951&amp;"'"&amp;"!A" &amp; $O$949 + 2 &amp; ":Z" &amp; $O$949 + 2),0),4),1,""),""),$O$949 + 2)</f>
        <v>H283</v>
      </c>
      <c r="C951" s="826" t="str">
        <f t="shared" ref="C951:C957" ca="1" si="158">_xlfn.CONCAT(IFERROR(SUBSTITUTE(ADDRESS(1,MATCH(A951,INDIRECT("'"&amp;E951&amp;"'"&amp;"!A" &amp; $O$949 + 2 &amp; ":Z" &amp; $O$949 + 2),0),4),1,""),""),$O$949 + 3)</f>
        <v>H284</v>
      </c>
      <c r="D951" s="826" t="s">
        <v>1350</v>
      </c>
      <c r="E951" s="826" t="s">
        <v>1516</v>
      </c>
      <c r="F951" s="1314" t="s">
        <v>1991</v>
      </c>
      <c r="G951" s="1314" t="str">
        <f>IF(T951&lt;&gt;"","E","")</f>
        <v/>
      </c>
      <c r="H951" s="1314" t="s">
        <v>1990</v>
      </c>
      <c r="I951" s="1274" t="str">
        <f t="shared" si="145"/>
        <v/>
      </c>
      <c r="J951" s="1314" t="str">
        <f t="shared" si="155"/>
        <v/>
      </c>
      <c r="K951" s="1314" t="str">
        <f t="shared" si="146"/>
        <v/>
      </c>
      <c r="L951" s="826" t="s">
        <v>1380</v>
      </c>
      <c r="M951" s="1329">
        <v>934</v>
      </c>
      <c r="N951" s="1314"/>
      <c r="O951" s="1311">
        <f>'Configurable Tab'!I22</f>
        <v>294</v>
      </c>
      <c r="P951" s="1311"/>
      <c r="Q951" s="1311"/>
      <c r="R951" s="1314" t="s">
        <v>395</v>
      </c>
      <c r="S951" s="1311"/>
      <c r="T951" s="1314" t="str">
        <f t="shared" si="156"/>
        <v/>
      </c>
      <c r="U951" s="1311"/>
      <c r="V951" s="1311"/>
      <c r="W951" s="1311"/>
      <c r="X951" s="1311"/>
      <c r="Y951" s="1311"/>
      <c r="Z951" s="1311"/>
    </row>
    <row r="952" spans="1:26" x14ac:dyDescent="0.25">
      <c r="A952" s="992" t="s">
        <v>1381</v>
      </c>
      <c r="B952" s="826" t="str">
        <f t="shared" ca="1" si="157"/>
        <v>J283</v>
      </c>
      <c r="C952" s="826" t="str">
        <f t="shared" ca="1" si="158"/>
        <v>J284</v>
      </c>
      <c r="D952" s="826" t="s">
        <v>1350</v>
      </c>
      <c r="E952" s="826" t="s">
        <v>1516</v>
      </c>
      <c r="F952" s="1314" t="s">
        <v>1992</v>
      </c>
      <c r="G952" s="1314" t="str">
        <f>IF(T952&lt;&gt;"","I","")</f>
        <v/>
      </c>
      <c r="H952" s="1314" t="s">
        <v>1990</v>
      </c>
      <c r="I952" s="1274" t="str">
        <f t="shared" si="145"/>
        <v/>
      </c>
      <c r="J952" s="1314" t="str">
        <f t="shared" si="155"/>
        <v/>
      </c>
      <c r="K952" s="1314" t="str">
        <f t="shared" si="146"/>
        <v/>
      </c>
      <c r="L952" s="826" t="s">
        <v>1381</v>
      </c>
      <c r="M952" s="1329">
        <v>935</v>
      </c>
      <c r="N952" s="1314"/>
      <c r="O952" s="1311" t="s">
        <v>1708</v>
      </c>
      <c r="P952" s="1311"/>
      <c r="Q952" s="1311"/>
      <c r="R952" s="1314" t="s">
        <v>395</v>
      </c>
      <c r="S952" s="1311"/>
      <c r="T952" s="1314" t="str">
        <f t="shared" si="156"/>
        <v/>
      </c>
      <c r="U952" s="1311"/>
      <c r="V952" s="1311"/>
      <c r="W952" s="1311"/>
      <c r="X952" s="1311"/>
      <c r="Y952" s="1311"/>
      <c r="Z952" s="1311"/>
    </row>
    <row r="953" spans="1:26" x14ac:dyDescent="0.25">
      <c r="A953" s="992" t="s">
        <v>1397</v>
      </c>
      <c r="B953" s="826" t="str">
        <f t="shared" ca="1" si="157"/>
        <v>L283</v>
      </c>
      <c r="C953" s="826" t="str">
        <f t="shared" ca="1" si="158"/>
        <v>L284</v>
      </c>
      <c r="D953" s="826" t="s">
        <v>1350</v>
      </c>
      <c r="E953" s="826" t="s">
        <v>1516</v>
      </c>
      <c r="F953" s="1314" t="s">
        <v>1993</v>
      </c>
      <c r="G953" s="1314" t="str">
        <f>IF(T953&lt;&gt;"","H","")</f>
        <v/>
      </c>
      <c r="H953" s="1314" t="s">
        <v>1990</v>
      </c>
      <c r="I953" s="1274" t="str">
        <f t="shared" si="145"/>
        <v/>
      </c>
      <c r="J953" s="1314" t="str">
        <f t="shared" si="155"/>
        <v/>
      </c>
      <c r="K953" s="1314" t="str">
        <f t="shared" si="146"/>
        <v/>
      </c>
      <c r="L953" s="826" t="s">
        <v>1397</v>
      </c>
      <c r="M953" s="1329">
        <v>936</v>
      </c>
      <c r="N953" s="1314"/>
      <c r="O953" s="1311"/>
      <c r="P953" s="1311"/>
      <c r="Q953" s="1311"/>
      <c r="R953" s="1314" t="s">
        <v>395</v>
      </c>
      <c r="S953" s="1311"/>
      <c r="T953" s="1314" t="str">
        <f t="shared" si="156"/>
        <v/>
      </c>
      <c r="U953" s="1311"/>
      <c r="V953" s="1311"/>
      <c r="W953" s="1311"/>
      <c r="X953" s="1311"/>
      <c r="Y953" s="1311"/>
      <c r="Z953" s="1311"/>
    </row>
    <row r="954" spans="1:26" x14ac:dyDescent="0.25">
      <c r="A954" s="992" t="s">
        <v>1382</v>
      </c>
      <c r="B954" s="826" t="str">
        <f t="shared" ca="1" si="157"/>
        <v>N283</v>
      </c>
      <c r="C954" s="826" t="str">
        <f t="shared" ca="1" si="158"/>
        <v>N284</v>
      </c>
      <c r="D954" s="826" t="s">
        <v>1350</v>
      </c>
      <c r="E954" s="826" t="s">
        <v>1516</v>
      </c>
      <c r="F954" s="1314" t="s">
        <v>1382</v>
      </c>
      <c r="G954" s="1314" t="str">
        <f>IF(T954&lt;&gt;"",IF(Q952="Credit Memo","J",IF(Q952="Check","K","")),"")</f>
        <v/>
      </c>
      <c r="H954" s="1314" t="s">
        <v>1990</v>
      </c>
      <c r="I954" s="1274" t="str">
        <f t="shared" si="145"/>
        <v/>
      </c>
      <c r="J954" s="1314" t="str">
        <f t="shared" si="155"/>
        <v/>
      </c>
      <c r="K954" s="1314" t="str">
        <f t="shared" si="146"/>
        <v/>
      </c>
      <c r="L954" s="826" t="s">
        <v>1382</v>
      </c>
      <c r="M954" s="1329">
        <v>937</v>
      </c>
      <c r="N954" s="1314"/>
      <c r="O954" s="1311"/>
      <c r="P954" s="1311"/>
      <c r="Q954" s="1311"/>
      <c r="R954" s="1314" t="s">
        <v>395</v>
      </c>
      <c r="S954" s="1311"/>
      <c r="T954" s="1314" t="str">
        <f t="shared" si="156"/>
        <v/>
      </c>
      <c r="U954" s="1311"/>
      <c r="V954" s="1311"/>
      <c r="W954" s="1311"/>
      <c r="X954" s="1311"/>
      <c r="Y954" s="1311"/>
      <c r="Z954" s="1311"/>
    </row>
    <row r="955" spans="1:26" x14ac:dyDescent="0.25">
      <c r="A955" s="992" t="s">
        <v>1486</v>
      </c>
      <c r="B955" s="826" t="str">
        <f t="shared" ca="1" si="157"/>
        <v>P283</v>
      </c>
      <c r="C955" s="826" t="str">
        <f t="shared" ca="1" si="158"/>
        <v>P284</v>
      </c>
      <c r="D955" s="826" t="s">
        <v>1350</v>
      </c>
      <c r="E955" s="826" t="s">
        <v>1516</v>
      </c>
      <c r="F955" s="1314" t="s">
        <v>1994</v>
      </c>
      <c r="G955" s="1314" t="str">
        <f>IF(T955&lt;&gt;"","F","")</f>
        <v/>
      </c>
      <c r="H955" s="1314" t="s">
        <v>1990</v>
      </c>
      <c r="I955" s="1274" t="str">
        <f t="shared" si="145"/>
        <v/>
      </c>
      <c r="J955" s="1314" t="str">
        <f t="shared" si="155"/>
        <v/>
      </c>
      <c r="K955" s="1314" t="str">
        <f t="shared" si="146"/>
        <v/>
      </c>
      <c r="L955" s="826" t="s">
        <v>1486</v>
      </c>
      <c r="M955" s="1329">
        <v>938</v>
      </c>
      <c r="N955" s="1314"/>
      <c r="O955" s="1311"/>
      <c r="P955" s="1311"/>
      <c r="Q955" s="1311"/>
      <c r="R955" s="1314" t="s">
        <v>395</v>
      </c>
      <c r="S955" s="1311"/>
      <c r="T955" s="1314" t="str">
        <f t="shared" si="156"/>
        <v/>
      </c>
      <c r="U955" s="1311"/>
      <c r="V955" s="1311"/>
      <c r="W955" s="1311"/>
      <c r="X955" s="1311"/>
      <c r="Y955" s="1311"/>
      <c r="Z955" s="1311"/>
    </row>
    <row r="956" spans="1:26" x14ac:dyDescent="0.25">
      <c r="A956" s="992" t="s">
        <v>1487</v>
      </c>
      <c r="B956" s="826" t="str">
        <f t="shared" ca="1" si="157"/>
        <v>R283</v>
      </c>
      <c r="C956" s="826" t="str">
        <f t="shared" ca="1" si="158"/>
        <v>R284</v>
      </c>
      <c r="D956" s="826" t="s">
        <v>1350</v>
      </c>
      <c r="E956" s="826" t="s">
        <v>1516</v>
      </c>
      <c r="F956" s="1314" t="s">
        <v>1995</v>
      </c>
      <c r="G956" s="1314" t="str">
        <f>IF(T956&lt;&gt;"","G","")</f>
        <v/>
      </c>
      <c r="H956" s="1314" t="s">
        <v>1990</v>
      </c>
      <c r="I956" s="1274" t="str">
        <f t="shared" si="145"/>
        <v/>
      </c>
      <c r="J956" s="1314" t="str">
        <f t="shared" si="155"/>
        <v/>
      </c>
      <c r="K956" s="1314" t="str">
        <f t="shared" si="146"/>
        <v/>
      </c>
      <c r="L956" s="826" t="s">
        <v>1487</v>
      </c>
      <c r="M956" s="1329">
        <v>939</v>
      </c>
      <c r="N956" s="1314"/>
      <c r="O956" s="1311"/>
      <c r="P956" s="1311"/>
      <c r="Q956" s="1311"/>
      <c r="R956" s="1314" t="s">
        <v>395</v>
      </c>
      <c r="S956" s="1311"/>
      <c r="T956" s="1314" t="str">
        <f t="shared" si="156"/>
        <v/>
      </c>
      <c r="U956" s="1311"/>
      <c r="V956" s="1311"/>
      <c r="W956" s="1311"/>
      <c r="X956" s="1311"/>
      <c r="Y956" s="1311"/>
      <c r="Z956" s="1311"/>
    </row>
    <row r="957" spans="1:26" x14ac:dyDescent="0.25">
      <c r="A957" s="992" t="s">
        <v>1488</v>
      </c>
      <c r="B957" s="826" t="str">
        <f t="shared" ca="1" si="157"/>
        <v>T283</v>
      </c>
      <c r="C957" s="826" t="str">
        <f t="shared" ca="1" si="158"/>
        <v>T284</v>
      </c>
      <c r="D957" s="826" t="s">
        <v>1350</v>
      </c>
      <c r="E957" s="826" t="s">
        <v>1516</v>
      </c>
      <c r="F957" s="841" t="s">
        <v>1488</v>
      </c>
      <c r="G957" s="1314" t="str">
        <f>IF(T957&lt;&gt;"","AW","")</f>
        <v/>
      </c>
      <c r="H957" s="1314" t="s">
        <v>1990</v>
      </c>
      <c r="I957" s="1274" t="str">
        <f t="shared" si="145"/>
        <v/>
      </c>
      <c r="J957" s="1314" t="str">
        <f t="shared" si="155"/>
        <v/>
      </c>
      <c r="K957" s="1314" t="str">
        <f t="shared" si="146"/>
        <v/>
      </c>
      <c r="L957" s="826" t="s">
        <v>1488</v>
      </c>
      <c r="M957" s="1329">
        <v>940</v>
      </c>
      <c r="N957" s="1314"/>
      <c r="O957" s="1311"/>
      <c r="P957" s="1311"/>
      <c r="Q957" s="1311"/>
      <c r="R957" s="1314" t="s">
        <v>395</v>
      </c>
      <c r="S957" s="1311"/>
      <c r="T957" s="1314" t="str">
        <f t="shared" si="156"/>
        <v/>
      </c>
      <c r="U957" s="1311"/>
      <c r="V957" s="1311"/>
      <c r="W957" s="1311"/>
      <c r="X957" s="1311"/>
      <c r="Y957" s="1311"/>
      <c r="Z957" s="1311"/>
    </row>
    <row r="958" spans="1:26" x14ac:dyDescent="0.25">
      <c r="A958" s="992" t="s">
        <v>1385</v>
      </c>
      <c r="B958" s="826" t="str">
        <f ca="1">IFERROR(_xlfn.CONCAT("C",MATCH(A958,INDIRECT("'"&amp;E958&amp;"'!C"&amp;$O$949&amp;":C"&amp;$O$951),0)+$O$949-1),"")</f>
        <v>C287</v>
      </c>
      <c r="C958" s="826" t="str">
        <f ca="1">IFERROR(_xlfn.CONCAT("D",MATCH(A958,INDIRECT("'"&amp;E958&amp;"'!C"&amp;$O$949&amp;":C"&amp;$O$951),0)+$O$949-1),"")</f>
        <v>D287</v>
      </c>
      <c r="D958" s="826" t="s">
        <v>1350</v>
      </c>
      <c r="E958" s="826" t="s">
        <v>1516</v>
      </c>
      <c r="F958" s="1314" t="s">
        <v>1385</v>
      </c>
      <c r="G958" s="1314" t="str">
        <f>IF(T958&lt;&gt;"","C","")</f>
        <v/>
      </c>
      <c r="H958" s="1314" t="s">
        <v>1990</v>
      </c>
      <c r="I958" s="1274" t="str">
        <f t="shared" si="145"/>
        <v/>
      </c>
      <c r="J958" s="1314"/>
      <c r="K958" s="1314" t="str">
        <f t="shared" si="146"/>
        <v/>
      </c>
      <c r="L958" s="826" t="s">
        <v>1385</v>
      </c>
      <c r="M958" s="1329">
        <v>941</v>
      </c>
      <c r="N958" s="1314"/>
      <c r="O958" s="1311"/>
      <c r="P958" s="1311"/>
      <c r="Q958" s="1311"/>
      <c r="R958" s="1314" t="s">
        <v>395</v>
      </c>
      <c r="S958" s="1311"/>
      <c r="T958" s="1314" t="str">
        <f t="shared" si="156"/>
        <v/>
      </c>
      <c r="U958" s="1311"/>
      <c r="V958" s="1311"/>
      <c r="W958" s="1311"/>
      <c r="X958" s="1311"/>
      <c r="Y958" s="1311"/>
      <c r="Z958" s="1311"/>
    </row>
    <row r="959" spans="1:26" x14ac:dyDescent="0.25">
      <c r="A959" s="992" t="s">
        <v>1386</v>
      </c>
      <c r="B959" s="826" t="str">
        <f ca="1">IFERROR(_xlfn.CONCAT("C",MATCH(A959,INDIRECT("'"&amp;E959&amp;"'!C"&amp;$O$949&amp;":C"&amp;$O$951),0)+$O$949-1),"")</f>
        <v>C289</v>
      </c>
      <c r="C959" s="826" t="str">
        <f ca="1">IFERROR(_xlfn.CONCAT("D",MATCH(A959,INDIRECT("'"&amp;E959&amp;"'!C"&amp;$O$949&amp;":C"&amp;$O$951),0)+$O$949-1),"")</f>
        <v>D289</v>
      </c>
      <c r="D959" s="826" t="s">
        <v>1350</v>
      </c>
      <c r="E959" s="826" t="s">
        <v>1516</v>
      </c>
      <c r="F959" s="1314" t="s">
        <v>1386</v>
      </c>
      <c r="G959" s="1314" t="str">
        <f>IF(T959&lt;&gt;"","D","")</f>
        <v/>
      </c>
      <c r="H959" s="1314" t="s">
        <v>1990</v>
      </c>
      <c r="I959" s="1274" t="str">
        <f t="shared" si="145"/>
        <v/>
      </c>
      <c r="J959" s="1314"/>
      <c r="K959" s="1314" t="str">
        <f t="shared" si="146"/>
        <v/>
      </c>
      <c r="L959" s="826" t="s">
        <v>1386</v>
      </c>
      <c r="M959" s="1329">
        <v>942</v>
      </c>
      <c r="N959" s="1314"/>
      <c r="O959" s="1311"/>
      <c r="P959" s="1311"/>
      <c r="Q959" s="1311"/>
      <c r="R959" s="1314" t="s">
        <v>395</v>
      </c>
      <c r="S959" s="1311"/>
      <c r="T959" s="1314" t="str">
        <f t="shared" si="156"/>
        <v/>
      </c>
      <c r="U959" s="1311"/>
      <c r="V959" s="1311"/>
      <c r="W959" s="1311"/>
      <c r="X959" s="1311"/>
      <c r="Y959" s="1311"/>
      <c r="Z959" s="1311"/>
    </row>
    <row r="960" spans="1:26" x14ac:dyDescent="0.25">
      <c r="A960" s="1010" t="s">
        <v>1495</v>
      </c>
      <c r="B960" s="826" t="str">
        <f ca="1">IFERROR(_xlfn.CONCAT("C",MATCH(A960,INDIRECT("'"&amp;E960&amp;"'!C"&amp;$O$949&amp;":C"&amp;$O$951),0)+$O$949-1),"")</f>
        <v>C291</v>
      </c>
      <c r="C960" s="826" t="str">
        <f ca="1">IFERROR(_xlfn.CONCAT("D",MATCH(A960,INDIRECT("'"&amp;E960&amp;"'!C"&amp;$O$949&amp;":C"&amp;$O$951),0)+$O$949-1),"")</f>
        <v>D291</v>
      </c>
      <c r="D960" s="826" t="s">
        <v>1350</v>
      </c>
      <c r="E960" s="826" t="s">
        <v>1516</v>
      </c>
      <c r="F960" s="1314" t="s">
        <v>1495</v>
      </c>
      <c r="G960" s="1314" t="str">
        <f>IF(T960&lt;&gt;"","AN","")</f>
        <v/>
      </c>
      <c r="H960" s="1314" t="s">
        <v>1990</v>
      </c>
      <c r="I960" s="1274" t="str">
        <f t="shared" si="145"/>
        <v/>
      </c>
      <c r="J960" s="1314" t="str">
        <f t="shared" si="155"/>
        <v/>
      </c>
      <c r="K960" s="1314" t="str">
        <f t="shared" si="146"/>
        <v/>
      </c>
      <c r="L960" s="827" t="s">
        <v>1495</v>
      </c>
      <c r="M960" s="1329">
        <v>943</v>
      </c>
      <c r="N960" s="1314"/>
      <c r="O960" s="1405"/>
      <c r="P960" s="1317" t="str" cm="1">
        <f t="array" aca="1" ref="P960" ca="1">_xlfn.CONCAT("F",RIGHT(B960, LEN(B960) - MAX(IF(ISNUMBER(MID(B960, ROW(INDIRECT("1:"&amp;LEN(B960))), 1) *1)=FALSE, ROW(INDIRECT("1:"&amp;LEN(B960))), 0))))</f>
        <v>F291</v>
      </c>
      <c r="Q960" s="1314" t="str" cm="1">
        <f t="array" aca="1" ref="Q960" ca="1">_xlfn.CONCAT("E",RIGHT(C960, LEN(C960) - MAX(IF(ISNUMBER(MID(C960, ROW(INDIRECT("1:"&amp;LEN(C960))), 1) *1)=FALSE, ROW(INDIRECT("1:"&amp;LEN(C960))), 0))))</f>
        <v>E291</v>
      </c>
      <c r="R960" s="1314" t="s">
        <v>395</v>
      </c>
      <c r="S960" s="1311"/>
      <c r="T960" s="1314" t="str">
        <f t="shared" si="156"/>
        <v/>
      </c>
      <c r="U960" s="1311"/>
      <c r="V960" s="1311"/>
      <c r="W960" s="1311"/>
      <c r="X960" s="1311"/>
      <c r="Y960" s="1311"/>
      <c r="Z960" s="1311"/>
    </row>
    <row r="961" spans="1:26" x14ac:dyDescent="0.25">
      <c r="A961" s="992" t="s">
        <v>1492</v>
      </c>
      <c r="B961" s="826" t="str">
        <f ca="1">_xlfn.CONCAT(IFERROR(SUBSTITUTE(ADDRESS(1,MATCH(A961,INDIRECT("'"&amp;E961&amp;"'"&amp;"!A" &amp; $O$949 + 8 &amp; ":Z" &amp; $O$949 + 8),0),4),1,""),""),$O$949 + 8)</f>
        <v>H289</v>
      </c>
      <c r="C961" s="826" t="str">
        <f ca="1">_xlfn.CONCAT(IFERROR(SUBSTITUTE(ADDRESS(1,MATCH(A961,INDIRECT("'"&amp;E961&amp;"'"&amp;"!A" &amp; $O$949 + 8 &amp; ":Z" &amp; $O$949 + 8),0),4),1,""),""),$O$949 + 9)</f>
        <v>H290</v>
      </c>
      <c r="D961" s="826" t="s">
        <v>1350</v>
      </c>
      <c r="E961" s="826" t="s">
        <v>1516</v>
      </c>
      <c r="F961" s="1314" t="s">
        <v>1492</v>
      </c>
      <c r="G961" s="1314" t="str">
        <f>IF(T961&lt;&gt;"","AL","")</f>
        <v/>
      </c>
      <c r="H961" s="1314" t="s">
        <v>1990</v>
      </c>
      <c r="I961" s="1274" t="str">
        <f t="shared" si="145"/>
        <v/>
      </c>
      <c r="J961" s="1314" t="str">
        <f t="shared" si="155"/>
        <v/>
      </c>
      <c r="K961" s="1314" t="str">
        <f t="shared" si="146"/>
        <v/>
      </c>
      <c r="L961" s="826" t="s">
        <v>1492</v>
      </c>
      <c r="M961" s="1329">
        <v>944</v>
      </c>
      <c r="N961" s="1314"/>
      <c r="O961" s="1311"/>
      <c r="P961" s="1311"/>
      <c r="Q961" s="1311"/>
      <c r="R961" s="1314" t="s">
        <v>395</v>
      </c>
      <c r="S961" s="1311"/>
      <c r="T961" s="1314" t="str">
        <f t="shared" si="156"/>
        <v/>
      </c>
      <c r="U961" s="1311"/>
      <c r="V961" s="1311"/>
      <c r="W961" s="1311"/>
      <c r="X961" s="1311"/>
      <c r="Y961" s="1311"/>
      <c r="Z961" s="1311"/>
    </row>
    <row r="962" spans="1:26" x14ac:dyDescent="0.25">
      <c r="A962" s="992" t="s">
        <v>1506</v>
      </c>
      <c r="B962" s="826" t="str">
        <f ca="1">_xlfn.CONCAT(IFERROR(SUBSTITUTE(ADDRESS(1,MATCH(A962,INDIRECT("'"&amp;E962&amp;"'"&amp;"!A" &amp; $O$949 + 8 &amp; ":Z" &amp; $O$949 + 8),0),4),1,""),""),$O$949 + 8)</f>
        <v>J289</v>
      </c>
      <c r="C962" s="826" t="str">
        <f ca="1">_xlfn.CONCAT(IFERROR(SUBSTITUTE(ADDRESS(1,MATCH(A962,INDIRECT("'"&amp;E962&amp;"'"&amp;"!A" &amp; $O$949 + 8 &amp; ":Z" &amp; $O$949 + 8),0),4),1,""),""),$O$949 + 9)</f>
        <v>J290</v>
      </c>
      <c r="D962" s="826" t="s">
        <v>1350</v>
      </c>
      <c r="E962" s="826" t="s">
        <v>1516</v>
      </c>
      <c r="F962" s="1314" t="s">
        <v>1996</v>
      </c>
      <c r="G962" s="1314" t="str">
        <f>IF(T962&lt;&gt;"","L","")</f>
        <v/>
      </c>
      <c r="H962" s="1314" t="s">
        <v>1990</v>
      </c>
      <c r="I962" s="1274" t="str">
        <f t="shared" si="145"/>
        <v/>
      </c>
      <c r="J962" s="1314" t="str">
        <f t="shared" si="155"/>
        <v/>
      </c>
      <c r="K962" s="1314" t="str">
        <f t="shared" si="146"/>
        <v/>
      </c>
      <c r="L962" s="826" t="s">
        <v>1506</v>
      </c>
      <c r="M962" s="1329">
        <v>945</v>
      </c>
      <c r="N962" s="1314"/>
      <c r="O962" s="1311"/>
      <c r="P962" s="1311"/>
      <c r="Q962" s="1311"/>
      <c r="R962" s="1314" t="s">
        <v>395</v>
      </c>
      <c r="S962" s="1311"/>
      <c r="T962" s="1314" t="str">
        <f t="shared" si="156"/>
        <v/>
      </c>
      <c r="U962" s="1311"/>
      <c r="V962" s="1311"/>
      <c r="W962" s="1311"/>
      <c r="X962" s="1311"/>
      <c r="Y962" s="1311"/>
      <c r="Z962" s="1311"/>
    </row>
    <row r="963" spans="1:26" x14ac:dyDescent="0.25">
      <c r="A963" s="992" t="s">
        <v>1387</v>
      </c>
      <c r="B963" s="826" t="str">
        <f ca="1">_xlfn.CONCAT(IFERROR(SUBSTITUTE(ADDRESS(1,MATCH(A963,INDIRECT("'"&amp;E963&amp;"'"&amp;"!A" &amp; $O$949 + 5 &amp; ":Z" &amp; $O$949 + 5),0),4),1,""),""),$O$949 + 5)</f>
        <v>H286</v>
      </c>
      <c r="C963" s="826" t="str">
        <f ca="1">_xlfn.CONCAT(IFERROR(SUBSTITUTE(ADDRESS(1,MATCH(A963,INDIRECT("'"&amp;E963&amp;"'"&amp;"!A" &amp; $O$949 + 5 &amp; ":Z" &amp; $O$949 + 5),0),4),1,""),""),$O$949 + 6)</f>
        <v>H287</v>
      </c>
      <c r="D963" s="826" t="s">
        <v>1350</v>
      </c>
      <c r="E963" s="826" t="s">
        <v>1516</v>
      </c>
      <c r="F963" s="841" t="s">
        <v>1387</v>
      </c>
      <c r="G963" s="1314" t="str">
        <f>IF(T963&lt;&gt;"","AH","")</f>
        <v/>
      </c>
      <c r="H963" s="1314" t="s">
        <v>1990</v>
      </c>
      <c r="I963" s="1274" t="str">
        <f t="shared" si="145"/>
        <v/>
      </c>
      <c r="J963" s="1314" t="str">
        <f t="shared" si="155"/>
        <v/>
      </c>
      <c r="K963" s="1314" t="str">
        <f t="shared" si="146"/>
        <v/>
      </c>
      <c r="L963" s="826" t="s">
        <v>1387</v>
      </c>
      <c r="M963" s="1329">
        <v>946</v>
      </c>
      <c r="N963" s="1314"/>
      <c r="O963" s="1311"/>
      <c r="P963" s="1311"/>
      <c r="Q963" s="1311"/>
      <c r="R963" s="1314" t="s">
        <v>395</v>
      </c>
      <c r="S963" s="1311"/>
      <c r="T963" s="1314" t="str">
        <f t="shared" si="156"/>
        <v/>
      </c>
      <c r="U963" s="1311"/>
      <c r="V963" s="1311"/>
      <c r="W963" s="1311"/>
      <c r="X963" s="1311"/>
      <c r="Y963" s="1311"/>
      <c r="Z963" s="1311"/>
    </row>
    <row r="964" spans="1:26" x14ac:dyDescent="0.25">
      <c r="A964" s="992" t="s">
        <v>1388</v>
      </c>
      <c r="B964" s="826" t="str">
        <f ca="1">_xlfn.CONCAT(IFERROR(SUBSTITUTE(ADDRESS(1,MATCH(A964,INDIRECT("'"&amp;E964&amp;"'"&amp;"!A" &amp; $O$949 + 5 &amp; ":Z" &amp; $O$949 + 5),0),4),1,""),""),$O$949 + 5)</f>
        <v>J286</v>
      </c>
      <c r="C964" s="826" t="str">
        <f ca="1">_xlfn.CONCAT(IFERROR(SUBSTITUTE(ADDRESS(1,MATCH(A964,INDIRECT("'"&amp;E964&amp;"'"&amp;"!A" &amp; $O$949 + 5 &amp; ":Z" &amp; $O$949 + 5),0),4),1,""),""),$O$949 + 6)</f>
        <v>J287</v>
      </c>
      <c r="D964" s="826" t="s">
        <v>1350</v>
      </c>
      <c r="E964" s="826" t="s">
        <v>1516</v>
      </c>
      <c r="F964" s="841"/>
      <c r="G964" s="1314"/>
      <c r="H964" s="1314"/>
      <c r="I964" s="1274" t="str">
        <f t="shared" ref="I964:I1027" si="159">IF(J964&lt;&gt;"",A964,"")</f>
        <v/>
      </c>
      <c r="J964" s="1314"/>
      <c r="K964" s="1314" t="str">
        <f t="shared" ref="K964:K1027" si="160">IF(J964&lt;&gt;"",E964,"")</f>
        <v/>
      </c>
      <c r="L964" s="826" t="s">
        <v>1388</v>
      </c>
      <c r="M964" s="1329">
        <v>947</v>
      </c>
      <c r="N964" s="1314"/>
      <c r="O964" s="1311"/>
      <c r="P964" s="1311"/>
      <c r="Q964" s="1311"/>
      <c r="R964" s="1314" t="s">
        <v>395</v>
      </c>
      <c r="S964" s="1311"/>
      <c r="T964" s="1314" t="str">
        <f t="shared" si="156"/>
        <v/>
      </c>
      <c r="U964" s="1311"/>
      <c r="V964" s="1311"/>
      <c r="W964" s="1311"/>
      <c r="X964" s="1311"/>
      <c r="Y964" s="1311"/>
      <c r="Z964" s="1311"/>
    </row>
    <row r="965" spans="1:26" x14ac:dyDescent="0.25">
      <c r="A965" s="992" t="s">
        <v>1389</v>
      </c>
      <c r="B965" s="826" t="str">
        <f ca="1">_xlfn.CONCAT(IFERROR(SUBSTITUTE(ADDRESS(1,MATCH(A965,INDIRECT("'"&amp;E965&amp;"'"&amp;"!A" &amp; $O$949 + 5 &amp; ":Z" &amp; $O$949 + 5),0),4),1,""),""),$O$949 + 5)</f>
        <v>L286</v>
      </c>
      <c r="C965" s="826" t="str">
        <f ca="1">_xlfn.CONCAT(IFERROR(SUBSTITUTE(ADDRESS(1,MATCH(A965,INDIRECT("'"&amp;E965&amp;"'"&amp;"!A" &amp; $O$949 + 5 &amp; ":Z" &amp; $O$949 + 5),0),4),1,""),""),$O$949 + 6)</f>
        <v>L287</v>
      </c>
      <c r="D965" s="826" t="s">
        <v>1350</v>
      </c>
      <c r="E965" s="826" t="s">
        <v>1516</v>
      </c>
      <c r="F965" s="1314" t="s">
        <v>1912</v>
      </c>
      <c r="G965" s="1314" t="str">
        <f>IF(T965&lt;&gt;"","AI","")</f>
        <v/>
      </c>
      <c r="H965" s="1314" t="s">
        <v>1990</v>
      </c>
      <c r="I965" s="1274" t="str">
        <f t="shared" si="159"/>
        <v/>
      </c>
      <c r="J965" s="1314"/>
      <c r="K965" s="1314" t="str">
        <f t="shared" si="160"/>
        <v/>
      </c>
      <c r="L965" s="826" t="s">
        <v>1389</v>
      </c>
      <c r="M965" s="1329">
        <v>948</v>
      </c>
      <c r="N965" s="1314"/>
      <c r="O965" s="1311"/>
      <c r="P965" s="1311"/>
      <c r="Q965" s="1311"/>
      <c r="R965" s="1314" t="s">
        <v>395</v>
      </c>
      <c r="S965" s="1311"/>
      <c r="T965" s="1314" t="str">
        <f t="shared" si="156"/>
        <v/>
      </c>
      <c r="U965" s="1311"/>
      <c r="V965" s="1311"/>
      <c r="W965" s="1311"/>
      <c r="X965" s="1311"/>
      <c r="Y965" s="1311"/>
      <c r="Z965" s="1311"/>
    </row>
    <row r="966" spans="1:26" x14ac:dyDescent="0.25">
      <c r="A966" s="992" t="s">
        <v>1508</v>
      </c>
      <c r="B966" s="826" t="str">
        <f ca="1">_xlfn.CONCAT(IFERROR(SUBSTITUTE(ADDRESS(1,MATCH(A966,INDIRECT("'"&amp;E966&amp;"'"&amp;"!A" &amp; $O$949 + 8 &amp; ":Z" &amp; $O$949 + 8),0),4),1,""),""),$O$949 + 8)</f>
        <v>P289</v>
      </c>
      <c r="C966" s="826" t="str">
        <f ca="1">_xlfn.CONCAT(IFERROR(SUBSTITUTE(ADDRESS(1,MATCH(A966,INDIRECT("'"&amp;E966&amp;"'"&amp;"!A" &amp; $O$949 + 8 &amp; ":Z" &amp; $O$949 + 8),0),4),1,""),""),$O$949 + 9)</f>
        <v>P290</v>
      </c>
      <c r="D966" s="826" t="s">
        <v>1350</v>
      </c>
      <c r="E966" s="826" t="s">
        <v>1516</v>
      </c>
      <c r="F966" s="1314" t="s">
        <v>1508</v>
      </c>
      <c r="G966" s="1314" t="str">
        <f>IF(T966&lt;&gt;"","P","")</f>
        <v/>
      </c>
      <c r="H966" s="1314" t="s">
        <v>1990</v>
      </c>
      <c r="I966" s="1274" t="str">
        <f t="shared" si="159"/>
        <v/>
      </c>
      <c r="J966" s="1314" t="str">
        <f t="shared" si="155"/>
        <v/>
      </c>
      <c r="K966" s="1314" t="str">
        <f t="shared" si="160"/>
        <v/>
      </c>
      <c r="L966" s="826" t="s">
        <v>1508</v>
      </c>
      <c r="M966" s="1329">
        <v>949</v>
      </c>
      <c r="N966" s="1314"/>
      <c r="O966" s="1311"/>
      <c r="P966" s="1311"/>
      <c r="Q966" s="1311"/>
      <c r="R966" s="1314" t="s">
        <v>395</v>
      </c>
      <c r="S966" s="1311"/>
      <c r="T966" s="1314" t="str">
        <f>IF(Q$949="Yes",20,"")</f>
        <v/>
      </c>
      <c r="U966" s="1311"/>
      <c r="V966" s="1311"/>
      <c r="W966" s="1311"/>
      <c r="X966" s="1311"/>
      <c r="Y966" s="1311"/>
      <c r="Z966" s="1311"/>
    </row>
    <row r="967" spans="1:26" x14ac:dyDescent="0.25">
      <c r="A967" s="1013" t="s">
        <v>1491</v>
      </c>
      <c r="B967" s="826" t="str">
        <f ca="1">IFERROR(_xlfn.CONCAT("C",MATCH(A967,INDIRECT("'"&amp;E967&amp;"'!C"&amp;$O$968&amp;":C"&amp;$O$970),0)+$O$968-1),"")</f>
        <v>C299</v>
      </c>
      <c r="C967" s="826" t="str">
        <f ca="1">IFERROR(_xlfn.CONCAT("D",MATCH(A967,INDIRECT("'"&amp;E967&amp;"'!C"&amp;$O$968&amp;":C"&amp;$O$970),0)+$O$968-1),"")</f>
        <v>D299</v>
      </c>
      <c r="D967" s="826" t="s">
        <v>1350</v>
      </c>
      <c r="E967" s="826" t="s">
        <v>1516</v>
      </c>
      <c r="F967" s="1314" t="s">
        <v>1491</v>
      </c>
      <c r="G967" s="1314" t="str">
        <f>IF(T967&lt;&gt;"","A","")</f>
        <v/>
      </c>
      <c r="H967" s="1314" t="s">
        <v>1990</v>
      </c>
      <c r="I967" s="1274" t="str">
        <f t="shared" si="159"/>
        <v/>
      </c>
      <c r="J967" s="1314"/>
      <c r="K967" s="1314" t="str">
        <f t="shared" si="160"/>
        <v/>
      </c>
      <c r="L967" s="826" t="s">
        <v>1491</v>
      </c>
      <c r="M967" s="1329">
        <v>950</v>
      </c>
      <c r="N967" s="1314"/>
      <c r="O967" s="1311" t="s">
        <v>725</v>
      </c>
      <c r="P967" s="1406"/>
      <c r="Q967" s="1311"/>
      <c r="R967" s="1314" t="s">
        <v>395</v>
      </c>
      <c r="S967" s="1311"/>
      <c r="T967" s="1314" t="str">
        <f t="shared" ref="T967:T984" si="161">IF(Q$968="Yes",21,"")</f>
        <v/>
      </c>
      <c r="U967" s="1311"/>
      <c r="V967" s="1311"/>
      <c r="W967" s="1311"/>
      <c r="X967" s="1311"/>
      <c r="Y967" s="1311"/>
      <c r="Z967" s="1311"/>
    </row>
    <row r="968" spans="1:26" x14ac:dyDescent="0.25">
      <c r="A968" s="1013" t="s">
        <v>1705</v>
      </c>
      <c r="B968" s="826" t="str">
        <f ca="1">_xlfn.CONCAT(IFERROR(SUBSTITUTE(ADDRESS(1,MATCH(A968,INDIRECT("'"&amp;E968&amp;"'"&amp;"!A" &amp; $O$968 + 11 &amp; ":Z" &amp; $O$968 + 11),0),4),1,""),""),$O$968 + 11)</f>
        <v>T306</v>
      </c>
      <c r="C968" s="826" t="str">
        <f ca="1">_xlfn.CONCAT(IFERROR(SUBSTITUTE(ADDRESS(1,MATCH(A968,INDIRECT("'"&amp;E968&amp;"'"&amp;"!A" &amp; $O$968 + 11 &amp; ":Z" &amp; $O$968 + 11),0),4),1,""),""),$O$968 + 12)</f>
        <v>T307</v>
      </c>
      <c r="D968" s="826" t="s">
        <v>1350</v>
      </c>
      <c r="E968" s="826" t="s">
        <v>1516</v>
      </c>
      <c r="F968" s="1314"/>
      <c r="G968" s="1314"/>
      <c r="H968" s="1314"/>
      <c r="I968" s="1274" t="str">
        <f t="shared" si="159"/>
        <v/>
      </c>
      <c r="J968" s="1314" t="str">
        <f t="shared" ref="J968:J985" si="162">IF(M968&lt;&gt;"",IF($Q$968="Yes",Q$1&amp;M968,""))</f>
        <v/>
      </c>
      <c r="K968" s="1314" t="str">
        <f t="shared" si="160"/>
        <v/>
      </c>
      <c r="L968" s="826" t="s">
        <v>1705</v>
      </c>
      <c r="M968" s="1329">
        <v>951</v>
      </c>
      <c r="N968" s="1314"/>
      <c r="O968" s="1311">
        <f>'Configurable Tab'!H23</f>
        <v>295</v>
      </c>
      <c r="P968" s="1406">
        <f>'Configurable Tab'!J23</f>
        <v>0</v>
      </c>
      <c r="Q968" s="1351" t="s">
        <v>648</v>
      </c>
      <c r="R968" s="1314" t="s">
        <v>395</v>
      </c>
      <c r="S968" s="1311"/>
      <c r="T968" s="1314" t="str">
        <f t="shared" si="161"/>
        <v/>
      </c>
      <c r="U968" s="1311"/>
      <c r="V968" s="1311"/>
      <c r="W968" s="1311"/>
      <c r="X968" s="1311"/>
      <c r="Y968" s="1311"/>
      <c r="Z968" s="1311"/>
    </row>
    <row r="969" spans="1:26" x14ac:dyDescent="0.25">
      <c r="A969" s="1013" t="s">
        <v>1383</v>
      </c>
      <c r="B969" s="826" t="str">
        <f ca="1">IFERROR(_xlfn.CONCAT("C",MATCH(A969,INDIRECT("'"&amp;E969&amp;"'!C"&amp;$O$968&amp;":C"&amp;$O$970),0)+$O$968-1),"")</f>
        <v>C297</v>
      </c>
      <c r="C969" s="826" t="str">
        <f ca="1">IFERROR(_xlfn.CONCAT("D",MATCH(A969,INDIRECT("'"&amp;E969&amp;"'!C"&amp;$O$968&amp;":C"&amp;$O$970),0)+$O$968-1),"")</f>
        <v>D297</v>
      </c>
      <c r="D969" s="826" t="s">
        <v>1350</v>
      </c>
      <c r="E969" s="826" t="s">
        <v>1516</v>
      </c>
      <c r="F969" s="1314" t="s">
        <v>1383</v>
      </c>
      <c r="G969" s="1314" t="str">
        <f>IF(T969&lt;&gt;"","B","")</f>
        <v/>
      </c>
      <c r="H969" s="1314" t="s">
        <v>1990</v>
      </c>
      <c r="I969" s="1274" t="str">
        <f t="shared" si="159"/>
        <v/>
      </c>
      <c r="J969" s="1314"/>
      <c r="K969" s="1314" t="str">
        <f t="shared" si="160"/>
        <v/>
      </c>
      <c r="L969" s="826" t="s">
        <v>1383</v>
      </c>
      <c r="M969" s="1329">
        <v>952</v>
      </c>
      <c r="N969" s="1314"/>
      <c r="O969" s="1311" t="s">
        <v>726</v>
      </c>
      <c r="P969" s="1311"/>
      <c r="Q969" s="1311"/>
      <c r="R969" s="1314" t="s">
        <v>395</v>
      </c>
      <c r="S969" s="1311"/>
      <c r="T969" s="1314" t="str">
        <f t="shared" si="161"/>
        <v/>
      </c>
      <c r="U969" s="1311"/>
      <c r="V969" s="1311"/>
      <c r="W969" s="1311"/>
      <c r="X969" s="1311"/>
      <c r="Y969" s="1311"/>
      <c r="Z969" s="1311"/>
    </row>
    <row r="970" spans="1:26" x14ac:dyDescent="0.25">
      <c r="A970" s="1013" t="s">
        <v>1380</v>
      </c>
      <c r="B970" s="826" t="str">
        <f t="shared" ref="B970:B976" ca="1" si="163">_xlfn.CONCAT(IFERROR(SUBSTITUTE(ADDRESS(1,MATCH(A970,INDIRECT("'"&amp;E970&amp;"'"&amp;"!A" &amp; $O$968 + 2 &amp; ":Z" &amp; $O$968 + 2),0),4),1,""),""),$O$968 + 2)</f>
        <v>H297</v>
      </c>
      <c r="C970" s="826" t="str">
        <f t="shared" ref="C970:C976" ca="1" si="164">_xlfn.CONCAT(IFERROR(SUBSTITUTE(ADDRESS(1,MATCH(A970,INDIRECT("'"&amp;E970&amp;"'"&amp;"!A" &amp; $O$968 + 2 &amp; ":Z" &amp; $O$968 + 2),0),4),1,""),""),$O$968 + 3)</f>
        <v>H298</v>
      </c>
      <c r="D970" s="826" t="s">
        <v>1350</v>
      </c>
      <c r="E970" s="826" t="s">
        <v>1516</v>
      </c>
      <c r="F970" s="1314" t="s">
        <v>1991</v>
      </c>
      <c r="G970" s="1314" t="str">
        <f>IF(T970&lt;&gt;"","E","")</f>
        <v/>
      </c>
      <c r="H970" s="1314" t="s">
        <v>1990</v>
      </c>
      <c r="I970" s="1274" t="str">
        <f t="shared" si="159"/>
        <v/>
      </c>
      <c r="J970" s="1314" t="str">
        <f t="shared" si="162"/>
        <v/>
      </c>
      <c r="K970" s="1314" t="str">
        <f t="shared" si="160"/>
        <v/>
      </c>
      <c r="L970" s="826" t="s">
        <v>1380</v>
      </c>
      <c r="M970" s="1329">
        <v>953</v>
      </c>
      <c r="N970" s="1314"/>
      <c r="O970" s="1311">
        <f>'Configurable Tab'!I23</f>
        <v>308</v>
      </c>
      <c r="P970" s="1311"/>
      <c r="Q970" s="1311"/>
      <c r="R970" s="1314" t="s">
        <v>395</v>
      </c>
      <c r="S970" s="1311"/>
      <c r="T970" s="1314" t="str">
        <f t="shared" si="161"/>
        <v/>
      </c>
      <c r="U970" s="1311"/>
      <c r="V970" s="1311"/>
      <c r="W970" s="1311"/>
      <c r="X970" s="1311"/>
      <c r="Y970" s="1311"/>
      <c r="Z970" s="1311"/>
    </row>
    <row r="971" spans="1:26" x14ac:dyDescent="0.25">
      <c r="A971" s="1013" t="s">
        <v>1381</v>
      </c>
      <c r="B971" s="826" t="str">
        <f t="shared" ca="1" si="163"/>
        <v>J297</v>
      </c>
      <c r="C971" s="826" t="str">
        <f t="shared" ca="1" si="164"/>
        <v>J298</v>
      </c>
      <c r="D971" s="826" t="s">
        <v>1350</v>
      </c>
      <c r="E971" s="826" t="s">
        <v>1516</v>
      </c>
      <c r="F971" s="1314" t="s">
        <v>1992</v>
      </c>
      <c r="G971" s="1314" t="str">
        <f>IF(T971&lt;&gt;"","I","")</f>
        <v/>
      </c>
      <c r="H971" s="1314" t="s">
        <v>1990</v>
      </c>
      <c r="I971" s="1274" t="str">
        <f t="shared" si="159"/>
        <v/>
      </c>
      <c r="J971" s="1314" t="str">
        <f t="shared" si="162"/>
        <v/>
      </c>
      <c r="K971" s="1314" t="str">
        <f t="shared" si="160"/>
        <v/>
      </c>
      <c r="L971" s="826" t="s">
        <v>1381</v>
      </c>
      <c r="M971" s="1329">
        <v>954</v>
      </c>
      <c r="N971" s="1314"/>
      <c r="O971" s="1311" t="s">
        <v>1709</v>
      </c>
      <c r="P971" s="1311"/>
      <c r="Q971" s="1311"/>
      <c r="R971" s="1314" t="s">
        <v>395</v>
      </c>
      <c r="S971" s="1311"/>
      <c r="T971" s="1314" t="str">
        <f t="shared" si="161"/>
        <v/>
      </c>
      <c r="U971" s="1311"/>
      <c r="V971" s="1311"/>
      <c r="W971" s="1311"/>
      <c r="X971" s="1311"/>
      <c r="Y971" s="1311"/>
      <c r="Z971" s="1311"/>
    </row>
    <row r="972" spans="1:26" x14ac:dyDescent="0.25">
      <c r="A972" s="1013" t="s">
        <v>1397</v>
      </c>
      <c r="B972" s="826" t="str">
        <f t="shared" ca="1" si="163"/>
        <v>L297</v>
      </c>
      <c r="C972" s="826" t="str">
        <f t="shared" ca="1" si="164"/>
        <v>L298</v>
      </c>
      <c r="D972" s="826" t="s">
        <v>1350</v>
      </c>
      <c r="E972" s="826" t="s">
        <v>1516</v>
      </c>
      <c r="F972" s="1314" t="s">
        <v>1993</v>
      </c>
      <c r="G972" s="1314" t="str">
        <f>IF(T972&lt;&gt;"","H","")</f>
        <v/>
      </c>
      <c r="H972" s="1314" t="s">
        <v>1990</v>
      </c>
      <c r="I972" s="1274" t="str">
        <f t="shared" si="159"/>
        <v/>
      </c>
      <c r="J972" s="1314" t="str">
        <f t="shared" si="162"/>
        <v/>
      </c>
      <c r="K972" s="1314" t="str">
        <f t="shared" si="160"/>
        <v/>
      </c>
      <c r="L972" s="826" t="s">
        <v>1397</v>
      </c>
      <c r="M972" s="1329">
        <v>955</v>
      </c>
      <c r="N972" s="1314"/>
      <c r="O972" s="1311"/>
      <c r="P972" s="1311"/>
      <c r="Q972" s="1311"/>
      <c r="R972" s="1314" t="s">
        <v>395</v>
      </c>
      <c r="S972" s="1311"/>
      <c r="T972" s="1314" t="str">
        <f t="shared" si="161"/>
        <v/>
      </c>
      <c r="U972" s="1311"/>
      <c r="V972" s="1311"/>
      <c r="W972" s="1311"/>
      <c r="X972" s="1311"/>
      <c r="Y972" s="1311"/>
      <c r="Z972" s="1311"/>
    </row>
    <row r="973" spans="1:26" x14ac:dyDescent="0.25">
      <c r="A973" s="1013" t="s">
        <v>1382</v>
      </c>
      <c r="B973" s="826" t="str">
        <f t="shared" ca="1" si="163"/>
        <v>N297</v>
      </c>
      <c r="C973" s="826" t="str">
        <f t="shared" ca="1" si="164"/>
        <v>N298</v>
      </c>
      <c r="D973" s="826" t="s">
        <v>1350</v>
      </c>
      <c r="E973" s="826" t="s">
        <v>1516</v>
      </c>
      <c r="F973" s="1314" t="s">
        <v>1382</v>
      </c>
      <c r="G973" s="1314" t="str">
        <f>IF(T973&lt;&gt;"",IF(Q971="Credit Memo","J",IF(Q971="Check","K","")),"")</f>
        <v/>
      </c>
      <c r="H973" s="1314" t="s">
        <v>1990</v>
      </c>
      <c r="I973" s="1274" t="str">
        <f t="shared" si="159"/>
        <v/>
      </c>
      <c r="J973" s="1314" t="str">
        <f t="shared" si="162"/>
        <v/>
      </c>
      <c r="K973" s="1314" t="str">
        <f t="shared" si="160"/>
        <v/>
      </c>
      <c r="L973" s="826" t="s">
        <v>1382</v>
      </c>
      <c r="M973" s="1329">
        <v>956</v>
      </c>
      <c r="N973" s="1314"/>
      <c r="O973" s="1311"/>
      <c r="P973" s="1311"/>
      <c r="Q973" s="1311"/>
      <c r="R973" s="1314" t="s">
        <v>395</v>
      </c>
      <c r="S973" s="1311"/>
      <c r="T973" s="1314" t="str">
        <f t="shared" si="161"/>
        <v/>
      </c>
      <c r="U973" s="1311"/>
      <c r="V973" s="1311"/>
      <c r="W973" s="1311"/>
      <c r="X973" s="1311"/>
      <c r="Y973" s="1311"/>
      <c r="Z973" s="1311"/>
    </row>
    <row r="974" spans="1:26" x14ac:dyDescent="0.25">
      <c r="A974" s="1013" t="s">
        <v>1486</v>
      </c>
      <c r="B974" s="826" t="str">
        <f t="shared" ca="1" si="163"/>
        <v>P297</v>
      </c>
      <c r="C974" s="826" t="str">
        <f t="shared" ca="1" si="164"/>
        <v>P298</v>
      </c>
      <c r="D974" s="826" t="s">
        <v>1350</v>
      </c>
      <c r="E974" s="826" t="s">
        <v>1516</v>
      </c>
      <c r="F974" s="1314" t="s">
        <v>1994</v>
      </c>
      <c r="G974" s="1314" t="str">
        <f>IF(T974&lt;&gt;"","F","")</f>
        <v/>
      </c>
      <c r="H974" s="1314" t="s">
        <v>1990</v>
      </c>
      <c r="I974" s="1274" t="str">
        <f t="shared" si="159"/>
        <v/>
      </c>
      <c r="J974" s="1314" t="str">
        <f t="shared" si="162"/>
        <v/>
      </c>
      <c r="K974" s="1314" t="str">
        <f t="shared" si="160"/>
        <v/>
      </c>
      <c r="L974" s="826" t="s">
        <v>1486</v>
      </c>
      <c r="M974" s="1329">
        <v>957</v>
      </c>
      <c r="N974" s="1314"/>
      <c r="O974" s="1311"/>
      <c r="P974" s="1311"/>
      <c r="Q974" s="1311"/>
      <c r="R974" s="1314" t="s">
        <v>395</v>
      </c>
      <c r="S974" s="1311"/>
      <c r="T974" s="1314" t="str">
        <f t="shared" si="161"/>
        <v/>
      </c>
      <c r="U974" s="1311"/>
      <c r="V974" s="1311"/>
      <c r="W974" s="1311"/>
      <c r="X974" s="1311"/>
      <c r="Y974" s="1311"/>
      <c r="Z974" s="1311"/>
    </row>
    <row r="975" spans="1:26" x14ac:dyDescent="0.25">
      <c r="A975" s="1013" t="s">
        <v>1487</v>
      </c>
      <c r="B975" s="826" t="str">
        <f t="shared" ca="1" si="163"/>
        <v>R297</v>
      </c>
      <c r="C975" s="826" t="str">
        <f t="shared" ca="1" si="164"/>
        <v>R298</v>
      </c>
      <c r="D975" s="826" t="s">
        <v>1350</v>
      </c>
      <c r="E975" s="826" t="s">
        <v>1516</v>
      </c>
      <c r="F975" s="1314" t="s">
        <v>1995</v>
      </c>
      <c r="G975" s="1314" t="str">
        <f>IF(T975&lt;&gt;"","G","")</f>
        <v/>
      </c>
      <c r="H975" s="1314" t="s">
        <v>1990</v>
      </c>
      <c r="I975" s="1274" t="str">
        <f t="shared" si="159"/>
        <v/>
      </c>
      <c r="J975" s="1314" t="str">
        <f t="shared" si="162"/>
        <v/>
      </c>
      <c r="K975" s="1314" t="str">
        <f t="shared" si="160"/>
        <v/>
      </c>
      <c r="L975" s="826" t="s">
        <v>1487</v>
      </c>
      <c r="M975" s="1329">
        <v>958</v>
      </c>
      <c r="N975" s="1314"/>
      <c r="O975" s="1311"/>
      <c r="P975" s="1311"/>
      <c r="Q975" s="1311"/>
      <c r="R975" s="1314" t="s">
        <v>395</v>
      </c>
      <c r="S975" s="1311"/>
      <c r="T975" s="1314" t="str">
        <f t="shared" si="161"/>
        <v/>
      </c>
      <c r="U975" s="1311"/>
      <c r="V975" s="1311"/>
      <c r="W975" s="1311"/>
      <c r="X975" s="1311"/>
      <c r="Y975" s="1311"/>
      <c r="Z975" s="1311"/>
    </row>
    <row r="976" spans="1:26" x14ac:dyDescent="0.25">
      <c r="A976" s="1013" t="s">
        <v>1488</v>
      </c>
      <c r="B976" s="826" t="str">
        <f t="shared" ca="1" si="163"/>
        <v>T297</v>
      </c>
      <c r="C976" s="826" t="str">
        <f t="shared" ca="1" si="164"/>
        <v>T298</v>
      </c>
      <c r="D976" s="826" t="s">
        <v>1350</v>
      </c>
      <c r="E976" s="826" t="s">
        <v>1516</v>
      </c>
      <c r="F976" s="841" t="s">
        <v>1488</v>
      </c>
      <c r="G976" s="1314" t="str">
        <f>IF(T976&lt;&gt;"","AW","")</f>
        <v/>
      </c>
      <c r="H976" s="1314" t="s">
        <v>1990</v>
      </c>
      <c r="I976" s="1274" t="str">
        <f t="shared" si="159"/>
        <v/>
      </c>
      <c r="J976" s="1314" t="str">
        <f t="shared" si="162"/>
        <v/>
      </c>
      <c r="K976" s="1314" t="str">
        <f t="shared" si="160"/>
        <v/>
      </c>
      <c r="L976" s="826" t="s">
        <v>1488</v>
      </c>
      <c r="M976" s="1329">
        <v>959</v>
      </c>
      <c r="N976" s="1314"/>
      <c r="O976" s="1311"/>
      <c r="P976" s="1311"/>
      <c r="Q976" s="1311"/>
      <c r="R976" s="1314" t="s">
        <v>395</v>
      </c>
      <c r="S976" s="1311"/>
      <c r="T976" s="1314" t="str">
        <f t="shared" si="161"/>
        <v/>
      </c>
      <c r="U976" s="1311"/>
      <c r="V976" s="1311"/>
      <c r="W976" s="1311"/>
      <c r="X976" s="1311"/>
      <c r="Y976" s="1311"/>
      <c r="Z976" s="1311"/>
    </row>
    <row r="977" spans="1:26" x14ac:dyDescent="0.25">
      <c r="A977" s="1013" t="s">
        <v>1385</v>
      </c>
      <c r="B977" s="826" t="str">
        <f ca="1">IFERROR(_xlfn.CONCAT("C",MATCH(A977,INDIRECT("'"&amp;E977&amp;"'!C"&amp;$O$968&amp;":C"&amp;$O$970),0)+$O$968-1),"")</f>
        <v>C301</v>
      </c>
      <c r="C977" s="826" t="str">
        <f ca="1">IFERROR(_xlfn.CONCAT("D",MATCH(A977,INDIRECT("'"&amp;E977&amp;"'!C"&amp;$O$968&amp;":C"&amp;$O$970),0)+$O$968-1),"")</f>
        <v>D301</v>
      </c>
      <c r="D977" s="826" t="s">
        <v>1350</v>
      </c>
      <c r="E977" s="826" t="s">
        <v>1516</v>
      </c>
      <c r="F977" s="1314" t="s">
        <v>1385</v>
      </c>
      <c r="G977" s="1314" t="str">
        <f>IF(T977&lt;&gt;"","C","")</f>
        <v/>
      </c>
      <c r="H977" s="1314" t="s">
        <v>1990</v>
      </c>
      <c r="I977" s="1274" t="str">
        <f t="shared" si="159"/>
        <v/>
      </c>
      <c r="J977" s="1314"/>
      <c r="K977" s="1314" t="str">
        <f t="shared" si="160"/>
        <v/>
      </c>
      <c r="L977" s="826" t="s">
        <v>1385</v>
      </c>
      <c r="M977" s="1329">
        <v>960</v>
      </c>
      <c r="N977" s="1314"/>
      <c r="O977" s="1311"/>
      <c r="P977" s="1311"/>
      <c r="Q977" s="1311"/>
      <c r="R977" s="1314" t="s">
        <v>395</v>
      </c>
      <c r="S977" s="1311"/>
      <c r="T977" s="1314" t="str">
        <f t="shared" si="161"/>
        <v/>
      </c>
      <c r="U977" s="1311"/>
      <c r="V977" s="1311"/>
      <c r="W977" s="1311"/>
      <c r="X977" s="1311"/>
      <c r="Y977" s="1311"/>
      <c r="Z977" s="1311"/>
    </row>
    <row r="978" spans="1:26" x14ac:dyDescent="0.25">
      <c r="A978" s="1013" t="s">
        <v>1386</v>
      </c>
      <c r="B978" s="826" t="str">
        <f ca="1">IFERROR(_xlfn.CONCAT("C",MATCH(A978,INDIRECT("'"&amp;E978&amp;"'!C"&amp;$O$968&amp;":C"&amp;$O$970),0)+$O$968-1),"")</f>
        <v>C303</v>
      </c>
      <c r="C978" s="826" t="str">
        <f ca="1">IFERROR(_xlfn.CONCAT("D",MATCH(A978,INDIRECT("'"&amp;E978&amp;"'!C"&amp;$O$968&amp;":C"&amp;$O$970),0)+$O$968-1),"")</f>
        <v>D303</v>
      </c>
      <c r="D978" s="826" t="s">
        <v>1350</v>
      </c>
      <c r="E978" s="826" t="s">
        <v>1516</v>
      </c>
      <c r="F978" s="1314" t="s">
        <v>1386</v>
      </c>
      <c r="G978" s="1314" t="str">
        <f>IF(T978&lt;&gt;"","D","")</f>
        <v/>
      </c>
      <c r="H978" s="1314" t="s">
        <v>1990</v>
      </c>
      <c r="I978" s="1274" t="str">
        <f t="shared" si="159"/>
        <v/>
      </c>
      <c r="J978" s="1314"/>
      <c r="K978" s="1314" t="str">
        <f t="shared" si="160"/>
        <v/>
      </c>
      <c r="L978" s="826" t="s">
        <v>1386</v>
      </c>
      <c r="M978" s="1329">
        <v>961</v>
      </c>
      <c r="N978" s="1314"/>
      <c r="O978" s="1311"/>
      <c r="P978" s="1311"/>
      <c r="Q978" s="1311"/>
      <c r="R978" s="1314" t="s">
        <v>395</v>
      </c>
      <c r="S978" s="1311"/>
      <c r="T978" s="1314" t="str">
        <f t="shared" si="161"/>
        <v/>
      </c>
      <c r="U978" s="1311"/>
      <c r="V978" s="1311"/>
      <c r="W978" s="1311"/>
      <c r="X978" s="1311"/>
      <c r="Y978" s="1311"/>
      <c r="Z978" s="1311"/>
    </row>
    <row r="979" spans="1:26" x14ac:dyDescent="0.25">
      <c r="A979" s="1013" t="s">
        <v>1495</v>
      </c>
      <c r="B979" s="826" t="str">
        <f ca="1">IFERROR(_xlfn.CONCAT("C",MATCH(A979,INDIRECT("'"&amp;E979&amp;"'!C"&amp;$O$968&amp;":C"&amp;$O$970),0)+$O$968-1),"")</f>
        <v>C305</v>
      </c>
      <c r="C979" s="826" t="str">
        <f ca="1">IFERROR(_xlfn.CONCAT("D",MATCH(A979,INDIRECT("'"&amp;E979&amp;"'!C"&amp;$O$968&amp;":C"&amp;$O$970),0)+$O$968-1),"")</f>
        <v>D305</v>
      </c>
      <c r="D979" s="826" t="s">
        <v>1350</v>
      </c>
      <c r="E979" s="826" t="s">
        <v>1516</v>
      </c>
      <c r="F979" s="1314" t="s">
        <v>1495</v>
      </c>
      <c r="G979" s="1314" t="str">
        <f>IF(T979&lt;&gt;"","AN","")</f>
        <v/>
      </c>
      <c r="H979" s="1314" t="s">
        <v>1990</v>
      </c>
      <c r="I979" s="1274" t="str">
        <f t="shared" si="159"/>
        <v/>
      </c>
      <c r="J979" s="1314" t="str">
        <f t="shared" si="162"/>
        <v/>
      </c>
      <c r="K979" s="1314" t="str">
        <f t="shared" si="160"/>
        <v/>
      </c>
      <c r="L979" s="826" t="s">
        <v>1495</v>
      </c>
      <c r="M979" s="1329">
        <v>962</v>
      </c>
      <c r="N979" s="1314"/>
      <c r="O979" s="1405"/>
      <c r="P979" s="1317" t="str" cm="1">
        <f t="array" aca="1" ref="P979" ca="1">_xlfn.CONCAT("F",RIGHT(B979, LEN(B979) - MAX(IF(ISNUMBER(MID(B979, ROW(INDIRECT("1:"&amp;LEN(B979))), 1) *1)=FALSE, ROW(INDIRECT("1:"&amp;LEN(B979))), 0))))</f>
        <v>F305</v>
      </c>
      <c r="Q979" s="1314" t="str" cm="1">
        <f t="array" aca="1" ref="Q979" ca="1">_xlfn.CONCAT("E",RIGHT(C979, LEN(C979) - MAX(IF(ISNUMBER(MID(C979, ROW(INDIRECT("1:"&amp;LEN(C979))), 1) *1)=FALSE, ROW(INDIRECT("1:"&amp;LEN(C979))), 0))))</f>
        <v>E305</v>
      </c>
      <c r="R979" s="1314" t="s">
        <v>395</v>
      </c>
      <c r="S979" s="1311"/>
      <c r="T979" s="1314" t="str">
        <f t="shared" si="161"/>
        <v/>
      </c>
      <c r="U979" s="1311"/>
      <c r="V979" s="1311"/>
      <c r="W979" s="1311"/>
      <c r="X979" s="1311"/>
      <c r="Y979" s="1311"/>
      <c r="Z979" s="1311"/>
    </row>
    <row r="980" spans="1:26" x14ac:dyDescent="0.25">
      <c r="A980" s="1013" t="s">
        <v>1492</v>
      </c>
      <c r="B980" s="826" t="str">
        <f ca="1">_xlfn.CONCAT(IFERROR(SUBSTITUTE(ADDRESS(1,MATCH(A980,INDIRECT("'"&amp;E980&amp;"'"&amp;"!A" &amp; $O$968 + 8 &amp; ":Z" &amp; $O$968 + 8),0),4),1,""),""),$O$968 + 8)</f>
        <v>H303</v>
      </c>
      <c r="C980" s="826" t="str">
        <f ca="1">_xlfn.CONCAT(IFERROR(SUBSTITUTE(ADDRESS(1,MATCH(A980,INDIRECT("'"&amp;E980&amp;"'"&amp;"!A" &amp; $O$968 + 8 &amp; ":Z" &amp; $O$968 + 8),0),4),1,""),""),$O$968 + 9)</f>
        <v>H304</v>
      </c>
      <c r="D980" s="826" t="s">
        <v>1350</v>
      </c>
      <c r="E980" s="826" t="s">
        <v>1516</v>
      </c>
      <c r="F980" s="1314" t="s">
        <v>1492</v>
      </c>
      <c r="G980" s="1314" t="str">
        <f>IF(T980&lt;&gt;"","AL","")</f>
        <v/>
      </c>
      <c r="H980" s="1314" t="s">
        <v>1990</v>
      </c>
      <c r="I980" s="1274" t="str">
        <f t="shared" si="159"/>
        <v/>
      </c>
      <c r="J980" s="1314" t="str">
        <f t="shared" si="162"/>
        <v/>
      </c>
      <c r="K980" s="1314" t="str">
        <f t="shared" si="160"/>
        <v/>
      </c>
      <c r="L980" s="826" t="s">
        <v>1492</v>
      </c>
      <c r="M980" s="1329">
        <v>963</v>
      </c>
      <c r="N980" s="1314"/>
      <c r="O980" s="1311"/>
      <c r="P980" s="1311"/>
      <c r="Q980" s="1311"/>
      <c r="R980" s="1314" t="s">
        <v>395</v>
      </c>
      <c r="S980" s="1311"/>
      <c r="T980" s="1314" t="str">
        <f t="shared" si="161"/>
        <v/>
      </c>
      <c r="U980" s="1311"/>
      <c r="V980" s="1311"/>
      <c r="W980" s="1311"/>
      <c r="X980" s="1311"/>
      <c r="Y980" s="1311"/>
      <c r="Z980" s="1311"/>
    </row>
    <row r="981" spans="1:26" x14ac:dyDescent="0.25">
      <c r="A981" s="1013" t="s">
        <v>1506</v>
      </c>
      <c r="B981" s="826" t="str">
        <f ca="1">_xlfn.CONCAT(IFERROR(SUBSTITUTE(ADDRESS(1,MATCH(A981,INDIRECT("'"&amp;E981&amp;"'"&amp;"!A" &amp; $O$968 + 8 &amp; ":Z" &amp; $O$968 + 8),0),4),1,""),""),$O$968 + 8)</f>
        <v>J303</v>
      </c>
      <c r="C981" s="826" t="str">
        <f ca="1">_xlfn.CONCAT(IFERROR(SUBSTITUTE(ADDRESS(1,MATCH(A981,INDIRECT("'"&amp;E981&amp;"'"&amp;"!A" &amp; $O$968 + 8 &amp; ":Z" &amp; $O$968 + 8),0),4),1,""),""),$O$968 + 9)</f>
        <v>J304</v>
      </c>
      <c r="D981" s="826" t="s">
        <v>1350</v>
      </c>
      <c r="E981" s="826" t="s">
        <v>1516</v>
      </c>
      <c r="F981" s="1314" t="s">
        <v>1996</v>
      </c>
      <c r="G981" s="1314" t="str">
        <f>IF(T981&lt;&gt;"","L","")</f>
        <v/>
      </c>
      <c r="H981" s="1314" t="s">
        <v>1990</v>
      </c>
      <c r="I981" s="1274" t="str">
        <f t="shared" si="159"/>
        <v/>
      </c>
      <c r="J981" s="1314" t="str">
        <f t="shared" si="162"/>
        <v/>
      </c>
      <c r="K981" s="1314" t="str">
        <f t="shared" si="160"/>
        <v/>
      </c>
      <c r="L981" s="826" t="s">
        <v>1506</v>
      </c>
      <c r="M981" s="1329">
        <v>964</v>
      </c>
      <c r="N981" s="1314"/>
      <c r="O981" s="1311"/>
      <c r="P981" s="1311"/>
      <c r="Q981" s="1311"/>
      <c r="R981" s="1314" t="s">
        <v>395</v>
      </c>
      <c r="S981" s="1311"/>
      <c r="T981" s="1314" t="str">
        <f t="shared" si="161"/>
        <v/>
      </c>
      <c r="U981" s="1311"/>
      <c r="V981" s="1311"/>
      <c r="W981" s="1311"/>
      <c r="X981" s="1311"/>
      <c r="Y981" s="1311"/>
      <c r="Z981" s="1311"/>
    </row>
    <row r="982" spans="1:26" x14ac:dyDescent="0.25">
      <c r="A982" s="1013" t="s">
        <v>1387</v>
      </c>
      <c r="B982" s="826" t="str">
        <f ca="1">_xlfn.CONCAT(IFERROR(SUBSTITUTE(ADDRESS(1,MATCH(A982,INDIRECT("'"&amp;E982&amp;"'"&amp;"!A" &amp; $O$968 + 5 &amp; ":Z" &amp; $O$968 + 5),0),4),1,""),""),$O$968 + 5)</f>
        <v>H300</v>
      </c>
      <c r="C982" s="826" t="str">
        <f ca="1">_xlfn.CONCAT(IFERROR(SUBSTITUTE(ADDRESS(1,MATCH(A982,INDIRECT("'"&amp;E982&amp;"'"&amp;"!A" &amp; $O$968 + 5 &amp; ":Z" &amp; $O$968 + 5),0),4),1,""),""),$O$968 + 6)</f>
        <v>H301</v>
      </c>
      <c r="D982" s="826" t="s">
        <v>1350</v>
      </c>
      <c r="E982" s="826" t="s">
        <v>1516</v>
      </c>
      <c r="F982" s="841" t="s">
        <v>1387</v>
      </c>
      <c r="G982" s="1314" t="str">
        <f>IF(T982&lt;&gt;"","AH","")</f>
        <v/>
      </c>
      <c r="H982" s="1314" t="s">
        <v>1990</v>
      </c>
      <c r="I982" s="1274" t="str">
        <f t="shared" si="159"/>
        <v/>
      </c>
      <c r="J982" s="1314" t="str">
        <f t="shared" si="162"/>
        <v/>
      </c>
      <c r="K982" s="1314" t="str">
        <f t="shared" si="160"/>
        <v/>
      </c>
      <c r="L982" s="826" t="s">
        <v>1387</v>
      </c>
      <c r="M982" s="1329">
        <v>965</v>
      </c>
      <c r="N982" s="1314"/>
      <c r="O982" s="1311"/>
      <c r="P982" s="1311"/>
      <c r="Q982" s="1311"/>
      <c r="R982" s="1314" t="s">
        <v>395</v>
      </c>
      <c r="S982" s="1311"/>
      <c r="T982" s="1314" t="str">
        <f t="shared" si="161"/>
        <v/>
      </c>
      <c r="U982" s="1311"/>
      <c r="V982" s="1311"/>
      <c r="W982" s="1311"/>
      <c r="X982" s="1311"/>
      <c r="Y982" s="1311"/>
      <c r="Z982" s="1311"/>
    </row>
    <row r="983" spans="1:26" x14ac:dyDescent="0.25">
      <c r="A983" s="1013" t="s">
        <v>1388</v>
      </c>
      <c r="B983" s="826" t="str">
        <f ca="1">_xlfn.CONCAT(IFERROR(SUBSTITUTE(ADDRESS(1,MATCH(A983,INDIRECT("'"&amp;E983&amp;"'"&amp;"!A" &amp; $O$968 + 5 &amp; ":Z" &amp; $O$968 + 5),0),4),1,""),""),$O$968 + 5)</f>
        <v>J300</v>
      </c>
      <c r="C983" s="826" t="str">
        <f ca="1">_xlfn.CONCAT(IFERROR(SUBSTITUTE(ADDRESS(1,MATCH(A983,INDIRECT("'"&amp;E983&amp;"'"&amp;"!A" &amp; $O$968 + 5 &amp; ":Z" &amp; $O$968 + 5),0),4),1,""),""),$O$968 + 6)</f>
        <v>J301</v>
      </c>
      <c r="D983" s="826" t="s">
        <v>1350</v>
      </c>
      <c r="E983" s="826" t="s">
        <v>1516</v>
      </c>
      <c r="F983" s="841"/>
      <c r="G983" s="1314"/>
      <c r="H983" s="1314"/>
      <c r="I983" s="1274" t="str">
        <f t="shared" si="159"/>
        <v/>
      </c>
      <c r="J983" s="1314"/>
      <c r="K983" s="1314" t="str">
        <f t="shared" si="160"/>
        <v/>
      </c>
      <c r="L983" s="826" t="s">
        <v>1388</v>
      </c>
      <c r="M983" s="1329">
        <v>966</v>
      </c>
      <c r="N983" s="1314"/>
      <c r="O983" s="1311"/>
      <c r="P983" s="1311"/>
      <c r="Q983" s="1311"/>
      <c r="R983" s="1314" t="s">
        <v>395</v>
      </c>
      <c r="S983" s="1311"/>
      <c r="T983" s="1314" t="str">
        <f t="shared" si="161"/>
        <v/>
      </c>
      <c r="U983" s="1311"/>
      <c r="V983" s="1311"/>
      <c r="W983" s="1311"/>
      <c r="X983" s="1311"/>
      <c r="Y983" s="1311"/>
      <c r="Z983" s="1311"/>
    </row>
    <row r="984" spans="1:26" x14ac:dyDescent="0.25">
      <c r="A984" s="1013" t="s">
        <v>1389</v>
      </c>
      <c r="B984" s="826" t="str">
        <f ca="1">_xlfn.CONCAT(IFERROR(SUBSTITUTE(ADDRESS(1,MATCH(A984,INDIRECT("'"&amp;E984&amp;"'"&amp;"!A" &amp; $O$968 + 5 &amp; ":Z" &amp; $O$968 + 5),0),4),1,""),""),$O$968 + 5)</f>
        <v>L300</v>
      </c>
      <c r="C984" s="826" t="str">
        <f ca="1">_xlfn.CONCAT(IFERROR(SUBSTITUTE(ADDRESS(1,MATCH(A984,INDIRECT("'"&amp;E984&amp;"'"&amp;"!A" &amp; $O$968 + 5 &amp; ":Z" &amp; $O$968 + 5),0),4),1,""),""),$O$968 + 6)</f>
        <v>L301</v>
      </c>
      <c r="D984" s="826" t="s">
        <v>1350</v>
      </c>
      <c r="E984" s="826" t="s">
        <v>1516</v>
      </c>
      <c r="F984" s="1314" t="s">
        <v>1912</v>
      </c>
      <c r="G984" s="1314" t="str">
        <f>IF(T984&lt;&gt;"","AI","")</f>
        <v/>
      </c>
      <c r="H984" s="1314" t="s">
        <v>1990</v>
      </c>
      <c r="I984" s="1274" t="str">
        <f t="shared" si="159"/>
        <v/>
      </c>
      <c r="J984" s="1314"/>
      <c r="K984" s="1314" t="str">
        <f t="shared" si="160"/>
        <v/>
      </c>
      <c r="L984" s="826" t="s">
        <v>1389</v>
      </c>
      <c r="M984" s="1329">
        <v>967</v>
      </c>
      <c r="N984" s="1314"/>
      <c r="O984" s="1311"/>
      <c r="P984" s="1311"/>
      <c r="Q984" s="1311"/>
      <c r="R984" s="1314" t="s">
        <v>395</v>
      </c>
      <c r="S984" s="1311"/>
      <c r="T984" s="1314" t="str">
        <f t="shared" si="161"/>
        <v/>
      </c>
      <c r="U984" s="1311"/>
      <c r="V984" s="1311"/>
      <c r="W984" s="1311"/>
      <c r="X984" s="1311"/>
      <c r="Y984" s="1311"/>
      <c r="Z984" s="1311"/>
    </row>
    <row r="985" spans="1:26" x14ac:dyDescent="0.25">
      <c r="A985" s="1013" t="s">
        <v>1508</v>
      </c>
      <c r="B985" s="826" t="str">
        <f ca="1">_xlfn.CONCAT(IFERROR(SUBSTITUTE(ADDRESS(1,MATCH(A985,INDIRECT("'"&amp;E985&amp;"'"&amp;"!A" &amp; $O$968 + 8 &amp; ":Z" &amp; $O$968 + 8),0),4),1,""),""),$O$968 + 8)</f>
        <v>P303</v>
      </c>
      <c r="C985" s="826" t="str">
        <f ca="1">_xlfn.CONCAT(IFERROR(SUBSTITUTE(ADDRESS(1,MATCH(A985,INDIRECT("'"&amp;E985&amp;"'"&amp;"!A" &amp; $O$968 + 8 &amp; ":Z" &amp; $O$968 + 8),0),4),1,""),""),$O$968 + 9)</f>
        <v>P304</v>
      </c>
      <c r="D985" s="826" t="s">
        <v>1350</v>
      </c>
      <c r="E985" s="826" t="s">
        <v>1516</v>
      </c>
      <c r="F985" s="1314" t="s">
        <v>1508</v>
      </c>
      <c r="G985" s="1314" t="str">
        <f>IF(T985&lt;&gt;"","P","")</f>
        <v/>
      </c>
      <c r="H985" s="1314" t="s">
        <v>1990</v>
      </c>
      <c r="I985" s="1274" t="str">
        <f t="shared" si="159"/>
        <v/>
      </c>
      <c r="J985" s="1314" t="str">
        <f t="shared" si="162"/>
        <v/>
      </c>
      <c r="K985" s="1314" t="str">
        <f t="shared" si="160"/>
        <v/>
      </c>
      <c r="L985" s="826" t="s">
        <v>1508</v>
      </c>
      <c r="M985" s="1329">
        <v>968</v>
      </c>
      <c r="N985" s="1314"/>
      <c r="O985" s="1311"/>
      <c r="P985" s="1311"/>
      <c r="Q985" s="1311"/>
      <c r="R985" s="1314" t="s">
        <v>395</v>
      </c>
      <c r="S985" s="1311"/>
      <c r="T985" s="1314" t="str">
        <f>IF(Q$968="Yes",21,"")</f>
        <v/>
      </c>
      <c r="U985" s="1311"/>
      <c r="V985" s="1311"/>
      <c r="W985" s="1311"/>
      <c r="X985" s="1311"/>
      <c r="Y985" s="1311"/>
      <c r="Z985" s="1311"/>
    </row>
    <row r="986" spans="1:26" x14ac:dyDescent="0.25">
      <c r="A986" s="850" t="s">
        <v>1491</v>
      </c>
      <c r="B986" s="826" t="str">
        <f ca="1">IFERROR(_xlfn.CONCAT("C",MATCH(A986,INDIRECT("'"&amp;E986&amp;"'!C"&amp;$O$987&amp;":C"&amp;$O$989),0)+$O$987-1),"")</f>
        <v>C313</v>
      </c>
      <c r="C986" s="826" t="str">
        <f ca="1">IFERROR(_xlfn.CONCAT("D",MATCH(A986,INDIRECT("'"&amp;E986&amp;"'!C"&amp;$O$987&amp;":C"&amp;$O$989),0)+$O$987-1),"")</f>
        <v>D313</v>
      </c>
      <c r="D986" s="826" t="s">
        <v>1350</v>
      </c>
      <c r="E986" s="826" t="s">
        <v>1516</v>
      </c>
      <c r="F986" s="1314" t="s">
        <v>1491</v>
      </c>
      <c r="G986" s="1314" t="str">
        <f>IF(T986&lt;&gt;"","A","")</f>
        <v/>
      </c>
      <c r="H986" s="1314" t="s">
        <v>1990</v>
      </c>
      <c r="I986" s="1274" t="str">
        <f t="shared" si="159"/>
        <v/>
      </c>
      <c r="J986" s="1314"/>
      <c r="K986" s="1314" t="str">
        <f t="shared" si="160"/>
        <v/>
      </c>
      <c r="L986" s="826" t="s">
        <v>1491</v>
      </c>
      <c r="M986" s="1329">
        <v>969</v>
      </c>
      <c r="N986" s="1314"/>
      <c r="O986" s="1311" t="s">
        <v>725</v>
      </c>
      <c r="P986" s="1406"/>
      <c r="Q986" s="1311"/>
      <c r="R986" s="1314" t="s">
        <v>1696</v>
      </c>
      <c r="S986" s="1311"/>
      <c r="T986" s="1314" t="str">
        <f>IF(Q$987="Yes",22,"")</f>
        <v/>
      </c>
      <c r="U986" s="1311"/>
      <c r="V986" s="1311"/>
      <c r="W986" s="1311"/>
      <c r="X986" s="1311"/>
      <c r="Y986" s="1311"/>
      <c r="Z986" s="1311"/>
    </row>
    <row r="987" spans="1:26" x14ac:dyDescent="0.25">
      <c r="A987" s="850" t="s">
        <v>1705</v>
      </c>
      <c r="B987" s="826" t="str">
        <f ca="1">_xlfn.CONCAT(IFERROR(SUBSTITUTE(ADDRESS(1,MATCH(A987,INDIRECT("'"&amp;E987&amp;"'"&amp;"!A" &amp; $O$987 + 11 &amp; ":Z" &amp; $O$987 + 11),0),4),1,""),""),$O$987 + 11)</f>
        <v>T320</v>
      </c>
      <c r="C987" s="826" t="str">
        <f ca="1">_xlfn.CONCAT(IFERROR(SUBSTITUTE(ADDRESS(1,MATCH(A987,INDIRECT("'"&amp;E987&amp;"'"&amp;"!A" &amp; $O$987 + 11 &amp; ":Z" &amp; $O$987 + 11),0),4),1,""),""),$O$987 + 12)</f>
        <v>T321</v>
      </c>
      <c r="D987" s="826" t="s">
        <v>1350</v>
      </c>
      <c r="E987" s="826" t="s">
        <v>1516</v>
      </c>
      <c r="F987" s="1314"/>
      <c r="G987" s="1314"/>
      <c r="H987" s="1314"/>
      <c r="I987" s="1274" t="str">
        <f t="shared" si="159"/>
        <v/>
      </c>
      <c r="J987" s="1314" t="str">
        <f t="shared" ref="J987:J1001" si="165">IF(M987&lt;&gt;"",IF($Q$987="Yes",Q$1&amp;M987,""))</f>
        <v/>
      </c>
      <c r="K987" s="1314" t="str">
        <f t="shared" si="160"/>
        <v/>
      </c>
      <c r="L987" s="826" t="s">
        <v>1705</v>
      </c>
      <c r="M987" s="1329">
        <v>970</v>
      </c>
      <c r="N987" s="1314"/>
      <c r="O987" s="1311">
        <f>'Configurable Tab'!H24</f>
        <v>309</v>
      </c>
      <c r="P987" s="18" t="str">
        <f>'Configurable Tab'!J24</f>
        <v>Yes</v>
      </c>
      <c r="Q987" s="1351" t="s">
        <v>648</v>
      </c>
      <c r="R987" s="1314" t="s">
        <v>1696</v>
      </c>
      <c r="S987" s="1311"/>
      <c r="T987" s="1314" t="str">
        <f t="shared" ref="T987:T1003" si="166">IF(Q$987="Yes",22,"")</f>
        <v/>
      </c>
      <c r="U987" s="1311"/>
      <c r="V987" s="1311"/>
      <c r="W987" s="1311"/>
      <c r="X987" s="1311"/>
      <c r="Y987" s="1311"/>
      <c r="Z987" s="1311"/>
    </row>
    <row r="988" spans="1:26" x14ac:dyDescent="0.25">
      <c r="A988" s="850" t="s">
        <v>1383</v>
      </c>
      <c r="B988" s="826" t="str">
        <f ca="1">IFERROR(_xlfn.CONCAT("C",MATCH(A988,INDIRECT("'"&amp;E988&amp;"'!C"&amp;$O$987&amp;":C"&amp;$O$989),0)+$O$987-1),"")</f>
        <v>C311</v>
      </c>
      <c r="C988" s="826" t="str">
        <f ca="1">IFERROR(_xlfn.CONCAT("D",MATCH(A988,INDIRECT("'"&amp;E988&amp;"'!C"&amp;$O$987&amp;":C"&amp;$O$989),0)+$O$987-1),"")</f>
        <v>D311</v>
      </c>
      <c r="D988" s="826" t="s">
        <v>1350</v>
      </c>
      <c r="E988" s="826" t="s">
        <v>1516</v>
      </c>
      <c r="F988" s="1314" t="s">
        <v>1383</v>
      </c>
      <c r="G988" s="1314" t="str">
        <f>IF(T988&lt;&gt;"","B","")</f>
        <v/>
      </c>
      <c r="H988" s="1314" t="s">
        <v>1990</v>
      </c>
      <c r="I988" s="1274" t="str">
        <f t="shared" si="159"/>
        <v/>
      </c>
      <c r="J988" s="1314"/>
      <c r="K988" s="1314" t="str">
        <f t="shared" si="160"/>
        <v/>
      </c>
      <c r="L988" s="826" t="s">
        <v>1383</v>
      </c>
      <c r="M988" s="1329">
        <v>971</v>
      </c>
      <c r="N988" s="1314"/>
      <c r="O988" s="1311" t="s">
        <v>726</v>
      </c>
      <c r="P988" s="1311"/>
      <c r="Q988" s="1311"/>
      <c r="R988" s="1314" t="s">
        <v>1696</v>
      </c>
      <c r="S988" s="1311"/>
      <c r="T988" s="1314" t="str">
        <f t="shared" si="166"/>
        <v/>
      </c>
      <c r="U988" s="1311"/>
      <c r="V988" s="1311"/>
      <c r="W988" s="1311"/>
      <c r="X988" s="1311"/>
      <c r="Y988" s="1311"/>
      <c r="Z988" s="1311"/>
    </row>
    <row r="989" spans="1:26" x14ac:dyDescent="0.25">
      <c r="A989" s="850" t="s">
        <v>1380</v>
      </c>
      <c r="B989" s="826" t="str">
        <f t="shared" ref="B989:B995" ca="1" si="167">_xlfn.CONCAT(IFERROR(SUBSTITUTE(ADDRESS(1,MATCH(A989,INDIRECT("'"&amp;E989&amp;"'"&amp;"!A" &amp; $O$987 + 2 &amp; ":Z" &amp; $O$987 + 2),0),4),1,""),""),$O$987 + 2)</f>
        <v>H311</v>
      </c>
      <c r="C989" s="826" t="str">
        <f t="shared" ref="C989:C995" ca="1" si="168">_xlfn.CONCAT(IFERROR(SUBSTITUTE(ADDRESS(1,MATCH(A989,INDIRECT("'"&amp;E989&amp;"'"&amp;"!A" &amp; $O$987 + 2 &amp; ":Z" &amp; $O$987 + 2),0),4),1,""),""),$O$987 + 3)</f>
        <v>H312</v>
      </c>
      <c r="D989" s="826" t="s">
        <v>1350</v>
      </c>
      <c r="E989" s="826" t="s">
        <v>1516</v>
      </c>
      <c r="F989" s="1314" t="s">
        <v>1991</v>
      </c>
      <c r="G989" s="1314" t="str">
        <f>IF(T989&lt;&gt;"","E","")</f>
        <v/>
      </c>
      <c r="H989" s="1314" t="s">
        <v>1990</v>
      </c>
      <c r="I989" s="1274" t="str">
        <f t="shared" si="159"/>
        <v/>
      </c>
      <c r="J989" s="1314" t="str">
        <f t="shared" si="165"/>
        <v/>
      </c>
      <c r="K989" s="1314" t="str">
        <f t="shared" si="160"/>
        <v/>
      </c>
      <c r="L989" s="826" t="s">
        <v>1380</v>
      </c>
      <c r="M989" s="1329">
        <v>972</v>
      </c>
      <c r="N989" s="1314"/>
      <c r="O989" s="1311">
        <f>'Configurable Tab'!I24</f>
        <v>322</v>
      </c>
      <c r="P989" s="1311"/>
      <c r="Q989" s="1311"/>
      <c r="R989" s="1314" t="s">
        <v>1696</v>
      </c>
      <c r="S989" s="1311"/>
      <c r="T989" s="1314" t="str">
        <f t="shared" si="166"/>
        <v/>
      </c>
      <c r="U989" s="1311"/>
      <c r="V989" s="1311"/>
      <c r="W989" s="1311"/>
      <c r="X989" s="1311"/>
      <c r="Y989" s="1311"/>
      <c r="Z989" s="1311"/>
    </row>
    <row r="990" spans="1:26" x14ac:dyDescent="0.25">
      <c r="A990" s="850" t="s">
        <v>1381</v>
      </c>
      <c r="B990" s="826" t="str">
        <f t="shared" ca="1" si="167"/>
        <v>J311</v>
      </c>
      <c r="C990" s="826" t="str">
        <f t="shared" ca="1" si="168"/>
        <v>J312</v>
      </c>
      <c r="D990" s="826" t="s">
        <v>1350</v>
      </c>
      <c r="E990" s="826" t="s">
        <v>1516</v>
      </c>
      <c r="F990" s="1314" t="s">
        <v>1992</v>
      </c>
      <c r="G990" s="1314" t="str">
        <f>IF(T990&lt;&gt;"","I","")</f>
        <v/>
      </c>
      <c r="H990" s="1314" t="s">
        <v>1990</v>
      </c>
      <c r="I990" s="1274" t="str">
        <f t="shared" si="159"/>
        <v/>
      </c>
      <c r="J990" s="1314" t="str">
        <f t="shared" si="165"/>
        <v/>
      </c>
      <c r="K990" s="1314" t="str">
        <f t="shared" si="160"/>
        <v/>
      </c>
      <c r="L990" s="826" t="s">
        <v>1381</v>
      </c>
      <c r="M990" s="1329">
        <v>973</v>
      </c>
      <c r="N990" s="1314"/>
      <c r="O990" s="1311" t="s">
        <v>1649</v>
      </c>
      <c r="P990" s="1311"/>
      <c r="Q990" s="1311" t="s">
        <v>482</v>
      </c>
      <c r="R990" s="1314" t="s">
        <v>1696</v>
      </c>
      <c r="S990" s="1311"/>
      <c r="T990" s="1314" t="str">
        <f t="shared" si="166"/>
        <v/>
      </c>
      <c r="U990" s="1311"/>
      <c r="V990" s="1311"/>
      <c r="W990" s="1311"/>
      <c r="X990" s="1311"/>
      <c r="Y990" s="1311"/>
      <c r="Z990" s="1311"/>
    </row>
    <row r="991" spans="1:26" x14ac:dyDescent="0.25">
      <c r="A991" s="850" t="s">
        <v>1397</v>
      </c>
      <c r="B991" s="826" t="str">
        <f t="shared" ca="1" si="167"/>
        <v>L311</v>
      </c>
      <c r="C991" s="826" t="str">
        <f t="shared" ca="1" si="168"/>
        <v>L312</v>
      </c>
      <c r="D991" s="826" t="s">
        <v>1350</v>
      </c>
      <c r="E991" s="826" t="s">
        <v>1516</v>
      </c>
      <c r="F991" s="1314" t="s">
        <v>1993</v>
      </c>
      <c r="G991" s="1314" t="str">
        <f>IF(T991&lt;&gt;"","H","")</f>
        <v/>
      </c>
      <c r="H991" s="1314" t="s">
        <v>1990</v>
      </c>
      <c r="I991" s="1274" t="str">
        <f t="shared" si="159"/>
        <v/>
      </c>
      <c r="J991" s="1314" t="str">
        <f t="shared" si="165"/>
        <v/>
      </c>
      <c r="K991" s="1314" t="str">
        <f t="shared" si="160"/>
        <v/>
      </c>
      <c r="L991" s="826" t="s">
        <v>1397</v>
      </c>
      <c r="M991" s="1329">
        <v>974</v>
      </c>
      <c r="N991" s="1314"/>
      <c r="O991" s="1311"/>
      <c r="P991" s="1311"/>
      <c r="Q991" s="1311"/>
      <c r="R991" s="1314" t="s">
        <v>1696</v>
      </c>
      <c r="S991" s="1311"/>
      <c r="T991" s="1314" t="str">
        <f t="shared" si="166"/>
        <v/>
      </c>
      <c r="U991" s="1311"/>
      <c r="V991" s="1311"/>
      <c r="W991" s="1311"/>
      <c r="X991" s="1311"/>
      <c r="Y991" s="1311"/>
      <c r="Z991" s="1311"/>
    </row>
    <row r="992" spans="1:26" x14ac:dyDescent="0.25">
      <c r="A992" s="850" t="s">
        <v>1382</v>
      </c>
      <c r="B992" s="826" t="str">
        <f t="shared" ca="1" si="167"/>
        <v>N311</v>
      </c>
      <c r="C992" s="826" t="str">
        <f t="shared" ca="1" si="168"/>
        <v>N312</v>
      </c>
      <c r="D992" s="826" t="s">
        <v>1350</v>
      </c>
      <c r="E992" s="826" t="s">
        <v>1516</v>
      </c>
      <c r="F992" s="1314" t="s">
        <v>1382</v>
      </c>
      <c r="G992" s="1314" t="str">
        <f>IF(T992&lt;&gt;"",IF(Q990="Credit Memo","J",IF(Q990="Check","K","")),"")</f>
        <v/>
      </c>
      <c r="H992" s="1314" t="s">
        <v>1990</v>
      </c>
      <c r="I992" s="1274" t="str">
        <f t="shared" si="159"/>
        <v/>
      </c>
      <c r="J992" s="1314" t="str">
        <f t="shared" si="165"/>
        <v/>
      </c>
      <c r="K992" s="1314" t="str">
        <f t="shared" si="160"/>
        <v/>
      </c>
      <c r="L992" s="826" t="s">
        <v>1382</v>
      </c>
      <c r="M992" s="1329">
        <v>975</v>
      </c>
      <c r="N992" s="1314"/>
      <c r="O992" s="1311"/>
      <c r="P992" s="1311"/>
      <c r="Q992" s="1311"/>
      <c r="R992" s="1314" t="s">
        <v>1696</v>
      </c>
      <c r="S992" s="1311"/>
      <c r="T992" s="1314" t="str">
        <f t="shared" si="166"/>
        <v/>
      </c>
      <c r="U992" s="1311"/>
      <c r="V992" s="1311"/>
      <c r="W992" s="1311"/>
      <c r="X992" s="1311"/>
      <c r="Y992" s="1311"/>
      <c r="Z992" s="1311"/>
    </row>
    <row r="993" spans="1:26" x14ac:dyDescent="0.25">
      <c r="A993" s="850" t="s">
        <v>1486</v>
      </c>
      <c r="B993" s="826" t="str">
        <f t="shared" ca="1" si="167"/>
        <v>P311</v>
      </c>
      <c r="C993" s="826" t="str">
        <f t="shared" ca="1" si="168"/>
        <v>P312</v>
      </c>
      <c r="D993" s="826" t="s">
        <v>1350</v>
      </c>
      <c r="E993" s="826" t="s">
        <v>1516</v>
      </c>
      <c r="F993" s="1314" t="s">
        <v>1994</v>
      </c>
      <c r="G993" s="1314" t="str">
        <f>IF(T993&lt;&gt;"","F","")</f>
        <v/>
      </c>
      <c r="H993" s="1314" t="s">
        <v>1990</v>
      </c>
      <c r="I993" s="1274" t="str">
        <f t="shared" si="159"/>
        <v/>
      </c>
      <c r="J993" s="1314" t="str">
        <f t="shared" si="165"/>
        <v/>
      </c>
      <c r="K993" s="1314" t="str">
        <f t="shared" si="160"/>
        <v/>
      </c>
      <c r="L993" s="826" t="s">
        <v>1486</v>
      </c>
      <c r="M993" s="1329">
        <v>976</v>
      </c>
      <c r="N993" s="1314"/>
      <c r="O993" s="1311"/>
      <c r="P993" s="1311"/>
      <c r="Q993" s="1311"/>
      <c r="R993" s="1314" t="s">
        <v>1696</v>
      </c>
      <c r="S993" s="1311"/>
      <c r="T993" s="1314" t="str">
        <f t="shared" si="166"/>
        <v/>
      </c>
      <c r="U993" s="1311"/>
      <c r="V993" s="1311"/>
      <c r="W993" s="1311"/>
      <c r="X993" s="1311"/>
      <c r="Y993" s="1311"/>
      <c r="Z993" s="1311"/>
    </row>
    <row r="994" spans="1:26" x14ac:dyDescent="0.25">
      <c r="A994" s="850" t="s">
        <v>1487</v>
      </c>
      <c r="B994" s="826" t="str">
        <f t="shared" ca="1" si="167"/>
        <v>R311</v>
      </c>
      <c r="C994" s="826" t="str">
        <f t="shared" ca="1" si="168"/>
        <v>R312</v>
      </c>
      <c r="D994" s="826" t="s">
        <v>1350</v>
      </c>
      <c r="E994" s="826" t="s">
        <v>1516</v>
      </c>
      <c r="F994" s="1314" t="s">
        <v>1995</v>
      </c>
      <c r="G994" s="1314" t="str">
        <f>IF(T994&lt;&gt;"","G","")</f>
        <v/>
      </c>
      <c r="H994" s="1314" t="s">
        <v>1990</v>
      </c>
      <c r="I994" s="1274" t="str">
        <f t="shared" si="159"/>
        <v/>
      </c>
      <c r="J994" s="1314" t="str">
        <f t="shared" si="165"/>
        <v/>
      </c>
      <c r="K994" s="1314" t="str">
        <f t="shared" si="160"/>
        <v/>
      </c>
      <c r="L994" s="826" t="s">
        <v>1487</v>
      </c>
      <c r="M994" s="1329">
        <v>977</v>
      </c>
      <c r="N994" s="1314"/>
      <c r="O994" s="1311"/>
      <c r="P994" s="1311"/>
      <c r="Q994" s="1311"/>
      <c r="R994" s="1314" t="s">
        <v>1696</v>
      </c>
      <c r="S994" s="1311"/>
      <c r="T994" s="1314" t="str">
        <f t="shared" si="166"/>
        <v/>
      </c>
      <c r="U994" s="1311"/>
      <c r="V994" s="1311"/>
      <c r="W994" s="1311"/>
      <c r="X994" s="1311"/>
      <c r="Y994" s="1311"/>
      <c r="Z994" s="1311"/>
    </row>
    <row r="995" spans="1:26" x14ac:dyDescent="0.25">
      <c r="A995" s="850" t="s">
        <v>1488</v>
      </c>
      <c r="B995" s="826" t="str">
        <f t="shared" ca="1" si="167"/>
        <v>T311</v>
      </c>
      <c r="C995" s="826" t="str">
        <f t="shared" ca="1" si="168"/>
        <v>T312</v>
      </c>
      <c r="D995" s="826" t="s">
        <v>1350</v>
      </c>
      <c r="E995" s="826" t="s">
        <v>1516</v>
      </c>
      <c r="F995" s="841" t="s">
        <v>1488</v>
      </c>
      <c r="G995" s="1314" t="str">
        <f>IF(T995&lt;&gt;"","AW","")</f>
        <v/>
      </c>
      <c r="H995" s="1314" t="s">
        <v>1990</v>
      </c>
      <c r="I995" s="1274" t="str">
        <f t="shared" si="159"/>
        <v/>
      </c>
      <c r="J995" s="1314" t="str">
        <f t="shared" si="165"/>
        <v/>
      </c>
      <c r="K995" s="1314" t="str">
        <f t="shared" si="160"/>
        <v/>
      </c>
      <c r="L995" s="826" t="s">
        <v>1488</v>
      </c>
      <c r="M995" s="1329">
        <v>978</v>
      </c>
      <c r="N995" s="1314"/>
      <c r="O995" s="1311"/>
      <c r="P995" s="1311"/>
      <c r="Q995" s="1311"/>
      <c r="R995" s="1314" t="s">
        <v>1696</v>
      </c>
      <c r="S995" s="1311"/>
      <c r="T995" s="1314" t="str">
        <f t="shared" si="166"/>
        <v/>
      </c>
      <c r="U995" s="1311"/>
      <c r="V995" s="1311"/>
      <c r="W995" s="1311"/>
      <c r="X995" s="1311"/>
      <c r="Y995" s="1311"/>
      <c r="Z995" s="1311"/>
    </row>
    <row r="996" spans="1:26" x14ac:dyDescent="0.25">
      <c r="A996" s="850" t="s">
        <v>1385</v>
      </c>
      <c r="B996" s="826" t="str">
        <f ca="1">IFERROR(_xlfn.CONCAT("C",MATCH(A996,INDIRECT("'"&amp;E996&amp;"'!C"&amp;$O$987&amp;":C"&amp;$O$989),0)+$O$987-1),"")</f>
        <v>C315</v>
      </c>
      <c r="C996" s="826" t="str">
        <f ca="1">IFERROR(_xlfn.CONCAT("D",MATCH(A996,INDIRECT("'"&amp;E996&amp;"'!C"&amp;$O$987&amp;":C"&amp;$O$989),0)+$O$987-1),"")</f>
        <v>D315</v>
      </c>
      <c r="D996" s="826" t="s">
        <v>1350</v>
      </c>
      <c r="E996" s="826" t="s">
        <v>1516</v>
      </c>
      <c r="F996" s="1314" t="s">
        <v>1385</v>
      </c>
      <c r="G996" s="1314" t="str">
        <f>IF(T996&lt;&gt;"","C","")</f>
        <v/>
      </c>
      <c r="H996" s="1314" t="s">
        <v>1990</v>
      </c>
      <c r="I996" s="1274" t="str">
        <f t="shared" si="159"/>
        <v/>
      </c>
      <c r="J996" s="1314"/>
      <c r="K996" s="1314" t="str">
        <f t="shared" si="160"/>
        <v/>
      </c>
      <c r="L996" s="826" t="s">
        <v>1385</v>
      </c>
      <c r="M996" s="1329">
        <v>979</v>
      </c>
      <c r="N996" s="1314"/>
      <c r="O996" s="1311"/>
      <c r="P996" s="1311"/>
      <c r="Q996" s="1311"/>
      <c r="R996" s="1314" t="s">
        <v>1696</v>
      </c>
      <c r="S996" s="1311"/>
      <c r="T996" s="1314" t="str">
        <f t="shared" si="166"/>
        <v/>
      </c>
      <c r="U996" s="1311"/>
      <c r="V996" s="1311"/>
      <c r="W996" s="1311"/>
      <c r="X996" s="1311"/>
      <c r="Y996" s="1311"/>
      <c r="Z996" s="1311"/>
    </row>
    <row r="997" spans="1:26" x14ac:dyDescent="0.25">
      <c r="A997" s="850" t="s">
        <v>1386</v>
      </c>
      <c r="B997" s="826" t="str">
        <f ca="1">IFERROR(_xlfn.CONCAT("C",MATCH(A997,INDIRECT("'"&amp;E997&amp;"'!C"&amp;$O$987&amp;":C"&amp;$O$989),0)+$O$987-1),"")</f>
        <v>C317</v>
      </c>
      <c r="C997" s="826" t="str">
        <f ca="1">IFERROR(_xlfn.CONCAT("D",MATCH(A997,INDIRECT("'"&amp;E997&amp;"'!C"&amp;$O$987&amp;":C"&amp;$O$989),0)+$O$987-1),"")</f>
        <v>D317</v>
      </c>
      <c r="D997" s="826" t="s">
        <v>1350</v>
      </c>
      <c r="E997" s="826" t="s">
        <v>1516</v>
      </c>
      <c r="F997" s="1314" t="s">
        <v>1386</v>
      </c>
      <c r="G997" s="1314" t="str">
        <f>IF(T997&lt;&gt;"","D","")</f>
        <v/>
      </c>
      <c r="H997" s="1314" t="s">
        <v>1990</v>
      </c>
      <c r="I997" s="1274" t="str">
        <f t="shared" si="159"/>
        <v/>
      </c>
      <c r="J997" s="1314"/>
      <c r="K997" s="1314" t="str">
        <f t="shared" si="160"/>
        <v/>
      </c>
      <c r="L997" s="826" t="s">
        <v>1386</v>
      </c>
      <c r="M997" s="1329">
        <v>980</v>
      </c>
      <c r="N997" s="1314"/>
      <c r="O997" s="1311"/>
      <c r="P997" s="1311"/>
      <c r="Q997" s="1311"/>
      <c r="R997" s="1314" t="s">
        <v>1696</v>
      </c>
      <c r="S997" s="1311"/>
      <c r="T997" s="1314" t="str">
        <f t="shared" si="166"/>
        <v/>
      </c>
      <c r="U997" s="1311"/>
      <c r="V997" s="1311"/>
      <c r="W997" s="1311"/>
      <c r="X997" s="1311"/>
      <c r="Y997" s="1311"/>
      <c r="Z997" s="1311"/>
    </row>
    <row r="998" spans="1:26" x14ac:dyDescent="0.25">
      <c r="A998" s="850" t="s">
        <v>1495</v>
      </c>
      <c r="B998" s="826" t="str">
        <f ca="1">IFERROR(_xlfn.CONCAT("C",MATCH(A998,INDIRECT("'"&amp;E998&amp;"'!C"&amp;$O$987&amp;":C"&amp;$O$989),0)+$O$987-1),"")</f>
        <v>C319</v>
      </c>
      <c r="C998" s="826" t="str">
        <f ca="1">IFERROR(_xlfn.CONCAT("D",MATCH(A998,INDIRECT("'"&amp;E998&amp;"'!C"&amp;$O$987&amp;":C"&amp;$O$989),0)+$O$987-1),"")</f>
        <v>D319</v>
      </c>
      <c r="D998" s="826" t="s">
        <v>1350</v>
      </c>
      <c r="E998" s="826" t="s">
        <v>1516</v>
      </c>
      <c r="F998" s="1314" t="s">
        <v>1495</v>
      </c>
      <c r="G998" s="1314" t="str">
        <f>IF(T998&lt;&gt;"","AN","")</f>
        <v/>
      </c>
      <c r="H998" s="1314" t="s">
        <v>1990</v>
      </c>
      <c r="I998" s="1274" t="str">
        <f t="shared" si="159"/>
        <v/>
      </c>
      <c r="J998" s="1314" t="str">
        <f t="shared" si="165"/>
        <v/>
      </c>
      <c r="K998" s="1314" t="str">
        <f t="shared" si="160"/>
        <v/>
      </c>
      <c r="L998" s="826" t="s">
        <v>1495</v>
      </c>
      <c r="M998" s="1329">
        <v>981</v>
      </c>
      <c r="N998" s="1314"/>
      <c r="O998" s="18"/>
      <c r="P998" s="1317" t="str" cm="1">
        <f t="array" aca="1" ref="P998" ca="1">_xlfn.CONCAT("F",RIGHT(B998, LEN(B998) - MAX(IF(ISNUMBER(MID(B998, ROW(INDIRECT("1:"&amp;LEN(B998))), 1) *1)=FALSE, ROW(INDIRECT("1:"&amp;LEN(B998))), 0))))</f>
        <v>F319</v>
      </c>
      <c r="Q998" s="1314" t="str" cm="1">
        <f t="array" aca="1" ref="Q998" ca="1">_xlfn.CONCAT("E",RIGHT(C998, LEN(C998) - MAX(IF(ISNUMBER(MID(C998, ROW(INDIRECT("1:"&amp;LEN(C998))), 1) *1)=FALSE, ROW(INDIRECT("1:"&amp;LEN(C998))), 0))))</f>
        <v>E319</v>
      </c>
      <c r="R998" s="1314" t="s">
        <v>1696</v>
      </c>
      <c r="S998" s="1311"/>
      <c r="T998" s="1314" t="str">
        <f t="shared" si="166"/>
        <v/>
      </c>
      <c r="U998" s="1311"/>
      <c r="V998" s="1311"/>
      <c r="W998" s="1311"/>
      <c r="X998" s="1311"/>
      <c r="Y998" s="1311"/>
      <c r="Z998" s="1311"/>
    </row>
    <row r="999" spans="1:26" x14ac:dyDescent="0.25">
      <c r="A999" s="850" t="s">
        <v>1492</v>
      </c>
      <c r="B999" s="826" t="str">
        <f ca="1">_xlfn.CONCAT(IFERROR(SUBSTITUTE(ADDRESS(1,MATCH(A999,INDIRECT("'"&amp;E999&amp;"'"&amp;"!A" &amp; $O$987 + 8 &amp; ":Z" &amp; $O$987 + 8),0),4),1,""),""),$O$987 + 8)</f>
        <v>H317</v>
      </c>
      <c r="C999" s="826" t="str">
        <f ca="1">_xlfn.CONCAT(IFERROR(SUBSTITUTE(ADDRESS(1,MATCH(A999,INDIRECT("'"&amp;E999&amp;"'"&amp;"!A" &amp; $O$987 + 8 &amp; ":Z" &amp; $O$987 + 8),0),4),1,""),""),$O$987 + 9)</f>
        <v>H318</v>
      </c>
      <c r="D999" s="826" t="s">
        <v>1350</v>
      </c>
      <c r="E999" s="826" t="s">
        <v>1516</v>
      </c>
      <c r="F999" s="1314" t="s">
        <v>1492</v>
      </c>
      <c r="G999" s="1314" t="str">
        <f>IF(T999&lt;&gt;"","AL","")</f>
        <v/>
      </c>
      <c r="H999" s="1314" t="s">
        <v>1990</v>
      </c>
      <c r="I999" s="1274" t="str">
        <f t="shared" si="159"/>
        <v/>
      </c>
      <c r="J999" s="1314" t="str">
        <f t="shared" si="165"/>
        <v/>
      </c>
      <c r="K999" s="1314" t="str">
        <f t="shared" si="160"/>
        <v/>
      </c>
      <c r="L999" s="826" t="s">
        <v>1492</v>
      </c>
      <c r="M999" s="1329">
        <v>982</v>
      </c>
      <c r="N999" s="1314"/>
      <c r="O999" s="1311"/>
      <c r="P999" s="1311"/>
      <c r="Q999" s="1311"/>
      <c r="R999" s="1314" t="s">
        <v>1696</v>
      </c>
      <c r="S999" s="1311"/>
      <c r="T999" s="1314" t="str">
        <f t="shared" si="166"/>
        <v/>
      </c>
      <c r="U999" s="1311"/>
      <c r="V999" s="1311"/>
      <c r="W999" s="1311"/>
      <c r="X999" s="1311"/>
      <c r="Y999" s="1311"/>
      <c r="Z999" s="1311"/>
    </row>
    <row r="1000" spans="1:26" x14ac:dyDescent="0.25">
      <c r="A1000" s="850" t="s">
        <v>1506</v>
      </c>
      <c r="B1000" s="826" t="str">
        <f ca="1">_xlfn.CONCAT(IFERROR(SUBSTITUTE(ADDRESS(1,MATCH(A1000,INDIRECT("'"&amp;E1000&amp;"'"&amp;"!A" &amp; $O$987 + 8 &amp; ":Z" &amp; $O$987 + 8),0),4),1,""),""),$O$987 + 8)</f>
        <v>J317</v>
      </c>
      <c r="C1000" s="826" t="str">
        <f ca="1">_xlfn.CONCAT(IFERROR(SUBSTITUTE(ADDRESS(1,MATCH(A1000,INDIRECT("'"&amp;E1000&amp;"'"&amp;"!A" &amp; $O$987 + 8 &amp; ":Z" &amp; $O$987 + 8),0),4),1,""),""),$O$987 + 9)</f>
        <v>J318</v>
      </c>
      <c r="D1000" s="826" t="s">
        <v>1350</v>
      </c>
      <c r="E1000" s="826" t="s">
        <v>1516</v>
      </c>
      <c r="F1000" s="1314" t="s">
        <v>1996</v>
      </c>
      <c r="G1000" s="1314" t="str">
        <f>IF(T1000&lt;&gt;"","L","")</f>
        <v/>
      </c>
      <c r="H1000" s="1314" t="s">
        <v>1990</v>
      </c>
      <c r="I1000" s="1274" t="str">
        <f t="shared" si="159"/>
        <v/>
      </c>
      <c r="J1000" s="1314" t="str">
        <f t="shared" si="165"/>
        <v/>
      </c>
      <c r="K1000" s="1314" t="str">
        <f t="shared" si="160"/>
        <v/>
      </c>
      <c r="L1000" s="826" t="s">
        <v>1506</v>
      </c>
      <c r="M1000" s="1329">
        <v>983</v>
      </c>
      <c r="N1000" s="1314"/>
      <c r="O1000" s="1311"/>
      <c r="P1000" s="1311"/>
      <c r="Q1000" s="1311"/>
      <c r="R1000" s="1314" t="s">
        <v>1696</v>
      </c>
      <c r="S1000" s="1311"/>
      <c r="T1000" s="1314" t="str">
        <f t="shared" si="166"/>
        <v/>
      </c>
      <c r="U1000" s="1311"/>
      <c r="V1000" s="1311"/>
      <c r="W1000" s="1311"/>
      <c r="X1000" s="1311"/>
      <c r="Y1000" s="1311"/>
      <c r="Z1000" s="1311"/>
    </row>
    <row r="1001" spans="1:26" x14ac:dyDescent="0.25">
      <c r="A1001" s="850" t="s">
        <v>1387</v>
      </c>
      <c r="B1001" s="826" t="str">
        <f ca="1">_xlfn.CONCAT(IFERROR(SUBSTITUTE(ADDRESS(1,MATCH(A1001,INDIRECT("'"&amp;E1001&amp;"'"&amp;"!A" &amp; $O$987 + 5 &amp; ":Z" &amp; $O$987 + 5),0),4),1,""),""),$O$987 + 5)</f>
        <v>H314</v>
      </c>
      <c r="C1001" s="826" t="str">
        <f ca="1">_xlfn.CONCAT(IFERROR(SUBSTITUTE(ADDRESS(1,MATCH(A1001,INDIRECT("'"&amp;E1001&amp;"'"&amp;"!A" &amp; $O$987 + 5 &amp; ":Z" &amp; $O$987 + 5),0),4),1,""),""),$O$987 + 6)</f>
        <v>H315</v>
      </c>
      <c r="D1001" s="826" t="s">
        <v>1350</v>
      </c>
      <c r="E1001" s="826" t="s">
        <v>1516</v>
      </c>
      <c r="F1001" s="841" t="s">
        <v>1387</v>
      </c>
      <c r="G1001" s="1314" t="str">
        <f>IF(T1001&lt;&gt;"","AH","")</f>
        <v/>
      </c>
      <c r="H1001" s="1314" t="s">
        <v>1990</v>
      </c>
      <c r="I1001" s="1274" t="str">
        <f t="shared" si="159"/>
        <v/>
      </c>
      <c r="J1001" s="1314" t="str">
        <f t="shared" si="165"/>
        <v/>
      </c>
      <c r="K1001" s="1314" t="str">
        <f t="shared" si="160"/>
        <v/>
      </c>
      <c r="L1001" s="826" t="s">
        <v>1387</v>
      </c>
      <c r="M1001" s="1329">
        <v>984</v>
      </c>
      <c r="N1001" s="1314"/>
      <c r="O1001" s="1311"/>
      <c r="P1001" s="1311"/>
      <c r="Q1001" s="1311"/>
      <c r="R1001" s="1314" t="s">
        <v>1696</v>
      </c>
      <c r="S1001" s="1311"/>
      <c r="T1001" s="1314" t="str">
        <f t="shared" si="166"/>
        <v/>
      </c>
      <c r="U1001" s="1311"/>
      <c r="V1001" s="1311"/>
      <c r="W1001" s="1311"/>
      <c r="X1001" s="1311"/>
      <c r="Y1001" s="1311"/>
      <c r="Z1001" s="1311"/>
    </row>
    <row r="1002" spans="1:26" x14ac:dyDescent="0.25">
      <c r="A1002" s="850" t="s">
        <v>1388</v>
      </c>
      <c r="B1002" s="826" t="str">
        <f ca="1">_xlfn.CONCAT(IFERROR(SUBSTITUTE(ADDRESS(1,MATCH(A1002,INDIRECT("'"&amp;E1002&amp;"'"&amp;"!A" &amp; $O$987 + 5 &amp; ":Z" &amp; $O$987 + 5),0),4),1,""),""),$O$987 + 5)</f>
        <v>J314</v>
      </c>
      <c r="C1002" s="826" t="str">
        <f ca="1">_xlfn.CONCAT(IFERROR(SUBSTITUTE(ADDRESS(1,MATCH(A1002,INDIRECT("'"&amp;E1002&amp;"'"&amp;"!A" &amp; $O$987 + 5 &amp; ":Z" &amp; $O$987 + 5),0),4),1,""),""),$O$987 + 6)</f>
        <v>J315</v>
      </c>
      <c r="D1002" s="826" t="s">
        <v>1350</v>
      </c>
      <c r="E1002" s="826" t="s">
        <v>1516</v>
      </c>
      <c r="F1002" s="841"/>
      <c r="G1002" s="1314"/>
      <c r="H1002" s="1314"/>
      <c r="I1002" s="1274" t="str">
        <f t="shared" si="159"/>
        <v/>
      </c>
      <c r="J1002" s="1314"/>
      <c r="K1002" s="1314" t="str">
        <f t="shared" si="160"/>
        <v/>
      </c>
      <c r="L1002" s="826" t="s">
        <v>1388</v>
      </c>
      <c r="M1002" s="1329">
        <v>985</v>
      </c>
      <c r="N1002" s="1314"/>
      <c r="O1002" s="1311"/>
      <c r="P1002" s="1311"/>
      <c r="Q1002" s="1311"/>
      <c r="R1002" s="1314" t="s">
        <v>1696</v>
      </c>
      <c r="S1002" s="1311"/>
      <c r="T1002" s="1314" t="str">
        <f t="shared" si="166"/>
        <v/>
      </c>
      <c r="U1002" s="1311"/>
      <c r="V1002" s="1311"/>
      <c r="W1002" s="1311"/>
      <c r="X1002" s="1311"/>
      <c r="Y1002" s="1311"/>
      <c r="Z1002" s="1311"/>
    </row>
    <row r="1003" spans="1:26" x14ac:dyDescent="0.25">
      <c r="A1003" s="850" t="s">
        <v>1389</v>
      </c>
      <c r="B1003" s="826" t="str">
        <f ca="1">_xlfn.CONCAT(IFERROR(SUBSTITUTE(ADDRESS(1,MATCH(A1003,INDIRECT("'"&amp;E1003&amp;"'"&amp;"!A" &amp; $O$987 + 5 &amp; ":Z" &amp; $O$987 + 5),0),4),1,""),""),$O$987 + 5)</f>
        <v>L314</v>
      </c>
      <c r="C1003" s="826" t="str">
        <f ca="1">_xlfn.CONCAT(IFERROR(SUBSTITUTE(ADDRESS(1,MATCH(A1003,INDIRECT("'"&amp;E1003&amp;"'"&amp;"!A" &amp; $O$987 + 5 &amp; ":Z" &amp; $O$987 + 5),0),4),1,""),""),$O$987 + 6)</f>
        <v>L315</v>
      </c>
      <c r="D1003" s="826" t="s">
        <v>1350</v>
      </c>
      <c r="E1003" s="826" t="s">
        <v>1516</v>
      </c>
      <c r="F1003" s="1314" t="s">
        <v>1912</v>
      </c>
      <c r="G1003" s="1314" t="str">
        <f>IF(T1003&lt;&gt;"","AI","")</f>
        <v/>
      </c>
      <c r="H1003" s="1314" t="s">
        <v>1990</v>
      </c>
      <c r="I1003" s="1274" t="str">
        <f t="shared" si="159"/>
        <v/>
      </c>
      <c r="J1003" s="1314"/>
      <c r="K1003" s="1314" t="str">
        <f t="shared" si="160"/>
        <v/>
      </c>
      <c r="L1003" s="826" t="s">
        <v>1389</v>
      </c>
      <c r="M1003" s="1329">
        <v>986</v>
      </c>
      <c r="N1003" s="1314"/>
      <c r="O1003" s="1311"/>
      <c r="P1003" s="1311"/>
      <c r="Q1003" s="1311"/>
      <c r="R1003" s="1314" t="s">
        <v>1696</v>
      </c>
      <c r="S1003" s="1311"/>
      <c r="T1003" s="1314" t="str">
        <f t="shared" si="166"/>
        <v/>
      </c>
      <c r="U1003" s="1311"/>
      <c r="V1003" s="1311"/>
      <c r="W1003" s="1311"/>
      <c r="X1003" s="1311"/>
      <c r="Y1003" s="1311"/>
      <c r="Z1003" s="1311"/>
    </row>
    <row r="1004" spans="1:26" x14ac:dyDescent="0.25">
      <c r="A1004" s="847" t="s">
        <v>1491</v>
      </c>
      <c r="B1004" s="826" t="str">
        <f ca="1">IFERROR(_xlfn.CONCAT("C",MATCH(A1004,INDIRECT("'"&amp;E1004&amp;"'!C"&amp;$O$1005&amp;":C"&amp;$O$1007),0)+$O$1005-1),"")</f>
        <v>C327</v>
      </c>
      <c r="C1004" s="826" t="str">
        <f ca="1">IFERROR(_xlfn.CONCAT("D",MATCH(A1004,INDIRECT("'"&amp;E1004&amp;"'!C"&amp;$O$1005&amp;":C"&amp;$O$1007),0)+$O$1005-1),"")</f>
        <v>D327</v>
      </c>
      <c r="D1004" s="826" t="s">
        <v>1350</v>
      </c>
      <c r="E1004" s="826" t="s">
        <v>1516</v>
      </c>
      <c r="F1004" s="1314" t="s">
        <v>1491</v>
      </c>
      <c r="G1004" s="1314" t="str">
        <f>IF(T1004&lt;&gt;"","A","")</f>
        <v/>
      </c>
      <c r="H1004" s="1314" t="s">
        <v>1990</v>
      </c>
      <c r="I1004" s="1274" t="str">
        <f t="shared" si="159"/>
        <v/>
      </c>
      <c r="J1004" s="1314"/>
      <c r="K1004" s="1314" t="str">
        <f t="shared" si="160"/>
        <v/>
      </c>
      <c r="L1004" s="826" t="s">
        <v>1491</v>
      </c>
      <c r="M1004" s="1329">
        <v>987</v>
      </c>
      <c r="N1004" s="1314"/>
      <c r="O1004" s="1311" t="s">
        <v>725</v>
      </c>
      <c r="P1004" s="18"/>
      <c r="Q1004" s="1311"/>
      <c r="R1004" s="1314" t="s">
        <v>481</v>
      </c>
      <c r="S1004" s="1311"/>
      <c r="T1004" s="1314" t="str">
        <f>IF(Q$1005="Yes",23,"")</f>
        <v/>
      </c>
      <c r="U1004" s="1311"/>
      <c r="V1004" s="1311"/>
      <c r="W1004" s="1311"/>
      <c r="X1004" s="1311"/>
      <c r="Y1004" s="1311"/>
      <c r="Z1004" s="1311"/>
    </row>
    <row r="1005" spans="1:26" x14ac:dyDescent="0.25">
      <c r="A1005" s="847" t="s">
        <v>1705</v>
      </c>
      <c r="B1005" s="826" t="str">
        <f ca="1">_xlfn.CONCAT(IFERROR(SUBSTITUTE(ADDRESS(1,MATCH(A1005,INDIRECT("'"&amp;E1005&amp;"'"&amp;"!A" &amp; $O$1005 + 11 &amp; ":Z" &amp; $O$1005 + 11),0),4),1,""),""),$O$1005 + 11)</f>
        <v>T334</v>
      </c>
      <c r="C1005" s="826" t="str">
        <f ca="1">_xlfn.CONCAT(IFERROR(SUBSTITUTE(ADDRESS(1,MATCH(A1005,INDIRECT("'"&amp;E1005&amp;"'"&amp;"!A" &amp; $O$1005 + 11 &amp; ":Z" &amp; $O$1005 + 11),0),4),1,""),""),$O$1005 + 12)</f>
        <v>T335</v>
      </c>
      <c r="D1005" s="826" t="s">
        <v>1350</v>
      </c>
      <c r="E1005" s="826" t="s">
        <v>1516</v>
      </c>
      <c r="F1005" s="1314"/>
      <c r="G1005" s="1314"/>
      <c r="H1005" s="1314"/>
      <c r="I1005" s="1274" t="str">
        <f t="shared" si="159"/>
        <v/>
      </c>
      <c r="J1005" s="1314" t="str">
        <f t="shared" ref="J1005:J1014" si="169">IF(M1005&lt;&gt;"",IF($Q$1005="Yes",Q$1&amp;M1005,""))</f>
        <v/>
      </c>
      <c r="K1005" s="1314" t="str">
        <f t="shared" si="160"/>
        <v/>
      </c>
      <c r="L1005" s="826" t="s">
        <v>1705</v>
      </c>
      <c r="M1005" s="1329">
        <v>988</v>
      </c>
      <c r="N1005" s="1314"/>
      <c r="O1005" s="1311">
        <f>'Configurable Tab'!H25</f>
        <v>323</v>
      </c>
      <c r="P1005" s="18" t="str">
        <f>'Configurable Tab'!J25</f>
        <v>No</v>
      </c>
      <c r="Q1005" s="1351" t="s">
        <v>648</v>
      </c>
      <c r="R1005" s="1314" t="s">
        <v>481</v>
      </c>
      <c r="S1005" s="1311"/>
      <c r="T1005" s="1314" t="str">
        <f t="shared" ref="T1005:T1011" si="170">IF(Q$1005="Yes",23,"")</f>
        <v/>
      </c>
      <c r="U1005" s="1311"/>
      <c r="V1005" s="1311"/>
      <c r="W1005" s="1311"/>
      <c r="X1005" s="1311"/>
      <c r="Y1005" s="1311"/>
      <c r="Z1005" s="1311"/>
    </row>
    <row r="1006" spans="1:26" x14ac:dyDescent="0.25">
      <c r="A1006" s="847" t="s">
        <v>1383</v>
      </c>
      <c r="B1006" s="826" t="str">
        <f ca="1">IFERROR(_xlfn.CONCAT("C",MATCH(A1006,INDIRECT("'"&amp;E1006&amp;"'!C"&amp;$O$1005&amp;":C"&amp;$O$1007),0)+$O$1005-1),"")</f>
        <v>C325</v>
      </c>
      <c r="C1006" s="826" t="str">
        <f ca="1">IFERROR(_xlfn.CONCAT("D",MATCH(A1006,INDIRECT("'"&amp;E1006&amp;"'!C"&amp;$O$1005&amp;":C"&amp;$O$1007),0)+$O$1005-1),"")</f>
        <v>D325</v>
      </c>
      <c r="D1006" s="826" t="s">
        <v>1350</v>
      </c>
      <c r="E1006" s="826" t="s">
        <v>1516</v>
      </c>
      <c r="F1006" s="1314" t="s">
        <v>1383</v>
      </c>
      <c r="G1006" s="1314" t="str">
        <f>IF(T1006&lt;&gt;"","B","")</f>
        <v/>
      </c>
      <c r="H1006" s="1314" t="s">
        <v>1990</v>
      </c>
      <c r="I1006" s="1274" t="str">
        <f t="shared" si="159"/>
        <v/>
      </c>
      <c r="J1006" s="1314"/>
      <c r="K1006" s="1314" t="str">
        <f t="shared" si="160"/>
        <v/>
      </c>
      <c r="L1006" s="826" t="s">
        <v>1383</v>
      </c>
      <c r="M1006" s="1329">
        <v>989</v>
      </c>
      <c r="N1006" s="1314"/>
      <c r="O1006" s="1311" t="s">
        <v>726</v>
      </c>
      <c r="P1006" s="1311"/>
      <c r="Q1006" s="1311"/>
      <c r="R1006" s="1314" t="s">
        <v>481</v>
      </c>
      <c r="S1006" s="1311"/>
      <c r="T1006" s="1314" t="str">
        <f t="shared" si="170"/>
        <v/>
      </c>
      <c r="U1006" s="1311"/>
      <c r="V1006" s="1311"/>
      <c r="W1006" s="1311"/>
      <c r="X1006" s="1311"/>
      <c r="Y1006" s="1311"/>
      <c r="Z1006" s="1311"/>
    </row>
    <row r="1007" spans="1:26" x14ac:dyDescent="0.25">
      <c r="A1007" s="847" t="s">
        <v>1381</v>
      </c>
      <c r="B1007" s="826" t="str">
        <f ca="1">_xlfn.CONCAT(IFERROR(SUBSTITUTE(ADDRESS(1,MATCH(A1007,INDIRECT("'"&amp;E1007&amp;"'"&amp;"!A" &amp; $O$1005 + 2 &amp; ":Z" &amp; $O$1005 + 2),0),4),1,""),""),$O$1005 + 2)</f>
        <v>J325</v>
      </c>
      <c r="C1007" s="826" t="str">
        <f ca="1">_xlfn.CONCAT(IFERROR(SUBSTITUTE(ADDRESS(1,MATCH(A1007,INDIRECT("'"&amp;E1007&amp;"'"&amp;"!A" &amp; $O$1005 + 2 &amp; ":Z" &amp; $O$1005 + 2),0),4),1,""),""),$O$1005 + 3)</f>
        <v>J326</v>
      </c>
      <c r="D1007" s="826" t="s">
        <v>1350</v>
      </c>
      <c r="E1007" s="826" t="s">
        <v>1516</v>
      </c>
      <c r="F1007" s="1314" t="s">
        <v>1992</v>
      </c>
      <c r="G1007" s="1314" t="str">
        <f>IF(T1007&lt;&gt;"","I","")</f>
        <v/>
      </c>
      <c r="H1007" s="1314" t="s">
        <v>1990</v>
      </c>
      <c r="I1007" s="1274" t="str">
        <f t="shared" si="159"/>
        <v/>
      </c>
      <c r="J1007" s="1314" t="str">
        <f t="shared" si="169"/>
        <v/>
      </c>
      <c r="K1007" s="1314" t="str">
        <f t="shared" si="160"/>
        <v/>
      </c>
      <c r="L1007" s="826" t="s">
        <v>1381</v>
      </c>
      <c r="M1007" s="1329">
        <v>990</v>
      </c>
      <c r="N1007" s="1314"/>
      <c r="O1007" s="1311">
        <f>'Configurable Tab'!I25</f>
        <v>336</v>
      </c>
      <c r="P1007" s="1311"/>
      <c r="Q1007" s="1311"/>
      <c r="R1007" s="1314" t="s">
        <v>481</v>
      </c>
      <c r="S1007" s="1311"/>
      <c r="T1007" s="1314" t="str">
        <f t="shared" si="170"/>
        <v/>
      </c>
      <c r="U1007" s="1311"/>
      <c r="V1007" s="1311"/>
      <c r="W1007" s="1311"/>
      <c r="X1007" s="1311"/>
      <c r="Y1007" s="1311"/>
      <c r="Z1007" s="1311"/>
    </row>
    <row r="1008" spans="1:26" x14ac:dyDescent="0.25">
      <c r="A1008" s="847" t="s">
        <v>1397</v>
      </c>
      <c r="B1008" s="826" t="str">
        <f ca="1">_xlfn.CONCAT(IFERROR(SUBSTITUTE(ADDRESS(1,MATCH(A1008,INDIRECT("'"&amp;E1008&amp;"'"&amp;"!A" &amp; $O$1005 + 2 &amp; ":Z" &amp; $O$1005 + 2),0),4),1,""),""),$O$1005 + 2)</f>
        <v>L325</v>
      </c>
      <c r="C1008" s="826" t="str">
        <f ca="1">_xlfn.CONCAT(IFERROR(SUBSTITUTE(ADDRESS(1,MATCH(A1008,INDIRECT("'"&amp;E1008&amp;"'"&amp;"!A" &amp; $O$1005 + 2 &amp; ":Z" &amp; $O$1005 + 2),0),4),1,""),""),$O$1005 + 3)</f>
        <v>L326</v>
      </c>
      <c r="D1008" s="826" t="s">
        <v>1350</v>
      </c>
      <c r="E1008" s="826" t="s">
        <v>1516</v>
      </c>
      <c r="F1008" s="1314" t="s">
        <v>1993</v>
      </c>
      <c r="G1008" s="1314" t="str">
        <f>IF(T1008&lt;&gt;"","H","")</f>
        <v/>
      </c>
      <c r="H1008" s="1314" t="s">
        <v>1990</v>
      </c>
      <c r="I1008" s="1274" t="str">
        <f t="shared" si="159"/>
        <v/>
      </c>
      <c r="J1008" s="1314" t="str">
        <f t="shared" si="169"/>
        <v/>
      </c>
      <c r="K1008" s="1314" t="str">
        <f t="shared" si="160"/>
        <v/>
      </c>
      <c r="L1008" s="826" t="s">
        <v>1397</v>
      </c>
      <c r="M1008" s="1329">
        <v>991</v>
      </c>
      <c r="N1008" s="1314"/>
      <c r="O1008" s="1311" t="s">
        <v>1650</v>
      </c>
      <c r="P1008" s="1311"/>
      <c r="Q1008" s="1311"/>
      <c r="R1008" s="1314" t="s">
        <v>481</v>
      </c>
      <c r="S1008" s="1311"/>
      <c r="T1008" s="1314" t="str">
        <f t="shared" si="170"/>
        <v/>
      </c>
      <c r="U1008" s="1311"/>
      <c r="V1008" s="1311"/>
      <c r="W1008" s="1311"/>
      <c r="X1008" s="1311"/>
      <c r="Y1008" s="1311"/>
      <c r="Z1008" s="1311"/>
    </row>
    <row r="1009" spans="1:26" x14ac:dyDescent="0.25">
      <c r="A1009" s="847" t="s">
        <v>1382</v>
      </c>
      <c r="B1009" s="826" t="str">
        <f ca="1">_xlfn.CONCAT(IFERROR(SUBSTITUTE(ADDRESS(1,MATCH(A1009,INDIRECT("'"&amp;E1009&amp;"'"&amp;"!A" &amp; $O$1005 + 2 &amp; ":Z" &amp; $O$1005 + 2),0),4),1,""),""),$O$1005 + 2)</f>
        <v>N325</v>
      </c>
      <c r="C1009" s="826" t="str">
        <f ca="1">_xlfn.CONCAT(IFERROR(SUBSTITUTE(ADDRESS(1,MATCH(A1009,INDIRECT("'"&amp;E1009&amp;"'"&amp;"!A" &amp; $O$1005 + 2 &amp; ":Z" &amp; $O$1005 + 2),0),4),1,""),""),$O$1005 + 3)</f>
        <v>N326</v>
      </c>
      <c r="D1009" s="826" t="s">
        <v>1350</v>
      </c>
      <c r="E1009" s="826" t="s">
        <v>1516</v>
      </c>
      <c r="F1009" s="1314" t="s">
        <v>1382</v>
      </c>
      <c r="G1009" s="1314" t="str">
        <f>IF(T1009&lt;&gt;"",IF(Q1007="Credit Memo","J",IF(Q1007="Check","K","")),"")</f>
        <v/>
      </c>
      <c r="H1009" s="1314" t="s">
        <v>1990</v>
      </c>
      <c r="I1009" s="1274" t="str">
        <f t="shared" si="159"/>
        <v/>
      </c>
      <c r="J1009" s="1314" t="str">
        <f t="shared" si="169"/>
        <v/>
      </c>
      <c r="K1009" s="1314" t="str">
        <f t="shared" si="160"/>
        <v/>
      </c>
      <c r="L1009" s="826" t="s">
        <v>1382</v>
      </c>
      <c r="M1009" s="1329">
        <v>992</v>
      </c>
      <c r="N1009" s="1314"/>
      <c r="O1009" s="1311"/>
      <c r="P1009" s="1311"/>
      <c r="Q1009" s="1311"/>
      <c r="R1009" s="1314" t="s">
        <v>481</v>
      </c>
      <c r="S1009" s="1311"/>
      <c r="T1009" s="1314" t="str">
        <f t="shared" si="170"/>
        <v/>
      </c>
      <c r="U1009" s="1311"/>
      <c r="V1009" s="1311"/>
      <c r="W1009" s="1311"/>
      <c r="X1009" s="1311"/>
      <c r="Y1009" s="1311"/>
      <c r="Z1009" s="1311"/>
    </row>
    <row r="1010" spans="1:26" x14ac:dyDescent="0.25">
      <c r="A1010" s="847" t="s">
        <v>1385</v>
      </c>
      <c r="B1010" s="826" t="str">
        <f ca="1">IFERROR(_xlfn.CONCAT("C",MATCH(A1010,INDIRECT("'"&amp;E1010&amp;"'!C"&amp;$O$1005&amp;":C"&amp;$O$1007),0)+$O$1005-1),"")</f>
        <v>C329</v>
      </c>
      <c r="C1010" s="826" t="str">
        <f ca="1">IFERROR(_xlfn.CONCAT("D",MATCH(A1010,INDIRECT("'"&amp;E1010&amp;"'!C"&amp;$O$1005&amp;":C"&amp;$O$1007),0)+$O$1005-1),"")</f>
        <v>D329</v>
      </c>
      <c r="D1010" s="826" t="s">
        <v>1350</v>
      </c>
      <c r="E1010" s="826" t="s">
        <v>1516</v>
      </c>
      <c r="F1010" s="1314" t="s">
        <v>1385</v>
      </c>
      <c r="G1010" s="1314" t="str">
        <f>IF(T1010&lt;&gt;"","C","")</f>
        <v/>
      </c>
      <c r="H1010" s="1314" t="s">
        <v>1990</v>
      </c>
      <c r="I1010" s="1274" t="str">
        <f t="shared" si="159"/>
        <v/>
      </c>
      <c r="J1010" s="1314"/>
      <c r="K1010" s="1314" t="str">
        <f t="shared" si="160"/>
        <v/>
      </c>
      <c r="L1010" s="826" t="s">
        <v>1385</v>
      </c>
      <c r="M1010" s="1329">
        <v>993</v>
      </c>
      <c r="N1010" s="1314"/>
      <c r="O1010" s="1311"/>
      <c r="P1010" s="1311"/>
      <c r="Q1010" s="1311"/>
      <c r="R1010" s="1314" t="s">
        <v>481</v>
      </c>
      <c r="S1010" s="1311"/>
      <c r="T1010" s="1314" t="str">
        <f t="shared" si="170"/>
        <v/>
      </c>
      <c r="U1010" s="1311"/>
      <c r="V1010" s="1311"/>
      <c r="W1010" s="1311"/>
      <c r="X1010" s="1311"/>
      <c r="Y1010" s="1311"/>
      <c r="Z1010" s="1311"/>
    </row>
    <row r="1011" spans="1:26" x14ac:dyDescent="0.25">
      <c r="A1011" s="847" t="s">
        <v>1386</v>
      </c>
      <c r="B1011" s="826" t="str">
        <f ca="1">IFERROR(_xlfn.CONCAT("C",MATCH(A1011,INDIRECT("'"&amp;E1011&amp;"'!C"&amp;$O$1005&amp;":C"&amp;$O$1007),0)+$O$1005-1),"")</f>
        <v>C331</v>
      </c>
      <c r="C1011" s="826" t="str">
        <f ca="1">IFERROR(_xlfn.CONCAT("D",MATCH(A1011,INDIRECT("'"&amp;E1011&amp;"'!C"&amp;$O$1005&amp;":C"&amp;$O$1007),0)+$O$1005-1),"")</f>
        <v>D331</v>
      </c>
      <c r="D1011" s="826" t="s">
        <v>1350</v>
      </c>
      <c r="E1011" s="826" t="s">
        <v>1516</v>
      </c>
      <c r="F1011" s="1314" t="s">
        <v>1386</v>
      </c>
      <c r="G1011" s="1314" t="str">
        <f>IF(T1011&lt;&gt;"","D","")</f>
        <v/>
      </c>
      <c r="H1011" s="1314" t="s">
        <v>1990</v>
      </c>
      <c r="I1011" s="1274" t="str">
        <f t="shared" si="159"/>
        <v/>
      </c>
      <c r="J1011" s="1314"/>
      <c r="K1011" s="1314" t="str">
        <f t="shared" si="160"/>
        <v/>
      </c>
      <c r="L1011" s="826" t="s">
        <v>1386</v>
      </c>
      <c r="M1011" s="1329">
        <v>994</v>
      </c>
      <c r="N1011" s="1314"/>
      <c r="O1011" s="1311"/>
      <c r="P1011" s="1311"/>
      <c r="Q1011" s="1311"/>
      <c r="R1011" s="1314" t="s">
        <v>481</v>
      </c>
      <c r="S1011" s="1311"/>
      <c r="T1011" s="1314" t="str">
        <f t="shared" si="170"/>
        <v/>
      </c>
      <c r="U1011" s="1311"/>
      <c r="V1011" s="1311"/>
      <c r="W1011" s="1311"/>
      <c r="X1011" s="1311"/>
      <c r="Y1011" s="1311"/>
      <c r="Z1011" s="1311"/>
    </row>
    <row r="1012" spans="1:26" x14ac:dyDescent="0.25">
      <c r="A1012" s="847" t="s">
        <v>1495</v>
      </c>
      <c r="B1012" s="826" t="str">
        <f ca="1">IFERROR(_xlfn.CONCAT("C",MATCH(A1012,INDIRECT("'"&amp;E1012&amp;"'!C"&amp;$O$1005&amp;":C"&amp;$O$1007),0)+$O$1005-1),"")</f>
        <v>C333</v>
      </c>
      <c r="C1012" s="826" t="str">
        <f ca="1">IFERROR(_xlfn.CONCAT("D",MATCH(A1012,INDIRECT("'"&amp;E1012&amp;"'!C"&amp;$O$1005&amp;":C"&amp;$O$1007),0)+$O$1005-1),"")</f>
        <v>D333</v>
      </c>
      <c r="D1012" s="826" t="s">
        <v>1350</v>
      </c>
      <c r="E1012" s="826" t="s">
        <v>1516</v>
      </c>
      <c r="F1012" s="1314" t="s">
        <v>1495</v>
      </c>
      <c r="G1012" s="1314" t="str">
        <f>IF(T1012&lt;&gt;"","AN","")</f>
        <v/>
      </c>
      <c r="H1012" s="1314" t="s">
        <v>1990</v>
      </c>
      <c r="I1012" s="1274" t="str">
        <f t="shared" si="159"/>
        <v/>
      </c>
      <c r="J1012" s="1314" t="str">
        <f t="shared" si="169"/>
        <v/>
      </c>
      <c r="K1012" s="1314" t="str">
        <f t="shared" si="160"/>
        <v/>
      </c>
      <c r="L1012" s="826" t="s">
        <v>1495</v>
      </c>
      <c r="M1012" s="1329">
        <v>995</v>
      </c>
      <c r="N1012" s="1314"/>
      <c r="O1012" s="18"/>
      <c r="P1012" s="1317" t="str" cm="1">
        <f t="array" aca="1" ref="P1012" ca="1">_xlfn.CONCAT("F",RIGHT(B1012, LEN(B1012) - MAX(IF(ISNUMBER(MID(B1012, ROW(INDIRECT("1:"&amp;LEN(B1012))), 1) *1)=FALSE, ROW(INDIRECT("1:"&amp;LEN(B1012))), 0))))</f>
        <v>F333</v>
      </c>
      <c r="Q1012" s="1314" t="str" cm="1">
        <f t="array" aca="1" ref="Q1012" ca="1">_xlfn.CONCAT("E",RIGHT(C1012, LEN(C1012) - MAX(IF(ISNUMBER(MID(C1012, ROW(INDIRECT("1:"&amp;LEN(C1012))), 1) *1)=FALSE, ROW(INDIRECT("1:"&amp;LEN(C1012))), 0))))</f>
        <v>E333</v>
      </c>
      <c r="R1012" s="1314" t="s">
        <v>481</v>
      </c>
      <c r="S1012" s="1311"/>
      <c r="T1012" s="1314" t="str">
        <f>IF(Q$1005="Yes",23,"")</f>
        <v/>
      </c>
      <c r="U1012" s="1311"/>
      <c r="V1012" s="1311"/>
      <c r="W1012" s="1311"/>
      <c r="X1012" s="1311"/>
      <c r="Y1012" s="1311"/>
      <c r="Z1012" s="1311"/>
    </row>
    <row r="1013" spans="1:26" x14ac:dyDescent="0.25">
      <c r="A1013" s="847" t="s">
        <v>1492</v>
      </c>
      <c r="B1013" s="826" t="str">
        <f ca="1">_xlfn.CONCAT(IFERROR(SUBSTITUTE(ADDRESS(1,MATCH(A1013,INDIRECT("'"&amp;E1013&amp;"'"&amp;"!A" &amp; $O$1005 + 8 &amp; ":Z" &amp; $O$1005 + 8),0),4),1,""),""),$O$1005 + 8)</f>
        <v>H331</v>
      </c>
      <c r="C1013" s="826" t="str">
        <f ca="1">_xlfn.CONCAT(IFERROR(SUBSTITUTE(ADDRESS(1,MATCH(A1013,INDIRECT("'"&amp;E1013&amp;"'"&amp;"!A" &amp; $O$1005 + 8 &amp; ":Z" &amp; $O$1005 + 8),0),4),1,""),""),$O$1005 + 9)</f>
        <v>H332</v>
      </c>
      <c r="D1013" s="826" t="s">
        <v>1350</v>
      </c>
      <c r="E1013" s="826" t="s">
        <v>1516</v>
      </c>
      <c r="F1013" s="1314" t="s">
        <v>1492</v>
      </c>
      <c r="G1013" s="1314" t="str">
        <f>IF(T1013&lt;&gt;"","AL","")</f>
        <v/>
      </c>
      <c r="H1013" s="1314" t="s">
        <v>1990</v>
      </c>
      <c r="I1013" s="1274" t="str">
        <f t="shared" si="159"/>
        <v/>
      </c>
      <c r="J1013" s="1314" t="str">
        <f t="shared" si="169"/>
        <v/>
      </c>
      <c r="K1013" s="1314" t="str">
        <f t="shared" si="160"/>
        <v/>
      </c>
      <c r="L1013" s="826" t="s">
        <v>1492</v>
      </c>
      <c r="M1013" s="1329">
        <v>996</v>
      </c>
      <c r="N1013" s="1314"/>
      <c r="O1013" s="1311"/>
      <c r="P1013" s="1311"/>
      <c r="Q1013" s="1311"/>
      <c r="R1013" s="1314" t="s">
        <v>481</v>
      </c>
      <c r="S1013" s="1311"/>
      <c r="T1013" s="1314" t="str">
        <f>IF(Q$1005="Yes",23,"")</f>
        <v/>
      </c>
      <c r="U1013" s="1311"/>
      <c r="V1013" s="1311"/>
      <c r="W1013" s="1311"/>
      <c r="X1013" s="1311"/>
      <c r="Y1013" s="1311"/>
      <c r="Z1013" s="1311"/>
    </row>
    <row r="1014" spans="1:26" x14ac:dyDescent="0.25">
      <c r="A1014" s="847" t="s">
        <v>1396</v>
      </c>
      <c r="B1014" s="826" t="str">
        <f ca="1">_xlfn.CONCAT(IFERROR(SUBSTITUTE(ADDRESS(1,MATCH(A1014,INDIRECT("'"&amp;E1014&amp;"'"&amp;"!A" &amp; $O$1005 + 5 &amp; ":Z" &amp; $O$1005 + 5),0),4),1,""),""),$O$1005 + 5)</f>
        <v>H328</v>
      </c>
      <c r="C1014" s="826" t="str">
        <f ca="1">_xlfn.CONCAT(IFERROR(SUBSTITUTE(ADDRESS(1,MATCH(A1014,INDIRECT("'"&amp;E1014&amp;"'"&amp;"!A" &amp; $O$1005 + 5 &amp; ":Z" &amp; $O$1005 + 5),0),4),1,""),""),$O$1005 + 6)</f>
        <v>H329</v>
      </c>
      <c r="D1014" s="826" t="s">
        <v>1350</v>
      </c>
      <c r="E1014" s="826" t="s">
        <v>1516</v>
      </c>
      <c r="F1014" s="1314" t="s">
        <v>1396</v>
      </c>
      <c r="G1014" s="1353" t="str">
        <f>IF(T1014&lt;&gt;"","S","")</f>
        <v/>
      </c>
      <c r="H1014" s="1314" t="s">
        <v>1990</v>
      </c>
      <c r="I1014" s="1274" t="str">
        <f t="shared" si="159"/>
        <v/>
      </c>
      <c r="J1014" s="1314" t="str">
        <f t="shared" si="169"/>
        <v/>
      </c>
      <c r="K1014" s="1314" t="str">
        <f t="shared" si="160"/>
        <v/>
      </c>
      <c r="L1014" s="826" t="s">
        <v>1396</v>
      </c>
      <c r="M1014" s="1329">
        <v>997</v>
      </c>
      <c r="N1014" s="1314"/>
      <c r="O1014" s="1311"/>
      <c r="P1014" s="1311"/>
      <c r="Q1014" s="1311"/>
      <c r="R1014" s="1314" t="s">
        <v>481</v>
      </c>
      <c r="S1014" s="1311"/>
      <c r="T1014" s="1353" t="str">
        <f>IF(Q$1005="Yes",23,"")</f>
        <v/>
      </c>
      <c r="U1014" s="1311"/>
      <c r="V1014" s="1311"/>
      <c r="W1014" s="1311"/>
      <c r="X1014" s="1311"/>
      <c r="Y1014" s="1311"/>
      <c r="Z1014" s="1311"/>
    </row>
    <row r="1015" spans="1:26" x14ac:dyDescent="0.25">
      <c r="A1015" s="850" t="s">
        <v>1491</v>
      </c>
      <c r="B1015" s="826" t="str">
        <f ca="1">IFERROR(_xlfn.CONCAT("C",MATCH(A1015,INDIRECT("'"&amp;E1015&amp;"'!C"&amp;$O$1016&amp;":C"&amp;$O$1018),0)+$O$1016-1),"")</f>
        <v>C341</v>
      </c>
      <c r="C1015" s="826" t="str">
        <f ca="1">IFERROR(_xlfn.CONCAT("D",MATCH(A1015,INDIRECT("'"&amp;E1015&amp;"'!C"&amp;$O$1016&amp;":C"&amp;$O$1018),0)+$O$1016-1),"")</f>
        <v>D341</v>
      </c>
      <c r="D1015" s="826" t="s">
        <v>1350</v>
      </c>
      <c r="E1015" s="826" t="s">
        <v>1516</v>
      </c>
      <c r="F1015" s="1314" t="s">
        <v>1491</v>
      </c>
      <c r="G1015" s="1314" t="str">
        <f>IF(T1015&lt;&gt;"","A","")</f>
        <v/>
      </c>
      <c r="H1015" s="1314" t="s">
        <v>1990</v>
      </c>
      <c r="I1015" s="1274" t="str">
        <f t="shared" si="159"/>
        <v/>
      </c>
      <c r="J1015" s="1314"/>
      <c r="K1015" s="1314" t="str">
        <f t="shared" si="160"/>
        <v/>
      </c>
      <c r="L1015" s="826" t="s">
        <v>1491</v>
      </c>
      <c r="M1015" s="1329">
        <v>998</v>
      </c>
      <c r="N1015" s="1314"/>
      <c r="O1015" s="1311" t="s">
        <v>725</v>
      </c>
      <c r="P1015" s="18"/>
      <c r="Q1015" s="1311"/>
      <c r="R1015" s="1314" t="s">
        <v>481</v>
      </c>
      <c r="S1015" s="1311"/>
      <c r="T1015" s="1314" t="str">
        <f>IF(Q$1016="Yes",24,"")</f>
        <v/>
      </c>
      <c r="U1015" s="1311"/>
      <c r="V1015" s="1311"/>
      <c r="W1015" s="1311"/>
      <c r="X1015" s="1311"/>
      <c r="Y1015" s="1311"/>
      <c r="Z1015" s="1311"/>
    </row>
    <row r="1016" spans="1:26" x14ac:dyDescent="0.25">
      <c r="A1016" s="850" t="s">
        <v>1705</v>
      </c>
      <c r="B1016" s="826" t="str">
        <f ca="1">_xlfn.CONCAT(IFERROR(SUBSTITUTE(ADDRESS(1,MATCH(A1016,INDIRECT("'"&amp;E1016&amp;"'"&amp;"!A" &amp; $O$1016 + 11 &amp; ":Z" &amp; $O$1016 +11),0),4),1,""),""),$O$1016 + 11)</f>
        <v>T348</v>
      </c>
      <c r="C1016" s="826" t="str">
        <f ca="1">_xlfn.CONCAT(IFERROR(SUBSTITUTE(ADDRESS(1,MATCH(A1016,INDIRECT("'"&amp;E1016&amp;"'"&amp;"!A" &amp; $O$1016 + 11 &amp; ":Z" &amp; $O$1016 +11),0),4),1,""),""),$O$1016 + 12)</f>
        <v>T349</v>
      </c>
      <c r="D1016" s="826" t="s">
        <v>1350</v>
      </c>
      <c r="E1016" s="826" t="s">
        <v>1516</v>
      </c>
      <c r="F1016" s="1314"/>
      <c r="G1016" s="1314"/>
      <c r="H1016" s="1314"/>
      <c r="I1016" s="1274" t="str">
        <f t="shared" si="159"/>
        <v/>
      </c>
      <c r="J1016" s="1314" t="str">
        <f t="shared" ref="J1016:J1025" si="171">IF(M1016&lt;&gt;"",IF($Q$1016="Yes",Q$1&amp;M1016,""))</f>
        <v/>
      </c>
      <c r="K1016" s="1314" t="str">
        <f t="shared" si="160"/>
        <v/>
      </c>
      <c r="L1016" s="826" t="s">
        <v>1705</v>
      </c>
      <c r="M1016" s="1329">
        <v>999</v>
      </c>
      <c r="N1016" s="1314"/>
      <c r="O1016" s="1311">
        <f>'Configurable Tab'!H26</f>
        <v>337</v>
      </c>
      <c r="P1016" s="18" t="str">
        <f>'Configurable Tab'!J26</f>
        <v>No</v>
      </c>
      <c r="Q1016" s="1351" t="s">
        <v>648</v>
      </c>
      <c r="R1016" s="1314" t="s">
        <v>481</v>
      </c>
      <c r="S1016" s="1311"/>
      <c r="T1016" s="1314" t="str">
        <f t="shared" ref="T1016:T1022" si="172">IF(Q$1016="Yes",24,"")</f>
        <v/>
      </c>
      <c r="U1016" s="1311"/>
      <c r="V1016" s="1311"/>
      <c r="W1016" s="1311"/>
      <c r="X1016" s="1311"/>
      <c r="Y1016" s="1311"/>
      <c r="Z1016" s="1311"/>
    </row>
    <row r="1017" spans="1:26" x14ac:dyDescent="0.25">
      <c r="A1017" s="850" t="s">
        <v>1383</v>
      </c>
      <c r="B1017" s="826" t="str">
        <f ca="1">IFERROR(_xlfn.CONCAT("C",MATCH(A1017,INDIRECT("'"&amp;E1017&amp;"'!C"&amp;$O$1016&amp;":C"&amp;$O$1018),0)+$O$1016-1),"")</f>
        <v>C339</v>
      </c>
      <c r="C1017" s="826" t="str">
        <f ca="1">IFERROR(_xlfn.CONCAT("D",MATCH(A1017,INDIRECT("'"&amp;E1017&amp;"'!C"&amp;$O$1016&amp;":C"&amp;$O$1018),0)+$O$1016-1),"")</f>
        <v>D339</v>
      </c>
      <c r="D1017" s="826" t="s">
        <v>1350</v>
      </c>
      <c r="E1017" s="826" t="s">
        <v>1516</v>
      </c>
      <c r="F1017" s="1314" t="s">
        <v>1383</v>
      </c>
      <c r="G1017" s="1314" t="str">
        <f>IF(T1017&lt;&gt;"","B","")</f>
        <v/>
      </c>
      <c r="H1017" s="1314" t="s">
        <v>1990</v>
      </c>
      <c r="I1017" s="1274" t="str">
        <f t="shared" si="159"/>
        <v/>
      </c>
      <c r="J1017" s="1314"/>
      <c r="K1017" s="1314" t="str">
        <f t="shared" si="160"/>
        <v/>
      </c>
      <c r="L1017" s="826" t="s">
        <v>1383</v>
      </c>
      <c r="M1017" s="1329">
        <v>1000</v>
      </c>
      <c r="N1017" s="1314"/>
      <c r="O1017" s="1311" t="s">
        <v>726</v>
      </c>
      <c r="P1017" s="1311"/>
      <c r="Q1017" s="1311"/>
      <c r="R1017" s="1314" t="s">
        <v>481</v>
      </c>
      <c r="S1017" s="1311"/>
      <c r="T1017" s="1314" t="str">
        <f t="shared" si="172"/>
        <v/>
      </c>
      <c r="U1017" s="1311"/>
      <c r="V1017" s="1311"/>
      <c r="W1017" s="1311"/>
      <c r="X1017" s="1311"/>
      <c r="Y1017" s="1311"/>
      <c r="Z1017" s="1311"/>
    </row>
    <row r="1018" spans="1:26" x14ac:dyDescent="0.25">
      <c r="A1018" s="850" t="s">
        <v>1381</v>
      </c>
      <c r="B1018" s="826" t="str">
        <f ca="1">_xlfn.CONCAT(IFERROR(SUBSTITUTE(ADDRESS(1,MATCH(A1018,INDIRECT("'"&amp;E1018&amp;"'"&amp;"!A" &amp; $O$1016 + 2 &amp; ":Z" &amp; $O$1016 + 2),0),4),1,""),""),$O$1016 + 2)</f>
        <v>J339</v>
      </c>
      <c r="C1018" s="826" t="str">
        <f ca="1">_xlfn.CONCAT(IFERROR(SUBSTITUTE(ADDRESS(1,MATCH(A1018,INDIRECT("'"&amp;E1018&amp;"'"&amp;"!A" &amp; $O$1016 + 2 &amp; ":Z" &amp; $O$1016 + 2),0),4),1,""),""),$O$1016 + 3)</f>
        <v>J340</v>
      </c>
      <c r="D1018" s="826" t="s">
        <v>1350</v>
      </c>
      <c r="E1018" s="826" t="s">
        <v>1516</v>
      </c>
      <c r="F1018" s="1314" t="s">
        <v>1992</v>
      </c>
      <c r="G1018" s="1314" t="str">
        <f>IF(T1018&lt;&gt;"","I","")</f>
        <v/>
      </c>
      <c r="H1018" s="1314" t="s">
        <v>1990</v>
      </c>
      <c r="I1018" s="1274" t="str">
        <f t="shared" si="159"/>
        <v/>
      </c>
      <c r="J1018" s="1314" t="str">
        <f t="shared" si="171"/>
        <v/>
      </c>
      <c r="K1018" s="1314" t="str">
        <f t="shared" si="160"/>
        <v/>
      </c>
      <c r="L1018" s="826" t="s">
        <v>1381</v>
      </c>
      <c r="M1018" s="1329">
        <v>1001</v>
      </c>
      <c r="N1018" s="1314"/>
      <c r="O1018" s="1311">
        <f>'Configurable Tab'!I26</f>
        <v>350</v>
      </c>
      <c r="P1018" s="1311"/>
      <c r="Q1018" s="1311"/>
      <c r="R1018" s="1314" t="s">
        <v>481</v>
      </c>
      <c r="S1018" s="1311"/>
      <c r="T1018" s="1314" t="str">
        <f t="shared" si="172"/>
        <v/>
      </c>
      <c r="U1018" s="1311"/>
      <c r="V1018" s="1311"/>
      <c r="W1018" s="1311"/>
      <c r="X1018" s="1311"/>
      <c r="Y1018" s="1311"/>
      <c r="Z1018" s="1311"/>
    </row>
    <row r="1019" spans="1:26" x14ac:dyDescent="0.25">
      <c r="A1019" s="850" t="s">
        <v>1397</v>
      </c>
      <c r="B1019" s="826" t="str">
        <f ca="1">_xlfn.CONCAT(IFERROR(SUBSTITUTE(ADDRESS(1,MATCH(A1019,INDIRECT("'"&amp;E1019&amp;"'"&amp;"!A" &amp; $O$1016 + 2 &amp; ":Z" &amp; $O$1016 + 2),0),4),1,""),""),$O$1016 + 2)</f>
        <v>L339</v>
      </c>
      <c r="C1019" s="826" t="str">
        <f ca="1">_xlfn.CONCAT(IFERROR(SUBSTITUTE(ADDRESS(1,MATCH(A1019,INDIRECT("'"&amp;E1019&amp;"'"&amp;"!A" &amp; $O$1016 + 2 &amp; ":Z" &amp; $O$1016 + 2),0),4),1,""),""),$O$1016 + 3)</f>
        <v>L340</v>
      </c>
      <c r="D1019" s="826" t="s">
        <v>1350</v>
      </c>
      <c r="E1019" s="826" t="s">
        <v>1516</v>
      </c>
      <c r="F1019" s="1314" t="s">
        <v>1993</v>
      </c>
      <c r="G1019" s="1314" t="str">
        <f>IF(T1019&lt;&gt;"","H","")</f>
        <v/>
      </c>
      <c r="H1019" s="1314" t="s">
        <v>1990</v>
      </c>
      <c r="I1019" s="1274" t="str">
        <f t="shared" si="159"/>
        <v/>
      </c>
      <c r="J1019" s="1314" t="str">
        <f t="shared" si="171"/>
        <v/>
      </c>
      <c r="K1019" s="1314" t="str">
        <f t="shared" si="160"/>
        <v/>
      </c>
      <c r="L1019" s="826" t="s">
        <v>1397</v>
      </c>
      <c r="M1019" s="1329">
        <v>1002</v>
      </c>
      <c r="N1019" s="1314"/>
      <c r="O1019" s="1311" t="s">
        <v>1651</v>
      </c>
      <c r="P1019" s="1311"/>
      <c r="Q1019" s="1311"/>
      <c r="R1019" s="1314" t="s">
        <v>481</v>
      </c>
      <c r="S1019" s="1311"/>
      <c r="T1019" s="1314" t="str">
        <f t="shared" si="172"/>
        <v/>
      </c>
      <c r="U1019" s="1311"/>
      <c r="V1019" s="1311"/>
      <c r="W1019" s="1311"/>
      <c r="X1019" s="1311"/>
      <c r="Y1019" s="1311"/>
      <c r="Z1019" s="1311"/>
    </row>
    <row r="1020" spans="1:26" x14ac:dyDescent="0.25">
      <c r="A1020" s="850" t="s">
        <v>1382</v>
      </c>
      <c r="B1020" s="826" t="str">
        <f ca="1">_xlfn.CONCAT(IFERROR(SUBSTITUTE(ADDRESS(1,MATCH(A1020,INDIRECT("'"&amp;E1020&amp;"'"&amp;"!A" &amp; $O$1016 + 2 &amp; ":Z" &amp; $O$1016 + 2),0),4),1,""),""),$O$1016 + 2)</f>
        <v>N339</v>
      </c>
      <c r="C1020" s="826" t="str">
        <f ca="1">_xlfn.CONCAT(IFERROR(SUBSTITUTE(ADDRESS(1,MATCH(A1020,INDIRECT("'"&amp;E1020&amp;"'"&amp;"!A" &amp; $O$1016 + 2 &amp; ":Z" &amp; $O$1016 + 2),0),4),1,""),""),$O$1016 + 3)</f>
        <v>N340</v>
      </c>
      <c r="D1020" s="826" t="s">
        <v>1350</v>
      </c>
      <c r="E1020" s="826" t="s">
        <v>1516</v>
      </c>
      <c r="F1020" s="1314" t="s">
        <v>1382</v>
      </c>
      <c r="G1020" s="1314" t="str">
        <f>IF(T1020&lt;&gt;"",IF(Q1018="Credit Memo","J",IF(Q1018="Check","K","")),"")</f>
        <v/>
      </c>
      <c r="H1020" s="1314" t="s">
        <v>1990</v>
      </c>
      <c r="I1020" s="1274" t="str">
        <f t="shared" si="159"/>
        <v/>
      </c>
      <c r="J1020" s="1314" t="str">
        <f t="shared" si="171"/>
        <v/>
      </c>
      <c r="K1020" s="1314" t="str">
        <f t="shared" si="160"/>
        <v/>
      </c>
      <c r="L1020" s="826" t="s">
        <v>1382</v>
      </c>
      <c r="M1020" s="1329">
        <v>1003</v>
      </c>
      <c r="N1020" s="1314"/>
      <c r="O1020" s="1311"/>
      <c r="P1020" s="1311"/>
      <c r="Q1020" s="1311"/>
      <c r="R1020" s="1314" t="s">
        <v>481</v>
      </c>
      <c r="S1020" s="1311"/>
      <c r="T1020" s="1314" t="str">
        <f t="shared" si="172"/>
        <v/>
      </c>
      <c r="U1020" s="1311"/>
      <c r="V1020" s="1311"/>
      <c r="W1020" s="1311"/>
      <c r="X1020" s="1311"/>
      <c r="Y1020" s="1311"/>
      <c r="Z1020" s="1311"/>
    </row>
    <row r="1021" spans="1:26" x14ac:dyDescent="0.25">
      <c r="A1021" s="850" t="s">
        <v>1385</v>
      </c>
      <c r="B1021" s="826" t="str">
        <f ca="1">IFERROR(_xlfn.CONCAT("C",MATCH(A1021,INDIRECT("'"&amp;E1021&amp;"'!C"&amp;$O$1016&amp;":C"&amp;$O$1018),0)+$O$1016-1),"")</f>
        <v>C343</v>
      </c>
      <c r="C1021" s="826" t="str">
        <f ca="1">IFERROR(_xlfn.CONCAT("D",MATCH(A1021,INDIRECT("'"&amp;E1021&amp;"'!C"&amp;$O$1016&amp;":C"&amp;$O$1018),0)+$O$1016-1),"")</f>
        <v>D343</v>
      </c>
      <c r="D1021" s="826" t="s">
        <v>1350</v>
      </c>
      <c r="E1021" s="826" t="s">
        <v>1516</v>
      </c>
      <c r="F1021" s="1314" t="s">
        <v>1385</v>
      </c>
      <c r="G1021" s="1314" t="str">
        <f>IF(T1021&lt;&gt;"","C","")</f>
        <v/>
      </c>
      <c r="H1021" s="1314" t="s">
        <v>1990</v>
      </c>
      <c r="I1021" s="1274" t="str">
        <f t="shared" si="159"/>
        <v/>
      </c>
      <c r="J1021" s="1314"/>
      <c r="K1021" s="1314" t="str">
        <f t="shared" si="160"/>
        <v/>
      </c>
      <c r="L1021" s="826" t="s">
        <v>1385</v>
      </c>
      <c r="M1021" s="1329">
        <v>1004</v>
      </c>
      <c r="N1021" s="1314"/>
      <c r="O1021" s="1311"/>
      <c r="P1021" s="1311"/>
      <c r="Q1021" s="1311"/>
      <c r="R1021" s="1314" t="s">
        <v>481</v>
      </c>
      <c r="S1021" s="1311"/>
      <c r="T1021" s="1314" t="str">
        <f t="shared" si="172"/>
        <v/>
      </c>
      <c r="U1021" s="1311"/>
      <c r="V1021" s="1311"/>
      <c r="W1021" s="1311"/>
      <c r="X1021" s="1311"/>
      <c r="Y1021" s="1311"/>
      <c r="Z1021" s="1311"/>
    </row>
    <row r="1022" spans="1:26" x14ac:dyDescent="0.25">
      <c r="A1022" s="850" t="s">
        <v>1386</v>
      </c>
      <c r="B1022" s="826" t="str">
        <f ca="1">IFERROR(_xlfn.CONCAT("C",MATCH(A1022,INDIRECT("'"&amp;E1022&amp;"'!C"&amp;$O$1016&amp;":C"&amp;$O$1018),0)+$O$1016-1),"")</f>
        <v>C345</v>
      </c>
      <c r="C1022" s="826" t="str">
        <f ca="1">IFERROR(_xlfn.CONCAT("D",MATCH(A1022,INDIRECT("'"&amp;E1022&amp;"'!C"&amp;$O$1016&amp;":C"&amp;$O$1018),0)+$O$1016-1),"")</f>
        <v>D345</v>
      </c>
      <c r="D1022" s="826" t="s">
        <v>1350</v>
      </c>
      <c r="E1022" s="826" t="s">
        <v>1516</v>
      </c>
      <c r="F1022" s="1314" t="s">
        <v>1386</v>
      </c>
      <c r="G1022" s="1314" t="str">
        <f>IF(T1022&lt;&gt;"","D","")</f>
        <v/>
      </c>
      <c r="H1022" s="1314" t="s">
        <v>1990</v>
      </c>
      <c r="I1022" s="1274" t="str">
        <f t="shared" si="159"/>
        <v/>
      </c>
      <c r="J1022" s="1314"/>
      <c r="K1022" s="1314" t="str">
        <f t="shared" si="160"/>
        <v/>
      </c>
      <c r="L1022" s="826" t="s">
        <v>1386</v>
      </c>
      <c r="M1022" s="1329">
        <v>1005</v>
      </c>
      <c r="N1022" s="1314"/>
      <c r="O1022" s="1311"/>
      <c r="P1022" s="1311"/>
      <c r="Q1022" s="1311"/>
      <c r="R1022" s="1314" t="s">
        <v>481</v>
      </c>
      <c r="S1022" s="1311"/>
      <c r="T1022" s="1314" t="str">
        <f t="shared" si="172"/>
        <v/>
      </c>
      <c r="U1022" s="1311"/>
      <c r="V1022" s="1311"/>
      <c r="W1022" s="1311"/>
      <c r="X1022" s="1311"/>
      <c r="Y1022" s="1311"/>
      <c r="Z1022" s="1311"/>
    </row>
    <row r="1023" spans="1:26" x14ac:dyDescent="0.25">
      <c r="A1023" s="850" t="s">
        <v>1495</v>
      </c>
      <c r="B1023" s="826" t="str">
        <f ca="1">IFERROR(_xlfn.CONCAT("C",MATCH(A1023,INDIRECT("'"&amp;E1023&amp;"'!C"&amp;$O$1016&amp;":C"&amp;$O$1018),0)+$O$1016-1),"")</f>
        <v>C347</v>
      </c>
      <c r="C1023" s="826" t="str">
        <f ca="1">IFERROR(_xlfn.CONCAT("D",MATCH(A1023,INDIRECT("'"&amp;E1023&amp;"'!C"&amp;$O$1016&amp;":C"&amp;$O$1018),0)+$O$1016-1),"")</f>
        <v>D347</v>
      </c>
      <c r="D1023" s="826" t="s">
        <v>1350</v>
      </c>
      <c r="E1023" s="826" t="s">
        <v>1516</v>
      </c>
      <c r="F1023" s="1314" t="s">
        <v>1495</v>
      </c>
      <c r="G1023" s="1314" t="str">
        <f>IF(T1023&lt;&gt;"","AN","")</f>
        <v/>
      </c>
      <c r="H1023" s="1314" t="s">
        <v>1990</v>
      </c>
      <c r="I1023" s="1274" t="str">
        <f t="shared" si="159"/>
        <v/>
      </c>
      <c r="J1023" s="1314" t="str">
        <f t="shared" si="171"/>
        <v/>
      </c>
      <c r="K1023" s="1314" t="str">
        <f t="shared" si="160"/>
        <v/>
      </c>
      <c r="L1023" s="826" t="s">
        <v>1495</v>
      </c>
      <c r="M1023" s="1329">
        <v>1006</v>
      </c>
      <c r="N1023" s="1314"/>
      <c r="O1023" s="18"/>
      <c r="P1023" s="1317" t="str" cm="1">
        <f t="array" aca="1" ref="P1023" ca="1">_xlfn.CONCAT("F",RIGHT(B1023, LEN(B1023) - MAX(IF(ISNUMBER(MID(B1023, ROW(INDIRECT("1:"&amp;LEN(B1023))), 1) *1)=FALSE, ROW(INDIRECT("1:"&amp;LEN(B1023))), 0))))</f>
        <v>F347</v>
      </c>
      <c r="Q1023" s="1314" t="str" cm="1">
        <f t="array" aca="1" ref="Q1023" ca="1">_xlfn.CONCAT("E",RIGHT(C1023, LEN(C1023) - MAX(IF(ISNUMBER(MID(C1023, ROW(INDIRECT("1:"&amp;LEN(C1023))), 1) *1)=FALSE, ROW(INDIRECT("1:"&amp;LEN(C1023))), 0))))</f>
        <v>E347</v>
      </c>
      <c r="R1023" s="1314" t="s">
        <v>481</v>
      </c>
      <c r="S1023" s="1311"/>
      <c r="T1023" s="1314" t="str">
        <f>IF(Q$1016="Yes",24,"")</f>
        <v/>
      </c>
      <c r="U1023" s="1311"/>
      <c r="V1023" s="1311"/>
      <c r="W1023" s="1311"/>
      <c r="X1023" s="1311"/>
      <c r="Y1023" s="1311"/>
      <c r="Z1023" s="1311"/>
    </row>
    <row r="1024" spans="1:26" x14ac:dyDescent="0.25">
      <c r="A1024" s="850" t="s">
        <v>1492</v>
      </c>
      <c r="B1024" s="826" t="str">
        <f ca="1">_xlfn.CONCAT(IFERROR(SUBSTITUTE(ADDRESS(1,MATCH(A1024,INDIRECT("'"&amp;E1024&amp;"'"&amp;"!A" &amp; $O$1016 + 8 &amp; ":Z" &amp; $O$1016 + 8),0),4),1,""),""),$O$1016 + 8)</f>
        <v>H345</v>
      </c>
      <c r="C1024" s="826" t="str">
        <f ca="1">_xlfn.CONCAT(IFERROR(SUBSTITUTE(ADDRESS(1,MATCH(A1024,INDIRECT("'"&amp;E1024&amp;"'"&amp;"!A" &amp; $O$1016 + 8 &amp; ":Z" &amp; $O$1016 + 8),0),4),1,""),""),$O$1016 + 9)</f>
        <v>H346</v>
      </c>
      <c r="D1024" s="826" t="s">
        <v>1350</v>
      </c>
      <c r="E1024" s="826" t="s">
        <v>1516</v>
      </c>
      <c r="F1024" s="1314" t="s">
        <v>1492</v>
      </c>
      <c r="G1024" s="1314" t="str">
        <f>IF(T1024&lt;&gt;"","AL","")</f>
        <v/>
      </c>
      <c r="H1024" s="1314" t="s">
        <v>1990</v>
      </c>
      <c r="I1024" s="1274" t="str">
        <f t="shared" si="159"/>
        <v/>
      </c>
      <c r="J1024" s="1314" t="str">
        <f t="shared" si="171"/>
        <v/>
      </c>
      <c r="K1024" s="1314" t="str">
        <f t="shared" si="160"/>
        <v/>
      </c>
      <c r="L1024" s="826" t="s">
        <v>1492</v>
      </c>
      <c r="M1024" s="1329">
        <v>1007</v>
      </c>
      <c r="N1024" s="1314"/>
      <c r="O1024" s="1311"/>
      <c r="P1024" s="1311"/>
      <c r="Q1024" s="1311"/>
      <c r="R1024" s="1314" t="s">
        <v>481</v>
      </c>
      <c r="S1024" s="1311"/>
      <c r="T1024" s="1314" t="str">
        <f>IF(Q$1016="Yes",24,"")</f>
        <v/>
      </c>
      <c r="U1024" s="1311"/>
      <c r="V1024" s="1311"/>
      <c r="W1024" s="1311"/>
      <c r="X1024" s="1311"/>
      <c r="Y1024" s="1311"/>
      <c r="Z1024" s="1311"/>
    </row>
    <row r="1025" spans="1:26" x14ac:dyDescent="0.25">
      <c r="A1025" s="850" t="s">
        <v>1396</v>
      </c>
      <c r="B1025" s="826" t="str">
        <f ca="1">_xlfn.CONCAT(IFERROR(SUBSTITUTE(ADDRESS(1,MATCH(A1025,INDIRECT("'"&amp;E1025&amp;"'"&amp;"!A" &amp; $O$1016 + 5 &amp; ":Z" &amp; $O$1016 + 5),0),4),1,""),""),$O$1016 + 5)</f>
        <v>H342</v>
      </c>
      <c r="C1025" s="826" t="str">
        <f ca="1">_xlfn.CONCAT(IFERROR(SUBSTITUTE(ADDRESS(1,MATCH(A1025,INDIRECT("'"&amp;E1025&amp;"'"&amp;"!A" &amp; $O$1016 + 5 &amp; ":Z" &amp; $O$1016 + 5),0),4),1,""),""),$O$1016 + 6)</f>
        <v>H343</v>
      </c>
      <c r="D1025" s="826" t="s">
        <v>1350</v>
      </c>
      <c r="E1025" s="826" t="s">
        <v>1516</v>
      </c>
      <c r="F1025" s="1353" t="s">
        <v>1396</v>
      </c>
      <c r="G1025" s="1353" t="str">
        <f>IF(T1025&lt;&gt;"","S","")</f>
        <v/>
      </c>
      <c r="H1025" s="1353" t="s">
        <v>1990</v>
      </c>
      <c r="I1025" s="1274" t="str">
        <f t="shared" si="159"/>
        <v/>
      </c>
      <c r="J1025" s="1314" t="str">
        <f t="shared" si="171"/>
        <v/>
      </c>
      <c r="K1025" s="1314" t="str">
        <f t="shared" si="160"/>
        <v/>
      </c>
      <c r="L1025" s="826" t="s">
        <v>1396</v>
      </c>
      <c r="M1025" s="1329">
        <v>1008</v>
      </c>
      <c r="N1025" s="1314"/>
      <c r="O1025" s="1311"/>
      <c r="P1025" s="1311"/>
      <c r="Q1025" s="1311"/>
      <c r="R1025" s="1314" t="s">
        <v>481</v>
      </c>
      <c r="S1025" s="1311"/>
      <c r="T1025" s="1353" t="str">
        <f>IF(Q$1016="Yes",24,"")</f>
        <v/>
      </c>
      <c r="U1025" s="1311"/>
      <c r="V1025" s="1311"/>
      <c r="W1025" s="1311"/>
      <c r="X1025" s="1311"/>
      <c r="Y1025" s="1311"/>
      <c r="Z1025" s="1311"/>
    </row>
    <row r="1026" spans="1:26" x14ac:dyDescent="0.25">
      <c r="A1026" s="847" t="s">
        <v>1491</v>
      </c>
      <c r="B1026" s="826" t="str">
        <f ca="1">IFERROR(_xlfn.CONCAT("C",MATCH(A1026,INDIRECT("'"&amp;E1026&amp;"'!C"&amp;$O$1027&amp;":C"&amp;$O$1029),0)+$O$1027-1),"")</f>
        <v>C355</v>
      </c>
      <c r="C1026" s="826" t="str">
        <f ca="1">IFERROR(_xlfn.CONCAT("D",MATCH(A1026,INDIRECT("'"&amp;E1026&amp;"'!C"&amp;$O$1027&amp;":C"&amp;$O$1029),0)+$O$1027-1),"")</f>
        <v>D355</v>
      </c>
      <c r="D1026" s="826" t="s">
        <v>1350</v>
      </c>
      <c r="E1026" s="826" t="s">
        <v>1516</v>
      </c>
      <c r="F1026" s="1314" t="s">
        <v>1491</v>
      </c>
      <c r="G1026" s="1314" t="str">
        <f>IF(T1026&lt;&gt;"","A","")</f>
        <v/>
      </c>
      <c r="H1026" s="1314" t="s">
        <v>1990</v>
      </c>
      <c r="I1026" s="1274" t="str">
        <f t="shared" si="159"/>
        <v/>
      </c>
      <c r="J1026" s="1314"/>
      <c r="K1026" s="1314" t="str">
        <f t="shared" si="160"/>
        <v/>
      </c>
      <c r="L1026" s="826" t="s">
        <v>1491</v>
      </c>
      <c r="M1026" s="1329">
        <v>1009</v>
      </c>
      <c r="N1026" s="1314"/>
      <c r="O1026" s="1311" t="s">
        <v>725</v>
      </c>
      <c r="P1026" s="18"/>
      <c r="Q1026" s="1311"/>
      <c r="R1026" s="1314" t="s">
        <v>481</v>
      </c>
      <c r="S1026" s="1311"/>
      <c r="T1026" s="1314" t="str">
        <f>IF(Q$1027="Yes",25,"")</f>
        <v/>
      </c>
      <c r="U1026" s="1311"/>
      <c r="V1026" s="1311"/>
      <c r="W1026" s="1311"/>
      <c r="X1026" s="1311"/>
      <c r="Y1026" s="1311"/>
      <c r="Z1026" s="1311"/>
    </row>
    <row r="1027" spans="1:26" x14ac:dyDescent="0.25">
      <c r="A1027" s="847" t="s">
        <v>1705</v>
      </c>
      <c r="B1027" s="826" t="str">
        <f ca="1">_xlfn.CONCAT(IFERROR(SUBSTITUTE(ADDRESS(1,MATCH(A1027,INDIRECT("'"&amp;E1027&amp;"'"&amp;"!A" &amp; $O$1027 + 11 &amp; ":Z" &amp; $O$1027 + 11),0),4),1,""),""),$O$1027+ 11)</f>
        <v>T362</v>
      </c>
      <c r="C1027" s="826" t="str">
        <f ca="1">_xlfn.CONCAT(IFERROR(SUBSTITUTE(ADDRESS(1,MATCH(A1027,INDIRECT("'"&amp;E1027&amp;"'"&amp;"!A" &amp; $O$1027 + 11 &amp; ":Z" &amp; $O$1027 + 11),0),4),1,""),""),$O$1027+ 12)</f>
        <v>T363</v>
      </c>
      <c r="D1027" s="826" t="s">
        <v>1350</v>
      </c>
      <c r="E1027" s="826" t="s">
        <v>1516</v>
      </c>
      <c r="F1027" s="1314"/>
      <c r="G1027" s="1314"/>
      <c r="H1027" s="1314"/>
      <c r="I1027" s="1274" t="str">
        <f t="shared" si="159"/>
        <v/>
      </c>
      <c r="J1027" s="1314" t="str">
        <f>IF(M1027&lt;&gt;"",IF($Q$1027="Yes",Q$1&amp;M1027,""))</f>
        <v/>
      </c>
      <c r="K1027" s="1314" t="str">
        <f t="shared" si="160"/>
        <v/>
      </c>
      <c r="L1027" s="826" t="s">
        <v>1705</v>
      </c>
      <c r="M1027" s="1329">
        <v>1010</v>
      </c>
      <c r="N1027" s="1314"/>
      <c r="O1027" s="1311">
        <f>'Configurable Tab'!H27</f>
        <v>351</v>
      </c>
      <c r="P1027" s="18" t="str">
        <f>'Configurable Tab'!J27</f>
        <v>No</v>
      </c>
      <c r="Q1027" s="1351" t="s">
        <v>648</v>
      </c>
      <c r="R1027" s="1314" t="s">
        <v>481</v>
      </c>
      <c r="S1027" s="1311"/>
      <c r="T1027" s="1314" t="str">
        <f t="shared" ref="T1027:T1033" si="173">IF(Q$1027="Yes",25,"")</f>
        <v/>
      </c>
      <c r="U1027" s="1311"/>
      <c r="V1027" s="1311"/>
      <c r="W1027" s="1311"/>
      <c r="X1027" s="1311"/>
      <c r="Y1027" s="1311"/>
      <c r="Z1027" s="1311"/>
    </row>
    <row r="1028" spans="1:26" x14ac:dyDescent="0.25">
      <c r="A1028" s="847" t="s">
        <v>1383</v>
      </c>
      <c r="B1028" s="826" t="str">
        <f ca="1">IFERROR(_xlfn.CONCAT("C",MATCH(A1028,INDIRECT("'"&amp;E1028&amp;"'!C"&amp;$O$1027&amp;":C"&amp;$O$1029),0)+$O$1027-1),"")</f>
        <v>C353</v>
      </c>
      <c r="C1028" s="826" t="str">
        <f ca="1">IFERROR(_xlfn.CONCAT("D",MATCH(A1028,INDIRECT("'"&amp;E1028&amp;"'!C"&amp;$O$1027&amp;":C"&amp;$O$1029),0)+$O$1027-1),"")</f>
        <v>D353</v>
      </c>
      <c r="D1028" s="826" t="s">
        <v>1350</v>
      </c>
      <c r="E1028" s="826" t="s">
        <v>1516</v>
      </c>
      <c r="F1028" s="1314" t="s">
        <v>1383</v>
      </c>
      <c r="G1028" s="1314" t="str">
        <f>IF(T1028&lt;&gt;"","B","")</f>
        <v/>
      </c>
      <c r="H1028" s="1314" t="s">
        <v>1990</v>
      </c>
      <c r="I1028" s="1274" t="str">
        <f t="shared" ref="I1028:I1091" si="174">IF(J1028&lt;&gt;"",A1028,"")</f>
        <v/>
      </c>
      <c r="J1028" s="1314"/>
      <c r="K1028" s="1314" t="str">
        <f t="shared" ref="K1028:K1091" si="175">IF(J1028&lt;&gt;"",E1028,"")</f>
        <v/>
      </c>
      <c r="L1028" s="826" t="s">
        <v>1383</v>
      </c>
      <c r="M1028" s="1329">
        <v>1011</v>
      </c>
      <c r="N1028" s="1314"/>
      <c r="O1028" s="1311" t="s">
        <v>726</v>
      </c>
      <c r="P1028" s="1311"/>
      <c r="Q1028" s="1311"/>
      <c r="R1028" s="1314" t="s">
        <v>481</v>
      </c>
      <c r="S1028" s="1311"/>
      <c r="T1028" s="1314" t="str">
        <f t="shared" si="173"/>
        <v/>
      </c>
      <c r="U1028" s="1311"/>
      <c r="V1028" s="1311"/>
      <c r="W1028" s="1311"/>
      <c r="X1028" s="1311"/>
      <c r="Y1028" s="1311"/>
      <c r="Z1028" s="1311"/>
    </row>
    <row r="1029" spans="1:26" x14ac:dyDescent="0.25">
      <c r="A1029" s="847" t="s">
        <v>1381</v>
      </c>
      <c r="B1029" s="826" t="str">
        <f ca="1">_xlfn.CONCAT(IFERROR(SUBSTITUTE(ADDRESS(1,MATCH(A1029,INDIRECT("'"&amp;E1029&amp;"'"&amp;"!A" &amp; $O$1027 + 2 &amp; ":Z" &amp; $O$1027 + 2),0),4),1,""),""),$O$1027+ 2)</f>
        <v>J353</v>
      </c>
      <c r="C1029" s="826" t="str">
        <f ca="1">_xlfn.CONCAT(IFERROR(SUBSTITUTE(ADDRESS(1,MATCH(A1029,INDIRECT("'"&amp;E1029&amp;"'"&amp;"!A" &amp; $O$1027 + 2 &amp; ":Z" &amp; $O$1027 + 2),0),4),1,""),""),$O$1027+ 3)</f>
        <v>J354</v>
      </c>
      <c r="D1029" s="826" t="s">
        <v>1350</v>
      </c>
      <c r="E1029" s="826" t="s">
        <v>1516</v>
      </c>
      <c r="F1029" s="1314" t="s">
        <v>1992</v>
      </c>
      <c r="G1029" s="1314" t="str">
        <f>IF(T1029&lt;&gt;"","I","")</f>
        <v/>
      </c>
      <c r="H1029" s="1314" t="s">
        <v>1990</v>
      </c>
      <c r="I1029" s="1274" t="str">
        <f t="shared" si="174"/>
        <v/>
      </c>
      <c r="J1029" s="1314" t="str">
        <f>IF(M1029&lt;&gt;"",IF($Q$1027="Yes",Q$1&amp;M1029,""))</f>
        <v/>
      </c>
      <c r="K1029" s="1314" t="str">
        <f t="shared" si="175"/>
        <v/>
      </c>
      <c r="L1029" s="826" t="s">
        <v>1381</v>
      </c>
      <c r="M1029" s="1329">
        <v>1012</v>
      </c>
      <c r="N1029" s="1314"/>
      <c r="O1029" s="1311">
        <f>'Configurable Tab'!I27</f>
        <v>364</v>
      </c>
      <c r="P1029" s="1311"/>
      <c r="Q1029" s="1311" t="s">
        <v>482</v>
      </c>
      <c r="R1029" s="1314" t="s">
        <v>481</v>
      </c>
      <c r="S1029" s="1311"/>
      <c r="T1029" s="1314" t="str">
        <f t="shared" si="173"/>
        <v/>
      </c>
      <c r="U1029" s="1311"/>
      <c r="V1029" s="1311"/>
      <c r="W1029" s="1311"/>
      <c r="X1029" s="1311"/>
      <c r="Y1029" s="1311"/>
      <c r="Z1029" s="1311"/>
    </row>
    <row r="1030" spans="1:26" x14ac:dyDescent="0.25">
      <c r="A1030" s="847" t="s">
        <v>1397</v>
      </c>
      <c r="B1030" s="826" t="str">
        <f ca="1">_xlfn.CONCAT(IFERROR(SUBSTITUTE(ADDRESS(1,MATCH(A1030,INDIRECT("'"&amp;E1030&amp;"'"&amp;"!A" &amp; $O$1027 + 2 &amp; ":Z" &amp; $O$1027 + 2),0),4),1,""),""),$O$1027+ 2)</f>
        <v>L353</v>
      </c>
      <c r="C1030" s="826" t="str">
        <f ca="1">_xlfn.CONCAT(IFERROR(SUBSTITUTE(ADDRESS(1,MATCH(A1030,INDIRECT("'"&amp;E1030&amp;"'"&amp;"!A" &amp; $O$1027 + 2 &amp; ":Z" &amp; $O$1027 + 2),0),4),1,""),""),$O$1027+ 3)</f>
        <v>L354</v>
      </c>
      <c r="D1030" s="826" t="s">
        <v>1350</v>
      </c>
      <c r="E1030" s="826" t="s">
        <v>1516</v>
      </c>
      <c r="F1030" s="1314" t="s">
        <v>1993</v>
      </c>
      <c r="G1030" s="1314" t="str">
        <f>IF(T1030&lt;&gt;"","H","")</f>
        <v/>
      </c>
      <c r="H1030" s="1314" t="s">
        <v>1990</v>
      </c>
      <c r="I1030" s="1274" t="str">
        <f t="shared" si="174"/>
        <v/>
      </c>
      <c r="J1030" s="1314" t="str">
        <f>IF(M1030&lt;&gt;"",IF($Q$1027="Yes",Q$1&amp;M1030,""))</f>
        <v/>
      </c>
      <c r="K1030" s="1314" t="str">
        <f t="shared" si="175"/>
        <v/>
      </c>
      <c r="L1030" s="826" t="s">
        <v>1397</v>
      </c>
      <c r="M1030" s="1329">
        <v>1013</v>
      </c>
      <c r="N1030" s="1314"/>
      <c r="O1030" s="1311" t="s">
        <v>1652</v>
      </c>
      <c r="P1030" s="1311"/>
      <c r="Q1030" s="1311"/>
      <c r="R1030" s="1314" t="s">
        <v>481</v>
      </c>
      <c r="S1030" s="1311"/>
      <c r="T1030" s="1314" t="str">
        <f t="shared" si="173"/>
        <v/>
      </c>
      <c r="U1030" s="1311"/>
      <c r="V1030" s="1311"/>
      <c r="W1030" s="1311"/>
      <c r="X1030" s="1311"/>
      <c r="Y1030" s="1311"/>
      <c r="Z1030" s="1311"/>
    </row>
    <row r="1031" spans="1:26" x14ac:dyDescent="0.25">
      <c r="A1031" s="847" t="s">
        <v>1382</v>
      </c>
      <c r="B1031" s="826" t="str">
        <f ca="1">_xlfn.CONCAT(IFERROR(SUBSTITUTE(ADDRESS(1,MATCH(A1031,INDIRECT("'"&amp;E1031&amp;"'"&amp;"!A" &amp; $O$1027 + 2 &amp; ":Z" &amp; $O$1027 + 2),0),4),1,""),""),$O$1027+ 2)</f>
        <v>N353</v>
      </c>
      <c r="C1031" s="826" t="str">
        <f ca="1">_xlfn.CONCAT(IFERROR(SUBSTITUTE(ADDRESS(1,MATCH(A1031,INDIRECT("'"&amp;E1031&amp;"'"&amp;"!A" &amp; $O$1027 + 2 &amp; ":Z" &amp; $O$1027 + 2),0),4),1,""),""),$O$1027+ 3)</f>
        <v>N354</v>
      </c>
      <c r="D1031" s="826" t="s">
        <v>1350</v>
      </c>
      <c r="E1031" s="826" t="s">
        <v>1516</v>
      </c>
      <c r="F1031" s="1314" t="s">
        <v>1382</v>
      </c>
      <c r="G1031" s="1314" t="str">
        <f>IF(T1031&lt;&gt;"",IF(Q1029="Credit Memo","J",IF(Q1029="Check","K","")),"")</f>
        <v/>
      </c>
      <c r="H1031" s="1314" t="s">
        <v>1990</v>
      </c>
      <c r="I1031" s="1274" t="str">
        <f t="shared" si="174"/>
        <v/>
      </c>
      <c r="J1031" s="1314" t="str">
        <f>IF(M1031&lt;&gt;"",IF($Q$1027="Yes",Q$1&amp;M1031,""))</f>
        <v/>
      </c>
      <c r="K1031" s="1314" t="str">
        <f t="shared" si="175"/>
        <v/>
      </c>
      <c r="L1031" s="826" t="s">
        <v>1382</v>
      </c>
      <c r="M1031" s="1329">
        <v>1014</v>
      </c>
      <c r="N1031" s="1314"/>
      <c r="O1031" s="1311"/>
      <c r="P1031" s="1311"/>
      <c r="Q1031" s="1311"/>
      <c r="R1031" s="1314" t="s">
        <v>481</v>
      </c>
      <c r="S1031" s="1311"/>
      <c r="T1031" s="1314" t="str">
        <f t="shared" si="173"/>
        <v/>
      </c>
      <c r="U1031" s="1311"/>
      <c r="V1031" s="1311"/>
      <c r="W1031" s="1311"/>
      <c r="X1031" s="1311"/>
      <c r="Y1031" s="1311"/>
      <c r="Z1031" s="1311"/>
    </row>
    <row r="1032" spans="1:26" x14ac:dyDescent="0.25">
      <c r="A1032" s="847" t="s">
        <v>1385</v>
      </c>
      <c r="B1032" s="826" t="str">
        <f ca="1">IFERROR(_xlfn.CONCAT("C",MATCH(A1032,INDIRECT("'"&amp;E1032&amp;"'!C"&amp;$O$1027&amp;":C"&amp;$O$1029),0)+$O$1027-1),"")</f>
        <v>C357</v>
      </c>
      <c r="C1032" s="826" t="str">
        <f ca="1">IFERROR(_xlfn.CONCAT("D",MATCH(A1032,INDIRECT("'"&amp;E1032&amp;"'!C"&amp;$O$1027&amp;":C"&amp;$O$1029),0)+$O$1027-1),"")</f>
        <v>D357</v>
      </c>
      <c r="D1032" s="826" t="s">
        <v>1350</v>
      </c>
      <c r="E1032" s="826" t="s">
        <v>1516</v>
      </c>
      <c r="F1032" s="1314" t="s">
        <v>1385</v>
      </c>
      <c r="G1032" s="1314" t="str">
        <f>IF(T1032&lt;&gt;"","C","")</f>
        <v/>
      </c>
      <c r="H1032" s="1314" t="s">
        <v>1990</v>
      </c>
      <c r="I1032" s="1274" t="str">
        <f t="shared" si="174"/>
        <v/>
      </c>
      <c r="J1032" s="1314"/>
      <c r="K1032" s="1314" t="str">
        <f t="shared" si="175"/>
        <v/>
      </c>
      <c r="L1032" s="826" t="s">
        <v>1385</v>
      </c>
      <c r="M1032" s="1329">
        <v>1015</v>
      </c>
      <c r="N1032" s="1314"/>
      <c r="O1032" s="1311"/>
      <c r="P1032" s="1311"/>
      <c r="Q1032" s="1311"/>
      <c r="R1032" s="1314" t="s">
        <v>481</v>
      </c>
      <c r="S1032" s="1311"/>
      <c r="T1032" s="1314" t="str">
        <f t="shared" si="173"/>
        <v/>
      </c>
      <c r="U1032" s="1311"/>
      <c r="V1032" s="1311"/>
      <c r="W1032" s="1311"/>
      <c r="X1032" s="1311"/>
      <c r="Y1032" s="1311"/>
      <c r="Z1032" s="1311"/>
    </row>
    <row r="1033" spans="1:26" x14ac:dyDescent="0.25">
      <c r="A1033" s="847" t="s">
        <v>1386</v>
      </c>
      <c r="B1033" s="826" t="str">
        <f ca="1">IFERROR(_xlfn.CONCAT("C",MATCH(A1033,INDIRECT("'"&amp;E1033&amp;"'!C"&amp;$O$1027&amp;":C"&amp;$O$1029),0)+$O$1027-1),"")</f>
        <v>C359</v>
      </c>
      <c r="C1033" s="826" t="str">
        <f ca="1">IFERROR(_xlfn.CONCAT("D",MATCH(A1033,INDIRECT("'"&amp;E1033&amp;"'!C"&amp;$O$1027&amp;":C"&amp;$O$1029),0)+$O$1027-1),"")</f>
        <v>D359</v>
      </c>
      <c r="D1033" s="826" t="s">
        <v>1350</v>
      </c>
      <c r="E1033" s="826" t="s">
        <v>1516</v>
      </c>
      <c r="F1033" s="1314" t="s">
        <v>1386</v>
      </c>
      <c r="G1033" s="1314" t="str">
        <f>IF(T1033&lt;&gt;"","D","")</f>
        <v/>
      </c>
      <c r="H1033" s="1314" t="s">
        <v>1990</v>
      </c>
      <c r="I1033" s="1274" t="str">
        <f t="shared" si="174"/>
        <v/>
      </c>
      <c r="J1033" s="1314"/>
      <c r="K1033" s="1314" t="str">
        <f t="shared" si="175"/>
        <v/>
      </c>
      <c r="L1033" s="826" t="s">
        <v>1386</v>
      </c>
      <c r="M1033" s="1329">
        <v>1016</v>
      </c>
      <c r="N1033" s="1314"/>
      <c r="O1033" s="1311"/>
      <c r="P1033" s="1311"/>
      <c r="Q1033" s="1311"/>
      <c r="R1033" s="1314" t="s">
        <v>481</v>
      </c>
      <c r="S1033" s="1311"/>
      <c r="T1033" s="1314" t="str">
        <f t="shared" si="173"/>
        <v/>
      </c>
      <c r="U1033" s="1311"/>
      <c r="V1033" s="1311"/>
      <c r="W1033" s="1311"/>
      <c r="X1033" s="1311"/>
      <c r="Y1033" s="1311"/>
      <c r="Z1033" s="1311"/>
    </row>
    <row r="1034" spans="1:26" x14ac:dyDescent="0.25">
      <c r="A1034" s="847" t="s">
        <v>1495</v>
      </c>
      <c r="B1034" s="826" t="str">
        <f ca="1">IFERROR(_xlfn.CONCAT("C",MATCH(A1034,INDIRECT("'"&amp;E1034&amp;"'!C"&amp;$O$1027&amp;":C"&amp;$O$1029),0)+$O$1027-1),"")</f>
        <v>C361</v>
      </c>
      <c r="C1034" s="826" t="str">
        <f ca="1">IFERROR(_xlfn.CONCAT("D",MATCH(A1034,INDIRECT("'"&amp;E1034&amp;"'!C"&amp;$O$1027&amp;":C"&amp;$O$1029),0)+$O$1027-1),"")</f>
        <v>D361</v>
      </c>
      <c r="D1034" s="826" t="s">
        <v>1350</v>
      </c>
      <c r="E1034" s="826" t="s">
        <v>1516</v>
      </c>
      <c r="F1034" s="1314" t="s">
        <v>1495</v>
      </c>
      <c r="G1034" s="1314" t="str">
        <f>IF(T1034&lt;&gt;"","AN","")</f>
        <v/>
      </c>
      <c r="H1034" s="1314" t="s">
        <v>1990</v>
      </c>
      <c r="I1034" s="1274" t="str">
        <f t="shared" si="174"/>
        <v/>
      </c>
      <c r="J1034" s="1314" t="str">
        <f>IF(M1034&lt;&gt;"",IF($Q$1027="Yes",Q$1&amp;M1034,""))</f>
        <v/>
      </c>
      <c r="K1034" s="1314" t="str">
        <f t="shared" si="175"/>
        <v/>
      </c>
      <c r="L1034" s="826" t="s">
        <v>1495</v>
      </c>
      <c r="M1034" s="1329">
        <v>1017</v>
      </c>
      <c r="N1034" s="1314"/>
      <c r="O1034" s="18"/>
      <c r="P1034" s="1317" t="str" cm="1">
        <f t="array" aca="1" ref="P1034" ca="1">_xlfn.CONCAT("F",RIGHT(B1034, LEN(B1034) - MAX(IF(ISNUMBER(MID(B1034, ROW(INDIRECT("1:"&amp;LEN(B1034))), 1) *1)=FALSE, ROW(INDIRECT("1:"&amp;LEN(B1034))), 0))))</f>
        <v>F361</v>
      </c>
      <c r="Q1034" s="1314" t="str" cm="1">
        <f t="array" aca="1" ref="Q1034" ca="1">_xlfn.CONCAT("E",RIGHT(C1034, LEN(C1034) - MAX(IF(ISNUMBER(MID(C1034, ROW(INDIRECT("1:"&amp;LEN(C1034))), 1) *1)=FALSE, ROW(INDIRECT("1:"&amp;LEN(C1034))), 0))))</f>
        <v>E361</v>
      </c>
      <c r="R1034" s="1314" t="s">
        <v>481</v>
      </c>
      <c r="S1034" s="1311"/>
      <c r="T1034" s="1314" t="str">
        <f>IF(Q$1027="Yes",25,"")</f>
        <v/>
      </c>
      <c r="U1034" s="1311"/>
      <c r="V1034" s="1311"/>
      <c r="W1034" s="1311"/>
      <c r="X1034" s="1311"/>
      <c r="Y1034" s="1311"/>
      <c r="Z1034" s="1311"/>
    </row>
    <row r="1035" spans="1:26" x14ac:dyDescent="0.25">
      <c r="A1035" s="847" t="s">
        <v>1492</v>
      </c>
      <c r="B1035" s="826" t="str">
        <f ca="1">_xlfn.CONCAT(IFERROR(SUBSTITUTE(ADDRESS(1,MATCH(A1035,INDIRECT("'"&amp;E1035&amp;"'"&amp;"!A" &amp; $O$1027 + 8 &amp; ":Z" &amp; $O$1027 + 8),0),4),1,""),""),$O$1027+ 8)</f>
        <v>H359</v>
      </c>
      <c r="C1035" s="826" t="str">
        <f ca="1">_xlfn.CONCAT(IFERROR(SUBSTITUTE(ADDRESS(1,MATCH(A1035,INDIRECT("'"&amp;E1035&amp;"'"&amp;"!A" &amp; $O$1027 + 8 &amp; ":Z" &amp; $O$1027 + 8),0),4),1,""),""),$O$1027+ 9)</f>
        <v>H360</v>
      </c>
      <c r="D1035" s="826" t="s">
        <v>1350</v>
      </c>
      <c r="E1035" s="826" t="s">
        <v>1516</v>
      </c>
      <c r="F1035" s="1314" t="s">
        <v>1492</v>
      </c>
      <c r="G1035" s="1314" t="str">
        <f>IF(T1035&lt;&gt;"","AL","")</f>
        <v/>
      </c>
      <c r="H1035" s="1314" t="s">
        <v>1990</v>
      </c>
      <c r="I1035" s="1274" t="str">
        <f t="shared" si="174"/>
        <v/>
      </c>
      <c r="J1035" s="1314" t="str">
        <f>IF(M1035&lt;&gt;"",IF($Q$1027="Yes",Q$1&amp;M1035,""))</f>
        <v/>
      </c>
      <c r="K1035" s="1314" t="str">
        <f t="shared" si="175"/>
        <v/>
      </c>
      <c r="L1035" s="826" t="s">
        <v>1492</v>
      </c>
      <c r="M1035" s="1329">
        <v>1018</v>
      </c>
      <c r="N1035" s="1314"/>
      <c r="O1035" s="1311"/>
      <c r="P1035" s="1311"/>
      <c r="Q1035" s="1311"/>
      <c r="R1035" s="1314" t="s">
        <v>481</v>
      </c>
      <c r="S1035" s="1311"/>
      <c r="T1035" s="1314" t="str">
        <f>IF(Q$1027="Yes",25,"")</f>
        <v/>
      </c>
      <c r="U1035" s="1311"/>
      <c r="V1035" s="1311"/>
      <c r="W1035" s="1311"/>
      <c r="X1035" s="1311"/>
      <c r="Y1035" s="1311"/>
      <c r="Z1035" s="1311"/>
    </row>
    <row r="1036" spans="1:26" x14ac:dyDescent="0.25">
      <c r="A1036" s="847" t="s">
        <v>1396</v>
      </c>
      <c r="B1036" s="826" t="str">
        <f ca="1">_xlfn.CONCAT(IFERROR(SUBSTITUTE(ADDRESS(1,MATCH(A1036,INDIRECT("'"&amp;E1036&amp;"'"&amp;"!A" &amp; $O$1027 + 5 &amp; ":Z" &amp; $O$1027 + 5),0),4),1,""),""),$O$1027+ 5)</f>
        <v>H356</v>
      </c>
      <c r="C1036" s="826" t="str">
        <f ca="1">_xlfn.CONCAT(IFERROR(SUBSTITUTE(ADDRESS(1,MATCH(A1036,INDIRECT("'"&amp;E1036&amp;"'"&amp;"!A" &amp; $O$1027 + 5 &amp; ":Z" &amp; $O$1027 + 5),0),4),1,""),""),$O$1027+ 6)</f>
        <v>H357</v>
      </c>
      <c r="D1036" s="826" t="s">
        <v>1350</v>
      </c>
      <c r="E1036" s="826" t="s">
        <v>1516</v>
      </c>
      <c r="F1036" s="1353" t="s">
        <v>1396</v>
      </c>
      <c r="G1036" s="1353" t="str">
        <f>IF(T1036&lt;&gt;"","S","")</f>
        <v/>
      </c>
      <c r="H1036" s="1353" t="s">
        <v>1990</v>
      </c>
      <c r="I1036" s="1274" t="str">
        <f t="shared" si="174"/>
        <v/>
      </c>
      <c r="J1036" s="1314" t="str">
        <f>IF(M1036&lt;&gt;"",IF($Q$1027="Yes",Q$1&amp;M1036,""))</f>
        <v/>
      </c>
      <c r="K1036" s="1314" t="str">
        <f t="shared" si="175"/>
        <v/>
      </c>
      <c r="L1036" s="826" t="s">
        <v>1396</v>
      </c>
      <c r="M1036" s="1329">
        <v>1019</v>
      </c>
      <c r="N1036" s="1314"/>
      <c r="O1036" s="1311"/>
      <c r="P1036" s="1311"/>
      <c r="Q1036" s="1311"/>
      <c r="R1036" s="1314" t="s">
        <v>481</v>
      </c>
      <c r="S1036" s="1311"/>
      <c r="T1036" s="1353" t="str">
        <f>IF(Q$1027="Yes",25,"")</f>
        <v/>
      </c>
      <c r="U1036" s="1311"/>
      <c r="V1036" s="1311"/>
      <c r="W1036" s="1311"/>
      <c r="X1036" s="1311"/>
      <c r="Y1036" s="1311"/>
      <c r="Z1036" s="1311"/>
    </row>
    <row r="1037" spans="1:26" x14ac:dyDescent="0.25">
      <c r="A1037" s="850" t="s">
        <v>1491</v>
      </c>
      <c r="B1037" s="826" t="str">
        <f ca="1">IFERROR(_xlfn.CONCAT("C",MATCH(A1037,INDIRECT("'"&amp;E1037&amp;"'!C"&amp;$O$1038&amp;":C"&amp;$O$1040),0)+$O$1038-1),"")</f>
        <v>C369</v>
      </c>
      <c r="C1037" s="826" t="str">
        <f ca="1">IFERROR(_xlfn.CONCAT("D",MATCH(A1037,INDIRECT("'"&amp;E1037&amp;"'!C"&amp;$O$1038&amp;":C"&amp;$O$1040),0)+$O$1038-1),"")</f>
        <v>D369</v>
      </c>
      <c r="D1037" s="826" t="s">
        <v>1350</v>
      </c>
      <c r="E1037" s="826" t="s">
        <v>1516</v>
      </c>
      <c r="F1037" s="1314" t="s">
        <v>1491</v>
      </c>
      <c r="G1037" s="1314" t="str">
        <f>IF(T1037&lt;&gt;"","A","")</f>
        <v/>
      </c>
      <c r="H1037" s="1314" t="s">
        <v>1990</v>
      </c>
      <c r="I1037" s="1274" t="str">
        <f t="shared" si="174"/>
        <v/>
      </c>
      <c r="J1037" s="1314"/>
      <c r="K1037" s="1314" t="str">
        <f t="shared" si="175"/>
        <v/>
      </c>
      <c r="L1037" s="826" t="s">
        <v>1491</v>
      </c>
      <c r="M1037" s="1329">
        <v>1020</v>
      </c>
      <c r="N1037" s="1314"/>
      <c r="O1037" s="1311" t="s">
        <v>725</v>
      </c>
      <c r="P1037" s="18"/>
      <c r="Q1037" s="1311"/>
      <c r="R1037" s="1314" t="s">
        <v>1136</v>
      </c>
      <c r="S1037" s="1311"/>
      <c r="T1037" s="1314" t="str">
        <f>IF(Q$1038="Yes",26,"")</f>
        <v/>
      </c>
      <c r="U1037" s="1311"/>
      <c r="V1037" s="1311"/>
      <c r="W1037" s="1311"/>
      <c r="X1037" s="1311"/>
      <c r="Y1037" s="1311"/>
      <c r="Z1037" s="1311"/>
    </row>
    <row r="1038" spans="1:26" x14ac:dyDescent="0.25">
      <c r="A1038" s="850" t="s">
        <v>1705</v>
      </c>
      <c r="B1038" s="826" t="str">
        <f ca="1">_xlfn.CONCAT(IFERROR(SUBSTITUTE(ADDRESS(1,MATCH(A1038,INDIRECT("'"&amp;E1038&amp;"'"&amp;"!A" &amp; $O$1038 + 11 &amp; ":Z" &amp; $O$1038 + 11),0),4),1,""),""),$O$1038+ 11)</f>
        <v>T376</v>
      </c>
      <c r="C1038" s="826" t="str">
        <f ca="1">_xlfn.CONCAT(IFERROR(SUBSTITUTE(ADDRESS(1,MATCH(A1038,INDIRECT("'"&amp;E1038&amp;"'"&amp;"!A" &amp; $O$1038 + 11 &amp; ":Z" &amp; $O$1038 + 11),0),4),1,""),""),$O$1038+ 12)</f>
        <v>T377</v>
      </c>
      <c r="D1038" s="826" t="s">
        <v>1350</v>
      </c>
      <c r="E1038" s="826" t="s">
        <v>1516</v>
      </c>
      <c r="F1038" s="1314"/>
      <c r="G1038" s="1314"/>
      <c r="H1038" s="1314"/>
      <c r="I1038" s="1274" t="str">
        <f t="shared" si="174"/>
        <v/>
      </c>
      <c r="J1038" s="1314" t="str">
        <f t="shared" ref="J1038:J1049" si="176">IF(M1038&lt;&gt;"",IF($Q$1038="Yes",Q$1&amp;M1038,""))</f>
        <v/>
      </c>
      <c r="K1038" s="1314" t="str">
        <f t="shared" si="175"/>
        <v/>
      </c>
      <c r="L1038" s="826" t="s">
        <v>1705</v>
      </c>
      <c r="M1038" s="1329">
        <v>1021</v>
      </c>
      <c r="N1038" s="1314"/>
      <c r="O1038" s="1311">
        <f>'Configurable Tab'!H28</f>
        <v>365</v>
      </c>
      <c r="P1038" s="18" t="str">
        <f>'Configurable Tab'!J28</f>
        <v>No</v>
      </c>
      <c r="Q1038" s="1351" t="s">
        <v>648</v>
      </c>
      <c r="R1038" s="1314" t="s">
        <v>1136</v>
      </c>
      <c r="S1038" s="1311"/>
      <c r="T1038" s="1314" t="str">
        <f t="shared" ref="T1038:T1045" si="177">IF(Q$1038="Yes",26,"")</f>
        <v/>
      </c>
      <c r="U1038" s="1311"/>
      <c r="V1038" s="1311"/>
      <c r="W1038" s="1311"/>
      <c r="X1038" s="1311"/>
      <c r="Y1038" s="1311"/>
      <c r="Z1038" s="1311"/>
    </row>
    <row r="1039" spans="1:26" x14ac:dyDescent="0.25">
      <c r="A1039" s="850" t="s">
        <v>1383</v>
      </c>
      <c r="B1039" s="826" t="str">
        <f ca="1">IFERROR(_xlfn.CONCAT("C",MATCH(A1039,INDIRECT("'"&amp;E1039&amp;"'!C"&amp;$O$1038&amp;":C"&amp;$O$1040),0)+$O$1038-1),"")</f>
        <v>C367</v>
      </c>
      <c r="C1039" s="826" t="str">
        <f ca="1">IFERROR(_xlfn.CONCAT("D",MATCH(A1039,INDIRECT("'"&amp;E1039&amp;"'!C"&amp;$O$1038&amp;":C"&amp;$O$1040),0)+$O$1038-1),"")</f>
        <v>D367</v>
      </c>
      <c r="D1039" s="826" t="s">
        <v>1350</v>
      </c>
      <c r="E1039" s="826" t="s">
        <v>1516</v>
      </c>
      <c r="F1039" s="1314" t="s">
        <v>1383</v>
      </c>
      <c r="G1039" s="1314" t="str">
        <f>IF(T1039&lt;&gt;"","B","")</f>
        <v/>
      </c>
      <c r="H1039" s="1314" t="s">
        <v>1990</v>
      </c>
      <c r="I1039" s="1274" t="str">
        <f t="shared" si="174"/>
        <v/>
      </c>
      <c r="J1039" s="1314"/>
      <c r="K1039" s="1314" t="str">
        <f t="shared" si="175"/>
        <v/>
      </c>
      <c r="L1039" s="826" t="s">
        <v>1383</v>
      </c>
      <c r="M1039" s="1329">
        <v>1022</v>
      </c>
      <c r="N1039" s="1314"/>
      <c r="O1039" s="1311" t="s">
        <v>726</v>
      </c>
      <c r="P1039" s="1311"/>
      <c r="Q1039" s="1311"/>
      <c r="R1039" s="1314" t="s">
        <v>1136</v>
      </c>
      <c r="S1039" s="1311"/>
      <c r="T1039" s="1314" t="str">
        <f t="shared" si="177"/>
        <v/>
      </c>
      <c r="U1039" s="1311"/>
      <c r="V1039" s="1311"/>
      <c r="W1039" s="1311"/>
      <c r="X1039" s="1311"/>
      <c r="Y1039" s="1311"/>
      <c r="Z1039" s="1311"/>
    </row>
    <row r="1040" spans="1:26" x14ac:dyDescent="0.25">
      <c r="A1040" s="850" t="s">
        <v>1381</v>
      </c>
      <c r="B1040" s="826" t="str">
        <f t="shared" ref="B1040:B1045" ca="1" si="178">_xlfn.CONCAT(IFERROR(SUBSTITUTE(ADDRESS(1,MATCH(A1040,INDIRECT("'"&amp;E1040&amp;"'"&amp;"!A" &amp; $O$1038 + 2 &amp; ":Z" &amp; $O$1038 + 2),0),4),1,""),""),$O$1038+ 2)</f>
        <v>J367</v>
      </c>
      <c r="C1040" s="826" t="str">
        <f t="shared" ref="C1040:C1045" ca="1" si="179">_xlfn.CONCAT(IFERROR(SUBSTITUTE(ADDRESS(1,MATCH(A1040,INDIRECT("'"&amp;E1040&amp;"'"&amp;"!A" &amp; $O$1038 + 2 &amp; ":Z" &amp; $O$1038 + 2),0),4),1,""),""),$O$1038+ 3)</f>
        <v>J368</v>
      </c>
      <c r="D1040" s="826" t="s">
        <v>1350</v>
      </c>
      <c r="E1040" s="826" t="s">
        <v>1516</v>
      </c>
      <c r="F1040" s="1314" t="s">
        <v>1992</v>
      </c>
      <c r="G1040" s="1314" t="str">
        <f>IF(T1040&lt;&gt;"","I","")</f>
        <v/>
      </c>
      <c r="H1040" s="1314" t="s">
        <v>1990</v>
      </c>
      <c r="I1040" s="1274" t="str">
        <f t="shared" si="174"/>
        <v/>
      </c>
      <c r="J1040" s="1314" t="str">
        <f t="shared" si="176"/>
        <v/>
      </c>
      <c r="K1040" s="1314" t="str">
        <f t="shared" si="175"/>
        <v/>
      </c>
      <c r="L1040" s="826" t="s">
        <v>1381</v>
      </c>
      <c r="M1040" s="1329">
        <v>1023</v>
      </c>
      <c r="N1040" s="1314"/>
      <c r="O1040" s="1311">
        <f>'Configurable Tab'!I28</f>
        <v>378</v>
      </c>
      <c r="P1040" s="1311"/>
      <c r="Q1040" s="1311" t="s">
        <v>482</v>
      </c>
      <c r="R1040" s="1314" t="s">
        <v>1136</v>
      </c>
      <c r="S1040" s="1311"/>
      <c r="T1040" s="1314" t="str">
        <f t="shared" si="177"/>
        <v/>
      </c>
      <c r="U1040" s="1311"/>
      <c r="V1040" s="1311"/>
      <c r="W1040" s="1311"/>
      <c r="X1040" s="1311"/>
      <c r="Y1040" s="1311"/>
      <c r="Z1040" s="1311"/>
    </row>
    <row r="1041" spans="1:26" x14ac:dyDescent="0.25">
      <c r="A1041" s="850" t="s">
        <v>1397</v>
      </c>
      <c r="B1041" s="826" t="str">
        <f t="shared" ca="1" si="178"/>
        <v>L367</v>
      </c>
      <c r="C1041" s="826" t="str">
        <f t="shared" ca="1" si="179"/>
        <v>L368</v>
      </c>
      <c r="D1041" s="826" t="s">
        <v>1350</v>
      </c>
      <c r="E1041" s="826" t="s">
        <v>1516</v>
      </c>
      <c r="F1041" s="1314" t="s">
        <v>1993</v>
      </c>
      <c r="G1041" s="1314" t="str">
        <f>IF(T1041&lt;&gt;"","H","")</f>
        <v/>
      </c>
      <c r="H1041" s="1314" t="s">
        <v>1990</v>
      </c>
      <c r="I1041" s="1274" t="str">
        <f t="shared" si="174"/>
        <v/>
      </c>
      <c r="J1041" s="1314" t="str">
        <f t="shared" si="176"/>
        <v/>
      </c>
      <c r="K1041" s="1314" t="str">
        <f t="shared" si="175"/>
        <v/>
      </c>
      <c r="L1041" s="826" t="s">
        <v>1397</v>
      </c>
      <c r="M1041" s="1329">
        <v>1024</v>
      </c>
      <c r="N1041" s="1314"/>
      <c r="O1041" s="1311" t="s">
        <v>1653</v>
      </c>
      <c r="P1041" s="1311"/>
      <c r="Q1041" s="1311"/>
      <c r="R1041" s="1314" t="s">
        <v>1136</v>
      </c>
      <c r="S1041" s="1311"/>
      <c r="T1041" s="1314" t="str">
        <f t="shared" si="177"/>
        <v/>
      </c>
      <c r="U1041" s="1311"/>
      <c r="V1041" s="1311"/>
      <c r="W1041" s="1311"/>
      <c r="X1041" s="1311"/>
      <c r="Y1041" s="1311"/>
      <c r="Z1041" s="1311"/>
    </row>
    <row r="1042" spans="1:26" x14ac:dyDescent="0.25">
      <c r="A1042" s="850" t="s">
        <v>1382</v>
      </c>
      <c r="B1042" s="826" t="str">
        <f t="shared" ca="1" si="178"/>
        <v>N367</v>
      </c>
      <c r="C1042" s="826" t="str">
        <f t="shared" ca="1" si="179"/>
        <v>N368</v>
      </c>
      <c r="D1042" s="826" t="s">
        <v>1350</v>
      </c>
      <c r="E1042" s="826" t="s">
        <v>1516</v>
      </c>
      <c r="F1042" s="1314" t="s">
        <v>1382</v>
      </c>
      <c r="G1042" s="1314" t="str">
        <f>IF(T1042&lt;&gt;"",IF(Q1040="Credit Memo","J",IF(Q1040="Check","K","")),"")</f>
        <v/>
      </c>
      <c r="H1042" s="1314" t="s">
        <v>1990</v>
      </c>
      <c r="I1042" s="1274" t="str">
        <f t="shared" si="174"/>
        <v/>
      </c>
      <c r="J1042" s="1314" t="str">
        <f t="shared" si="176"/>
        <v/>
      </c>
      <c r="K1042" s="1314" t="str">
        <f t="shared" si="175"/>
        <v/>
      </c>
      <c r="L1042" s="826" t="s">
        <v>1382</v>
      </c>
      <c r="M1042" s="1329">
        <v>1025</v>
      </c>
      <c r="N1042" s="1314"/>
      <c r="O1042" s="1311"/>
      <c r="P1042" s="1311"/>
      <c r="Q1042" s="1311"/>
      <c r="R1042" s="1314" t="s">
        <v>1136</v>
      </c>
      <c r="S1042" s="1311"/>
      <c r="T1042" s="1314" t="str">
        <f t="shared" si="177"/>
        <v/>
      </c>
      <c r="U1042" s="1311"/>
      <c r="V1042" s="1311"/>
      <c r="W1042" s="1311"/>
      <c r="X1042" s="1311"/>
      <c r="Y1042" s="1311"/>
      <c r="Z1042" s="1311"/>
    </row>
    <row r="1043" spans="1:26" x14ac:dyDescent="0.25">
      <c r="A1043" s="850" t="s">
        <v>1486</v>
      </c>
      <c r="B1043" s="826" t="str">
        <f t="shared" ca="1" si="178"/>
        <v>P367</v>
      </c>
      <c r="C1043" s="826" t="str">
        <f t="shared" ca="1" si="179"/>
        <v>P368</v>
      </c>
      <c r="D1043" s="826" t="s">
        <v>1350</v>
      </c>
      <c r="E1043" s="826" t="s">
        <v>1516</v>
      </c>
      <c r="F1043" s="1314" t="s">
        <v>1994</v>
      </c>
      <c r="G1043" s="1314" t="str">
        <f>IF(T1043&lt;&gt;"","F","")</f>
        <v/>
      </c>
      <c r="H1043" s="1314" t="s">
        <v>1990</v>
      </c>
      <c r="I1043" s="1274" t="str">
        <f t="shared" si="174"/>
        <v/>
      </c>
      <c r="J1043" s="1314" t="str">
        <f t="shared" si="176"/>
        <v/>
      </c>
      <c r="K1043" s="1314" t="str">
        <f t="shared" si="175"/>
        <v/>
      </c>
      <c r="L1043" s="826" t="s">
        <v>1486</v>
      </c>
      <c r="M1043" s="1329">
        <v>1026</v>
      </c>
      <c r="N1043" s="1314"/>
      <c r="O1043" s="1311"/>
      <c r="P1043" s="1311"/>
      <c r="Q1043" s="1311"/>
      <c r="R1043" s="1314" t="s">
        <v>1136</v>
      </c>
      <c r="S1043" s="1311"/>
      <c r="T1043" s="1314" t="str">
        <f t="shared" si="177"/>
        <v/>
      </c>
      <c r="U1043" s="1311"/>
      <c r="V1043" s="1311"/>
      <c r="W1043" s="1311"/>
      <c r="X1043" s="1311"/>
      <c r="Y1043" s="1311"/>
      <c r="Z1043" s="1311"/>
    </row>
    <row r="1044" spans="1:26" x14ac:dyDescent="0.25">
      <c r="A1044" s="850" t="s">
        <v>1487</v>
      </c>
      <c r="B1044" s="826" t="str">
        <f t="shared" ca="1" si="178"/>
        <v>R367</v>
      </c>
      <c r="C1044" s="826" t="str">
        <f t="shared" ca="1" si="179"/>
        <v>R368</v>
      </c>
      <c r="D1044" s="826" t="s">
        <v>1350</v>
      </c>
      <c r="E1044" s="826" t="s">
        <v>1516</v>
      </c>
      <c r="F1044" s="1314" t="s">
        <v>1995</v>
      </c>
      <c r="G1044" s="1314" t="str">
        <f>IF(T1044&lt;&gt;"","G","")</f>
        <v/>
      </c>
      <c r="H1044" s="1314" t="s">
        <v>1990</v>
      </c>
      <c r="I1044" s="1274" t="str">
        <f t="shared" si="174"/>
        <v/>
      </c>
      <c r="J1044" s="1314" t="str">
        <f t="shared" si="176"/>
        <v/>
      </c>
      <c r="K1044" s="1314" t="str">
        <f t="shared" si="175"/>
        <v/>
      </c>
      <c r="L1044" s="826" t="s">
        <v>1487</v>
      </c>
      <c r="M1044" s="1329">
        <v>1027</v>
      </c>
      <c r="N1044" s="1314"/>
      <c r="O1044" s="1311"/>
      <c r="P1044" s="1311"/>
      <c r="Q1044" s="1311"/>
      <c r="R1044" s="1314" t="s">
        <v>1136</v>
      </c>
      <c r="S1044" s="1311"/>
      <c r="T1044" s="1314" t="str">
        <f t="shared" si="177"/>
        <v/>
      </c>
      <c r="U1044" s="1311"/>
      <c r="V1044" s="1311"/>
      <c r="W1044" s="1311"/>
      <c r="X1044" s="1311"/>
      <c r="Y1044" s="1311"/>
      <c r="Z1044" s="1311"/>
    </row>
    <row r="1045" spans="1:26" x14ac:dyDescent="0.25">
      <c r="A1045" s="850" t="s">
        <v>1488</v>
      </c>
      <c r="B1045" s="826" t="str">
        <f t="shared" ca="1" si="178"/>
        <v>T367</v>
      </c>
      <c r="C1045" s="826" t="str">
        <f t="shared" ca="1" si="179"/>
        <v>T368</v>
      </c>
      <c r="D1045" s="826" t="s">
        <v>1350</v>
      </c>
      <c r="E1045" s="826" t="s">
        <v>1516</v>
      </c>
      <c r="F1045" s="841" t="s">
        <v>1488</v>
      </c>
      <c r="G1045" s="1314" t="str">
        <f>IF(T1045&lt;&gt;"","AW","")</f>
        <v/>
      </c>
      <c r="H1045" s="1314" t="s">
        <v>1990</v>
      </c>
      <c r="I1045" s="1274" t="str">
        <f t="shared" si="174"/>
        <v/>
      </c>
      <c r="J1045" s="1314" t="str">
        <f t="shared" si="176"/>
        <v/>
      </c>
      <c r="K1045" s="1314" t="str">
        <f t="shared" si="175"/>
        <v/>
      </c>
      <c r="L1045" s="826" t="s">
        <v>1488</v>
      </c>
      <c r="M1045" s="1329">
        <v>1028</v>
      </c>
      <c r="N1045" s="1314"/>
      <c r="O1045" s="1311"/>
      <c r="P1045" s="1311"/>
      <c r="Q1045" s="1311"/>
      <c r="R1045" s="1314" t="s">
        <v>1136</v>
      </c>
      <c r="S1045" s="1311"/>
      <c r="T1045" s="1385" t="str">
        <f t="shared" si="177"/>
        <v/>
      </c>
      <c r="U1045" s="1311"/>
      <c r="V1045" s="1311"/>
      <c r="W1045" s="1311"/>
      <c r="X1045" s="1311"/>
      <c r="Y1045" s="1311"/>
      <c r="Z1045" s="1311"/>
    </row>
    <row r="1046" spans="1:26" x14ac:dyDescent="0.25">
      <c r="A1046" s="850" t="s">
        <v>1385</v>
      </c>
      <c r="B1046" s="826" t="str">
        <f ca="1">IFERROR(_xlfn.CONCAT("C",MATCH(A1046,INDIRECT("'"&amp;E1046&amp;"'!C"&amp;$O$1038&amp;":C"&amp;$O$1040),0)+$O$1038-1),"")</f>
        <v>C371</v>
      </c>
      <c r="C1046" s="826" t="str">
        <f ca="1">IFERROR(_xlfn.CONCAT("D",MATCH(A1046,INDIRECT("'"&amp;E1046&amp;"'!C"&amp;$O$1038&amp;":C"&amp;$O$1040),0)+$O$1038-1),"")</f>
        <v>D371</v>
      </c>
      <c r="D1046" s="826" t="s">
        <v>1350</v>
      </c>
      <c r="E1046" s="826" t="s">
        <v>1516</v>
      </c>
      <c r="F1046" s="1314" t="s">
        <v>1385</v>
      </c>
      <c r="G1046" s="1314" t="str">
        <f>IF(T1046&lt;&gt;"","C","")</f>
        <v/>
      </c>
      <c r="H1046" s="1314" t="s">
        <v>1990</v>
      </c>
      <c r="I1046" s="1274" t="str">
        <f t="shared" si="174"/>
        <v/>
      </c>
      <c r="J1046" s="1314"/>
      <c r="K1046" s="1314" t="str">
        <f t="shared" si="175"/>
        <v/>
      </c>
      <c r="L1046" s="826" t="s">
        <v>1385</v>
      </c>
      <c r="M1046" s="1329">
        <v>1029</v>
      </c>
      <c r="N1046" s="1314"/>
      <c r="O1046" s="1311"/>
      <c r="P1046" s="1311"/>
      <c r="Q1046" s="1311"/>
      <c r="R1046" s="1314" t="s">
        <v>1136</v>
      </c>
      <c r="S1046" s="1311"/>
      <c r="T1046" s="1314" t="str">
        <f t="shared" ref="T1046:T1047" si="180">IF(Q$1038="Yes",26,"")</f>
        <v/>
      </c>
      <c r="U1046" s="1311"/>
      <c r="V1046" s="1311"/>
      <c r="W1046" s="1311"/>
      <c r="X1046" s="1311"/>
      <c r="Y1046" s="1311"/>
      <c r="Z1046" s="1311"/>
    </row>
    <row r="1047" spans="1:26" x14ac:dyDescent="0.25">
      <c r="A1047" s="850" t="s">
        <v>1386</v>
      </c>
      <c r="B1047" s="826" t="str">
        <f ca="1">IFERROR(_xlfn.CONCAT("C",MATCH(A1047,INDIRECT("'"&amp;E1047&amp;"'!C"&amp;$O$1038&amp;":C"&amp;$O$1040),0)+$O$1038-1),"")</f>
        <v>C373</v>
      </c>
      <c r="C1047" s="826" t="str">
        <f ca="1">IFERROR(_xlfn.CONCAT("D",MATCH(A1047,INDIRECT("'"&amp;E1047&amp;"'!C"&amp;$O$1038&amp;":C"&amp;$O$1040),0)+$O$1038-1),"")</f>
        <v>D373</v>
      </c>
      <c r="D1047" s="826" t="s">
        <v>1350</v>
      </c>
      <c r="E1047" s="826" t="s">
        <v>1516</v>
      </c>
      <c r="F1047" s="1314" t="s">
        <v>1386</v>
      </c>
      <c r="G1047" s="1314" t="str">
        <f>IF(T1047&lt;&gt;"","D","")</f>
        <v/>
      </c>
      <c r="H1047" s="1314" t="s">
        <v>1990</v>
      </c>
      <c r="I1047" s="1274" t="str">
        <f t="shared" si="174"/>
        <v/>
      </c>
      <c r="J1047" s="1314"/>
      <c r="K1047" s="1314" t="str">
        <f t="shared" si="175"/>
        <v/>
      </c>
      <c r="L1047" s="826" t="s">
        <v>1386</v>
      </c>
      <c r="M1047" s="1329">
        <v>1030</v>
      </c>
      <c r="N1047" s="1314"/>
      <c r="O1047" s="1311"/>
      <c r="P1047" s="1311"/>
      <c r="Q1047" s="1311"/>
      <c r="R1047" s="1314" t="s">
        <v>1136</v>
      </c>
      <c r="S1047" s="1311"/>
      <c r="T1047" s="1314" t="str">
        <f t="shared" si="180"/>
        <v/>
      </c>
      <c r="U1047" s="1311"/>
      <c r="V1047" s="1311"/>
      <c r="W1047" s="1311"/>
      <c r="X1047" s="1311"/>
      <c r="Y1047" s="1311"/>
      <c r="Z1047" s="1311"/>
    </row>
    <row r="1048" spans="1:26" x14ac:dyDescent="0.25">
      <c r="A1048" s="850" t="s">
        <v>1495</v>
      </c>
      <c r="B1048" s="826" t="str">
        <f ca="1">IFERROR(_xlfn.CONCAT("C",MATCH(A1048,INDIRECT("'"&amp;E1048&amp;"'!C"&amp;$O$1038&amp;":C"&amp;$O$1040),0)+$O$1038-1),"")</f>
        <v>C375</v>
      </c>
      <c r="C1048" s="826" t="str">
        <f ca="1">IFERROR(_xlfn.CONCAT("D",MATCH(A1048,INDIRECT("'"&amp;E1048&amp;"'!C"&amp;$O$1038&amp;":C"&amp;$O$1040),0)+$O$1038-1),"")</f>
        <v>D375</v>
      </c>
      <c r="D1048" s="826" t="s">
        <v>1350</v>
      </c>
      <c r="E1048" s="826" t="s">
        <v>1516</v>
      </c>
      <c r="F1048" s="1314" t="s">
        <v>1495</v>
      </c>
      <c r="G1048" s="1314" t="str">
        <f>IF(T1048&lt;&gt;"","AN","")</f>
        <v/>
      </c>
      <c r="H1048" s="1314" t="s">
        <v>1990</v>
      </c>
      <c r="I1048" s="1274" t="str">
        <f t="shared" si="174"/>
        <v/>
      </c>
      <c r="J1048" s="1314" t="str">
        <f t="shared" si="176"/>
        <v/>
      </c>
      <c r="K1048" s="1314" t="str">
        <f t="shared" si="175"/>
        <v/>
      </c>
      <c r="L1048" s="826" t="s">
        <v>1495</v>
      </c>
      <c r="M1048" s="1329">
        <v>1031</v>
      </c>
      <c r="N1048" s="1314"/>
      <c r="O1048" s="18"/>
      <c r="P1048" s="1317" t="str" cm="1">
        <f t="array" aca="1" ref="P1048" ca="1">_xlfn.CONCAT("F",RIGHT(B1048, LEN(B1048) - MAX(IF(ISNUMBER(MID(B1048, ROW(INDIRECT("1:"&amp;LEN(B1048))), 1) *1)=FALSE, ROW(INDIRECT("1:"&amp;LEN(B1048))), 0))))</f>
        <v>F375</v>
      </c>
      <c r="Q1048" s="1314" t="str" cm="1">
        <f t="array" aca="1" ref="Q1048" ca="1">_xlfn.CONCAT("E",RIGHT(C1048, LEN(C1048) - MAX(IF(ISNUMBER(MID(C1048, ROW(INDIRECT("1:"&amp;LEN(C1048))), 1) *1)=FALSE, ROW(INDIRECT("1:"&amp;LEN(C1048))), 0))))</f>
        <v>E375</v>
      </c>
      <c r="R1048" s="1314" t="s">
        <v>1136</v>
      </c>
      <c r="S1048" s="1311"/>
      <c r="T1048" s="1314" t="str">
        <f>IF(Q$1038="Yes",26,"")</f>
        <v/>
      </c>
      <c r="U1048" s="1311"/>
      <c r="V1048" s="1311"/>
      <c r="W1048" s="1311"/>
      <c r="X1048" s="1311"/>
      <c r="Y1048" s="1311"/>
      <c r="Z1048" s="1311"/>
    </row>
    <row r="1049" spans="1:26" x14ac:dyDescent="0.25">
      <c r="A1049" s="850" t="s">
        <v>1492</v>
      </c>
      <c r="B1049" s="826" t="str">
        <f ca="1">_xlfn.CONCAT(IFERROR(SUBSTITUTE(ADDRESS(1,MATCH(A1049,INDIRECT("'"&amp;E1049&amp;"'"&amp;"!A" &amp; $O$1038 + 8 &amp; ":Z" &amp; $O$1038 + 8),0),4),1,""),""),$O$1038+ 8)</f>
        <v>H373</v>
      </c>
      <c r="C1049" s="826" t="str">
        <f ca="1">_xlfn.CONCAT(IFERROR(SUBSTITUTE(ADDRESS(1,MATCH(A1049,INDIRECT("'"&amp;E1049&amp;"'"&amp;"!A" &amp; $O$1038 + 8 &amp; ":Z" &amp; $O$1038 + 8),0),4),1,""),""),$O$1038+ 9)</f>
        <v>H374</v>
      </c>
      <c r="D1049" s="826" t="s">
        <v>1350</v>
      </c>
      <c r="E1049" s="826" t="s">
        <v>1516</v>
      </c>
      <c r="F1049" s="1314" t="s">
        <v>1492</v>
      </c>
      <c r="G1049" s="1314" t="str">
        <f>IF(T1049&lt;&gt;"","AL","")</f>
        <v/>
      </c>
      <c r="H1049" s="1314" t="s">
        <v>1990</v>
      </c>
      <c r="I1049" s="1274" t="str">
        <f t="shared" si="174"/>
        <v/>
      </c>
      <c r="J1049" s="1314" t="str">
        <f t="shared" si="176"/>
        <v/>
      </c>
      <c r="K1049" s="1314" t="str">
        <f t="shared" si="175"/>
        <v/>
      </c>
      <c r="L1049" s="826" t="s">
        <v>1492</v>
      </c>
      <c r="M1049" s="1329">
        <v>1032</v>
      </c>
      <c r="N1049" s="1314"/>
      <c r="O1049" s="1311"/>
      <c r="P1049" s="1311"/>
      <c r="Q1049" s="1311"/>
      <c r="R1049" s="1314" t="s">
        <v>1136</v>
      </c>
      <c r="S1049" s="1311"/>
      <c r="T1049" s="1314" t="str">
        <f>IF(Q$1038="Yes",26,"")</f>
        <v/>
      </c>
      <c r="U1049" s="1311"/>
      <c r="V1049" s="1311"/>
      <c r="W1049" s="1311"/>
      <c r="X1049" s="1311"/>
      <c r="Y1049" s="1311"/>
      <c r="Z1049" s="1311"/>
    </row>
    <row r="1050" spans="1:26" x14ac:dyDescent="0.25">
      <c r="A1050" s="850" t="s">
        <v>1389</v>
      </c>
      <c r="B1050" s="826" t="str">
        <f ca="1">_xlfn.CONCAT(IFERROR(SUBSTITUTE(ADDRESS(1,MATCH(A1050,INDIRECT("'"&amp;E1050&amp;"'"&amp;"!A" &amp; $O$1038 + 5 &amp; ":Z" &amp; $O$1038 + 5),0),4),1,""),""),$O$1038+ 5)</f>
        <v>L370</v>
      </c>
      <c r="C1050" s="826" t="str">
        <f ca="1">_xlfn.CONCAT(IFERROR(SUBSTITUTE(ADDRESS(1,MATCH(A1050,INDIRECT("'"&amp;E1050&amp;"'"&amp;"!A" &amp; $O$1038 + 5 &amp; ":Z" &amp; $O$1038 + 5),0),4),1,""),""),$O$1038+ 6)</f>
        <v>L371</v>
      </c>
      <c r="D1050" s="826" t="s">
        <v>1350</v>
      </c>
      <c r="E1050" s="826" t="s">
        <v>1516</v>
      </c>
      <c r="F1050" s="1314" t="s">
        <v>1912</v>
      </c>
      <c r="G1050" s="1314" t="str">
        <f>IF(T1050&lt;&gt;"","O","")</f>
        <v/>
      </c>
      <c r="H1050" s="1314" t="s">
        <v>1990</v>
      </c>
      <c r="I1050" s="1274" t="str">
        <f t="shared" si="174"/>
        <v/>
      </c>
      <c r="J1050" s="1314"/>
      <c r="K1050" s="1314" t="str">
        <f t="shared" si="175"/>
        <v/>
      </c>
      <c r="L1050" s="826" t="s">
        <v>1389</v>
      </c>
      <c r="M1050" s="1329">
        <v>1033</v>
      </c>
      <c r="N1050" s="1314"/>
      <c r="O1050" s="1311"/>
      <c r="P1050" s="1311"/>
      <c r="Q1050" s="1311"/>
      <c r="R1050" s="1314" t="s">
        <v>1136</v>
      </c>
      <c r="S1050" s="1311"/>
      <c r="T1050" s="1314" t="str">
        <f t="shared" ref="T1050" si="181">IF(Q$1038="Yes",26,"")</f>
        <v/>
      </c>
      <c r="U1050" s="1311"/>
      <c r="V1050" s="1311"/>
      <c r="W1050" s="1311"/>
      <c r="X1050" s="1311"/>
      <c r="Y1050" s="1311"/>
      <c r="Z1050" s="1311"/>
    </row>
    <row r="1051" spans="1:26" x14ac:dyDescent="0.25">
      <c r="A1051" s="847" t="s">
        <v>1491</v>
      </c>
      <c r="B1051" s="826" t="str">
        <f ca="1">IFERROR(_xlfn.CONCAT("C",MATCH(A1051,INDIRECT("'"&amp;E1051&amp;"'!C"&amp;$O$1052&amp;":C"&amp;$O$1054),0)+$O$1052-1),"")</f>
        <v>C383</v>
      </c>
      <c r="C1051" s="826" t="str">
        <f ca="1">IFERROR(_xlfn.CONCAT("D",MATCH(A1051,INDIRECT("'"&amp;E1051&amp;"'!C"&amp;$O$1052&amp;":C"&amp;$O$1054),0)+$O$1052-1),"")</f>
        <v>D383</v>
      </c>
      <c r="D1051" s="826" t="s">
        <v>1350</v>
      </c>
      <c r="E1051" s="826" t="s">
        <v>1516</v>
      </c>
      <c r="F1051" s="1314" t="s">
        <v>1491</v>
      </c>
      <c r="G1051" s="1314" t="str">
        <f>IF(T1051&lt;&gt;"","A","")</f>
        <v/>
      </c>
      <c r="H1051" s="1314" t="s">
        <v>1990</v>
      </c>
      <c r="I1051" s="1274" t="str">
        <f t="shared" si="174"/>
        <v/>
      </c>
      <c r="J1051" s="1314"/>
      <c r="K1051" s="1314" t="str">
        <f t="shared" si="175"/>
        <v/>
      </c>
      <c r="L1051" s="826" t="s">
        <v>1491</v>
      </c>
      <c r="M1051" s="1329">
        <v>1034</v>
      </c>
      <c r="N1051" s="1314"/>
      <c r="O1051" s="1311" t="s">
        <v>725</v>
      </c>
      <c r="P1051" s="18"/>
      <c r="Q1051" s="1311"/>
      <c r="R1051" s="1314" t="s">
        <v>1700</v>
      </c>
      <c r="S1051" s="1311"/>
      <c r="T1051" s="1314" t="str">
        <f>IF(Q$1052="Yes",27,"")</f>
        <v/>
      </c>
      <c r="U1051" s="1311"/>
      <c r="V1051" s="1311"/>
      <c r="W1051" s="1311"/>
      <c r="X1051" s="1311"/>
      <c r="Y1051" s="1311"/>
      <c r="Z1051" s="1311"/>
    </row>
    <row r="1052" spans="1:26" x14ac:dyDescent="0.25">
      <c r="A1052" s="847" t="s">
        <v>1705</v>
      </c>
      <c r="B1052" s="826" t="str">
        <f ca="1">_xlfn.CONCAT(IFERROR(SUBSTITUTE(ADDRESS(1,MATCH(A1052,INDIRECT("'"&amp;E1052&amp;"'"&amp;"!A" &amp; $O$1052 + 11 &amp; ":Z" &amp; $O$1052 + 11),0),4),1,""),""),$O$1052+ 11)</f>
        <v>T390</v>
      </c>
      <c r="C1052" s="826" t="str">
        <f ca="1">_xlfn.CONCAT(IFERROR(SUBSTITUTE(ADDRESS(1,MATCH(A1052,INDIRECT("'"&amp;E1052&amp;"'"&amp;"!A" &amp; $O$1052 + 11 &amp; ":Z" &amp; $O$1052 + 11),0),4),1,""),""),$O$1052+ 12)</f>
        <v>T391</v>
      </c>
      <c r="D1052" s="826" t="s">
        <v>1350</v>
      </c>
      <c r="E1052" s="826" t="s">
        <v>1516</v>
      </c>
      <c r="F1052" s="1314"/>
      <c r="G1052" s="1314"/>
      <c r="H1052" s="1314"/>
      <c r="I1052" s="1274" t="str">
        <f t="shared" si="174"/>
        <v/>
      </c>
      <c r="J1052" s="1314" t="str">
        <f t="shared" ref="J1052:J1067" si="182">IF(M1052&lt;&gt;"",IF($Q$1052="Yes",Q$1&amp;M1052,""))</f>
        <v/>
      </c>
      <c r="K1052" s="1314" t="str">
        <f t="shared" si="175"/>
        <v/>
      </c>
      <c r="L1052" s="826" t="s">
        <v>1705</v>
      </c>
      <c r="M1052" s="1329">
        <v>1035</v>
      </c>
      <c r="N1052" s="1314"/>
      <c r="O1052" s="1311">
        <f>'Configurable Tab'!H29</f>
        <v>379</v>
      </c>
      <c r="P1052" s="18" t="str">
        <f>'Configurable Tab'!J29</f>
        <v>No</v>
      </c>
      <c r="Q1052" s="1351" t="s">
        <v>648</v>
      </c>
      <c r="R1052" s="1314" t="s">
        <v>1700</v>
      </c>
      <c r="S1052" s="1311"/>
      <c r="T1052" s="1314" t="str">
        <f t="shared" ref="T1052:T1057" si="183">IF(Q$1052="Yes",27,"")</f>
        <v/>
      </c>
      <c r="U1052" s="1311"/>
      <c r="V1052" s="1311"/>
      <c r="W1052" s="1311"/>
      <c r="X1052" s="1311"/>
      <c r="Y1052" s="1311"/>
      <c r="Z1052" s="1311"/>
    </row>
    <row r="1053" spans="1:26" x14ac:dyDescent="0.25">
      <c r="A1053" s="847" t="s">
        <v>1383</v>
      </c>
      <c r="B1053" s="826" t="str">
        <f ca="1">IFERROR(_xlfn.CONCAT("C",MATCH(A1053,INDIRECT("'"&amp;E1053&amp;"'!C"&amp;$O$1052&amp;":C"&amp;$O$1054),0)+$O$1052-1),"")</f>
        <v>C381</v>
      </c>
      <c r="C1053" s="826" t="str">
        <f ca="1">IFERROR(_xlfn.CONCAT("D",MATCH(A1053,INDIRECT("'"&amp;E1053&amp;"'!C"&amp;$O$1052&amp;":C"&amp;$O$1054),0)+$O$1052-1),"")</f>
        <v>D381</v>
      </c>
      <c r="D1053" s="826" t="s">
        <v>1350</v>
      </c>
      <c r="E1053" s="826" t="s">
        <v>1516</v>
      </c>
      <c r="F1053" s="1314" t="s">
        <v>1383</v>
      </c>
      <c r="G1053" s="1314" t="str">
        <f>IF(T1053&lt;&gt;"","B","")</f>
        <v/>
      </c>
      <c r="H1053" s="1314" t="s">
        <v>1990</v>
      </c>
      <c r="I1053" s="1274" t="str">
        <f t="shared" si="174"/>
        <v/>
      </c>
      <c r="J1053" s="1314"/>
      <c r="K1053" s="1314" t="str">
        <f t="shared" si="175"/>
        <v/>
      </c>
      <c r="L1053" s="826" t="s">
        <v>1383</v>
      </c>
      <c r="M1053" s="1329">
        <v>1036</v>
      </c>
      <c r="N1053" s="1314"/>
      <c r="O1053" s="1311" t="s">
        <v>726</v>
      </c>
      <c r="P1053" s="1311"/>
      <c r="Q1053" s="1311"/>
      <c r="R1053" s="1314" t="s">
        <v>1700</v>
      </c>
      <c r="S1053" s="1311"/>
      <c r="T1053" s="1314" t="str">
        <f t="shared" si="183"/>
        <v/>
      </c>
      <c r="U1053" s="1311"/>
      <c r="V1053" s="1311"/>
      <c r="W1053" s="1311"/>
      <c r="X1053" s="1311"/>
      <c r="Y1053" s="1311"/>
      <c r="Z1053" s="1311"/>
    </row>
    <row r="1054" spans="1:26" x14ac:dyDescent="0.25">
      <c r="A1054" s="847" t="s">
        <v>1381</v>
      </c>
      <c r="B1054" s="826" t="str">
        <f ca="1">_xlfn.CONCAT(IFERROR(SUBSTITUTE(ADDRESS(1,MATCH(A1054,INDIRECT("'"&amp;E1054&amp;"'"&amp;"!A" &amp; $O$1052 + 2 &amp; ":Z" &amp; $O$1052 + 2),0),4),1,""),""),$O$1052+ 2)</f>
        <v>J381</v>
      </c>
      <c r="C1054" s="826" t="str">
        <f ca="1">_xlfn.CONCAT(IFERROR(SUBSTITUTE(ADDRESS(1,MATCH(A1054,INDIRECT("'"&amp;E1054&amp;"'"&amp;"!A" &amp; $O$1052 + 2 &amp; ":Z" &amp; $O$1052 + 2),0),4),1,""),""),$O$1052+ 3)</f>
        <v>J382</v>
      </c>
      <c r="D1054" s="826" t="s">
        <v>1350</v>
      </c>
      <c r="E1054" s="826" t="s">
        <v>1516</v>
      </c>
      <c r="F1054" s="1314" t="s">
        <v>1992</v>
      </c>
      <c r="G1054" s="1314" t="str">
        <f>IF(T1054&lt;&gt;"","I","")</f>
        <v/>
      </c>
      <c r="H1054" s="1314" t="s">
        <v>1990</v>
      </c>
      <c r="I1054" s="1274" t="str">
        <f t="shared" si="174"/>
        <v/>
      </c>
      <c r="J1054" s="1314" t="str">
        <f t="shared" si="182"/>
        <v/>
      </c>
      <c r="K1054" s="1314" t="str">
        <f t="shared" si="175"/>
        <v/>
      </c>
      <c r="L1054" s="826" t="s">
        <v>1381</v>
      </c>
      <c r="M1054" s="1329">
        <v>1037</v>
      </c>
      <c r="N1054" s="1314"/>
      <c r="O1054" s="1311">
        <f>'Configurable Tab'!I29</f>
        <v>392</v>
      </c>
      <c r="P1054" s="1311"/>
      <c r="Q1054" s="1311" t="s">
        <v>482</v>
      </c>
      <c r="R1054" s="1314" t="s">
        <v>1700</v>
      </c>
      <c r="S1054" s="1311"/>
      <c r="T1054" s="1314" t="str">
        <f t="shared" si="183"/>
        <v/>
      </c>
      <c r="U1054" s="1311"/>
      <c r="V1054" s="1311"/>
      <c r="W1054" s="1311"/>
      <c r="X1054" s="1311"/>
      <c r="Y1054" s="1311"/>
      <c r="Z1054" s="1311"/>
    </row>
    <row r="1055" spans="1:26" x14ac:dyDescent="0.25">
      <c r="A1055" s="847" t="s">
        <v>1382</v>
      </c>
      <c r="B1055" s="826" t="str">
        <f ca="1">_xlfn.CONCAT(IFERROR(SUBSTITUTE(ADDRESS(1,MATCH(A1055,INDIRECT("'"&amp;E1055&amp;"'"&amp;"!A" &amp; $O$1052 + 2 &amp; ":Z" &amp; $O$1052 + 2),0),4),1,""),""),$O$1052+ 2)</f>
        <v>N381</v>
      </c>
      <c r="C1055" s="826" t="str">
        <f ca="1">_xlfn.CONCAT(IFERROR(SUBSTITUTE(ADDRESS(1,MATCH(A1055,INDIRECT("'"&amp;E1055&amp;"'"&amp;"!A" &amp; $O$1052 + 2 &amp; ":Z" &amp; $O$1052 + 2),0),4),1,""),""),$O$1052+ 3)</f>
        <v>N382</v>
      </c>
      <c r="D1055" s="826" t="s">
        <v>1350</v>
      </c>
      <c r="E1055" s="826" t="s">
        <v>1516</v>
      </c>
      <c r="F1055" s="1314" t="s">
        <v>1382</v>
      </c>
      <c r="G1055" s="1314" t="str">
        <f>IF(T1055&lt;&gt;"",IF(Q1054="Credit Memo","J",IF(Q1054="Check","K","")),"")</f>
        <v/>
      </c>
      <c r="H1055" s="1314" t="s">
        <v>1990</v>
      </c>
      <c r="I1055" s="1274" t="str">
        <f t="shared" si="174"/>
        <v/>
      </c>
      <c r="J1055" s="1314" t="str">
        <f t="shared" si="182"/>
        <v/>
      </c>
      <c r="K1055" s="1314" t="str">
        <f t="shared" si="175"/>
        <v/>
      </c>
      <c r="L1055" s="826" t="s">
        <v>1382</v>
      </c>
      <c r="M1055" s="1329">
        <v>1038</v>
      </c>
      <c r="N1055" s="1314"/>
      <c r="O1055" s="1311" t="s">
        <v>1654</v>
      </c>
      <c r="P1055" s="1311"/>
      <c r="Q1055" s="1311"/>
      <c r="R1055" s="1314" t="s">
        <v>1700</v>
      </c>
      <c r="S1055" s="1311"/>
      <c r="T1055" s="1314" t="str">
        <f t="shared" si="183"/>
        <v/>
      </c>
      <c r="U1055" s="1311"/>
      <c r="V1055" s="1311"/>
      <c r="W1055" s="1311"/>
      <c r="X1055" s="1311"/>
      <c r="Y1055" s="1311"/>
      <c r="Z1055" s="1311"/>
    </row>
    <row r="1056" spans="1:26" x14ac:dyDescent="0.25">
      <c r="A1056" s="847" t="s">
        <v>1385</v>
      </c>
      <c r="B1056" s="826" t="str">
        <f ca="1">IFERROR(_xlfn.CONCAT("C",MATCH(A1056,INDIRECT("'"&amp;E1056&amp;"'!C"&amp;$O$1052&amp;":C"&amp;$O$1054),0)+$O$1052-1),"")</f>
        <v>C385</v>
      </c>
      <c r="C1056" s="826" t="str">
        <f ca="1">IFERROR(_xlfn.CONCAT("D",MATCH(A1056,INDIRECT("'"&amp;E1056&amp;"'!C"&amp;$O$1052&amp;":C"&amp;$O$1054),0)+$O$1052-1),"")</f>
        <v>D385</v>
      </c>
      <c r="D1056" s="826" t="s">
        <v>1350</v>
      </c>
      <c r="E1056" s="826" t="s">
        <v>1516</v>
      </c>
      <c r="F1056" s="1314" t="s">
        <v>1385</v>
      </c>
      <c r="G1056" s="1314" t="str">
        <f>IF(T1056&lt;&gt;"","C","")</f>
        <v/>
      </c>
      <c r="H1056" s="1314" t="s">
        <v>1990</v>
      </c>
      <c r="I1056" s="1274" t="str">
        <f t="shared" si="174"/>
        <v/>
      </c>
      <c r="J1056" s="1314"/>
      <c r="K1056" s="1314" t="str">
        <f t="shared" si="175"/>
        <v/>
      </c>
      <c r="L1056" s="826" t="s">
        <v>1385</v>
      </c>
      <c r="M1056" s="1329">
        <v>1039</v>
      </c>
      <c r="N1056" s="1314"/>
      <c r="O1056" s="1311"/>
      <c r="P1056" s="1311"/>
      <c r="Q1056" s="1311"/>
      <c r="R1056" s="1314" t="s">
        <v>1700</v>
      </c>
      <c r="S1056" s="1311"/>
      <c r="T1056" s="1314" t="str">
        <f t="shared" si="183"/>
        <v/>
      </c>
      <c r="U1056" s="1311"/>
      <c r="V1056" s="1311"/>
      <c r="W1056" s="1311"/>
      <c r="X1056" s="1311"/>
      <c r="Y1056" s="1311"/>
      <c r="Z1056" s="1311"/>
    </row>
    <row r="1057" spans="1:26" x14ac:dyDescent="0.25">
      <c r="A1057" s="847" t="s">
        <v>1386</v>
      </c>
      <c r="B1057" s="826" t="str">
        <f ca="1">IFERROR(_xlfn.CONCAT("C",MATCH(A1057,INDIRECT("'"&amp;E1057&amp;"'!C"&amp;$O$1052&amp;":C"&amp;$O$1054),0)+$O$1052-1),"")</f>
        <v>C387</v>
      </c>
      <c r="C1057" s="826" t="str">
        <f ca="1">IFERROR(_xlfn.CONCAT("D",MATCH(A1057,INDIRECT("'"&amp;E1057&amp;"'!C"&amp;$O$1052&amp;":C"&amp;$O$1054),0)+$O$1052-1),"")</f>
        <v>D387</v>
      </c>
      <c r="D1057" s="826" t="s">
        <v>1350</v>
      </c>
      <c r="E1057" s="826" t="s">
        <v>1516</v>
      </c>
      <c r="F1057" s="1314" t="s">
        <v>1386</v>
      </c>
      <c r="G1057" s="1314" t="str">
        <f>IF(T1057&lt;&gt;"","D","")</f>
        <v/>
      </c>
      <c r="H1057" s="1314" t="s">
        <v>1990</v>
      </c>
      <c r="I1057" s="1274" t="str">
        <f t="shared" si="174"/>
        <v/>
      </c>
      <c r="J1057" s="1314"/>
      <c r="K1057" s="1314" t="str">
        <f t="shared" si="175"/>
        <v/>
      </c>
      <c r="L1057" s="826" t="s">
        <v>1386</v>
      </c>
      <c r="M1057" s="1329">
        <v>1040</v>
      </c>
      <c r="N1057" s="1314"/>
      <c r="O1057" s="1311"/>
      <c r="P1057" s="1311"/>
      <c r="Q1057" s="1311"/>
      <c r="R1057" s="1314" t="s">
        <v>1700</v>
      </c>
      <c r="S1057" s="1311"/>
      <c r="T1057" s="1314" t="str">
        <f t="shared" si="183"/>
        <v/>
      </c>
      <c r="U1057" s="1311"/>
      <c r="V1057" s="1311"/>
      <c r="W1057" s="1311"/>
      <c r="X1057" s="1311"/>
      <c r="Y1057" s="1311"/>
      <c r="Z1057" s="1311"/>
    </row>
    <row r="1058" spans="1:26" x14ac:dyDescent="0.25">
      <c r="A1058" s="847" t="s">
        <v>1495</v>
      </c>
      <c r="B1058" s="826" t="str">
        <f ca="1">IFERROR(_xlfn.CONCAT("C",MATCH(A1058,INDIRECT("'"&amp;E1058&amp;"'!C"&amp;$O$1052&amp;":C"&amp;$O$1054),0)+$O$1052-1),"")</f>
        <v>C389</v>
      </c>
      <c r="C1058" s="826" t="str">
        <f ca="1">IFERROR(_xlfn.CONCAT("D",MATCH(A1058,INDIRECT("'"&amp;E1058&amp;"'!C"&amp;$O$1052&amp;":C"&amp;$O$1054),0)+$O$1052-1),"")</f>
        <v>D389</v>
      </c>
      <c r="D1058" s="826" t="s">
        <v>1350</v>
      </c>
      <c r="E1058" s="826" t="s">
        <v>1516</v>
      </c>
      <c r="F1058" s="1314" t="s">
        <v>1495</v>
      </c>
      <c r="G1058" s="1314" t="str">
        <f>IF(T1058&lt;&gt;"","AN","")</f>
        <v/>
      </c>
      <c r="H1058" s="1314" t="s">
        <v>1990</v>
      </c>
      <c r="I1058" s="1274" t="str">
        <f t="shared" si="174"/>
        <v/>
      </c>
      <c r="J1058" s="1314" t="str">
        <f t="shared" si="182"/>
        <v/>
      </c>
      <c r="K1058" s="1314" t="str">
        <f t="shared" si="175"/>
        <v/>
      </c>
      <c r="L1058" s="826" t="s">
        <v>1495</v>
      </c>
      <c r="M1058" s="1329">
        <v>1041</v>
      </c>
      <c r="N1058" s="1314"/>
      <c r="O1058" s="18"/>
      <c r="P1058" s="1317" t="str" cm="1">
        <f t="array" aca="1" ref="P1058" ca="1">_xlfn.CONCAT("F",RIGHT(B1058, LEN(B1058) - MAX(IF(ISNUMBER(MID(B1058, ROW(INDIRECT("1:"&amp;LEN(B1058))), 1) *1)=FALSE, ROW(INDIRECT("1:"&amp;LEN(B1058))), 0))))</f>
        <v>F389</v>
      </c>
      <c r="Q1058" s="1314" t="str" cm="1">
        <f t="array" aca="1" ref="Q1058" ca="1">_xlfn.CONCAT("E",RIGHT(C1058, LEN(C1058) - MAX(IF(ISNUMBER(MID(C1058, ROW(INDIRECT("1:"&amp;LEN(C1058))), 1) *1)=FALSE, ROW(INDIRECT("1:"&amp;LEN(C1058))), 0))))</f>
        <v>E389</v>
      </c>
      <c r="R1058" s="1314" t="s">
        <v>1700</v>
      </c>
      <c r="S1058" s="1311"/>
      <c r="T1058" s="1314" t="str">
        <f>IF(Q$1052="Yes",27,"")</f>
        <v/>
      </c>
      <c r="U1058" s="1311"/>
      <c r="V1058" s="1311"/>
      <c r="W1058" s="1311"/>
      <c r="X1058" s="1311"/>
      <c r="Y1058" s="1311"/>
      <c r="Z1058" s="1311"/>
    </row>
    <row r="1059" spans="1:26" x14ac:dyDescent="0.25">
      <c r="A1059" s="847" t="s">
        <v>1492</v>
      </c>
      <c r="B1059" s="826" t="str">
        <f ca="1">_xlfn.CONCAT(IFERROR(SUBSTITUTE(ADDRESS(1,MATCH(A1059,INDIRECT("'"&amp;E1059&amp;"'"&amp;"!A" &amp; $O$1052 + 11 &amp; ":Z" &amp; $O$1052 + 11),0),4),1,""),""),$O$1052+ 11)</f>
        <v>H390</v>
      </c>
      <c r="C1059" s="826" t="str">
        <f ca="1">_xlfn.CONCAT(IFERROR(SUBSTITUTE(ADDRESS(1,MATCH(A1059,INDIRECT("'"&amp;E1059&amp;"'"&amp;"!A" &amp; $O$1052 + 11 &amp; ":Z" &amp; $O$1052 + 11),0),4),1,""),""),$O$1052+ 12)</f>
        <v>H391</v>
      </c>
      <c r="D1059" s="826" t="s">
        <v>1350</v>
      </c>
      <c r="E1059" s="826" t="s">
        <v>1516</v>
      </c>
      <c r="F1059" s="1314" t="s">
        <v>1492</v>
      </c>
      <c r="G1059" s="1314" t="str">
        <f>IF(T1059&lt;&gt;"","AL","")</f>
        <v/>
      </c>
      <c r="H1059" s="1314" t="s">
        <v>1990</v>
      </c>
      <c r="I1059" s="1274" t="str">
        <f t="shared" si="174"/>
        <v/>
      </c>
      <c r="J1059" s="1314" t="str">
        <f t="shared" si="182"/>
        <v/>
      </c>
      <c r="K1059" s="1314" t="str">
        <f t="shared" si="175"/>
        <v/>
      </c>
      <c r="L1059" s="826" t="s">
        <v>1492</v>
      </c>
      <c r="M1059" s="1329">
        <v>1042</v>
      </c>
      <c r="N1059" s="1314"/>
      <c r="O1059" s="1311"/>
      <c r="P1059" s="1311"/>
      <c r="Q1059" s="1311"/>
      <c r="R1059" s="1314" t="s">
        <v>1700</v>
      </c>
      <c r="S1059" s="1311"/>
      <c r="T1059" s="1314" t="str">
        <f>IF(Q$1052="Yes",27,"")</f>
        <v/>
      </c>
      <c r="U1059" s="1311"/>
      <c r="V1059" s="1311"/>
      <c r="W1059" s="1311"/>
      <c r="X1059" s="1311"/>
      <c r="Y1059" s="1311"/>
      <c r="Z1059" s="1311"/>
    </row>
    <row r="1060" spans="1:26" x14ac:dyDescent="0.25">
      <c r="A1060" s="847" t="s">
        <v>1396</v>
      </c>
      <c r="B1060" s="826" t="str">
        <f ca="1">_xlfn.CONCAT(IFERROR(SUBSTITUTE(ADDRESS(1,MATCH(A1060,INDIRECT("'"&amp;E1060&amp;"'"&amp;"!A" &amp; $O$1052 + 5 &amp; ":Z" &amp; $O$1052 + 5),0),4),1,""),""),$O$1052+ 5)</f>
        <v>H384</v>
      </c>
      <c r="C1060" s="826" t="str">
        <f ca="1">_xlfn.CONCAT(IFERROR(SUBSTITUTE(ADDRESS(1,MATCH(A1060,INDIRECT("'"&amp;E1060&amp;"'"&amp;"!A" &amp; $O$1052 + 5 &amp; ":Z" &amp; $O$1052 + 5),0),4),1,""),""),$O$1052+ 6)</f>
        <v>H385</v>
      </c>
      <c r="D1060" s="826" t="s">
        <v>1350</v>
      </c>
      <c r="E1060" s="826" t="s">
        <v>1516</v>
      </c>
      <c r="F1060" s="1353" t="s">
        <v>1396</v>
      </c>
      <c r="G1060" s="1353" t="str">
        <f>IF(T1060&lt;&gt;"","S","")</f>
        <v/>
      </c>
      <c r="H1060" s="1353" t="s">
        <v>1990</v>
      </c>
      <c r="I1060" s="1274" t="str">
        <f t="shared" si="174"/>
        <v/>
      </c>
      <c r="J1060" s="1314" t="str">
        <f t="shared" si="182"/>
        <v/>
      </c>
      <c r="K1060" s="1314" t="str">
        <f t="shared" si="175"/>
        <v/>
      </c>
      <c r="L1060" s="826" t="s">
        <v>1396</v>
      </c>
      <c r="M1060" s="1329">
        <v>1043</v>
      </c>
      <c r="N1060" s="1314"/>
      <c r="O1060" s="1311"/>
      <c r="P1060" s="1311"/>
      <c r="Q1060" s="1311"/>
      <c r="R1060" s="1314" t="s">
        <v>1700</v>
      </c>
      <c r="S1060" s="1311"/>
      <c r="T1060" s="1353" t="str">
        <f>IF(Q$1052="Yes",27,"")</f>
        <v/>
      </c>
      <c r="U1060" s="1311"/>
      <c r="V1060" s="1311"/>
      <c r="W1060" s="1311"/>
      <c r="X1060" s="1311"/>
      <c r="Y1060" s="1311"/>
      <c r="Z1060" s="1311"/>
    </row>
    <row r="1061" spans="1:26" x14ac:dyDescent="0.25">
      <c r="A1061" s="847" t="s">
        <v>1474</v>
      </c>
      <c r="B1061" s="826" t="str">
        <f ca="1">_xlfn.CONCAT(IFERROR(SUBSTITUTE(ADDRESS(1,MATCH(A1061,INDIRECT("'"&amp;E1061&amp;"'"&amp;"!A" &amp; $O$1052 + 5 &amp; ":Z" &amp; $O$1052 + 5),0),4),1,""),""),$O$1052+ 5)</f>
        <v>J384</v>
      </c>
      <c r="C1061" s="826" t="str">
        <f ca="1">_xlfn.CONCAT(IFERROR(SUBSTITUTE(ADDRESS(1,MATCH(A1061,INDIRECT("'"&amp;E1061&amp;"'"&amp;"!A" &amp; $O$1052 + 5 &amp; ":Z" &amp; $O$1052 + 5),0),4),1,""),""),$O$1052+ 6)</f>
        <v>J385</v>
      </c>
      <c r="D1061" s="826" t="s">
        <v>1350</v>
      </c>
      <c r="E1061" s="826" t="s">
        <v>1516</v>
      </c>
      <c r="F1061" s="1314"/>
      <c r="G1061" s="1314"/>
      <c r="H1061" s="1314"/>
      <c r="I1061" s="1274" t="str">
        <f t="shared" si="174"/>
        <v/>
      </c>
      <c r="J1061" s="1314" t="str">
        <f t="shared" si="182"/>
        <v/>
      </c>
      <c r="K1061" s="1314" t="str">
        <f t="shared" si="175"/>
        <v/>
      </c>
      <c r="L1061" s="826" t="s">
        <v>1474</v>
      </c>
      <c r="M1061" s="1329">
        <v>1044</v>
      </c>
      <c r="N1061" s="1314"/>
      <c r="O1061" s="1311"/>
      <c r="P1061" s="1311"/>
      <c r="Q1061" s="1311"/>
      <c r="R1061" s="1314" t="s">
        <v>1700</v>
      </c>
      <c r="S1061" s="1311"/>
      <c r="T1061" s="1311"/>
      <c r="U1061" s="1311"/>
      <c r="V1061" s="1311"/>
      <c r="W1061" s="1311"/>
      <c r="X1061" s="1311"/>
      <c r="Y1061" s="1311"/>
      <c r="Z1061" s="1311"/>
    </row>
    <row r="1062" spans="1:26" x14ac:dyDescent="0.25">
      <c r="A1062" s="1081" t="s">
        <v>1475</v>
      </c>
      <c r="B1062" s="841" t="str">
        <f ca="1">_xlfn.CONCAT(IFERROR(SUBSTITUTE(ADDRESS(1,MATCH(A1062,INDIRECT("'"&amp;E1062&amp;"'"&amp;"!A" &amp; $O$1052 + 5 &amp; ":Z" &amp; $O$1052 + 5),0),4),1,""),""),$O$1052+ 5)</f>
        <v>L384</v>
      </c>
      <c r="C1062" s="841" t="str">
        <f ca="1">_xlfn.CONCAT(IFERROR(SUBSTITUTE(ADDRESS(1,MATCH(A1062,INDIRECT("'"&amp;E1062&amp;"'"&amp;"!A" &amp; $O$1052 + 5 &amp; ":Z" &amp; $O$1052 + 5),0),4),1,""),""),$O$1052+ 6)</f>
        <v>L385</v>
      </c>
      <c r="D1062" s="841" t="s">
        <v>1350</v>
      </c>
      <c r="E1062" s="841" t="s">
        <v>1516</v>
      </c>
      <c r="F1062" s="790" t="s">
        <v>1475</v>
      </c>
      <c r="G1062" s="52" t="s">
        <v>1797</v>
      </c>
      <c r="H1062" s="52" t="s">
        <v>1783</v>
      </c>
      <c r="I1062" s="1274" t="str">
        <f t="shared" si="174"/>
        <v/>
      </c>
      <c r="J1062" s="1314" t="str">
        <f t="shared" si="182"/>
        <v/>
      </c>
      <c r="K1062" s="1314" t="str">
        <f t="shared" si="175"/>
        <v/>
      </c>
      <c r="L1062" s="826" t="s">
        <v>1475</v>
      </c>
      <c r="M1062" s="1329">
        <v>1045</v>
      </c>
      <c r="N1062" s="1314"/>
      <c r="O1062" s="1311"/>
      <c r="P1062" s="1311"/>
      <c r="Q1062" s="1311"/>
      <c r="R1062" s="1314" t="s">
        <v>1700</v>
      </c>
      <c r="S1062" s="1311"/>
      <c r="T1062" s="1311"/>
      <c r="U1062" s="1311"/>
      <c r="V1062" s="1311"/>
      <c r="W1062" s="1311"/>
      <c r="X1062" s="1311"/>
      <c r="Y1062" s="1311"/>
      <c r="Z1062" s="1311"/>
    </row>
    <row r="1063" spans="1:26" x14ac:dyDescent="0.25">
      <c r="A1063" s="842" t="s">
        <v>1479</v>
      </c>
      <c r="B1063" s="826" t="str">
        <f ca="1">_xlfn.CONCAT(IFERROR(SUBSTITUTE(ADDRESS(1,MATCH(A1063,INDIRECT("'"&amp;E1063&amp;"'"&amp;"!A" &amp; $O$1052 + 8 &amp; ":Z" &amp; $O$1052 + 8),0),4),1,""),""),$O$1052+ 8)</f>
        <v>J387</v>
      </c>
      <c r="C1063" s="826" t="str">
        <f ca="1">_xlfn.CONCAT(IFERROR(SUBSTITUTE(ADDRESS(1,MATCH(A1063,INDIRECT("'"&amp;E1063&amp;"'"&amp;"!A" &amp; $O$1052 + 8 &amp; ":Z" &amp; $O$1052 + 8),0),4),1,""),""),$O$1052+ 9)</f>
        <v>J388</v>
      </c>
      <c r="D1063" s="826" t="s">
        <v>1350</v>
      </c>
      <c r="E1063" s="826" t="s">
        <v>1516</v>
      </c>
      <c r="F1063" s="1314" t="s">
        <v>1479</v>
      </c>
      <c r="G1063" s="1314" t="str">
        <f>IF(T1063&lt;&gt;"","AY","")</f>
        <v/>
      </c>
      <c r="H1063" s="1314" t="s">
        <v>1990</v>
      </c>
      <c r="I1063" s="1274" t="str">
        <f t="shared" si="174"/>
        <v/>
      </c>
      <c r="J1063" s="1314" t="str">
        <f t="shared" si="182"/>
        <v/>
      </c>
      <c r="K1063" s="1314" t="str">
        <f t="shared" si="175"/>
        <v/>
      </c>
      <c r="L1063" s="827" t="s">
        <v>1479</v>
      </c>
      <c r="M1063" s="1329">
        <v>1046</v>
      </c>
      <c r="N1063" s="1314"/>
      <c r="O1063" s="1311"/>
      <c r="P1063" s="1311"/>
      <c r="Q1063" s="1311"/>
      <c r="R1063" s="1314" t="s">
        <v>1700</v>
      </c>
      <c r="S1063" s="1311"/>
      <c r="T1063" s="1314" t="str">
        <f t="shared" ref="T1063:T1065" si="184">IF(Q$1052="Yes",27,"")</f>
        <v/>
      </c>
      <c r="U1063" s="1311"/>
      <c r="V1063" s="1311"/>
      <c r="W1063" s="1311"/>
      <c r="X1063" s="1311"/>
      <c r="Y1063" s="1311"/>
      <c r="Z1063" s="1311"/>
    </row>
    <row r="1064" spans="1:26" x14ac:dyDescent="0.25">
      <c r="A1064" s="847" t="s">
        <v>1135</v>
      </c>
      <c r="B1064" s="826" t="str">
        <f ca="1">_xlfn.CONCAT(IFERROR(SUBSTITUTE(ADDRESS(1,MATCH(A1064,INDIRECT("'"&amp;E1064&amp;"'"&amp;"!A" &amp; $O$1052 + 8 &amp; ":Z" &amp; $O$1052 + 8),0),4),1,""),""),$O$1052+ 8)</f>
        <v>L387</v>
      </c>
      <c r="C1064" s="826" t="str">
        <f ca="1">_xlfn.CONCAT(IFERROR(SUBSTITUTE(ADDRESS(1,MATCH(A1064,INDIRECT("'"&amp;E1064&amp;"'"&amp;"!A" &amp; $O$1052 + 8 &amp; ":Z" &amp; $O$1052 + 8),0),4),1,""),""),$O$1052+ 9)</f>
        <v>L388</v>
      </c>
      <c r="D1064" s="826" t="s">
        <v>1350</v>
      </c>
      <c r="E1064" s="826" t="s">
        <v>1516</v>
      </c>
      <c r="F1064" s="1314"/>
      <c r="G1064" s="1314"/>
      <c r="H1064" s="1314"/>
      <c r="I1064" s="1274" t="str">
        <f t="shared" si="174"/>
        <v/>
      </c>
      <c r="J1064" s="1314" t="str">
        <f t="shared" si="182"/>
        <v/>
      </c>
      <c r="K1064" s="1314" t="str">
        <f t="shared" si="175"/>
        <v/>
      </c>
      <c r="L1064" s="826" t="s">
        <v>1135</v>
      </c>
      <c r="M1064" s="1329">
        <v>1047</v>
      </c>
      <c r="N1064" s="1314"/>
      <c r="O1064" s="1311"/>
      <c r="P1064" s="1311"/>
      <c r="Q1064" s="1311"/>
      <c r="R1064" s="1314" t="s">
        <v>1700</v>
      </c>
      <c r="S1064" s="1311"/>
      <c r="T1064" s="1311"/>
      <c r="U1064" s="1311"/>
      <c r="V1064" s="1311"/>
      <c r="W1064" s="1311"/>
      <c r="X1064" s="1311"/>
      <c r="Y1064" s="1311"/>
      <c r="Z1064" s="1311"/>
    </row>
    <row r="1065" spans="1:26" x14ac:dyDescent="0.25">
      <c r="A1065" s="847" t="s">
        <v>1402</v>
      </c>
      <c r="B1065" s="826" t="str">
        <f ca="1">_xlfn.CONCAT(IFERROR(SUBSTITUTE(ADDRESS(1,MATCH(A1065,INDIRECT("'"&amp;E1065&amp;"'"&amp;"!A" &amp; $O$1052 + 8 &amp; ":Z" &amp; $O$1052 + 8),0),4),1,""),""),$O$1052+ 8)</f>
        <v>R387</v>
      </c>
      <c r="C1065" s="826" t="str">
        <f ca="1">_xlfn.CONCAT(IFERROR(SUBSTITUTE(ADDRESS(1,MATCH(A1065,INDIRECT("'"&amp;E1065&amp;"'"&amp;"!A" &amp; $O$1052 + 8 &amp; ":Z" &amp; $O$1052 + 8),0),4),1,""),""),$O$1052+ 9)</f>
        <v>R388</v>
      </c>
      <c r="D1065" s="826" t="s">
        <v>1350</v>
      </c>
      <c r="E1065" s="826" t="s">
        <v>1516</v>
      </c>
      <c r="F1065" s="1081" t="s">
        <v>1402</v>
      </c>
      <c r="G1065" s="1314" t="str">
        <f>IF(T1065&lt;&gt;"","AT","")</f>
        <v/>
      </c>
      <c r="H1065" s="1314" t="s">
        <v>1990</v>
      </c>
      <c r="I1065" s="1274" t="str">
        <f t="shared" si="174"/>
        <v/>
      </c>
      <c r="J1065" s="1314" t="str">
        <f t="shared" si="182"/>
        <v/>
      </c>
      <c r="K1065" s="1314" t="str">
        <f t="shared" si="175"/>
        <v/>
      </c>
      <c r="L1065" s="826" t="s">
        <v>1402</v>
      </c>
      <c r="M1065" s="1329">
        <v>1048</v>
      </c>
      <c r="N1065" s="1314"/>
      <c r="O1065" s="1311"/>
      <c r="P1065" s="1311"/>
      <c r="Q1065" s="1311"/>
      <c r="R1065" s="1314" t="s">
        <v>1700</v>
      </c>
      <c r="S1065" s="1311"/>
      <c r="T1065" s="1314" t="str">
        <f t="shared" si="184"/>
        <v/>
      </c>
      <c r="U1065" s="1311"/>
      <c r="V1065" s="1311"/>
      <c r="W1065" s="1311"/>
      <c r="X1065" s="1311"/>
      <c r="Y1065" s="1311"/>
      <c r="Z1065" s="1311"/>
    </row>
    <row r="1066" spans="1:26" x14ac:dyDescent="0.25">
      <c r="A1066" s="847" t="s">
        <v>1480</v>
      </c>
      <c r="B1066" s="826" t="str">
        <f ca="1">_xlfn.CONCAT(IFERROR(SUBSTITUTE(ADDRESS(1,MATCH(A1066,INDIRECT("'"&amp;E1066&amp;"'"&amp;"!A" &amp; $O$1052 + 8 &amp; ":Z" &amp; $O$1052 + 8),0),4),1,""),""),$O$1052+ 8)</f>
        <v>N387</v>
      </c>
      <c r="C1066" s="826" t="str">
        <f ca="1">_xlfn.CONCAT(IFERROR(SUBSTITUTE(ADDRESS(1,MATCH(A1066,INDIRECT("'"&amp;E1066&amp;"'"&amp;"!A" &amp; $O$1052 + 8 &amp; ":Z" &amp; $O$1052 + 8),0),4),1,""),""),$O$1052+ 9)</f>
        <v>N388</v>
      </c>
      <c r="D1066" s="826" t="s">
        <v>1350</v>
      </c>
      <c r="E1066" s="826" t="s">
        <v>1516</v>
      </c>
      <c r="F1066" s="1314"/>
      <c r="G1066" s="1314"/>
      <c r="H1066" s="1314"/>
      <c r="I1066" s="1274" t="str">
        <f t="shared" si="174"/>
        <v/>
      </c>
      <c r="J1066" s="1314" t="str">
        <f t="shared" si="182"/>
        <v/>
      </c>
      <c r="K1066" s="1314" t="str">
        <f t="shared" si="175"/>
        <v/>
      </c>
      <c r="L1066" s="826" t="s">
        <v>1480</v>
      </c>
      <c r="M1066" s="1329">
        <v>1049</v>
      </c>
      <c r="N1066" s="1314"/>
      <c r="O1066" s="1311"/>
      <c r="P1066" s="1311"/>
      <c r="Q1066" s="1311"/>
      <c r="R1066" s="1314" t="s">
        <v>1700</v>
      </c>
      <c r="S1066" s="1311"/>
      <c r="T1066" s="1311"/>
      <c r="U1066" s="1311"/>
      <c r="V1066" s="1311"/>
      <c r="W1066" s="1311"/>
      <c r="X1066" s="1311"/>
      <c r="Y1066" s="1311"/>
      <c r="Z1066" s="1311"/>
    </row>
    <row r="1067" spans="1:26" x14ac:dyDescent="0.25">
      <c r="A1067" s="847" t="s">
        <v>1134</v>
      </c>
      <c r="B1067" s="826" t="str">
        <f ca="1">_xlfn.CONCAT(IFERROR(SUBSTITUTE(ADDRESS(1,MATCH(A1067,INDIRECT("'"&amp;E1067&amp;"'"&amp;"!A" &amp; $O$1052 + 8 &amp; ":Z" &amp; $O$1052 + 8),0),4),1,""),""),$O$1052+ 8)</f>
        <v>P387</v>
      </c>
      <c r="C1067" s="826" t="str">
        <f ca="1">_xlfn.CONCAT(IFERROR(SUBSTITUTE(ADDRESS(1,MATCH(A1067,INDIRECT("'"&amp;E1067&amp;"'"&amp;"!A" &amp; $O$1052 + 8 &amp; ":Z" &amp; $O$1052 + 8),0),4),1,""),""),$O$1052+ 9)</f>
        <v>P388</v>
      </c>
      <c r="D1067" s="826" t="s">
        <v>1350</v>
      </c>
      <c r="E1067" s="826" t="s">
        <v>1516</v>
      </c>
      <c r="F1067" s="1314"/>
      <c r="G1067" s="1314"/>
      <c r="H1067" s="1314"/>
      <c r="I1067" s="1274" t="str">
        <f t="shared" si="174"/>
        <v/>
      </c>
      <c r="J1067" s="1314" t="str">
        <f t="shared" si="182"/>
        <v/>
      </c>
      <c r="K1067" s="1314" t="str">
        <f t="shared" si="175"/>
        <v/>
      </c>
      <c r="L1067" s="826" t="s">
        <v>1134</v>
      </c>
      <c r="M1067" s="1329">
        <v>1050</v>
      </c>
      <c r="N1067" s="1314"/>
      <c r="O1067" s="1311"/>
      <c r="P1067" s="1311"/>
      <c r="Q1067" s="1311"/>
      <c r="R1067" s="1314" t="s">
        <v>1700</v>
      </c>
      <c r="S1067" s="1311"/>
      <c r="T1067" s="1311"/>
      <c r="U1067" s="1311"/>
      <c r="V1067" s="1311"/>
      <c r="W1067" s="1311"/>
      <c r="X1067" s="1311"/>
      <c r="Y1067" s="1311"/>
      <c r="Z1067" s="1311"/>
    </row>
    <row r="1068" spans="1:26" x14ac:dyDescent="0.25">
      <c r="A1068" s="992" t="s">
        <v>1491</v>
      </c>
      <c r="B1068" s="826" t="str">
        <f ca="1">IFERROR(_xlfn.CONCAT("C",MATCH(A1068,INDIRECT("'"&amp;E1068&amp;"'!C"&amp;$O$1069&amp;":C"&amp;$O$1071),0)+$O$1069-1),"")</f>
        <v>C397</v>
      </c>
      <c r="C1068" s="826" t="str">
        <f ca="1">IFERROR(_xlfn.CONCAT("D",MATCH(A1068,INDIRECT("'"&amp;E1068&amp;"'!C"&amp;$O$1069&amp;":C"&amp;$O$1071),0)+$O$1069-1),"")</f>
        <v>D397</v>
      </c>
      <c r="D1068" s="826" t="s">
        <v>1350</v>
      </c>
      <c r="E1068" s="826" t="s">
        <v>1516</v>
      </c>
      <c r="F1068" s="1314" t="s">
        <v>1491</v>
      </c>
      <c r="G1068" s="1314" t="str">
        <f>IF(T1068&lt;&gt;"","A","")</f>
        <v/>
      </c>
      <c r="H1068" s="1314" t="s">
        <v>1990</v>
      </c>
      <c r="I1068" s="1274" t="str">
        <f t="shared" si="174"/>
        <v/>
      </c>
      <c r="J1068" s="1314"/>
      <c r="K1068" s="1314" t="str">
        <f t="shared" si="175"/>
        <v/>
      </c>
      <c r="L1068" s="826" t="s">
        <v>1491</v>
      </c>
      <c r="M1068" s="1329">
        <v>1051</v>
      </c>
      <c r="N1068" s="1314"/>
      <c r="O1068" s="1311" t="s">
        <v>725</v>
      </c>
      <c r="P1068" s="18"/>
      <c r="Q1068" s="1311"/>
      <c r="R1068" s="1314" t="s">
        <v>1700</v>
      </c>
      <c r="S1068" s="1311"/>
      <c r="T1068" s="1314" t="str">
        <f>IF(Q$1069="Yes",28,"")</f>
        <v/>
      </c>
      <c r="U1068" s="1311"/>
      <c r="V1068" s="1311"/>
      <c r="W1068" s="1311"/>
      <c r="X1068" s="1311"/>
      <c r="Y1068" s="1311"/>
      <c r="Z1068" s="1311"/>
    </row>
    <row r="1069" spans="1:26" x14ac:dyDescent="0.25">
      <c r="A1069" s="992" t="s">
        <v>1705</v>
      </c>
      <c r="B1069" s="826" t="str">
        <f ca="1">_xlfn.CONCAT(IFERROR(SUBSTITUTE(ADDRESS(1,MATCH(A1069,INDIRECT("'"&amp;E1069&amp;"'"&amp;"!A" &amp; $O$1069 + 11 &amp; ":Z" &amp; $O$1069 + 11),0),4),1,""),""),$O$1069+ 11)</f>
        <v>T404</v>
      </c>
      <c r="C1069" s="826" t="str">
        <f ca="1">_xlfn.CONCAT(IFERROR(SUBSTITUTE(ADDRESS(1,MATCH(A1069,INDIRECT("'"&amp;E1069&amp;"'"&amp;"!A" &amp; $O$1069 + 11 &amp; ":Z" &amp; $O$1069 + 11),0),4),1,""),""),$O$1069+ 12)</f>
        <v>T405</v>
      </c>
      <c r="D1069" s="826" t="s">
        <v>1350</v>
      </c>
      <c r="E1069" s="826" t="s">
        <v>1516</v>
      </c>
      <c r="F1069" s="1314"/>
      <c r="G1069" s="1314"/>
      <c r="H1069" s="1314"/>
      <c r="I1069" s="1274" t="str">
        <f t="shared" si="174"/>
        <v/>
      </c>
      <c r="J1069" s="1314" t="str">
        <f t="shared" ref="J1069:J1083" si="185">IF(M1069&lt;&gt;"",IF($Q$1069="Yes",Q$1&amp;M1069,""))</f>
        <v/>
      </c>
      <c r="K1069" s="1314" t="str">
        <f t="shared" si="175"/>
        <v/>
      </c>
      <c r="L1069" s="826" t="s">
        <v>1705</v>
      </c>
      <c r="M1069" s="1329">
        <v>1052</v>
      </c>
      <c r="N1069" s="1314"/>
      <c r="O1069" s="1311">
        <f>'Configurable Tab'!H30</f>
        <v>393</v>
      </c>
      <c r="P1069" s="18" t="str">
        <f>'Configurable Tab'!J30</f>
        <v>No</v>
      </c>
      <c r="Q1069" s="1351" t="s">
        <v>648</v>
      </c>
      <c r="R1069" s="1314" t="s">
        <v>1700</v>
      </c>
      <c r="S1069" s="1311"/>
      <c r="T1069" s="1314" t="str">
        <f t="shared" ref="T1069:T1074" si="186">IF(Q$1069="Yes",28,"")</f>
        <v/>
      </c>
      <c r="U1069" s="1311"/>
      <c r="V1069" s="1311"/>
      <c r="W1069" s="1311"/>
      <c r="X1069" s="1311"/>
      <c r="Y1069" s="1311"/>
      <c r="Z1069" s="1311"/>
    </row>
    <row r="1070" spans="1:26" x14ac:dyDescent="0.25">
      <c r="A1070" s="992" t="s">
        <v>1383</v>
      </c>
      <c r="B1070" s="826" t="str">
        <f ca="1">IFERROR(_xlfn.CONCAT("C",MATCH(A1070,INDIRECT("'"&amp;E1070&amp;"'!C"&amp;$O$1069&amp;":C"&amp;$O$1071),0)+$O$1069-1),"")</f>
        <v>C395</v>
      </c>
      <c r="C1070" s="826" t="str">
        <f ca="1">IFERROR(_xlfn.CONCAT("D",MATCH(A1070,INDIRECT("'"&amp;E1070&amp;"'!C"&amp;$O$1069&amp;":C"&amp;$O$1071),0)+$O$1069-1),"")</f>
        <v>D395</v>
      </c>
      <c r="D1070" s="826" t="s">
        <v>1350</v>
      </c>
      <c r="E1070" s="826" t="s">
        <v>1516</v>
      </c>
      <c r="F1070" s="1314" t="s">
        <v>1383</v>
      </c>
      <c r="G1070" s="1314" t="str">
        <f>IF(T1070&lt;&gt;"","B","")</f>
        <v/>
      </c>
      <c r="H1070" s="1314" t="s">
        <v>1990</v>
      </c>
      <c r="I1070" s="1274" t="str">
        <f t="shared" si="174"/>
        <v/>
      </c>
      <c r="J1070" s="1314"/>
      <c r="K1070" s="1314" t="str">
        <f t="shared" si="175"/>
        <v/>
      </c>
      <c r="L1070" s="826" t="s">
        <v>1383</v>
      </c>
      <c r="M1070" s="1329">
        <v>1053</v>
      </c>
      <c r="N1070" s="1314"/>
      <c r="O1070" s="1311" t="s">
        <v>726</v>
      </c>
      <c r="P1070" s="1311"/>
      <c r="Q1070" s="1311"/>
      <c r="R1070" s="1314" t="s">
        <v>1700</v>
      </c>
      <c r="S1070" s="1311"/>
      <c r="T1070" s="1314" t="str">
        <f t="shared" si="186"/>
        <v/>
      </c>
      <c r="U1070" s="1311"/>
      <c r="V1070" s="1311"/>
      <c r="W1070" s="1311"/>
      <c r="X1070" s="1311"/>
      <c r="Y1070" s="1311"/>
      <c r="Z1070" s="1311"/>
    </row>
    <row r="1071" spans="1:26" x14ac:dyDescent="0.25">
      <c r="A1071" s="992" t="s">
        <v>1381</v>
      </c>
      <c r="B1071" s="826" t="str">
        <f ca="1">_xlfn.CONCAT(IFERROR(SUBSTITUTE(ADDRESS(1,MATCH(A1071,INDIRECT("'"&amp;E1071&amp;"'"&amp;"!A" &amp; $O$1069 + 2 &amp; ":Z" &amp; $O$1069 + 2),0),4),1,""),""),$O$1069+ 2)</f>
        <v>J395</v>
      </c>
      <c r="C1071" s="826" t="str">
        <f ca="1">_xlfn.CONCAT(IFERROR(SUBSTITUTE(ADDRESS(1,MATCH(A1071,INDIRECT("'"&amp;E1071&amp;"'"&amp;"!A" &amp; $O$1069 + 2 &amp; ":Z" &amp; $O$1069 + 2),0),4),1,""),""),$O$1069+ 3)</f>
        <v>J396</v>
      </c>
      <c r="D1071" s="826" t="s">
        <v>1350</v>
      </c>
      <c r="E1071" s="826" t="s">
        <v>1516</v>
      </c>
      <c r="F1071" s="1314" t="s">
        <v>1992</v>
      </c>
      <c r="G1071" s="1314" t="str">
        <f>IF(T1071&lt;&gt;"","I","")</f>
        <v/>
      </c>
      <c r="H1071" s="1314" t="s">
        <v>1990</v>
      </c>
      <c r="I1071" s="1274" t="str">
        <f t="shared" si="174"/>
        <v/>
      </c>
      <c r="J1071" s="1314" t="str">
        <f t="shared" si="185"/>
        <v/>
      </c>
      <c r="K1071" s="1314" t="str">
        <f t="shared" si="175"/>
        <v/>
      </c>
      <c r="L1071" s="826" t="s">
        <v>1381</v>
      </c>
      <c r="M1071" s="1329">
        <v>1054</v>
      </c>
      <c r="N1071" s="1314"/>
      <c r="O1071" s="1311">
        <f>'Configurable Tab'!I30</f>
        <v>406</v>
      </c>
      <c r="P1071" s="1311"/>
      <c r="Q1071" s="1311"/>
      <c r="R1071" s="1314" t="s">
        <v>1700</v>
      </c>
      <c r="S1071" s="1311"/>
      <c r="T1071" s="1314" t="str">
        <f t="shared" si="186"/>
        <v/>
      </c>
      <c r="U1071" s="1311"/>
      <c r="V1071" s="1311"/>
      <c r="W1071" s="1311"/>
      <c r="X1071" s="1311"/>
      <c r="Y1071" s="1311"/>
      <c r="Z1071" s="1311"/>
    </row>
    <row r="1072" spans="1:26" x14ac:dyDescent="0.25">
      <c r="A1072" s="992" t="s">
        <v>1382</v>
      </c>
      <c r="B1072" s="826" t="str">
        <f ca="1">_xlfn.CONCAT(IFERROR(SUBSTITUTE(ADDRESS(1,MATCH(A1072,INDIRECT("'"&amp;E1072&amp;"'"&amp;"!A" &amp; $O$1069 + 2 &amp; ":Z" &amp; $O$1069 + 2),0),4),1,""),""),$O$1069+ 2)</f>
        <v>N395</v>
      </c>
      <c r="C1072" s="826" t="str">
        <f ca="1">_xlfn.CONCAT(IFERROR(SUBSTITUTE(ADDRESS(1,MATCH(A1072,INDIRECT("'"&amp;E1072&amp;"'"&amp;"!A" &amp; $O$1069 + 2 &amp; ":Z" &amp; $O$1069 + 2),0),4),1,""),""),$O$1069+ 3)</f>
        <v>N396</v>
      </c>
      <c r="D1072" s="826" t="s">
        <v>1350</v>
      </c>
      <c r="E1072" s="826" t="s">
        <v>1516</v>
      </c>
      <c r="F1072" s="1314" t="s">
        <v>1382</v>
      </c>
      <c r="G1072" s="1314" t="str">
        <f>IF(T1072&lt;&gt;"",IF(Q1071="Credit Memo","J",IF(Q1071="Check","K","")),"")</f>
        <v/>
      </c>
      <c r="H1072" s="1314" t="s">
        <v>1990</v>
      </c>
      <c r="I1072" s="1274" t="str">
        <f t="shared" si="174"/>
        <v/>
      </c>
      <c r="J1072" s="1314" t="str">
        <f t="shared" si="185"/>
        <v/>
      </c>
      <c r="K1072" s="1314" t="str">
        <f t="shared" si="175"/>
        <v/>
      </c>
      <c r="L1072" s="826" t="s">
        <v>1382</v>
      </c>
      <c r="M1072" s="1329">
        <v>1055</v>
      </c>
      <c r="N1072" s="1314"/>
      <c r="O1072" s="1311" t="s">
        <v>1655</v>
      </c>
      <c r="P1072" s="1311"/>
      <c r="Q1072" s="1311"/>
      <c r="R1072" s="1314" t="s">
        <v>1700</v>
      </c>
      <c r="S1072" s="1311"/>
      <c r="T1072" s="1314" t="str">
        <f t="shared" si="186"/>
        <v/>
      </c>
      <c r="U1072" s="1311"/>
      <c r="V1072" s="1311"/>
      <c r="W1072" s="1311"/>
      <c r="X1072" s="1311"/>
      <c r="Y1072" s="1311"/>
      <c r="Z1072" s="1311"/>
    </row>
    <row r="1073" spans="1:26" x14ac:dyDescent="0.25">
      <c r="A1073" s="992" t="s">
        <v>1385</v>
      </c>
      <c r="B1073" s="826" t="str">
        <f ca="1">IFERROR(_xlfn.CONCAT("C",MATCH(A1073,INDIRECT("'"&amp;E1073&amp;"'!C"&amp;$O$1069&amp;":C"&amp;$O$1071),0)+$O$1069-1),"")</f>
        <v>C399</v>
      </c>
      <c r="C1073" s="826" t="str">
        <f ca="1">IFERROR(_xlfn.CONCAT("D",MATCH(A1073,INDIRECT("'"&amp;E1073&amp;"'!C"&amp;$O$1069&amp;":C"&amp;$O$1071),0)+$O$1069-1),"")</f>
        <v>D399</v>
      </c>
      <c r="D1073" s="826" t="s">
        <v>1350</v>
      </c>
      <c r="E1073" s="826" t="s">
        <v>1516</v>
      </c>
      <c r="F1073" s="1314" t="s">
        <v>1385</v>
      </c>
      <c r="G1073" s="1314" t="str">
        <f>IF(T1073&lt;&gt;"","C","")</f>
        <v/>
      </c>
      <c r="H1073" s="1314" t="s">
        <v>1990</v>
      </c>
      <c r="I1073" s="1274" t="str">
        <f t="shared" si="174"/>
        <v/>
      </c>
      <c r="J1073" s="1314"/>
      <c r="K1073" s="1314" t="str">
        <f t="shared" si="175"/>
        <v/>
      </c>
      <c r="L1073" s="826" t="s">
        <v>1385</v>
      </c>
      <c r="M1073" s="1329">
        <v>1056</v>
      </c>
      <c r="N1073" s="1314"/>
      <c r="O1073" s="1311"/>
      <c r="P1073" s="1311"/>
      <c r="Q1073" s="1311"/>
      <c r="R1073" s="1314" t="s">
        <v>1700</v>
      </c>
      <c r="S1073" s="1311"/>
      <c r="T1073" s="1314" t="str">
        <f t="shared" si="186"/>
        <v/>
      </c>
      <c r="U1073" s="1311"/>
      <c r="V1073" s="1311"/>
      <c r="W1073" s="1311"/>
      <c r="X1073" s="1311"/>
      <c r="Y1073" s="1311"/>
      <c r="Z1073" s="1311"/>
    </row>
    <row r="1074" spans="1:26" x14ac:dyDescent="0.25">
      <c r="A1074" s="992" t="s">
        <v>1386</v>
      </c>
      <c r="B1074" s="826" t="str">
        <f ca="1">IFERROR(_xlfn.CONCAT("C",MATCH(A1074,INDIRECT("'"&amp;E1074&amp;"'!C"&amp;$O$1069&amp;":C"&amp;$O$1071),0)+$O$1069-1),"")</f>
        <v>C401</v>
      </c>
      <c r="C1074" s="826" t="str">
        <f ca="1">IFERROR(_xlfn.CONCAT("D",MATCH(A1074,INDIRECT("'"&amp;E1074&amp;"'!C"&amp;$O$1069&amp;":C"&amp;$O$1071),0)+$O$1069-1),"")</f>
        <v>D401</v>
      </c>
      <c r="D1074" s="826" t="s">
        <v>1350</v>
      </c>
      <c r="E1074" s="826" t="s">
        <v>1516</v>
      </c>
      <c r="F1074" s="1314" t="s">
        <v>1386</v>
      </c>
      <c r="G1074" s="1314" t="str">
        <f>IF(T1074&lt;&gt;"","D","")</f>
        <v/>
      </c>
      <c r="H1074" s="1314" t="s">
        <v>1990</v>
      </c>
      <c r="I1074" s="1274" t="str">
        <f t="shared" si="174"/>
        <v/>
      </c>
      <c r="J1074" s="1314"/>
      <c r="K1074" s="1314" t="str">
        <f t="shared" si="175"/>
        <v/>
      </c>
      <c r="L1074" s="826" t="s">
        <v>1386</v>
      </c>
      <c r="M1074" s="1329">
        <v>1057</v>
      </c>
      <c r="N1074" s="1314"/>
      <c r="O1074" s="1311"/>
      <c r="P1074" s="1311"/>
      <c r="Q1074" s="1311"/>
      <c r="R1074" s="1314" t="s">
        <v>1700</v>
      </c>
      <c r="S1074" s="1311"/>
      <c r="T1074" s="1314" t="str">
        <f t="shared" si="186"/>
        <v/>
      </c>
      <c r="U1074" s="1311"/>
      <c r="V1074" s="1311"/>
      <c r="W1074" s="1311"/>
      <c r="X1074" s="1311"/>
      <c r="Y1074" s="1311"/>
      <c r="Z1074" s="1311"/>
    </row>
    <row r="1075" spans="1:26" x14ac:dyDescent="0.25">
      <c r="A1075" s="992" t="s">
        <v>1495</v>
      </c>
      <c r="B1075" s="826" t="str">
        <f ca="1">IFERROR(_xlfn.CONCAT("C",MATCH(A1075,INDIRECT("'"&amp;E1075&amp;"'!C"&amp;$O$1069&amp;":C"&amp;$O$1071),0)+$O$1069-1),"")</f>
        <v>C403</v>
      </c>
      <c r="C1075" s="826" t="str">
        <f ca="1">IFERROR(_xlfn.CONCAT("D",MATCH(A1075,INDIRECT("'"&amp;E1075&amp;"'!C"&amp;$O$1069&amp;":C"&amp;$O$1071),0)+$O$1069-1),"")</f>
        <v>D403</v>
      </c>
      <c r="D1075" s="826" t="s">
        <v>1350</v>
      </c>
      <c r="E1075" s="826" t="s">
        <v>1516</v>
      </c>
      <c r="F1075" s="1314" t="s">
        <v>1495</v>
      </c>
      <c r="G1075" s="1314" t="str">
        <f>IF(T1075&lt;&gt;"","AN","")</f>
        <v/>
      </c>
      <c r="H1075" s="1314" t="s">
        <v>1990</v>
      </c>
      <c r="I1075" s="1274" t="str">
        <f t="shared" si="174"/>
        <v/>
      </c>
      <c r="J1075" s="1314" t="str">
        <f t="shared" si="185"/>
        <v/>
      </c>
      <c r="K1075" s="1314" t="str">
        <f t="shared" si="175"/>
        <v/>
      </c>
      <c r="L1075" s="826" t="s">
        <v>1495</v>
      </c>
      <c r="M1075" s="1329">
        <v>1058</v>
      </c>
      <c r="N1075" s="1314"/>
      <c r="O1075" s="18"/>
      <c r="P1075" s="1317" t="str" cm="1">
        <f t="array" aca="1" ref="P1075" ca="1">_xlfn.CONCAT("F",RIGHT(B1075, LEN(B1075) - MAX(IF(ISNUMBER(MID(B1075, ROW(INDIRECT("1:"&amp;LEN(B1075))), 1) *1)=FALSE, ROW(INDIRECT("1:"&amp;LEN(B1075))), 0))))</f>
        <v>F403</v>
      </c>
      <c r="Q1075" s="1314" t="str" cm="1">
        <f t="array" aca="1" ref="Q1075" ca="1">_xlfn.CONCAT("E",RIGHT(C1075, LEN(C1075) - MAX(IF(ISNUMBER(MID(C1075, ROW(INDIRECT("1:"&amp;LEN(C1075))), 1) *1)=FALSE, ROW(INDIRECT("1:"&amp;LEN(C1075))), 0))))</f>
        <v>E403</v>
      </c>
      <c r="R1075" s="1314" t="s">
        <v>1700</v>
      </c>
      <c r="S1075" s="1311"/>
      <c r="T1075" s="1314" t="str">
        <f>IF(Q$1069="Yes",28,"")</f>
        <v/>
      </c>
      <c r="U1075" s="1311"/>
      <c r="V1075" s="1311"/>
      <c r="W1075" s="1311"/>
      <c r="X1075" s="1311"/>
      <c r="Y1075" s="1311"/>
      <c r="Z1075" s="1311"/>
    </row>
    <row r="1076" spans="1:26" x14ac:dyDescent="0.25">
      <c r="A1076" s="992" t="s">
        <v>1492</v>
      </c>
      <c r="B1076" s="826" t="str">
        <f ca="1">_xlfn.CONCAT(IFERROR(SUBSTITUTE(ADDRESS(1,MATCH(A1076,INDIRECT("'"&amp;E1076&amp;"'"&amp;"!A" &amp; $O$1069 + 11 &amp; ":Z" &amp; $O$1069 + 11),0),4),1,""),""),$O$1069+ 11)</f>
        <v>H404</v>
      </c>
      <c r="C1076" s="826" t="str">
        <f ca="1">_xlfn.CONCAT(IFERROR(SUBSTITUTE(ADDRESS(1,MATCH(A1076,INDIRECT("'"&amp;E1076&amp;"'"&amp;"!A" &amp; $O$1069 + 11 &amp; ":Z" &amp; $O$1069 + 11),0),4),1,""),""),$O$1069+ 12)</f>
        <v>H405</v>
      </c>
      <c r="D1076" s="826" t="s">
        <v>1350</v>
      </c>
      <c r="E1076" s="826" t="s">
        <v>1516</v>
      </c>
      <c r="F1076" s="1314" t="s">
        <v>1492</v>
      </c>
      <c r="G1076" s="1314" t="str">
        <f>IF(T1076&lt;&gt;"","AL","")</f>
        <v/>
      </c>
      <c r="H1076" s="1314" t="s">
        <v>1990</v>
      </c>
      <c r="I1076" s="1274" t="str">
        <f t="shared" si="174"/>
        <v/>
      </c>
      <c r="J1076" s="1314" t="str">
        <f t="shared" si="185"/>
        <v/>
      </c>
      <c r="K1076" s="1314" t="str">
        <f t="shared" si="175"/>
        <v/>
      </c>
      <c r="L1076" s="826" t="s">
        <v>1492</v>
      </c>
      <c r="M1076" s="1329">
        <v>1059</v>
      </c>
      <c r="N1076" s="1314"/>
      <c r="O1076" s="1311"/>
      <c r="P1076" s="1311"/>
      <c r="Q1076" s="1311"/>
      <c r="R1076" s="1314" t="s">
        <v>1700</v>
      </c>
      <c r="S1076" s="1311"/>
      <c r="T1076" s="1314" t="str">
        <f>IF(Q$1069="Yes",28,"")</f>
        <v/>
      </c>
      <c r="U1076" s="1311"/>
      <c r="V1076" s="1311"/>
      <c r="W1076" s="1311"/>
      <c r="X1076" s="1311"/>
      <c r="Y1076" s="1311"/>
      <c r="Z1076" s="1311"/>
    </row>
    <row r="1077" spans="1:26" x14ac:dyDescent="0.25">
      <c r="A1077" s="992" t="s">
        <v>1396</v>
      </c>
      <c r="B1077" s="826" t="str">
        <f ca="1">_xlfn.CONCAT(IFERROR(SUBSTITUTE(ADDRESS(1,MATCH(A1077,INDIRECT("'"&amp;E1077&amp;"'"&amp;"!A" &amp; $O$1069 + 5 &amp; ":Z" &amp; $O$1069 + 5),0),4),1,""),""),$O$1069+ 5)</f>
        <v>H398</v>
      </c>
      <c r="C1077" s="826" t="str">
        <f ca="1">_xlfn.CONCAT(IFERROR(SUBSTITUTE(ADDRESS(1,MATCH(A1077,INDIRECT("'"&amp;E1077&amp;"'"&amp;"!A" &amp; $O$1069 + 5 &amp; ":Z" &amp; $O$1069 + 5),0),4),1,""),""),$O$1069+ 6)</f>
        <v>H399</v>
      </c>
      <c r="D1077" s="826" t="s">
        <v>1350</v>
      </c>
      <c r="E1077" s="826" t="s">
        <v>1516</v>
      </c>
      <c r="F1077" s="1353" t="s">
        <v>1396</v>
      </c>
      <c r="G1077" s="1353" t="str">
        <f>IF(T1077&lt;&gt;"","S","")</f>
        <v/>
      </c>
      <c r="H1077" s="1353" t="s">
        <v>1990</v>
      </c>
      <c r="I1077" s="1274" t="str">
        <f t="shared" si="174"/>
        <v/>
      </c>
      <c r="J1077" s="1314" t="str">
        <f t="shared" si="185"/>
        <v/>
      </c>
      <c r="K1077" s="1314" t="str">
        <f t="shared" si="175"/>
        <v/>
      </c>
      <c r="L1077" s="826" t="s">
        <v>1396</v>
      </c>
      <c r="M1077" s="1329">
        <v>1060</v>
      </c>
      <c r="N1077" s="1314"/>
      <c r="O1077" s="1311"/>
      <c r="P1077" s="1311"/>
      <c r="Q1077" s="1311"/>
      <c r="R1077" s="1314" t="s">
        <v>1700</v>
      </c>
      <c r="S1077" s="1311"/>
      <c r="T1077" s="1353" t="str">
        <f>IF(Q$1069="Yes",28,"")</f>
        <v/>
      </c>
      <c r="U1077" s="1311"/>
      <c r="V1077" s="1311"/>
      <c r="W1077" s="1311"/>
      <c r="X1077" s="1311"/>
      <c r="Y1077" s="1311"/>
      <c r="Z1077" s="1311"/>
    </row>
    <row r="1078" spans="1:26" x14ac:dyDescent="0.25">
      <c r="A1078" s="992" t="s">
        <v>1474</v>
      </c>
      <c r="B1078" s="826" t="str">
        <f ca="1">_xlfn.CONCAT(IFERROR(SUBSTITUTE(ADDRESS(1,MATCH(A1078,INDIRECT("'"&amp;E1078&amp;"'"&amp;"!A" &amp; $O$1069 + 5 &amp; ":Z" &amp; $O$1069 + 5),0),4),1,""),""),$O$1069+ 5)</f>
        <v>J398</v>
      </c>
      <c r="C1078" s="826" t="str">
        <f ca="1">_xlfn.CONCAT(IFERROR(SUBSTITUTE(ADDRESS(1,MATCH(A1078,INDIRECT("'"&amp;E1078&amp;"'"&amp;"!A" &amp; $O$1069 + 5 &amp; ":Z" &amp; $O$1069 + 5),0),4),1,""),""),$O$1069+ 6)</f>
        <v>J399</v>
      </c>
      <c r="D1078" s="826" t="s">
        <v>1350</v>
      </c>
      <c r="E1078" s="826" t="s">
        <v>1516</v>
      </c>
      <c r="F1078" s="1314"/>
      <c r="G1078" s="1314"/>
      <c r="H1078" s="1314"/>
      <c r="I1078" s="1274" t="str">
        <f t="shared" si="174"/>
        <v/>
      </c>
      <c r="J1078" s="1314" t="str">
        <f t="shared" si="185"/>
        <v/>
      </c>
      <c r="K1078" s="1314" t="str">
        <f t="shared" si="175"/>
        <v/>
      </c>
      <c r="L1078" s="826" t="s">
        <v>1474</v>
      </c>
      <c r="M1078" s="1329">
        <v>1061</v>
      </c>
      <c r="N1078" s="1314"/>
      <c r="O1078" s="1311"/>
      <c r="P1078" s="1311"/>
      <c r="Q1078" s="1311"/>
      <c r="R1078" s="1314" t="s">
        <v>1700</v>
      </c>
      <c r="S1078" s="1311"/>
      <c r="T1078" s="1311"/>
      <c r="U1078" s="1311"/>
      <c r="V1078" s="1311"/>
      <c r="W1078" s="1311"/>
      <c r="X1078" s="1311"/>
      <c r="Y1078" s="1311"/>
      <c r="Z1078" s="1311"/>
    </row>
    <row r="1079" spans="1:26" x14ac:dyDescent="0.25">
      <c r="A1079" s="1010" t="s">
        <v>1479</v>
      </c>
      <c r="B1079" s="826" t="str">
        <f ca="1">_xlfn.CONCAT(IFERROR(SUBSTITUTE(ADDRESS(1,MATCH(A1079,INDIRECT("'"&amp;E1079&amp;"'"&amp;"!A" &amp; $O$1069 + 8 &amp; ":Z" &amp; $O$1069 + 8),0),4),1,""),""),$O$1069+ 8)</f>
        <v>J401</v>
      </c>
      <c r="C1079" s="826" t="str">
        <f ca="1">_xlfn.CONCAT(IFERROR(SUBSTITUTE(ADDRESS(1,MATCH(A1079,INDIRECT("'"&amp;E1079&amp;"'"&amp;"!A" &amp; $O$1069 + 8 &amp; ":Z" &amp; $O$1069 + 8),0),4),1,""),""),$O$1069+ 9)</f>
        <v>J402</v>
      </c>
      <c r="D1079" s="826" t="s">
        <v>1350</v>
      </c>
      <c r="E1079" s="826" t="s">
        <v>1516</v>
      </c>
      <c r="F1079" s="1314" t="s">
        <v>1479</v>
      </c>
      <c r="G1079" s="1314" t="str">
        <f>IF(T1079&lt;&gt;"","AY","")</f>
        <v/>
      </c>
      <c r="H1079" s="1314" t="s">
        <v>1990</v>
      </c>
      <c r="I1079" s="1274" t="str">
        <f t="shared" si="174"/>
        <v/>
      </c>
      <c r="J1079" s="1314" t="str">
        <f t="shared" si="185"/>
        <v/>
      </c>
      <c r="K1079" s="1314" t="str">
        <f t="shared" si="175"/>
        <v/>
      </c>
      <c r="L1079" s="827" t="s">
        <v>1479</v>
      </c>
      <c r="M1079" s="1329">
        <v>1062</v>
      </c>
      <c r="N1079" s="1314"/>
      <c r="O1079" s="1311"/>
      <c r="P1079" s="1311"/>
      <c r="Q1079" s="1311"/>
      <c r="R1079" s="1314" t="s">
        <v>1700</v>
      </c>
      <c r="S1079" s="1311"/>
      <c r="T1079" s="1314" t="str">
        <f t="shared" ref="T1079:T1081" si="187">IF(Q$1069="Yes",28,"")</f>
        <v/>
      </c>
      <c r="U1079" s="1311"/>
      <c r="V1079" s="1311"/>
      <c r="W1079" s="1311"/>
      <c r="X1079" s="1311"/>
      <c r="Y1079" s="1311"/>
      <c r="Z1079" s="1311"/>
    </row>
    <row r="1080" spans="1:26" x14ac:dyDescent="0.25">
      <c r="A1080" s="992" t="s">
        <v>1135</v>
      </c>
      <c r="B1080" s="826" t="str">
        <f ca="1">_xlfn.CONCAT(IFERROR(SUBSTITUTE(ADDRESS(1,MATCH(A1080,INDIRECT("'"&amp;E1080&amp;"'"&amp;"!A" &amp; $O$1069 + 8 &amp; ":Z" &amp; $O$1069 + 8),0),4),1,""),""),$O$1069+ 8)</f>
        <v>L401</v>
      </c>
      <c r="C1080" s="826" t="str">
        <f ca="1">_xlfn.CONCAT(IFERROR(SUBSTITUTE(ADDRESS(1,MATCH(A1080,INDIRECT("'"&amp;E1080&amp;"'"&amp;"!A" &amp; $O$1069 + 8 &amp; ":Z" &amp; $O$1069 + 8),0),4),1,""),""),$O$1069+ 9)</f>
        <v>L402</v>
      </c>
      <c r="D1080" s="826" t="s">
        <v>1350</v>
      </c>
      <c r="E1080" s="826" t="s">
        <v>1516</v>
      </c>
      <c r="F1080" s="1314"/>
      <c r="G1080" s="1314"/>
      <c r="H1080" s="1314"/>
      <c r="I1080" s="1274" t="str">
        <f t="shared" si="174"/>
        <v/>
      </c>
      <c r="J1080" s="1314" t="str">
        <f t="shared" si="185"/>
        <v/>
      </c>
      <c r="K1080" s="1314" t="str">
        <f t="shared" si="175"/>
        <v/>
      </c>
      <c r="L1080" s="826" t="s">
        <v>1135</v>
      </c>
      <c r="M1080" s="1329">
        <v>1063</v>
      </c>
      <c r="N1080" s="1314"/>
      <c r="O1080" s="1311"/>
      <c r="P1080" s="1311"/>
      <c r="Q1080" s="1311"/>
      <c r="R1080" s="1314" t="s">
        <v>1700</v>
      </c>
      <c r="S1080" s="1311"/>
      <c r="T1080" s="1311"/>
      <c r="U1080" s="1311"/>
      <c r="V1080" s="1311"/>
      <c r="W1080" s="1311"/>
      <c r="X1080" s="1311"/>
      <c r="Y1080" s="1311"/>
      <c r="Z1080" s="1311"/>
    </row>
    <row r="1081" spans="1:26" x14ac:dyDescent="0.25">
      <c r="A1081" s="992" t="s">
        <v>1402</v>
      </c>
      <c r="B1081" s="826" t="str">
        <f ca="1">_xlfn.CONCAT(IFERROR(SUBSTITUTE(ADDRESS(1,MATCH(A1081,INDIRECT("'"&amp;E1081&amp;"'"&amp;"!A" &amp; $O$1069 + 8 &amp; ":Z" &amp; $O$1069 + 8),0),4),1,""),""),$O$1069+ 8)</f>
        <v>R401</v>
      </c>
      <c r="C1081" s="826" t="str">
        <f ca="1">_xlfn.CONCAT(IFERROR(SUBSTITUTE(ADDRESS(1,MATCH(A1081,INDIRECT("'"&amp;E1081&amp;"'"&amp;"!A" &amp; $O$1069 + 8 &amp; ":Z" &amp; $O$1069 + 8),0),4),1,""),""),$O$1069+ 9)</f>
        <v>R402</v>
      </c>
      <c r="D1081" s="826" t="s">
        <v>1350</v>
      </c>
      <c r="E1081" s="826" t="s">
        <v>1516</v>
      </c>
      <c r="F1081" s="1081" t="s">
        <v>1402</v>
      </c>
      <c r="G1081" s="1314" t="str">
        <f>IF(T1081&lt;&gt;"","AT","")</f>
        <v/>
      </c>
      <c r="H1081" s="1314" t="s">
        <v>1990</v>
      </c>
      <c r="I1081" s="1274" t="str">
        <f t="shared" si="174"/>
        <v/>
      </c>
      <c r="J1081" s="1314" t="str">
        <f t="shared" si="185"/>
        <v/>
      </c>
      <c r="K1081" s="1314" t="str">
        <f t="shared" si="175"/>
        <v/>
      </c>
      <c r="L1081" s="826" t="s">
        <v>1402</v>
      </c>
      <c r="M1081" s="1329">
        <v>1064</v>
      </c>
      <c r="N1081" s="1314"/>
      <c r="O1081" s="1311"/>
      <c r="P1081" s="1311"/>
      <c r="Q1081" s="1311"/>
      <c r="R1081" s="1314" t="s">
        <v>1700</v>
      </c>
      <c r="S1081" s="1311"/>
      <c r="T1081" s="1314" t="str">
        <f t="shared" si="187"/>
        <v/>
      </c>
      <c r="U1081" s="1311"/>
      <c r="V1081" s="1311"/>
      <c r="W1081" s="1311"/>
      <c r="X1081" s="1311"/>
      <c r="Y1081" s="1311"/>
      <c r="Z1081" s="1311"/>
    </row>
    <row r="1082" spans="1:26" x14ac:dyDescent="0.25">
      <c r="A1082" s="992" t="s">
        <v>1480</v>
      </c>
      <c r="B1082" s="826" t="str">
        <f ca="1">_xlfn.CONCAT(IFERROR(SUBSTITUTE(ADDRESS(1,MATCH(A1082,INDIRECT("'"&amp;E1082&amp;"'"&amp;"!A" &amp; $O$1069 + 8 &amp; ":Z" &amp; $O$1069 + 8),0),4),1,""),""),$O$1069+ 8)</f>
        <v>N401</v>
      </c>
      <c r="C1082" s="826" t="str">
        <f ca="1">_xlfn.CONCAT(IFERROR(SUBSTITUTE(ADDRESS(1,MATCH(A1082,INDIRECT("'"&amp;E1082&amp;"'"&amp;"!A" &amp; $O$1069 + 8 &amp; ":Z" &amp; $O$1069 + 8),0),4),1,""),""),$O$1069+ 9)</f>
        <v>N402</v>
      </c>
      <c r="D1082" s="826" t="s">
        <v>1350</v>
      </c>
      <c r="E1082" s="826" t="s">
        <v>1516</v>
      </c>
      <c r="F1082" s="1314"/>
      <c r="G1082" s="1314"/>
      <c r="H1082" s="1314"/>
      <c r="I1082" s="1274" t="str">
        <f t="shared" si="174"/>
        <v/>
      </c>
      <c r="J1082" s="1314" t="str">
        <f t="shared" si="185"/>
        <v/>
      </c>
      <c r="K1082" s="1314" t="str">
        <f t="shared" si="175"/>
        <v/>
      </c>
      <c r="L1082" s="826" t="s">
        <v>1480</v>
      </c>
      <c r="M1082" s="1329">
        <v>1065</v>
      </c>
      <c r="N1082" s="1314"/>
      <c r="O1082" s="1311"/>
      <c r="P1082" s="1311"/>
      <c r="Q1082" s="1311"/>
      <c r="R1082" s="1314" t="s">
        <v>1700</v>
      </c>
      <c r="S1082" s="1311"/>
      <c r="T1082" s="1311"/>
      <c r="U1082" s="1311"/>
      <c r="V1082" s="1311"/>
      <c r="W1082" s="1311"/>
      <c r="X1082" s="1311"/>
      <c r="Y1082" s="1311"/>
      <c r="Z1082" s="1311"/>
    </row>
    <row r="1083" spans="1:26" x14ac:dyDescent="0.25">
      <c r="A1083" s="992" t="s">
        <v>1134</v>
      </c>
      <c r="B1083" s="826" t="str">
        <f ca="1">_xlfn.CONCAT(IFERROR(SUBSTITUTE(ADDRESS(1,MATCH(A1083,INDIRECT("'"&amp;E1083&amp;"'"&amp;"!A" &amp; $O$1069 + 8 &amp; ":Z" &amp; $O$1069 + 8),0),4),1,""),""),$O$1069+ 8)</f>
        <v>P401</v>
      </c>
      <c r="C1083" s="826" t="str">
        <f ca="1">_xlfn.CONCAT(IFERROR(SUBSTITUTE(ADDRESS(1,MATCH(A1083,INDIRECT("'"&amp;E1083&amp;"'"&amp;"!A" &amp; $O$1069 + 8 &amp; ":Z" &amp; $O$1069 + 8),0),4),1,""),""),$O$1069+ 9)</f>
        <v>P402</v>
      </c>
      <c r="D1083" s="826" t="s">
        <v>1350</v>
      </c>
      <c r="E1083" s="826" t="s">
        <v>1516</v>
      </c>
      <c r="F1083" s="1314"/>
      <c r="G1083" s="1314"/>
      <c r="H1083" s="1314"/>
      <c r="I1083" s="1274" t="str">
        <f t="shared" si="174"/>
        <v/>
      </c>
      <c r="J1083" s="1314" t="str">
        <f t="shared" si="185"/>
        <v/>
      </c>
      <c r="K1083" s="1314" t="str">
        <f t="shared" si="175"/>
        <v/>
      </c>
      <c r="L1083" s="826" t="s">
        <v>1134</v>
      </c>
      <c r="M1083" s="1329">
        <v>1066</v>
      </c>
      <c r="N1083" s="1314"/>
      <c r="O1083" s="1311"/>
      <c r="P1083" s="1311"/>
      <c r="Q1083" s="1311"/>
      <c r="R1083" s="1314" t="s">
        <v>1700</v>
      </c>
      <c r="S1083" s="1311"/>
      <c r="T1083" s="1311"/>
      <c r="U1083" s="1311"/>
      <c r="V1083" s="1311"/>
      <c r="W1083" s="1311"/>
      <c r="X1083" s="1311"/>
      <c r="Y1083" s="1311"/>
      <c r="Z1083" s="1311"/>
    </row>
    <row r="1084" spans="1:26" x14ac:dyDescent="0.25">
      <c r="A1084" s="847" t="s">
        <v>1491</v>
      </c>
      <c r="B1084" s="826" t="str">
        <f ca="1">IFERROR(_xlfn.CONCAT("C",MATCH(A1084,INDIRECT("'"&amp;E1084&amp;"'!C"&amp;$O$1085&amp;":C"&amp;$O$1087),0)+$O$1085-1),"")</f>
        <v>C411</v>
      </c>
      <c r="C1084" s="826" t="str">
        <f ca="1">IFERROR(_xlfn.CONCAT("D",MATCH(A1084,INDIRECT("'"&amp;E1084&amp;"'!C"&amp;$O$1085&amp;":C"&amp;$O$1087),0)+$O$1085-1),"")</f>
        <v>D411</v>
      </c>
      <c r="D1084" s="826" t="s">
        <v>1350</v>
      </c>
      <c r="E1084" s="826" t="s">
        <v>1516</v>
      </c>
      <c r="F1084" s="1314" t="s">
        <v>1491</v>
      </c>
      <c r="G1084" s="1314" t="str">
        <f>IF(T1084&lt;&gt;"","A","")</f>
        <v/>
      </c>
      <c r="H1084" s="1314" t="s">
        <v>1990</v>
      </c>
      <c r="I1084" s="1274" t="str">
        <f t="shared" si="174"/>
        <v/>
      </c>
      <c r="J1084" s="1314"/>
      <c r="K1084" s="1314" t="str">
        <f t="shared" si="175"/>
        <v/>
      </c>
      <c r="L1084" s="826" t="s">
        <v>1491</v>
      </c>
      <c r="M1084" s="1329">
        <v>1067</v>
      </c>
      <c r="N1084" s="1314"/>
      <c r="O1084" s="1311" t="s">
        <v>725</v>
      </c>
      <c r="P1084" s="18"/>
      <c r="Q1084" s="1311"/>
      <c r="R1084" s="1314" t="s">
        <v>1099</v>
      </c>
      <c r="S1084" s="1311"/>
      <c r="T1084" s="1314" t="str">
        <f>IF(Q$1085="Yes",29,"")</f>
        <v/>
      </c>
      <c r="U1084" s="1311"/>
      <c r="V1084" s="1311"/>
      <c r="W1084" s="1311"/>
      <c r="X1084" s="1311"/>
      <c r="Y1084" s="1311"/>
      <c r="Z1084" s="1311"/>
    </row>
    <row r="1085" spans="1:26" x14ac:dyDescent="0.25">
      <c r="A1085" s="847" t="s">
        <v>1705</v>
      </c>
      <c r="B1085" s="826" t="str">
        <f ca="1">_xlfn.CONCAT(IFERROR(SUBSTITUTE(ADDRESS(1,MATCH(A1085,INDIRECT("'"&amp;E1085&amp;"'"&amp;"!A" &amp; $O$1085 + 11 &amp; ":Z" &amp; $O$1085 + 11),0),4),1,""),""),$O$1085+ 11)</f>
        <v>T418</v>
      </c>
      <c r="C1085" s="826" t="str">
        <f ca="1">_xlfn.CONCAT(IFERROR(SUBSTITUTE(ADDRESS(1,MATCH(A1085,INDIRECT("'"&amp;E1085&amp;"'"&amp;"!A" &amp; $O$1085 + 11 &amp; ":Z" &amp; $O$1085 + 11),0),4),1,""),""),$O$1085+ 12)</f>
        <v>T419</v>
      </c>
      <c r="D1085" s="826" t="s">
        <v>1350</v>
      </c>
      <c r="E1085" s="826" t="s">
        <v>1516</v>
      </c>
      <c r="F1085" s="1314"/>
      <c r="G1085" s="1314"/>
      <c r="H1085" s="1314"/>
      <c r="I1085" s="1274" t="str">
        <f t="shared" si="174"/>
        <v/>
      </c>
      <c r="J1085" s="1314" t="str">
        <f t="shared" ref="J1085:J1093" si="188">IF(M1085&lt;&gt;"",IF($Q$1085="Yes",Q$1&amp;M1085,""))</f>
        <v/>
      </c>
      <c r="K1085" s="1314" t="str">
        <f t="shared" si="175"/>
        <v/>
      </c>
      <c r="L1085" s="826" t="s">
        <v>1705</v>
      </c>
      <c r="M1085" s="1329">
        <v>1068</v>
      </c>
      <c r="N1085" s="1314"/>
      <c r="O1085" s="1311">
        <f>'Configurable Tab'!H31</f>
        <v>407</v>
      </c>
      <c r="P1085" s="18" t="str">
        <f>'Configurable Tab'!J31</f>
        <v>No</v>
      </c>
      <c r="Q1085" s="1351" t="s">
        <v>648</v>
      </c>
      <c r="R1085" s="1314" t="s">
        <v>1099</v>
      </c>
      <c r="S1085" s="1311"/>
      <c r="T1085" s="1314" t="str">
        <f t="shared" ref="T1085:T1090" si="189">IF(Q$1085="Yes",29,"")</f>
        <v/>
      </c>
      <c r="U1085" s="1311"/>
      <c r="V1085" s="1311"/>
      <c r="W1085" s="1311"/>
      <c r="X1085" s="1311"/>
      <c r="Y1085" s="1311"/>
      <c r="Z1085" s="1311"/>
    </row>
    <row r="1086" spans="1:26" x14ac:dyDescent="0.25">
      <c r="A1086" s="847" t="s">
        <v>1383</v>
      </c>
      <c r="B1086" s="826" t="str">
        <f ca="1">IFERROR(_xlfn.CONCAT("C",MATCH(A1086,INDIRECT("'"&amp;E1086&amp;"'!C"&amp;$O$1085&amp;":C"&amp;$O$1087),0)+$O$1085-1),"")</f>
        <v>C409</v>
      </c>
      <c r="C1086" s="826" t="str">
        <f ca="1">IFERROR(_xlfn.CONCAT("D",MATCH(A1086,INDIRECT("'"&amp;E1086&amp;"'!C"&amp;$O$1085&amp;":C"&amp;$O$1087),0)+$O$1085-1),"")</f>
        <v>D409</v>
      </c>
      <c r="D1086" s="826" t="s">
        <v>1350</v>
      </c>
      <c r="E1086" s="826" t="s">
        <v>1516</v>
      </c>
      <c r="F1086" s="1314" t="s">
        <v>1383</v>
      </c>
      <c r="G1086" s="1314" t="str">
        <f>IF(T1086&lt;&gt;"","B","")</f>
        <v/>
      </c>
      <c r="H1086" s="1314" t="s">
        <v>1990</v>
      </c>
      <c r="I1086" s="1274" t="str">
        <f t="shared" si="174"/>
        <v/>
      </c>
      <c r="J1086" s="1314"/>
      <c r="K1086" s="1314" t="str">
        <f t="shared" si="175"/>
        <v/>
      </c>
      <c r="L1086" s="826" t="s">
        <v>1383</v>
      </c>
      <c r="M1086" s="1329">
        <v>1069</v>
      </c>
      <c r="N1086" s="1314"/>
      <c r="O1086" s="1311" t="s">
        <v>726</v>
      </c>
      <c r="P1086" s="1311"/>
      <c r="Q1086" s="1311"/>
      <c r="R1086" s="1314" t="s">
        <v>1099</v>
      </c>
      <c r="S1086" s="1311"/>
      <c r="T1086" s="1314" t="str">
        <f t="shared" si="189"/>
        <v/>
      </c>
      <c r="U1086" s="1311"/>
      <c r="V1086" s="1311"/>
      <c r="W1086" s="1311"/>
      <c r="X1086" s="1311"/>
      <c r="Y1086" s="1311"/>
      <c r="Z1086" s="1311"/>
    </row>
    <row r="1087" spans="1:26" x14ac:dyDescent="0.25">
      <c r="A1087" s="847" t="s">
        <v>1381</v>
      </c>
      <c r="B1087" s="826" t="str">
        <f ca="1">_xlfn.CONCAT(IFERROR(SUBSTITUTE(ADDRESS(1,MATCH(A1087,INDIRECT("'"&amp;E1087&amp;"'"&amp;"!A" &amp; $O$1085 + 2 &amp; ":Z" &amp; $O$1085 + 2),0),4),1,""),""),$O$1085+ 2)</f>
        <v>J409</v>
      </c>
      <c r="C1087" s="826" t="str">
        <f ca="1">_xlfn.CONCAT(IFERROR(SUBSTITUTE(ADDRESS(1,MATCH(A1087,INDIRECT("'"&amp;E1087&amp;"'"&amp;"!A" &amp; $O$1085 + 2 &amp; ":Z" &amp; $O$1085 + 2),0),4),1,""),""),$O$1085+ 3)</f>
        <v>J410</v>
      </c>
      <c r="D1087" s="826" t="s">
        <v>1350</v>
      </c>
      <c r="E1087" s="826" t="s">
        <v>1516</v>
      </c>
      <c r="F1087" s="1314" t="s">
        <v>1992</v>
      </c>
      <c r="G1087" s="1314" t="str">
        <f>IF(T1087&lt;&gt;"","I","")</f>
        <v/>
      </c>
      <c r="H1087" s="1314" t="s">
        <v>1990</v>
      </c>
      <c r="I1087" s="1274" t="str">
        <f t="shared" si="174"/>
        <v/>
      </c>
      <c r="J1087" s="1314" t="str">
        <f t="shared" si="188"/>
        <v/>
      </c>
      <c r="K1087" s="1314" t="str">
        <f t="shared" si="175"/>
        <v/>
      </c>
      <c r="L1087" s="826" t="s">
        <v>1381</v>
      </c>
      <c r="M1087" s="1329">
        <v>1070</v>
      </c>
      <c r="N1087" s="1314"/>
      <c r="O1087" s="1311">
        <f>'Configurable Tab'!I31</f>
        <v>420</v>
      </c>
      <c r="P1087" s="1311"/>
      <c r="Q1087" s="1311"/>
      <c r="R1087" s="1314" t="s">
        <v>1099</v>
      </c>
      <c r="S1087" s="1311"/>
      <c r="T1087" s="1314" t="str">
        <f t="shared" si="189"/>
        <v/>
      </c>
      <c r="U1087" s="1311"/>
      <c r="V1087" s="1311"/>
      <c r="W1087" s="1311"/>
      <c r="X1087" s="1311"/>
      <c r="Y1087" s="1311"/>
      <c r="Z1087" s="1311"/>
    </row>
    <row r="1088" spans="1:26" x14ac:dyDescent="0.25">
      <c r="A1088" s="847" t="s">
        <v>1382</v>
      </c>
      <c r="B1088" s="826" t="str">
        <f ca="1">_xlfn.CONCAT(IFERROR(SUBSTITUTE(ADDRESS(1,MATCH(A1088,INDIRECT("'"&amp;E1088&amp;"'"&amp;"!A" &amp; $O$1085 + 2 &amp; ":Z" &amp; $O$1085 + 2),0),4),1,""),""),$O$1085+ 2)</f>
        <v>N409</v>
      </c>
      <c r="C1088" s="826" t="str">
        <f ca="1">_xlfn.CONCAT(IFERROR(SUBSTITUTE(ADDRESS(1,MATCH(A1088,INDIRECT("'"&amp;E1088&amp;"'"&amp;"!A" &amp; $O$1085 + 2 &amp; ":Z" &amp; $O$1085 + 2),0),4),1,""),""),$O$1085+ 3)</f>
        <v>N410</v>
      </c>
      <c r="D1088" s="826" t="s">
        <v>1350</v>
      </c>
      <c r="E1088" s="826" t="s">
        <v>1516</v>
      </c>
      <c r="F1088" s="1314" t="s">
        <v>1382</v>
      </c>
      <c r="G1088" s="1314" t="str">
        <f>IF(T1088&lt;&gt;"",IF(Q1087="Credit Memo","J",IF(Q1087="Check","K","")),"")</f>
        <v/>
      </c>
      <c r="H1088" s="1314" t="s">
        <v>1990</v>
      </c>
      <c r="I1088" s="1274" t="str">
        <f t="shared" si="174"/>
        <v/>
      </c>
      <c r="J1088" s="1314" t="str">
        <f t="shared" si="188"/>
        <v/>
      </c>
      <c r="K1088" s="1314" t="str">
        <f t="shared" si="175"/>
        <v/>
      </c>
      <c r="L1088" s="826" t="s">
        <v>1382</v>
      </c>
      <c r="M1088" s="1329">
        <v>1071</v>
      </c>
      <c r="N1088" s="1314"/>
      <c r="O1088" s="1311" t="s">
        <v>1656</v>
      </c>
      <c r="P1088" s="1311"/>
      <c r="Q1088" s="1311"/>
      <c r="R1088" s="1314" t="s">
        <v>1099</v>
      </c>
      <c r="S1088" s="1311"/>
      <c r="T1088" s="1314" t="str">
        <f t="shared" si="189"/>
        <v/>
      </c>
      <c r="U1088" s="1311"/>
      <c r="V1088" s="1311"/>
      <c r="W1088" s="1311"/>
      <c r="X1088" s="1311"/>
      <c r="Y1088" s="1311"/>
      <c r="Z1088" s="1311"/>
    </row>
    <row r="1089" spans="1:26" x14ac:dyDescent="0.25">
      <c r="A1089" s="847" t="s">
        <v>1385</v>
      </c>
      <c r="B1089" s="826" t="str">
        <f ca="1">IFERROR(_xlfn.CONCAT("C",MATCH(A1089,INDIRECT("'"&amp;E1089&amp;"'!C"&amp;$O$1085&amp;":C"&amp;$O$1087),0)+$O$1085-1),"")</f>
        <v>C413</v>
      </c>
      <c r="C1089" s="826" t="str">
        <f ca="1">IFERROR(_xlfn.CONCAT("D",MATCH(A1089,INDIRECT("'"&amp;E1089&amp;"'!C"&amp;$O$1085&amp;":C"&amp;$O$1087),0)+$O$1085-1),"")</f>
        <v>D413</v>
      </c>
      <c r="D1089" s="826" t="s">
        <v>1350</v>
      </c>
      <c r="E1089" s="826" t="s">
        <v>1516</v>
      </c>
      <c r="F1089" s="1314" t="s">
        <v>1385</v>
      </c>
      <c r="G1089" s="1314" t="str">
        <f>IF(T1089&lt;&gt;"","C","")</f>
        <v/>
      </c>
      <c r="H1089" s="1314" t="s">
        <v>1990</v>
      </c>
      <c r="I1089" s="1274" t="str">
        <f t="shared" si="174"/>
        <v/>
      </c>
      <c r="J1089" s="1314"/>
      <c r="K1089" s="1314" t="str">
        <f t="shared" si="175"/>
        <v/>
      </c>
      <c r="L1089" s="826" t="s">
        <v>1385</v>
      </c>
      <c r="M1089" s="1329">
        <v>1072</v>
      </c>
      <c r="N1089" s="1314"/>
      <c r="O1089" s="1311"/>
      <c r="P1089" s="1311"/>
      <c r="Q1089" s="1311"/>
      <c r="R1089" s="1314" t="s">
        <v>1099</v>
      </c>
      <c r="S1089" s="1311"/>
      <c r="T1089" s="1314" t="str">
        <f t="shared" si="189"/>
        <v/>
      </c>
      <c r="U1089" s="1311"/>
      <c r="V1089" s="1311"/>
      <c r="W1089" s="1311"/>
      <c r="X1089" s="1311"/>
      <c r="Y1089" s="1311"/>
      <c r="Z1089" s="1311"/>
    </row>
    <row r="1090" spans="1:26" x14ac:dyDescent="0.25">
      <c r="A1090" s="847" t="s">
        <v>1386</v>
      </c>
      <c r="B1090" s="826" t="str">
        <f ca="1">IFERROR(_xlfn.CONCAT("C",MATCH(A1090,INDIRECT("'"&amp;E1090&amp;"'!C"&amp;$O$1085&amp;":C"&amp;$O$1087),0)+$O$1085-1),"")</f>
        <v>C415</v>
      </c>
      <c r="C1090" s="826" t="str">
        <f ca="1">IFERROR(_xlfn.CONCAT("D",MATCH(A1090,INDIRECT("'"&amp;E1090&amp;"'!C"&amp;$O$1085&amp;":C"&amp;$O$1087),0)+$O$1085-1),"")</f>
        <v>D415</v>
      </c>
      <c r="D1090" s="826" t="s">
        <v>1350</v>
      </c>
      <c r="E1090" s="826" t="s">
        <v>1516</v>
      </c>
      <c r="F1090" s="1314" t="s">
        <v>1386</v>
      </c>
      <c r="G1090" s="1314" t="str">
        <f>IF(T1090&lt;&gt;"","D","")</f>
        <v/>
      </c>
      <c r="H1090" s="1314" t="s">
        <v>1990</v>
      </c>
      <c r="I1090" s="1274" t="str">
        <f t="shared" si="174"/>
        <v/>
      </c>
      <c r="J1090" s="1314"/>
      <c r="K1090" s="1314" t="str">
        <f t="shared" si="175"/>
        <v/>
      </c>
      <c r="L1090" s="826" t="s">
        <v>1386</v>
      </c>
      <c r="M1090" s="1329">
        <v>1073</v>
      </c>
      <c r="N1090" s="1314"/>
      <c r="O1090" s="1311"/>
      <c r="P1090" s="1311"/>
      <c r="Q1090" s="1311"/>
      <c r="R1090" s="1314" t="s">
        <v>1099</v>
      </c>
      <c r="S1090" s="1311"/>
      <c r="T1090" s="1314" t="str">
        <f t="shared" si="189"/>
        <v/>
      </c>
      <c r="U1090" s="1311"/>
      <c r="V1090" s="1311"/>
      <c r="W1090" s="1311"/>
      <c r="X1090" s="1311"/>
      <c r="Y1090" s="1311"/>
      <c r="Z1090" s="1311"/>
    </row>
    <row r="1091" spans="1:26" x14ac:dyDescent="0.25">
      <c r="A1091" s="847" t="s">
        <v>1495</v>
      </c>
      <c r="B1091" s="826" t="str">
        <f ca="1">IFERROR(_xlfn.CONCAT("C",MATCH(A1091,INDIRECT("'"&amp;E1091&amp;"'!C"&amp;$O$1085&amp;":C"&amp;$O$1087),0)+$O$1085-1),"")</f>
        <v>C417</v>
      </c>
      <c r="C1091" s="826" t="str">
        <f ca="1">IFERROR(_xlfn.CONCAT("D",MATCH(A1091,INDIRECT("'"&amp;E1091&amp;"'!C"&amp;$O$1085&amp;":C"&amp;$O$1087),0)+$O$1085-1),"")</f>
        <v>D417</v>
      </c>
      <c r="D1091" s="826" t="s">
        <v>1350</v>
      </c>
      <c r="E1091" s="826" t="s">
        <v>1516</v>
      </c>
      <c r="F1091" s="1314" t="s">
        <v>1495</v>
      </c>
      <c r="G1091" s="1314" t="str">
        <f>IF(T1091&lt;&gt;"","AN","")</f>
        <v/>
      </c>
      <c r="H1091" s="1314" t="s">
        <v>1990</v>
      </c>
      <c r="I1091" s="1274" t="str">
        <f t="shared" si="174"/>
        <v/>
      </c>
      <c r="J1091" s="1314" t="str">
        <f t="shared" si="188"/>
        <v/>
      </c>
      <c r="K1091" s="1314" t="str">
        <f t="shared" si="175"/>
        <v/>
      </c>
      <c r="L1091" s="826" t="s">
        <v>1495</v>
      </c>
      <c r="M1091" s="1329">
        <v>1074</v>
      </c>
      <c r="N1091" s="1314"/>
      <c r="O1091" s="18"/>
      <c r="P1091" s="1317" t="str" cm="1">
        <f t="array" aca="1" ref="P1091" ca="1">_xlfn.CONCAT("F",RIGHT(B1091, LEN(B1091) - MAX(IF(ISNUMBER(MID(B1091, ROW(INDIRECT("1:"&amp;LEN(B1091))), 1) *1)=FALSE, ROW(INDIRECT("1:"&amp;LEN(B1091))), 0))))</f>
        <v>F417</v>
      </c>
      <c r="Q1091" s="1314" t="str" cm="1">
        <f t="array" aca="1" ref="Q1091" ca="1">_xlfn.CONCAT("E",RIGHT(C1091, LEN(C1091) - MAX(IF(ISNUMBER(MID(C1091, ROW(INDIRECT("1:"&amp;LEN(C1091))), 1) *1)=FALSE, ROW(INDIRECT("1:"&amp;LEN(C1091))), 0))))</f>
        <v>E417</v>
      </c>
      <c r="R1091" s="1314" t="s">
        <v>1099</v>
      </c>
      <c r="S1091" s="1311"/>
      <c r="T1091" s="1314" t="str">
        <f>IF(Q$1085="Yes",29,"")</f>
        <v/>
      </c>
      <c r="U1091" s="1311"/>
      <c r="V1091" s="1311"/>
      <c r="W1091" s="1311"/>
      <c r="X1091" s="1311"/>
      <c r="Y1091" s="1311"/>
      <c r="Z1091" s="1311"/>
    </row>
    <row r="1092" spans="1:26" x14ac:dyDescent="0.25">
      <c r="A1092" s="847" t="s">
        <v>1492</v>
      </c>
      <c r="B1092" s="826" t="str">
        <f ca="1">_xlfn.CONCAT(IFERROR(SUBSTITUTE(ADDRESS(1,MATCH(A1092,INDIRECT("'"&amp;E1092&amp;"'"&amp;"!A" &amp; $O$1085 + 8 &amp; ":Z" &amp; $O$1085 + 8),0),4),1,""),""),$O$1085+ 8)</f>
        <v>H415</v>
      </c>
      <c r="C1092" s="826" t="str">
        <f ca="1">_xlfn.CONCAT(IFERROR(SUBSTITUTE(ADDRESS(1,MATCH(A1092,INDIRECT("'"&amp;E1092&amp;"'"&amp;"!A" &amp; $O$1085 + 8 &amp; ":Z" &amp; $O$1085 + 8),0),4),1,""),""),$O$1085+ 9)</f>
        <v>H416</v>
      </c>
      <c r="D1092" s="826" t="s">
        <v>1350</v>
      </c>
      <c r="E1092" s="826" t="s">
        <v>1516</v>
      </c>
      <c r="F1092" s="1314" t="s">
        <v>1492</v>
      </c>
      <c r="G1092" s="1314" t="str">
        <f>IF(T1092&lt;&gt;"","AL","")</f>
        <v/>
      </c>
      <c r="H1092" s="1314" t="s">
        <v>1990</v>
      </c>
      <c r="I1092" s="1274" t="str">
        <f t="shared" ref="I1092:I1155" si="190">IF(J1092&lt;&gt;"",A1092,"")</f>
        <v/>
      </c>
      <c r="J1092" s="1314" t="str">
        <f t="shared" si="188"/>
        <v/>
      </c>
      <c r="K1092" s="1314" t="str">
        <f t="shared" ref="K1092:K1155" si="191">IF(J1092&lt;&gt;"",E1092,"")</f>
        <v/>
      </c>
      <c r="L1092" s="826" t="s">
        <v>1492</v>
      </c>
      <c r="M1092" s="1329">
        <v>1075</v>
      </c>
      <c r="N1092" s="1314"/>
      <c r="O1092" s="1311"/>
      <c r="P1092" s="1311"/>
      <c r="Q1092" s="1311"/>
      <c r="R1092" s="1314" t="s">
        <v>1099</v>
      </c>
      <c r="S1092" s="1311"/>
      <c r="T1092" s="1314" t="str">
        <f>IF(Q$1085="Yes",29,"")</f>
        <v/>
      </c>
      <c r="U1092" s="1311"/>
      <c r="V1092" s="1311"/>
      <c r="W1092" s="1311"/>
      <c r="X1092" s="1311"/>
      <c r="Y1092" s="1311"/>
      <c r="Z1092" s="1311"/>
    </row>
    <row r="1093" spans="1:26" x14ac:dyDescent="0.25">
      <c r="A1093" s="847" t="s">
        <v>1396</v>
      </c>
      <c r="B1093" s="826" t="str">
        <f ca="1">_xlfn.CONCAT(IFERROR(SUBSTITUTE(ADDRESS(1,MATCH(A1093,INDIRECT("'"&amp;E1093&amp;"'"&amp;"!A" &amp; $O$1085 + 5 &amp; ":Z" &amp; $O$1085 + 5),0),4),1,""),""),$O$1085+ 5)</f>
        <v>H412</v>
      </c>
      <c r="C1093" s="826" t="str">
        <f ca="1">_xlfn.CONCAT(IFERROR(SUBSTITUTE(ADDRESS(1,MATCH(A1093,INDIRECT("'"&amp;E1093&amp;"'"&amp;"!A" &amp; $O$1085 + 5 &amp; ":Z" &amp; $O$1085 + 5),0),4),1,""),""),$O$1085+ 6)</f>
        <v>H413</v>
      </c>
      <c r="D1093" s="826" t="s">
        <v>1350</v>
      </c>
      <c r="E1093" s="826" t="s">
        <v>1516</v>
      </c>
      <c r="F1093" s="1353" t="s">
        <v>1396</v>
      </c>
      <c r="G1093" s="1353" t="str">
        <f>IF(T1093&lt;&gt;"","S","")</f>
        <v/>
      </c>
      <c r="H1093" s="1353" t="s">
        <v>1990</v>
      </c>
      <c r="I1093" s="1274" t="str">
        <f t="shared" si="190"/>
        <v/>
      </c>
      <c r="J1093" s="1314" t="str">
        <f t="shared" si="188"/>
        <v/>
      </c>
      <c r="K1093" s="1314" t="str">
        <f t="shared" si="191"/>
        <v/>
      </c>
      <c r="L1093" s="826" t="s">
        <v>1396</v>
      </c>
      <c r="M1093" s="1329">
        <v>1076</v>
      </c>
      <c r="N1093" s="1314"/>
      <c r="O1093" s="1311"/>
      <c r="P1093" s="1311"/>
      <c r="Q1093" s="1311"/>
      <c r="R1093" s="1314" t="s">
        <v>1099</v>
      </c>
      <c r="S1093" s="1311"/>
      <c r="T1093" s="1353" t="str">
        <f>IF(Q$1085="Yes",29,"")</f>
        <v/>
      </c>
      <c r="U1093" s="1311"/>
      <c r="V1093" s="1311"/>
      <c r="W1093" s="1311"/>
      <c r="X1093" s="1311"/>
      <c r="Y1093" s="1311"/>
      <c r="Z1093" s="1311"/>
    </row>
    <row r="1094" spans="1:26" x14ac:dyDescent="0.25">
      <c r="A1094" s="850" t="s">
        <v>1491</v>
      </c>
      <c r="B1094" s="826" t="str">
        <f ca="1">IFERROR(_xlfn.CONCAT("C",MATCH(A1094,INDIRECT("'"&amp;E1094&amp;"'!C"&amp;$O$1095&amp;":C"&amp;$O$1097),0)+$O$1095-1),"")</f>
        <v>C425</v>
      </c>
      <c r="C1094" s="826" t="str">
        <f ca="1">IFERROR(_xlfn.CONCAT("D",MATCH(A1094,INDIRECT("'"&amp;E1094&amp;"'!C"&amp;$O$1095&amp;":C"&amp;$O$1097),0)+$O$1095-1),"")</f>
        <v>D425</v>
      </c>
      <c r="D1094" s="826" t="s">
        <v>1350</v>
      </c>
      <c r="E1094" s="826" t="s">
        <v>1516</v>
      </c>
      <c r="F1094" s="1314" t="s">
        <v>1491</v>
      </c>
      <c r="G1094" s="1314" t="str">
        <f>IF(T1094&lt;&gt;"","A","")</f>
        <v/>
      </c>
      <c r="H1094" s="1314" t="s">
        <v>1990</v>
      </c>
      <c r="I1094" s="1274" t="str">
        <f t="shared" si="190"/>
        <v/>
      </c>
      <c r="J1094" s="1314"/>
      <c r="K1094" s="1314" t="str">
        <f t="shared" si="191"/>
        <v/>
      </c>
      <c r="L1094" s="826" t="s">
        <v>1491</v>
      </c>
      <c r="M1094" s="1329">
        <v>1077</v>
      </c>
      <c r="N1094" s="1314"/>
      <c r="O1094" s="1311" t="s">
        <v>725</v>
      </c>
      <c r="P1094" s="18"/>
      <c r="Q1094" s="1311"/>
      <c r="R1094" s="1314" t="s">
        <v>1099</v>
      </c>
      <c r="S1094" s="1311"/>
      <c r="T1094" s="1314" t="str">
        <f>IF(Q$1095="Yes",30,"")</f>
        <v/>
      </c>
      <c r="U1094" s="1311"/>
      <c r="V1094" s="1311"/>
      <c r="W1094" s="1311"/>
      <c r="X1094" s="1311"/>
      <c r="Y1094" s="1311"/>
      <c r="Z1094" s="1311"/>
    </row>
    <row r="1095" spans="1:26" x14ac:dyDescent="0.25">
      <c r="A1095" s="850" t="s">
        <v>1705</v>
      </c>
      <c r="B1095" s="826" t="str">
        <f ca="1">_xlfn.CONCAT(IFERROR(SUBSTITUTE(ADDRESS(1,MATCH(A1095,INDIRECT("'"&amp;E1095&amp;"'"&amp;"!A" &amp; $O$1095 + 11 &amp; ":Z" &amp; $O$1095 + 11),0),4),1,""),""),$O$1095+ 11)</f>
        <v>T432</v>
      </c>
      <c r="C1095" s="826" t="str">
        <f ca="1">_xlfn.CONCAT(IFERROR(SUBSTITUTE(ADDRESS(1,MATCH(A1095,INDIRECT("'"&amp;E1095&amp;"'"&amp;"!A" &amp; $O$1095 + 11 &amp; ":Z" &amp; $O$1095 + 11),0),4),1,""),""),$O$1095+ 12)</f>
        <v>T433</v>
      </c>
      <c r="D1095" s="826" t="s">
        <v>1350</v>
      </c>
      <c r="E1095" s="826" t="s">
        <v>1516</v>
      </c>
      <c r="F1095" s="1314"/>
      <c r="G1095" s="1314"/>
      <c r="H1095" s="1314"/>
      <c r="I1095" s="1274" t="str">
        <f t="shared" si="190"/>
        <v/>
      </c>
      <c r="J1095" s="1314" t="str">
        <f>IF(M1095&lt;&gt;"",IF($Q$1095="Yes",Q$1&amp;M1095,""))</f>
        <v/>
      </c>
      <c r="K1095" s="1314" t="str">
        <f t="shared" si="191"/>
        <v/>
      </c>
      <c r="L1095" s="826" t="s">
        <v>1705</v>
      </c>
      <c r="M1095" s="1329">
        <v>1078</v>
      </c>
      <c r="N1095" s="1314"/>
      <c r="O1095" s="1311">
        <f>'Configurable Tab'!H32</f>
        <v>421</v>
      </c>
      <c r="P1095" s="18" t="str">
        <f>'Configurable Tab'!J32</f>
        <v>No</v>
      </c>
      <c r="Q1095" s="1351" t="s">
        <v>648</v>
      </c>
      <c r="R1095" s="1314" t="s">
        <v>1099</v>
      </c>
      <c r="S1095" s="1311"/>
      <c r="T1095" s="1314" t="str">
        <f t="shared" ref="T1095:T1100" si="192">IF(Q$1095="Yes",30,"")</f>
        <v/>
      </c>
      <c r="U1095" s="1311"/>
      <c r="V1095" s="1311"/>
      <c r="W1095" s="1311"/>
      <c r="X1095" s="1311"/>
      <c r="Y1095" s="1311"/>
      <c r="Z1095" s="1311"/>
    </row>
    <row r="1096" spans="1:26" x14ac:dyDescent="0.25">
      <c r="A1096" s="850" t="s">
        <v>1383</v>
      </c>
      <c r="B1096" s="826" t="str">
        <f ca="1">IFERROR(_xlfn.CONCAT("C",MATCH(A1096,INDIRECT("'"&amp;E1096&amp;"'!C"&amp;$O$1095&amp;":C"&amp;$O$1097),0)+$O$1095-1),"")</f>
        <v>C423</v>
      </c>
      <c r="C1096" s="826" t="str">
        <f ca="1">IFERROR(_xlfn.CONCAT("D",MATCH(A1096,INDIRECT("'"&amp;E1096&amp;"'!C"&amp;$O$1095&amp;":C"&amp;$O$1097),0)+$O$1095-1),"")</f>
        <v>D423</v>
      </c>
      <c r="D1096" s="826" t="s">
        <v>1350</v>
      </c>
      <c r="E1096" s="826" t="s">
        <v>1516</v>
      </c>
      <c r="F1096" s="1314" t="s">
        <v>1383</v>
      </c>
      <c r="G1096" s="1314" t="str">
        <f>IF(T1096&lt;&gt;"","B","")</f>
        <v/>
      </c>
      <c r="H1096" s="1314" t="s">
        <v>1990</v>
      </c>
      <c r="I1096" s="1274" t="str">
        <f t="shared" si="190"/>
        <v/>
      </c>
      <c r="J1096" s="1314"/>
      <c r="K1096" s="1314" t="str">
        <f t="shared" si="191"/>
        <v/>
      </c>
      <c r="L1096" s="826" t="s">
        <v>1383</v>
      </c>
      <c r="M1096" s="1329">
        <v>1079</v>
      </c>
      <c r="N1096" s="1314"/>
      <c r="O1096" s="1311" t="s">
        <v>726</v>
      </c>
      <c r="P1096" s="1311"/>
      <c r="Q1096" s="1311"/>
      <c r="R1096" s="1314" t="s">
        <v>1099</v>
      </c>
      <c r="S1096" s="1311"/>
      <c r="T1096" s="1314" t="str">
        <f t="shared" si="192"/>
        <v/>
      </c>
      <c r="U1096" s="1311"/>
      <c r="V1096" s="1311"/>
      <c r="W1096" s="1311"/>
      <c r="X1096" s="1311"/>
      <c r="Y1096" s="1311"/>
      <c r="Z1096" s="1311"/>
    </row>
    <row r="1097" spans="1:26" x14ac:dyDescent="0.25">
      <c r="A1097" s="850" t="s">
        <v>1381</v>
      </c>
      <c r="B1097" s="826" t="str">
        <f ca="1">_xlfn.CONCAT(IFERROR(SUBSTITUTE(ADDRESS(1,MATCH(A1097,INDIRECT("'"&amp;E1097&amp;"'"&amp;"!A" &amp; $O$1095 + 2 &amp; ":Z" &amp; $O$1095 + 2),0),4),1,""),""),$O$1095+ 2)</f>
        <v>J423</v>
      </c>
      <c r="C1097" s="826" t="str">
        <f ca="1">_xlfn.CONCAT(IFERROR(SUBSTITUTE(ADDRESS(1,MATCH(A1097,INDIRECT("'"&amp;E1097&amp;"'"&amp;"!A" &amp; $O$1095 + 2 &amp; ":Z" &amp; $O$1095 + 2),0),4),1,""),""),$O$1095+ 3)</f>
        <v>J424</v>
      </c>
      <c r="D1097" s="826" t="s">
        <v>1350</v>
      </c>
      <c r="E1097" s="826" t="s">
        <v>1516</v>
      </c>
      <c r="F1097" s="1314" t="s">
        <v>1992</v>
      </c>
      <c r="G1097" s="1314" t="str">
        <f>IF(T1097&lt;&gt;"","I","")</f>
        <v/>
      </c>
      <c r="H1097" s="1314" t="s">
        <v>1990</v>
      </c>
      <c r="I1097" s="1274" t="str">
        <f t="shared" si="190"/>
        <v/>
      </c>
      <c r="J1097" s="1353" t="str">
        <f>IF(M1097&lt;&gt;"",IF($Q$1095="Yes",Q$1&amp;M1097,""))</f>
        <v/>
      </c>
      <c r="K1097" s="1314" t="str">
        <f t="shared" si="191"/>
        <v/>
      </c>
      <c r="L1097" s="826" t="s">
        <v>1381</v>
      </c>
      <c r="M1097" s="1329">
        <v>1080</v>
      </c>
      <c r="N1097" s="1314"/>
      <c r="O1097" s="1311">
        <f>'Configurable Tab'!I32</f>
        <v>434</v>
      </c>
      <c r="P1097" s="1311"/>
      <c r="Q1097" s="1311"/>
      <c r="R1097" s="1314" t="s">
        <v>1099</v>
      </c>
      <c r="S1097" s="1311"/>
      <c r="T1097" s="1314" t="str">
        <f t="shared" si="192"/>
        <v/>
      </c>
      <c r="U1097" s="1311"/>
      <c r="V1097" s="1311"/>
      <c r="W1097" s="1311"/>
      <c r="X1097" s="1311"/>
      <c r="Y1097" s="1311"/>
      <c r="Z1097" s="1311"/>
    </row>
    <row r="1098" spans="1:26" x14ac:dyDescent="0.25">
      <c r="A1098" s="850" t="s">
        <v>1382</v>
      </c>
      <c r="B1098" s="826" t="str">
        <f ca="1">_xlfn.CONCAT(IFERROR(SUBSTITUTE(ADDRESS(1,MATCH(A1098,INDIRECT("'"&amp;E1098&amp;"'"&amp;"!A" &amp; $O$1095 + 2 &amp; ":Z" &amp; $O$1095 + 2),0),4),1,""),""),$O$1095+ 2)</f>
        <v>N423</v>
      </c>
      <c r="C1098" s="826" t="str">
        <f ca="1">_xlfn.CONCAT(IFERROR(SUBSTITUTE(ADDRESS(1,MATCH(A1098,INDIRECT("'"&amp;E1098&amp;"'"&amp;"!A" &amp; $O$1095 + 2 &amp; ":Z" &amp; $O$1095 + 2),0),4),1,""),""),$O$1095+ 3)</f>
        <v>N424</v>
      </c>
      <c r="D1098" s="826" t="s">
        <v>1350</v>
      </c>
      <c r="E1098" s="826" t="s">
        <v>1516</v>
      </c>
      <c r="F1098" s="1314" t="s">
        <v>1382</v>
      </c>
      <c r="G1098" s="1314" t="str">
        <f>IF(T1098&lt;&gt;"",IF(Q1097="Credit Memo","J",IF(Q1097="Check","K","")),"")</f>
        <v/>
      </c>
      <c r="H1098" s="1314" t="s">
        <v>1990</v>
      </c>
      <c r="I1098" s="1274" t="str">
        <f t="shared" si="190"/>
        <v/>
      </c>
      <c r="J1098" s="1353" t="str">
        <f>IF(M1098&lt;&gt;"",IF($Q$1095="Yes",Q$1&amp;M1098,""))</f>
        <v/>
      </c>
      <c r="K1098" s="1314" t="str">
        <f t="shared" si="191"/>
        <v/>
      </c>
      <c r="L1098" s="826" t="s">
        <v>1382</v>
      </c>
      <c r="M1098" s="1329">
        <v>1081</v>
      </c>
      <c r="N1098" s="1314"/>
      <c r="O1098" s="1311" t="s">
        <v>1657</v>
      </c>
      <c r="P1098" s="1311"/>
      <c r="Q1098" s="1311"/>
      <c r="R1098" s="1314" t="s">
        <v>1099</v>
      </c>
      <c r="S1098" s="1311"/>
      <c r="T1098" s="1314" t="str">
        <f t="shared" si="192"/>
        <v/>
      </c>
      <c r="U1098" s="1311"/>
      <c r="V1098" s="1311"/>
      <c r="W1098" s="1311"/>
      <c r="X1098" s="1311"/>
      <c r="Y1098" s="1311"/>
      <c r="Z1098" s="1311"/>
    </row>
    <row r="1099" spans="1:26" x14ac:dyDescent="0.25">
      <c r="A1099" s="850" t="s">
        <v>1385</v>
      </c>
      <c r="B1099" s="826" t="str">
        <f ca="1">IFERROR(_xlfn.CONCAT("C",MATCH(A1099,INDIRECT("'"&amp;E1099&amp;"'!C"&amp;$O$1095&amp;":C"&amp;$O$1097),0)+$O$1095-1),"")</f>
        <v>C427</v>
      </c>
      <c r="C1099" s="826" t="str">
        <f ca="1">IFERROR(_xlfn.CONCAT("D",MATCH(A1099,INDIRECT("'"&amp;E1099&amp;"'!C"&amp;$O$1095&amp;":C"&amp;$O$1097),0)+$O$1095-1),"")</f>
        <v>D427</v>
      </c>
      <c r="D1099" s="826" t="s">
        <v>1350</v>
      </c>
      <c r="E1099" s="826" t="s">
        <v>1516</v>
      </c>
      <c r="F1099" s="1314" t="s">
        <v>1385</v>
      </c>
      <c r="G1099" s="1314" t="str">
        <f>IF(T1099&lt;&gt;"","C","")</f>
        <v/>
      </c>
      <c r="H1099" s="1314" t="s">
        <v>1990</v>
      </c>
      <c r="I1099" s="1274" t="str">
        <f t="shared" si="190"/>
        <v/>
      </c>
      <c r="J1099" s="1314"/>
      <c r="K1099" s="1314" t="str">
        <f t="shared" si="191"/>
        <v/>
      </c>
      <c r="L1099" s="826" t="s">
        <v>1385</v>
      </c>
      <c r="M1099" s="1329">
        <v>1082</v>
      </c>
      <c r="N1099" s="1314"/>
      <c r="O1099" s="1311"/>
      <c r="P1099" s="1311"/>
      <c r="Q1099" s="1311"/>
      <c r="R1099" s="1314" t="s">
        <v>1099</v>
      </c>
      <c r="S1099" s="1311"/>
      <c r="T1099" s="1314" t="str">
        <f t="shared" si="192"/>
        <v/>
      </c>
      <c r="U1099" s="1311"/>
      <c r="V1099" s="1311"/>
      <c r="W1099" s="1311"/>
      <c r="X1099" s="1311"/>
      <c r="Y1099" s="1311"/>
      <c r="Z1099" s="1311"/>
    </row>
    <row r="1100" spans="1:26" x14ac:dyDescent="0.25">
      <c r="A1100" s="850" t="s">
        <v>1386</v>
      </c>
      <c r="B1100" s="826" t="str">
        <f ca="1">IFERROR(_xlfn.CONCAT("C",MATCH(A1100,INDIRECT("'"&amp;E1100&amp;"'!C"&amp;$O$1095&amp;":C"&amp;$O$1097),0)+$O$1095-1),"")</f>
        <v>C429</v>
      </c>
      <c r="C1100" s="826" t="str">
        <f ca="1">IFERROR(_xlfn.CONCAT("D",MATCH(A1100,INDIRECT("'"&amp;E1100&amp;"'!C"&amp;$O$1095&amp;":C"&amp;$O$1097),0)+$O$1095-1),"")</f>
        <v>D429</v>
      </c>
      <c r="D1100" s="826" t="s">
        <v>1350</v>
      </c>
      <c r="E1100" s="826" t="s">
        <v>1516</v>
      </c>
      <c r="F1100" s="1314" t="s">
        <v>1386</v>
      </c>
      <c r="G1100" s="1314" t="str">
        <f>IF(T1100&lt;&gt;"","D","")</f>
        <v/>
      </c>
      <c r="H1100" s="1314" t="s">
        <v>1990</v>
      </c>
      <c r="I1100" s="1274" t="str">
        <f t="shared" si="190"/>
        <v/>
      </c>
      <c r="J1100" s="1314"/>
      <c r="K1100" s="1314" t="str">
        <f t="shared" si="191"/>
        <v/>
      </c>
      <c r="L1100" s="826" t="s">
        <v>1386</v>
      </c>
      <c r="M1100" s="1329">
        <v>1083</v>
      </c>
      <c r="N1100" s="1314"/>
      <c r="O1100" s="1311"/>
      <c r="P1100" s="1311"/>
      <c r="Q1100" s="1311"/>
      <c r="R1100" s="1314" t="s">
        <v>1099</v>
      </c>
      <c r="S1100" s="1311"/>
      <c r="T1100" s="1314" t="str">
        <f t="shared" si="192"/>
        <v/>
      </c>
      <c r="U1100" s="1311"/>
      <c r="V1100" s="1311"/>
      <c r="W1100" s="1311"/>
      <c r="X1100" s="1311"/>
      <c r="Y1100" s="1311"/>
      <c r="Z1100" s="1311"/>
    </row>
    <row r="1101" spans="1:26" x14ac:dyDescent="0.25">
      <c r="A1101" s="850" t="s">
        <v>1495</v>
      </c>
      <c r="B1101" s="826" t="str">
        <f ca="1">IFERROR(_xlfn.CONCAT("C",MATCH(A1101,INDIRECT("'"&amp;E1101&amp;"'!C"&amp;$O$1095&amp;":C"&amp;$O$1097),0)+$O$1095-1),"")</f>
        <v>C431</v>
      </c>
      <c r="C1101" s="826" t="str">
        <f ca="1">IFERROR(_xlfn.CONCAT("D",MATCH(A1101,INDIRECT("'"&amp;E1101&amp;"'!C"&amp;$O$1095&amp;":C"&amp;$O$1097),0)+$O$1095-1),"")</f>
        <v>D431</v>
      </c>
      <c r="D1101" s="826" t="s">
        <v>1350</v>
      </c>
      <c r="E1101" s="826" t="s">
        <v>1516</v>
      </c>
      <c r="F1101" s="1314" t="s">
        <v>1495</v>
      </c>
      <c r="G1101" s="1314" t="str">
        <f>IF(T1101&lt;&gt;"","AN","")</f>
        <v/>
      </c>
      <c r="H1101" s="1314" t="s">
        <v>1990</v>
      </c>
      <c r="I1101" s="1274" t="str">
        <f t="shared" si="190"/>
        <v/>
      </c>
      <c r="J1101" s="1353" t="str">
        <f>IF(M1101&lt;&gt;"",IF($Q$1095="Yes",Q$1&amp;M1101,""))</f>
        <v/>
      </c>
      <c r="K1101" s="1314" t="str">
        <f t="shared" si="191"/>
        <v/>
      </c>
      <c r="L1101" s="826" t="s">
        <v>1495</v>
      </c>
      <c r="M1101" s="1329">
        <v>1084</v>
      </c>
      <c r="N1101" s="1314"/>
      <c r="O1101" s="18"/>
      <c r="P1101" s="1317" t="str" cm="1">
        <f t="array" aca="1" ref="P1101" ca="1">_xlfn.CONCAT("F",RIGHT(B1101, LEN(B1101) - MAX(IF(ISNUMBER(MID(B1101, ROW(INDIRECT("1:"&amp;LEN(B1101))), 1) *1)=FALSE, ROW(INDIRECT("1:"&amp;LEN(B1101))), 0))))</f>
        <v>F431</v>
      </c>
      <c r="Q1101" s="1314" t="str" cm="1">
        <f t="array" aca="1" ref="Q1101" ca="1">_xlfn.CONCAT("E",RIGHT(C1101, LEN(C1101) - MAX(IF(ISNUMBER(MID(C1101, ROW(INDIRECT("1:"&amp;LEN(C1101))), 1) *1)=FALSE, ROW(INDIRECT("1:"&amp;LEN(C1101))), 0))))</f>
        <v>E431</v>
      </c>
      <c r="R1101" s="1314" t="s">
        <v>1099</v>
      </c>
      <c r="S1101" s="1311"/>
      <c r="T1101" s="1314" t="str">
        <f>IF(Q$1095="Yes",30,"")</f>
        <v/>
      </c>
      <c r="U1101" s="1311"/>
      <c r="V1101" s="1311"/>
      <c r="W1101" s="1311"/>
      <c r="X1101" s="1311"/>
      <c r="Y1101" s="1311"/>
      <c r="Z1101" s="1311"/>
    </row>
    <row r="1102" spans="1:26" x14ac:dyDescent="0.25">
      <c r="A1102" s="850" t="s">
        <v>1492</v>
      </c>
      <c r="B1102" s="826" t="str">
        <f ca="1">_xlfn.CONCAT(IFERROR(SUBSTITUTE(ADDRESS(1,MATCH(A1102,INDIRECT("'"&amp;E1102&amp;"'"&amp;"!A" &amp; $O$1095 + 8 &amp; ":Z" &amp; $O$1095 + 8 ),0),4),1,""),""),$O$1095+ 8)</f>
        <v>H429</v>
      </c>
      <c r="C1102" s="826" t="str">
        <f ca="1">_xlfn.CONCAT(IFERROR(SUBSTITUTE(ADDRESS(1,MATCH(A1102,INDIRECT("'"&amp;E1102&amp;"'"&amp;"!A" &amp; $O$1095 + 8 &amp; ":Z" &amp; $O$1095 + 8 ),0),4),1,""),""),$O$1095+ 9)</f>
        <v>H430</v>
      </c>
      <c r="D1102" s="826" t="s">
        <v>1350</v>
      </c>
      <c r="E1102" s="826" t="s">
        <v>1516</v>
      </c>
      <c r="F1102" s="1314" t="s">
        <v>1492</v>
      </c>
      <c r="G1102" s="1314" t="str">
        <f>IF(T1102&lt;&gt;"","AL","")</f>
        <v/>
      </c>
      <c r="H1102" s="1314" t="s">
        <v>1990</v>
      </c>
      <c r="I1102" s="1274" t="str">
        <f t="shared" si="190"/>
        <v/>
      </c>
      <c r="J1102" s="1353" t="str">
        <f>IF(M1102&lt;&gt;"",IF($Q$1095="Yes",Q$1&amp;M1102,""))</f>
        <v/>
      </c>
      <c r="K1102" s="1314" t="str">
        <f t="shared" si="191"/>
        <v/>
      </c>
      <c r="L1102" s="826" t="s">
        <v>1492</v>
      </c>
      <c r="M1102" s="1329">
        <v>1085</v>
      </c>
      <c r="N1102" s="1314"/>
      <c r="O1102" s="1311"/>
      <c r="P1102" s="1311"/>
      <c r="Q1102" s="1311"/>
      <c r="R1102" s="1314" t="s">
        <v>1099</v>
      </c>
      <c r="S1102" s="1311"/>
      <c r="T1102" s="1314" t="str">
        <f>IF(Q$1095="Yes",30,"")</f>
        <v/>
      </c>
      <c r="U1102" s="1311"/>
      <c r="V1102" s="1311"/>
      <c r="W1102" s="1311"/>
      <c r="X1102" s="1311"/>
      <c r="Y1102" s="1311"/>
      <c r="Z1102" s="1311"/>
    </row>
    <row r="1103" spans="1:26" x14ac:dyDescent="0.25">
      <c r="A1103" s="850" t="s">
        <v>1396</v>
      </c>
      <c r="B1103" s="826" t="str">
        <f ca="1">_xlfn.CONCAT(IFERROR(SUBSTITUTE(ADDRESS(1,MATCH(A1103,INDIRECT("'"&amp;E1103&amp;"'"&amp;"!A" &amp; $O$1095 + 5 &amp; ":Z" &amp; $O$1095 + 5 ),0),4),1,""),""),$O$1095+ 5)</f>
        <v>H426</v>
      </c>
      <c r="C1103" s="826" t="str">
        <f ca="1">_xlfn.CONCAT(IFERROR(SUBSTITUTE(ADDRESS(1,MATCH(A1103,INDIRECT("'"&amp;E1103&amp;"'"&amp;"!A" &amp; $O$1095 + 5 &amp; ":Z" &amp; $O$1095 + 5 ),0),4),1,""),""),$O$1095+ 6)</f>
        <v>H427</v>
      </c>
      <c r="D1103" s="826" t="s">
        <v>1350</v>
      </c>
      <c r="E1103" s="826" t="s">
        <v>1516</v>
      </c>
      <c r="F1103" s="1353" t="s">
        <v>1396</v>
      </c>
      <c r="G1103" s="1353" t="str">
        <f>IF(T1103&lt;&gt;"","S","")</f>
        <v/>
      </c>
      <c r="H1103" s="1353" t="s">
        <v>1990</v>
      </c>
      <c r="I1103" s="1274" t="str">
        <f t="shared" si="190"/>
        <v/>
      </c>
      <c r="J1103" s="1353" t="str">
        <f>IF(M1103&lt;&gt;"",IF($Q$1095="Yes",Q$1&amp;M1103,""))</f>
        <v/>
      </c>
      <c r="K1103" s="1314" t="str">
        <f t="shared" si="191"/>
        <v/>
      </c>
      <c r="L1103" s="826" t="s">
        <v>1396</v>
      </c>
      <c r="M1103" s="1329">
        <v>1086</v>
      </c>
      <c r="N1103" s="1314"/>
      <c r="O1103" s="1311"/>
      <c r="P1103" s="1311"/>
      <c r="Q1103" s="1311"/>
      <c r="R1103" s="1314" t="s">
        <v>1099</v>
      </c>
      <c r="S1103" s="1311"/>
      <c r="T1103" s="1353" t="str">
        <f>IF(Q$1095="Yes",30,"")</f>
        <v/>
      </c>
      <c r="U1103" s="1311"/>
      <c r="V1103" s="1311"/>
      <c r="W1103" s="1311"/>
      <c r="X1103" s="1311"/>
      <c r="Y1103" s="1311"/>
      <c r="Z1103" s="1311"/>
    </row>
    <row r="1104" spans="1:26" x14ac:dyDescent="0.25">
      <c r="A1104" s="847" t="s">
        <v>1491</v>
      </c>
      <c r="B1104" s="826" t="str">
        <f ca="1">IFERROR(_xlfn.CONCAT("C",MATCH(A1104,INDIRECT("'"&amp;E1104&amp;"'!C"&amp;$O$1105&amp;":C"&amp;$O$1107),0)+$O$1105-1),"")</f>
        <v>C439</v>
      </c>
      <c r="C1104" s="826" t="str">
        <f ca="1">IFERROR(_xlfn.CONCAT("D",MATCH(A1104,INDIRECT("'"&amp;E1104&amp;"'!C"&amp;$O$1105&amp;":C"&amp;$O$1107),0)+$O$1105-1),"")</f>
        <v>D439</v>
      </c>
      <c r="D1104" s="826" t="s">
        <v>1350</v>
      </c>
      <c r="E1104" s="826" t="s">
        <v>1516</v>
      </c>
      <c r="F1104" s="1314" t="s">
        <v>1491</v>
      </c>
      <c r="G1104" s="1314" t="str">
        <f>IF(T1104&lt;&gt;"","A","")</f>
        <v/>
      </c>
      <c r="H1104" s="1314" t="s">
        <v>1990</v>
      </c>
      <c r="I1104" s="1274" t="str">
        <f t="shared" si="190"/>
        <v/>
      </c>
      <c r="J1104" s="1314"/>
      <c r="K1104" s="1314" t="str">
        <f t="shared" si="191"/>
        <v/>
      </c>
      <c r="L1104" s="826" t="s">
        <v>1491</v>
      </c>
      <c r="M1104" s="1329">
        <v>1087</v>
      </c>
      <c r="N1104" s="1314"/>
      <c r="O1104" s="1311" t="s">
        <v>725</v>
      </c>
      <c r="P1104" s="18"/>
      <c r="Q1104" s="1311"/>
      <c r="R1104" s="1314" t="s">
        <v>1099</v>
      </c>
      <c r="S1104" s="1311"/>
      <c r="T1104" s="1314" t="str">
        <f>IF(Q$1105="Yes",31,"")</f>
        <v/>
      </c>
      <c r="U1104" s="1311"/>
      <c r="V1104" s="1311"/>
      <c r="W1104" s="1311"/>
      <c r="X1104" s="1311"/>
      <c r="Y1104" s="1311"/>
      <c r="Z1104" s="1311"/>
    </row>
    <row r="1105" spans="1:26" x14ac:dyDescent="0.25">
      <c r="A1105" s="847" t="s">
        <v>1705</v>
      </c>
      <c r="B1105" s="826" t="str">
        <f ca="1">_xlfn.CONCAT(IFERROR(SUBSTITUTE(ADDRESS(1,MATCH(A1105,INDIRECT("'"&amp;E1105&amp;"'"&amp;"!A" &amp; $O$1105 + 11 &amp; ":Z" &amp; $O$1105 + 11),0),4),1,""),""),$O$1105+ 11)</f>
        <v>T446</v>
      </c>
      <c r="C1105" s="826" t="str">
        <f ca="1">_xlfn.CONCAT(IFERROR(SUBSTITUTE(ADDRESS(1,MATCH(A1105,INDIRECT("'"&amp;E1105&amp;"'"&amp;"!A" &amp; $O$1105 + 11 &amp; ":Z" &amp; $O$1105 + 11),0),4),1,""),""),$O$1105+ 12)</f>
        <v>T447</v>
      </c>
      <c r="D1105" s="826" t="s">
        <v>1350</v>
      </c>
      <c r="E1105" s="826" t="s">
        <v>1516</v>
      </c>
      <c r="F1105" s="1314"/>
      <c r="G1105" s="1314"/>
      <c r="H1105" s="1314"/>
      <c r="I1105" s="1274" t="str">
        <f t="shared" si="190"/>
        <v/>
      </c>
      <c r="J1105" s="1314" t="str">
        <f t="shared" ref="J1105:J1132" si="193">IF(M1105&lt;&gt;"",IF($Q$1105="Yes",Q$1&amp;M1105,""))</f>
        <v/>
      </c>
      <c r="K1105" s="1314" t="str">
        <f t="shared" si="191"/>
        <v/>
      </c>
      <c r="L1105" s="826" t="s">
        <v>1705</v>
      </c>
      <c r="M1105" s="1329">
        <v>1088</v>
      </c>
      <c r="N1105" s="1314"/>
      <c r="O1105" s="1311">
        <f>'Configurable Tab'!H33</f>
        <v>435</v>
      </c>
      <c r="P1105" s="18" t="str">
        <f>'Configurable Tab'!J33</f>
        <v>No</v>
      </c>
      <c r="Q1105" s="1351" t="s">
        <v>648</v>
      </c>
      <c r="R1105" s="1314" t="s">
        <v>1099</v>
      </c>
      <c r="S1105" s="1311"/>
      <c r="T1105" s="1314" t="str">
        <f t="shared" ref="T1105:T1111" si="194">IF(Q$1105="Yes",31,"")</f>
        <v/>
      </c>
      <c r="U1105" s="1311"/>
      <c r="V1105" s="1311"/>
      <c r="W1105" s="1311"/>
      <c r="X1105" s="1311"/>
      <c r="Y1105" s="1311"/>
      <c r="Z1105" s="1311"/>
    </row>
    <row r="1106" spans="1:26" x14ac:dyDescent="0.25">
      <c r="A1106" s="847" t="s">
        <v>1383</v>
      </c>
      <c r="B1106" s="826" t="str">
        <f ca="1">IFERROR(_xlfn.CONCAT("C",MATCH(A1106,INDIRECT("'"&amp;E1106&amp;"'!C"&amp;$O$1105&amp;":C"&amp;$O$1107),0)+$O$1105-1),"")</f>
        <v>C437</v>
      </c>
      <c r="C1106" s="826" t="str">
        <f ca="1">IFERROR(_xlfn.CONCAT("D",MATCH(A1106,INDIRECT("'"&amp;E1106&amp;"'!C"&amp;$O$1105&amp;":C"&amp;$O$1107),0)+$O$1105-1),"")</f>
        <v>D437</v>
      </c>
      <c r="D1106" s="826" t="s">
        <v>1350</v>
      </c>
      <c r="E1106" s="826" t="s">
        <v>1516</v>
      </c>
      <c r="F1106" s="1314" t="s">
        <v>1383</v>
      </c>
      <c r="G1106" s="1314" t="str">
        <f>IF(T1106&lt;&gt;"","B","")</f>
        <v/>
      </c>
      <c r="H1106" s="1314" t="s">
        <v>1990</v>
      </c>
      <c r="I1106" s="1274" t="str">
        <f t="shared" si="190"/>
        <v/>
      </c>
      <c r="J1106" s="1314"/>
      <c r="K1106" s="1314" t="str">
        <f t="shared" si="191"/>
        <v/>
      </c>
      <c r="L1106" s="826" t="s">
        <v>1383</v>
      </c>
      <c r="M1106" s="1329">
        <v>1089</v>
      </c>
      <c r="N1106" s="1314"/>
      <c r="O1106" s="1311" t="s">
        <v>726</v>
      </c>
      <c r="P1106" s="1311"/>
      <c r="Q1106" s="1311"/>
      <c r="R1106" s="1314" t="s">
        <v>1099</v>
      </c>
      <c r="S1106" s="1311"/>
      <c r="T1106" s="1314" t="str">
        <f t="shared" si="194"/>
        <v/>
      </c>
      <c r="U1106" s="1311"/>
      <c r="V1106" s="1311"/>
      <c r="W1106" s="1311"/>
      <c r="X1106" s="1311"/>
      <c r="Y1106" s="1311"/>
      <c r="Z1106" s="1311"/>
    </row>
    <row r="1107" spans="1:26" x14ac:dyDescent="0.25">
      <c r="A1107" s="847" t="s">
        <v>1380</v>
      </c>
      <c r="B1107" s="826" t="str">
        <f ca="1">_xlfn.CONCAT(IFERROR(SUBSTITUTE(ADDRESS(1,MATCH(A1107,INDIRECT("'"&amp;E1107&amp;"'"&amp;"!A" &amp; $O$1105 + 2 &amp; ":Z" &amp; $O$1105 + 2),0),4),1,""),""),$O$1105+ 2)</f>
        <v>H437</v>
      </c>
      <c r="C1107" s="826" t="str">
        <f ca="1">_xlfn.CONCAT(IFERROR(SUBSTITUTE(ADDRESS(1,MATCH(A1107,INDIRECT("'"&amp;E1107&amp;"'"&amp;"!A" &amp; $O$1105 + 2 &amp; ":Z" &amp; $O$1105 + 2),0),4),1,""),""),$O$1105+ 3)</f>
        <v>H438</v>
      </c>
      <c r="D1107" s="826" t="s">
        <v>1350</v>
      </c>
      <c r="E1107" s="826" t="s">
        <v>1516</v>
      </c>
      <c r="F1107" s="1314" t="s">
        <v>1991</v>
      </c>
      <c r="G1107" s="1314" t="str">
        <f>IF(T1107&lt;&gt;"","E","")</f>
        <v/>
      </c>
      <c r="H1107" s="1314" t="s">
        <v>1990</v>
      </c>
      <c r="I1107" s="1274" t="str">
        <f t="shared" si="190"/>
        <v/>
      </c>
      <c r="J1107" s="1314" t="str">
        <f t="shared" si="193"/>
        <v/>
      </c>
      <c r="K1107" s="1314" t="str">
        <f t="shared" si="191"/>
        <v/>
      </c>
      <c r="L1107" s="826" t="s">
        <v>1380</v>
      </c>
      <c r="M1107" s="1329">
        <v>1090</v>
      </c>
      <c r="N1107" s="1314"/>
      <c r="O1107" s="1311">
        <f>'Configurable Tab'!I33</f>
        <v>448</v>
      </c>
      <c r="P1107" s="1311"/>
      <c r="Q1107" s="1311"/>
      <c r="R1107" s="1314" t="s">
        <v>1099</v>
      </c>
      <c r="S1107" s="1311"/>
      <c r="T1107" s="1314" t="str">
        <f t="shared" si="194"/>
        <v/>
      </c>
      <c r="U1107" s="1311"/>
      <c r="V1107" s="1311"/>
      <c r="W1107" s="1311"/>
      <c r="X1107" s="1311"/>
      <c r="Y1107" s="1311"/>
      <c r="Z1107" s="1311"/>
    </row>
    <row r="1108" spans="1:26" x14ac:dyDescent="0.25">
      <c r="A1108" s="847" t="s">
        <v>1381</v>
      </c>
      <c r="B1108" s="826" t="str">
        <f ca="1">_xlfn.CONCAT(IFERROR(SUBSTITUTE(ADDRESS(1,MATCH(A1108,INDIRECT("'"&amp;E1108&amp;"'"&amp;"!A" &amp; $O$1105 + 2 &amp; ":Z" &amp; $O$1105 + 2),0),4),1,""),""),$O$1105+ 2)</f>
        <v>J437</v>
      </c>
      <c r="C1108" s="826" t="str">
        <f ca="1">_xlfn.CONCAT(IFERROR(SUBSTITUTE(ADDRESS(1,MATCH(A1108,INDIRECT("'"&amp;E1108&amp;"'"&amp;"!A" &amp; $O$1105 + 2 &amp; ":Z" &amp; $O$1105 + 2),0),4),1,""),""),$O$1105+ 3)</f>
        <v>J438</v>
      </c>
      <c r="D1108" s="826" t="s">
        <v>1350</v>
      </c>
      <c r="E1108" s="826" t="s">
        <v>1516</v>
      </c>
      <c r="F1108" s="1314" t="s">
        <v>1992</v>
      </c>
      <c r="G1108" s="1314" t="str">
        <f>IF(T1108&lt;&gt;"","I","")</f>
        <v/>
      </c>
      <c r="H1108" s="1314" t="s">
        <v>1990</v>
      </c>
      <c r="I1108" s="1274" t="str">
        <f t="shared" si="190"/>
        <v/>
      </c>
      <c r="J1108" s="1314" t="str">
        <f t="shared" si="193"/>
        <v/>
      </c>
      <c r="K1108" s="1314" t="str">
        <f t="shared" si="191"/>
        <v/>
      </c>
      <c r="L1108" s="826" t="s">
        <v>1381</v>
      </c>
      <c r="M1108" s="1329">
        <v>1091</v>
      </c>
      <c r="N1108" s="1314"/>
      <c r="O1108" s="1311" t="s">
        <v>1658</v>
      </c>
      <c r="P1108" s="1311"/>
      <c r="Q1108" s="1311" t="s">
        <v>482</v>
      </c>
      <c r="R1108" s="1314" t="s">
        <v>1099</v>
      </c>
      <c r="S1108" s="1311"/>
      <c r="T1108" s="1314" t="str">
        <f t="shared" si="194"/>
        <v/>
      </c>
      <c r="U1108" s="1311"/>
      <c r="V1108" s="1311"/>
      <c r="W1108" s="1311"/>
      <c r="X1108" s="1311"/>
      <c r="Y1108" s="1311"/>
      <c r="Z1108" s="1311"/>
    </row>
    <row r="1109" spans="1:26" x14ac:dyDescent="0.25">
      <c r="A1109" s="847" t="s">
        <v>1382</v>
      </c>
      <c r="B1109" s="826" t="str">
        <f ca="1">_xlfn.CONCAT(IFERROR(SUBSTITUTE(ADDRESS(1,MATCH(A1109,INDIRECT("'"&amp;E1109&amp;"'"&amp;"!A" &amp; $O$1105 + 2 &amp; ":Z" &amp; $O$1105 + 2),0),4),1,""),""),$O$1105+ 2)</f>
        <v>N437</v>
      </c>
      <c r="C1109" s="826" t="str">
        <f ca="1">_xlfn.CONCAT(IFERROR(SUBSTITUTE(ADDRESS(1,MATCH(A1109,INDIRECT("'"&amp;E1109&amp;"'"&amp;"!A" &amp; $O$1105 + 2 &amp; ":Z" &amp; $O$1105 + 2),0),4),1,""),""),$O$1105+ 3)</f>
        <v>N438</v>
      </c>
      <c r="D1109" s="826" t="s">
        <v>1350</v>
      </c>
      <c r="E1109" s="826" t="s">
        <v>1516</v>
      </c>
      <c r="F1109" s="1314" t="s">
        <v>1382</v>
      </c>
      <c r="G1109" s="1314" t="str">
        <f>IF(T1109&lt;&gt;"",IF(Q1108="Credit Memo","J",IF(Q1108="Check","K","")),"")</f>
        <v/>
      </c>
      <c r="H1109" s="1314" t="s">
        <v>1990</v>
      </c>
      <c r="I1109" s="1274" t="str">
        <f t="shared" si="190"/>
        <v/>
      </c>
      <c r="J1109" s="1314" t="str">
        <f t="shared" si="193"/>
        <v/>
      </c>
      <c r="K1109" s="1314" t="str">
        <f t="shared" si="191"/>
        <v/>
      </c>
      <c r="L1109" s="826" t="s">
        <v>1382</v>
      </c>
      <c r="M1109" s="1329">
        <v>1092</v>
      </c>
      <c r="N1109" s="1314"/>
      <c r="O1109" s="1311"/>
      <c r="P1109" s="1311"/>
      <c r="Q1109" s="1311"/>
      <c r="R1109" s="1314" t="s">
        <v>1099</v>
      </c>
      <c r="S1109" s="1311"/>
      <c r="T1109" s="1314" t="str">
        <f t="shared" si="194"/>
        <v/>
      </c>
      <c r="U1109" s="1311"/>
      <c r="V1109" s="1311"/>
      <c r="W1109" s="1311"/>
      <c r="X1109" s="1311"/>
      <c r="Y1109" s="1311"/>
      <c r="Z1109" s="1311"/>
    </row>
    <row r="1110" spans="1:26" x14ac:dyDescent="0.25">
      <c r="A1110" s="847" t="s">
        <v>1487</v>
      </c>
      <c r="B1110" s="826" t="str">
        <f ca="1">_xlfn.CONCAT(IFERROR(SUBSTITUTE(ADDRESS(1,MATCH(A1110,INDIRECT("'"&amp;E1110&amp;"'"&amp;"!A" &amp; $O$1105 + 2 &amp; ":Z" &amp; $O$1105 + 2),0),4),1,""),""),$O$1105+ 2)</f>
        <v>R437</v>
      </c>
      <c r="C1110" s="826" t="str">
        <f ca="1">_xlfn.CONCAT(IFERROR(SUBSTITUTE(ADDRESS(1,MATCH(A1110,INDIRECT("'"&amp;E1110&amp;"'"&amp;"!A" &amp; $O$1105 + 2 &amp; ":Z" &amp; $O$1105 + 2),0),4),1,""),""),$O$1105+ 3)</f>
        <v>R438</v>
      </c>
      <c r="D1110" s="826" t="s">
        <v>1350</v>
      </c>
      <c r="E1110" s="826" t="s">
        <v>1516</v>
      </c>
      <c r="F1110" s="1314" t="s">
        <v>1995</v>
      </c>
      <c r="G1110" s="1314" t="str">
        <f>IF(T1110&lt;&gt;"","G","")</f>
        <v/>
      </c>
      <c r="H1110" s="1314" t="s">
        <v>1990</v>
      </c>
      <c r="I1110" s="1274" t="str">
        <f t="shared" si="190"/>
        <v/>
      </c>
      <c r="J1110" s="1314" t="str">
        <f t="shared" si="193"/>
        <v/>
      </c>
      <c r="K1110" s="1314" t="str">
        <f t="shared" si="191"/>
        <v/>
      </c>
      <c r="L1110" s="826" t="s">
        <v>1487</v>
      </c>
      <c r="M1110" s="1329">
        <v>1093</v>
      </c>
      <c r="N1110" s="1314"/>
      <c r="O1110" s="1311"/>
      <c r="P1110" s="1311"/>
      <c r="Q1110" s="1311"/>
      <c r="R1110" s="1314" t="s">
        <v>1099</v>
      </c>
      <c r="S1110" s="1311"/>
      <c r="T1110" s="1314" t="str">
        <f t="shared" si="194"/>
        <v/>
      </c>
      <c r="U1110" s="1311"/>
      <c r="V1110" s="1311"/>
      <c r="W1110" s="1311"/>
      <c r="X1110" s="1311"/>
      <c r="Y1110" s="1311"/>
      <c r="Z1110" s="1311"/>
    </row>
    <row r="1111" spans="1:26" x14ac:dyDescent="0.25">
      <c r="A1111" s="847" t="s">
        <v>1488</v>
      </c>
      <c r="B1111" s="826" t="str">
        <f ca="1">_xlfn.CONCAT(IFERROR(SUBSTITUTE(ADDRESS(1,MATCH(A1111,INDIRECT("'"&amp;E1111&amp;"'"&amp;"!A" &amp; $O$1105 + 2 &amp; ":Z" &amp; $O$1105 + 2),0),4),1,""),""),$O$1105+ 2)</f>
        <v>T437</v>
      </c>
      <c r="C1111" s="826" t="str">
        <f ca="1">_xlfn.CONCAT(IFERROR(SUBSTITUTE(ADDRESS(1,MATCH(A1111,INDIRECT("'"&amp;E1111&amp;"'"&amp;"!A" &amp; $O$1105 + 2 &amp; ":Z" &amp; $O$1105 + 2),0),4),1,""),""),$O$1105+ 3)</f>
        <v>T438</v>
      </c>
      <c r="D1111" s="826" t="s">
        <v>1350</v>
      </c>
      <c r="E1111" s="826" t="s">
        <v>1516</v>
      </c>
      <c r="F1111" s="841" t="s">
        <v>1488</v>
      </c>
      <c r="G1111" s="1314" t="str">
        <f>IF(T1111&lt;&gt;"","AW","")</f>
        <v/>
      </c>
      <c r="H1111" s="1314" t="s">
        <v>1990</v>
      </c>
      <c r="I1111" s="1274" t="str">
        <f t="shared" si="190"/>
        <v/>
      </c>
      <c r="J1111" s="1314" t="str">
        <f t="shared" si="193"/>
        <v/>
      </c>
      <c r="K1111" s="1314" t="str">
        <f t="shared" si="191"/>
        <v/>
      </c>
      <c r="L1111" s="826" t="s">
        <v>1488</v>
      </c>
      <c r="M1111" s="1329">
        <v>1094</v>
      </c>
      <c r="N1111" s="1314"/>
      <c r="O1111" s="1311"/>
      <c r="P1111" s="1311"/>
      <c r="Q1111" s="1311"/>
      <c r="R1111" s="1314" t="s">
        <v>1099</v>
      </c>
      <c r="S1111" s="1311"/>
      <c r="T1111" s="1385" t="str">
        <f t="shared" si="194"/>
        <v/>
      </c>
      <c r="U1111" s="1311"/>
      <c r="V1111" s="1311"/>
      <c r="W1111" s="1311"/>
      <c r="X1111" s="1311"/>
      <c r="Y1111" s="1311"/>
      <c r="Z1111" s="1311"/>
    </row>
    <row r="1112" spans="1:26" x14ac:dyDescent="0.25">
      <c r="A1112" s="847" t="s">
        <v>1385</v>
      </c>
      <c r="B1112" s="826" t="str">
        <f ca="1">IFERROR(_xlfn.CONCAT("C",MATCH(A1112,INDIRECT("'"&amp;E1112&amp;"'!C"&amp;$O$1105&amp;":C"&amp;$O$1107),0)+$O$1105-1),"")</f>
        <v>C441</v>
      </c>
      <c r="C1112" s="826" t="str">
        <f ca="1">IFERROR(_xlfn.CONCAT("D",MATCH(A1112,INDIRECT("'"&amp;E1112&amp;"'!C"&amp;$O$1105&amp;":C"&amp;$O$1107),0)+$O$1105-1),"")</f>
        <v>D441</v>
      </c>
      <c r="D1112" s="826" t="s">
        <v>1350</v>
      </c>
      <c r="E1112" s="826" t="s">
        <v>1516</v>
      </c>
      <c r="F1112" s="1314" t="s">
        <v>1385</v>
      </c>
      <c r="G1112" s="1314" t="str">
        <f>IF(T1112&lt;&gt;"","C","")</f>
        <v/>
      </c>
      <c r="H1112" s="1314" t="s">
        <v>1990</v>
      </c>
      <c r="I1112" s="1274" t="str">
        <f t="shared" si="190"/>
        <v/>
      </c>
      <c r="J1112" s="1314"/>
      <c r="K1112" s="1314" t="str">
        <f t="shared" si="191"/>
        <v/>
      </c>
      <c r="L1112" s="826" t="s">
        <v>1385</v>
      </c>
      <c r="M1112" s="1329">
        <v>1095</v>
      </c>
      <c r="N1112" s="1314"/>
      <c r="O1112" s="1311"/>
      <c r="P1112" s="1311"/>
      <c r="Q1112" s="1311"/>
      <c r="R1112" s="1314" t="s">
        <v>1099</v>
      </c>
      <c r="S1112" s="1311"/>
      <c r="T1112" s="1314" t="str">
        <f t="shared" ref="T1112:T1113" si="195">IF(Q$1105="Yes",31,"")</f>
        <v/>
      </c>
      <c r="U1112" s="1311"/>
      <c r="V1112" s="1311"/>
      <c r="W1112" s="1311"/>
      <c r="X1112" s="1311"/>
      <c r="Y1112" s="1311"/>
      <c r="Z1112" s="1311"/>
    </row>
    <row r="1113" spans="1:26" x14ac:dyDescent="0.25">
      <c r="A1113" s="847" t="s">
        <v>1386</v>
      </c>
      <c r="B1113" s="826" t="str">
        <f ca="1">IFERROR(_xlfn.CONCAT("C",MATCH(A1113,INDIRECT("'"&amp;E1113&amp;"'!C"&amp;$O$1105&amp;":C"&amp;$O$1107),0)+$O$1105-1),"")</f>
        <v>C443</v>
      </c>
      <c r="C1113" s="826" t="str">
        <f ca="1">IFERROR(_xlfn.CONCAT("D",MATCH(A1113,INDIRECT("'"&amp;E1113&amp;"'!C"&amp;$O$1105&amp;":C"&amp;$O$1107),0)+$O$1105-1),"")</f>
        <v>D443</v>
      </c>
      <c r="D1113" s="826" t="s">
        <v>1350</v>
      </c>
      <c r="E1113" s="826" t="s">
        <v>1516</v>
      </c>
      <c r="F1113" s="1314" t="s">
        <v>1386</v>
      </c>
      <c r="G1113" s="1314" t="str">
        <f>IF(T1113&lt;&gt;"","D","")</f>
        <v/>
      </c>
      <c r="H1113" s="1314" t="s">
        <v>1990</v>
      </c>
      <c r="I1113" s="1274" t="str">
        <f t="shared" si="190"/>
        <v/>
      </c>
      <c r="J1113" s="1314"/>
      <c r="K1113" s="1314" t="str">
        <f t="shared" si="191"/>
        <v/>
      </c>
      <c r="L1113" s="826" t="s">
        <v>1386</v>
      </c>
      <c r="M1113" s="1329">
        <v>1096</v>
      </c>
      <c r="N1113" s="1314"/>
      <c r="O1113" s="1311"/>
      <c r="P1113" s="1311"/>
      <c r="Q1113" s="1311"/>
      <c r="R1113" s="1314" t="s">
        <v>1099</v>
      </c>
      <c r="S1113" s="1311"/>
      <c r="T1113" s="1314" t="str">
        <f t="shared" si="195"/>
        <v/>
      </c>
      <c r="U1113" s="1311"/>
      <c r="V1113" s="1311"/>
      <c r="W1113" s="1311"/>
      <c r="X1113" s="1311"/>
      <c r="Y1113" s="1311"/>
      <c r="Z1113" s="1311"/>
    </row>
    <row r="1114" spans="1:26" x14ac:dyDescent="0.25">
      <c r="A1114" s="847" t="s">
        <v>1495</v>
      </c>
      <c r="B1114" s="826" t="str">
        <f ca="1">IFERROR(_xlfn.CONCAT("C",MATCH(A1114,INDIRECT("'"&amp;E1114&amp;"'!C"&amp;$O$1105&amp;":C"&amp;$O$1107),0)+$O$1105-1),"")</f>
        <v>C445</v>
      </c>
      <c r="C1114" s="826" t="str">
        <f ca="1">IFERROR(_xlfn.CONCAT("D",MATCH(A1114,INDIRECT("'"&amp;E1114&amp;"'!C"&amp;$O$1105&amp;":C"&amp;$O$1107),0)+$O$1105-1),"")</f>
        <v>D445</v>
      </c>
      <c r="D1114" s="826" t="s">
        <v>1350</v>
      </c>
      <c r="E1114" s="826" t="s">
        <v>1516</v>
      </c>
      <c r="F1114" s="1314" t="s">
        <v>1495</v>
      </c>
      <c r="G1114" s="1314" t="str">
        <f>IF(T1114&lt;&gt;"","AN","")</f>
        <v/>
      </c>
      <c r="H1114" s="1314" t="s">
        <v>1990</v>
      </c>
      <c r="I1114" s="1274" t="str">
        <f t="shared" si="190"/>
        <v/>
      </c>
      <c r="J1114" s="1314" t="str">
        <f t="shared" si="193"/>
        <v/>
      </c>
      <c r="K1114" s="1314" t="str">
        <f t="shared" si="191"/>
        <v/>
      </c>
      <c r="L1114" s="826" t="s">
        <v>1495</v>
      </c>
      <c r="M1114" s="1329">
        <v>1097</v>
      </c>
      <c r="N1114" s="1314"/>
      <c r="O1114" s="18"/>
      <c r="P1114" s="1317" t="str" cm="1">
        <f t="array" aca="1" ref="P1114" ca="1">_xlfn.CONCAT("F",RIGHT(B1114, LEN(B1114) - MAX(IF(ISNUMBER(MID(B1114, ROW(INDIRECT("1:"&amp;LEN(B1114))), 1) *1)=FALSE, ROW(INDIRECT("1:"&amp;LEN(B1114))), 0))))</f>
        <v>F445</v>
      </c>
      <c r="Q1114" s="1314" t="str" cm="1">
        <f t="array" aca="1" ref="Q1114" ca="1">_xlfn.CONCAT("E",RIGHT(C1114, LEN(C1114) - MAX(IF(ISNUMBER(MID(C1114, ROW(INDIRECT("1:"&amp;LEN(C1114))), 1) *1)=FALSE, ROW(INDIRECT("1:"&amp;LEN(C1114))), 0))))</f>
        <v>E445</v>
      </c>
      <c r="R1114" s="1314" t="s">
        <v>1099</v>
      </c>
      <c r="S1114" s="1311"/>
      <c r="T1114" s="1314" t="str">
        <f>IF(Q$1105="Yes",31,"")</f>
        <v/>
      </c>
      <c r="U1114" s="1311"/>
      <c r="V1114" s="1311"/>
      <c r="W1114" s="1311"/>
      <c r="X1114" s="1311"/>
      <c r="Y1114" s="1311"/>
      <c r="Z1114" s="1311"/>
    </row>
    <row r="1115" spans="1:26" x14ac:dyDescent="0.25">
      <c r="A1115" s="847" t="s">
        <v>1492</v>
      </c>
      <c r="B1115" s="826" t="str">
        <f ca="1">_xlfn.CONCAT(IFERROR(SUBSTITUTE(ADDRESS(1,MATCH(A1115,INDIRECT("'"&amp;E1115&amp;"'"&amp;"!A" &amp; $O$1105 + 8 &amp; ":Z" &amp; $O$1105 + 8),0),4),1,""),""),$O$1105+ 8)</f>
        <v>H443</v>
      </c>
      <c r="C1115" s="826" t="str">
        <f ca="1">_xlfn.CONCAT(IFERROR(SUBSTITUTE(ADDRESS(1,MATCH(A1115,INDIRECT("'"&amp;E1115&amp;"'"&amp;"!A" &amp; $O$1105 + 8 &amp; ":Z" &amp; $O$1105 + 8),0),4),1,""),""),$O$1105+ 9)</f>
        <v>H444</v>
      </c>
      <c r="D1115" s="826" t="s">
        <v>1350</v>
      </c>
      <c r="E1115" s="826" t="s">
        <v>1516</v>
      </c>
      <c r="F1115" s="1314" t="s">
        <v>1492</v>
      </c>
      <c r="G1115" s="1314" t="str">
        <f>IF(T1115&lt;&gt;"","AL","")</f>
        <v/>
      </c>
      <c r="H1115" s="1314" t="s">
        <v>1990</v>
      </c>
      <c r="I1115" s="1274" t="str">
        <f t="shared" si="190"/>
        <v/>
      </c>
      <c r="J1115" s="1314" t="str">
        <f t="shared" si="193"/>
        <v/>
      </c>
      <c r="K1115" s="1314" t="str">
        <f t="shared" si="191"/>
        <v/>
      </c>
      <c r="L1115" s="826" t="s">
        <v>1492</v>
      </c>
      <c r="M1115" s="1329">
        <v>1098</v>
      </c>
      <c r="N1115" s="1314"/>
      <c r="O1115" s="1311"/>
      <c r="P1115" s="1311"/>
      <c r="Q1115" s="1311"/>
      <c r="R1115" s="1314" t="s">
        <v>1099</v>
      </c>
      <c r="S1115" s="1311"/>
      <c r="T1115" s="1314" t="str">
        <f>IF(Q$1105="Yes",31,"")</f>
        <v/>
      </c>
      <c r="U1115" s="1311"/>
      <c r="V1115" s="1311"/>
      <c r="W1115" s="1311"/>
      <c r="X1115" s="1311"/>
      <c r="Y1115" s="1311"/>
      <c r="Z1115" s="1311"/>
    </row>
    <row r="1116" spans="1:26" x14ac:dyDescent="0.25">
      <c r="A1116" s="847" t="s">
        <v>1389</v>
      </c>
      <c r="B1116" s="826" t="str">
        <f ca="1">_xlfn.CONCAT(IFERROR(SUBSTITUTE(ADDRESS(1,MATCH(A1116,INDIRECT("'"&amp;E1116&amp;"'"&amp;"!A" &amp; $O$1105 + 11 &amp; ":Z" &amp; $O$1105 + 11),0),4),1,""),""),$O$1105+ 11)</f>
        <v>H446</v>
      </c>
      <c r="C1116" s="826" t="str">
        <f ca="1">_xlfn.CONCAT(IFERROR(SUBSTITUTE(ADDRESS(1,MATCH(A1116,INDIRECT("'"&amp;E1116&amp;"'"&amp;"!A" &amp; $O$1105 + 11 &amp; ":Z" &amp; $O$1105 + 11),0),4),1,""),""),$O$1105+ 12)</f>
        <v>H447</v>
      </c>
      <c r="D1116" s="826" t="s">
        <v>1350</v>
      </c>
      <c r="E1116" s="826" t="s">
        <v>1516</v>
      </c>
      <c r="F1116" s="1314" t="s">
        <v>1912</v>
      </c>
      <c r="G1116" s="1314" t="str">
        <f>IF(T1116&lt;&gt;"","O","")</f>
        <v/>
      </c>
      <c r="H1116" s="1314" t="s">
        <v>1990</v>
      </c>
      <c r="I1116" s="1274" t="str">
        <f t="shared" si="190"/>
        <v/>
      </c>
      <c r="J1116" s="1314"/>
      <c r="K1116" s="1314" t="str">
        <f t="shared" si="191"/>
        <v/>
      </c>
      <c r="L1116" s="826" t="s">
        <v>1389</v>
      </c>
      <c r="M1116" s="1329">
        <v>1099</v>
      </c>
      <c r="N1116" s="1314"/>
      <c r="O1116" s="1311"/>
      <c r="P1116" s="1311"/>
      <c r="Q1116" s="1311"/>
      <c r="R1116" s="1314" t="s">
        <v>1099</v>
      </c>
      <c r="S1116" s="1311"/>
      <c r="T1116" s="1314" t="str">
        <f t="shared" ref="T1116" si="196">IF(Q$1105="Yes",31,"")</f>
        <v/>
      </c>
      <c r="U1116" s="1311"/>
      <c r="V1116" s="1311"/>
      <c r="W1116" s="1311"/>
      <c r="X1116" s="1311"/>
      <c r="Y1116" s="1311"/>
      <c r="Z1116" s="1311"/>
    </row>
    <row r="1117" spans="1:26" x14ac:dyDescent="0.25">
      <c r="A1117" s="847" t="s">
        <v>1396</v>
      </c>
      <c r="B1117" s="826" t="str">
        <f ca="1">_xlfn.CONCAT(IFERROR(SUBSTITUTE(ADDRESS(1,MATCH(A1117,INDIRECT("'"&amp;E1117&amp;"'"&amp;"!A" &amp; $O$1105 + 5 &amp; ":Z" &amp; $O$1105 + 5),0),4),1,""),""),$O$1105+ 5)</f>
        <v>H440</v>
      </c>
      <c r="C1117" s="826" t="str">
        <f ca="1">_xlfn.CONCAT(IFERROR(SUBSTITUTE(ADDRESS(1,MATCH(A1117,INDIRECT("'"&amp;E1117&amp;"'"&amp;"!A" &amp; $O$1105 + 5 &amp; ":Z" &amp; $O$1105 + 5),0),4),1,""),""),$O$1105+ 6)</f>
        <v>H441</v>
      </c>
      <c r="D1117" s="826" t="s">
        <v>1350</v>
      </c>
      <c r="E1117" s="826" t="s">
        <v>1516</v>
      </c>
      <c r="F1117" s="1354" t="s">
        <v>1396</v>
      </c>
      <c r="G1117" s="1354" t="str">
        <f>IF(T1117&lt;&gt;"","S","")</f>
        <v/>
      </c>
      <c r="H1117" s="1354" t="s">
        <v>1990</v>
      </c>
      <c r="I1117" s="1274" t="str">
        <f t="shared" si="190"/>
        <v/>
      </c>
      <c r="J1117" s="1314" t="str">
        <f t="shared" si="193"/>
        <v/>
      </c>
      <c r="K1117" s="1314" t="str">
        <f t="shared" si="191"/>
        <v/>
      </c>
      <c r="L1117" s="826" t="s">
        <v>1396</v>
      </c>
      <c r="M1117" s="1329">
        <v>1100</v>
      </c>
      <c r="N1117" s="1314"/>
      <c r="O1117" s="1311"/>
      <c r="P1117" s="1311"/>
      <c r="Q1117" s="1311"/>
      <c r="R1117" s="1314" t="s">
        <v>1099</v>
      </c>
      <c r="S1117" s="1311"/>
      <c r="T1117" s="1353" t="str">
        <f>IF(Q$1105="Yes",31,"")</f>
        <v/>
      </c>
      <c r="U1117" s="1311"/>
      <c r="V1117" s="1311"/>
      <c r="W1117" s="1311"/>
      <c r="X1117" s="1311"/>
      <c r="Y1117" s="1311"/>
      <c r="Z1117" s="1311"/>
    </row>
    <row r="1118" spans="1:26" x14ac:dyDescent="0.25">
      <c r="A1118" s="847" t="s">
        <v>1481</v>
      </c>
      <c r="B1118" s="826" t="str">
        <f ca="1">_xlfn.CONCAT(IFERROR(SUBSTITUTE(ADDRESS(1,MATCH(A1118,INDIRECT("'"&amp;E1118&amp;"'"&amp;"!A" &amp; $O$1105 + 5 &amp; ":Z" &amp; $O$1105 + 5),0),4),1,""),""),$O$1105+ 6)</f>
        <v>J441</v>
      </c>
      <c r="C1118" s="826" t="str">
        <f t="shared" ref="C1118:C1132" ca="1" si="197">IFERROR(SUBSTITUTE(ADDRESS(1,MATCH(A1118,INDIRECT("'"&amp;E1118&amp;"'"&amp;"!A" &amp; $O$1105 + 5 &amp; ":Z" &amp; $O$1105 + 5),0),4),1,""),"")</f>
        <v>J</v>
      </c>
      <c r="D1118" s="826" t="s">
        <v>1357</v>
      </c>
      <c r="E1118" s="826" t="s">
        <v>1516</v>
      </c>
      <c r="F1118" s="1081"/>
      <c r="G1118" s="826"/>
      <c r="H1118" s="826"/>
      <c r="I1118" s="1274" t="str">
        <f t="shared" si="190"/>
        <v/>
      </c>
      <c r="J1118" s="1314" t="str">
        <f t="shared" si="193"/>
        <v/>
      </c>
      <c r="K1118" s="1314" t="str">
        <f t="shared" si="191"/>
        <v/>
      </c>
      <c r="L1118" s="826" t="s">
        <v>1481</v>
      </c>
      <c r="M1118" s="1329">
        <v>1101</v>
      </c>
      <c r="N1118" s="1314"/>
      <c r="O1118" s="1311"/>
      <c r="P1118" s="1311"/>
      <c r="Q1118" s="1311"/>
      <c r="R1118" s="1314" t="s">
        <v>1099</v>
      </c>
      <c r="S1118" s="1311"/>
      <c r="T1118" s="1311"/>
      <c r="U1118" s="1311"/>
      <c r="V1118" s="1311"/>
      <c r="W1118" s="1311"/>
      <c r="X1118" s="1311"/>
      <c r="Y1118" s="1311"/>
      <c r="Z1118" s="1311"/>
    </row>
    <row r="1119" spans="1:26" x14ac:dyDescent="0.25">
      <c r="A1119" s="847" t="s">
        <v>727</v>
      </c>
      <c r="B1119" s="826" t="str">
        <f ca="1">_xlfn.CONCAT(IFERROR(SUBSTITUTE(ADDRESS(1,MATCH(A1119,INDIRECT("'"&amp;E1119&amp;"'"&amp;"!A" &amp; $O$1105 + 5 &amp; ":Z" &amp; $O$1105 + 5),0),4),1,""),""),$O$1105+ 6)</f>
        <v>L441</v>
      </c>
      <c r="C1119" s="826" t="str">
        <f t="shared" ca="1" si="197"/>
        <v>L</v>
      </c>
      <c r="D1119" s="826" t="s">
        <v>1357</v>
      </c>
      <c r="E1119" s="826" t="s">
        <v>1516</v>
      </c>
      <c r="F1119" s="1081"/>
      <c r="G1119" s="826"/>
      <c r="H1119" s="826"/>
      <c r="I1119" s="1274" t="str">
        <f t="shared" si="190"/>
        <v/>
      </c>
      <c r="J1119" s="1314" t="str">
        <f t="shared" si="193"/>
        <v/>
      </c>
      <c r="K1119" s="1314" t="str">
        <f t="shared" si="191"/>
        <v/>
      </c>
      <c r="L1119" s="826" t="s">
        <v>727</v>
      </c>
      <c r="M1119" s="1329">
        <v>1102</v>
      </c>
      <c r="N1119" s="1314"/>
      <c r="O1119" s="1311"/>
      <c r="P1119" s="1311"/>
      <c r="Q1119" s="1311"/>
      <c r="R1119" s="1314" t="s">
        <v>1099</v>
      </c>
      <c r="S1119" s="1311"/>
      <c r="T1119" s="1311"/>
      <c r="U1119" s="1311"/>
      <c r="V1119" s="1311"/>
      <c r="W1119" s="1311"/>
      <c r="X1119" s="1311"/>
      <c r="Y1119" s="1311"/>
      <c r="Z1119" s="1311"/>
    </row>
    <row r="1120" spans="1:26" x14ac:dyDescent="0.25">
      <c r="A1120" s="847" t="s">
        <v>1482</v>
      </c>
      <c r="B1120" s="826" t="str">
        <f ca="1">_xlfn.CONCAT(IFERROR(SUBSTITUTE(ADDRESS(1,MATCH(A1120,INDIRECT("'"&amp;E1120&amp;"'"&amp;"!A" &amp; $O$1105 + 5 &amp; ":Z" &amp; $O$1105 + 5),0),4),1,""),""),$O$1105+ 6)</f>
        <v>N441</v>
      </c>
      <c r="C1120" s="826" t="str">
        <f t="shared" ca="1" si="197"/>
        <v>N</v>
      </c>
      <c r="D1120" s="826" t="s">
        <v>1357</v>
      </c>
      <c r="E1120" s="826" t="s">
        <v>1516</v>
      </c>
      <c r="F1120" s="1081"/>
      <c r="G1120" s="826"/>
      <c r="H1120" s="826"/>
      <c r="I1120" s="1274" t="str">
        <f t="shared" si="190"/>
        <v/>
      </c>
      <c r="J1120" s="1314" t="str">
        <f t="shared" si="193"/>
        <v/>
      </c>
      <c r="K1120" s="1314" t="str">
        <f t="shared" si="191"/>
        <v/>
      </c>
      <c r="L1120" s="826" t="s">
        <v>1482</v>
      </c>
      <c r="M1120" s="1329">
        <v>1103</v>
      </c>
      <c r="N1120" s="1314"/>
      <c r="O1120" s="1311"/>
      <c r="P1120" s="1311"/>
      <c r="Q1120" s="1311"/>
      <c r="R1120" s="1314" t="s">
        <v>1099</v>
      </c>
      <c r="S1120" s="1311"/>
      <c r="T1120" s="1311"/>
      <c r="U1120" s="1311"/>
      <c r="V1120" s="1311"/>
      <c r="W1120" s="1311"/>
      <c r="X1120" s="1311"/>
      <c r="Y1120" s="1311"/>
      <c r="Z1120" s="1311"/>
    </row>
    <row r="1121" spans="1:26" x14ac:dyDescent="0.25">
      <c r="A1121" s="847" t="s">
        <v>1481</v>
      </c>
      <c r="B1121" s="826" t="str">
        <f ca="1">_xlfn.CONCAT(IFERROR(SUBSTITUTE(ADDRESS(1,MATCH(A1121,INDIRECT("'"&amp;E1121&amp;"'"&amp;"!A" &amp; $O$1105 + 5 &amp; ":Z" &amp; $O$1105 + 5),0),4),1,""),""),$O$1105+ 7)</f>
        <v>J442</v>
      </c>
      <c r="C1121" s="826" t="str">
        <f t="shared" ca="1" si="197"/>
        <v>J</v>
      </c>
      <c r="D1121" s="826" t="s">
        <v>1357</v>
      </c>
      <c r="E1121" s="826" t="s">
        <v>1516</v>
      </c>
      <c r="F1121" s="826"/>
      <c r="G1121" s="826"/>
      <c r="H1121" s="826"/>
      <c r="I1121" s="1274" t="str">
        <f t="shared" si="190"/>
        <v/>
      </c>
      <c r="J1121" s="1314" t="str">
        <f t="shared" si="193"/>
        <v/>
      </c>
      <c r="K1121" s="1314" t="str">
        <f t="shared" si="191"/>
        <v/>
      </c>
      <c r="L1121" s="826" t="s">
        <v>1481</v>
      </c>
      <c r="M1121" s="1329">
        <v>1104</v>
      </c>
      <c r="N1121" s="1314"/>
      <c r="O1121" s="1311"/>
      <c r="P1121" s="1311"/>
      <c r="Q1121" s="1311"/>
      <c r="R1121" s="1314" t="s">
        <v>1099</v>
      </c>
      <c r="S1121" s="1311"/>
      <c r="T1121" s="1311"/>
      <c r="U1121" s="1311"/>
      <c r="V1121" s="1311"/>
      <c r="W1121" s="1311"/>
      <c r="X1121" s="1311"/>
      <c r="Y1121" s="1311"/>
      <c r="Z1121" s="1311"/>
    </row>
    <row r="1122" spans="1:26" x14ac:dyDescent="0.25">
      <c r="A1122" s="847" t="s">
        <v>727</v>
      </c>
      <c r="B1122" s="826" t="str">
        <f ca="1">_xlfn.CONCAT(IFERROR(SUBSTITUTE(ADDRESS(1,MATCH(A1122,INDIRECT("'"&amp;E1122&amp;"'"&amp;"!A" &amp; $O$1105 + 5 &amp; ":Z" &amp; $O$1105 + 5),0),4),1,""),""),$O$1105+ 7)</f>
        <v>L442</v>
      </c>
      <c r="C1122" s="826" t="str">
        <f t="shared" ca="1" si="197"/>
        <v>L</v>
      </c>
      <c r="D1122" s="826" t="s">
        <v>1357</v>
      </c>
      <c r="E1122" s="826" t="s">
        <v>1516</v>
      </c>
      <c r="F1122" s="826"/>
      <c r="G1122" s="826"/>
      <c r="H1122" s="826"/>
      <c r="I1122" s="1274" t="str">
        <f t="shared" si="190"/>
        <v/>
      </c>
      <c r="J1122" s="1314" t="str">
        <f t="shared" si="193"/>
        <v/>
      </c>
      <c r="K1122" s="1314" t="str">
        <f t="shared" si="191"/>
        <v/>
      </c>
      <c r="L1122" s="826" t="s">
        <v>727</v>
      </c>
      <c r="M1122" s="1329">
        <v>1105</v>
      </c>
      <c r="N1122" s="1314"/>
      <c r="O1122" s="1311"/>
      <c r="P1122" s="1311"/>
      <c r="Q1122" s="1311"/>
      <c r="R1122" s="1314" t="s">
        <v>1099</v>
      </c>
      <c r="S1122" s="1311"/>
      <c r="T1122" s="1311"/>
      <c r="U1122" s="1311"/>
      <c r="V1122" s="1311"/>
      <c r="W1122" s="1311"/>
      <c r="X1122" s="1311"/>
      <c r="Y1122" s="1311"/>
      <c r="Z1122" s="1311"/>
    </row>
    <row r="1123" spans="1:26" x14ac:dyDescent="0.25">
      <c r="A1123" s="847" t="s">
        <v>1482</v>
      </c>
      <c r="B1123" s="826" t="str">
        <f ca="1">_xlfn.CONCAT(IFERROR(SUBSTITUTE(ADDRESS(1,MATCH(A1123,INDIRECT("'"&amp;E1123&amp;"'"&amp;"!A" &amp; $O$1105 + 5 &amp; ":Z" &amp; $O$1105 + 5),0),4),1,""),""),$O$1105+ 7)</f>
        <v>N442</v>
      </c>
      <c r="C1123" s="826" t="str">
        <f t="shared" ca="1" si="197"/>
        <v>N</v>
      </c>
      <c r="D1123" s="826" t="s">
        <v>1357</v>
      </c>
      <c r="E1123" s="826" t="s">
        <v>1516</v>
      </c>
      <c r="F1123" s="826"/>
      <c r="G1123" s="826"/>
      <c r="H1123" s="826"/>
      <c r="I1123" s="1274" t="str">
        <f t="shared" si="190"/>
        <v/>
      </c>
      <c r="J1123" s="1314" t="str">
        <f t="shared" si="193"/>
        <v/>
      </c>
      <c r="K1123" s="1314" t="str">
        <f t="shared" si="191"/>
        <v/>
      </c>
      <c r="L1123" s="826" t="s">
        <v>1482</v>
      </c>
      <c r="M1123" s="1329">
        <v>1106</v>
      </c>
      <c r="N1123" s="1314"/>
      <c r="O1123" s="1311"/>
      <c r="P1123" s="1311"/>
      <c r="Q1123" s="1311"/>
      <c r="R1123" s="1314" t="s">
        <v>1099</v>
      </c>
      <c r="S1123" s="1311"/>
      <c r="T1123" s="1311"/>
      <c r="U1123" s="1311"/>
      <c r="V1123" s="1311"/>
      <c r="W1123" s="1311"/>
      <c r="X1123" s="1311"/>
      <c r="Y1123" s="1311"/>
      <c r="Z1123" s="1311"/>
    </row>
    <row r="1124" spans="1:26" x14ac:dyDescent="0.25">
      <c r="A1124" s="847" t="s">
        <v>1481</v>
      </c>
      <c r="B1124" s="826" t="str">
        <f ca="1">_xlfn.CONCAT(IFERROR(SUBSTITUTE(ADDRESS(1,MATCH(A1124,INDIRECT("'"&amp;E1124&amp;"'"&amp;"!A" &amp; $O$1105 + 5 &amp; ":Z" &amp; $O$1105 + 5),0),4),1,""),""),$O$1105+ 8)</f>
        <v>J443</v>
      </c>
      <c r="C1124" s="826" t="str">
        <f t="shared" ca="1" si="197"/>
        <v>J</v>
      </c>
      <c r="D1124" s="826" t="s">
        <v>1357</v>
      </c>
      <c r="E1124" s="826" t="s">
        <v>1516</v>
      </c>
      <c r="F1124" s="826"/>
      <c r="G1124" s="826"/>
      <c r="H1124" s="826"/>
      <c r="I1124" s="1274" t="str">
        <f t="shared" si="190"/>
        <v/>
      </c>
      <c r="J1124" s="1314" t="str">
        <f t="shared" si="193"/>
        <v/>
      </c>
      <c r="K1124" s="1314" t="str">
        <f t="shared" si="191"/>
        <v/>
      </c>
      <c r="L1124" s="826" t="s">
        <v>1481</v>
      </c>
      <c r="M1124" s="1329">
        <v>1107</v>
      </c>
      <c r="N1124" s="1314"/>
      <c r="O1124" s="1311"/>
      <c r="P1124" s="1311"/>
      <c r="Q1124" s="1311"/>
      <c r="R1124" s="1314" t="s">
        <v>1099</v>
      </c>
      <c r="S1124" s="1311"/>
      <c r="T1124" s="1311"/>
      <c r="U1124" s="1311"/>
      <c r="V1124" s="1311"/>
      <c r="W1124" s="1311"/>
      <c r="X1124" s="1311"/>
      <c r="Y1124" s="1311"/>
      <c r="Z1124" s="1311"/>
    </row>
    <row r="1125" spans="1:26" x14ac:dyDescent="0.25">
      <c r="A1125" s="847" t="s">
        <v>727</v>
      </c>
      <c r="B1125" s="826" t="str">
        <f ca="1">_xlfn.CONCAT(IFERROR(SUBSTITUTE(ADDRESS(1,MATCH(A1125,INDIRECT("'"&amp;E1125&amp;"'"&amp;"!A" &amp; $O$1105 + 5 &amp; ":Z" &amp; $O$1105 + 5),0),4),1,""),""),$O$1105+ 8)</f>
        <v>L443</v>
      </c>
      <c r="C1125" s="826" t="str">
        <f t="shared" ca="1" si="197"/>
        <v>L</v>
      </c>
      <c r="D1125" s="826" t="s">
        <v>1357</v>
      </c>
      <c r="E1125" s="826" t="s">
        <v>1516</v>
      </c>
      <c r="F1125" s="826"/>
      <c r="G1125" s="826"/>
      <c r="H1125" s="826"/>
      <c r="I1125" s="1274" t="str">
        <f t="shared" si="190"/>
        <v/>
      </c>
      <c r="J1125" s="1314" t="str">
        <f t="shared" si="193"/>
        <v/>
      </c>
      <c r="K1125" s="1314" t="str">
        <f t="shared" si="191"/>
        <v/>
      </c>
      <c r="L1125" s="826" t="s">
        <v>727</v>
      </c>
      <c r="M1125" s="1329">
        <v>1108</v>
      </c>
      <c r="N1125" s="1314"/>
      <c r="O1125" s="1311"/>
      <c r="P1125" s="1311"/>
      <c r="Q1125" s="1311"/>
      <c r="R1125" s="1314" t="s">
        <v>1099</v>
      </c>
      <c r="S1125" s="1311"/>
      <c r="T1125" s="1311"/>
      <c r="U1125" s="1311"/>
      <c r="V1125" s="1311"/>
      <c r="W1125" s="1311"/>
      <c r="X1125" s="1311"/>
      <c r="Y1125" s="1311"/>
      <c r="Z1125" s="1311"/>
    </row>
    <row r="1126" spans="1:26" x14ac:dyDescent="0.25">
      <c r="A1126" s="847" t="s">
        <v>1482</v>
      </c>
      <c r="B1126" s="826" t="str">
        <f ca="1">_xlfn.CONCAT(IFERROR(SUBSTITUTE(ADDRESS(1,MATCH(A1126,INDIRECT("'"&amp;E1126&amp;"'"&amp;"!A" &amp; $O$1105 + 5 &amp; ":Z" &amp; $O$1105 + 5),0),4),1,""),""),$O$1105+ 8)</f>
        <v>N443</v>
      </c>
      <c r="C1126" s="826" t="str">
        <f t="shared" ca="1" si="197"/>
        <v>N</v>
      </c>
      <c r="D1126" s="826" t="s">
        <v>1357</v>
      </c>
      <c r="E1126" s="826" t="s">
        <v>1516</v>
      </c>
      <c r="F1126" s="826"/>
      <c r="G1126" s="826"/>
      <c r="H1126" s="826"/>
      <c r="I1126" s="1274" t="str">
        <f t="shared" si="190"/>
        <v/>
      </c>
      <c r="J1126" s="1314" t="str">
        <f t="shared" si="193"/>
        <v/>
      </c>
      <c r="K1126" s="1314" t="str">
        <f t="shared" si="191"/>
        <v/>
      </c>
      <c r="L1126" s="826" t="s">
        <v>1482</v>
      </c>
      <c r="M1126" s="1329">
        <v>1109</v>
      </c>
      <c r="N1126" s="1314"/>
      <c r="O1126" s="1311"/>
      <c r="P1126" s="1311"/>
      <c r="Q1126" s="1311"/>
      <c r="R1126" s="1314" t="s">
        <v>1099</v>
      </c>
      <c r="S1126" s="1311"/>
      <c r="T1126" s="1311"/>
      <c r="U1126" s="1311"/>
      <c r="V1126" s="1311"/>
      <c r="W1126" s="1311"/>
      <c r="X1126" s="1311"/>
      <c r="Y1126" s="1311"/>
      <c r="Z1126" s="1311"/>
    </row>
    <row r="1127" spans="1:26" x14ac:dyDescent="0.25">
      <c r="A1127" s="847" t="s">
        <v>1481</v>
      </c>
      <c r="B1127" s="826" t="str">
        <f ca="1">_xlfn.CONCAT(IFERROR(SUBSTITUTE(ADDRESS(1,MATCH(A1127,INDIRECT("'"&amp;E1127&amp;"'"&amp;"!A" &amp; $O$1105 + 5 &amp; ":Z" &amp; $O$1105 + 5),0),4),1,""),""),$O$1105+ 9)</f>
        <v>J444</v>
      </c>
      <c r="C1127" s="826" t="str">
        <f t="shared" ca="1" si="197"/>
        <v>J</v>
      </c>
      <c r="D1127" s="826" t="s">
        <v>1357</v>
      </c>
      <c r="E1127" s="826" t="s">
        <v>1516</v>
      </c>
      <c r="F1127" s="826"/>
      <c r="G1127" s="826"/>
      <c r="H1127" s="826"/>
      <c r="I1127" s="1274" t="str">
        <f t="shared" si="190"/>
        <v/>
      </c>
      <c r="J1127" s="1314" t="str">
        <f t="shared" si="193"/>
        <v/>
      </c>
      <c r="K1127" s="1314" t="str">
        <f t="shared" si="191"/>
        <v/>
      </c>
      <c r="L1127" s="826" t="s">
        <v>1481</v>
      </c>
      <c r="M1127" s="1329">
        <v>1110</v>
      </c>
      <c r="N1127" s="1314"/>
      <c r="O1127" s="1311"/>
      <c r="P1127" s="1311"/>
      <c r="Q1127" s="1311"/>
      <c r="R1127" s="1314" t="s">
        <v>1099</v>
      </c>
      <c r="S1127" s="1311"/>
      <c r="T1127" s="1311"/>
      <c r="U1127" s="1311"/>
      <c r="V1127" s="1311"/>
      <c r="W1127" s="1311"/>
      <c r="X1127" s="1311"/>
      <c r="Y1127" s="1311"/>
      <c r="Z1127" s="1311"/>
    </row>
    <row r="1128" spans="1:26" x14ac:dyDescent="0.25">
      <c r="A1128" s="847" t="s">
        <v>727</v>
      </c>
      <c r="B1128" s="826" t="str">
        <f ca="1">_xlfn.CONCAT(IFERROR(SUBSTITUTE(ADDRESS(1,MATCH(A1128,INDIRECT("'"&amp;E1128&amp;"'"&amp;"!A" &amp; $O$1105 + 5 &amp; ":Z" &amp; $O$1105 + 5),0),4),1,""),""),$O$1105+ 9)</f>
        <v>L444</v>
      </c>
      <c r="C1128" s="826" t="str">
        <f t="shared" ca="1" si="197"/>
        <v>L</v>
      </c>
      <c r="D1128" s="826" t="s">
        <v>1357</v>
      </c>
      <c r="E1128" s="826" t="s">
        <v>1516</v>
      </c>
      <c r="F1128" s="826"/>
      <c r="G1128" s="826"/>
      <c r="H1128" s="826"/>
      <c r="I1128" s="1274" t="str">
        <f t="shared" si="190"/>
        <v/>
      </c>
      <c r="J1128" s="1314" t="str">
        <f t="shared" si="193"/>
        <v/>
      </c>
      <c r="K1128" s="1314" t="str">
        <f t="shared" si="191"/>
        <v/>
      </c>
      <c r="L1128" s="826" t="s">
        <v>727</v>
      </c>
      <c r="M1128" s="1329">
        <v>1111</v>
      </c>
      <c r="N1128" s="1314"/>
      <c r="O1128" s="1311"/>
      <c r="P1128" s="1311"/>
      <c r="Q1128" s="1311"/>
      <c r="R1128" s="1314" t="s">
        <v>1099</v>
      </c>
      <c r="S1128" s="1311"/>
      <c r="T1128" s="1311"/>
      <c r="U1128" s="1311"/>
      <c r="V1128" s="1311"/>
      <c r="W1128" s="1311"/>
      <c r="X1128" s="1311"/>
      <c r="Y1128" s="1311"/>
      <c r="Z1128" s="1311"/>
    </row>
    <row r="1129" spans="1:26" x14ac:dyDescent="0.25">
      <c r="A1129" s="847" t="s">
        <v>1482</v>
      </c>
      <c r="B1129" s="826" t="str">
        <f ca="1">_xlfn.CONCAT(IFERROR(SUBSTITUTE(ADDRESS(1,MATCH(A1129,INDIRECT("'"&amp;E1129&amp;"'"&amp;"!A" &amp; $O$1105 + 5 &amp; ":Z" &amp; $O$1105 + 5),0),4),1,""),""),$O$1105+ 9)</f>
        <v>N444</v>
      </c>
      <c r="C1129" s="826" t="str">
        <f t="shared" ca="1" si="197"/>
        <v>N</v>
      </c>
      <c r="D1129" s="826" t="s">
        <v>1357</v>
      </c>
      <c r="E1129" s="826" t="s">
        <v>1516</v>
      </c>
      <c r="F1129" s="826"/>
      <c r="G1129" s="826"/>
      <c r="H1129" s="826"/>
      <c r="I1129" s="1274" t="str">
        <f t="shared" si="190"/>
        <v/>
      </c>
      <c r="J1129" s="1314" t="str">
        <f t="shared" si="193"/>
        <v/>
      </c>
      <c r="K1129" s="1314" t="str">
        <f t="shared" si="191"/>
        <v/>
      </c>
      <c r="L1129" s="826" t="s">
        <v>1482</v>
      </c>
      <c r="M1129" s="1329">
        <v>1112</v>
      </c>
      <c r="N1129" s="1314"/>
      <c r="O1129" s="1311"/>
      <c r="P1129" s="1311"/>
      <c r="Q1129" s="1311"/>
      <c r="R1129" s="1314" t="s">
        <v>1099</v>
      </c>
      <c r="S1129" s="1311"/>
      <c r="T1129" s="1311"/>
      <c r="U1129" s="1311"/>
      <c r="V1129" s="1311"/>
      <c r="W1129" s="1311"/>
      <c r="X1129" s="1311"/>
      <c r="Y1129" s="1311"/>
      <c r="Z1129" s="1311"/>
    </row>
    <row r="1130" spans="1:26" x14ac:dyDescent="0.25">
      <c r="A1130" s="847" t="s">
        <v>1481</v>
      </c>
      <c r="B1130" s="826" t="str">
        <f ca="1">_xlfn.CONCAT(IFERROR(SUBSTITUTE(ADDRESS(1,MATCH(A1130,INDIRECT("'"&amp;E1130&amp;"'"&amp;"!A" &amp; $O$1105 + 5 &amp; ":Z" &amp; $O$1105 + 5),0),4),1,""),""),$O$1105+ 10)</f>
        <v>J445</v>
      </c>
      <c r="C1130" s="826" t="str">
        <f t="shared" ca="1" si="197"/>
        <v>J</v>
      </c>
      <c r="D1130" s="826" t="s">
        <v>1357</v>
      </c>
      <c r="E1130" s="826" t="s">
        <v>1516</v>
      </c>
      <c r="F1130" s="826"/>
      <c r="G1130" s="826"/>
      <c r="H1130" s="826"/>
      <c r="I1130" s="1274" t="str">
        <f t="shared" si="190"/>
        <v/>
      </c>
      <c r="J1130" s="1314" t="str">
        <f t="shared" si="193"/>
        <v/>
      </c>
      <c r="K1130" s="1314" t="str">
        <f t="shared" si="191"/>
        <v/>
      </c>
      <c r="L1130" s="826" t="s">
        <v>1481</v>
      </c>
      <c r="M1130" s="1329">
        <v>1113</v>
      </c>
      <c r="N1130" s="1314"/>
      <c r="O1130" s="1311"/>
      <c r="P1130" s="1311"/>
      <c r="Q1130" s="1311"/>
      <c r="R1130" s="1314" t="s">
        <v>1099</v>
      </c>
      <c r="S1130" s="1311"/>
      <c r="T1130" s="1311"/>
      <c r="U1130" s="1311"/>
      <c r="V1130" s="1311"/>
      <c r="W1130" s="1311"/>
      <c r="X1130" s="1311"/>
      <c r="Y1130" s="1311"/>
      <c r="Z1130" s="1311"/>
    </row>
    <row r="1131" spans="1:26" x14ac:dyDescent="0.25">
      <c r="A1131" s="847" t="s">
        <v>727</v>
      </c>
      <c r="B1131" s="826" t="str">
        <f ca="1">_xlfn.CONCAT(IFERROR(SUBSTITUTE(ADDRESS(1,MATCH(A1131,INDIRECT("'"&amp;E1131&amp;"'"&amp;"!A" &amp; $O$1105 + 5 &amp; ":Z" &amp; $O$1105 + 5),0),4),1,""),""),$O$1105+ 10)</f>
        <v>L445</v>
      </c>
      <c r="C1131" s="826" t="str">
        <f t="shared" ca="1" si="197"/>
        <v>L</v>
      </c>
      <c r="D1131" s="826" t="s">
        <v>1357</v>
      </c>
      <c r="E1131" s="826" t="s">
        <v>1516</v>
      </c>
      <c r="F1131" s="826"/>
      <c r="G1131" s="826"/>
      <c r="H1131" s="826"/>
      <c r="I1131" s="1274" t="str">
        <f t="shared" si="190"/>
        <v/>
      </c>
      <c r="J1131" s="1314" t="str">
        <f t="shared" si="193"/>
        <v/>
      </c>
      <c r="K1131" s="1314" t="str">
        <f t="shared" si="191"/>
        <v/>
      </c>
      <c r="L1131" s="826" t="s">
        <v>727</v>
      </c>
      <c r="M1131" s="1329">
        <v>1114</v>
      </c>
      <c r="N1131" s="1314"/>
      <c r="O1131" s="1311"/>
      <c r="P1131" s="1311"/>
      <c r="Q1131" s="1311"/>
      <c r="R1131" s="1314" t="s">
        <v>1099</v>
      </c>
      <c r="S1131" s="1311"/>
      <c r="T1131" s="1311"/>
      <c r="U1131" s="1311"/>
      <c r="V1131" s="1311"/>
      <c r="W1131" s="1311"/>
      <c r="X1131" s="1311"/>
      <c r="Y1131" s="1311"/>
      <c r="Z1131" s="1311"/>
    </row>
    <row r="1132" spans="1:26" x14ac:dyDescent="0.25">
      <c r="A1132" s="847" t="s">
        <v>1482</v>
      </c>
      <c r="B1132" s="826" t="str">
        <f ca="1">_xlfn.CONCAT(IFERROR(SUBSTITUTE(ADDRESS(1,MATCH(A1132,INDIRECT("'"&amp;E1132&amp;"'"&amp;"!A" &amp; $O$1105 + 5 &amp; ":Z" &amp; $O$1105 + 5),0),4),1,""),""),$O$1105+ 10)</f>
        <v>N445</v>
      </c>
      <c r="C1132" s="826" t="str">
        <f t="shared" ca="1" si="197"/>
        <v>N</v>
      </c>
      <c r="D1132" s="826" t="s">
        <v>1357</v>
      </c>
      <c r="E1132" s="826" t="s">
        <v>1516</v>
      </c>
      <c r="F1132" s="826"/>
      <c r="G1132" s="826"/>
      <c r="H1132" s="826"/>
      <c r="I1132" s="1274" t="str">
        <f t="shared" si="190"/>
        <v/>
      </c>
      <c r="J1132" s="1314" t="str">
        <f t="shared" si="193"/>
        <v/>
      </c>
      <c r="K1132" s="1314" t="str">
        <f t="shared" si="191"/>
        <v/>
      </c>
      <c r="L1132" s="826" t="s">
        <v>1482</v>
      </c>
      <c r="M1132" s="1329">
        <v>1115</v>
      </c>
      <c r="N1132" s="1314"/>
      <c r="O1132" s="1311"/>
      <c r="P1132" s="1311"/>
      <c r="Q1132" s="1311"/>
      <c r="R1132" s="1314" t="s">
        <v>1099</v>
      </c>
      <c r="S1132" s="1311"/>
      <c r="T1132" s="1311"/>
      <c r="U1132" s="1311"/>
      <c r="V1132" s="1311"/>
      <c r="W1132" s="1311"/>
      <c r="X1132" s="1311"/>
      <c r="Y1132" s="1311"/>
      <c r="Z1132" s="1311"/>
    </row>
    <row r="1133" spans="1:26" x14ac:dyDescent="0.25">
      <c r="A1133" s="850" t="s">
        <v>1491</v>
      </c>
      <c r="B1133" s="826" t="str">
        <f ca="1">IFERROR(_xlfn.CONCAT("C",MATCH(A1133,INDIRECT("'"&amp;E1133&amp;"'!C"&amp;$O$1134&amp;":C"&amp;$O$1136),0)+$O$1134-1),"")</f>
        <v>C453</v>
      </c>
      <c r="C1133" s="826" t="str">
        <f ca="1">IFERROR(_xlfn.CONCAT("D",MATCH(A1133,INDIRECT("'"&amp;E1133&amp;"'!C"&amp;$O$1134&amp;":C"&amp;$O$1136),0)+$O$1134-1),"")</f>
        <v>D453</v>
      </c>
      <c r="D1133" s="826" t="s">
        <v>1350</v>
      </c>
      <c r="E1133" s="826" t="s">
        <v>1516</v>
      </c>
      <c r="F1133" s="1314" t="s">
        <v>1491</v>
      </c>
      <c r="G1133" s="1314" t="str">
        <f>IF(T1133&lt;&gt;"","A","")</f>
        <v/>
      </c>
      <c r="H1133" s="1314" t="s">
        <v>1990</v>
      </c>
      <c r="I1133" s="1274" t="str">
        <f t="shared" si="190"/>
        <v/>
      </c>
      <c r="J1133" s="1314"/>
      <c r="K1133" s="1314" t="str">
        <f t="shared" si="191"/>
        <v/>
      </c>
      <c r="L1133" s="826" t="s">
        <v>1491</v>
      </c>
      <c r="M1133" s="1329">
        <v>1116</v>
      </c>
      <c r="N1133" s="1314"/>
      <c r="O1133" s="1311" t="s">
        <v>725</v>
      </c>
      <c r="P1133" s="18"/>
      <c r="Q1133" s="1311"/>
      <c r="R1133" s="1314" t="s">
        <v>1099</v>
      </c>
      <c r="S1133" s="1311"/>
      <c r="T1133" s="1314" t="str">
        <f>IF(Q$1134="Yes",32,"")</f>
        <v/>
      </c>
      <c r="U1133" s="1311"/>
      <c r="V1133" s="1311"/>
      <c r="W1133" s="1311"/>
      <c r="X1133" s="1311"/>
      <c r="Y1133" s="1311"/>
      <c r="Z1133" s="1311"/>
    </row>
    <row r="1134" spans="1:26" x14ac:dyDescent="0.25">
      <c r="A1134" s="850" t="s">
        <v>1705</v>
      </c>
      <c r="B1134" s="826" t="str">
        <f ca="1">_xlfn.CONCAT(IFERROR(SUBSTITUTE(ADDRESS(1,MATCH(A1134,INDIRECT("'"&amp;E1134&amp;"'"&amp;"!A" &amp; $O$1134 + 11 &amp; ":Z" &amp; $O$1134 + 11),0),4),1,""),""),$O$1134+ 11)</f>
        <v>T460</v>
      </c>
      <c r="C1134" s="826" t="str">
        <f ca="1">_xlfn.CONCAT(IFERROR(SUBSTITUTE(ADDRESS(1,MATCH(A1134,INDIRECT("'"&amp;E1134&amp;"'"&amp;"!A" &amp; $O$1134 + 11 &amp; ":Z" &amp; $O$1134 + 11),0),4),1,""),""),$O$1134+ 12)</f>
        <v>T461</v>
      </c>
      <c r="D1134" s="826" t="s">
        <v>1350</v>
      </c>
      <c r="E1134" s="826" t="s">
        <v>1516</v>
      </c>
      <c r="F1134" s="1314"/>
      <c r="G1134" s="1314"/>
      <c r="H1134" s="1314"/>
      <c r="I1134" s="1274" t="str">
        <f t="shared" si="190"/>
        <v/>
      </c>
      <c r="J1134" s="1314" t="str">
        <f t="shared" ref="J1134:J1161" si="198">IF(M1134&lt;&gt;"",IF($Q$1134="Yes",Q$1&amp;M1134,""))</f>
        <v/>
      </c>
      <c r="K1134" s="1314" t="str">
        <f t="shared" si="191"/>
        <v/>
      </c>
      <c r="L1134" s="826" t="s">
        <v>1705</v>
      </c>
      <c r="M1134" s="1329">
        <v>1117</v>
      </c>
      <c r="N1134" s="1314"/>
      <c r="O1134" s="1311">
        <f>'Configurable Tab'!H34</f>
        <v>449</v>
      </c>
      <c r="P1134" s="18" t="str">
        <f>'Configurable Tab'!J34</f>
        <v>No</v>
      </c>
      <c r="Q1134" s="1351" t="s">
        <v>648</v>
      </c>
      <c r="R1134" s="1314" t="s">
        <v>1099</v>
      </c>
      <c r="S1134" s="1311"/>
      <c r="T1134" s="1314" t="str">
        <f t="shared" ref="T1134:T1139" si="199">IF(Q$1134="Yes",32,"")</f>
        <v/>
      </c>
      <c r="U1134" s="1311"/>
      <c r="V1134" s="1311"/>
      <c r="W1134" s="1311"/>
      <c r="X1134" s="1311"/>
      <c r="Y1134" s="1311"/>
      <c r="Z1134" s="1311"/>
    </row>
    <row r="1135" spans="1:26" x14ac:dyDescent="0.25">
      <c r="A1135" s="850" t="s">
        <v>1383</v>
      </c>
      <c r="B1135" s="826" t="str">
        <f ca="1">IFERROR(_xlfn.CONCAT("C",MATCH(A1135,INDIRECT("'"&amp;E1135&amp;"'!C"&amp;$O$1134&amp;":C"&amp;$O$1136),0)+$O$1134-1),"")</f>
        <v>C451</v>
      </c>
      <c r="C1135" s="826" t="str">
        <f ca="1">IFERROR(_xlfn.CONCAT("D",MATCH(A1135,INDIRECT("'"&amp;E1135&amp;"'!C"&amp;$O$1134&amp;":C"&amp;$O$1136),0)+$O$1134-1),"")</f>
        <v>D451</v>
      </c>
      <c r="D1135" s="826" t="s">
        <v>1350</v>
      </c>
      <c r="E1135" s="826" t="s">
        <v>1516</v>
      </c>
      <c r="F1135" s="1314" t="s">
        <v>1383</v>
      </c>
      <c r="G1135" s="1314" t="str">
        <f>IF(T1135&lt;&gt;"","B","")</f>
        <v/>
      </c>
      <c r="H1135" s="1314" t="s">
        <v>1990</v>
      </c>
      <c r="I1135" s="1274" t="str">
        <f t="shared" si="190"/>
        <v/>
      </c>
      <c r="J1135" s="1314"/>
      <c r="K1135" s="1314" t="str">
        <f t="shared" si="191"/>
        <v/>
      </c>
      <c r="L1135" s="826" t="s">
        <v>1383</v>
      </c>
      <c r="M1135" s="1329">
        <v>1118</v>
      </c>
      <c r="N1135" s="1314"/>
      <c r="O1135" s="1311" t="s">
        <v>726</v>
      </c>
      <c r="P1135" s="1311"/>
      <c r="Q1135" s="1311"/>
      <c r="R1135" s="1314" t="s">
        <v>1099</v>
      </c>
      <c r="S1135" s="1311"/>
      <c r="T1135" s="1314" t="str">
        <f t="shared" si="199"/>
        <v/>
      </c>
      <c r="U1135" s="1311"/>
      <c r="V1135" s="1311"/>
      <c r="W1135" s="1311"/>
      <c r="X1135" s="1311"/>
      <c r="Y1135" s="1311"/>
      <c r="Z1135" s="1311"/>
    </row>
    <row r="1136" spans="1:26" x14ac:dyDescent="0.25">
      <c r="A1136" s="850" t="s">
        <v>1380</v>
      </c>
      <c r="B1136" s="826" t="str">
        <f ca="1">_xlfn.CONCAT(IFERROR(SUBSTITUTE(ADDRESS(1,MATCH(A1136,INDIRECT("'"&amp;E1136&amp;"'"&amp;"!A" &amp; $O$1134 + 2 &amp; ":Z" &amp; $O$1134 + 2),0),4),1,""),""),$O$1134+ 2)</f>
        <v>H451</v>
      </c>
      <c r="C1136" s="826" t="str">
        <f ca="1">_xlfn.CONCAT(IFERROR(SUBSTITUTE(ADDRESS(1,MATCH(A1136,INDIRECT("'"&amp;E1136&amp;"'"&amp;"!A" &amp; $O$1134 + 2 &amp; ":Z" &amp; $O$1134 + 2),0),4),1,""),""),$O$1134+ 3)</f>
        <v>H452</v>
      </c>
      <c r="D1136" s="826" t="s">
        <v>1350</v>
      </c>
      <c r="E1136" s="826" t="s">
        <v>1516</v>
      </c>
      <c r="F1136" s="1314" t="s">
        <v>1991</v>
      </c>
      <c r="G1136" s="1314" t="str">
        <f>IF(T1136&lt;&gt;"","E","")</f>
        <v/>
      </c>
      <c r="H1136" s="1314" t="s">
        <v>1990</v>
      </c>
      <c r="I1136" s="1274" t="str">
        <f t="shared" si="190"/>
        <v/>
      </c>
      <c r="J1136" s="1314" t="str">
        <f t="shared" si="198"/>
        <v/>
      </c>
      <c r="K1136" s="1314" t="str">
        <f t="shared" si="191"/>
        <v/>
      </c>
      <c r="L1136" s="826" t="s">
        <v>1380</v>
      </c>
      <c r="M1136" s="1329">
        <v>1119</v>
      </c>
      <c r="N1136" s="1314"/>
      <c r="O1136" s="1311">
        <f>'Configurable Tab'!I34</f>
        <v>462</v>
      </c>
      <c r="P1136" s="1311"/>
      <c r="Q1136" s="1311"/>
      <c r="R1136" s="1314" t="s">
        <v>1099</v>
      </c>
      <c r="S1136" s="1311"/>
      <c r="T1136" s="1314" t="str">
        <f t="shared" si="199"/>
        <v/>
      </c>
      <c r="U1136" s="1311"/>
      <c r="V1136" s="1311"/>
      <c r="W1136" s="1311"/>
      <c r="X1136" s="1311"/>
      <c r="Y1136" s="1311"/>
      <c r="Z1136" s="1311"/>
    </row>
    <row r="1137" spans="1:26" x14ac:dyDescent="0.25">
      <c r="A1137" s="850" t="s">
        <v>1381</v>
      </c>
      <c r="B1137" s="826" t="str">
        <f ca="1">_xlfn.CONCAT(IFERROR(SUBSTITUTE(ADDRESS(1,MATCH(A1137,INDIRECT("'"&amp;E1137&amp;"'"&amp;"!A" &amp; $O$1134 + 2 &amp; ":Z" &amp; $O$1134 + 2),0),4),1,""),""),$O$1134+ 2)</f>
        <v>J451</v>
      </c>
      <c r="C1137" s="826" t="str">
        <f ca="1">_xlfn.CONCAT(IFERROR(SUBSTITUTE(ADDRESS(1,MATCH(A1137,INDIRECT("'"&amp;E1137&amp;"'"&amp;"!A" &amp; $O$1134 + 2 &amp; ":Z" &amp; $O$1134 + 2),0),4),1,""),""),$O$1134+ 3)</f>
        <v>J452</v>
      </c>
      <c r="D1137" s="826" t="s">
        <v>1350</v>
      </c>
      <c r="E1137" s="826" t="s">
        <v>1516</v>
      </c>
      <c r="F1137" s="1314" t="s">
        <v>1992</v>
      </c>
      <c r="G1137" s="1314" t="str">
        <f>IF(T1137&lt;&gt;"","I","")</f>
        <v/>
      </c>
      <c r="H1137" s="1314" t="s">
        <v>1990</v>
      </c>
      <c r="I1137" s="1274" t="str">
        <f t="shared" si="190"/>
        <v/>
      </c>
      <c r="J1137" s="1314" t="str">
        <f t="shared" si="198"/>
        <v/>
      </c>
      <c r="K1137" s="1314" t="str">
        <f t="shared" si="191"/>
        <v/>
      </c>
      <c r="L1137" s="826" t="s">
        <v>1381</v>
      </c>
      <c r="M1137" s="1329">
        <v>1120</v>
      </c>
      <c r="N1137" s="1314"/>
      <c r="O1137" s="1311" t="s">
        <v>1659</v>
      </c>
      <c r="P1137" s="1311"/>
      <c r="Q1137" s="1311"/>
      <c r="R1137" s="1314" t="s">
        <v>1099</v>
      </c>
      <c r="S1137" s="1311"/>
      <c r="T1137" s="1314" t="str">
        <f t="shared" si="199"/>
        <v/>
      </c>
      <c r="U1137" s="1311"/>
      <c r="V1137" s="1311"/>
      <c r="W1137" s="1311"/>
      <c r="X1137" s="1311"/>
      <c r="Y1137" s="1311"/>
      <c r="Z1137" s="1311"/>
    </row>
    <row r="1138" spans="1:26" x14ac:dyDescent="0.25">
      <c r="A1138" s="850" t="s">
        <v>1382</v>
      </c>
      <c r="B1138" s="826" t="str">
        <f ca="1">_xlfn.CONCAT(IFERROR(SUBSTITUTE(ADDRESS(1,MATCH(A1138,INDIRECT("'"&amp;E1138&amp;"'"&amp;"!A" &amp; $O$1134 + 2 &amp; ":Z" &amp; $O$1134 + 2),0),4),1,""),""),$O$1134+ 2)</f>
        <v>N451</v>
      </c>
      <c r="C1138" s="826" t="str">
        <f ca="1">_xlfn.CONCAT(IFERROR(SUBSTITUTE(ADDRESS(1,MATCH(A1138,INDIRECT("'"&amp;E1138&amp;"'"&amp;"!A" &amp; $O$1134 + 2 &amp; ":Z" &amp; $O$1134 + 2),0),4),1,""),""),$O$1134+ 3)</f>
        <v>N452</v>
      </c>
      <c r="D1138" s="826" t="s">
        <v>1350</v>
      </c>
      <c r="E1138" s="826" t="s">
        <v>1516</v>
      </c>
      <c r="F1138" s="1314" t="s">
        <v>1382</v>
      </c>
      <c r="G1138" s="1314" t="str">
        <f>IF(T1138&lt;&gt;"",IF(Q1136="Credit Memo","J",IF(Q1136="Check","K","")),"")</f>
        <v/>
      </c>
      <c r="H1138" s="1314" t="s">
        <v>1990</v>
      </c>
      <c r="I1138" s="1274" t="str">
        <f t="shared" si="190"/>
        <v/>
      </c>
      <c r="J1138" s="1314" t="str">
        <f t="shared" si="198"/>
        <v/>
      </c>
      <c r="K1138" s="1314" t="str">
        <f t="shared" si="191"/>
        <v/>
      </c>
      <c r="L1138" s="826" t="s">
        <v>1382</v>
      </c>
      <c r="M1138" s="1329">
        <v>1121</v>
      </c>
      <c r="N1138" s="1314"/>
      <c r="O1138" s="1311"/>
      <c r="P1138" s="1311"/>
      <c r="Q1138" s="1311"/>
      <c r="R1138" s="1314" t="s">
        <v>1099</v>
      </c>
      <c r="S1138" s="1311"/>
      <c r="T1138" s="1314" t="str">
        <f t="shared" si="199"/>
        <v/>
      </c>
      <c r="U1138" s="1311"/>
      <c r="V1138" s="1311"/>
      <c r="W1138" s="1311"/>
      <c r="X1138" s="1311"/>
      <c r="Y1138" s="1311"/>
      <c r="Z1138" s="1311"/>
    </row>
    <row r="1139" spans="1:26" x14ac:dyDescent="0.25">
      <c r="A1139" s="850" t="s">
        <v>1487</v>
      </c>
      <c r="B1139" s="826" t="str">
        <f ca="1">_xlfn.CONCAT(IFERROR(SUBSTITUTE(ADDRESS(1,MATCH(A1139,INDIRECT("'"&amp;E1139&amp;"'"&amp;"!A" &amp; $O$1134 + 2 &amp; ":Z" &amp; $O$1134 + 2),0),4),1,""),""),$O$1134+ 2)</f>
        <v>R451</v>
      </c>
      <c r="C1139" s="826" t="str">
        <f ca="1">_xlfn.CONCAT(IFERROR(SUBSTITUTE(ADDRESS(1,MATCH(A1139,INDIRECT("'"&amp;E1139&amp;"'"&amp;"!A" &amp; $O$1134 + 2 &amp; ":Z" &amp; $O$1134 + 2),0),4),1,""),""),$O$1134+ 3)</f>
        <v>R452</v>
      </c>
      <c r="D1139" s="826" t="s">
        <v>1350</v>
      </c>
      <c r="E1139" s="826" t="s">
        <v>1516</v>
      </c>
      <c r="F1139" s="1314" t="s">
        <v>1995</v>
      </c>
      <c r="G1139" s="1314" t="str">
        <f>IF(T1139&lt;&gt;"","G","")</f>
        <v/>
      </c>
      <c r="H1139" s="1314" t="s">
        <v>1990</v>
      </c>
      <c r="I1139" s="1274" t="str">
        <f t="shared" si="190"/>
        <v/>
      </c>
      <c r="J1139" s="1314" t="str">
        <f t="shared" si="198"/>
        <v/>
      </c>
      <c r="K1139" s="1314" t="str">
        <f t="shared" si="191"/>
        <v/>
      </c>
      <c r="L1139" s="826" t="s">
        <v>1487</v>
      </c>
      <c r="M1139" s="1329">
        <v>1122</v>
      </c>
      <c r="N1139" s="1314"/>
      <c r="O1139" s="1311"/>
      <c r="P1139" s="1311"/>
      <c r="Q1139" s="1311"/>
      <c r="R1139" s="1314" t="s">
        <v>1099</v>
      </c>
      <c r="S1139" s="1311"/>
      <c r="T1139" s="1314" t="str">
        <f t="shared" si="199"/>
        <v/>
      </c>
      <c r="U1139" s="1311"/>
      <c r="V1139" s="1311"/>
      <c r="W1139" s="1311"/>
      <c r="X1139" s="1311"/>
      <c r="Y1139" s="1311"/>
      <c r="Z1139" s="1311"/>
    </row>
    <row r="1140" spans="1:26" x14ac:dyDescent="0.25">
      <c r="A1140" s="850" t="s">
        <v>1488</v>
      </c>
      <c r="B1140" s="826" t="str">
        <f ca="1">_xlfn.CONCAT(IFERROR(SUBSTITUTE(ADDRESS(1,MATCH(A1140,INDIRECT("'"&amp;E1140&amp;"'"&amp;"!A" &amp; $O$1134 + 2 &amp; ":Z" &amp; $O$1134 + 2),0),4),1,""),""),$O$1134+ 2)</f>
        <v>T451</v>
      </c>
      <c r="C1140" s="826" t="str">
        <f ca="1">_xlfn.CONCAT(IFERROR(SUBSTITUTE(ADDRESS(1,MATCH(A1140,INDIRECT("'"&amp;E1140&amp;"'"&amp;"!A" &amp; $O$1134 + 2 &amp; ":Z" &amp; $O$1134 + 2),0),4),1,""),""),$O$1134+ 3)</f>
        <v>T452</v>
      </c>
      <c r="D1140" s="826" t="s">
        <v>1350</v>
      </c>
      <c r="E1140" s="826" t="s">
        <v>1516</v>
      </c>
      <c r="F1140" s="841" t="s">
        <v>1488</v>
      </c>
      <c r="G1140" s="1314" t="str">
        <f>IF(T1140&lt;&gt;"","AW","")</f>
        <v/>
      </c>
      <c r="H1140" s="1314" t="s">
        <v>1990</v>
      </c>
      <c r="I1140" s="1274" t="str">
        <f t="shared" si="190"/>
        <v/>
      </c>
      <c r="J1140" s="1314" t="str">
        <f t="shared" si="198"/>
        <v/>
      </c>
      <c r="K1140" s="1314" t="str">
        <f t="shared" si="191"/>
        <v/>
      </c>
      <c r="L1140" s="826" t="s">
        <v>1488</v>
      </c>
      <c r="M1140" s="1329">
        <v>1123</v>
      </c>
      <c r="N1140" s="1314"/>
      <c r="O1140" s="1311"/>
      <c r="P1140" s="1311"/>
      <c r="Q1140" s="1311"/>
      <c r="R1140" s="1314" t="s">
        <v>1099</v>
      </c>
      <c r="S1140" s="1311"/>
      <c r="T1140" s="1311"/>
      <c r="U1140" s="1311"/>
      <c r="V1140" s="1311"/>
      <c r="W1140" s="1311"/>
      <c r="X1140" s="1311"/>
      <c r="Y1140" s="1311"/>
      <c r="Z1140" s="1311"/>
    </row>
    <row r="1141" spans="1:26" x14ac:dyDescent="0.25">
      <c r="A1141" s="850" t="s">
        <v>1385</v>
      </c>
      <c r="B1141" s="826" t="str">
        <f ca="1">IFERROR(_xlfn.CONCAT("C",MATCH(A1141,INDIRECT("'"&amp;E1141&amp;"'!C"&amp;$O$1134&amp;":C"&amp;$O$1136),0)+$O$1134-1),"")</f>
        <v>C455</v>
      </c>
      <c r="C1141" s="826" t="str">
        <f ca="1">IFERROR(_xlfn.CONCAT("D",MATCH(A1141,INDIRECT("'"&amp;E1141&amp;"'!C"&amp;$O$1134&amp;":C"&amp;$O$1136),0)+$O$1134-1),"")</f>
        <v>D455</v>
      </c>
      <c r="D1141" s="826" t="s">
        <v>1350</v>
      </c>
      <c r="E1141" s="826" t="s">
        <v>1516</v>
      </c>
      <c r="F1141" s="1314" t="s">
        <v>1385</v>
      </c>
      <c r="G1141" s="1314" t="str">
        <f>IF(T1141&lt;&gt;"","C","")</f>
        <v/>
      </c>
      <c r="H1141" s="1314" t="s">
        <v>1990</v>
      </c>
      <c r="I1141" s="1274" t="str">
        <f t="shared" si="190"/>
        <v/>
      </c>
      <c r="J1141" s="1314"/>
      <c r="K1141" s="1314" t="str">
        <f t="shared" si="191"/>
        <v/>
      </c>
      <c r="L1141" s="826" t="s">
        <v>1385</v>
      </c>
      <c r="M1141" s="1329">
        <v>1124</v>
      </c>
      <c r="N1141" s="1314"/>
      <c r="O1141" s="1311"/>
      <c r="P1141" s="1311"/>
      <c r="Q1141" s="1311"/>
      <c r="R1141" s="1314" t="s">
        <v>1099</v>
      </c>
      <c r="S1141" s="1311"/>
      <c r="T1141" s="1314" t="str">
        <f t="shared" ref="T1141:T1142" si="200">IF(Q$1134="Yes",32,"")</f>
        <v/>
      </c>
      <c r="U1141" s="1311"/>
      <c r="V1141" s="1311"/>
      <c r="W1141" s="1311"/>
      <c r="X1141" s="1311"/>
      <c r="Y1141" s="1311"/>
      <c r="Z1141" s="1311"/>
    </row>
    <row r="1142" spans="1:26" x14ac:dyDescent="0.25">
      <c r="A1142" s="850" t="s">
        <v>1386</v>
      </c>
      <c r="B1142" s="826" t="str">
        <f ca="1">IFERROR(_xlfn.CONCAT("C",MATCH(A1142,INDIRECT("'"&amp;E1142&amp;"'!C"&amp;$O$1134&amp;":C"&amp;$O$1136),0)+$O$1134-1),"")</f>
        <v>C457</v>
      </c>
      <c r="C1142" s="826" t="str">
        <f ca="1">IFERROR(_xlfn.CONCAT("D",MATCH(A1142,INDIRECT("'"&amp;E1142&amp;"'!C"&amp;$O$1134&amp;":C"&amp;$O$1136),0)+$O$1134-1),"")</f>
        <v>D457</v>
      </c>
      <c r="D1142" s="826" t="s">
        <v>1350</v>
      </c>
      <c r="E1142" s="826" t="s">
        <v>1516</v>
      </c>
      <c r="F1142" s="1314" t="s">
        <v>1386</v>
      </c>
      <c r="G1142" s="1314" t="str">
        <f>IF(T1142&lt;&gt;"","D","")</f>
        <v/>
      </c>
      <c r="H1142" s="1314" t="s">
        <v>1990</v>
      </c>
      <c r="I1142" s="1274" t="str">
        <f t="shared" si="190"/>
        <v/>
      </c>
      <c r="J1142" s="1314"/>
      <c r="K1142" s="1314" t="str">
        <f t="shared" si="191"/>
        <v/>
      </c>
      <c r="L1142" s="826" t="s">
        <v>1386</v>
      </c>
      <c r="M1142" s="1329">
        <v>1125</v>
      </c>
      <c r="N1142" s="1314"/>
      <c r="O1142" s="1311"/>
      <c r="P1142" s="1311"/>
      <c r="Q1142" s="1311"/>
      <c r="R1142" s="1314" t="s">
        <v>1099</v>
      </c>
      <c r="S1142" s="1311"/>
      <c r="T1142" s="1314" t="str">
        <f t="shared" si="200"/>
        <v/>
      </c>
      <c r="U1142" s="1311"/>
      <c r="V1142" s="1311"/>
      <c r="W1142" s="1311"/>
      <c r="X1142" s="1311"/>
      <c r="Y1142" s="1311"/>
      <c r="Z1142" s="1311"/>
    </row>
    <row r="1143" spans="1:26" x14ac:dyDescent="0.25">
      <c r="A1143" s="850" t="s">
        <v>1495</v>
      </c>
      <c r="B1143" s="826" t="str">
        <f ca="1">IFERROR(_xlfn.CONCAT("C",MATCH(A1143,INDIRECT("'"&amp;E1143&amp;"'!C"&amp;$O$1134&amp;":C"&amp;$O$1136),0)+$O$1134-1),"")</f>
        <v>C459</v>
      </c>
      <c r="C1143" s="826" t="str">
        <f ca="1">IFERROR(_xlfn.CONCAT("D",MATCH(A1143,INDIRECT("'"&amp;E1143&amp;"'!C"&amp;$O$1134&amp;":C"&amp;$O$1136),0)+$O$1134-1),"")</f>
        <v>D459</v>
      </c>
      <c r="D1143" s="826" t="s">
        <v>1350</v>
      </c>
      <c r="E1143" s="826" t="s">
        <v>1516</v>
      </c>
      <c r="F1143" s="1314" t="s">
        <v>1495</v>
      </c>
      <c r="G1143" s="1314" t="str">
        <f>IF(T1143&lt;&gt;"","AN","")</f>
        <v/>
      </c>
      <c r="H1143" s="1314" t="s">
        <v>1990</v>
      </c>
      <c r="I1143" s="1274" t="str">
        <f t="shared" si="190"/>
        <v/>
      </c>
      <c r="J1143" s="1314" t="str">
        <f t="shared" si="198"/>
        <v/>
      </c>
      <c r="K1143" s="1314" t="str">
        <f t="shared" si="191"/>
        <v/>
      </c>
      <c r="L1143" s="826" t="s">
        <v>1495</v>
      </c>
      <c r="M1143" s="1329">
        <v>1126</v>
      </c>
      <c r="N1143" s="1314"/>
      <c r="O1143" s="18"/>
      <c r="P1143" s="1317" t="str" cm="1">
        <f t="array" aca="1" ref="P1143" ca="1">_xlfn.CONCAT("F",RIGHT(B1143, LEN(B1143) - MAX(IF(ISNUMBER(MID(B1143, ROW(INDIRECT("1:"&amp;LEN(B1143))), 1) *1)=FALSE, ROW(INDIRECT("1:"&amp;LEN(B1143))), 0))))</f>
        <v>F459</v>
      </c>
      <c r="Q1143" s="1314" t="str" cm="1">
        <f t="array" aca="1" ref="Q1143" ca="1">_xlfn.CONCAT("E",RIGHT(C1143, LEN(C1143) - MAX(IF(ISNUMBER(MID(C1143, ROW(INDIRECT("1:"&amp;LEN(C1143))), 1) *1)=FALSE, ROW(INDIRECT("1:"&amp;LEN(C1143))), 0))))</f>
        <v>E459</v>
      </c>
      <c r="R1143" s="1314" t="s">
        <v>1099</v>
      </c>
      <c r="S1143" s="1311"/>
      <c r="T1143" s="1314" t="str">
        <f>IF(Q$1134="Yes",32,"")</f>
        <v/>
      </c>
      <c r="U1143" s="1311"/>
      <c r="V1143" s="1311"/>
      <c r="W1143" s="1311"/>
      <c r="X1143" s="1311"/>
      <c r="Y1143" s="1311"/>
      <c r="Z1143" s="1311"/>
    </row>
    <row r="1144" spans="1:26" x14ac:dyDescent="0.25">
      <c r="A1144" s="850" t="s">
        <v>1492</v>
      </c>
      <c r="B1144" s="826" t="str">
        <f ca="1">_xlfn.CONCAT(IFERROR(SUBSTITUTE(ADDRESS(1,MATCH(A1144,INDIRECT("'"&amp;E1144&amp;"'"&amp;"!A" &amp; $O$1134 + 8 &amp; ":Z" &amp; $O$1134 + 8),0),4),1,""),""),$O$1134+ 8)</f>
        <v>H457</v>
      </c>
      <c r="C1144" s="826" t="str">
        <f ca="1">_xlfn.CONCAT(IFERROR(SUBSTITUTE(ADDRESS(1,MATCH(A1144,INDIRECT("'"&amp;E1144&amp;"'"&amp;"!A" &amp; $O$1134 + 8 &amp; ":Z" &amp; $O$1134 + 8),0),4),1,""),""),$O$1134+ 9)</f>
        <v>H458</v>
      </c>
      <c r="D1144" s="826" t="s">
        <v>1350</v>
      </c>
      <c r="E1144" s="826" t="s">
        <v>1516</v>
      </c>
      <c r="F1144" s="1314" t="s">
        <v>1492</v>
      </c>
      <c r="G1144" s="1314" t="str">
        <f>IF(T1144&lt;&gt;"","AL","")</f>
        <v/>
      </c>
      <c r="H1144" s="1314" t="s">
        <v>1990</v>
      </c>
      <c r="I1144" s="1274" t="str">
        <f t="shared" si="190"/>
        <v/>
      </c>
      <c r="J1144" s="1314" t="str">
        <f t="shared" si="198"/>
        <v/>
      </c>
      <c r="K1144" s="1314" t="str">
        <f t="shared" si="191"/>
        <v/>
      </c>
      <c r="L1144" s="826" t="s">
        <v>1492</v>
      </c>
      <c r="M1144" s="1329">
        <v>1127</v>
      </c>
      <c r="N1144" s="1314"/>
      <c r="O1144" s="1311"/>
      <c r="P1144" s="1311"/>
      <c r="Q1144" s="1311"/>
      <c r="R1144" s="1314" t="s">
        <v>1099</v>
      </c>
      <c r="S1144" s="1277"/>
      <c r="T1144" s="1314" t="str">
        <f>IF(Q$1134="Yes",32,"")</f>
        <v/>
      </c>
      <c r="U1144" s="1311"/>
      <c r="V1144" s="1311"/>
      <c r="W1144" s="1311"/>
      <c r="X1144" s="1311"/>
      <c r="Y1144" s="1311"/>
      <c r="Z1144" s="1311"/>
    </row>
    <row r="1145" spans="1:26" x14ac:dyDescent="0.25">
      <c r="A1145" s="850" t="s">
        <v>1389</v>
      </c>
      <c r="B1145" s="826" t="str">
        <f ca="1">_xlfn.CONCAT(IFERROR(SUBSTITUTE(ADDRESS(1,MATCH(A1145,INDIRECT("'"&amp;E1145&amp;"'"&amp;"!A" &amp; $O$1134 + 11 &amp; ":Z" &amp; $O$1134 + 11),0),4),1,""),""),$O$1134+ 11)</f>
        <v>H460</v>
      </c>
      <c r="C1145" s="826" t="str">
        <f ca="1">_xlfn.CONCAT(IFERROR(SUBSTITUTE(ADDRESS(1,MATCH(A1145,INDIRECT("'"&amp;E1145&amp;"'"&amp;"!A" &amp; $O$1134 + 11 &amp; ":Z" &amp; $O$1134 + 11),0),4),1,""),""),$O$1134+ 12)</f>
        <v>H461</v>
      </c>
      <c r="D1145" s="826" t="s">
        <v>1350</v>
      </c>
      <c r="E1145" s="826" t="s">
        <v>1516</v>
      </c>
      <c r="F1145" s="1314" t="s">
        <v>1912</v>
      </c>
      <c r="G1145" s="1314" t="str">
        <f>IF(T1145&lt;&gt;"","O","")</f>
        <v/>
      </c>
      <c r="H1145" s="1314" t="s">
        <v>1990</v>
      </c>
      <c r="I1145" s="1274" t="str">
        <f t="shared" si="190"/>
        <v/>
      </c>
      <c r="J1145" s="1314"/>
      <c r="K1145" s="1314" t="str">
        <f t="shared" si="191"/>
        <v/>
      </c>
      <c r="L1145" s="826" t="s">
        <v>1389</v>
      </c>
      <c r="M1145" s="1329">
        <v>1128</v>
      </c>
      <c r="N1145" s="1314"/>
      <c r="O1145" s="1311"/>
      <c r="P1145" s="1311"/>
      <c r="Q1145" s="1311"/>
      <c r="R1145" s="1314" t="s">
        <v>1099</v>
      </c>
      <c r="S1145" s="1277"/>
      <c r="T1145" s="1314" t="str">
        <f t="shared" ref="T1145" si="201">IF(Q$1134="Yes",32,"")</f>
        <v/>
      </c>
      <c r="U1145" s="1311"/>
      <c r="V1145" s="1311"/>
      <c r="W1145" s="1311"/>
      <c r="X1145" s="1311"/>
      <c r="Y1145" s="1311"/>
      <c r="Z1145" s="1311"/>
    </row>
    <row r="1146" spans="1:26" x14ac:dyDescent="0.25">
      <c r="A1146" s="850" t="s">
        <v>1396</v>
      </c>
      <c r="B1146" s="826" t="str">
        <f ca="1">_xlfn.CONCAT(IFERROR(SUBSTITUTE(ADDRESS(1,MATCH(A1146,INDIRECT("'"&amp;E1146&amp;"'"&amp;"!A" &amp; $O$1134 + 5 &amp; ":Z" &amp; $O$1134 + 5),0),4),1,""),""),$O$1134+ 5)</f>
        <v>H454</v>
      </c>
      <c r="C1146" s="826" t="str">
        <f ca="1">_xlfn.CONCAT(IFERROR(SUBSTITUTE(ADDRESS(1,MATCH(A1146,INDIRECT("'"&amp;E1146&amp;"'"&amp;"!A" &amp; $O$1134 + 5 &amp; ":Z" &amp; $O$1134 + 5),0),4),1,""),""),$O$1134+ 6)</f>
        <v>H455</v>
      </c>
      <c r="D1146" s="826" t="s">
        <v>1350</v>
      </c>
      <c r="E1146" s="826" t="s">
        <v>1516</v>
      </c>
      <c r="F1146" s="1354" t="s">
        <v>1396</v>
      </c>
      <c r="G1146" s="1354" t="str">
        <f>IF(T1146&lt;&gt;"","S","")</f>
        <v/>
      </c>
      <c r="H1146" s="1354" t="s">
        <v>1990</v>
      </c>
      <c r="I1146" s="1274" t="str">
        <f t="shared" si="190"/>
        <v/>
      </c>
      <c r="J1146" s="1314" t="str">
        <f t="shared" si="198"/>
        <v/>
      </c>
      <c r="K1146" s="1314" t="str">
        <f t="shared" si="191"/>
        <v/>
      </c>
      <c r="L1146" s="826" t="s">
        <v>1396</v>
      </c>
      <c r="M1146" s="1329">
        <v>1129</v>
      </c>
      <c r="N1146" s="1314"/>
      <c r="O1146" s="1311"/>
      <c r="P1146" s="1311"/>
      <c r="Q1146" s="1311"/>
      <c r="R1146" s="1314" t="s">
        <v>1099</v>
      </c>
      <c r="S1146" s="1277"/>
      <c r="T1146" s="1353" t="str">
        <f>IF(Q$1134="Yes",32,"")</f>
        <v/>
      </c>
      <c r="U1146" s="1311"/>
      <c r="V1146" s="1311"/>
      <c r="W1146" s="1311"/>
      <c r="X1146" s="1311"/>
      <c r="Y1146" s="1311"/>
      <c r="Z1146" s="1311"/>
    </row>
    <row r="1147" spans="1:26" x14ac:dyDescent="0.25">
      <c r="A1147" s="850" t="s">
        <v>1481</v>
      </c>
      <c r="B1147" s="826" t="str">
        <f ca="1">_xlfn.CONCAT(IFERROR(SUBSTITUTE(ADDRESS(1,MATCH(A1147,INDIRECT("'"&amp;E1147&amp;"'"&amp;"!A" &amp; $O$1134 + 5 &amp; ":Z" &amp; $O$1134 + 5),0),4),1,""),""),$O$1134+ 6)</f>
        <v>J455</v>
      </c>
      <c r="C1147" s="826" t="str">
        <f t="shared" ref="C1147:C1161" ca="1" si="202">IFERROR(SUBSTITUTE(ADDRESS(1,MATCH(A1147,INDIRECT("'"&amp;E1147&amp;"'"&amp;"!A" &amp; $O$1134 + 5 &amp; ":Z" &amp; $O$1134 + 5),0),4),1,""),"")</f>
        <v>J</v>
      </c>
      <c r="D1147" s="826" t="s">
        <v>1357</v>
      </c>
      <c r="E1147" s="826" t="s">
        <v>1516</v>
      </c>
      <c r="F1147" s="1081"/>
      <c r="G1147" s="826"/>
      <c r="H1147" s="826"/>
      <c r="I1147" s="1274" t="str">
        <f t="shared" si="190"/>
        <v/>
      </c>
      <c r="J1147" s="1314" t="str">
        <f t="shared" si="198"/>
        <v/>
      </c>
      <c r="K1147" s="1314" t="str">
        <f t="shared" si="191"/>
        <v/>
      </c>
      <c r="L1147" s="826" t="s">
        <v>1481</v>
      </c>
      <c r="M1147" s="1329">
        <v>1130</v>
      </c>
      <c r="N1147" s="1314"/>
      <c r="O1147" s="1311"/>
      <c r="P1147" s="1311"/>
      <c r="Q1147" s="1311"/>
      <c r="R1147" s="1314" t="s">
        <v>1099</v>
      </c>
      <c r="S1147" s="1311"/>
      <c r="T1147" s="1311"/>
      <c r="U1147" s="1311"/>
      <c r="V1147" s="1311"/>
      <c r="W1147" s="1311"/>
      <c r="X1147" s="1311"/>
      <c r="Y1147" s="1311"/>
      <c r="Z1147" s="1311"/>
    </row>
    <row r="1148" spans="1:26" x14ac:dyDescent="0.25">
      <c r="A1148" s="850" t="s">
        <v>727</v>
      </c>
      <c r="B1148" s="826" t="str">
        <f ca="1">_xlfn.CONCAT(IFERROR(SUBSTITUTE(ADDRESS(1,MATCH(A1148,INDIRECT("'"&amp;E1148&amp;"'"&amp;"!A" &amp; $O$1134 + 5 &amp; ":Z" &amp; $O$1134 + 5),0),4),1,""),""),$O$1134+ 6)</f>
        <v>L455</v>
      </c>
      <c r="C1148" s="826" t="str">
        <f t="shared" ca="1" si="202"/>
        <v>L</v>
      </c>
      <c r="D1148" s="826" t="s">
        <v>1357</v>
      </c>
      <c r="E1148" s="826" t="s">
        <v>1516</v>
      </c>
      <c r="F1148" s="1081"/>
      <c r="G1148" s="826"/>
      <c r="H1148" s="826"/>
      <c r="I1148" s="1274" t="str">
        <f t="shared" si="190"/>
        <v/>
      </c>
      <c r="J1148" s="1314" t="str">
        <f t="shared" si="198"/>
        <v/>
      </c>
      <c r="K1148" s="1314" t="str">
        <f t="shared" si="191"/>
        <v/>
      </c>
      <c r="L1148" s="826" t="s">
        <v>727</v>
      </c>
      <c r="M1148" s="1329">
        <v>1131</v>
      </c>
      <c r="N1148" s="1314"/>
      <c r="O1148" s="1311"/>
      <c r="P1148" s="1311"/>
      <c r="Q1148" s="1311"/>
      <c r="R1148" s="1314" t="s">
        <v>1099</v>
      </c>
      <c r="S1148" s="1311"/>
      <c r="T1148" s="1311"/>
      <c r="U1148" s="1311"/>
      <c r="V1148" s="1311"/>
      <c r="W1148" s="1311"/>
      <c r="X1148" s="1311"/>
      <c r="Y1148" s="1311"/>
      <c r="Z1148" s="1311"/>
    </row>
    <row r="1149" spans="1:26" x14ac:dyDescent="0.25">
      <c r="A1149" s="850" t="s">
        <v>1482</v>
      </c>
      <c r="B1149" s="826" t="str">
        <f ca="1">_xlfn.CONCAT(IFERROR(SUBSTITUTE(ADDRESS(1,MATCH(A1149,INDIRECT("'"&amp;E1149&amp;"'"&amp;"!A" &amp; $O$1134 + 5 &amp; ":Z" &amp; $O$1134 + 5),0),4),1,""),""),$O$1134+ 6)</f>
        <v>N455</v>
      </c>
      <c r="C1149" s="826" t="str">
        <f t="shared" ca="1" si="202"/>
        <v>N</v>
      </c>
      <c r="D1149" s="826" t="s">
        <v>1357</v>
      </c>
      <c r="E1149" s="826" t="s">
        <v>1516</v>
      </c>
      <c r="F1149" s="1081"/>
      <c r="G1149" s="826"/>
      <c r="H1149" s="826"/>
      <c r="I1149" s="1274" t="str">
        <f t="shared" si="190"/>
        <v/>
      </c>
      <c r="J1149" s="1314" t="str">
        <f t="shared" si="198"/>
        <v/>
      </c>
      <c r="K1149" s="1314" t="str">
        <f t="shared" si="191"/>
        <v/>
      </c>
      <c r="L1149" s="826" t="s">
        <v>1482</v>
      </c>
      <c r="M1149" s="1329">
        <v>1132</v>
      </c>
      <c r="N1149" s="1314"/>
      <c r="O1149" s="1311"/>
      <c r="P1149" s="1311"/>
      <c r="Q1149" s="1311"/>
      <c r="R1149" s="1314" t="s">
        <v>1099</v>
      </c>
      <c r="S1149" s="1311"/>
      <c r="T1149" s="1311"/>
      <c r="U1149" s="1311"/>
      <c r="V1149" s="1311"/>
      <c r="W1149" s="1311"/>
      <c r="X1149" s="1311"/>
      <c r="Y1149" s="1311"/>
      <c r="Z1149" s="1311"/>
    </row>
    <row r="1150" spans="1:26" x14ac:dyDescent="0.25">
      <c r="A1150" s="850" t="s">
        <v>1481</v>
      </c>
      <c r="B1150" s="826" t="str">
        <f ca="1">_xlfn.CONCAT(IFERROR(SUBSTITUTE(ADDRESS(1,MATCH(A1150,INDIRECT("'"&amp;E1150&amp;"'"&amp;"!A" &amp; $O$1134 + 5 &amp; ":Z" &amp; $O$1134 + 5),0),4),1,""),""),$O$1134+ 7)</f>
        <v>J456</v>
      </c>
      <c r="C1150" s="826" t="str">
        <f t="shared" ca="1" si="202"/>
        <v>J</v>
      </c>
      <c r="D1150" s="826" t="s">
        <v>1357</v>
      </c>
      <c r="E1150" s="826" t="s">
        <v>1516</v>
      </c>
      <c r="F1150" s="826"/>
      <c r="G1150" s="826"/>
      <c r="H1150" s="826"/>
      <c r="I1150" s="1274" t="str">
        <f t="shared" si="190"/>
        <v/>
      </c>
      <c r="J1150" s="1314" t="str">
        <f t="shared" si="198"/>
        <v/>
      </c>
      <c r="K1150" s="1314" t="str">
        <f t="shared" si="191"/>
        <v/>
      </c>
      <c r="L1150" s="826" t="s">
        <v>1481</v>
      </c>
      <c r="M1150" s="1329">
        <v>1133</v>
      </c>
      <c r="N1150" s="1314"/>
      <c r="O1150" s="1311"/>
      <c r="P1150" s="1311"/>
      <c r="Q1150" s="1311"/>
      <c r="R1150" s="1314" t="s">
        <v>1099</v>
      </c>
      <c r="S1150" s="1311"/>
      <c r="T1150" s="1311"/>
      <c r="U1150" s="1311"/>
      <c r="V1150" s="1311"/>
      <c r="W1150" s="1311"/>
      <c r="X1150" s="1311"/>
      <c r="Y1150" s="1311"/>
      <c r="Z1150" s="1311"/>
    </row>
    <row r="1151" spans="1:26" x14ac:dyDescent="0.25">
      <c r="A1151" s="850" t="s">
        <v>727</v>
      </c>
      <c r="B1151" s="826" t="str">
        <f ca="1">_xlfn.CONCAT(IFERROR(SUBSTITUTE(ADDRESS(1,MATCH(A1151,INDIRECT("'"&amp;E1151&amp;"'"&amp;"!A" &amp; $O$1134 + 5 &amp; ":Z" &amp; $O$1134 + 5),0),4),1,""),""),$O$1134+ 7)</f>
        <v>L456</v>
      </c>
      <c r="C1151" s="826" t="str">
        <f t="shared" ca="1" si="202"/>
        <v>L</v>
      </c>
      <c r="D1151" s="826" t="s">
        <v>1357</v>
      </c>
      <c r="E1151" s="826" t="s">
        <v>1516</v>
      </c>
      <c r="F1151" s="826"/>
      <c r="G1151" s="826"/>
      <c r="H1151" s="826"/>
      <c r="I1151" s="1274" t="str">
        <f t="shared" si="190"/>
        <v/>
      </c>
      <c r="J1151" s="1314" t="str">
        <f t="shared" si="198"/>
        <v/>
      </c>
      <c r="K1151" s="1314" t="str">
        <f t="shared" si="191"/>
        <v/>
      </c>
      <c r="L1151" s="826" t="s">
        <v>727</v>
      </c>
      <c r="M1151" s="1329">
        <v>1134</v>
      </c>
      <c r="N1151" s="1314"/>
      <c r="O1151" s="1311"/>
      <c r="P1151" s="1311"/>
      <c r="Q1151" s="1311"/>
      <c r="R1151" s="1314" t="s">
        <v>1099</v>
      </c>
      <c r="S1151" s="1311"/>
      <c r="T1151" s="1311"/>
      <c r="U1151" s="1311"/>
      <c r="V1151" s="1311"/>
      <c r="W1151" s="1311"/>
      <c r="X1151" s="1311"/>
      <c r="Y1151" s="1311"/>
      <c r="Z1151" s="1311"/>
    </row>
    <row r="1152" spans="1:26" x14ac:dyDescent="0.25">
      <c r="A1152" s="850" t="s">
        <v>1482</v>
      </c>
      <c r="B1152" s="826" t="str">
        <f ca="1">_xlfn.CONCAT(IFERROR(SUBSTITUTE(ADDRESS(1,MATCH(A1152,INDIRECT("'"&amp;E1152&amp;"'"&amp;"!A" &amp; $O$1134 + 5 &amp; ":Z" &amp; $O$1134 + 5),0),4),1,""),""),$O$1134+ 7)</f>
        <v>N456</v>
      </c>
      <c r="C1152" s="826" t="str">
        <f t="shared" ca="1" si="202"/>
        <v>N</v>
      </c>
      <c r="D1152" s="826" t="s">
        <v>1357</v>
      </c>
      <c r="E1152" s="826" t="s">
        <v>1516</v>
      </c>
      <c r="F1152" s="826"/>
      <c r="G1152" s="826"/>
      <c r="H1152" s="826"/>
      <c r="I1152" s="1274" t="str">
        <f t="shared" si="190"/>
        <v/>
      </c>
      <c r="J1152" s="1314" t="str">
        <f t="shared" si="198"/>
        <v/>
      </c>
      <c r="K1152" s="1314" t="str">
        <f t="shared" si="191"/>
        <v/>
      </c>
      <c r="L1152" s="826" t="s">
        <v>1482</v>
      </c>
      <c r="M1152" s="1329">
        <v>1135</v>
      </c>
      <c r="N1152" s="1314"/>
      <c r="O1152" s="1311"/>
      <c r="P1152" s="1311"/>
      <c r="Q1152" s="1311"/>
      <c r="R1152" s="1314" t="s">
        <v>1099</v>
      </c>
      <c r="S1152" s="1311"/>
      <c r="T1152" s="1311"/>
      <c r="U1152" s="1311"/>
      <c r="V1152" s="1311"/>
      <c r="W1152" s="1311"/>
      <c r="X1152" s="1311"/>
      <c r="Y1152" s="1311"/>
      <c r="Z1152" s="1311"/>
    </row>
    <row r="1153" spans="1:26" x14ac:dyDescent="0.25">
      <c r="A1153" s="850" t="s">
        <v>1481</v>
      </c>
      <c r="B1153" s="826" t="str">
        <f ca="1">_xlfn.CONCAT(IFERROR(SUBSTITUTE(ADDRESS(1,MATCH(A1153,INDIRECT("'"&amp;E1153&amp;"'"&amp;"!A" &amp; $O$1134 + 5 &amp; ":Z" &amp; $O$1134 + 5),0),4),1,""),""),$O$1134+ 8)</f>
        <v>J457</v>
      </c>
      <c r="C1153" s="826" t="str">
        <f t="shared" ca="1" si="202"/>
        <v>J</v>
      </c>
      <c r="D1153" s="826" t="s">
        <v>1357</v>
      </c>
      <c r="E1153" s="826" t="s">
        <v>1516</v>
      </c>
      <c r="F1153" s="826"/>
      <c r="G1153" s="826"/>
      <c r="H1153" s="826"/>
      <c r="I1153" s="1274" t="str">
        <f t="shared" si="190"/>
        <v/>
      </c>
      <c r="J1153" s="1314" t="str">
        <f t="shared" si="198"/>
        <v/>
      </c>
      <c r="K1153" s="1314" t="str">
        <f t="shared" si="191"/>
        <v/>
      </c>
      <c r="L1153" s="826" t="s">
        <v>1481</v>
      </c>
      <c r="M1153" s="1329">
        <v>1136</v>
      </c>
      <c r="N1153" s="1314"/>
      <c r="O1153" s="1311"/>
      <c r="P1153" s="1311"/>
      <c r="Q1153" s="1311"/>
      <c r="R1153" s="1314" t="s">
        <v>1099</v>
      </c>
      <c r="S1153" s="1311"/>
      <c r="T1153" s="1311"/>
      <c r="U1153" s="1311"/>
      <c r="V1153" s="1311"/>
      <c r="W1153" s="1311"/>
      <c r="X1153" s="1311"/>
      <c r="Y1153" s="1311"/>
      <c r="Z1153" s="1311"/>
    </row>
    <row r="1154" spans="1:26" x14ac:dyDescent="0.25">
      <c r="A1154" s="850" t="s">
        <v>727</v>
      </c>
      <c r="B1154" s="826" t="str">
        <f ca="1">_xlfn.CONCAT(IFERROR(SUBSTITUTE(ADDRESS(1,MATCH(A1154,INDIRECT("'"&amp;E1154&amp;"'"&amp;"!A" &amp; $O$1134 + 5 &amp; ":Z" &amp; $O$1134 + 5),0),4),1,""),""),$O$1134+ 8)</f>
        <v>L457</v>
      </c>
      <c r="C1154" s="826" t="str">
        <f t="shared" ca="1" si="202"/>
        <v>L</v>
      </c>
      <c r="D1154" s="826" t="s">
        <v>1357</v>
      </c>
      <c r="E1154" s="826" t="s">
        <v>1516</v>
      </c>
      <c r="F1154" s="826"/>
      <c r="G1154" s="826"/>
      <c r="H1154" s="826"/>
      <c r="I1154" s="1274" t="str">
        <f t="shared" si="190"/>
        <v/>
      </c>
      <c r="J1154" s="1314" t="str">
        <f t="shared" si="198"/>
        <v/>
      </c>
      <c r="K1154" s="1314" t="str">
        <f t="shared" si="191"/>
        <v/>
      </c>
      <c r="L1154" s="826" t="s">
        <v>727</v>
      </c>
      <c r="M1154" s="1329">
        <v>1137</v>
      </c>
      <c r="N1154" s="1314"/>
      <c r="O1154" s="1311"/>
      <c r="P1154" s="1311"/>
      <c r="Q1154" s="1311"/>
      <c r="R1154" s="1314" t="s">
        <v>1099</v>
      </c>
      <c r="S1154" s="1311"/>
      <c r="T1154" s="1311"/>
      <c r="U1154" s="1311"/>
      <c r="V1154" s="1311"/>
      <c r="W1154" s="1311"/>
      <c r="X1154" s="1311"/>
      <c r="Y1154" s="1311"/>
      <c r="Z1154" s="1311"/>
    </row>
    <row r="1155" spans="1:26" x14ac:dyDescent="0.25">
      <c r="A1155" s="850" t="s">
        <v>1482</v>
      </c>
      <c r="B1155" s="826" t="str">
        <f ca="1">_xlfn.CONCAT(IFERROR(SUBSTITUTE(ADDRESS(1,MATCH(A1155,INDIRECT("'"&amp;E1155&amp;"'"&amp;"!A" &amp; $O$1134 + 5 &amp; ":Z" &amp; $O$1134 + 5),0),4),1,""),""),$O$1134+ 8)</f>
        <v>N457</v>
      </c>
      <c r="C1155" s="826" t="str">
        <f t="shared" ca="1" si="202"/>
        <v>N</v>
      </c>
      <c r="D1155" s="826" t="s">
        <v>1357</v>
      </c>
      <c r="E1155" s="826" t="s">
        <v>1516</v>
      </c>
      <c r="F1155" s="826"/>
      <c r="G1155" s="826"/>
      <c r="H1155" s="826"/>
      <c r="I1155" s="1274" t="str">
        <f t="shared" si="190"/>
        <v/>
      </c>
      <c r="J1155" s="1314" t="str">
        <f t="shared" si="198"/>
        <v/>
      </c>
      <c r="K1155" s="1314" t="str">
        <f t="shared" si="191"/>
        <v/>
      </c>
      <c r="L1155" s="826" t="s">
        <v>1482</v>
      </c>
      <c r="M1155" s="1329">
        <v>1138</v>
      </c>
      <c r="N1155" s="1314"/>
      <c r="O1155" s="1311"/>
      <c r="P1155" s="1311"/>
      <c r="Q1155" s="1311"/>
      <c r="R1155" s="1314" t="s">
        <v>1099</v>
      </c>
      <c r="S1155" s="1311"/>
      <c r="T1155" s="1311"/>
      <c r="U1155" s="1311"/>
      <c r="V1155" s="1311"/>
      <c r="W1155" s="1311"/>
      <c r="X1155" s="1311"/>
      <c r="Y1155" s="1311"/>
      <c r="Z1155" s="1311"/>
    </row>
    <row r="1156" spans="1:26" x14ac:dyDescent="0.25">
      <c r="A1156" s="850" t="s">
        <v>1481</v>
      </c>
      <c r="B1156" s="826" t="str">
        <f ca="1">_xlfn.CONCAT(IFERROR(SUBSTITUTE(ADDRESS(1,MATCH(A1156,INDIRECT("'"&amp;E1156&amp;"'"&amp;"!A" &amp; $O$1134 + 5 &amp; ":Z" &amp; $O$1134 + 5),0),4),1,""),""),$O$1134+ 9)</f>
        <v>J458</v>
      </c>
      <c r="C1156" s="826" t="str">
        <f t="shared" ca="1" si="202"/>
        <v>J</v>
      </c>
      <c r="D1156" s="826" t="s">
        <v>1357</v>
      </c>
      <c r="E1156" s="826" t="s">
        <v>1516</v>
      </c>
      <c r="F1156" s="826"/>
      <c r="G1156" s="826"/>
      <c r="H1156" s="826"/>
      <c r="I1156" s="1274" t="str">
        <f t="shared" ref="I1156:I1219" si="203">IF(J1156&lt;&gt;"",A1156,"")</f>
        <v/>
      </c>
      <c r="J1156" s="1314" t="str">
        <f t="shared" si="198"/>
        <v/>
      </c>
      <c r="K1156" s="1314" t="str">
        <f t="shared" ref="K1156:K1219" si="204">IF(J1156&lt;&gt;"",E1156,"")</f>
        <v/>
      </c>
      <c r="L1156" s="826" t="s">
        <v>1481</v>
      </c>
      <c r="M1156" s="1329">
        <v>1139</v>
      </c>
      <c r="N1156" s="1314"/>
      <c r="O1156" s="1311"/>
      <c r="P1156" s="1311"/>
      <c r="Q1156" s="1311"/>
      <c r="R1156" s="1314" t="s">
        <v>1099</v>
      </c>
      <c r="S1156" s="1311"/>
      <c r="T1156" s="1311"/>
      <c r="U1156" s="1311"/>
      <c r="V1156" s="1311"/>
      <c r="W1156" s="1311"/>
      <c r="X1156" s="1311"/>
      <c r="Y1156" s="1311"/>
      <c r="Z1156" s="1311"/>
    </row>
    <row r="1157" spans="1:26" x14ac:dyDescent="0.25">
      <c r="A1157" s="850" t="s">
        <v>727</v>
      </c>
      <c r="B1157" s="826" t="str">
        <f ca="1">_xlfn.CONCAT(IFERROR(SUBSTITUTE(ADDRESS(1,MATCH(A1157,INDIRECT("'"&amp;E1157&amp;"'"&amp;"!A" &amp; $O$1134 + 5 &amp; ":Z" &amp; $O$1134 + 5),0),4),1,""),""),$O$1134+ 9)</f>
        <v>L458</v>
      </c>
      <c r="C1157" s="826" t="str">
        <f t="shared" ca="1" si="202"/>
        <v>L</v>
      </c>
      <c r="D1157" s="826" t="s">
        <v>1357</v>
      </c>
      <c r="E1157" s="826" t="s">
        <v>1516</v>
      </c>
      <c r="F1157" s="826"/>
      <c r="G1157" s="826"/>
      <c r="H1157" s="826"/>
      <c r="I1157" s="1274" t="str">
        <f t="shared" si="203"/>
        <v/>
      </c>
      <c r="J1157" s="1314" t="str">
        <f t="shared" si="198"/>
        <v/>
      </c>
      <c r="K1157" s="1314" t="str">
        <f t="shared" si="204"/>
        <v/>
      </c>
      <c r="L1157" s="826" t="s">
        <v>727</v>
      </c>
      <c r="M1157" s="1329">
        <v>1140</v>
      </c>
      <c r="N1157" s="1314"/>
      <c r="O1157" s="1311"/>
      <c r="P1157" s="1311"/>
      <c r="Q1157" s="1311"/>
      <c r="R1157" s="1314" t="s">
        <v>1099</v>
      </c>
      <c r="S1157" s="1311"/>
      <c r="T1157" s="1311"/>
      <c r="U1157" s="1311"/>
      <c r="V1157" s="1311"/>
      <c r="W1157" s="1311"/>
      <c r="X1157" s="1311"/>
      <c r="Y1157" s="1311"/>
      <c r="Z1157" s="1311"/>
    </row>
    <row r="1158" spans="1:26" x14ac:dyDescent="0.25">
      <c r="A1158" s="850" t="s">
        <v>1482</v>
      </c>
      <c r="B1158" s="826" t="str">
        <f ca="1">_xlfn.CONCAT(IFERROR(SUBSTITUTE(ADDRESS(1,MATCH(A1158,INDIRECT("'"&amp;E1158&amp;"'"&amp;"!A" &amp; $O$1134 + 5 &amp; ":Z" &amp; $O$1134 + 5),0),4),1,""),""),$O$1134+ 9)</f>
        <v>N458</v>
      </c>
      <c r="C1158" s="826" t="str">
        <f t="shared" ca="1" si="202"/>
        <v>N</v>
      </c>
      <c r="D1158" s="826" t="s">
        <v>1357</v>
      </c>
      <c r="E1158" s="826" t="s">
        <v>1516</v>
      </c>
      <c r="F1158" s="826"/>
      <c r="G1158" s="826"/>
      <c r="H1158" s="826"/>
      <c r="I1158" s="1274" t="str">
        <f t="shared" si="203"/>
        <v/>
      </c>
      <c r="J1158" s="1314" t="str">
        <f t="shared" si="198"/>
        <v/>
      </c>
      <c r="K1158" s="1314" t="str">
        <f t="shared" si="204"/>
        <v/>
      </c>
      <c r="L1158" s="826" t="s">
        <v>1482</v>
      </c>
      <c r="M1158" s="1329">
        <v>1141</v>
      </c>
      <c r="N1158" s="1314"/>
      <c r="O1158" s="1311"/>
      <c r="P1158" s="1311"/>
      <c r="Q1158" s="1311"/>
      <c r="R1158" s="1314" t="s">
        <v>1099</v>
      </c>
      <c r="S1158" s="1311"/>
      <c r="T1158" s="1311"/>
      <c r="U1158" s="1311"/>
      <c r="V1158" s="1311"/>
      <c r="W1158" s="1311"/>
      <c r="X1158" s="1311"/>
      <c r="Y1158" s="1311"/>
      <c r="Z1158" s="1311"/>
    </row>
    <row r="1159" spans="1:26" x14ac:dyDescent="0.25">
      <c r="A1159" s="850" t="s">
        <v>1481</v>
      </c>
      <c r="B1159" s="826" t="str">
        <f ca="1">_xlfn.CONCAT(IFERROR(SUBSTITUTE(ADDRESS(1,MATCH(A1159,INDIRECT("'"&amp;E1159&amp;"'"&amp;"!A" &amp; $O$1134 + 5 &amp; ":Z" &amp; $O$1134 + 5),0),4),1,""),""),$O$1134+ 10)</f>
        <v>J459</v>
      </c>
      <c r="C1159" s="826" t="str">
        <f t="shared" ca="1" si="202"/>
        <v>J</v>
      </c>
      <c r="D1159" s="826" t="s">
        <v>1357</v>
      </c>
      <c r="E1159" s="826" t="s">
        <v>1516</v>
      </c>
      <c r="F1159" s="826"/>
      <c r="G1159" s="826"/>
      <c r="H1159" s="826"/>
      <c r="I1159" s="1274" t="str">
        <f t="shared" si="203"/>
        <v/>
      </c>
      <c r="J1159" s="1314" t="str">
        <f t="shared" si="198"/>
        <v/>
      </c>
      <c r="K1159" s="1314" t="str">
        <f t="shared" si="204"/>
        <v/>
      </c>
      <c r="L1159" s="826" t="s">
        <v>1481</v>
      </c>
      <c r="M1159" s="1329">
        <v>1142</v>
      </c>
      <c r="N1159" s="1314"/>
      <c r="O1159" s="1311"/>
      <c r="P1159" s="1311"/>
      <c r="Q1159" s="1311"/>
      <c r="R1159" s="1314" t="s">
        <v>1099</v>
      </c>
      <c r="S1159" s="1311"/>
      <c r="T1159" s="1311"/>
      <c r="U1159" s="1311"/>
      <c r="V1159" s="1311"/>
      <c r="W1159" s="1311"/>
      <c r="X1159" s="1311"/>
      <c r="Y1159" s="1311"/>
      <c r="Z1159" s="1311"/>
    </row>
    <row r="1160" spans="1:26" x14ac:dyDescent="0.25">
      <c r="A1160" s="850" t="s">
        <v>727</v>
      </c>
      <c r="B1160" s="826" t="str">
        <f ca="1">_xlfn.CONCAT(IFERROR(SUBSTITUTE(ADDRESS(1,MATCH(A1160,INDIRECT("'"&amp;E1160&amp;"'"&amp;"!A" &amp; $O$1134 + 5 &amp; ":Z" &amp; $O$1134 + 5),0),4),1,""),""),$O$1134+ 10)</f>
        <v>L459</v>
      </c>
      <c r="C1160" s="826" t="str">
        <f t="shared" ca="1" si="202"/>
        <v>L</v>
      </c>
      <c r="D1160" s="826" t="s">
        <v>1357</v>
      </c>
      <c r="E1160" s="826" t="s">
        <v>1516</v>
      </c>
      <c r="F1160" s="826"/>
      <c r="G1160" s="826"/>
      <c r="H1160" s="826"/>
      <c r="I1160" s="1274" t="str">
        <f t="shared" si="203"/>
        <v/>
      </c>
      <c r="J1160" s="1314" t="str">
        <f t="shared" si="198"/>
        <v/>
      </c>
      <c r="K1160" s="1314" t="str">
        <f t="shared" si="204"/>
        <v/>
      </c>
      <c r="L1160" s="826" t="s">
        <v>727</v>
      </c>
      <c r="M1160" s="1329">
        <v>1143</v>
      </c>
      <c r="N1160" s="1314"/>
      <c r="O1160" s="1311"/>
      <c r="P1160" s="1311"/>
      <c r="Q1160" s="1311"/>
      <c r="R1160" s="1314" t="s">
        <v>1099</v>
      </c>
      <c r="S1160" s="1311"/>
      <c r="T1160" s="1311"/>
      <c r="U1160" s="1311"/>
      <c r="V1160" s="1311"/>
      <c r="W1160" s="1311"/>
      <c r="X1160" s="1311"/>
      <c r="Y1160" s="1311"/>
      <c r="Z1160" s="1311"/>
    </row>
    <row r="1161" spans="1:26" x14ac:dyDescent="0.25">
      <c r="A1161" s="850" t="s">
        <v>1482</v>
      </c>
      <c r="B1161" s="826" t="str">
        <f ca="1">_xlfn.CONCAT(IFERROR(SUBSTITUTE(ADDRESS(1,MATCH(A1161,INDIRECT("'"&amp;E1161&amp;"'"&amp;"!A" &amp; $O$1134 + 5 &amp; ":Z" &amp; $O$1134 + 5),0),4),1,""),""),$O$1134+ 10)</f>
        <v>N459</v>
      </c>
      <c r="C1161" s="826" t="str">
        <f t="shared" ca="1" si="202"/>
        <v>N</v>
      </c>
      <c r="D1161" s="826" t="s">
        <v>1357</v>
      </c>
      <c r="E1161" s="826" t="s">
        <v>1516</v>
      </c>
      <c r="F1161" s="826"/>
      <c r="G1161" s="826"/>
      <c r="H1161" s="826"/>
      <c r="I1161" s="1274" t="str">
        <f t="shared" si="203"/>
        <v/>
      </c>
      <c r="J1161" s="1314" t="str">
        <f t="shared" si="198"/>
        <v/>
      </c>
      <c r="K1161" s="1314" t="str">
        <f t="shared" si="204"/>
        <v/>
      </c>
      <c r="L1161" s="826" t="s">
        <v>1482</v>
      </c>
      <c r="M1161" s="1329">
        <v>1144</v>
      </c>
      <c r="N1161" s="1314"/>
      <c r="O1161" s="1311"/>
      <c r="P1161" s="1311"/>
      <c r="Q1161" s="1311"/>
      <c r="R1161" s="1314" t="s">
        <v>1099</v>
      </c>
      <c r="S1161" s="1311"/>
      <c r="T1161" s="1311"/>
      <c r="U1161" s="1311"/>
      <c r="V1161" s="1311"/>
      <c r="W1161" s="1311"/>
      <c r="X1161" s="1311"/>
      <c r="Y1161" s="1311"/>
      <c r="Z1161" s="1311"/>
    </row>
    <row r="1162" spans="1:26" x14ac:dyDescent="0.25">
      <c r="A1162" s="847" t="s">
        <v>1491</v>
      </c>
      <c r="B1162" s="826" t="str">
        <f ca="1">IFERROR(_xlfn.CONCAT("C",MATCH(A1162,INDIRECT("'"&amp;E1162&amp;"'!C"&amp;$O$1163&amp;":C"&amp;$O$1165),0)+$O$1163-1),"")</f>
        <v>C467</v>
      </c>
      <c r="C1162" s="826" t="str">
        <f ca="1">IFERROR(_xlfn.CONCAT("D",MATCH(A1162,INDIRECT("'"&amp;E1162&amp;"'!C"&amp;$O$1163&amp;":C"&amp;$O$1165),0)+$O$1163-1),"")</f>
        <v>D467</v>
      </c>
      <c r="D1162" s="826" t="s">
        <v>1350</v>
      </c>
      <c r="E1162" s="826" t="s">
        <v>1516</v>
      </c>
      <c r="F1162" s="1314" t="s">
        <v>1491</v>
      </c>
      <c r="G1162" s="1314" t="str">
        <f>IF(T1162&lt;&gt;"","A","")</f>
        <v/>
      </c>
      <c r="H1162" s="1314" t="s">
        <v>1990</v>
      </c>
      <c r="I1162" s="1274" t="str">
        <f t="shared" si="203"/>
        <v/>
      </c>
      <c r="J1162" s="1314"/>
      <c r="K1162" s="1314" t="str">
        <f t="shared" si="204"/>
        <v/>
      </c>
      <c r="L1162" s="826" t="s">
        <v>1491</v>
      </c>
      <c r="M1162" s="1329">
        <v>1145</v>
      </c>
      <c r="N1162" s="1314"/>
      <c r="O1162" s="1311" t="s">
        <v>725</v>
      </c>
      <c r="P1162" s="18"/>
      <c r="Q1162" s="1311"/>
      <c r="R1162" s="1314" t="s">
        <v>1099</v>
      </c>
      <c r="S1162" s="1311"/>
      <c r="T1162" s="1314" t="str">
        <f>IF(Q$1163="Yes",33,"")</f>
        <v/>
      </c>
      <c r="U1162" s="1311"/>
      <c r="V1162" s="1311"/>
      <c r="W1162" s="1311"/>
      <c r="X1162" s="1311"/>
      <c r="Y1162" s="1311"/>
      <c r="Z1162" s="1311"/>
    </row>
    <row r="1163" spans="1:26" x14ac:dyDescent="0.25">
      <c r="A1163" s="847" t="s">
        <v>1705</v>
      </c>
      <c r="B1163" s="826" t="str">
        <f ca="1">_xlfn.CONCAT(IFERROR(SUBSTITUTE(ADDRESS(1,MATCH(A1163,INDIRECT("'"&amp;E1163&amp;"'"&amp;"!A" &amp; $O$1163 + 11 &amp; ":Z" &amp; $O$1163 + 11),0),4),1,""),""),$O$1163+ 11)</f>
        <v>T474</v>
      </c>
      <c r="C1163" s="826" t="str">
        <f ca="1">_xlfn.CONCAT(IFERROR(SUBSTITUTE(ADDRESS(1,MATCH(A1163,INDIRECT("'"&amp;E1163&amp;"'"&amp;"!A" &amp; $O$1163 + 11 &amp; ":Z" &amp; $O$1163 + 11),0),4),1,""),""),$O$1163+ 12)</f>
        <v>T475</v>
      </c>
      <c r="D1163" s="826" t="s">
        <v>1350</v>
      </c>
      <c r="E1163" s="826" t="s">
        <v>1516</v>
      </c>
      <c r="F1163" s="1314"/>
      <c r="G1163" s="1314"/>
      <c r="H1163" s="1314"/>
      <c r="I1163" s="1274" t="str">
        <f t="shared" si="203"/>
        <v/>
      </c>
      <c r="J1163" s="1314" t="str">
        <f t="shared" ref="J1163:J1186" si="205">IF(M1163&lt;&gt;"",IF($Q$1163="Yes",Q$1&amp;M1163,""))</f>
        <v/>
      </c>
      <c r="K1163" s="1314" t="str">
        <f t="shared" si="204"/>
        <v/>
      </c>
      <c r="L1163" s="826" t="s">
        <v>1705</v>
      </c>
      <c r="M1163" s="1329">
        <v>1146</v>
      </c>
      <c r="N1163" s="1314"/>
      <c r="O1163" s="1311">
        <f>'Configurable Tab'!H35</f>
        <v>463</v>
      </c>
      <c r="P1163" s="18" t="str">
        <f>'Configurable Tab'!J35</f>
        <v>No</v>
      </c>
      <c r="Q1163" s="1351" t="s">
        <v>648</v>
      </c>
      <c r="R1163" s="1314" t="s">
        <v>1099</v>
      </c>
      <c r="S1163" s="1277"/>
      <c r="T1163" s="1314" t="str">
        <f t="shared" ref="T1163:T1168" si="206">IF(Q$1163="Yes",33,"")</f>
        <v/>
      </c>
      <c r="U1163" s="1311"/>
      <c r="V1163" s="1311"/>
      <c r="W1163" s="1311"/>
      <c r="X1163" s="1311"/>
      <c r="Y1163" s="1311"/>
      <c r="Z1163" s="1311"/>
    </row>
    <row r="1164" spans="1:26" x14ac:dyDescent="0.25">
      <c r="A1164" s="847" t="s">
        <v>1383</v>
      </c>
      <c r="B1164" s="826" t="str">
        <f ca="1">IFERROR(_xlfn.CONCAT("C",MATCH(A1164,INDIRECT("'"&amp;E1164&amp;"'!C"&amp;$O$1163&amp;":C"&amp;$O$1165),0)+$O$1163-1),"")</f>
        <v>C465</v>
      </c>
      <c r="C1164" s="826" t="str">
        <f ca="1">IFERROR(_xlfn.CONCAT("D",MATCH(A1164,INDIRECT("'"&amp;E1164&amp;"'!C"&amp;$O$1163&amp;":C"&amp;$O$1165),0)+$O$1163-1),"")</f>
        <v>D465</v>
      </c>
      <c r="D1164" s="826" t="s">
        <v>1350</v>
      </c>
      <c r="E1164" s="826" t="s">
        <v>1516</v>
      </c>
      <c r="F1164" s="1314" t="s">
        <v>1383</v>
      </c>
      <c r="G1164" s="1314" t="str">
        <f>IF(T1164&lt;&gt;"","B","")</f>
        <v/>
      </c>
      <c r="H1164" s="1314" t="s">
        <v>1990</v>
      </c>
      <c r="I1164" s="1274" t="str">
        <f t="shared" si="203"/>
        <v/>
      </c>
      <c r="J1164" s="1314"/>
      <c r="K1164" s="1314" t="str">
        <f t="shared" si="204"/>
        <v/>
      </c>
      <c r="L1164" s="826" t="s">
        <v>1383</v>
      </c>
      <c r="M1164" s="1329">
        <v>1147</v>
      </c>
      <c r="N1164" s="1314"/>
      <c r="O1164" s="1311" t="s">
        <v>726</v>
      </c>
      <c r="P1164" s="1311"/>
      <c r="Q1164" s="1311"/>
      <c r="R1164" s="1314" t="s">
        <v>1099</v>
      </c>
      <c r="S1164" s="1311"/>
      <c r="T1164" s="1314" t="str">
        <f t="shared" si="206"/>
        <v/>
      </c>
      <c r="U1164" s="1311"/>
      <c r="V1164" s="1311"/>
      <c r="W1164" s="1311"/>
      <c r="X1164" s="1311"/>
      <c r="Y1164" s="1311"/>
      <c r="Z1164" s="1311"/>
    </row>
    <row r="1165" spans="1:26" x14ac:dyDescent="0.25">
      <c r="A1165" s="847" t="s">
        <v>1381</v>
      </c>
      <c r="B1165" s="826" t="str">
        <f ca="1">_xlfn.CONCAT(IFERROR(SUBSTITUTE(ADDRESS(1,MATCH(A1165,INDIRECT("'"&amp;E1165&amp;"'"&amp;"!A" &amp; $O$1163 + 2 &amp; ":Z" &amp; $O$1163 + 2),0),4),1,""),""),$O$1163+ 2)</f>
        <v>J465</v>
      </c>
      <c r="C1165" s="826" t="str">
        <f ca="1">_xlfn.CONCAT(IFERROR(SUBSTITUTE(ADDRESS(1,MATCH(A1165,INDIRECT("'"&amp;E1165&amp;"'"&amp;"!A" &amp; $O$1163 + 2 &amp; ":Z" &amp; $O$1163 + 2),0),4),1,""),""),$O$1163+ 3)</f>
        <v>J466</v>
      </c>
      <c r="D1165" s="826" t="s">
        <v>1350</v>
      </c>
      <c r="E1165" s="826" t="s">
        <v>1516</v>
      </c>
      <c r="F1165" s="1314" t="s">
        <v>1992</v>
      </c>
      <c r="G1165" s="1314" t="str">
        <f>IF(T1165&lt;&gt;"","I","")</f>
        <v/>
      </c>
      <c r="H1165" s="1314" t="s">
        <v>1990</v>
      </c>
      <c r="I1165" s="1274" t="str">
        <f t="shared" si="203"/>
        <v/>
      </c>
      <c r="J1165" s="1314" t="str">
        <f t="shared" si="205"/>
        <v/>
      </c>
      <c r="K1165" s="1314" t="str">
        <f t="shared" si="204"/>
        <v/>
      </c>
      <c r="L1165" s="826" t="s">
        <v>1381</v>
      </c>
      <c r="M1165" s="1329">
        <v>1148</v>
      </c>
      <c r="N1165" s="1314"/>
      <c r="O1165" s="1311">
        <f>'Configurable Tab'!I35</f>
        <v>476</v>
      </c>
      <c r="P1165" s="1311"/>
      <c r="Q1165" s="1311"/>
      <c r="R1165" s="1314" t="s">
        <v>1099</v>
      </c>
      <c r="S1165" s="1311"/>
      <c r="T1165" s="1314" t="str">
        <f t="shared" si="206"/>
        <v/>
      </c>
      <c r="U1165" s="1311"/>
      <c r="V1165" s="1311"/>
      <c r="W1165" s="1311"/>
      <c r="X1165" s="1311"/>
      <c r="Y1165" s="1311"/>
      <c r="Z1165" s="1311"/>
    </row>
    <row r="1166" spans="1:26" x14ac:dyDescent="0.25">
      <c r="A1166" s="847" t="s">
        <v>1382</v>
      </c>
      <c r="B1166" s="826" t="str">
        <f ca="1">_xlfn.CONCAT(IFERROR(SUBSTITUTE(ADDRESS(1,MATCH(A1166,INDIRECT("'"&amp;E1166&amp;"'"&amp;"!A" &amp; $O$1163 + 2 &amp; ":Z" &amp; $O$1163 + 2),0),4),1,""),""),$O$1163+ 2)</f>
        <v>N465</v>
      </c>
      <c r="C1166" s="826" t="str">
        <f ca="1">_xlfn.CONCAT(IFERROR(SUBSTITUTE(ADDRESS(1,MATCH(A1166,INDIRECT("'"&amp;E1166&amp;"'"&amp;"!A" &amp; $O$1163 + 2 &amp; ":Z" &amp; $O$1163 + 2),0),4),1,""),""),$O$1163+ 3)</f>
        <v>N466</v>
      </c>
      <c r="D1166" s="826" t="s">
        <v>1350</v>
      </c>
      <c r="E1166" s="826" t="s">
        <v>1516</v>
      </c>
      <c r="F1166" s="1314" t="s">
        <v>1382</v>
      </c>
      <c r="G1166" s="1314" t="str">
        <f>IF(T1166&lt;&gt;"",IF(Q1165="Credit Memo","J",IF(Q1165="Check","K","")),"")</f>
        <v/>
      </c>
      <c r="H1166" s="1314" t="s">
        <v>1990</v>
      </c>
      <c r="I1166" s="1274" t="str">
        <f t="shared" si="203"/>
        <v/>
      </c>
      <c r="J1166" s="1314" t="str">
        <f t="shared" si="205"/>
        <v/>
      </c>
      <c r="K1166" s="1314" t="str">
        <f t="shared" si="204"/>
        <v/>
      </c>
      <c r="L1166" s="826" t="s">
        <v>1382</v>
      </c>
      <c r="M1166" s="1329">
        <v>1149</v>
      </c>
      <c r="N1166" s="1314"/>
      <c r="O1166" s="1311" t="s">
        <v>1660</v>
      </c>
      <c r="P1166" s="1311"/>
      <c r="Q1166" s="1311"/>
      <c r="R1166" s="1314" t="s">
        <v>1099</v>
      </c>
      <c r="S1166" s="1311"/>
      <c r="T1166" s="1314" t="str">
        <f t="shared" si="206"/>
        <v/>
      </c>
      <c r="U1166" s="1311"/>
      <c r="V1166" s="1311"/>
      <c r="W1166" s="1311"/>
      <c r="X1166" s="1311"/>
      <c r="Y1166" s="1311"/>
      <c r="Z1166" s="1311"/>
    </row>
    <row r="1167" spans="1:26" x14ac:dyDescent="0.25">
      <c r="A1167" s="847" t="s">
        <v>1385</v>
      </c>
      <c r="B1167" s="826" t="str">
        <f ca="1">IFERROR(_xlfn.CONCAT("C",MATCH(A1167,INDIRECT("'"&amp;E1167&amp;"'!C"&amp;$O$1163&amp;":C"&amp;$O$1165),0)+$O$1163-1),"")</f>
        <v>C469</v>
      </c>
      <c r="C1167" s="826" t="str">
        <f ca="1">IFERROR(_xlfn.CONCAT("D",MATCH(A1167,INDIRECT("'"&amp;E1167&amp;"'!C"&amp;$O$1163&amp;":C"&amp;$O$1165),0)+$O$1163-1),"")</f>
        <v>D469</v>
      </c>
      <c r="D1167" s="826" t="s">
        <v>1350</v>
      </c>
      <c r="E1167" s="826" t="s">
        <v>1516</v>
      </c>
      <c r="F1167" s="1314" t="s">
        <v>1385</v>
      </c>
      <c r="G1167" s="1314" t="str">
        <f>IF(T1167&lt;&gt;"","C","")</f>
        <v/>
      </c>
      <c r="H1167" s="1314" t="s">
        <v>1990</v>
      </c>
      <c r="I1167" s="1274" t="str">
        <f t="shared" si="203"/>
        <v/>
      </c>
      <c r="J1167" s="1314"/>
      <c r="K1167" s="1314" t="str">
        <f t="shared" si="204"/>
        <v/>
      </c>
      <c r="L1167" s="826" t="s">
        <v>1385</v>
      </c>
      <c r="M1167" s="1329">
        <v>1150</v>
      </c>
      <c r="N1167" s="1314"/>
      <c r="O1167" s="1311"/>
      <c r="P1167" s="1311"/>
      <c r="Q1167" s="1311"/>
      <c r="R1167" s="1314" t="s">
        <v>1099</v>
      </c>
      <c r="S1167" s="1311"/>
      <c r="T1167" s="1314" t="str">
        <f t="shared" si="206"/>
        <v/>
      </c>
      <c r="U1167" s="1311"/>
      <c r="V1167" s="1311"/>
      <c r="W1167" s="1311"/>
      <c r="X1167" s="1311"/>
      <c r="Y1167" s="1311"/>
      <c r="Z1167" s="1311"/>
    </row>
    <row r="1168" spans="1:26" x14ac:dyDescent="0.25">
      <c r="A1168" s="847" t="s">
        <v>1386</v>
      </c>
      <c r="B1168" s="826" t="str">
        <f ca="1">IFERROR(_xlfn.CONCAT("C",MATCH(A1168,INDIRECT("'"&amp;E1168&amp;"'!C"&amp;$O$1163&amp;":C"&amp;$O$1165),0)+$O$1163-1),"")</f>
        <v>C471</v>
      </c>
      <c r="C1168" s="826" t="str">
        <f ca="1">IFERROR(_xlfn.CONCAT("D",MATCH(A1168,INDIRECT("'"&amp;E1168&amp;"'!C"&amp;$O$1163&amp;":C"&amp;$O$1165),0)+$O$1163-1),"")</f>
        <v>D471</v>
      </c>
      <c r="D1168" s="826" t="s">
        <v>1350</v>
      </c>
      <c r="E1168" s="826" t="s">
        <v>1516</v>
      </c>
      <c r="F1168" s="1314" t="s">
        <v>1386</v>
      </c>
      <c r="G1168" s="1314" t="str">
        <f>IF(T1168&lt;&gt;"","D","")</f>
        <v/>
      </c>
      <c r="H1168" s="1314" t="s">
        <v>1990</v>
      </c>
      <c r="I1168" s="1274" t="str">
        <f t="shared" si="203"/>
        <v/>
      </c>
      <c r="J1168" s="1314"/>
      <c r="K1168" s="1314" t="str">
        <f t="shared" si="204"/>
        <v/>
      </c>
      <c r="L1168" s="826" t="s">
        <v>1386</v>
      </c>
      <c r="M1168" s="1329">
        <v>1151</v>
      </c>
      <c r="N1168" s="1314"/>
      <c r="O1168" s="1311"/>
      <c r="P1168" s="1311"/>
      <c r="Q1168" s="1311"/>
      <c r="R1168" s="1314" t="s">
        <v>1099</v>
      </c>
      <c r="S1168" s="1311"/>
      <c r="T1168" s="1314" t="str">
        <f t="shared" si="206"/>
        <v/>
      </c>
      <c r="U1168" s="1311"/>
      <c r="V1168" s="1311"/>
      <c r="W1168" s="1311"/>
      <c r="X1168" s="1311"/>
      <c r="Y1168" s="1311"/>
      <c r="Z1168" s="1311"/>
    </row>
    <row r="1169" spans="1:26" x14ac:dyDescent="0.25">
      <c r="A1169" s="847" t="s">
        <v>1495</v>
      </c>
      <c r="B1169" s="826" t="str">
        <f ca="1">IFERROR(_xlfn.CONCAT("C",MATCH(A1169,INDIRECT("'"&amp;E1169&amp;"'!C"&amp;$O$1163&amp;":C"&amp;$O$1165),0)+$O$1163-1),"")</f>
        <v>C473</v>
      </c>
      <c r="C1169" s="826" t="str">
        <f ca="1">IFERROR(_xlfn.CONCAT("D",MATCH(A1169,INDIRECT("'"&amp;E1169&amp;"'!C"&amp;$O$1163&amp;":C"&amp;$O$1165),0)+$O$1163-1),"")</f>
        <v>D473</v>
      </c>
      <c r="D1169" s="826" t="s">
        <v>1350</v>
      </c>
      <c r="E1169" s="826" t="s">
        <v>1516</v>
      </c>
      <c r="F1169" s="1314" t="s">
        <v>1495</v>
      </c>
      <c r="G1169" s="1314" t="str">
        <f>IF(T1169&lt;&gt;"","AN","")</f>
        <v/>
      </c>
      <c r="H1169" s="1314" t="s">
        <v>1990</v>
      </c>
      <c r="I1169" s="1274" t="str">
        <f t="shared" si="203"/>
        <v/>
      </c>
      <c r="J1169" s="1314" t="str">
        <f t="shared" si="205"/>
        <v/>
      </c>
      <c r="K1169" s="1314" t="str">
        <f t="shared" si="204"/>
        <v/>
      </c>
      <c r="L1169" s="826" t="s">
        <v>1495</v>
      </c>
      <c r="M1169" s="1329">
        <v>1152</v>
      </c>
      <c r="N1169" s="1314"/>
      <c r="O1169" s="18"/>
      <c r="P1169" s="1317" t="str" cm="1">
        <f t="array" aca="1" ref="P1169" ca="1">_xlfn.CONCAT("F",RIGHT(B1169, LEN(B1169) - MAX(IF(ISNUMBER(MID(B1169, ROW(INDIRECT("1:"&amp;LEN(B1169))), 1) *1)=FALSE, ROW(INDIRECT("1:"&amp;LEN(B1169))), 0))))</f>
        <v>F473</v>
      </c>
      <c r="Q1169" s="1314" t="str" cm="1">
        <f t="array" aca="1" ref="Q1169" ca="1">_xlfn.CONCAT("E",RIGHT(C1169, LEN(C1169) - MAX(IF(ISNUMBER(MID(C1169, ROW(INDIRECT("1:"&amp;LEN(C1169))), 1) *1)=FALSE, ROW(INDIRECT("1:"&amp;LEN(C1169))), 0))))</f>
        <v>E473</v>
      </c>
      <c r="R1169" s="1314" t="s">
        <v>1099</v>
      </c>
      <c r="S1169" s="1311"/>
      <c r="T1169" s="1314" t="str">
        <f>IF(Q$1163="Yes",33,"")</f>
        <v/>
      </c>
      <c r="U1169" s="1311"/>
      <c r="V1169" s="1311"/>
      <c r="W1169" s="1311"/>
      <c r="X1169" s="1311"/>
      <c r="Y1169" s="1311"/>
      <c r="Z1169" s="1311"/>
    </row>
    <row r="1170" spans="1:26" x14ac:dyDescent="0.25">
      <c r="A1170" s="847" t="s">
        <v>1492</v>
      </c>
      <c r="B1170" s="826" t="str">
        <f ca="1">_xlfn.CONCAT(IFERROR(SUBSTITUTE(ADDRESS(1,MATCH(A1170,INDIRECT("'"&amp;E1170&amp;"'"&amp;"!A" &amp; $O$1163 + 8 &amp; ":Z" &amp; $O$1163 + 8),0),4),1,""),""),$O$1163+ 8)</f>
        <v>H471</v>
      </c>
      <c r="C1170" s="826" t="str">
        <f ca="1">_xlfn.CONCAT(IFERROR(SUBSTITUTE(ADDRESS(1,MATCH(A1170,INDIRECT("'"&amp;E1170&amp;"'"&amp;"!A" &amp; $O$1163 + 8 &amp; ":Z" &amp; $O$1163 + 8),0),4),1,""),""),$O$1163+ 9)</f>
        <v>H472</v>
      </c>
      <c r="D1170" s="826" t="s">
        <v>1350</v>
      </c>
      <c r="E1170" s="826" t="s">
        <v>1516</v>
      </c>
      <c r="F1170" s="1314" t="s">
        <v>1492</v>
      </c>
      <c r="G1170" s="1314" t="str">
        <f>IF(T1170&lt;&gt;"","AL","")</f>
        <v/>
      </c>
      <c r="H1170" s="1314" t="s">
        <v>1990</v>
      </c>
      <c r="I1170" s="1274" t="str">
        <f t="shared" si="203"/>
        <v/>
      </c>
      <c r="J1170" s="1314" t="str">
        <f t="shared" si="205"/>
        <v/>
      </c>
      <c r="K1170" s="1314" t="str">
        <f t="shared" si="204"/>
        <v/>
      </c>
      <c r="L1170" s="826" t="s">
        <v>1492</v>
      </c>
      <c r="M1170" s="1329">
        <v>1153</v>
      </c>
      <c r="N1170" s="1314"/>
      <c r="O1170" s="1311"/>
      <c r="P1170" s="1311"/>
      <c r="Q1170" s="1311"/>
      <c r="R1170" s="1314" t="s">
        <v>1099</v>
      </c>
      <c r="S1170" s="1311"/>
      <c r="T1170" s="1314" t="str">
        <f>IF(Q$1163="Yes",33,"")</f>
        <v/>
      </c>
      <c r="U1170" s="1311"/>
      <c r="V1170" s="1311"/>
      <c r="W1170" s="1311"/>
      <c r="X1170" s="1311"/>
      <c r="Y1170" s="1311"/>
      <c r="Z1170" s="1311"/>
    </row>
    <row r="1171" spans="1:26" x14ac:dyDescent="0.25">
      <c r="A1171" s="847" t="s">
        <v>1396</v>
      </c>
      <c r="B1171" s="826" t="str">
        <f ca="1">_xlfn.CONCAT(IFERROR(SUBSTITUTE(ADDRESS(1,MATCH(A1171,INDIRECT("'"&amp;E1171&amp;"'"&amp;"!A" &amp; $O$1163 + 5 &amp; ":Z" &amp; $O$1163 + 5),0),4),1,""),""),$O$1163+ 5)</f>
        <v>H468</v>
      </c>
      <c r="C1171" s="826" t="str">
        <f ca="1">_xlfn.CONCAT(IFERROR(SUBSTITUTE(ADDRESS(1,MATCH(A1171,INDIRECT("'"&amp;E1171&amp;"'"&amp;"!A" &amp; $O$1163 + 5 &amp; ":Z" &amp; $O$1163 + 5),0),4),1,""),""),$O$1163+ 6)</f>
        <v>H469</v>
      </c>
      <c r="D1171" s="826" t="s">
        <v>1350</v>
      </c>
      <c r="E1171" s="826" t="s">
        <v>1516</v>
      </c>
      <c r="F1171" s="1354" t="s">
        <v>1396</v>
      </c>
      <c r="G1171" s="1354" t="str">
        <f>IF(T1171&lt;&gt;"","S","")</f>
        <v/>
      </c>
      <c r="H1171" s="1354" t="s">
        <v>1990</v>
      </c>
      <c r="I1171" s="1274" t="str">
        <f t="shared" si="203"/>
        <v/>
      </c>
      <c r="J1171" s="1314" t="str">
        <f t="shared" si="205"/>
        <v/>
      </c>
      <c r="K1171" s="1314" t="str">
        <f t="shared" si="204"/>
        <v/>
      </c>
      <c r="L1171" s="826" t="s">
        <v>1396</v>
      </c>
      <c r="M1171" s="1329">
        <v>1154</v>
      </c>
      <c r="N1171" s="1314"/>
      <c r="O1171" s="1311"/>
      <c r="P1171" s="1311"/>
      <c r="Q1171" s="1311"/>
      <c r="R1171" s="1314" t="s">
        <v>1099</v>
      </c>
      <c r="S1171" s="1311"/>
      <c r="T1171" s="1353" t="str">
        <f>IF(Q$1163="Yes",33,"")</f>
        <v/>
      </c>
      <c r="U1171" s="1311"/>
      <c r="V1171" s="1311"/>
      <c r="W1171" s="1311"/>
      <c r="X1171" s="1311"/>
      <c r="Y1171" s="1311"/>
      <c r="Z1171" s="1311"/>
    </row>
    <row r="1172" spans="1:26" x14ac:dyDescent="0.25">
      <c r="A1172" s="847" t="s">
        <v>1481</v>
      </c>
      <c r="B1172" s="826" t="str">
        <f ca="1">_xlfn.CONCAT(IFERROR(SUBSTITUTE(ADDRESS(1,MATCH(A1172,INDIRECT("'"&amp;E1172&amp;"'"&amp;"!A" &amp; $O$1163 + 5 &amp; ":Z" &amp; $O$1163 + 5),0),4),1,""),""),$O$1163+ 6)</f>
        <v>J469</v>
      </c>
      <c r="C1172" s="826" t="str">
        <f t="shared" ref="C1172:C1186" ca="1" si="207">IFERROR(SUBSTITUTE(ADDRESS(1,MATCH(A1172,INDIRECT("'"&amp;E1172&amp;"'"&amp;"!A" &amp; $O$1163 + 5 &amp; ":Z" &amp; $O$1163 + 5),0),4),1,""),"")</f>
        <v>J</v>
      </c>
      <c r="D1172" s="826" t="s">
        <v>1357</v>
      </c>
      <c r="E1172" s="826" t="s">
        <v>1516</v>
      </c>
      <c r="F1172" s="1081"/>
      <c r="G1172" s="826"/>
      <c r="H1172" s="826"/>
      <c r="I1172" s="1274" t="str">
        <f t="shared" si="203"/>
        <v/>
      </c>
      <c r="J1172" s="1314" t="str">
        <f t="shared" si="205"/>
        <v/>
      </c>
      <c r="K1172" s="1314" t="str">
        <f t="shared" si="204"/>
        <v/>
      </c>
      <c r="L1172" s="826" t="s">
        <v>1481</v>
      </c>
      <c r="M1172" s="1329">
        <v>1155</v>
      </c>
      <c r="N1172" s="1314"/>
      <c r="O1172" s="1311"/>
      <c r="P1172" s="1311"/>
      <c r="Q1172" s="1311"/>
      <c r="R1172" s="1314" t="s">
        <v>1099</v>
      </c>
      <c r="S1172" s="1311"/>
      <c r="T1172" s="1311"/>
      <c r="U1172" s="1311"/>
      <c r="V1172" s="1311"/>
      <c r="W1172" s="1311"/>
      <c r="X1172" s="1311"/>
      <c r="Y1172" s="1311"/>
      <c r="Z1172" s="1311"/>
    </row>
    <row r="1173" spans="1:26" x14ac:dyDescent="0.25">
      <c r="A1173" s="847" t="s">
        <v>727</v>
      </c>
      <c r="B1173" s="826" t="str">
        <f ca="1">_xlfn.CONCAT(IFERROR(SUBSTITUTE(ADDRESS(1,MATCH(A1173,INDIRECT("'"&amp;E1173&amp;"'"&amp;"!A" &amp; $O$1163 + 5 &amp; ":Z" &amp; $O$1163 + 5),0),4),1,""),""),$O$1163+ 6)</f>
        <v>L469</v>
      </c>
      <c r="C1173" s="826" t="str">
        <f t="shared" ca="1" si="207"/>
        <v>L</v>
      </c>
      <c r="D1173" s="826" t="s">
        <v>1357</v>
      </c>
      <c r="E1173" s="826" t="s">
        <v>1516</v>
      </c>
      <c r="F1173" s="1081"/>
      <c r="G1173" s="826"/>
      <c r="H1173" s="826"/>
      <c r="I1173" s="1274" t="str">
        <f t="shared" si="203"/>
        <v/>
      </c>
      <c r="J1173" s="1314" t="str">
        <f t="shared" si="205"/>
        <v/>
      </c>
      <c r="K1173" s="1314" t="str">
        <f t="shared" si="204"/>
        <v/>
      </c>
      <c r="L1173" s="826" t="s">
        <v>727</v>
      </c>
      <c r="M1173" s="1329">
        <v>1156</v>
      </c>
      <c r="N1173" s="1314"/>
      <c r="O1173" s="1311"/>
      <c r="P1173" s="1311"/>
      <c r="Q1173" s="1311"/>
      <c r="R1173" s="1314" t="s">
        <v>1099</v>
      </c>
      <c r="S1173" s="1311"/>
      <c r="T1173" s="1311"/>
      <c r="U1173" s="1311"/>
      <c r="V1173" s="1311"/>
      <c r="W1173" s="1311"/>
      <c r="X1173" s="1311"/>
      <c r="Y1173" s="1311"/>
      <c r="Z1173" s="1311"/>
    </row>
    <row r="1174" spans="1:26" x14ac:dyDescent="0.25">
      <c r="A1174" s="847" t="s">
        <v>1621</v>
      </c>
      <c r="B1174" s="826" t="str">
        <f ca="1">_xlfn.CONCAT(IFERROR(SUBSTITUTE(ADDRESS(1,MATCH(A1174,INDIRECT("'"&amp;E1174&amp;"'"&amp;"!A" &amp; $O$1163 + 5 &amp; ":Z" &amp; $O$1163 + 5),0),4),1,""),""),$O$1163+ 6)</f>
        <v>N469</v>
      </c>
      <c r="C1174" s="826" t="str">
        <f t="shared" ca="1" si="207"/>
        <v>N</v>
      </c>
      <c r="D1174" s="826" t="s">
        <v>1357</v>
      </c>
      <c r="E1174" s="826" t="s">
        <v>1516</v>
      </c>
      <c r="F1174" s="1081"/>
      <c r="G1174" s="826"/>
      <c r="H1174" s="826"/>
      <c r="I1174" s="1274" t="str">
        <f t="shared" si="203"/>
        <v/>
      </c>
      <c r="J1174" s="1314" t="str">
        <f t="shared" si="205"/>
        <v/>
      </c>
      <c r="K1174" s="1314" t="str">
        <f t="shared" si="204"/>
        <v/>
      </c>
      <c r="L1174" s="826" t="s">
        <v>1621</v>
      </c>
      <c r="M1174" s="1329">
        <v>1157</v>
      </c>
      <c r="N1174" s="1314"/>
      <c r="O1174" s="1311"/>
      <c r="P1174" s="1311"/>
      <c r="Q1174" s="1311"/>
      <c r="R1174" s="1314" t="s">
        <v>1099</v>
      </c>
      <c r="S1174" s="1311"/>
      <c r="T1174" s="1311"/>
      <c r="U1174" s="1311"/>
      <c r="V1174" s="1311"/>
      <c r="W1174" s="1311"/>
      <c r="X1174" s="1311"/>
      <c r="Y1174" s="1311"/>
      <c r="Z1174" s="1311"/>
    </row>
    <row r="1175" spans="1:26" x14ac:dyDescent="0.25">
      <c r="A1175" s="847" t="s">
        <v>1481</v>
      </c>
      <c r="B1175" s="826" t="str">
        <f ca="1">_xlfn.CONCAT(IFERROR(SUBSTITUTE(ADDRESS(1,MATCH(A1175,INDIRECT("'"&amp;E1175&amp;"'"&amp;"!A" &amp; $O$1163 + 5 &amp; ":Z" &amp; $O$1163 + 5),0),4),1,""),""),$O$1163+ 7)</f>
        <v>J470</v>
      </c>
      <c r="C1175" s="826" t="str">
        <f t="shared" ca="1" si="207"/>
        <v>J</v>
      </c>
      <c r="D1175" s="826" t="s">
        <v>1357</v>
      </c>
      <c r="E1175" s="826" t="s">
        <v>1516</v>
      </c>
      <c r="F1175" s="826"/>
      <c r="G1175" s="826"/>
      <c r="H1175" s="826"/>
      <c r="I1175" s="1274" t="str">
        <f t="shared" si="203"/>
        <v/>
      </c>
      <c r="J1175" s="1314" t="str">
        <f t="shared" si="205"/>
        <v/>
      </c>
      <c r="K1175" s="1314" t="str">
        <f t="shared" si="204"/>
        <v/>
      </c>
      <c r="L1175" s="826" t="s">
        <v>1481</v>
      </c>
      <c r="M1175" s="1329">
        <v>1158</v>
      </c>
      <c r="N1175" s="1314"/>
      <c r="O1175" s="1311"/>
      <c r="P1175" s="1311"/>
      <c r="Q1175" s="1311"/>
      <c r="R1175" s="1314" t="s">
        <v>1099</v>
      </c>
      <c r="S1175" s="1311"/>
      <c r="T1175" s="1311"/>
      <c r="U1175" s="1311"/>
      <c r="V1175" s="1311"/>
      <c r="W1175" s="1311"/>
      <c r="X1175" s="1311"/>
      <c r="Y1175" s="1311"/>
      <c r="Z1175" s="1311"/>
    </row>
    <row r="1176" spans="1:26" x14ac:dyDescent="0.25">
      <c r="A1176" s="847" t="s">
        <v>727</v>
      </c>
      <c r="B1176" s="826" t="str">
        <f ca="1">_xlfn.CONCAT(IFERROR(SUBSTITUTE(ADDRESS(1,MATCH(A1176,INDIRECT("'"&amp;E1176&amp;"'"&amp;"!A" &amp; $O$1163 + 5 &amp; ":Z" &amp; $O$1163 + 5),0),4),1,""),""),$O$1163+ 7)</f>
        <v>L470</v>
      </c>
      <c r="C1176" s="826" t="str">
        <f t="shared" ca="1" si="207"/>
        <v>L</v>
      </c>
      <c r="D1176" s="826" t="s">
        <v>1357</v>
      </c>
      <c r="E1176" s="826" t="s">
        <v>1516</v>
      </c>
      <c r="F1176" s="1081"/>
      <c r="G1176" s="826"/>
      <c r="H1176" s="826"/>
      <c r="I1176" s="1274" t="str">
        <f t="shared" si="203"/>
        <v/>
      </c>
      <c r="J1176" s="1314" t="str">
        <f t="shared" si="205"/>
        <v/>
      </c>
      <c r="K1176" s="1314" t="str">
        <f t="shared" si="204"/>
        <v/>
      </c>
      <c r="L1176" s="826" t="s">
        <v>727</v>
      </c>
      <c r="M1176" s="1329">
        <v>1159</v>
      </c>
      <c r="N1176" s="1314"/>
      <c r="O1176" s="1311"/>
      <c r="P1176" s="1311"/>
      <c r="Q1176" s="1311"/>
      <c r="R1176" s="1314" t="s">
        <v>1099</v>
      </c>
      <c r="S1176" s="1311"/>
      <c r="T1176" s="1311"/>
      <c r="U1176" s="1311"/>
      <c r="V1176" s="1311"/>
      <c r="W1176" s="1311"/>
      <c r="X1176" s="1311"/>
      <c r="Y1176" s="1311"/>
      <c r="Z1176" s="1311"/>
    </row>
    <row r="1177" spans="1:26" x14ac:dyDescent="0.25">
      <c r="A1177" s="847" t="s">
        <v>1621</v>
      </c>
      <c r="B1177" s="826" t="str">
        <f ca="1">_xlfn.CONCAT(IFERROR(SUBSTITUTE(ADDRESS(1,MATCH(A1177,INDIRECT("'"&amp;E1177&amp;"'"&amp;"!A" &amp; $O$1163 + 5 &amp; ":Z" &amp; $O$1163 + 5),0),4),1,""),""),$O$1163+ 7)</f>
        <v>N470</v>
      </c>
      <c r="C1177" s="826" t="str">
        <f t="shared" ca="1" si="207"/>
        <v>N</v>
      </c>
      <c r="D1177" s="826" t="s">
        <v>1357</v>
      </c>
      <c r="E1177" s="826" t="s">
        <v>1516</v>
      </c>
      <c r="F1177" s="1081"/>
      <c r="G1177" s="826"/>
      <c r="H1177" s="826"/>
      <c r="I1177" s="1274" t="str">
        <f t="shared" si="203"/>
        <v/>
      </c>
      <c r="J1177" s="1314" t="str">
        <f t="shared" si="205"/>
        <v/>
      </c>
      <c r="K1177" s="1314" t="str">
        <f t="shared" si="204"/>
        <v/>
      </c>
      <c r="L1177" s="826" t="s">
        <v>1621</v>
      </c>
      <c r="M1177" s="1329">
        <v>1160</v>
      </c>
      <c r="N1177" s="1314"/>
      <c r="O1177" s="1311"/>
      <c r="P1177" s="1311"/>
      <c r="Q1177" s="1311"/>
      <c r="R1177" s="1314" t="s">
        <v>1099</v>
      </c>
      <c r="S1177" s="1311"/>
      <c r="T1177" s="1311"/>
      <c r="U1177" s="1311"/>
      <c r="V1177" s="1311"/>
      <c r="W1177" s="1311"/>
      <c r="X1177" s="1311"/>
      <c r="Y1177" s="1311"/>
      <c r="Z1177" s="1311"/>
    </row>
    <row r="1178" spans="1:26" x14ac:dyDescent="0.25">
      <c r="A1178" s="847" t="s">
        <v>1481</v>
      </c>
      <c r="B1178" s="826" t="str">
        <f ca="1">_xlfn.CONCAT(IFERROR(SUBSTITUTE(ADDRESS(1,MATCH(A1178,INDIRECT("'"&amp;E1178&amp;"'"&amp;"!A" &amp; $O$1163 + 5 &amp; ":Z" &amp; $O$1163 + 5),0),4),1,""),""),$O$1163+ 8)</f>
        <v>J471</v>
      </c>
      <c r="C1178" s="826" t="str">
        <f t="shared" ca="1" si="207"/>
        <v>J</v>
      </c>
      <c r="D1178" s="826" t="s">
        <v>1357</v>
      </c>
      <c r="E1178" s="826" t="s">
        <v>1516</v>
      </c>
      <c r="F1178" s="1081"/>
      <c r="G1178" s="826"/>
      <c r="H1178" s="826"/>
      <c r="I1178" s="1274" t="str">
        <f t="shared" si="203"/>
        <v/>
      </c>
      <c r="J1178" s="1314" t="str">
        <f t="shared" si="205"/>
        <v/>
      </c>
      <c r="K1178" s="1314" t="str">
        <f t="shared" si="204"/>
        <v/>
      </c>
      <c r="L1178" s="826" t="s">
        <v>1481</v>
      </c>
      <c r="M1178" s="1329">
        <v>1161</v>
      </c>
      <c r="N1178" s="1314"/>
      <c r="O1178" s="1311"/>
      <c r="P1178" s="1311"/>
      <c r="Q1178" s="1311"/>
      <c r="R1178" s="1314" t="s">
        <v>1099</v>
      </c>
      <c r="S1178" s="1311"/>
      <c r="T1178" s="1311"/>
      <c r="U1178" s="1311"/>
      <c r="V1178" s="1311"/>
      <c r="W1178" s="1311"/>
      <c r="X1178" s="1311"/>
      <c r="Y1178" s="1311"/>
      <c r="Z1178" s="1311"/>
    </row>
    <row r="1179" spans="1:26" x14ac:dyDescent="0.25">
      <c r="A1179" s="847" t="s">
        <v>727</v>
      </c>
      <c r="B1179" s="826" t="str">
        <f ca="1">_xlfn.CONCAT(IFERROR(SUBSTITUTE(ADDRESS(1,MATCH(A1179,INDIRECT("'"&amp;E1179&amp;"'"&amp;"!A" &amp; $O$1163 + 5 &amp; ":Z" &amp; $O$1163 + 5),0),4),1,""),""),$O$1163+ 8)</f>
        <v>L471</v>
      </c>
      <c r="C1179" s="826" t="str">
        <f t="shared" ca="1" si="207"/>
        <v>L</v>
      </c>
      <c r="D1179" s="826" t="s">
        <v>1357</v>
      </c>
      <c r="E1179" s="826" t="s">
        <v>1516</v>
      </c>
      <c r="F1179" s="826"/>
      <c r="G1179" s="826"/>
      <c r="H1179" s="826"/>
      <c r="I1179" s="1274" t="str">
        <f t="shared" si="203"/>
        <v/>
      </c>
      <c r="J1179" s="1314" t="str">
        <f t="shared" si="205"/>
        <v/>
      </c>
      <c r="K1179" s="1314" t="str">
        <f t="shared" si="204"/>
        <v/>
      </c>
      <c r="L1179" s="826" t="s">
        <v>727</v>
      </c>
      <c r="M1179" s="1329">
        <v>1162</v>
      </c>
      <c r="N1179" s="1314"/>
      <c r="O1179" s="1311"/>
      <c r="P1179" s="1311"/>
      <c r="Q1179" s="1311"/>
      <c r="R1179" s="1314" t="s">
        <v>1099</v>
      </c>
      <c r="S1179" s="1311"/>
      <c r="T1179" s="1311"/>
      <c r="U1179" s="1311"/>
      <c r="V1179" s="1311"/>
      <c r="W1179" s="1311"/>
      <c r="X1179" s="1311"/>
      <c r="Y1179" s="1311"/>
      <c r="Z1179" s="1311"/>
    </row>
    <row r="1180" spans="1:26" x14ac:dyDescent="0.25">
      <c r="A1180" s="847" t="s">
        <v>1621</v>
      </c>
      <c r="B1180" s="826" t="str">
        <f ca="1">_xlfn.CONCAT(IFERROR(SUBSTITUTE(ADDRESS(1,MATCH(A1180,INDIRECT("'"&amp;E1180&amp;"'"&amp;"!A" &amp; $O$1163 + 5 &amp; ":Z" &amp; $O$1163 + 5),0),4),1,""),""),$O$1163+ 8)</f>
        <v>N471</v>
      </c>
      <c r="C1180" s="826" t="str">
        <f t="shared" ca="1" si="207"/>
        <v>N</v>
      </c>
      <c r="D1180" s="826" t="s">
        <v>1357</v>
      </c>
      <c r="E1180" s="826" t="s">
        <v>1516</v>
      </c>
      <c r="F1180" s="826"/>
      <c r="G1180" s="826"/>
      <c r="H1180" s="826"/>
      <c r="I1180" s="1274" t="str">
        <f t="shared" si="203"/>
        <v/>
      </c>
      <c r="J1180" s="1314" t="str">
        <f t="shared" si="205"/>
        <v/>
      </c>
      <c r="K1180" s="1314" t="str">
        <f t="shared" si="204"/>
        <v/>
      </c>
      <c r="L1180" s="826" t="s">
        <v>1621</v>
      </c>
      <c r="M1180" s="1329">
        <v>1163</v>
      </c>
      <c r="N1180" s="1314"/>
      <c r="O1180" s="1311"/>
      <c r="P1180" s="1311"/>
      <c r="Q1180" s="1311"/>
      <c r="R1180" s="1314" t="s">
        <v>1099</v>
      </c>
      <c r="S1180" s="1311"/>
      <c r="T1180" s="1311"/>
      <c r="U1180" s="1311"/>
      <c r="V1180" s="1311"/>
      <c r="W1180" s="1311"/>
      <c r="X1180" s="1311"/>
      <c r="Y1180" s="1311"/>
      <c r="Z1180" s="1311"/>
    </row>
    <row r="1181" spans="1:26" x14ac:dyDescent="0.25">
      <c r="A1181" s="847" t="s">
        <v>1481</v>
      </c>
      <c r="B1181" s="826" t="str">
        <f ca="1">_xlfn.CONCAT(IFERROR(SUBSTITUTE(ADDRESS(1,MATCH(A1181,INDIRECT("'"&amp;E1181&amp;"'"&amp;"!A" &amp; $O$1163 + 5 &amp; ":Z" &amp; $O$1163 + 5),0),4),1,""),""),$O$1163+ 9)</f>
        <v>J472</v>
      </c>
      <c r="C1181" s="826" t="str">
        <f t="shared" ca="1" si="207"/>
        <v>J</v>
      </c>
      <c r="D1181" s="826" t="s">
        <v>1357</v>
      </c>
      <c r="E1181" s="826" t="s">
        <v>1516</v>
      </c>
      <c r="F1181" s="826"/>
      <c r="G1181" s="826"/>
      <c r="H1181" s="826"/>
      <c r="I1181" s="1274" t="str">
        <f t="shared" si="203"/>
        <v/>
      </c>
      <c r="J1181" s="1314" t="str">
        <f t="shared" si="205"/>
        <v/>
      </c>
      <c r="K1181" s="1314" t="str">
        <f t="shared" si="204"/>
        <v/>
      </c>
      <c r="L1181" s="826" t="s">
        <v>1481</v>
      </c>
      <c r="M1181" s="1329">
        <v>1164</v>
      </c>
      <c r="N1181" s="1314"/>
      <c r="O1181" s="1311"/>
      <c r="P1181" s="1311"/>
      <c r="Q1181" s="1311"/>
      <c r="R1181" s="1314" t="s">
        <v>1099</v>
      </c>
      <c r="S1181" s="1311"/>
      <c r="T1181" s="1311"/>
      <c r="U1181" s="1311"/>
      <c r="V1181" s="1311"/>
      <c r="W1181" s="1311"/>
      <c r="X1181" s="1311"/>
      <c r="Y1181" s="1311"/>
      <c r="Z1181" s="1311"/>
    </row>
    <row r="1182" spans="1:26" x14ac:dyDescent="0.25">
      <c r="A1182" s="847" t="s">
        <v>727</v>
      </c>
      <c r="B1182" s="826" t="str">
        <f ca="1">_xlfn.CONCAT(IFERROR(SUBSTITUTE(ADDRESS(1,MATCH(A1182,INDIRECT("'"&amp;E1182&amp;"'"&amp;"!A" &amp; $O$1163 + 5 &amp; ":Z" &amp; $O$1163 + 5),0),4),1,""),""),$O$1163+ 9)</f>
        <v>L472</v>
      </c>
      <c r="C1182" s="826" t="str">
        <f t="shared" ca="1" si="207"/>
        <v>L</v>
      </c>
      <c r="D1182" s="826" t="s">
        <v>1357</v>
      </c>
      <c r="E1182" s="826" t="s">
        <v>1516</v>
      </c>
      <c r="F1182" s="826"/>
      <c r="G1182" s="826"/>
      <c r="H1182" s="826"/>
      <c r="I1182" s="1274" t="str">
        <f t="shared" si="203"/>
        <v/>
      </c>
      <c r="J1182" s="1314" t="str">
        <f t="shared" si="205"/>
        <v/>
      </c>
      <c r="K1182" s="1314" t="str">
        <f t="shared" si="204"/>
        <v/>
      </c>
      <c r="L1182" s="826" t="s">
        <v>727</v>
      </c>
      <c r="M1182" s="1329">
        <v>1165</v>
      </c>
      <c r="N1182" s="1314"/>
      <c r="O1182" s="1311"/>
      <c r="P1182" s="1311"/>
      <c r="Q1182" s="1311"/>
      <c r="R1182" s="1314" t="s">
        <v>1099</v>
      </c>
      <c r="S1182" s="1311"/>
      <c r="T1182" s="1311"/>
      <c r="U1182" s="1311"/>
      <c r="V1182" s="1311"/>
      <c r="W1182" s="1311"/>
      <c r="X1182" s="1311"/>
      <c r="Y1182" s="1311"/>
      <c r="Z1182" s="1311"/>
    </row>
    <row r="1183" spans="1:26" x14ac:dyDescent="0.25">
      <c r="A1183" s="847" t="s">
        <v>1621</v>
      </c>
      <c r="B1183" s="826" t="str">
        <f ca="1">_xlfn.CONCAT(IFERROR(SUBSTITUTE(ADDRESS(1,MATCH(A1183,INDIRECT("'"&amp;E1183&amp;"'"&amp;"!A" &amp; $O$1163 + 5 &amp; ":Z" &amp; $O$1163 + 5),0),4),1,""),""),$O$1163+ 9)</f>
        <v>N472</v>
      </c>
      <c r="C1183" s="826" t="str">
        <f t="shared" ca="1" si="207"/>
        <v>N</v>
      </c>
      <c r="D1183" s="826" t="s">
        <v>1357</v>
      </c>
      <c r="E1183" s="826" t="s">
        <v>1516</v>
      </c>
      <c r="F1183" s="826"/>
      <c r="G1183" s="826"/>
      <c r="H1183" s="826"/>
      <c r="I1183" s="1274" t="str">
        <f t="shared" si="203"/>
        <v/>
      </c>
      <c r="J1183" s="1314" t="str">
        <f t="shared" si="205"/>
        <v/>
      </c>
      <c r="K1183" s="1314" t="str">
        <f t="shared" si="204"/>
        <v/>
      </c>
      <c r="L1183" s="826" t="s">
        <v>1621</v>
      </c>
      <c r="M1183" s="1329">
        <v>1166</v>
      </c>
      <c r="N1183" s="1314"/>
      <c r="O1183" s="1311"/>
      <c r="P1183" s="1311"/>
      <c r="Q1183" s="1311"/>
      <c r="R1183" s="1314" t="s">
        <v>1099</v>
      </c>
      <c r="S1183" s="1311"/>
      <c r="T1183" s="1311"/>
      <c r="U1183" s="1311"/>
      <c r="V1183" s="1311"/>
      <c r="W1183" s="1311"/>
      <c r="X1183" s="1311"/>
      <c r="Y1183" s="1311"/>
      <c r="Z1183" s="1311"/>
    </row>
    <row r="1184" spans="1:26" x14ac:dyDescent="0.25">
      <c r="A1184" s="847" t="s">
        <v>1481</v>
      </c>
      <c r="B1184" s="826" t="str">
        <f ca="1">_xlfn.CONCAT(IFERROR(SUBSTITUTE(ADDRESS(1,MATCH(A1184,INDIRECT("'"&amp;E1184&amp;"'"&amp;"!A" &amp; $O$1163 + 5 &amp; ":Z" &amp; $O$1163 + 5),0),4),1,""),""),$O$1163+ 10)</f>
        <v>J473</v>
      </c>
      <c r="C1184" s="826" t="str">
        <f t="shared" ca="1" si="207"/>
        <v>J</v>
      </c>
      <c r="D1184" s="826" t="s">
        <v>1357</v>
      </c>
      <c r="E1184" s="826" t="s">
        <v>1516</v>
      </c>
      <c r="F1184" s="826"/>
      <c r="G1184" s="826"/>
      <c r="H1184" s="826"/>
      <c r="I1184" s="1274" t="str">
        <f t="shared" si="203"/>
        <v/>
      </c>
      <c r="J1184" s="1314" t="str">
        <f t="shared" si="205"/>
        <v/>
      </c>
      <c r="K1184" s="1314" t="str">
        <f t="shared" si="204"/>
        <v/>
      </c>
      <c r="L1184" s="826" t="s">
        <v>1481</v>
      </c>
      <c r="M1184" s="1329">
        <v>1167</v>
      </c>
      <c r="N1184" s="1314"/>
      <c r="O1184" s="1311"/>
      <c r="P1184" s="1311"/>
      <c r="Q1184" s="1311"/>
      <c r="R1184" s="1314" t="s">
        <v>1099</v>
      </c>
      <c r="S1184" s="1311"/>
      <c r="T1184" s="1311"/>
      <c r="U1184" s="1311"/>
      <c r="V1184" s="1311"/>
      <c r="W1184" s="1311"/>
      <c r="X1184" s="1311"/>
      <c r="Y1184" s="1311"/>
      <c r="Z1184" s="1311"/>
    </row>
    <row r="1185" spans="1:26" x14ac:dyDescent="0.25">
      <c r="A1185" s="847" t="s">
        <v>727</v>
      </c>
      <c r="B1185" s="826" t="str">
        <f ca="1">_xlfn.CONCAT(IFERROR(SUBSTITUTE(ADDRESS(1,MATCH(A1185,INDIRECT("'"&amp;E1185&amp;"'"&amp;"!A" &amp; $O$1163 + 5 &amp; ":Z" &amp; $O$1163 + 5),0),4),1,""),""),$O$1163+ 10)</f>
        <v>L473</v>
      </c>
      <c r="C1185" s="826" t="str">
        <f t="shared" ca="1" si="207"/>
        <v>L</v>
      </c>
      <c r="D1185" s="826" t="s">
        <v>1357</v>
      </c>
      <c r="E1185" s="826" t="s">
        <v>1516</v>
      </c>
      <c r="F1185" s="826"/>
      <c r="G1185" s="826"/>
      <c r="H1185" s="826"/>
      <c r="I1185" s="1274" t="str">
        <f t="shared" si="203"/>
        <v/>
      </c>
      <c r="J1185" s="1314" t="str">
        <f t="shared" si="205"/>
        <v/>
      </c>
      <c r="K1185" s="1314" t="str">
        <f t="shared" si="204"/>
        <v/>
      </c>
      <c r="L1185" s="826" t="s">
        <v>727</v>
      </c>
      <c r="M1185" s="1329">
        <v>1168</v>
      </c>
      <c r="N1185" s="1314"/>
      <c r="O1185" s="1311"/>
      <c r="P1185" s="1311"/>
      <c r="Q1185" s="1311"/>
      <c r="R1185" s="1314" t="s">
        <v>1099</v>
      </c>
      <c r="S1185" s="1311"/>
      <c r="T1185" s="1311"/>
      <c r="U1185" s="1311"/>
      <c r="V1185" s="1311"/>
      <c r="W1185" s="1311"/>
      <c r="X1185" s="1311"/>
      <c r="Y1185" s="1311"/>
      <c r="Z1185" s="1311"/>
    </row>
    <row r="1186" spans="1:26" x14ac:dyDescent="0.25">
      <c r="A1186" s="847" t="s">
        <v>1621</v>
      </c>
      <c r="B1186" s="826" t="str">
        <f ca="1">_xlfn.CONCAT(IFERROR(SUBSTITUTE(ADDRESS(1,MATCH(A1186,INDIRECT("'"&amp;E1186&amp;"'"&amp;"!A" &amp; $O$1163 + 5 &amp; ":Z" &amp; $O$1163 + 5),0),4),1,""),""),$O$1163+ 10)</f>
        <v>N473</v>
      </c>
      <c r="C1186" s="826" t="str">
        <f t="shared" ca="1" si="207"/>
        <v>N</v>
      </c>
      <c r="D1186" s="826" t="s">
        <v>1357</v>
      </c>
      <c r="E1186" s="826" t="s">
        <v>1516</v>
      </c>
      <c r="F1186" s="826"/>
      <c r="G1186" s="826"/>
      <c r="H1186" s="826"/>
      <c r="I1186" s="1274" t="str">
        <f t="shared" si="203"/>
        <v/>
      </c>
      <c r="J1186" s="1314" t="str">
        <f t="shared" si="205"/>
        <v/>
      </c>
      <c r="K1186" s="1314" t="str">
        <f t="shared" si="204"/>
        <v/>
      </c>
      <c r="L1186" s="826" t="s">
        <v>1621</v>
      </c>
      <c r="M1186" s="1329">
        <v>1169</v>
      </c>
      <c r="N1186" s="1314"/>
      <c r="O1186" s="1311"/>
      <c r="P1186" s="1311"/>
      <c r="Q1186" s="1311"/>
      <c r="R1186" s="1314" t="s">
        <v>1099</v>
      </c>
      <c r="S1186" s="1311"/>
      <c r="T1186" s="1311"/>
      <c r="U1186" s="1311"/>
      <c r="V1186" s="1311"/>
      <c r="W1186" s="1311"/>
      <c r="X1186" s="1311"/>
      <c r="Y1186" s="1311"/>
      <c r="Z1186" s="1311"/>
    </row>
    <row r="1187" spans="1:26" x14ac:dyDescent="0.25">
      <c r="A1187" s="850" t="s">
        <v>1491</v>
      </c>
      <c r="B1187" s="826" t="str">
        <f ca="1">IFERROR(_xlfn.CONCAT("C",MATCH(A1187,INDIRECT("'"&amp;E1187&amp;"'!C"&amp;$O$1188&amp;":C"&amp;$O$1190),0)+$O$1188-1),"")</f>
        <v>C481</v>
      </c>
      <c r="C1187" s="826" t="str">
        <f ca="1">IFERROR(_xlfn.CONCAT("D",MATCH(A1187,INDIRECT("'"&amp;E1187&amp;"'!C"&amp;$O$1188&amp;":C"&amp;$O$1190),0)+$O$1188-1),"")</f>
        <v>D481</v>
      </c>
      <c r="D1187" s="826" t="s">
        <v>1350</v>
      </c>
      <c r="E1187" s="826" t="s">
        <v>1516</v>
      </c>
      <c r="F1187" s="1314" t="s">
        <v>1491</v>
      </c>
      <c r="G1187" s="1314" t="str">
        <f>IF(T1187&lt;&gt;"","A","")</f>
        <v/>
      </c>
      <c r="H1187" s="1314" t="s">
        <v>1990</v>
      </c>
      <c r="I1187" s="1274" t="str">
        <f t="shared" si="203"/>
        <v/>
      </c>
      <c r="J1187" s="1314"/>
      <c r="K1187" s="1314" t="str">
        <f t="shared" si="204"/>
        <v/>
      </c>
      <c r="L1187" s="826" t="s">
        <v>1491</v>
      </c>
      <c r="M1187" s="1329">
        <v>1170</v>
      </c>
      <c r="N1187" s="1314"/>
      <c r="O1187" s="1311" t="s">
        <v>725</v>
      </c>
      <c r="P1187" s="18"/>
      <c r="Q1187" s="1311"/>
      <c r="R1187" s="1314" t="s">
        <v>1099</v>
      </c>
      <c r="S1187" s="1311"/>
      <c r="T1187" s="1314" t="str">
        <f>IF(Q$1188="Yes",34,"")</f>
        <v/>
      </c>
      <c r="U1187" s="1311"/>
      <c r="V1187" s="1311"/>
      <c r="W1187" s="1311"/>
      <c r="X1187" s="1311"/>
      <c r="Y1187" s="1311"/>
      <c r="Z1187" s="1311"/>
    </row>
    <row r="1188" spans="1:26" x14ac:dyDescent="0.25">
      <c r="A1188" s="850" t="s">
        <v>1705</v>
      </c>
      <c r="B1188" s="826" t="str">
        <f ca="1">_xlfn.CONCAT(IFERROR(SUBSTITUTE(ADDRESS(1,MATCH(A1188,INDIRECT("'"&amp;E1188&amp;"'"&amp;"!A" &amp; $O$1188 + 11 &amp; ":Z" &amp; $O$1188 + 11),0),4),1,""),""),$O$1188+ 11)</f>
        <v>T488</v>
      </c>
      <c r="C1188" s="826" t="str">
        <f ca="1">_xlfn.CONCAT(IFERROR(SUBSTITUTE(ADDRESS(1,MATCH(A1188,INDIRECT("'"&amp;E1188&amp;"'"&amp;"!A" &amp; $O$1188 + 11 &amp; ":Z" &amp; $O$1188 + 11),0),4),1,""),""),$O$1188+ 12)</f>
        <v>T489</v>
      </c>
      <c r="D1188" s="826" t="s">
        <v>1350</v>
      </c>
      <c r="E1188" s="826" t="s">
        <v>1516</v>
      </c>
      <c r="F1188" s="1314"/>
      <c r="G1188" s="1314"/>
      <c r="H1188" s="1314"/>
      <c r="I1188" s="1274" t="str">
        <f t="shared" si="203"/>
        <v/>
      </c>
      <c r="J1188" s="1314" t="str">
        <f t="shared" ref="J1188:J1211" si="208">IF(M1188&lt;&gt;"",IF($Q$1188="Yes",Q$1&amp;M1188,""))</f>
        <v/>
      </c>
      <c r="K1188" s="1314" t="str">
        <f t="shared" si="204"/>
        <v/>
      </c>
      <c r="L1188" s="826" t="s">
        <v>1705</v>
      </c>
      <c r="M1188" s="1329">
        <v>1171</v>
      </c>
      <c r="N1188" s="1314"/>
      <c r="O1188" s="1311">
        <f>'Configurable Tab'!H36</f>
        <v>477</v>
      </c>
      <c r="P1188" s="18" t="str">
        <f>'Configurable Tab'!J36</f>
        <v>No</v>
      </c>
      <c r="Q1188" s="1351" t="s">
        <v>648</v>
      </c>
      <c r="R1188" s="1314" t="s">
        <v>1099</v>
      </c>
      <c r="S1188" s="1311"/>
      <c r="T1188" s="1314" t="str">
        <f t="shared" ref="T1188:T1193" si="209">IF(Q$1188="Yes",34,"")</f>
        <v/>
      </c>
      <c r="U1188" s="1311"/>
      <c r="V1188" s="1311"/>
      <c r="W1188" s="1311"/>
      <c r="X1188" s="1311"/>
      <c r="Y1188" s="1311"/>
      <c r="Z1188" s="1311"/>
    </row>
    <row r="1189" spans="1:26" x14ac:dyDescent="0.25">
      <c r="A1189" s="850" t="s">
        <v>1383</v>
      </c>
      <c r="B1189" s="826" t="str">
        <f ca="1">IFERROR(_xlfn.CONCAT("C",MATCH(A1189,INDIRECT("'"&amp;E1189&amp;"'!C"&amp;$O$1188&amp;":C"&amp;$O$1190),0)+$O$1188-1),"")</f>
        <v>C479</v>
      </c>
      <c r="C1189" s="826" t="str">
        <f ca="1">IFERROR(_xlfn.CONCAT("D",MATCH(A1189,INDIRECT("'"&amp;E1189&amp;"'!C"&amp;$O$1188&amp;":C"&amp;$O$1190),0)+$O$1188-1),"")</f>
        <v>D479</v>
      </c>
      <c r="D1189" s="826" t="s">
        <v>1350</v>
      </c>
      <c r="E1189" s="826" t="s">
        <v>1516</v>
      </c>
      <c r="F1189" s="1314" t="s">
        <v>1383</v>
      </c>
      <c r="G1189" s="1314" t="str">
        <f>IF(T1189&lt;&gt;"","B","")</f>
        <v/>
      </c>
      <c r="H1189" s="1314" t="s">
        <v>1990</v>
      </c>
      <c r="I1189" s="1274" t="str">
        <f t="shared" si="203"/>
        <v/>
      </c>
      <c r="J1189" s="1314"/>
      <c r="K1189" s="1314" t="str">
        <f t="shared" si="204"/>
        <v/>
      </c>
      <c r="L1189" s="826" t="s">
        <v>1383</v>
      </c>
      <c r="M1189" s="1329">
        <v>1172</v>
      </c>
      <c r="N1189" s="1314"/>
      <c r="O1189" s="1311" t="s">
        <v>726</v>
      </c>
      <c r="P1189" s="1311"/>
      <c r="Q1189" s="1311"/>
      <c r="R1189" s="1314" t="s">
        <v>1099</v>
      </c>
      <c r="S1189" s="1311"/>
      <c r="T1189" s="1314" t="str">
        <f t="shared" si="209"/>
        <v/>
      </c>
      <c r="U1189" s="1311"/>
      <c r="V1189" s="1311"/>
      <c r="W1189" s="1311"/>
      <c r="X1189" s="1311"/>
      <c r="Y1189" s="1311"/>
      <c r="Z1189" s="1311"/>
    </row>
    <row r="1190" spans="1:26" x14ac:dyDescent="0.25">
      <c r="A1190" s="850" t="s">
        <v>1381</v>
      </c>
      <c r="B1190" s="826" t="str">
        <f ca="1">_xlfn.CONCAT(IFERROR(SUBSTITUTE(ADDRESS(1,MATCH(A1190,INDIRECT("'"&amp;E1190&amp;"'"&amp;"!A" &amp; $O$1188 + 2 &amp; ":Z" &amp; $O$1188 + 2),0),4),1,""),""),$O$1188+ 2)</f>
        <v>J479</v>
      </c>
      <c r="C1190" s="826" t="str">
        <f ca="1">_xlfn.CONCAT(IFERROR(SUBSTITUTE(ADDRESS(1,MATCH(A1190,INDIRECT("'"&amp;E1190&amp;"'"&amp;"!A" &amp; $O$1188 + 2 &amp; ":Z" &amp; $O$1188 + 2),0),4),1,""),""),$O$1188+ 3)</f>
        <v>J480</v>
      </c>
      <c r="D1190" s="826" t="s">
        <v>1350</v>
      </c>
      <c r="E1190" s="826" t="s">
        <v>1516</v>
      </c>
      <c r="F1190" s="1314" t="s">
        <v>1992</v>
      </c>
      <c r="G1190" s="1314" t="str">
        <f>IF(T1190&lt;&gt;"","I","")</f>
        <v/>
      </c>
      <c r="H1190" s="1314" t="s">
        <v>1990</v>
      </c>
      <c r="I1190" s="1274" t="str">
        <f t="shared" si="203"/>
        <v/>
      </c>
      <c r="J1190" s="1314" t="str">
        <f t="shared" si="208"/>
        <v/>
      </c>
      <c r="K1190" s="1314" t="str">
        <f t="shared" si="204"/>
        <v/>
      </c>
      <c r="L1190" s="826" t="s">
        <v>1381</v>
      </c>
      <c r="M1190" s="1329">
        <v>1173</v>
      </c>
      <c r="N1190" s="1314"/>
      <c r="O1190" s="1311">
        <f>'Configurable Tab'!I36</f>
        <v>490</v>
      </c>
      <c r="P1190" s="1311"/>
      <c r="Q1190" s="1311"/>
      <c r="R1190" s="1314" t="s">
        <v>1099</v>
      </c>
      <c r="S1190" s="1311"/>
      <c r="T1190" s="1314" t="str">
        <f t="shared" si="209"/>
        <v/>
      </c>
      <c r="U1190" s="1311"/>
      <c r="V1190" s="1311"/>
      <c r="W1190" s="1311"/>
      <c r="X1190" s="1311"/>
      <c r="Y1190" s="1311"/>
      <c r="Z1190" s="1311"/>
    </row>
    <row r="1191" spans="1:26" x14ac:dyDescent="0.25">
      <c r="A1191" s="850" t="s">
        <v>1382</v>
      </c>
      <c r="B1191" s="826" t="str">
        <f ca="1">_xlfn.CONCAT(IFERROR(SUBSTITUTE(ADDRESS(1,MATCH(A1191,INDIRECT("'"&amp;E1191&amp;"'"&amp;"!A" &amp; $O$1188 + 2 &amp; ":Z" &amp; $O$1188 + 2),0),4),1,""),""),$O$1188+ 2)</f>
        <v>N479</v>
      </c>
      <c r="C1191" s="826" t="str">
        <f ca="1">_xlfn.CONCAT(IFERROR(SUBSTITUTE(ADDRESS(1,MATCH(A1191,INDIRECT("'"&amp;E1191&amp;"'"&amp;"!A" &amp; $O$1188 + 2 &amp; ":Z" &amp; $O$1188 + 2),0),4),1,""),""),$O$1188+ 3)</f>
        <v>N480</v>
      </c>
      <c r="D1191" s="826" t="s">
        <v>1350</v>
      </c>
      <c r="E1191" s="826" t="s">
        <v>1516</v>
      </c>
      <c r="F1191" s="1314" t="s">
        <v>1382</v>
      </c>
      <c r="G1191" s="1314" t="str">
        <f>IF(T1191&lt;&gt;"",IF(Q1189="Credit Memo","J",IF(Q1189="Check","K","")),"")</f>
        <v/>
      </c>
      <c r="H1191" s="1314" t="s">
        <v>1990</v>
      </c>
      <c r="I1191" s="1274" t="str">
        <f t="shared" si="203"/>
        <v/>
      </c>
      <c r="J1191" s="1314" t="str">
        <f t="shared" si="208"/>
        <v/>
      </c>
      <c r="K1191" s="1314" t="str">
        <f t="shared" si="204"/>
        <v/>
      </c>
      <c r="L1191" s="826" t="s">
        <v>1382</v>
      </c>
      <c r="M1191" s="1329">
        <v>1174</v>
      </c>
      <c r="N1191" s="1314"/>
      <c r="O1191" s="1311" t="s">
        <v>1661</v>
      </c>
      <c r="P1191" s="1311"/>
      <c r="Q1191" s="1311"/>
      <c r="R1191" s="1314" t="s">
        <v>1099</v>
      </c>
      <c r="S1191" s="1311"/>
      <c r="T1191" s="1314" t="str">
        <f t="shared" si="209"/>
        <v/>
      </c>
      <c r="U1191" s="1311"/>
      <c r="V1191" s="1311"/>
      <c r="W1191" s="1311"/>
      <c r="X1191" s="1311"/>
      <c r="Y1191" s="1311"/>
      <c r="Z1191" s="1311"/>
    </row>
    <row r="1192" spans="1:26" x14ac:dyDescent="0.25">
      <c r="A1192" s="850" t="s">
        <v>1385</v>
      </c>
      <c r="B1192" s="826" t="str">
        <f ca="1">IFERROR(_xlfn.CONCAT("C",MATCH(A1192,INDIRECT("'"&amp;E1192&amp;"'!C"&amp;$O$1188&amp;":C"&amp;$O$1190),0)+$O$1188-1),"")</f>
        <v>C483</v>
      </c>
      <c r="C1192" s="826" t="str">
        <f ca="1">IFERROR(_xlfn.CONCAT("D",MATCH(A1192,INDIRECT("'"&amp;E1192&amp;"'!C"&amp;$O$1188&amp;":C"&amp;$O$1190),0)+$O$1188-1),"")</f>
        <v>D483</v>
      </c>
      <c r="D1192" s="826" t="s">
        <v>1350</v>
      </c>
      <c r="E1192" s="826" t="s">
        <v>1516</v>
      </c>
      <c r="F1192" s="1314" t="s">
        <v>1385</v>
      </c>
      <c r="G1192" s="1314" t="str">
        <f>IF(T1192&lt;&gt;"","C","")</f>
        <v/>
      </c>
      <c r="H1192" s="1314" t="s">
        <v>1990</v>
      </c>
      <c r="I1192" s="1274" t="str">
        <f t="shared" si="203"/>
        <v/>
      </c>
      <c r="J1192" s="1314"/>
      <c r="K1192" s="1314" t="str">
        <f t="shared" si="204"/>
        <v/>
      </c>
      <c r="L1192" s="826" t="s">
        <v>1385</v>
      </c>
      <c r="M1192" s="1329">
        <v>1175</v>
      </c>
      <c r="N1192" s="1314"/>
      <c r="O1192" s="1311"/>
      <c r="P1192" s="1311"/>
      <c r="Q1192" s="1311"/>
      <c r="R1192" s="1314" t="s">
        <v>1099</v>
      </c>
      <c r="S1192" s="1311"/>
      <c r="T1192" s="1314" t="str">
        <f t="shared" si="209"/>
        <v/>
      </c>
      <c r="U1192" s="1311"/>
      <c r="V1192" s="1311"/>
      <c r="W1192" s="1311"/>
      <c r="X1192" s="1311"/>
      <c r="Y1192" s="1311"/>
      <c r="Z1192" s="1311"/>
    </row>
    <row r="1193" spans="1:26" x14ac:dyDescent="0.25">
      <c r="A1193" s="850" t="s">
        <v>1386</v>
      </c>
      <c r="B1193" s="826" t="str">
        <f ca="1">IFERROR(_xlfn.CONCAT("C",MATCH(A1193,INDIRECT("'"&amp;E1193&amp;"'!C"&amp;$O$1188&amp;":C"&amp;$O$1190),0)+$O$1188-1),"")</f>
        <v>C485</v>
      </c>
      <c r="C1193" s="826" t="str">
        <f ca="1">IFERROR(_xlfn.CONCAT("D",MATCH(A1193,INDIRECT("'"&amp;E1193&amp;"'!C"&amp;$O$1188&amp;":C"&amp;$O$1190),0)+$O$1188-1),"")</f>
        <v>D485</v>
      </c>
      <c r="D1193" s="826" t="s">
        <v>1350</v>
      </c>
      <c r="E1193" s="826" t="s">
        <v>1516</v>
      </c>
      <c r="F1193" s="1314" t="s">
        <v>1386</v>
      </c>
      <c r="G1193" s="1314" t="str">
        <f>IF(T1193&lt;&gt;"","D","")</f>
        <v/>
      </c>
      <c r="H1193" s="1314" t="s">
        <v>1990</v>
      </c>
      <c r="I1193" s="1274" t="str">
        <f t="shared" si="203"/>
        <v/>
      </c>
      <c r="J1193" s="1314"/>
      <c r="K1193" s="1314" t="str">
        <f t="shared" si="204"/>
        <v/>
      </c>
      <c r="L1193" s="826" t="s">
        <v>1386</v>
      </c>
      <c r="M1193" s="1329">
        <v>1176</v>
      </c>
      <c r="N1193" s="1314"/>
      <c r="O1193" s="1311"/>
      <c r="P1193" s="1311"/>
      <c r="Q1193" s="1311"/>
      <c r="R1193" s="1314" t="s">
        <v>1099</v>
      </c>
      <c r="S1193" s="1311"/>
      <c r="T1193" s="1314" t="str">
        <f t="shared" si="209"/>
        <v/>
      </c>
      <c r="U1193" s="1311"/>
      <c r="V1193" s="1311"/>
      <c r="W1193" s="1311"/>
      <c r="X1193" s="1311"/>
      <c r="Y1193" s="1311"/>
      <c r="Z1193" s="1311"/>
    </row>
    <row r="1194" spans="1:26" x14ac:dyDescent="0.25">
      <c r="A1194" s="850" t="s">
        <v>1495</v>
      </c>
      <c r="B1194" s="826" t="str">
        <f ca="1">IFERROR(_xlfn.CONCAT("C",MATCH(A1194,INDIRECT("'"&amp;E1194&amp;"'!C"&amp;$O$1188&amp;":C"&amp;$O$1190),0)+$O$1188-1),"")</f>
        <v>C487</v>
      </c>
      <c r="C1194" s="826" t="str">
        <f ca="1">IFERROR(_xlfn.CONCAT("D",MATCH(A1194,INDIRECT("'"&amp;E1194&amp;"'!C"&amp;$O$1188&amp;":C"&amp;$O$1190),0)+$O$1188-1),"")</f>
        <v>D487</v>
      </c>
      <c r="D1194" s="826" t="s">
        <v>1350</v>
      </c>
      <c r="E1194" s="826" t="s">
        <v>1516</v>
      </c>
      <c r="F1194" s="1314" t="s">
        <v>1495</v>
      </c>
      <c r="G1194" s="1314" t="str">
        <f>IF(T1194&lt;&gt;"","AN","")</f>
        <v/>
      </c>
      <c r="H1194" s="1314" t="s">
        <v>1990</v>
      </c>
      <c r="I1194" s="1274" t="str">
        <f t="shared" si="203"/>
        <v/>
      </c>
      <c r="J1194" s="1314" t="str">
        <f t="shared" si="208"/>
        <v/>
      </c>
      <c r="K1194" s="1314" t="str">
        <f t="shared" si="204"/>
        <v/>
      </c>
      <c r="L1194" s="826" t="s">
        <v>1495</v>
      </c>
      <c r="M1194" s="1329">
        <v>1177</v>
      </c>
      <c r="N1194" s="1314"/>
      <c r="O1194" s="18"/>
      <c r="P1194" s="1317" t="str" cm="1">
        <f t="array" aca="1" ref="P1194" ca="1">_xlfn.CONCAT("F",RIGHT(B1194, LEN(B1194) - MAX(IF(ISNUMBER(MID(B1194, ROW(INDIRECT("1:"&amp;LEN(B1194))), 1) *1)=FALSE, ROW(INDIRECT("1:"&amp;LEN(B1194))), 0))))</f>
        <v>F487</v>
      </c>
      <c r="Q1194" s="1314" t="str" cm="1">
        <f t="array" aca="1" ref="Q1194" ca="1">_xlfn.CONCAT("E",RIGHT(C1194, LEN(C1194) - MAX(IF(ISNUMBER(MID(C1194, ROW(INDIRECT("1:"&amp;LEN(C1194))), 1) *1)=FALSE, ROW(INDIRECT("1:"&amp;LEN(C1194))), 0))))</f>
        <v>E487</v>
      </c>
      <c r="R1194" s="1314" t="s">
        <v>1099</v>
      </c>
      <c r="S1194" s="1311"/>
      <c r="T1194" s="1314" t="str">
        <f>IF(Q$1188="Yes",34,"")</f>
        <v/>
      </c>
      <c r="U1194" s="1311"/>
      <c r="V1194" s="1311"/>
      <c r="W1194" s="1311"/>
      <c r="X1194" s="1311"/>
      <c r="Y1194" s="1311"/>
      <c r="Z1194" s="1311"/>
    </row>
    <row r="1195" spans="1:26" x14ac:dyDescent="0.25">
      <c r="A1195" s="850" t="s">
        <v>1492</v>
      </c>
      <c r="B1195" s="826" t="str">
        <f ca="1">_xlfn.CONCAT(IFERROR(SUBSTITUTE(ADDRESS(1,MATCH(A1195,INDIRECT("'"&amp;E1195&amp;"'"&amp;"!A" &amp; $O$1188 + 8 &amp; ":Z" &amp; $O$1188 + 8),0),4),1,""),""),$O$1188+ 8)</f>
        <v>H485</v>
      </c>
      <c r="C1195" s="826" t="str">
        <f ca="1">_xlfn.CONCAT(IFERROR(SUBSTITUTE(ADDRESS(1,MATCH(A1195,INDIRECT("'"&amp;E1195&amp;"'"&amp;"!A" &amp; $O$1188 + 8 &amp; ":Z" &amp; $O$1188 + 8),0),4),1,""),""),$O$1188+ 9)</f>
        <v>H486</v>
      </c>
      <c r="D1195" s="826" t="s">
        <v>1350</v>
      </c>
      <c r="E1195" s="826" t="s">
        <v>1516</v>
      </c>
      <c r="F1195" s="1314" t="s">
        <v>1492</v>
      </c>
      <c r="G1195" s="1314" t="str">
        <f>IF(T1195&lt;&gt;"","AL","")</f>
        <v/>
      </c>
      <c r="H1195" s="1314" t="s">
        <v>1990</v>
      </c>
      <c r="I1195" s="1274" t="str">
        <f t="shared" si="203"/>
        <v/>
      </c>
      <c r="J1195" s="1314" t="str">
        <f t="shared" si="208"/>
        <v/>
      </c>
      <c r="K1195" s="1314" t="str">
        <f t="shared" si="204"/>
        <v/>
      </c>
      <c r="L1195" s="826" t="s">
        <v>1492</v>
      </c>
      <c r="M1195" s="1329">
        <v>1178</v>
      </c>
      <c r="N1195" s="1314"/>
      <c r="O1195" s="1311"/>
      <c r="P1195" s="1311"/>
      <c r="Q1195" s="1311"/>
      <c r="R1195" s="1314" t="s">
        <v>1099</v>
      </c>
      <c r="S1195" s="1311"/>
      <c r="T1195" s="1314" t="str">
        <f>IF(Q$1188="Yes",34,"")</f>
        <v/>
      </c>
      <c r="U1195" s="1311"/>
      <c r="V1195" s="1311"/>
      <c r="W1195" s="1311"/>
      <c r="X1195" s="1311"/>
      <c r="Y1195" s="1311"/>
      <c r="Z1195" s="1311"/>
    </row>
    <row r="1196" spans="1:26" x14ac:dyDescent="0.25">
      <c r="A1196" s="850" t="s">
        <v>1396</v>
      </c>
      <c r="B1196" s="826" t="str">
        <f ca="1">_xlfn.CONCAT(IFERROR(SUBSTITUTE(ADDRESS(1,MATCH(A1196,INDIRECT("'"&amp;E1196&amp;"'"&amp;"!A" &amp; $O$1188 + 5 &amp; ":Z" &amp; $O$1188 + 5),0),4),1,""),""),$O$1188+ 5)</f>
        <v>H482</v>
      </c>
      <c r="C1196" s="826" t="str">
        <f ca="1">_xlfn.CONCAT(IFERROR(SUBSTITUTE(ADDRESS(1,MATCH(A1196,INDIRECT("'"&amp;E1196&amp;"'"&amp;"!A" &amp; $O$1188 + 5 &amp; ":Z" &amp; $O$1188 + 5),0),4),1,""),""),$O$1188+ 6)</f>
        <v>H483</v>
      </c>
      <c r="D1196" s="826" t="s">
        <v>1350</v>
      </c>
      <c r="E1196" s="826" t="s">
        <v>1516</v>
      </c>
      <c r="F1196" s="1354" t="s">
        <v>1396</v>
      </c>
      <c r="G1196" s="1354" t="str">
        <f>IF(T1196&lt;&gt;"","S","")</f>
        <v/>
      </c>
      <c r="H1196" s="1354" t="s">
        <v>1990</v>
      </c>
      <c r="I1196" s="1274" t="str">
        <f t="shared" si="203"/>
        <v/>
      </c>
      <c r="J1196" s="1314" t="str">
        <f t="shared" si="208"/>
        <v/>
      </c>
      <c r="K1196" s="1314" t="str">
        <f t="shared" si="204"/>
        <v/>
      </c>
      <c r="L1196" s="826" t="s">
        <v>1396</v>
      </c>
      <c r="M1196" s="1329">
        <v>1179</v>
      </c>
      <c r="N1196" s="1314"/>
      <c r="O1196" s="1311"/>
      <c r="P1196" s="1311"/>
      <c r="Q1196" s="1311"/>
      <c r="R1196" s="1314" t="s">
        <v>1099</v>
      </c>
      <c r="S1196" s="1311"/>
      <c r="T1196" s="1353" t="str">
        <f>IF(Q$1188="Yes",34,"")</f>
        <v/>
      </c>
      <c r="U1196" s="1311"/>
      <c r="V1196" s="1311"/>
      <c r="W1196" s="1311"/>
      <c r="X1196" s="1311"/>
      <c r="Y1196" s="1311"/>
      <c r="Z1196" s="1311"/>
    </row>
    <row r="1197" spans="1:26" x14ac:dyDescent="0.25">
      <c r="A1197" s="850" t="s">
        <v>1481</v>
      </c>
      <c r="B1197" s="826" t="str">
        <f ca="1">_xlfn.CONCAT(IFERROR(SUBSTITUTE(ADDRESS(1,MATCH(A1197,INDIRECT("'"&amp;E1197&amp;"'"&amp;"!A" &amp; $O$1188 + 5 &amp; ":Z" &amp; $O$1188 + 5),0),4),1,""),""),$O$1188+ 6)</f>
        <v>J483</v>
      </c>
      <c r="C1197" s="826" t="str">
        <f t="shared" ref="C1197:C1211" ca="1" si="210">IFERROR(SUBSTITUTE(ADDRESS(1,MATCH(A1197,INDIRECT("'"&amp;E1197&amp;"'"&amp;"!A" &amp; $O$1188 + 5 &amp; ":Z" &amp; $O$1188 + 5),0),4),1,""),"")</f>
        <v>J</v>
      </c>
      <c r="D1197" s="826" t="s">
        <v>1357</v>
      </c>
      <c r="E1197" s="826" t="s">
        <v>1516</v>
      </c>
      <c r="F1197" s="1081"/>
      <c r="G1197" s="826"/>
      <c r="H1197" s="826"/>
      <c r="I1197" s="1274" t="str">
        <f t="shared" si="203"/>
        <v/>
      </c>
      <c r="J1197" s="1314" t="str">
        <f t="shared" si="208"/>
        <v/>
      </c>
      <c r="K1197" s="1314" t="str">
        <f t="shared" si="204"/>
        <v/>
      </c>
      <c r="L1197" s="826" t="s">
        <v>1481</v>
      </c>
      <c r="M1197" s="1329">
        <v>1180</v>
      </c>
      <c r="N1197" s="1314"/>
      <c r="O1197" s="1311"/>
      <c r="P1197" s="1311"/>
      <c r="Q1197" s="1311"/>
      <c r="R1197" s="1314" t="s">
        <v>1099</v>
      </c>
      <c r="S1197" s="1311"/>
      <c r="T1197" s="1311"/>
      <c r="U1197" s="1311"/>
      <c r="V1197" s="1311"/>
      <c r="W1197" s="1311"/>
      <c r="X1197" s="1311"/>
      <c r="Y1197" s="1311"/>
      <c r="Z1197" s="1311"/>
    </row>
    <row r="1198" spans="1:26" x14ac:dyDescent="0.25">
      <c r="A1198" s="850" t="s">
        <v>727</v>
      </c>
      <c r="B1198" s="826" t="str">
        <f ca="1">_xlfn.CONCAT(IFERROR(SUBSTITUTE(ADDRESS(1,MATCH(A1198,INDIRECT("'"&amp;E1198&amp;"'"&amp;"!A" &amp; $O$1188 + 5 &amp; ":Z" &amp; $O$1188 + 5),0),4),1,""),""),$O$1188+ 6)</f>
        <v>L483</v>
      </c>
      <c r="C1198" s="826" t="str">
        <f t="shared" ca="1" si="210"/>
        <v>L</v>
      </c>
      <c r="D1198" s="826" t="s">
        <v>1357</v>
      </c>
      <c r="E1198" s="826" t="s">
        <v>1516</v>
      </c>
      <c r="F1198" s="1081"/>
      <c r="G1198" s="826"/>
      <c r="H1198" s="826"/>
      <c r="I1198" s="1274" t="str">
        <f t="shared" si="203"/>
        <v/>
      </c>
      <c r="J1198" s="1314" t="str">
        <f t="shared" si="208"/>
        <v/>
      </c>
      <c r="K1198" s="1314" t="str">
        <f t="shared" si="204"/>
        <v/>
      </c>
      <c r="L1198" s="826" t="s">
        <v>727</v>
      </c>
      <c r="M1198" s="1329">
        <v>1181</v>
      </c>
      <c r="N1198" s="1314"/>
      <c r="O1198" s="1311"/>
      <c r="P1198" s="1311"/>
      <c r="Q1198" s="1311"/>
      <c r="R1198" s="1314" t="s">
        <v>1099</v>
      </c>
      <c r="S1198" s="1311"/>
      <c r="T1198" s="1311"/>
      <c r="U1198" s="1311"/>
      <c r="V1198" s="1311"/>
      <c r="W1198" s="1311"/>
      <c r="X1198" s="1311"/>
      <c r="Y1198" s="1311"/>
      <c r="Z1198" s="1311"/>
    </row>
    <row r="1199" spans="1:26" x14ac:dyDescent="0.25">
      <c r="A1199" s="850" t="s">
        <v>1621</v>
      </c>
      <c r="B1199" s="826" t="str">
        <f ca="1">_xlfn.CONCAT(IFERROR(SUBSTITUTE(ADDRESS(1,MATCH(A1199,INDIRECT("'"&amp;E1199&amp;"'"&amp;"!A" &amp; $O$1188 + 5 &amp; ":Z" &amp; $O$1188 + 5),0),4),1,""),""),$O$1188+ 6)</f>
        <v>N483</v>
      </c>
      <c r="C1199" s="826" t="str">
        <f t="shared" ca="1" si="210"/>
        <v>N</v>
      </c>
      <c r="D1199" s="826" t="s">
        <v>1357</v>
      </c>
      <c r="E1199" s="826" t="s">
        <v>1516</v>
      </c>
      <c r="F1199" s="1081"/>
      <c r="G1199" s="826"/>
      <c r="H1199" s="826"/>
      <c r="I1199" s="1274" t="str">
        <f t="shared" si="203"/>
        <v/>
      </c>
      <c r="J1199" s="1314" t="str">
        <f t="shared" si="208"/>
        <v/>
      </c>
      <c r="K1199" s="1314" t="str">
        <f t="shared" si="204"/>
        <v/>
      </c>
      <c r="L1199" s="826" t="s">
        <v>1621</v>
      </c>
      <c r="M1199" s="1329">
        <v>1182</v>
      </c>
      <c r="N1199" s="1314"/>
      <c r="O1199" s="1311"/>
      <c r="P1199" s="1311"/>
      <c r="Q1199" s="1311"/>
      <c r="R1199" s="1314" t="s">
        <v>1099</v>
      </c>
      <c r="S1199" s="1311"/>
      <c r="T1199" s="1311"/>
      <c r="U1199" s="1311"/>
      <c r="V1199" s="1311"/>
      <c r="W1199" s="1311"/>
      <c r="X1199" s="1311"/>
      <c r="Y1199" s="1311"/>
      <c r="Z1199" s="1311"/>
    </row>
    <row r="1200" spans="1:26" x14ac:dyDescent="0.25">
      <c r="A1200" s="850" t="s">
        <v>1481</v>
      </c>
      <c r="B1200" s="826" t="str">
        <f ca="1">_xlfn.CONCAT(IFERROR(SUBSTITUTE(ADDRESS(1,MATCH(A1200,INDIRECT("'"&amp;E1200&amp;"'"&amp;"!A" &amp; $O$1188 + 5 &amp; ":Z" &amp; $O$1188 + 5),0),4),1,""),""),$O$1188+ 7)</f>
        <v>J484</v>
      </c>
      <c r="C1200" s="826" t="str">
        <f t="shared" ca="1" si="210"/>
        <v>J</v>
      </c>
      <c r="D1200" s="826" t="s">
        <v>1357</v>
      </c>
      <c r="E1200" s="826" t="s">
        <v>1516</v>
      </c>
      <c r="F1200" s="826"/>
      <c r="G1200" s="826"/>
      <c r="H1200" s="826"/>
      <c r="I1200" s="1274" t="str">
        <f t="shared" si="203"/>
        <v/>
      </c>
      <c r="J1200" s="1314" t="str">
        <f t="shared" si="208"/>
        <v/>
      </c>
      <c r="K1200" s="1314" t="str">
        <f t="shared" si="204"/>
        <v/>
      </c>
      <c r="L1200" s="826" t="s">
        <v>1481</v>
      </c>
      <c r="M1200" s="1329">
        <v>1183</v>
      </c>
      <c r="N1200" s="1314"/>
      <c r="O1200" s="1311"/>
      <c r="P1200" s="1311"/>
      <c r="Q1200" s="1311"/>
      <c r="R1200" s="1314" t="s">
        <v>1099</v>
      </c>
      <c r="S1200" s="1311"/>
      <c r="T1200" s="1311"/>
      <c r="U1200" s="1311"/>
      <c r="V1200" s="1311"/>
      <c r="W1200" s="1311"/>
      <c r="X1200" s="1311"/>
      <c r="Y1200" s="1311"/>
      <c r="Z1200" s="1311"/>
    </row>
    <row r="1201" spans="1:26" x14ac:dyDescent="0.25">
      <c r="A1201" s="850" t="s">
        <v>727</v>
      </c>
      <c r="B1201" s="826" t="str">
        <f ca="1">_xlfn.CONCAT(IFERROR(SUBSTITUTE(ADDRESS(1,MATCH(A1201,INDIRECT("'"&amp;E1201&amp;"'"&amp;"!A" &amp; $O$1188 + 5 &amp; ":Z" &amp; $O$1188 + 5),0),4),1,""),""),$O$1188+ 7)</f>
        <v>L484</v>
      </c>
      <c r="C1201" s="826" t="str">
        <f t="shared" ca="1" si="210"/>
        <v>L</v>
      </c>
      <c r="D1201" s="826" t="s">
        <v>1357</v>
      </c>
      <c r="E1201" s="826" t="s">
        <v>1516</v>
      </c>
      <c r="F1201" s="1081"/>
      <c r="G1201" s="826"/>
      <c r="H1201" s="826"/>
      <c r="I1201" s="1274" t="str">
        <f t="shared" si="203"/>
        <v/>
      </c>
      <c r="J1201" s="1314" t="str">
        <f t="shared" si="208"/>
        <v/>
      </c>
      <c r="K1201" s="1314" t="str">
        <f t="shared" si="204"/>
        <v/>
      </c>
      <c r="L1201" s="826" t="s">
        <v>727</v>
      </c>
      <c r="M1201" s="1329">
        <v>1184</v>
      </c>
      <c r="N1201" s="1314"/>
      <c r="O1201" s="1311"/>
      <c r="P1201" s="1311"/>
      <c r="Q1201" s="1311"/>
      <c r="R1201" s="1314" t="s">
        <v>1099</v>
      </c>
      <c r="S1201" s="1311"/>
      <c r="T1201" s="1311"/>
      <c r="U1201" s="1311"/>
      <c r="V1201" s="1311"/>
      <c r="W1201" s="1311"/>
      <c r="X1201" s="1311"/>
      <c r="Y1201" s="1311"/>
      <c r="Z1201" s="1311"/>
    </row>
    <row r="1202" spans="1:26" x14ac:dyDescent="0.25">
      <c r="A1202" s="850" t="s">
        <v>1621</v>
      </c>
      <c r="B1202" s="826" t="str">
        <f ca="1">_xlfn.CONCAT(IFERROR(SUBSTITUTE(ADDRESS(1,MATCH(A1202,INDIRECT("'"&amp;E1202&amp;"'"&amp;"!A" &amp; $O$1188 + 5 &amp; ":Z" &amp; $O$1188 + 5),0),4),1,""),""),$O$1188+ 7)</f>
        <v>N484</v>
      </c>
      <c r="C1202" s="826" t="str">
        <f t="shared" ca="1" si="210"/>
        <v>N</v>
      </c>
      <c r="D1202" s="826" t="s">
        <v>1357</v>
      </c>
      <c r="E1202" s="826" t="s">
        <v>1516</v>
      </c>
      <c r="F1202" s="1081"/>
      <c r="G1202" s="826"/>
      <c r="H1202" s="826"/>
      <c r="I1202" s="1274" t="str">
        <f t="shared" si="203"/>
        <v/>
      </c>
      <c r="J1202" s="1314" t="str">
        <f t="shared" si="208"/>
        <v/>
      </c>
      <c r="K1202" s="1314" t="str">
        <f t="shared" si="204"/>
        <v/>
      </c>
      <c r="L1202" s="826" t="s">
        <v>1621</v>
      </c>
      <c r="M1202" s="1329">
        <v>1185</v>
      </c>
      <c r="N1202" s="1314"/>
      <c r="O1202" s="1311"/>
      <c r="P1202" s="1311"/>
      <c r="Q1202" s="1311"/>
      <c r="R1202" s="1314" t="s">
        <v>1099</v>
      </c>
      <c r="S1202" s="1311"/>
      <c r="T1202" s="1311"/>
      <c r="U1202" s="1311"/>
      <c r="V1202" s="1311"/>
      <c r="W1202" s="1311"/>
      <c r="X1202" s="1311"/>
      <c r="Y1202" s="1311"/>
      <c r="Z1202" s="1311"/>
    </row>
    <row r="1203" spans="1:26" x14ac:dyDescent="0.25">
      <c r="A1203" s="850" t="s">
        <v>1481</v>
      </c>
      <c r="B1203" s="826" t="str">
        <f ca="1">_xlfn.CONCAT(IFERROR(SUBSTITUTE(ADDRESS(1,MATCH(A1203,INDIRECT("'"&amp;E1203&amp;"'"&amp;"!A" &amp; $O$1188 + 5 &amp; ":Z" &amp; $O$1188 + 5),0),4),1,""),""),$O$1188+ 8)</f>
        <v>J485</v>
      </c>
      <c r="C1203" s="826" t="str">
        <f t="shared" ca="1" si="210"/>
        <v>J</v>
      </c>
      <c r="D1203" s="826" t="s">
        <v>1357</v>
      </c>
      <c r="E1203" s="826" t="s">
        <v>1516</v>
      </c>
      <c r="F1203" s="1081"/>
      <c r="G1203" s="826"/>
      <c r="H1203" s="826"/>
      <c r="I1203" s="1274" t="str">
        <f t="shared" si="203"/>
        <v/>
      </c>
      <c r="J1203" s="1314" t="str">
        <f t="shared" si="208"/>
        <v/>
      </c>
      <c r="K1203" s="1314" t="str">
        <f t="shared" si="204"/>
        <v/>
      </c>
      <c r="L1203" s="826" t="s">
        <v>1481</v>
      </c>
      <c r="M1203" s="1329">
        <v>1186</v>
      </c>
      <c r="N1203" s="1314"/>
      <c r="O1203" s="1311"/>
      <c r="P1203" s="1311"/>
      <c r="Q1203" s="1311"/>
      <c r="R1203" s="1314" t="s">
        <v>1099</v>
      </c>
      <c r="S1203" s="1311"/>
      <c r="T1203" s="1311"/>
      <c r="U1203" s="1311"/>
      <c r="V1203" s="1311"/>
      <c r="W1203" s="1311"/>
      <c r="X1203" s="1311"/>
      <c r="Y1203" s="1311"/>
      <c r="Z1203" s="1311"/>
    </row>
    <row r="1204" spans="1:26" x14ac:dyDescent="0.25">
      <c r="A1204" s="850" t="s">
        <v>727</v>
      </c>
      <c r="B1204" s="826" t="str">
        <f ca="1">_xlfn.CONCAT(IFERROR(SUBSTITUTE(ADDRESS(1,MATCH(A1204,INDIRECT("'"&amp;E1204&amp;"'"&amp;"!A" &amp; $O$1188 + 5 &amp; ":Z" &amp; $O$1188 + 5),0),4),1,""),""),$O$1188+ 8)</f>
        <v>L485</v>
      </c>
      <c r="C1204" s="826" t="str">
        <f t="shared" ca="1" si="210"/>
        <v>L</v>
      </c>
      <c r="D1204" s="826" t="s">
        <v>1357</v>
      </c>
      <c r="E1204" s="826" t="s">
        <v>1516</v>
      </c>
      <c r="F1204" s="826"/>
      <c r="G1204" s="826"/>
      <c r="H1204" s="826"/>
      <c r="I1204" s="1274" t="str">
        <f t="shared" si="203"/>
        <v/>
      </c>
      <c r="J1204" s="1314" t="str">
        <f t="shared" si="208"/>
        <v/>
      </c>
      <c r="K1204" s="1314" t="str">
        <f t="shared" si="204"/>
        <v/>
      </c>
      <c r="L1204" s="826" t="s">
        <v>727</v>
      </c>
      <c r="M1204" s="1329">
        <v>1187</v>
      </c>
      <c r="N1204" s="1314"/>
      <c r="O1204" s="1311"/>
      <c r="P1204" s="1311"/>
      <c r="Q1204" s="1311"/>
      <c r="R1204" s="1314" t="s">
        <v>1099</v>
      </c>
      <c r="S1204" s="1311"/>
      <c r="T1204" s="1311"/>
      <c r="U1204" s="1311"/>
      <c r="V1204" s="1311"/>
      <c r="W1204" s="1311"/>
      <c r="X1204" s="1311"/>
      <c r="Y1204" s="1311"/>
      <c r="Z1204" s="1311"/>
    </row>
    <row r="1205" spans="1:26" x14ac:dyDescent="0.25">
      <c r="A1205" s="850" t="s">
        <v>1621</v>
      </c>
      <c r="B1205" s="826" t="str">
        <f ca="1">_xlfn.CONCAT(IFERROR(SUBSTITUTE(ADDRESS(1,MATCH(A1205,INDIRECT("'"&amp;E1205&amp;"'"&amp;"!A" &amp; $O$1188 + 5 &amp; ":Z" &amp; $O$1188 + 5),0),4),1,""),""),$O$1188+ 8)</f>
        <v>N485</v>
      </c>
      <c r="C1205" s="826" t="str">
        <f t="shared" ca="1" si="210"/>
        <v>N</v>
      </c>
      <c r="D1205" s="826" t="s">
        <v>1357</v>
      </c>
      <c r="E1205" s="826" t="s">
        <v>1516</v>
      </c>
      <c r="F1205" s="826"/>
      <c r="G1205" s="826"/>
      <c r="H1205" s="826"/>
      <c r="I1205" s="1274" t="str">
        <f t="shared" si="203"/>
        <v/>
      </c>
      <c r="J1205" s="1314" t="str">
        <f t="shared" si="208"/>
        <v/>
      </c>
      <c r="K1205" s="1314" t="str">
        <f t="shared" si="204"/>
        <v/>
      </c>
      <c r="L1205" s="826" t="s">
        <v>1621</v>
      </c>
      <c r="M1205" s="1329">
        <v>1188</v>
      </c>
      <c r="N1205" s="1314"/>
      <c r="O1205" s="1311"/>
      <c r="P1205" s="1311"/>
      <c r="Q1205" s="1311"/>
      <c r="R1205" s="1314" t="s">
        <v>1099</v>
      </c>
      <c r="S1205" s="1311"/>
      <c r="T1205" s="1311"/>
      <c r="U1205" s="1311"/>
      <c r="V1205" s="1311"/>
      <c r="W1205" s="1311"/>
      <c r="X1205" s="1311"/>
      <c r="Y1205" s="1311"/>
      <c r="Z1205" s="1311"/>
    </row>
    <row r="1206" spans="1:26" x14ac:dyDescent="0.25">
      <c r="A1206" s="850" t="s">
        <v>1481</v>
      </c>
      <c r="B1206" s="826" t="str">
        <f ca="1">_xlfn.CONCAT(IFERROR(SUBSTITUTE(ADDRESS(1,MATCH(A1206,INDIRECT("'"&amp;E1206&amp;"'"&amp;"!A" &amp; $O$1188 + 5 &amp; ":Z" &amp; $O$1188 + 5),0),4),1,""),""),$O$1188+ 9)</f>
        <v>J486</v>
      </c>
      <c r="C1206" s="826" t="str">
        <f t="shared" ca="1" si="210"/>
        <v>J</v>
      </c>
      <c r="D1206" s="826" t="s">
        <v>1357</v>
      </c>
      <c r="E1206" s="826" t="s">
        <v>1516</v>
      </c>
      <c r="F1206" s="826"/>
      <c r="G1206" s="826"/>
      <c r="H1206" s="826"/>
      <c r="I1206" s="1274" t="str">
        <f t="shared" si="203"/>
        <v/>
      </c>
      <c r="J1206" s="1314" t="str">
        <f t="shared" si="208"/>
        <v/>
      </c>
      <c r="K1206" s="1314" t="str">
        <f t="shared" si="204"/>
        <v/>
      </c>
      <c r="L1206" s="826" t="s">
        <v>1481</v>
      </c>
      <c r="M1206" s="1329">
        <v>1189</v>
      </c>
      <c r="N1206" s="1314"/>
      <c r="O1206" s="1311"/>
      <c r="P1206" s="1311"/>
      <c r="Q1206" s="1311"/>
      <c r="R1206" s="1314" t="s">
        <v>1099</v>
      </c>
      <c r="S1206" s="1311"/>
      <c r="T1206" s="1311"/>
      <c r="U1206" s="1311"/>
      <c r="V1206" s="1311"/>
      <c r="W1206" s="1311"/>
      <c r="X1206" s="1311"/>
      <c r="Y1206" s="1311"/>
      <c r="Z1206" s="1311"/>
    </row>
    <row r="1207" spans="1:26" x14ac:dyDescent="0.25">
      <c r="A1207" s="850" t="s">
        <v>727</v>
      </c>
      <c r="B1207" s="826" t="str">
        <f ca="1">_xlfn.CONCAT(IFERROR(SUBSTITUTE(ADDRESS(1,MATCH(A1207,INDIRECT("'"&amp;E1207&amp;"'"&amp;"!A" &amp; $O$1188 + 5 &amp; ":Z" &amp; $O$1188 + 5),0),4),1,""),""),$O$1188+ 9)</f>
        <v>L486</v>
      </c>
      <c r="C1207" s="826" t="str">
        <f t="shared" ca="1" si="210"/>
        <v>L</v>
      </c>
      <c r="D1207" s="826" t="s">
        <v>1357</v>
      </c>
      <c r="E1207" s="826" t="s">
        <v>1516</v>
      </c>
      <c r="F1207" s="826"/>
      <c r="G1207" s="826"/>
      <c r="H1207" s="826"/>
      <c r="I1207" s="1274" t="str">
        <f t="shared" si="203"/>
        <v/>
      </c>
      <c r="J1207" s="1314" t="str">
        <f t="shared" si="208"/>
        <v/>
      </c>
      <c r="K1207" s="1314" t="str">
        <f t="shared" si="204"/>
        <v/>
      </c>
      <c r="L1207" s="826" t="s">
        <v>727</v>
      </c>
      <c r="M1207" s="1329">
        <v>1190</v>
      </c>
      <c r="N1207" s="1314"/>
      <c r="O1207" s="1311"/>
      <c r="P1207" s="1311"/>
      <c r="Q1207" s="1311"/>
      <c r="R1207" s="1314" t="s">
        <v>1099</v>
      </c>
      <c r="S1207" s="1311"/>
      <c r="T1207" s="1311"/>
      <c r="U1207" s="1311"/>
      <c r="V1207" s="1311"/>
      <c r="W1207" s="1311"/>
      <c r="X1207" s="1311"/>
      <c r="Y1207" s="1311"/>
      <c r="Z1207" s="1311"/>
    </row>
    <row r="1208" spans="1:26" x14ac:dyDescent="0.25">
      <c r="A1208" s="850" t="s">
        <v>1621</v>
      </c>
      <c r="B1208" s="826" t="str">
        <f ca="1">_xlfn.CONCAT(IFERROR(SUBSTITUTE(ADDRESS(1,MATCH(A1208,INDIRECT("'"&amp;E1208&amp;"'"&amp;"!A" &amp; $O$1188 + 5 &amp; ":Z" &amp; $O$1188 + 5),0),4),1,""),""),$O$1188+ 9)</f>
        <v>N486</v>
      </c>
      <c r="C1208" s="826" t="str">
        <f t="shared" ca="1" si="210"/>
        <v>N</v>
      </c>
      <c r="D1208" s="826" t="s">
        <v>1357</v>
      </c>
      <c r="E1208" s="826" t="s">
        <v>1516</v>
      </c>
      <c r="F1208" s="826"/>
      <c r="G1208" s="826"/>
      <c r="H1208" s="826"/>
      <c r="I1208" s="1274" t="str">
        <f t="shared" si="203"/>
        <v/>
      </c>
      <c r="J1208" s="1314" t="str">
        <f t="shared" si="208"/>
        <v/>
      </c>
      <c r="K1208" s="1314" t="str">
        <f t="shared" si="204"/>
        <v/>
      </c>
      <c r="L1208" s="826" t="s">
        <v>1621</v>
      </c>
      <c r="M1208" s="1329">
        <v>1191</v>
      </c>
      <c r="N1208" s="1314"/>
      <c r="O1208" s="1311"/>
      <c r="P1208" s="1311"/>
      <c r="Q1208" s="1311"/>
      <c r="R1208" s="1314" t="s">
        <v>1099</v>
      </c>
      <c r="S1208" s="1311"/>
      <c r="T1208" s="1311"/>
      <c r="U1208" s="1311"/>
      <c r="V1208" s="1311"/>
      <c r="W1208" s="1311"/>
      <c r="X1208" s="1311"/>
      <c r="Y1208" s="1311"/>
      <c r="Z1208" s="1311"/>
    </row>
    <row r="1209" spans="1:26" x14ac:dyDescent="0.25">
      <c r="A1209" s="850" t="s">
        <v>1481</v>
      </c>
      <c r="B1209" s="826" t="str">
        <f ca="1">_xlfn.CONCAT(IFERROR(SUBSTITUTE(ADDRESS(1,MATCH(A1209,INDIRECT("'"&amp;E1209&amp;"'"&amp;"!A" &amp; $O$1188 + 5 &amp; ":Z" &amp; $O$1188 + 5),0),4),1,""),""),$O$1188+ 10)</f>
        <v>J487</v>
      </c>
      <c r="C1209" s="826" t="str">
        <f t="shared" ca="1" si="210"/>
        <v>J</v>
      </c>
      <c r="D1209" s="826" t="s">
        <v>1357</v>
      </c>
      <c r="E1209" s="826" t="s">
        <v>1516</v>
      </c>
      <c r="F1209" s="826"/>
      <c r="G1209" s="826"/>
      <c r="H1209" s="826"/>
      <c r="I1209" s="1274" t="str">
        <f t="shared" si="203"/>
        <v/>
      </c>
      <c r="J1209" s="1314" t="str">
        <f t="shared" si="208"/>
        <v/>
      </c>
      <c r="K1209" s="1314" t="str">
        <f t="shared" si="204"/>
        <v/>
      </c>
      <c r="L1209" s="826" t="s">
        <v>1481</v>
      </c>
      <c r="M1209" s="1329">
        <v>1192</v>
      </c>
      <c r="N1209" s="1314"/>
      <c r="O1209" s="1311"/>
      <c r="P1209" s="1311"/>
      <c r="Q1209" s="1311"/>
      <c r="R1209" s="1314" t="s">
        <v>1099</v>
      </c>
      <c r="S1209" s="1311"/>
      <c r="T1209" s="1311"/>
      <c r="U1209" s="1311"/>
      <c r="V1209" s="1311"/>
      <c r="W1209" s="1311"/>
      <c r="X1209" s="1311"/>
      <c r="Y1209" s="1311"/>
      <c r="Z1209" s="1311"/>
    </row>
    <row r="1210" spans="1:26" x14ac:dyDescent="0.25">
      <c r="A1210" s="850" t="s">
        <v>727</v>
      </c>
      <c r="B1210" s="826" t="str">
        <f ca="1">_xlfn.CONCAT(IFERROR(SUBSTITUTE(ADDRESS(1,MATCH(A1210,INDIRECT("'"&amp;E1210&amp;"'"&amp;"!A" &amp; $O$1188 + 5 &amp; ":Z" &amp; $O$1188 + 5),0),4),1,""),""),$O$1188+ 10)</f>
        <v>L487</v>
      </c>
      <c r="C1210" s="826" t="str">
        <f t="shared" ca="1" si="210"/>
        <v>L</v>
      </c>
      <c r="D1210" s="826" t="s">
        <v>1357</v>
      </c>
      <c r="E1210" s="826" t="s">
        <v>1516</v>
      </c>
      <c r="F1210" s="826"/>
      <c r="G1210" s="826"/>
      <c r="H1210" s="826"/>
      <c r="I1210" s="1274" t="str">
        <f t="shared" si="203"/>
        <v/>
      </c>
      <c r="J1210" s="1314" t="str">
        <f t="shared" si="208"/>
        <v/>
      </c>
      <c r="K1210" s="1314" t="str">
        <f t="shared" si="204"/>
        <v/>
      </c>
      <c r="L1210" s="826" t="s">
        <v>727</v>
      </c>
      <c r="M1210" s="1329">
        <v>1193</v>
      </c>
      <c r="N1210" s="1314"/>
      <c r="O1210" s="1311"/>
      <c r="P1210" s="1311"/>
      <c r="Q1210" s="1311"/>
      <c r="R1210" s="1314" t="s">
        <v>1099</v>
      </c>
      <c r="S1210" s="1311"/>
      <c r="T1210" s="1311"/>
      <c r="U1210" s="1311"/>
      <c r="V1210" s="1311"/>
      <c r="W1210" s="1311"/>
      <c r="X1210" s="1311"/>
      <c r="Y1210" s="1311"/>
      <c r="Z1210" s="1311"/>
    </row>
    <row r="1211" spans="1:26" x14ac:dyDescent="0.25">
      <c r="A1211" s="850" t="s">
        <v>1621</v>
      </c>
      <c r="B1211" s="826" t="str">
        <f ca="1">_xlfn.CONCAT(IFERROR(SUBSTITUTE(ADDRESS(1,MATCH(A1211,INDIRECT("'"&amp;E1211&amp;"'"&amp;"!A" &amp; $O$1188 + 5 &amp; ":Z" &amp; $O$1188 + 5),0),4),1,""),""),$O$1188+ 10)</f>
        <v>N487</v>
      </c>
      <c r="C1211" s="826" t="str">
        <f t="shared" ca="1" si="210"/>
        <v>N</v>
      </c>
      <c r="D1211" s="826" t="s">
        <v>1357</v>
      </c>
      <c r="E1211" s="826" t="s">
        <v>1516</v>
      </c>
      <c r="F1211" s="826"/>
      <c r="G1211" s="826"/>
      <c r="H1211" s="826"/>
      <c r="I1211" s="1274" t="str">
        <f t="shared" si="203"/>
        <v/>
      </c>
      <c r="J1211" s="1314" t="str">
        <f t="shared" si="208"/>
        <v/>
      </c>
      <c r="K1211" s="1314" t="str">
        <f t="shared" si="204"/>
        <v/>
      </c>
      <c r="L1211" s="826" t="s">
        <v>1621</v>
      </c>
      <c r="M1211" s="1329">
        <v>1194</v>
      </c>
      <c r="N1211" s="1314"/>
      <c r="O1211" s="1311"/>
      <c r="P1211" s="1311"/>
      <c r="Q1211" s="1311"/>
      <c r="R1211" s="1314" t="s">
        <v>1099</v>
      </c>
      <c r="S1211" s="1311"/>
      <c r="T1211" s="1311"/>
      <c r="U1211" s="1311"/>
      <c r="V1211" s="1311"/>
      <c r="W1211" s="1311"/>
      <c r="X1211" s="1311"/>
      <c r="Y1211" s="1311"/>
      <c r="Z1211" s="1311"/>
    </row>
    <row r="1212" spans="1:26" x14ac:dyDescent="0.25">
      <c r="A1212" s="847" t="s">
        <v>1491</v>
      </c>
      <c r="B1212" s="826" t="str">
        <f ca="1">IFERROR(_xlfn.CONCAT("C",MATCH(A1212,INDIRECT("'"&amp;E1212&amp;"'!C"&amp;$O$1213&amp;":C"&amp;$O$1215),0)+$O$1213-1),"")</f>
        <v>C495</v>
      </c>
      <c r="C1212" s="826" t="str">
        <f ca="1">IFERROR(_xlfn.CONCAT("D",MATCH(A1212,INDIRECT("'"&amp;E1212&amp;"'!C"&amp;$O$1213&amp;":C"&amp;$O$1215),0)+$O$1213-1),"")</f>
        <v>D495</v>
      </c>
      <c r="D1212" s="826" t="s">
        <v>1350</v>
      </c>
      <c r="E1212" s="826" t="s">
        <v>1516</v>
      </c>
      <c r="F1212" s="1314" t="s">
        <v>1491</v>
      </c>
      <c r="G1212" s="1314" t="str">
        <f>IF(T1212&lt;&gt;"","A","")</f>
        <v/>
      </c>
      <c r="H1212" s="1314" t="s">
        <v>1990</v>
      </c>
      <c r="I1212" s="1274" t="str">
        <f t="shared" si="203"/>
        <v/>
      </c>
      <c r="J1212" s="1314"/>
      <c r="K1212" s="1314" t="str">
        <f t="shared" si="204"/>
        <v/>
      </c>
      <c r="L1212" s="826" t="s">
        <v>1491</v>
      </c>
      <c r="M1212" s="1329">
        <v>1195</v>
      </c>
      <c r="N1212" s="1314"/>
      <c r="O1212" s="1311" t="s">
        <v>725</v>
      </c>
      <c r="P1212" s="18"/>
      <c r="Q1212" s="1311"/>
      <c r="R1212" s="1314" t="s">
        <v>1155</v>
      </c>
      <c r="S1212" s="1311"/>
      <c r="T1212" s="1314" t="str">
        <f>IF(Q$1213="Yes",35,"")</f>
        <v/>
      </c>
      <c r="U1212" s="1311"/>
      <c r="V1212" s="1311"/>
      <c r="W1212" s="1311"/>
      <c r="X1212" s="1311"/>
      <c r="Y1212" s="1311"/>
      <c r="Z1212" s="1311"/>
    </row>
    <row r="1213" spans="1:26" x14ac:dyDescent="0.25">
      <c r="A1213" s="847" t="s">
        <v>1705</v>
      </c>
      <c r="B1213" s="826" t="str">
        <f ca="1">_xlfn.CONCAT(IFERROR(SUBSTITUTE(ADDRESS(1,MATCH(A1213,INDIRECT("'"&amp;E1213&amp;"'"&amp;"!A" &amp; $O$1213 + 9 &amp; ":Z" &amp; $O$1213 + 9),0),4),1,""),""),$O$1213+ 9)</f>
        <v>T500</v>
      </c>
      <c r="C1213" s="826" t="str">
        <f ca="1">_xlfn.CONCAT(IFERROR(SUBSTITUTE(ADDRESS(1,MATCH(A1213,INDIRECT("'"&amp;E1213&amp;"'"&amp;"!A" &amp; $O$1213 + 9 &amp; ":Z" &amp; $O$1213 + 9),0),4),1,""),""),$O$1213+ 10)</f>
        <v>T501</v>
      </c>
      <c r="D1213" s="826" t="s">
        <v>1350</v>
      </c>
      <c r="E1213" s="826" t="s">
        <v>1516</v>
      </c>
      <c r="F1213" s="1314"/>
      <c r="G1213" s="1314"/>
      <c r="H1213" s="1314"/>
      <c r="I1213" s="1274" t="str">
        <f t="shared" si="203"/>
        <v/>
      </c>
      <c r="J1213" s="1314" t="str">
        <f t="shared" ref="J1213:J1218" si="211">IF(M1213&lt;&gt;"",IF($Q$1213="Yes",Q$1&amp;M1213,""))</f>
        <v/>
      </c>
      <c r="K1213" s="1314" t="str">
        <f t="shared" si="204"/>
        <v/>
      </c>
      <c r="L1213" s="826" t="s">
        <v>1705</v>
      </c>
      <c r="M1213" s="1329">
        <v>1196</v>
      </c>
      <c r="N1213" s="1314"/>
      <c r="O1213" s="1311">
        <f>'Configurable Tab'!H37</f>
        <v>491</v>
      </c>
      <c r="P1213" s="18" t="str">
        <f>'Configurable Tab'!J37</f>
        <v>No</v>
      </c>
      <c r="Q1213" s="1351" t="s">
        <v>648</v>
      </c>
      <c r="R1213" s="1314" t="s">
        <v>1155</v>
      </c>
      <c r="S1213" s="1311"/>
      <c r="T1213" s="1314" t="str">
        <f t="shared" ref="T1213:T1217" si="212">IF(Q$1213="Yes",35,"")</f>
        <v/>
      </c>
      <c r="U1213" s="1311"/>
      <c r="V1213" s="1311"/>
      <c r="W1213" s="1311"/>
      <c r="X1213" s="1311"/>
      <c r="Y1213" s="1311"/>
      <c r="Z1213" s="1311"/>
    </row>
    <row r="1214" spans="1:26" x14ac:dyDescent="0.25">
      <c r="A1214" s="847" t="s">
        <v>1383</v>
      </c>
      <c r="B1214" s="826" t="str">
        <f ca="1">IFERROR(_xlfn.CONCAT("C",MATCH(A1214,INDIRECT("'"&amp;E1214&amp;"'!C"&amp;$O$1213&amp;":C"&amp;$O$1215),0)+$O$1213-1),"")</f>
        <v>C493</v>
      </c>
      <c r="C1214" s="826" t="str">
        <f ca="1">IFERROR(_xlfn.CONCAT("D",MATCH(A1214,INDIRECT("'"&amp;E1214&amp;"'!C"&amp;$O$1213&amp;":C"&amp;$O$1215),0)+$O$1213-1),"")</f>
        <v>D493</v>
      </c>
      <c r="D1214" s="826" t="s">
        <v>1350</v>
      </c>
      <c r="E1214" s="826" t="s">
        <v>1516</v>
      </c>
      <c r="F1214" s="1314" t="s">
        <v>1383</v>
      </c>
      <c r="G1214" s="1314" t="str">
        <f>IF(T1214&lt;&gt;"","B","")</f>
        <v/>
      </c>
      <c r="H1214" s="1314" t="s">
        <v>1990</v>
      </c>
      <c r="I1214" s="1274" t="str">
        <f t="shared" si="203"/>
        <v/>
      </c>
      <c r="J1214" s="1314"/>
      <c r="K1214" s="1314" t="str">
        <f t="shared" si="204"/>
        <v/>
      </c>
      <c r="L1214" s="826" t="s">
        <v>1383</v>
      </c>
      <c r="M1214" s="1329">
        <v>1197</v>
      </c>
      <c r="N1214" s="1314"/>
      <c r="O1214" s="1311" t="s">
        <v>726</v>
      </c>
      <c r="P1214" s="1311"/>
      <c r="Q1214" s="1311"/>
      <c r="R1214" s="1314" t="s">
        <v>1155</v>
      </c>
      <c r="S1214" s="1311"/>
      <c r="T1214" s="1314" t="str">
        <f t="shared" si="212"/>
        <v/>
      </c>
      <c r="U1214" s="1311"/>
      <c r="V1214" s="1311"/>
      <c r="W1214" s="1311"/>
      <c r="X1214" s="1311"/>
      <c r="Y1214" s="1311"/>
      <c r="Z1214" s="1311"/>
    </row>
    <row r="1215" spans="1:26" x14ac:dyDescent="0.25">
      <c r="A1215" s="847" t="s">
        <v>1381</v>
      </c>
      <c r="B1215" s="826" t="str">
        <f ca="1">_xlfn.CONCAT(IFERROR(SUBSTITUTE(ADDRESS(1,MATCH(A1215,INDIRECT("'"&amp;E1215&amp;"'"&amp;"!A" &amp; $O$1213 + 2 &amp; ":Z" &amp; $O$1213 + 2),0),4),1,""),""),$O$1213+ 2)</f>
        <v>J493</v>
      </c>
      <c r="C1215" s="826" t="str">
        <f ca="1">_xlfn.CONCAT(IFERROR(SUBSTITUTE(ADDRESS(1,MATCH(A1215,INDIRECT("'"&amp;E1215&amp;"'"&amp;"!A" &amp; $O$1213 + 2 &amp; ":Z" &amp; $O$1213 + 2),0),4),1,""),""),$O$1213+ 3)</f>
        <v>J494</v>
      </c>
      <c r="D1215" s="826" t="s">
        <v>1350</v>
      </c>
      <c r="E1215" s="826" t="s">
        <v>1516</v>
      </c>
      <c r="F1215" s="1314" t="s">
        <v>1992</v>
      </c>
      <c r="G1215" s="1314" t="str">
        <f>IF(T1215&lt;&gt;"","I","")</f>
        <v/>
      </c>
      <c r="H1215" s="1314" t="s">
        <v>1990</v>
      </c>
      <c r="I1215" s="1274" t="str">
        <f t="shared" si="203"/>
        <v/>
      </c>
      <c r="J1215" s="1314" t="str">
        <f t="shared" si="211"/>
        <v/>
      </c>
      <c r="K1215" s="1314" t="str">
        <f t="shared" si="204"/>
        <v/>
      </c>
      <c r="L1215" s="826" t="s">
        <v>1381</v>
      </c>
      <c r="M1215" s="1329">
        <v>1198</v>
      </c>
      <c r="N1215" s="1314"/>
      <c r="O1215" s="1311">
        <f>'Configurable Tab'!I37</f>
        <v>502</v>
      </c>
      <c r="P1215" s="1311"/>
      <c r="Q1215" s="1311" t="s">
        <v>482</v>
      </c>
      <c r="R1215" s="1314" t="s">
        <v>1155</v>
      </c>
      <c r="S1215" s="1311"/>
      <c r="T1215" s="1314" t="str">
        <f t="shared" si="212"/>
        <v/>
      </c>
      <c r="U1215" s="1311"/>
      <c r="V1215" s="1311"/>
      <c r="W1215" s="1311"/>
      <c r="X1215" s="1311"/>
      <c r="Y1215" s="1311"/>
      <c r="Z1215" s="1311"/>
    </row>
    <row r="1216" spans="1:26" x14ac:dyDescent="0.25">
      <c r="A1216" s="847" t="s">
        <v>1385</v>
      </c>
      <c r="B1216" s="826" t="str">
        <f ca="1">IFERROR(_xlfn.CONCAT("C",MATCH(A1216,INDIRECT("'"&amp;E1216&amp;"'!C"&amp;$O$1213&amp;":C"&amp;$O$1215),0)+$O$1213-1),"")</f>
        <v>C497</v>
      </c>
      <c r="C1216" s="826" t="str">
        <f ca="1">IFERROR(_xlfn.CONCAT("D",MATCH(A1216,INDIRECT("'"&amp;E1216&amp;"'!C"&amp;$O$1213&amp;":C"&amp;$O$1215),0)+$O$1213-1),"")</f>
        <v>D497</v>
      </c>
      <c r="D1216" s="826" t="s">
        <v>1350</v>
      </c>
      <c r="E1216" s="826" t="s">
        <v>1516</v>
      </c>
      <c r="F1216" s="1314" t="s">
        <v>1385</v>
      </c>
      <c r="G1216" s="1314" t="str">
        <f>IF(T1216&lt;&gt;"","C","")</f>
        <v/>
      </c>
      <c r="H1216" s="1314" t="s">
        <v>1990</v>
      </c>
      <c r="I1216" s="1274" t="str">
        <f t="shared" si="203"/>
        <v/>
      </c>
      <c r="J1216" s="1314"/>
      <c r="K1216" s="1314" t="str">
        <f t="shared" si="204"/>
        <v/>
      </c>
      <c r="L1216" s="826" t="s">
        <v>1385</v>
      </c>
      <c r="M1216" s="1329">
        <v>1199</v>
      </c>
      <c r="N1216" s="1314"/>
      <c r="O1216" s="1311" t="s">
        <v>1662</v>
      </c>
      <c r="P1216" s="1311"/>
      <c r="Q1216" s="1311"/>
      <c r="R1216" s="1314" t="s">
        <v>1155</v>
      </c>
      <c r="S1216" s="1311"/>
      <c r="T1216" s="1314" t="str">
        <f t="shared" si="212"/>
        <v/>
      </c>
      <c r="U1216" s="1311"/>
      <c r="V1216" s="1311"/>
      <c r="W1216" s="1311"/>
      <c r="X1216" s="1311"/>
      <c r="Y1216" s="1311"/>
      <c r="Z1216" s="1311"/>
    </row>
    <row r="1217" spans="1:26" x14ac:dyDescent="0.25">
      <c r="A1217" s="847" t="s">
        <v>1386</v>
      </c>
      <c r="B1217" s="826" t="str">
        <f ca="1">IFERROR(_xlfn.CONCAT("C",MATCH(A1217,INDIRECT("'"&amp;E1217&amp;"'!C"&amp;$O$1213&amp;":C"&amp;$O$1215),0)+$O$1213-1),"")</f>
        <v>C499</v>
      </c>
      <c r="C1217" s="826" t="str">
        <f ca="1">IFERROR(_xlfn.CONCAT("D",MATCH(A1217,INDIRECT("'"&amp;E1217&amp;"'!C"&amp;$O$1213&amp;":C"&amp;$O$1215),0)+$O$1213-1),"")</f>
        <v>D499</v>
      </c>
      <c r="D1217" s="826" t="s">
        <v>1350</v>
      </c>
      <c r="E1217" s="826" t="s">
        <v>1516</v>
      </c>
      <c r="F1217" s="1314" t="s">
        <v>1386</v>
      </c>
      <c r="G1217" s="1314" t="str">
        <f>IF(T1217&lt;&gt;"","D","")</f>
        <v/>
      </c>
      <c r="H1217" s="1314" t="s">
        <v>1990</v>
      </c>
      <c r="I1217" s="1274" t="str">
        <f t="shared" si="203"/>
        <v/>
      </c>
      <c r="J1217" s="1314"/>
      <c r="K1217" s="1314" t="str">
        <f t="shared" si="204"/>
        <v/>
      </c>
      <c r="L1217" s="826" t="s">
        <v>1386</v>
      </c>
      <c r="M1217" s="1329">
        <v>1200</v>
      </c>
      <c r="N1217" s="1314"/>
      <c r="O1217" s="1311"/>
      <c r="P1217" s="1311"/>
      <c r="Q1217" s="1311"/>
      <c r="R1217" s="1314" t="s">
        <v>1155</v>
      </c>
      <c r="S1217" s="1311"/>
      <c r="T1217" s="1314" t="str">
        <f t="shared" si="212"/>
        <v/>
      </c>
      <c r="U1217" s="1311"/>
      <c r="V1217" s="1311"/>
      <c r="W1217" s="1311"/>
      <c r="X1217" s="1311"/>
      <c r="Y1217" s="1311"/>
      <c r="Z1217" s="1311"/>
    </row>
    <row r="1218" spans="1:26" x14ac:dyDescent="0.25">
      <c r="A1218" s="847" t="s">
        <v>1495</v>
      </c>
      <c r="B1218" s="826" t="str">
        <f ca="1">IFERROR(_xlfn.CONCAT("C",MATCH(A1218,INDIRECT("'"&amp;E1218&amp;"'!C"&amp;$O$1213&amp;":C"&amp;$O$1215),0)+$O$1213-1),"")</f>
        <v>C501</v>
      </c>
      <c r="C1218" s="826" t="str">
        <f ca="1">IFERROR(_xlfn.CONCAT("D",MATCH(A1218,INDIRECT("'"&amp;E1218&amp;"'!C"&amp;$O$1213&amp;":C"&amp;$O$1215),0)+$O$1213-1),"")</f>
        <v>D501</v>
      </c>
      <c r="D1218" s="826" t="s">
        <v>1350</v>
      </c>
      <c r="E1218" s="826" t="s">
        <v>1516</v>
      </c>
      <c r="F1218" s="1314" t="s">
        <v>1495</v>
      </c>
      <c r="G1218" s="1314" t="str">
        <f>IF(T1218&lt;&gt;"","AN","")</f>
        <v/>
      </c>
      <c r="H1218" s="1314" t="s">
        <v>1990</v>
      </c>
      <c r="I1218" s="1274" t="str">
        <f t="shared" si="203"/>
        <v/>
      </c>
      <c r="J1218" s="1314" t="str">
        <f t="shared" si="211"/>
        <v/>
      </c>
      <c r="K1218" s="1314" t="str">
        <f t="shared" si="204"/>
        <v/>
      </c>
      <c r="L1218" s="826" t="s">
        <v>1495</v>
      </c>
      <c r="M1218" s="1329">
        <v>1201</v>
      </c>
      <c r="N1218" s="1314"/>
      <c r="O1218" s="18"/>
      <c r="P1218" s="1317" t="str" cm="1">
        <f t="array" aca="1" ref="P1218" ca="1">_xlfn.CONCAT("F",RIGHT(B1218, LEN(B1218) - MAX(IF(ISNUMBER(MID(B1218, ROW(INDIRECT("1:"&amp;LEN(B1218))), 1) *1)=FALSE, ROW(INDIRECT("1:"&amp;LEN(B1218))), 0))))</f>
        <v>F501</v>
      </c>
      <c r="Q1218" s="1314" t="str" cm="1">
        <f t="array" aca="1" ref="Q1218" ca="1">_xlfn.CONCAT("E",RIGHT(C1218, LEN(C1218) - MAX(IF(ISNUMBER(MID(C1218, ROW(INDIRECT("1:"&amp;LEN(C1218))), 1) *1)=FALSE, ROW(INDIRECT("1:"&amp;LEN(C1218))), 0))))</f>
        <v>E501</v>
      </c>
      <c r="R1218" s="1314" t="s">
        <v>1155</v>
      </c>
      <c r="S1218" s="1311"/>
      <c r="T1218" s="1314" t="str">
        <f>IF(Q$1213="Yes",35,"")</f>
        <v/>
      </c>
      <c r="U1218" s="1311"/>
      <c r="V1218" s="1311"/>
      <c r="W1218" s="1311"/>
      <c r="X1218" s="1311"/>
      <c r="Y1218" s="1311"/>
      <c r="Z1218" s="1311"/>
    </row>
    <row r="1219" spans="1:26" x14ac:dyDescent="0.25">
      <c r="A1219" s="847" t="s">
        <v>1389</v>
      </c>
      <c r="B1219" s="826" t="str">
        <f ca="1">_xlfn.CONCAT(IFERROR(SUBSTITUTE(ADDRESS(1,MATCH(A1219,INDIRECT("'"&amp;E1219&amp;"'"&amp;"!A" &amp; $O$1213 + 5 &amp; ":Z" &amp; $O$1213 + 5),0),4),1,""),""),$O$1213+ 5)</f>
        <v>L496</v>
      </c>
      <c r="C1219" s="826" t="str">
        <f ca="1">_xlfn.CONCAT(IFERROR(SUBSTITUTE(ADDRESS(1,MATCH(A1219,INDIRECT("'"&amp;E1219&amp;"'"&amp;"!A" &amp; $O$1213 + 5 &amp; ":Z" &amp; $O$1213 + 5),0),4),1,""),""),$O$1213+ 6)</f>
        <v>L497</v>
      </c>
      <c r="D1219" s="826" t="s">
        <v>1350</v>
      </c>
      <c r="E1219" s="826" t="s">
        <v>1516</v>
      </c>
      <c r="F1219" s="1314" t="s">
        <v>1997</v>
      </c>
      <c r="G1219" s="1314" t="str">
        <f>IF(T1219&lt;&gt;"","T","")</f>
        <v/>
      </c>
      <c r="H1219" s="1314" t="s">
        <v>1990</v>
      </c>
      <c r="I1219" s="1274" t="str">
        <f t="shared" si="203"/>
        <v/>
      </c>
      <c r="J1219" s="1314"/>
      <c r="K1219" s="1314" t="str">
        <f t="shared" si="204"/>
        <v/>
      </c>
      <c r="L1219" s="826" t="s">
        <v>1389</v>
      </c>
      <c r="M1219" s="1329">
        <v>1202</v>
      </c>
      <c r="N1219" s="1314"/>
      <c r="O1219" s="1311"/>
      <c r="P1219" s="1311"/>
      <c r="Q1219" s="1311"/>
      <c r="R1219" s="1314" t="s">
        <v>1155</v>
      </c>
      <c r="S1219" s="1311"/>
      <c r="T1219" s="1314" t="str">
        <f>IF(Q$1213="Yes",35,"")</f>
        <v/>
      </c>
      <c r="U1219" s="1311"/>
      <c r="V1219" s="1311"/>
      <c r="W1219" s="1311"/>
      <c r="X1219" s="1311"/>
      <c r="Y1219" s="1311"/>
      <c r="Z1219" s="1311"/>
    </row>
    <row r="1220" spans="1:26" x14ac:dyDescent="0.25">
      <c r="A1220" s="1314" t="s">
        <v>1773</v>
      </c>
      <c r="B1220" s="1274" t="str">
        <f>IFERROR(_xlfn.CONCAT("C",MATCH(A1220,Welcome!C$1:C$60,0)),"")</f>
        <v>C12</v>
      </c>
      <c r="C1220" s="1274" t="str">
        <f>IFERROR(_xlfn.CONCAT("D",MATCH(A1220,Welcome!C$1:C$61,0)),"")</f>
        <v>D12</v>
      </c>
      <c r="D1220" s="791" t="s">
        <v>1350</v>
      </c>
      <c r="E1220" s="791" t="s">
        <v>1374</v>
      </c>
      <c r="F1220" s="1314"/>
      <c r="G1220" s="1314"/>
      <c r="H1220" s="1314"/>
      <c r="I1220" s="1314" t="s">
        <v>1773</v>
      </c>
      <c r="J1220" s="1314" t="str">
        <f>Q$1&amp;M159</f>
        <v>F8</v>
      </c>
      <c r="K1220" s="1314" t="str">
        <f t="shared" ref="K1220:K1283" si="213">IF(J1220&lt;&gt;"",E1220,"")</f>
        <v>Welcome</v>
      </c>
      <c r="L1220" s="1314"/>
      <c r="M1220" s="1314"/>
      <c r="N1220" s="1314"/>
      <c r="O1220" s="1311"/>
      <c r="P1220" s="1311"/>
      <c r="Q1220" s="1311"/>
      <c r="R1220" s="1311"/>
      <c r="S1220" s="1311"/>
      <c r="T1220" s="1311"/>
      <c r="U1220" s="1311"/>
      <c r="V1220" s="1311"/>
      <c r="W1220" s="1311"/>
      <c r="X1220" s="1311"/>
      <c r="Y1220" s="1311"/>
      <c r="Z1220" s="1311"/>
    </row>
    <row r="1221" spans="1:26" x14ac:dyDescent="0.25">
      <c r="A1221" s="844" t="s">
        <v>1178</v>
      </c>
      <c r="B1221" s="791" t="str">
        <f ca="1">_xlfn.IFNA(_xlfn.CONCAT(SUBSTITUTE(ADDRESS(1,MATCH(A1221,INDIRECT("'"&amp;E1221&amp;"'"&amp;"!A5:Z5"),0),4),1,""),6),"")</f>
        <v>G6</v>
      </c>
      <c r="C1221" s="791" t="str">
        <f t="shared" ref="C1221:C1240" ca="1" si="214">_xlfn.IFNA(SUBSTITUTE(ADDRESS(1,MATCH(A1221,INDIRECT("'"&amp;E1221&amp;"'"&amp;"!A5:Z5"),0),4),1,""),"")</f>
        <v>G</v>
      </c>
      <c r="D1221" s="1314" t="s">
        <v>1357</v>
      </c>
      <c r="E1221" s="791" t="s">
        <v>870</v>
      </c>
      <c r="F1221" s="1314"/>
      <c r="G1221" s="1314"/>
      <c r="H1221" s="1314"/>
      <c r="I1221" s="1274" t="str">
        <f t="shared" ref="I1221:I1282" si="215">IF(J1221&lt;&gt;"",A1221,"")</f>
        <v>Shipping Location Number</v>
      </c>
      <c r="J1221" s="1314" t="str">
        <f>IFERROR(Q$1&amp;M167,"")</f>
        <v>F34</v>
      </c>
      <c r="K1221" s="1314" t="str">
        <f t="shared" si="213"/>
        <v>Customer Inputs</v>
      </c>
      <c r="L1221" s="1314"/>
      <c r="M1221" s="1314"/>
      <c r="N1221" s="1314"/>
      <c r="O1221" s="1311"/>
      <c r="P1221" s="1314" t="str">
        <f>IFERROR(VLOOKUP(Q$167,'Existing Customers'!$A:$F,1,FALSE),"")</f>
        <v/>
      </c>
      <c r="Q1221" s="1311"/>
      <c r="R1221" s="1311"/>
      <c r="S1221" s="1311"/>
      <c r="T1221" s="1311"/>
      <c r="U1221" s="1311"/>
      <c r="V1221" s="1311"/>
      <c r="W1221" s="1311"/>
      <c r="X1221" s="1311"/>
      <c r="Y1221" s="1311"/>
      <c r="Z1221" s="1311"/>
    </row>
    <row r="1222" spans="1:26" x14ac:dyDescent="0.25">
      <c r="A1222" s="842" t="s">
        <v>1178</v>
      </c>
      <c r="B1222" s="791" t="str">
        <f ca="1">_xlfn.IFNA(_xlfn.CONCAT(SUBSTITUTE(ADDRESS(1,MATCH(A1222,INDIRECT("'"&amp;E1222&amp;"'"&amp;"!A5:Z5"),0),4),1,""),7),"")</f>
        <v>G7</v>
      </c>
      <c r="C1222" s="791" t="str">
        <f t="shared" ca="1" si="214"/>
        <v>G</v>
      </c>
      <c r="D1222" s="1314" t="s">
        <v>1357</v>
      </c>
      <c r="E1222" s="791" t="s">
        <v>870</v>
      </c>
      <c r="F1222" s="1314"/>
      <c r="G1222" s="1314"/>
      <c r="H1222" s="1314"/>
      <c r="I1222" s="1274" t="str">
        <f t="shared" si="215"/>
        <v>Shipping Location Number</v>
      </c>
      <c r="J1222" s="1314" t="str">
        <f>IFERROR(Q$1&amp;M178,"")</f>
        <v>F55</v>
      </c>
      <c r="K1222" s="1314" t="str">
        <f t="shared" si="213"/>
        <v>Customer Inputs</v>
      </c>
      <c r="L1222" s="1314"/>
      <c r="M1222" s="1314"/>
      <c r="N1222" s="1314"/>
      <c r="O1222" s="1311"/>
      <c r="P1222" s="1314" t="str">
        <f>IFERROR(VLOOKUP(Q$178,'Existing Customers'!$A:$F,1,FALSE),"")</f>
        <v/>
      </c>
      <c r="Q1222" s="1311"/>
      <c r="R1222" s="1311"/>
      <c r="S1222" s="1311"/>
      <c r="T1222" s="1311"/>
      <c r="U1222" s="1311"/>
      <c r="V1222" s="1311"/>
      <c r="W1222" s="1311"/>
      <c r="X1222" s="1311"/>
      <c r="Y1222" s="1311"/>
      <c r="Z1222" s="1311"/>
    </row>
    <row r="1223" spans="1:26" x14ac:dyDescent="0.25">
      <c r="A1223" s="844" t="s">
        <v>1178</v>
      </c>
      <c r="B1223" s="791" t="str">
        <f ca="1">_xlfn.IFNA(_xlfn.CONCAT(SUBSTITUTE(ADDRESS(1,MATCH(A1223,INDIRECT("'"&amp;E1223&amp;"'"&amp;"!A5:Z5"),0),4),1,""),8),"")</f>
        <v>G8</v>
      </c>
      <c r="C1223" s="791" t="str">
        <f t="shared" ca="1" si="214"/>
        <v>G</v>
      </c>
      <c r="D1223" s="1314" t="s">
        <v>1357</v>
      </c>
      <c r="E1223" s="791" t="s">
        <v>870</v>
      </c>
      <c r="F1223" s="1314"/>
      <c r="G1223" s="1314"/>
      <c r="H1223" s="1314"/>
      <c r="I1223" s="1274" t="str">
        <f t="shared" si="215"/>
        <v>Shipping Location Number</v>
      </c>
      <c r="J1223" s="1314" t="str">
        <f>IFERROR(Q$1&amp;M189,"")</f>
        <v>F76</v>
      </c>
      <c r="K1223" s="1314" t="str">
        <f t="shared" si="213"/>
        <v>Customer Inputs</v>
      </c>
      <c r="L1223" s="1314"/>
      <c r="M1223" s="1314"/>
      <c r="N1223" s="1314"/>
      <c r="O1223" s="1311"/>
      <c r="P1223" s="1314" t="str">
        <f>IFERROR(VLOOKUP(Q$189,'Existing Customers'!$A:$F,1,FALSE),"")</f>
        <v/>
      </c>
      <c r="Q1223" s="1311"/>
      <c r="R1223" s="1311"/>
      <c r="S1223" s="1311"/>
      <c r="T1223" s="1311"/>
      <c r="U1223" s="1311"/>
      <c r="V1223" s="1311"/>
      <c r="W1223" s="1311"/>
      <c r="X1223" s="1311"/>
      <c r="Y1223" s="1311"/>
      <c r="Z1223" s="1311"/>
    </row>
    <row r="1224" spans="1:26" x14ac:dyDescent="0.25">
      <c r="A1224" s="842" t="s">
        <v>1178</v>
      </c>
      <c r="B1224" s="791" t="str">
        <f ca="1">_xlfn.IFNA(_xlfn.CONCAT(SUBSTITUTE(ADDRESS(1,MATCH(A1224,INDIRECT("'"&amp;E1224&amp;"'"&amp;"!A5:Z5"),0),4),1,""),9),"")</f>
        <v>G9</v>
      </c>
      <c r="C1224" s="791" t="str">
        <f t="shared" ca="1" si="214"/>
        <v>G</v>
      </c>
      <c r="D1224" s="1314" t="s">
        <v>1357</v>
      </c>
      <c r="E1224" s="791" t="s">
        <v>870</v>
      </c>
      <c r="F1224" s="1314"/>
      <c r="G1224" s="1314"/>
      <c r="H1224" s="1314"/>
      <c r="I1224" s="1274" t="str">
        <f t="shared" si="215"/>
        <v>Shipping Location Number</v>
      </c>
      <c r="J1224" s="1314" t="str">
        <f>IFERROR(Q$1&amp;M200,"")</f>
        <v>F97</v>
      </c>
      <c r="K1224" s="1314" t="str">
        <f t="shared" si="213"/>
        <v>Customer Inputs</v>
      </c>
      <c r="L1224" s="1314"/>
      <c r="M1224" s="1314"/>
      <c r="N1224" s="1314"/>
      <c r="O1224" s="1311"/>
      <c r="P1224" s="1314" t="str">
        <f>IFERROR(VLOOKUP(Q$200,'Existing Customers'!$A:$F,1,FALSE),"")</f>
        <v/>
      </c>
      <c r="Q1224" s="1311"/>
      <c r="R1224" s="1311"/>
      <c r="S1224" s="1311"/>
      <c r="T1224" s="1311"/>
      <c r="U1224" s="1311"/>
      <c r="V1224" s="1311"/>
      <c r="W1224" s="1311"/>
      <c r="X1224" s="1311"/>
      <c r="Y1224" s="1311"/>
      <c r="Z1224" s="1311"/>
    </row>
    <row r="1225" spans="1:26" x14ac:dyDescent="0.25">
      <c r="A1225" s="844" t="s">
        <v>1178</v>
      </c>
      <c r="B1225" s="791" t="str">
        <f ca="1">_xlfn.IFNA(_xlfn.CONCAT(SUBSTITUTE(ADDRESS(1,MATCH(A1225,INDIRECT("'"&amp;E1225&amp;"'"&amp;"!A5:Z5"),0),4),1,""),10),"")</f>
        <v>G10</v>
      </c>
      <c r="C1225" s="791" t="str">
        <f t="shared" ca="1" si="214"/>
        <v>G</v>
      </c>
      <c r="D1225" s="1314" t="s">
        <v>1357</v>
      </c>
      <c r="E1225" s="791" t="s">
        <v>870</v>
      </c>
      <c r="F1225" s="1314"/>
      <c r="G1225" s="1314"/>
      <c r="H1225" s="1314"/>
      <c r="I1225" s="1274" t="str">
        <f t="shared" si="215"/>
        <v>Shipping Location Number</v>
      </c>
      <c r="J1225" s="1314" t="str">
        <f>IFERROR(Q$1&amp;M211,"")</f>
        <v>F118</v>
      </c>
      <c r="K1225" s="1314" t="str">
        <f t="shared" si="213"/>
        <v>Customer Inputs</v>
      </c>
      <c r="L1225" s="1314"/>
      <c r="M1225" s="1314"/>
      <c r="N1225" s="1314"/>
      <c r="O1225" s="1311"/>
      <c r="P1225" s="1314" t="str">
        <f>IFERROR(VLOOKUP(Q$211,'Existing Customers'!$A:$F,1,FALSE),"")</f>
        <v/>
      </c>
      <c r="Q1225" s="1311"/>
      <c r="R1225" s="1311"/>
      <c r="S1225" s="1311"/>
      <c r="T1225" s="1311"/>
      <c r="U1225" s="1311"/>
      <c r="V1225" s="1311"/>
      <c r="W1225" s="1311"/>
      <c r="X1225" s="1311"/>
      <c r="Y1225" s="1311"/>
      <c r="Z1225" s="1311"/>
    </row>
    <row r="1226" spans="1:26" x14ac:dyDescent="0.25">
      <c r="A1226" s="842" t="s">
        <v>1178</v>
      </c>
      <c r="B1226" s="791" t="str">
        <f ca="1">_xlfn.IFNA(_xlfn.CONCAT(SUBSTITUTE(ADDRESS(1,MATCH(A1226,INDIRECT("'"&amp;E1226&amp;"'"&amp;"!A5:Z5"),0),4),1,""),11),"")</f>
        <v>G11</v>
      </c>
      <c r="C1226" s="791" t="str">
        <f t="shared" ca="1" si="214"/>
        <v>G</v>
      </c>
      <c r="D1226" s="1314" t="s">
        <v>1357</v>
      </c>
      <c r="E1226" s="791" t="s">
        <v>870</v>
      </c>
      <c r="F1226" s="1314"/>
      <c r="G1226" s="1314"/>
      <c r="H1226" s="1314"/>
      <c r="I1226" s="1274" t="str">
        <f t="shared" si="215"/>
        <v>Shipping Location Number</v>
      </c>
      <c r="J1226" s="1314" t="str">
        <f>IFERROR(Q$1&amp;M222,"")</f>
        <v>F139</v>
      </c>
      <c r="K1226" s="1314" t="str">
        <f t="shared" si="213"/>
        <v>Customer Inputs</v>
      </c>
      <c r="L1226" s="1314"/>
      <c r="M1226" s="1314"/>
      <c r="N1226" s="1314"/>
      <c r="O1226" s="1311"/>
      <c r="P1226" s="1314" t="str">
        <f>IFERROR(VLOOKUP(Q$222,'Existing Customers'!$A:$F,1,FALSE),"")</f>
        <v/>
      </c>
      <c r="Q1226" s="1311"/>
      <c r="R1226" s="1311"/>
      <c r="S1226" s="1311"/>
      <c r="T1226" s="1311"/>
      <c r="U1226" s="1311"/>
      <c r="V1226" s="1311"/>
      <c r="W1226" s="1311"/>
      <c r="X1226" s="1311"/>
      <c r="Y1226" s="1311"/>
      <c r="Z1226" s="1311"/>
    </row>
    <row r="1227" spans="1:26" x14ac:dyDescent="0.25">
      <c r="A1227" s="844" t="s">
        <v>1178</v>
      </c>
      <c r="B1227" s="791" t="str">
        <f ca="1">_xlfn.IFNA(_xlfn.CONCAT(SUBSTITUTE(ADDRESS(1,MATCH(A1227,INDIRECT("'"&amp;E1227&amp;"'"&amp;"!A5:Z5"),0),4),1,""),12),"")</f>
        <v>G12</v>
      </c>
      <c r="C1227" s="791" t="str">
        <f t="shared" ca="1" si="214"/>
        <v>G</v>
      </c>
      <c r="D1227" s="1314" t="s">
        <v>1357</v>
      </c>
      <c r="E1227" s="791" t="s">
        <v>870</v>
      </c>
      <c r="F1227" s="1314"/>
      <c r="G1227" s="1314"/>
      <c r="H1227" s="1314"/>
      <c r="I1227" s="1274" t="str">
        <f t="shared" si="215"/>
        <v>Shipping Location Number</v>
      </c>
      <c r="J1227" s="1314" t="str">
        <f>IFERROR(Q$1&amp;M233,"")</f>
        <v>F160</v>
      </c>
      <c r="K1227" s="1314" t="str">
        <f t="shared" si="213"/>
        <v>Customer Inputs</v>
      </c>
      <c r="L1227" s="1314"/>
      <c r="M1227" s="1314"/>
      <c r="N1227" s="1314"/>
      <c r="O1227" s="1311"/>
      <c r="P1227" s="1571" t="str">
        <f>IFERROR(VLOOKUP(Q$233,'Existing Customers'!$A:$F,1,FALSE),"")</f>
        <v/>
      </c>
      <c r="Q1227" s="1311"/>
      <c r="R1227" s="1311"/>
      <c r="S1227" s="1311"/>
      <c r="T1227" s="1311"/>
      <c r="U1227" s="1311"/>
      <c r="V1227" s="1311"/>
      <c r="W1227" s="1311"/>
      <c r="X1227" s="1311"/>
      <c r="Y1227" s="1311"/>
      <c r="Z1227" s="1311"/>
    </row>
    <row r="1228" spans="1:26" x14ac:dyDescent="0.25">
      <c r="A1228" s="842" t="s">
        <v>1178</v>
      </c>
      <c r="B1228" s="791" t="str">
        <f ca="1">_xlfn.IFNA(_xlfn.CONCAT(SUBSTITUTE(ADDRESS(1,MATCH(A1228,INDIRECT("'"&amp;E1228&amp;"'"&amp;"!A5:Z5"),0),4),1,""),13),"")</f>
        <v>G13</v>
      </c>
      <c r="C1228" s="791" t="str">
        <f t="shared" ca="1" si="214"/>
        <v>G</v>
      </c>
      <c r="D1228" s="1314" t="s">
        <v>1357</v>
      </c>
      <c r="E1228" s="791" t="s">
        <v>870</v>
      </c>
      <c r="F1228" s="1314"/>
      <c r="G1228" s="1314"/>
      <c r="H1228" s="1314"/>
      <c r="I1228" s="1274" t="str">
        <f t="shared" si="215"/>
        <v>Shipping Location Number</v>
      </c>
      <c r="J1228" s="1314" t="str">
        <f>IFERROR(Q$1&amp;M244,"")</f>
        <v>F181</v>
      </c>
      <c r="K1228" s="1314" t="str">
        <f t="shared" si="213"/>
        <v>Customer Inputs</v>
      </c>
      <c r="L1228" s="1314"/>
      <c r="M1228" s="1314"/>
      <c r="N1228" s="1314"/>
      <c r="O1228" s="1311"/>
      <c r="P1228" s="1314" t="str">
        <f>IFERROR(VLOOKUP(Q$244,'Existing Customers'!$A:$F,1,FALSE),"")</f>
        <v/>
      </c>
      <c r="Q1228" s="1311"/>
      <c r="R1228" s="1311"/>
      <c r="S1228" s="1311"/>
      <c r="T1228" s="1311"/>
      <c r="U1228" s="1311"/>
      <c r="V1228" s="1311"/>
      <c r="W1228" s="1311"/>
      <c r="X1228" s="1311"/>
      <c r="Y1228" s="1311"/>
      <c r="Z1228" s="1311"/>
    </row>
    <row r="1229" spans="1:26" x14ac:dyDescent="0.25">
      <c r="A1229" s="844" t="s">
        <v>1178</v>
      </c>
      <c r="B1229" s="791" t="str">
        <f ca="1">_xlfn.IFNA(_xlfn.CONCAT(SUBSTITUTE(ADDRESS(1,MATCH(A1229,INDIRECT("'"&amp;E1229&amp;"'"&amp;"!A5:Z5"),0),4),1,""),14),"")</f>
        <v>G14</v>
      </c>
      <c r="C1229" s="791" t="str">
        <f t="shared" ca="1" si="214"/>
        <v>G</v>
      </c>
      <c r="D1229" s="1314" t="s">
        <v>1357</v>
      </c>
      <c r="E1229" s="791" t="s">
        <v>870</v>
      </c>
      <c r="F1229" s="1314"/>
      <c r="G1229" s="1314"/>
      <c r="H1229" s="1314"/>
      <c r="I1229" s="1274" t="str">
        <f t="shared" si="215"/>
        <v>Shipping Location Number</v>
      </c>
      <c r="J1229" s="1314" t="str">
        <f>IFERROR(Q$1&amp;M255,"")</f>
        <v>F202</v>
      </c>
      <c r="K1229" s="1314" t="str">
        <f t="shared" si="213"/>
        <v>Customer Inputs</v>
      </c>
      <c r="L1229" s="1314"/>
      <c r="M1229" s="1314"/>
      <c r="N1229" s="1314"/>
      <c r="O1229" s="1311"/>
      <c r="P1229" s="1314" t="str">
        <f>IFERROR(VLOOKUP(Q$255,'Existing Customers'!$A:$F,1,FALSE),"")</f>
        <v/>
      </c>
      <c r="Q1229" s="1311"/>
      <c r="R1229" s="1311"/>
      <c r="S1229" s="1311"/>
      <c r="T1229" s="1311"/>
      <c r="U1229" s="1311"/>
      <c r="V1229" s="1311"/>
      <c r="W1229" s="1311"/>
      <c r="X1229" s="1311"/>
      <c r="Y1229" s="1311"/>
      <c r="Z1229" s="1311"/>
    </row>
    <row r="1230" spans="1:26" x14ac:dyDescent="0.25">
      <c r="A1230" s="842" t="s">
        <v>1178</v>
      </c>
      <c r="B1230" s="791" t="str">
        <f ca="1">_xlfn.IFNA(_xlfn.CONCAT(SUBSTITUTE(ADDRESS(1,MATCH(A1230,INDIRECT("'"&amp;E1230&amp;"'"&amp;"!A5:Z5"),0),4),1,""),15),"")</f>
        <v>G15</v>
      </c>
      <c r="C1230" s="791" t="str">
        <f t="shared" ca="1" si="214"/>
        <v>G</v>
      </c>
      <c r="D1230" s="1314" t="s">
        <v>1357</v>
      </c>
      <c r="E1230" s="791" t="s">
        <v>870</v>
      </c>
      <c r="F1230" s="1314"/>
      <c r="G1230" s="1314"/>
      <c r="H1230" s="1314"/>
      <c r="I1230" s="1274" t="str">
        <f t="shared" si="215"/>
        <v>Shipping Location Number</v>
      </c>
      <c r="J1230" s="1314" t="str">
        <f>IFERROR(Q$1&amp;M266,"")</f>
        <v>F223</v>
      </c>
      <c r="K1230" s="1314" t="str">
        <f t="shared" si="213"/>
        <v>Customer Inputs</v>
      </c>
      <c r="L1230" s="1314"/>
      <c r="M1230" s="1314"/>
      <c r="N1230" s="1314"/>
      <c r="O1230" s="1311"/>
      <c r="P1230" s="1314" t="str">
        <f>IFERROR(VLOOKUP(Q$266,'Existing Customers'!$A:$F,1,FALSE),"")</f>
        <v/>
      </c>
      <c r="Q1230" s="1311"/>
      <c r="R1230" s="1311"/>
      <c r="S1230" s="1311"/>
      <c r="T1230" s="1311"/>
      <c r="U1230" s="1311"/>
      <c r="V1230" s="1311"/>
      <c r="W1230" s="1311"/>
      <c r="X1230" s="1311"/>
      <c r="Y1230" s="1311"/>
      <c r="Z1230" s="1311"/>
    </row>
    <row r="1231" spans="1:26" x14ac:dyDescent="0.25">
      <c r="A1231" s="845" t="s">
        <v>204</v>
      </c>
      <c r="B1231" s="791" t="str">
        <f ca="1">_xlfn.IFNA(_xlfn.CONCAT(SUBSTITUTE(ADDRESS(1,MATCH(A1231,INDIRECT("'"&amp;E1231&amp;"'"&amp;"!A5:Z5"),0),4),1,""),6),"")</f>
        <v>S6</v>
      </c>
      <c r="C1231" s="791" t="str">
        <f t="shared" ca="1" si="214"/>
        <v>S</v>
      </c>
      <c r="D1231" s="1314" t="s">
        <v>1357</v>
      </c>
      <c r="E1231" s="791" t="s">
        <v>870</v>
      </c>
      <c r="F1231" s="1314"/>
      <c r="G1231" s="1314"/>
      <c r="H1231" s="1314"/>
      <c r="I1231" s="1274" t="str">
        <f t="shared" si="215"/>
        <v>Zip Code</v>
      </c>
      <c r="J1231" s="1314" t="str">
        <f>IF(P1221="",Q$1&amp;M177,"")</f>
        <v>F54</v>
      </c>
      <c r="K1231" s="1314" t="str">
        <f t="shared" si="213"/>
        <v>Customer Inputs</v>
      </c>
      <c r="L1231" s="1314"/>
      <c r="M1231" s="1314"/>
      <c r="N1231" s="1314"/>
      <c r="O1231" s="1311"/>
      <c r="P1231" s="1311"/>
      <c r="Q1231" s="1311"/>
      <c r="R1231" s="1311"/>
      <c r="S1231" s="1311"/>
      <c r="T1231" s="1311"/>
      <c r="U1231" s="1311"/>
      <c r="V1231" s="1311"/>
      <c r="W1231" s="1311"/>
      <c r="X1231" s="1311"/>
      <c r="Y1231" s="1311"/>
      <c r="Z1231" s="1311"/>
    </row>
    <row r="1232" spans="1:26" x14ac:dyDescent="0.25">
      <c r="A1232" s="842" t="s">
        <v>204</v>
      </c>
      <c r="B1232" s="791" t="str">
        <f ca="1">_xlfn.IFNA(_xlfn.CONCAT(SUBSTITUTE(ADDRESS(1,MATCH(A1232,INDIRECT("'"&amp;E1232&amp;"'"&amp;"!A5:Z5"),0),4),1,""),7),"")</f>
        <v>S7</v>
      </c>
      <c r="C1232" s="791" t="str">
        <f t="shared" ca="1" si="214"/>
        <v>S</v>
      </c>
      <c r="D1232" s="1314" t="s">
        <v>1357</v>
      </c>
      <c r="E1232" s="791" t="s">
        <v>870</v>
      </c>
      <c r="F1232" s="1314"/>
      <c r="G1232" s="1314"/>
      <c r="H1232" s="1314"/>
      <c r="I1232" s="1274" t="str">
        <f t="shared" si="215"/>
        <v>Zip Code</v>
      </c>
      <c r="J1232" s="1314" t="str">
        <f>IF(P1222="",Q$1&amp;M188,"")</f>
        <v>F75</v>
      </c>
      <c r="K1232" s="1314" t="str">
        <f t="shared" si="213"/>
        <v>Customer Inputs</v>
      </c>
      <c r="L1232" s="1314"/>
      <c r="M1232" s="1314"/>
      <c r="N1232" s="1314"/>
      <c r="O1232" s="1311"/>
      <c r="P1232" s="1311"/>
      <c r="Q1232" s="1311"/>
      <c r="R1232" s="1311"/>
      <c r="S1232" s="1311"/>
      <c r="T1232" s="1311"/>
      <c r="U1232" s="1311"/>
      <c r="V1232" s="1311"/>
      <c r="W1232" s="1311"/>
      <c r="X1232" s="1311"/>
      <c r="Y1232" s="1311"/>
      <c r="Z1232" s="1311"/>
    </row>
    <row r="1233" spans="1:26" x14ac:dyDescent="0.25">
      <c r="A1233" s="845" t="s">
        <v>204</v>
      </c>
      <c r="B1233" s="791" t="str">
        <f ca="1">_xlfn.IFNA(_xlfn.CONCAT(SUBSTITUTE(ADDRESS(1,MATCH(A1233,INDIRECT("'"&amp;E1233&amp;"'"&amp;"!A5:Z5"),0),4),1,""),8),"")</f>
        <v>S8</v>
      </c>
      <c r="C1233" s="791" t="str">
        <f t="shared" ca="1" si="214"/>
        <v>S</v>
      </c>
      <c r="D1233" s="1314" t="s">
        <v>1357</v>
      </c>
      <c r="E1233" s="791" t="s">
        <v>870</v>
      </c>
      <c r="F1233" s="1314"/>
      <c r="G1233" s="1314"/>
      <c r="H1233" s="1314"/>
      <c r="I1233" s="1274" t="str">
        <f t="shared" si="215"/>
        <v>Zip Code</v>
      </c>
      <c r="J1233" s="1314" t="str">
        <f>IF(P1223="",Q$1&amp;M199,"")</f>
        <v>F96</v>
      </c>
      <c r="K1233" s="1314" t="str">
        <f t="shared" si="213"/>
        <v>Customer Inputs</v>
      </c>
      <c r="L1233" s="1314"/>
      <c r="M1233" s="1314"/>
      <c r="N1233" s="1314"/>
      <c r="O1233" s="1311"/>
      <c r="P1233" s="1311"/>
      <c r="Q1233" s="1311"/>
      <c r="R1233" s="1311"/>
      <c r="S1233" s="1311"/>
      <c r="T1233" s="1311"/>
      <c r="U1233" s="1311"/>
      <c r="V1233" s="1311"/>
      <c r="W1233" s="1311"/>
      <c r="X1233" s="1311"/>
      <c r="Y1233" s="1311"/>
      <c r="Z1233" s="1311"/>
    </row>
    <row r="1234" spans="1:26" x14ac:dyDescent="0.25">
      <c r="A1234" s="842" t="s">
        <v>204</v>
      </c>
      <c r="B1234" s="791" t="str">
        <f ca="1">_xlfn.IFNA(_xlfn.CONCAT(SUBSTITUTE(ADDRESS(1,MATCH(A1234,INDIRECT("'"&amp;E1234&amp;"'"&amp;"!A5:Z5"),0),4),1,""),9),"")</f>
        <v>S9</v>
      </c>
      <c r="C1234" s="791" t="str">
        <f t="shared" ca="1" si="214"/>
        <v>S</v>
      </c>
      <c r="D1234" s="1314" t="s">
        <v>1357</v>
      </c>
      <c r="E1234" s="791" t="s">
        <v>870</v>
      </c>
      <c r="F1234" s="1314"/>
      <c r="G1234" s="1314"/>
      <c r="H1234" s="1314"/>
      <c r="I1234" s="1274" t="str">
        <f t="shared" si="215"/>
        <v>Zip Code</v>
      </c>
      <c r="J1234" s="1314" t="str">
        <f>IF(P1224="",Q$1&amp;M210,"")</f>
        <v>F117</v>
      </c>
      <c r="K1234" s="1314" t="str">
        <f t="shared" si="213"/>
        <v>Customer Inputs</v>
      </c>
      <c r="L1234" s="1314"/>
      <c r="M1234" s="1314"/>
      <c r="N1234" s="1314"/>
      <c r="O1234" s="1311"/>
      <c r="P1234" s="1311"/>
      <c r="Q1234" s="1311"/>
      <c r="R1234" s="1311"/>
      <c r="S1234" s="1311"/>
      <c r="T1234" s="1311"/>
      <c r="U1234" s="1311"/>
      <c r="V1234" s="1311"/>
      <c r="W1234" s="1311"/>
      <c r="X1234" s="1311"/>
      <c r="Y1234" s="1311"/>
      <c r="Z1234" s="1311"/>
    </row>
    <row r="1235" spans="1:26" x14ac:dyDescent="0.25">
      <c r="A1235" s="845" t="s">
        <v>204</v>
      </c>
      <c r="B1235" s="791" t="str">
        <f ca="1">_xlfn.IFNA(_xlfn.CONCAT(SUBSTITUTE(ADDRESS(1,MATCH(A1235,INDIRECT("'"&amp;E1235&amp;"'"&amp;"!A5:Z5"),0),4),1,""),10),"")</f>
        <v>S10</v>
      </c>
      <c r="C1235" s="791" t="str">
        <f t="shared" ca="1" si="214"/>
        <v>S</v>
      </c>
      <c r="D1235" s="1314" t="s">
        <v>1357</v>
      </c>
      <c r="E1235" s="791" t="s">
        <v>870</v>
      </c>
      <c r="F1235" s="1314"/>
      <c r="G1235" s="1314"/>
      <c r="H1235" s="1314"/>
      <c r="I1235" s="1274" t="str">
        <f t="shared" si="215"/>
        <v>Zip Code</v>
      </c>
      <c r="J1235" s="1314" t="str">
        <f>IF(P1225="",Q$1&amp;M221,"")</f>
        <v>F138</v>
      </c>
      <c r="K1235" s="1314" t="str">
        <f t="shared" si="213"/>
        <v>Customer Inputs</v>
      </c>
      <c r="L1235" s="1314"/>
      <c r="M1235" s="1314"/>
      <c r="N1235" s="1314"/>
      <c r="O1235" s="1311"/>
      <c r="P1235" s="1311"/>
      <c r="Q1235" s="1311"/>
      <c r="R1235" s="1311"/>
      <c r="S1235" s="1311"/>
      <c r="T1235" s="1311"/>
      <c r="U1235" s="1311"/>
      <c r="V1235" s="1311"/>
      <c r="W1235" s="1311"/>
      <c r="X1235" s="1311"/>
      <c r="Y1235" s="1311"/>
      <c r="Z1235" s="1311"/>
    </row>
    <row r="1236" spans="1:26" x14ac:dyDescent="0.25">
      <c r="A1236" s="842" t="s">
        <v>204</v>
      </c>
      <c r="B1236" s="791" t="str">
        <f ca="1">_xlfn.IFNA(_xlfn.CONCAT(SUBSTITUTE(ADDRESS(1,MATCH(A1236,INDIRECT("'"&amp;E1236&amp;"'"&amp;"!A5:Z5"),0),4),1,""),11),"")</f>
        <v>S11</v>
      </c>
      <c r="C1236" s="791" t="str">
        <f t="shared" ca="1" si="214"/>
        <v>S</v>
      </c>
      <c r="D1236" s="1314" t="s">
        <v>1357</v>
      </c>
      <c r="E1236" s="791" t="s">
        <v>870</v>
      </c>
      <c r="F1236" s="1314"/>
      <c r="G1236" s="1314"/>
      <c r="H1236" s="1314"/>
      <c r="I1236" s="1274" t="str">
        <f t="shared" si="215"/>
        <v>Zip Code</v>
      </c>
      <c r="J1236" s="1314" t="str">
        <f>IF(P1226="",Q$1&amp;M232,"")</f>
        <v>F159</v>
      </c>
      <c r="K1236" s="1314" t="str">
        <f t="shared" si="213"/>
        <v>Customer Inputs</v>
      </c>
      <c r="L1236" s="1314"/>
      <c r="M1236" s="1314"/>
      <c r="N1236" s="1314"/>
      <c r="O1236" s="1311"/>
      <c r="P1236" s="1311"/>
      <c r="Q1236" s="1311"/>
      <c r="R1236" s="1311"/>
      <c r="S1236" s="1311"/>
      <c r="T1236" s="1311"/>
      <c r="U1236" s="1311"/>
      <c r="V1236" s="1311"/>
      <c r="W1236" s="1311"/>
      <c r="X1236" s="1311"/>
      <c r="Y1236" s="1311"/>
      <c r="Z1236" s="1311"/>
    </row>
    <row r="1237" spans="1:26" x14ac:dyDescent="0.25">
      <c r="A1237" s="845" t="s">
        <v>204</v>
      </c>
      <c r="B1237" s="791" t="str">
        <f ca="1">_xlfn.IFNA(_xlfn.CONCAT(SUBSTITUTE(ADDRESS(1,MATCH(A1237,INDIRECT("'"&amp;E1237&amp;"'"&amp;"!A5:Z5"),0),4),1,""),12),"")</f>
        <v>S12</v>
      </c>
      <c r="C1237" s="791" t="str">
        <f t="shared" ca="1" si="214"/>
        <v>S</v>
      </c>
      <c r="D1237" s="1314" t="s">
        <v>1357</v>
      </c>
      <c r="E1237" s="791" t="s">
        <v>870</v>
      </c>
      <c r="F1237" s="1314"/>
      <c r="G1237" s="1314"/>
      <c r="H1237" s="1314"/>
      <c r="I1237" s="1274" t="str">
        <f t="shared" si="215"/>
        <v>Zip Code</v>
      </c>
      <c r="J1237" s="1314" t="str">
        <f>IF(P1227="",Q$1&amp;M243,"")</f>
        <v>F180</v>
      </c>
      <c r="K1237" s="1314" t="str">
        <f t="shared" si="213"/>
        <v>Customer Inputs</v>
      </c>
      <c r="L1237" s="1314"/>
      <c r="M1237" s="1314"/>
      <c r="N1237" s="1314"/>
      <c r="O1237" s="1311"/>
      <c r="P1237" s="1311"/>
      <c r="Q1237" s="1311"/>
      <c r="R1237" s="1311"/>
      <c r="S1237" s="1311"/>
      <c r="T1237" s="1311"/>
      <c r="U1237" s="1311"/>
      <c r="V1237" s="1311"/>
      <c r="W1237" s="1311"/>
      <c r="X1237" s="1311"/>
      <c r="Y1237" s="1311"/>
      <c r="Z1237" s="1311"/>
    </row>
    <row r="1238" spans="1:26" x14ac:dyDescent="0.25">
      <c r="A1238" s="842" t="s">
        <v>204</v>
      </c>
      <c r="B1238" s="791" t="str">
        <f ca="1">_xlfn.IFNA(_xlfn.CONCAT(SUBSTITUTE(ADDRESS(1,MATCH(A1238,INDIRECT("'"&amp;E1238&amp;"'"&amp;"!A5:Z5"),0),4),1,""),13),"")</f>
        <v>S13</v>
      </c>
      <c r="C1238" s="791" t="str">
        <f t="shared" ca="1" si="214"/>
        <v>S</v>
      </c>
      <c r="D1238" s="1314" t="s">
        <v>1357</v>
      </c>
      <c r="E1238" s="791" t="s">
        <v>870</v>
      </c>
      <c r="F1238" s="1314"/>
      <c r="G1238" s="1314"/>
      <c r="H1238" s="1314"/>
      <c r="I1238" s="1274" t="str">
        <f t="shared" si="215"/>
        <v>Zip Code</v>
      </c>
      <c r="J1238" s="1314" t="str">
        <f>IF(P1228="",Q$1&amp;M254,"")</f>
        <v>F201</v>
      </c>
      <c r="K1238" s="1314" t="str">
        <f t="shared" si="213"/>
        <v>Customer Inputs</v>
      </c>
      <c r="L1238" s="1314"/>
      <c r="M1238" s="1314"/>
      <c r="N1238" s="1314"/>
      <c r="O1238" s="1311"/>
      <c r="P1238" s="1311"/>
      <c r="Q1238" s="1311"/>
      <c r="R1238" s="1311"/>
      <c r="S1238" s="1311"/>
      <c r="T1238" s="1311"/>
      <c r="U1238" s="1311"/>
      <c r="V1238" s="1311"/>
      <c r="W1238" s="1311"/>
      <c r="X1238" s="1311"/>
      <c r="Y1238" s="1311"/>
      <c r="Z1238" s="1311"/>
    </row>
    <row r="1239" spans="1:26" x14ac:dyDescent="0.25">
      <c r="A1239" s="845" t="s">
        <v>204</v>
      </c>
      <c r="B1239" s="791" t="str">
        <f ca="1">_xlfn.IFNA(_xlfn.CONCAT(SUBSTITUTE(ADDRESS(1,MATCH(A1239,INDIRECT("'"&amp;E1239&amp;"'"&amp;"!A5:Z5"),0),4),1,""),14),"")</f>
        <v>S14</v>
      </c>
      <c r="C1239" s="791" t="str">
        <f t="shared" ca="1" si="214"/>
        <v>S</v>
      </c>
      <c r="D1239" s="1314" t="s">
        <v>1357</v>
      </c>
      <c r="E1239" s="791" t="s">
        <v>870</v>
      </c>
      <c r="F1239" s="1314"/>
      <c r="G1239" s="1314"/>
      <c r="H1239" s="1314"/>
      <c r="I1239" s="1274" t="str">
        <f t="shared" si="215"/>
        <v>Zip Code</v>
      </c>
      <c r="J1239" s="1314" t="str">
        <f>IF(P1229="",Q$1&amp;M265,"")</f>
        <v>F222</v>
      </c>
      <c r="K1239" s="1314" t="str">
        <f t="shared" si="213"/>
        <v>Customer Inputs</v>
      </c>
      <c r="L1239" s="1314"/>
      <c r="M1239" s="1314"/>
      <c r="N1239" s="1314"/>
      <c r="O1239" s="1311"/>
      <c r="P1239" s="1311"/>
      <c r="Q1239" s="1311"/>
      <c r="R1239" s="1311"/>
      <c r="S1239" s="1311"/>
      <c r="T1239" s="1311"/>
      <c r="U1239" s="1311"/>
      <c r="V1239" s="1311"/>
      <c r="W1239" s="1311"/>
      <c r="X1239" s="1311"/>
      <c r="Y1239" s="1311"/>
      <c r="Z1239" s="1311"/>
    </row>
    <row r="1240" spans="1:26" x14ac:dyDescent="0.25">
      <c r="A1240" s="842" t="s">
        <v>204</v>
      </c>
      <c r="B1240" s="791" t="str">
        <f t="shared" ref="B1240" ca="1" si="216">_xlfn.IFNA(_xlfn.CONCAT(SUBSTITUTE(ADDRESS(1,MATCH(A1240,INDIRECT("'"&amp;E1240&amp;"'"&amp;"!A5:Z5"),0),4),1,""),15),"")</f>
        <v>S15</v>
      </c>
      <c r="C1240" s="791" t="str">
        <f t="shared" ca="1" si="214"/>
        <v>S</v>
      </c>
      <c r="D1240" s="1314" t="s">
        <v>1357</v>
      </c>
      <c r="E1240" s="791" t="s">
        <v>870</v>
      </c>
      <c r="F1240" s="1314"/>
      <c r="G1240" s="1314"/>
      <c r="H1240" s="1314"/>
      <c r="I1240" s="1274" t="str">
        <f t="shared" si="215"/>
        <v>Zip Code</v>
      </c>
      <c r="J1240" s="1314" t="str">
        <f>IF(P1230="",Q$1&amp;M276,"")</f>
        <v>F243</v>
      </c>
      <c r="K1240" s="1314" t="str">
        <f t="shared" si="213"/>
        <v>Customer Inputs</v>
      </c>
      <c r="L1240" s="1314"/>
      <c r="M1240" s="1314"/>
      <c r="N1240" s="1314"/>
      <c r="O1240" s="1311"/>
      <c r="P1240" s="1311"/>
      <c r="Q1240" s="1311"/>
      <c r="R1240" s="1311"/>
      <c r="S1240" s="1311"/>
      <c r="T1240" s="1311"/>
      <c r="U1240" s="1311"/>
      <c r="V1240" s="1311"/>
      <c r="W1240" s="1311"/>
      <c r="X1240" s="1311"/>
      <c r="Y1240" s="1311"/>
      <c r="Z1240" s="1311"/>
    </row>
    <row r="1241" spans="1:26" x14ac:dyDescent="0.25">
      <c r="A1241" s="847" t="s">
        <v>1246</v>
      </c>
      <c r="B1241" s="1274" t="str">
        <f ca="1">_xlfn.CONCAT(IFERROR(SUBSTITUTE(ADDRESS(1,MATCH(A1241,INDIRECT("'"&amp;E1241&amp;"'"&amp;"!A9:Z9"),0),4),1,""),""),10)</f>
        <v>D10</v>
      </c>
      <c r="C1241" s="1274" t="str">
        <f ca="1">_xlfn.CONCAT(IFERROR(SUBSTITUTE(ADDRESS(1,MATCH(A1241,INDIRECT("'"&amp;E1241&amp;"'"&amp;"!A9:Z9"),0),4),1,""),""))</f>
        <v>D</v>
      </c>
      <c r="D1241" s="1314" t="s">
        <v>1357</v>
      </c>
      <c r="E1241" s="791" t="s">
        <v>208</v>
      </c>
      <c r="F1241" s="1314"/>
      <c r="G1241" s="1314"/>
      <c r="H1241" s="1314"/>
      <c r="I1241" s="1274" t="str">
        <f t="shared" si="215"/>
        <v>Per</v>
      </c>
      <c r="J1241" s="1314" t="str">
        <f>IFERROR(Q$1&amp;M280,"")</f>
        <v>F249</v>
      </c>
      <c r="K1241" s="1314" t="str">
        <f t="shared" si="213"/>
        <v>PIM Model</v>
      </c>
      <c r="L1241" s="1314"/>
      <c r="M1241" s="1314"/>
      <c r="N1241" s="1314"/>
      <c r="O1241" s="1311"/>
      <c r="P1241" s="1311"/>
      <c r="Q1241" s="1311"/>
      <c r="R1241" s="1311"/>
      <c r="S1241" s="1311"/>
      <c r="T1241" s="1311"/>
      <c r="U1241" s="1311"/>
      <c r="V1241" s="1311"/>
      <c r="W1241" s="1311"/>
      <c r="X1241" s="1311"/>
      <c r="Y1241" s="1311"/>
      <c r="Z1241" s="1311"/>
    </row>
    <row r="1242" spans="1:26" x14ac:dyDescent="0.25">
      <c r="A1242" s="850" t="s">
        <v>1246</v>
      </c>
      <c r="B1242" s="1274" t="str">
        <f ca="1">_xlfn.CONCAT(IFERROR(SUBSTITUTE(ADDRESS(1,MATCH(A1242,INDIRECT("'"&amp;E1242&amp;"'"&amp;"!A9:Z9"),0),4),1,""),""),11)</f>
        <v>D11</v>
      </c>
      <c r="C1242" s="1274" t="str">
        <f t="shared" ref="C1242:C1261" ca="1" si="217">_xlfn.CONCAT(IFERROR(SUBSTITUTE(ADDRESS(1,MATCH(A1242,INDIRECT("'"&amp;E1242&amp;"'"&amp;"!A9:Z9"),0),4),1,""),""))</f>
        <v>D</v>
      </c>
      <c r="D1242" s="1314" t="s">
        <v>1357</v>
      </c>
      <c r="E1242" s="791" t="s">
        <v>208</v>
      </c>
      <c r="F1242" s="1314"/>
      <c r="G1242" s="1314"/>
      <c r="H1242" s="1314"/>
      <c r="I1242" s="1274" t="str">
        <f t="shared" si="215"/>
        <v>Per</v>
      </c>
      <c r="J1242" s="1314" t="str">
        <f>IFERROR(Q$1&amp;M292,"")</f>
        <v>F261</v>
      </c>
      <c r="K1242" s="1314" t="str">
        <f t="shared" si="213"/>
        <v>PIM Model</v>
      </c>
      <c r="L1242" s="1314"/>
      <c r="M1242" s="1314"/>
      <c r="N1242" s="1314"/>
      <c r="O1242" s="1311"/>
      <c r="P1242" s="1311"/>
      <c r="Q1242" s="1311"/>
      <c r="R1242" s="1311"/>
      <c r="S1242" s="1311"/>
      <c r="T1242" s="1311"/>
      <c r="U1242" s="1311"/>
      <c r="V1242" s="1311"/>
      <c r="W1242" s="1311"/>
      <c r="X1242" s="1311"/>
      <c r="Y1242" s="1311"/>
      <c r="Z1242" s="1311"/>
    </row>
    <row r="1243" spans="1:26" x14ac:dyDescent="0.25">
      <c r="A1243" s="847" t="s">
        <v>1246</v>
      </c>
      <c r="B1243" s="1274" t="str">
        <f ca="1">_xlfn.CONCAT(IFERROR(SUBSTITUTE(ADDRESS(1,MATCH(A1243,INDIRECT("'"&amp;E1243&amp;"'"&amp;"!A9:Z9"),0),4),1,""),""),12)</f>
        <v>D12</v>
      </c>
      <c r="C1243" s="1274" t="str">
        <f t="shared" ca="1" si="217"/>
        <v>D</v>
      </c>
      <c r="D1243" s="1314" t="s">
        <v>1357</v>
      </c>
      <c r="E1243" s="791" t="s">
        <v>208</v>
      </c>
      <c r="F1243" s="1314"/>
      <c r="G1243" s="1314"/>
      <c r="H1243" s="1314"/>
      <c r="I1243" s="1274" t="str">
        <f t="shared" si="215"/>
        <v>Per</v>
      </c>
      <c r="J1243" s="1314" t="str">
        <f>IFERROR(Q$1&amp;M304,"")</f>
        <v>F273</v>
      </c>
      <c r="K1243" s="1314" t="str">
        <f t="shared" si="213"/>
        <v>PIM Model</v>
      </c>
      <c r="L1243" s="1314"/>
      <c r="M1243" s="1314"/>
      <c r="N1243" s="1314"/>
      <c r="O1243" s="1311"/>
      <c r="P1243" s="1311"/>
      <c r="Q1243" s="1311"/>
      <c r="R1243" s="1311"/>
      <c r="S1243" s="1311"/>
      <c r="T1243" s="1311"/>
      <c r="U1243" s="1311"/>
      <c r="V1243" s="1311"/>
      <c r="W1243" s="1311"/>
      <c r="X1243" s="1311"/>
      <c r="Y1243" s="1311"/>
      <c r="Z1243" s="1311"/>
    </row>
    <row r="1244" spans="1:26" x14ac:dyDescent="0.25">
      <c r="A1244" s="850" t="s">
        <v>1246</v>
      </c>
      <c r="B1244" s="1274" t="str">
        <f ca="1">_xlfn.CONCAT(IFERROR(SUBSTITUTE(ADDRESS(1,MATCH(A1244,INDIRECT("'"&amp;E1244&amp;"'"&amp;"!A9:Z9"),0),4),1,""),""),13)</f>
        <v>D13</v>
      </c>
      <c r="C1244" s="1274" t="str">
        <f t="shared" ca="1" si="217"/>
        <v>D</v>
      </c>
      <c r="D1244" s="1314" t="s">
        <v>1357</v>
      </c>
      <c r="E1244" s="791" t="s">
        <v>208</v>
      </c>
      <c r="F1244" s="1314"/>
      <c r="G1244" s="1314"/>
      <c r="H1244" s="1314"/>
      <c r="I1244" s="1274" t="str">
        <f t="shared" si="215"/>
        <v>Per</v>
      </c>
      <c r="J1244" s="1314" t="str">
        <f>IFERROR(Q$1&amp;M316,"")</f>
        <v>F285</v>
      </c>
      <c r="K1244" s="1314" t="str">
        <f t="shared" si="213"/>
        <v>PIM Model</v>
      </c>
      <c r="L1244" s="1314"/>
      <c r="M1244" s="1314"/>
      <c r="N1244" s="1314"/>
      <c r="O1244" s="1311"/>
      <c r="P1244" s="1311"/>
      <c r="Q1244" s="1311"/>
      <c r="R1244" s="1311"/>
      <c r="S1244" s="1311"/>
      <c r="T1244" s="1311"/>
      <c r="U1244" s="1311"/>
      <c r="V1244" s="1311"/>
      <c r="W1244" s="1311"/>
      <c r="X1244" s="1311"/>
      <c r="Y1244" s="1311"/>
      <c r="Z1244" s="1311"/>
    </row>
    <row r="1245" spans="1:26" x14ac:dyDescent="0.25">
      <c r="A1245" s="847" t="s">
        <v>1246</v>
      </c>
      <c r="B1245" s="1274" t="str">
        <f ca="1">_xlfn.CONCAT(IFERROR(SUBSTITUTE(ADDRESS(1,MATCH(A1245,INDIRECT("'"&amp;E1245&amp;"'"&amp;"!A9:Z9"),0),4),1,""),""),14)</f>
        <v>D14</v>
      </c>
      <c r="C1245" s="1274" t="str">
        <f t="shared" ca="1" si="217"/>
        <v>D</v>
      </c>
      <c r="D1245" s="1314" t="s">
        <v>1357</v>
      </c>
      <c r="E1245" s="791" t="s">
        <v>208</v>
      </c>
      <c r="F1245" s="1314"/>
      <c r="G1245" s="1314"/>
      <c r="H1245" s="1314"/>
      <c r="I1245" s="1274" t="str">
        <f t="shared" si="215"/>
        <v>Per</v>
      </c>
      <c r="J1245" s="1314" t="str">
        <f>IFERROR(Q$1&amp;M328,"")</f>
        <v>F297</v>
      </c>
      <c r="K1245" s="1314" t="str">
        <f t="shared" si="213"/>
        <v>PIM Model</v>
      </c>
      <c r="L1245" s="1314"/>
      <c r="M1245" s="1314"/>
      <c r="N1245" s="1314"/>
      <c r="O1245" s="1311"/>
      <c r="P1245" s="1311"/>
      <c r="Q1245" s="1311"/>
      <c r="R1245" s="1311"/>
      <c r="S1245" s="1311"/>
      <c r="T1245" s="1311"/>
      <c r="U1245" s="1311"/>
      <c r="V1245" s="1311"/>
      <c r="W1245" s="1311"/>
      <c r="X1245" s="1311"/>
      <c r="Y1245" s="1311"/>
      <c r="Z1245" s="1311"/>
    </row>
    <row r="1246" spans="1:26" x14ac:dyDescent="0.25">
      <c r="A1246" s="850" t="s">
        <v>1246</v>
      </c>
      <c r="B1246" s="1274" t="str">
        <f ca="1">_xlfn.CONCAT(IFERROR(SUBSTITUTE(ADDRESS(1,MATCH(A1246,INDIRECT("'"&amp;E1246&amp;"'"&amp;"!A9:Z9"),0),4),1,""),""),15)</f>
        <v>D15</v>
      </c>
      <c r="C1246" s="1274" t="str">
        <f t="shared" ca="1" si="217"/>
        <v>D</v>
      </c>
      <c r="D1246" s="1314" t="s">
        <v>1357</v>
      </c>
      <c r="E1246" s="791" t="s">
        <v>208</v>
      </c>
      <c r="F1246" s="1314"/>
      <c r="G1246" s="1314"/>
      <c r="H1246" s="1314"/>
      <c r="I1246" s="1274" t="str">
        <f t="shared" si="215"/>
        <v>Per</v>
      </c>
      <c r="J1246" s="1314" t="str">
        <f>IFERROR(Q$1&amp;M340,"")</f>
        <v>F309</v>
      </c>
      <c r="K1246" s="1314" t="str">
        <f t="shared" si="213"/>
        <v>PIM Model</v>
      </c>
      <c r="L1246" s="1314"/>
      <c r="M1246" s="1314"/>
      <c r="N1246" s="1314"/>
      <c r="O1246" s="1311"/>
      <c r="P1246" s="1311"/>
      <c r="Q1246" s="1311"/>
      <c r="R1246" s="1311"/>
      <c r="S1246" s="1311"/>
      <c r="T1246" s="1311"/>
      <c r="U1246" s="1311"/>
      <c r="V1246" s="1311"/>
      <c r="W1246" s="1311"/>
      <c r="X1246" s="1311"/>
      <c r="Y1246" s="1311"/>
      <c r="Z1246" s="1311"/>
    </row>
    <row r="1247" spans="1:26" x14ac:dyDescent="0.25">
      <c r="A1247" s="847" t="s">
        <v>1246</v>
      </c>
      <c r="B1247" s="1274" t="str">
        <f ca="1">_xlfn.CONCAT(IFERROR(SUBSTITUTE(ADDRESS(1,MATCH(A1247,INDIRECT("'"&amp;E1247&amp;"'"&amp;"!A9:Z9"),0),4),1,""),""),16)</f>
        <v>D16</v>
      </c>
      <c r="C1247" s="1274" t="str">
        <f t="shared" ca="1" si="217"/>
        <v>D</v>
      </c>
      <c r="D1247" s="1314" t="s">
        <v>1357</v>
      </c>
      <c r="E1247" s="791" t="s">
        <v>208</v>
      </c>
      <c r="F1247" s="1314"/>
      <c r="G1247" s="1314"/>
      <c r="H1247" s="1314"/>
      <c r="I1247" s="1274" t="str">
        <f t="shared" si="215"/>
        <v>Per</v>
      </c>
      <c r="J1247" s="1314" t="str">
        <f>IFERROR(Q$1&amp;M352,"")</f>
        <v>F321</v>
      </c>
      <c r="K1247" s="1314" t="str">
        <f t="shared" si="213"/>
        <v>PIM Model</v>
      </c>
      <c r="L1247" s="1314"/>
      <c r="M1247" s="1314"/>
      <c r="N1247" s="1314"/>
      <c r="O1247" s="1311"/>
      <c r="P1247" s="1311"/>
      <c r="Q1247" s="1311"/>
      <c r="R1247" s="1311"/>
      <c r="S1247" s="1311"/>
      <c r="T1247" s="1311"/>
      <c r="U1247" s="1311"/>
      <c r="V1247" s="1311"/>
      <c r="W1247" s="1311"/>
      <c r="X1247" s="1311"/>
      <c r="Y1247" s="1311"/>
      <c r="Z1247" s="1311"/>
    </row>
    <row r="1248" spans="1:26" x14ac:dyDescent="0.25">
      <c r="A1248" s="850" t="s">
        <v>1246</v>
      </c>
      <c r="B1248" s="1274" t="str">
        <f ca="1">_xlfn.CONCAT(IFERROR(SUBSTITUTE(ADDRESS(1,MATCH(A1248,INDIRECT("'"&amp;E1248&amp;"'"&amp;"!A9:Z9"),0),4),1,""),""),17)</f>
        <v>D17</v>
      </c>
      <c r="C1248" s="1274" t="str">
        <f t="shared" ca="1" si="217"/>
        <v>D</v>
      </c>
      <c r="D1248" s="1314" t="s">
        <v>1357</v>
      </c>
      <c r="E1248" s="791" t="s">
        <v>208</v>
      </c>
      <c r="F1248" s="1314"/>
      <c r="G1248" s="1314"/>
      <c r="H1248" s="1314"/>
      <c r="I1248" s="1274" t="str">
        <f t="shared" si="215"/>
        <v>Per</v>
      </c>
      <c r="J1248" s="1314" t="str">
        <f>IFERROR(Q$1&amp;M364,"")</f>
        <v>F333</v>
      </c>
      <c r="K1248" s="1314" t="str">
        <f t="shared" si="213"/>
        <v>PIM Model</v>
      </c>
      <c r="L1248" s="1314"/>
      <c r="M1248" s="1314"/>
      <c r="N1248" s="1314"/>
      <c r="O1248" s="1311"/>
      <c r="P1248" s="1311"/>
      <c r="Q1248" s="1311"/>
      <c r="R1248" s="1311"/>
      <c r="S1248" s="1311"/>
      <c r="T1248" s="1311"/>
      <c r="U1248" s="1311"/>
      <c r="V1248" s="1311"/>
      <c r="W1248" s="1311"/>
      <c r="X1248" s="1311"/>
      <c r="Y1248" s="1311"/>
      <c r="Z1248" s="1311"/>
    </row>
    <row r="1249" spans="1:26" x14ac:dyDescent="0.25">
      <c r="A1249" s="847" t="s">
        <v>1246</v>
      </c>
      <c r="B1249" s="1274" t="str">
        <f ca="1">_xlfn.CONCAT(IFERROR(SUBSTITUTE(ADDRESS(1,MATCH(A1249,INDIRECT("'"&amp;E1249&amp;"'"&amp;"!A9:Z9"),0),4),1,""),""),18)</f>
        <v>D18</v>
      </c>
      <c r="C1249" s="1274" t="str">
        <f t="shared" ca="1" si="217"/>
        <v>D</v>
      </c>
      <c r="D1249" s="1314" t="s">
        <v>1357</v>
      </c>
      <c r="E1249" s="791" t="s">
        <v>208</v>
      </c>
      <c r="F1249" s="1314"/>
      <c r="G1249" s="1314"/>
      <c r="H1249" s="1314"/>
      <c r="I1249" s="1274" t="str">
        <f t="shared" si="215"/>
        <v>Per</v>
      </c>
      <c r="J1249" s="1314" t="str">
        <f>IFERROR(Q$1&amp;M376,"")</f>
        <v>F345</v>
      </c>
      <c r="K1249" s="1314" t="str">
        <f t="shared" si="213"/>
        <v>PIM Model</v>
      </c>
      <c r="L1249" s="1314"/>
      <c r="M1249" s="1314"/>
      <c r="N1249" s="1314"/>
      <c r="O1249" s="1311"/>
      <c r="P1249" s="1311"/>
      <c r="Q1249" s="1311"/>
      <c r="R1249" s="1311"/>
      <c r="S1249" s="1311"/>
      <c r="T1249" s="1311"/>
      <c r="U1249" s="1311"/>
      <c r="V1249" s="1311"/>
      <c r="W1249" s="1311"/>
      <c r="X1249" s="1311"/>
      <c r="Y1249" s="1311"/>
      <c r="Z1249" s="1311"/>
    </row>
    <row r="1250" spans="1:26" x14ac:dyDescent="0.25">
      <c r="A1250" s="850" t="s">
        <v>1246</v>
      </c>
      <c r="B1250" s="1274" t="str">
        <f ca="1">_xlfn.CONCAT(IFERROR(SUBSTITUTE(ADDRESS(1,MATCH(A1250,INDIRECT("'"&amp;E1250&amp;"'"&amp;"!A9:Z9"),0),4),1,""),""),19)</f>
        <v>D19</v>
      </c>
      <c r="C1250" s="1274" t="str">
        <f t="shared" ca="1" si="217"/>
        <v>D</v>
      </c>
      <c r="D1250" s="1314" t="s">
        <v>1357</v>
      </c>
      <c r="E1250" s="791" t="s">
        <v>208</v>
      </c>
      <c r="F1250" s="1314"/>
      <c r="G1250" s="1314"/>
      <c r="H1250" s="1314"/>
      <c r="I1250" s="1274" t="str">
        <f t="shared" si="215"/>
        <v>Per</v>
      </c>
      <c r="J1250" s="1314" t="str">
        <f>IFERROR(Q$1&amp;M388,"")</f>
        <v>F357</v>
      </c>
      <c r="K1250" s="1314" t="str">
        <f t="shared" si="213"/>
        <v>PIM Model</v>
      </c>
      <c r="L1250" s="1314"/>
      <c r="M1250" s="1314"/>
      <c r="N1250" s="1314"/>
      <c r="O1250" s="1311"/>
      <c r="P1250" s="1311"/>
      <c r="Q1250" s="1311"/>
      <c r="R1250" s="1311"/>
      <c r="S1250" s="1311"/>
      <c r="T1250" s="1311"/>
      <c r="U1250" s="1311"/>
      <c r="V1250" s="1311"/>
      <c r="W1250" s="1311"/>
      <c r="X1250" s="1311"/>
      <c r="Y1250" s="1311"/>
      <c r="Z1250" s="1311"/>
    </row>
    <row r="1251" spans="1:26" x14ac:dyDescent="0.25">
      <c r="A1251" s="847" t="s">
        <v>1246</v>
      </c>
      <c r="B1251" s="1274" t="str">
        <f ca="1">_xlfn.CONCAT(IFERROR(SUBSTITUTE(ADDRESS(1,MATCH(A1251,INDIRECT("'"&amp;E1251&amp;"'"&amp;"!A9:Z9"),0),4),1,""),""),20)</f>
        <v>D20</v>
      </c>
      <c r="C1251" s="1274" t="str">
        <f t="shared" ca="1" si="217"/>
        <v>D</v>
      </c>
      <c r="D1251" s="1314" t="s">
        <v>1357</v>
      </c>
      <c r="E1251" s="791" t="s">
        <v>208</v>
      </c>
      <c r="F1251" s="1314"/>
      <c r="G1251" s="1314"/>
      <c r="H1251" s="1314"/>
      <c r="I1251" s="1274" t="str">
        <f t="shared" si="215"/>
        <v>Per</v>
      </c>
      <c r="J1251" s="1314" t="str">
        <f>IFERROR(Q$1&amp;M400,"")</f>
        <v>F369</v>
      </c>
      <c r="K1251" s="1314" t="str">
        <f t="shared" si="213"/>
        <v>PIM Model</v>
      </c>
      <c r="L1251" s="1314"/>
      <c r="M1251" s="1314"/>
      <c r="N1251" s="1314"/>
      <c r="O1251" s="1311"/>
      <c r="P1251" s="1311"/>
      <c r="Q1251" s="1311"/>
      <c r="R1251" s="1311"/>
      <c r="S1251" s="1311"/>
      <c r="T1251" s="1311"/>
      <c r="U1251" s="1311"/>
      <c r="V1251" s="1311"/>
      <c r="W1251" s="1311"/>
      <c r="X1251" s="1311"/>
      <c r="Y1251" s="1311"/>
      <c r="Z1251" s="1311"/>
    </row>
    <row r="1252" spans="1:26" x14ac:dyDescent="0.25">
      <c r="A1252" s="850" t="s">
        <v>1246</v>
      </c>
      <c r="B1252" s="1274" t="str">
        <f ca="1">_xlfn.CONCAT(IFERROR(SUBSTITUTE(ADDRESS(1,MATCH(A1252,INDIRECT("'"&amp;E1252&amp;"'"&amp;"!A9:Z9"),0),4),1,""),""),21)</f>
        <v>D21</v>
      </c>
      <c r="C1252" s="1274" t="str">
        <f t="shared" ca="1" si="217"/>
        <v>D</v>
      </c>
      <c r="D1252" s="1314" t="s">
        <v>1357</v>
      </c>
      <c r="E1252" s="791" t="s">
        <v>208</v>
      </c>
      <c r="F1252" s="1314"/>
      <c r="G1252" s="1314"/>
      <c r="H1252" s="1314"/>
      <c r="I1252" s="1274" t="str">
        <f t="shared" si="215"/>
        <v>Per</v>
      </c>
      <c r="J1252" s="1314" t="str">
        <f>IFERROR(Q$1&amp;M412,"")</f>
        <v>F381</v>
      </c>
      <c r="K1252" s="1314" t="str">
        <f t="shared" si="213"/>
        <v>PIM Model</v>
      </c>
      <c r="L1252" s="1314"/>
      <c r="M1252" s="1314"/>
      <c r="N1252" s="1314"/>
      <c r="O1252" s="1311"/>
      <c r="P1252" s="1311"/>
      <c r="Q1252" s="1311"/>
      <c r="R1252" s="1311"/>
      <c r="S1252" s="1311"/>
      <c r="T1252" s="1311"/>
      <c r="U1252" s="1311"/>
      <c r="V1252" s="1311"/>
      <c r="W1252" s="1311"/>
      <c r="X1252" s="1311"/>
      <c r="Y1252" s="1311"/>
      <c r="Z1252" s="1311"/>
    </row>
    <row r="1253" spans="1:26" x14ac:dyDescent="0.25">
      <c r="A1253" s="847" t="s">
        <v>1246</v>
      </c>
      <c r="B1253" s="1274" t="str">
        <f ca="1">_xlfn.CONCAT(IFERROR(SUBSTITUTE(ADDRESS(1,MATCH(A1253,INDIRECT("'"&amp;E1253&amp;"'"&amp;"!A9:Z9"),0),4),1,""),""),22)</f>
        <v>D22</v>
      </c>
      <c r="C1253" s="1274" t="str">
        <f t="shared" ca="1" si="217"/>
        <v>D</v>
      </c>
      <c r="D1253" s="1314" t="s">
        <v>1357</v>
      </c>
      <c r="E1253" s="791" t="s">
        <v>208</v>
      </c>
      <c r="F1253" s="1314"/>
      <c r="G1253" s="1314"/>
      <c r="H1253" s="1314"/>
      <c r="I1253" s="1274" t="str">
        <f t="shared" si="215"/>
        <v>Per</v>
      </c>
      <c r="J1253" s="1314" t="str">
        <f>IFERROR(Q$1&amp;M424,"")</f>
        <v>F393</v>
      </c>
      <c r="K1253" s="1314" t="str">
        <f t="shared" si="213"/>
        <v>PIM Model</v>
      </c>
      <c r="L1253" s="1314"/>
      <c r="M1253" s="1314"/>
      <c r="N1253" s="1314"/>
      <c r="O1253" s="1311"/>
      <c r="P1253" s="1311"/>
      <c r="Q1253" s="1311"/>
      <c r="R1253" s="1311"/>
      <c r="S1253" s="1311"/>
      <c r="T1253" s="1311"/>
      <c r="U1253" s="1311"/>
      <c r="V1253" s="1311"/>
      <c r="W1253" s="1311"/>
      <c r="X1253" s="1311"/>
      <c r="Y1253" s="1311"/>
      <c r="Z1253" s="1311"/>
    </row>
    <row r="1254" spans="1:26" x14ac:dyDescent="0.25">
      <c r="A1254" s="850" t="s">
        <v>1246</v>
      </c>
      <c r="B1254" s="1274" t="str">
        <f ca="1">_xlfn.CONCAT(IFERROR(SUBSTITUTE(ADDRESS(1,MATCH(A1254,INDIRECT("'"&amp;E1254&amp;"'"&amp;"!A9:Z9"),0),4),1,""),""),23)</f>
        <v>D23</v>
      </c>
      <c r="C1254" s="1274" t="str">
        <f t="shared" ca="1" si="217"/>
        <v>D</v>
      </c>
      <c r="D1254" s="1314" t="s">
        <v>1357</v>
      </c>
      <c r="E1254" s="791" t="s">
        <v>208</v>
      </c>
      <c r="F1254" s="1314"/>
      <c r="G1254" s="1314"/>
      <c r="H1254" s="1314"/>
      <c r="I1254" s="1274" t="str">
        <f t="shared" si="215"/>
        <v>Per</v>
      </c>
      <c r="J1254" s="1314" t="str">
        <f>IFERROR(Q$1&amp;M436,"")</f>
        <v>F405</v>
      </c>
      <c r="K1254" s="1314" t="str">
        <f t="shared" si="213"/>
        <v>PIM Model</v>
      </c>
      <c r="L1254" s="1314"/>
      <c r="M1254" s="1314"/>
      <c r="N1254" s="1314"/>
      <c r="O1254" s="1311"/>
      <c r="P1254" s="1311"/>
      <c r="Q1254" s="1311"/>
      <c r="R1254" s="1311"/>
      <c r="S1254" s="1311"/>
      <c r="T1254" s="1311"/>
      <c r="U1254" s="1311"/>
      <c r="V1254" s="1311"/>
      <c r="W1254" s="1311"/>
      <c r="X1254" s="1311"/>
      <c r="Y1254" s="1311"/>
      <c r="Z1254" s="1311"/>
    </row>
    <row r="1255" spans="1:26" x14ac:dyDescent="0.25">
      <c r="A1255" s="847" t="s">
        <v>1246</v>
      </c>
      <c r="B1255" s="1274" t="str">
        <f ca="1">_xlfn.CONCAT(IFERROR(SUBSTITUTE(ADDRESS(1,MATCH(A1255,INDIRECT("'"&amp;E1255&amp;"'"&amp;"!A9:Z9"),0),4),1,""),""),24)</f>
        <v>D24</v>
      </c>
      <c r="C1255" s="1274" t="str">
        <f t="shared" ca="1" si="217"/>
        <v>D</v>
      </c>
      <c r="D1255" s="1314" t="s">
        <v>1357</v>
      </c>
      <c r="E1255" s="791" t="s">
        <v>208</v>
      </c>
      <c r="F1255" s="1314"/>
      <c r="G1255" s="1314"/>
      <c r="H1255" s="1314"/>
      <c r="I1255" s="1274" t="str">
        <f t="shared" si="215"/>
        <v>Per</v>
      </c>
      <c r="J1255" s="1314" t="str">
        <f>IFERROR(Q$1&amp;M448,"")</f>
        <v>F417</v>
      </c>
      <c r="K1255" s="1314" t="str">
        <f t="shared" si="213"/>
        <v>PIM Model</v>
      </c>
      <c r="L1255" s="1314"/>
      <c r="M1255" s="1314"/>
      <c r="N1255" s="1314"/>
      <c r="O1255" s="1311"/>
      <c r="P1255" s="1311"/>
      <c r="Q1255" s="1311"/>
      <c r="R1255" s="1311"/>
      <c r="S1255" s="1311"/>
      <c r="T1255" s="1311"/>
      <c r="U1255" s="1311"/>
      <c r="V1255" s="1311"/>
      <c r="W1255" s="1311"/>
      <c r="X1255" s="1311"/>
      <c r="Y1255" s="1311"/>
      <c r="Z1255" s="1311"/>
    </row>
    <row r="1256" spans="1:26" x14ac:dyDescent="0.25">
      <c r="A1256" s="850" t="s">
        <v>1246</v>
      </c>
      <c r="B1256" s="1274" t="str">
        <f ca="1">_xlfn.CONCAT(IFERROR(SUBSTITUTE(ADDRESS(1,MATCH(A1256,INDIRECT("'"&amp;E1256&amp;"'"&amp;"!A9:Z9"),0),4),1,""),""),25)</f>
        <v>D25</v>
      </c>
      <c r="C1256" s="1274" t="str">
        <f t="shared" ca="1" si="217"/>
        <v>D</v>
      </c>
      <c r="D1256" s="1314" t="s">
        <v>1357</v>
      </c>
      <c r="E1256" s="791" t="s">
        <v>208</v>
      </c>
      <c r="F1256" s="1314"/>
      <c r="G1256" s="1314"/>
      <c r="H1256" s="1314"/>
      <c r="I1256" s="1274" t="str">
        <f t="shared" si="215"/>
        <v>Per</v>
      </c>
      <c r="J1256" s="1314" t="str">
        <f>IFERROR(Q$1&amp;M460,"")</f>
        <v>F429</v>
      </c>
      <c r="K1256" s="1314" t="str">
        <f t="shared" si="213"/>
        <v>PIM Model</v>
      </c>
      <c r="L1256" s="1314"/>
      <c r="M1256" s="1314"/>
      <c r="N1256" s="1314"/>
      <c r="O1256" s="1311"/>
      <c r="P1256" s="1311"/>
      <c r="Q1256" s="1311"/>
      <c r="R1256" s="1311"/>
      <c r="S1256" s="1311"/>
      <c r="T1256" s="1311"/>
      <c r="U1256" s="1311"/>
      <c r="V1256" s="1311"/>
      <c r="W1256" s="1311"/>
      <c r="X1256" s="1311"/>
      <c r="Y1256" s="1311"/>
      <c r="Z1256" s="1311"/>
    </row>
    <row r="1257" spans="1:26" x14ac:dyDescent="0.25">
      <c r="A1257" s="847" t="s">
        <v>1246</v>
      </c>
      <c r="B1257" s="1274" t="str">
        <f ca="1">_xlfn.CONCAT(IFERROR(SUBSTITUTE(ADDRESS(1,MATCH(A1257,INDIRECT("'"&amp;E1257&amp;"'"&amp;"!A9:Z9"),0),4),1,""),""),26)</f>
        <v>D26</v>
      </c>
      <c r="C1257" s="1274" t="str">
        <f t="shared" ca="1" si="217"/>
        <v>D</v>
      </c>
      <c r="D1257" s="1314" t="s">
        <v>1357</v>
      </c>
      <c r="E1257" s="791" t="s">
        <v>208</v>
      </c>
      <c r="F1257" s="1314"/>
      <c r="G1257" s="1314"/>
      <c r="H1257" s="1314"/>
      <c r="I1257" s="1274" t="str">
        <f t="shared" si="215"/>
        <v>Per</v>
      </c>
      <c r="J1257" s="1314" t="str">
        <f>IFERROR(Q$1&amp;M472,"")</f>
        <v>F441</v>
      </c>
      <c r="K1257" s="1314" t="str">
        <f t="shared" si="213"/>
        <v>PIM Model</v>
      </c>
      <c r="L1257" s="1314"/>
      <c r="M1257" s="1314"/>
      <c r="N1257" s="1314"/>
      <c r="O1257" s="1311"/>
      <c r="P1257" s="1311"/>
      <c r="Q1257" s="1311"/>
      <c r="R1257" s="1311"/>
      <c r="S1257" s="1311"/>
      <c r="T1257" s="1311"/>
      <c r="U1257" s="1311"/>
      <c r="V1257" s="1311"/>
      <c r="W1257" s="1311"/>
      <c r="X1257" s="1311"/>
      <c r="Y1257" s="1311"/>
      <c r="Z1257" s="1311"/>
    </row>
    <row r="1258" spans="1:26" x14ac:dyDescent="0.25">
      <c r="A1258" s="850" t="s">
        <v>1246</v>
      </c>
      <c r="B1258" s="1274" t="str">
        <f ca="1">_xlfn.CONCAT(IFERROR(SUBSTITUTE(ADDRESS(1,MATCH(A1258,INDIRECT("'"&amp;E1258&amp;"'"&amp;"!A9:Z9"),0),4),1,""),""),27)</f>
        <v>D27</v>
      </c>
      <c r="C1258" s="1274" t="str">
        <f t="shared" ca="1" si="217"/>
        <v>D</v>
      </c>
      <c r="D1258" s="1314" t="s">
        <v>1357</v>
      </c>
      <c r="E1258" s="791" t="s">
        <v>208</v>
      </c>
      <c r="F1258" s="1314"/>
      <c r="G1258" s="1314"/>
      <c r="H1258" s="1314"/>
      <c r="I1258" s="1274" t="str">
        <f t="shared" si="215"/>
        <v>Per</v>
      </c>
      <c r="J1258" s="1314" t="str">
        <f>IFERROR(Q$1&amp;M484,"")</f>
        <v>F453</v>
      </c>
      <c r="K1258" s="1314" t="str">
        <f t="shared" si="213"/>
        <v>PIM Model</v>
      </c>
      <c r="L1258" s="1314"/>
      <c r="M1258" s="1314"/>
      <c r="N1258" s="1314"/>
      <c r="O1258" s="1311"/>
      <c r="P1258" s="1311"/>
      <c r="Q1258" s="1311"/>
      <c r="R1258" s="1311"/>
      <c r="S1258" s="1311"/>
      <c r="T1258" s="1311"/>
      <c r="U1258" s="1311"/>
      <c r="V1258" s="1311"/>
      <c r="W1258" s="1311"/>
      <c r="X1258" s="1311"/>
      <c r="Y1258" s="1311"/>
      <c r="Z1258" s="1311"/>
    </row>
    <row r="1259" spans="1:26" x14ac:dyDescent="0.25">
      <c r="A1259" s="847" t="s">
        <v>1246</v>
      </c>
      <c r="B1259" s="1274" t="str">
        <f ca="1">_xlfn.CONCAT(IFERROR(SUBSTITUTE(ADDRESS(1,MATCH(A1259,INDIRECT("'"&amp;E1259&amp;"'"&amp;"!A9:Z9"),0),4),1,""),""),28)</f>
        <v>D28</v>
      </c>
      <c r="C1259" s="1274" t="str">
        <f t="shared" ca="1" si="217"/>
        <v>D</v>
      </c>
      <c r="D1259" s="1314" t="s">
        <v>1357</v>
      </c>
      <c r="E1259" s="791" t="s">
        <v>208</v>
      </c>
      <c r="F1259" s="1314"/>
      <c r="G1259" s="1314"/>
      <c r="H1259" s="1314"/>
      <c r="I1259" s="1274" t="str">
        <f t="shared" si="215"/>
        <v>Per</v>
      </c>
      <c r="J1259" s="1314" t="str">
        <f>IFERROR(Q$1&amp;M496,"")</f>
        <v>F465</v>
      </c>
      <c r="K1259" s="1314" t="str">
        <f t="shared" si="213"/>
        <v>PIM Model</v>
      </c>
      <c r="L1259" s="1314"/>
      <c r="M1259" s="1314"/>
      <c r="N1259" s="1314"/>
      <c r="O1259" s="1311"/>
      <c r="P1259" s="1311"/>
      <c r="Q1259" s="1311"/>
      <c r="R1259" s="1311"/>
      <c r="S1259" s="1311"/>
      <c r="T1259" s="1311"/>
      <c r="U1259" s="1311"/>
      <c r="V1259" s="1311"/>
      <c r="W1259" s="1311"/>
      <c r="X1259" s="1311"/>
      <c r="Y1259" s="1311"/>
      <c r="Z1259" s="1311"/>
    </row>
    <row r="1260" spans="1:26" x14ac:dyDescent="0.25">
      <c r="A1260" s="850" t="s">
        <v>1246</v>
      </c>
      <c r="B1260" s="1274" t="str">
        <f ca="1">_xlfn.CONCAT(IFERROR(SUBSTITUTE(ADDRESS(1,MATCH(A1260,INDIRECT("'"&amp;E1260&amp;"'"&amp;"!A9:Z9"),0),4),1,""),""),29)</f>
        <v>D29</v>
      </c>
      <c r="C1260" s="1274" t="str">
        <f t="shared" ca="1" si="217"/>
        <v>D</v>
      </c>
      <c r="D1260" s="1314" t="s">
        <v>1357</v>
      </c>
      <c r="E1260" s="791" t="s">
        <v>208</v>
      </c>
      <c r="F1260" s="1314"/>
      <c r="G1260" s="1314"/>
      <c r="H1260" s="1314"/>
      <c r="I1260" s="1274" t="str">
        <f t="shared" si="215"/>
        <v>Per</v>
      </c>
      <c r="J1260" s="1314" t="str">
        <f>IFERROR(Q$1&amp;M508,"")</f>
        <v>F477</v>
      </c>
      <c r="K1260" s="1314" t="str">
        <f t="shared" si="213"/>
        <v>PIM Model</v>
      </c>
      <c r="L1260" s="1314"/>
      <c r="M1260" s="1314"/>
      <c r="N1260" s="1314"/>
      <c r="O1260" s="1311"/>
      <c r="P1260" s="1311"/>
      <c r="Q1260" s="1311"/>
      <c r="R1260" s="1311"/>
      <c r="S1260" s="1311"/>
      <c r="T1260" s="1311"/>
      <c r="U1260" s="1311"/>
      <c r="V1260" s="1311"/>
      <c r="W1260" s="1311"/>
      <c r="X1260" s="1311"/>
      <c r="Y1260" s="1311"/>
      <c r="Z1260" s="1311"/>
    </row>
    <row r="1261" spans="1:26" x14ac:dyDescent="0.25">
      <c r="A1261" s="847" t="s">
        <v>1246</v>
      </c>
      <c r="B1261" s="1274" t="str">
        <f ca="1">_xlfn.CONCAT(IFERROR(SUBSTITUTE(ADDRESS(1,MATCH(A1261,INDIRECT("'"&amp;E1261&amp;"'"&amp;"!A9:Z9"),0),4),1,""),""),30)</f>
        <v>D30</v>
      </c>
      <c r="C1261" s="1274" t="str">
        <f t="shared" ca="1" si="217"/>
        <v>D</v>
      </c>
      <c r="D1261" s="1314" t="s">
        <v>1357</v>
      </c>
      <c r="E1261" s="791" t="s">
        <v>208</v>
      </c>
      <c r="F1261" s="1314"/>
      <c r="G1261" s="1314"/>
      <c r="H1261" s="1314"/>
      <c r="I1261" s="1274" t="str">
        <f t="shared" si="215"/>
        <v>Per</v>
      </c>
      <c r="J1261" s="1314" t="str">
        <f>IFERROR(Q$1&amp;M520,"")</f>
        <v>F489</v>
      </c>
      <c r="K1261" s="1314" t="str">
        <f t="shared" si="213"/>
        <v>PIM Model</v>
      </c>
      <c r="L1261" s="1314"/>
      <c r="M1261" s="1314"/>
      <c r="N1261" s="1314"/>
      <c r="O1261" s="1311"/>
      <c r="P1261" s="1311"/>
      <c r="Q1261" s="1311"/>
      <c r="R1261" s="1311"/>
      <c r="S1261" s="1311"/>
      <c r="T1261" s="1311"/>
      <c r="U1261" s="1311"/>
      <c r="V1261" s="1311"/>
      <c r="W1261" s="1311"/>
      <c r="X1261" s="1311"/>
      <c r="Y1261" s="1311"/>
      <c r="Z1261" s="1311"/>
    </row>
    <row r="1262" spans="1:26" x14ac:dyDescent="0.25">
      <c r="A1262" s="847" t="s">
        <v>225</v>
      </c>
      <c r="B1262" s="1274" t="str">
        <f ca="1">_xlfn.CONCAT(IFERROR(SUBSTITUTE(ADDRESS(1,MATCH(A1262,INDIRECT("'"&amp;E1262&amp;"'"&amp;"!A9:Z9"),0),4),1,""),""),10)</f>
        <v>K10</v>
      </c>
      <c r="C1262" s="1274" t="str">
        <f ca="1">_xlfn.CONCAT(IFERROR(SUBSTITUTE(ADDRESS(1,MATCH(A1262,INDIRECT("'"&amp;E1262&amp;"'"&amp;"!A9:Z9"),0),4),1,""),""))</f>
        <v>K</v>
      </c>
      <c r="D1262" s="1314" t="s">
        <v>1357</v>
      </c>
      <c r="E1262" s="791" t="s">
        <v>208</v>
      </c>
      <c r="F1262" s="1314"/>
      <c r="G1262" s="1314"/>
      <c r="H1262" s="1314"/>
      <c r="I1262" s="1274" t="str">
        <f t="shared" si="215"/>
        <v>Enter Margin</v>
      </c>
      <c r="J1262" s="1314" t="str">
        <f>IFERROR(Q$1&amp;M281,"")</f>
        <v>F250</v>
      </c>
      <c r="K1262" s="1314" t="str">
        <f t="shared" si="213"/>
        <v>PIM Model</v>
      </c>
      <c r="L1262" s="1314"/>
      <c r="M1262" s="1314"/>
      <c r="N1262" s="1314"/>
      <c r="O1262" s="1311"/>
      <c r="P1262" s="1311"/>
      <c r="Q1262" s="1311"/>
      <c r="R1262" s="1311"/>
      <c r="S1262" s="1311"/>
      <c r="T1262" s="1311"/>
      <c r="U1262" s="1311"/>
      <c r="V1262" s="1311"/>
      <c r="W1262" s="1311"/>
      <c r="X1262" s="1311"/>
      <c r="Y1262" s="1311"/>
      <c r="Z1262" s="1311"/>
    </row>
    <row r="1263" spans="1:26" x14ac:dyDescent="0.25">
      <c r="A1263" s="850" t="s">
        <v>225</v>
      </c>
      <c r="B1263" s="1274" t="str">
        <f ca="1">_xlfn.CONCAT(IFERROR(SUBSTITUTE(ADDRESS(1,MATCH(A1263,INDIRECT("'"&amp;E1263&amp;"'"&amp;"!A9:Z9"),0),4),1,""),""),11)</f>
        <v>K11</v>
      </c>
      <c r="C1263" s="1274" t="str">
        <f t="shared" ref="C1263:C1282" ca="1" si="218">_xlfn.CONCAT(IFERROR(SUBSTITUTE(ADDRESS(1,MATCH(A1263,INDIRECT("'"&amp;E1263&amp;"'"&amp;"!A9:Z9"),0),4),1,""),""))</f>
        <v>K</v>
      </c>
      <c r="D1263" s="1314" t="s">
        <v>1357</v>
      </c>
      <c r="E1263" s="791" t="s">
        <v>208</v>
      </c>
      <c r="F1263" s="1314"/>
      <c r="G1263" s="1314"/>
      <c r="H1263" s="1314"/>
      <c r="I1263" s="1274" t="str">
        <f t="shared" si="215"/>
        <v>Enter Margin</v>
      </c>
      <c r="J1263" s="1314" t="str">
        <f>IFERROR(Q$1&amp;M293,"")</f>
        <v>F262</v>
      </c>
      <c r="K1263" s="1314" t="str">
        <f t="shared" si="213"/>
        <v>PIM Model</v>
      </c>
      <c r="L1263" s="1314"/>
      <c r="M1263" s="1314"/>
      <c r="N1263" s="1314"/>
      <c r="O1263" s="1311"/>
      <c r="P1263" s="1311"/>
      <c r="Q1263" s="1311"/>
      <c r="R1263" s="1311"/>
      <c r="S1263" s="1311"/>
      <c r="T1263" s="1311"/>
      <c r="U1263" s="1311"/>
      <c r="V1263" s="1311"/>
      <c r="W1263" s="1311"/>
      <c r="X1263" s="1311"/>
      <c r="Y1263" s="1311"/>
      <c r="Z1263" s="1311"/>
    </row>
    <row r="1264" spans="1:26" x14ac:dyDescent="0.25">
      <c r="A1264" s="847" t="s">
        <v>225</v>
      </c>
      <c r="B1264" s="1274" t="str">
        <f ca="1">_xlfn.CONCAT(IFERROR(SUBSTITUTE(ADDRESS(1,MATCH(A1264,INDIRECT("'"&amp;E1264&amp;"'"&amp;"!A9:Z9"),0),4),1,""),""),12)</f>
        <v>K12</v>
      </c>
      <c r="C1264" s="1274" t="str">
        <f t="shared" ca="1" si="218"/>
        <v>K</v>
      </c>
      <c r="D1264" s="1314" t="s">
        <v>1357</v>
      </c>
      <c r="E1264" s="791" t="s">
        <v>208</v>
      </c>
      <c r="F1264" s="1314"/>
      <c r="G1264" s="1314"/>
      <c r="H1264" s="1314"/>
      <c r="I1264" s="1274" t="str">
        <f t="shared" si="215"/>
        <v>Enter Margin</v>
      </c>
      <c r="J1264" s="1314" t="str">
        <f>IFERROR(Q$1&amp;M305,"")</f>
        <v>F274</v>
      </c>
      <c r="K1264" s="1314" t="str">
        <f t="shared" si="213"/>
        <v>PIM Model</v>
      </c>
      <c r="L1264" s="1314"/>
      <c r="M1264" s="1314"/>
      <c r="N1264" s="1314"/>
      <c r="O1264" s="1311"/>
      <c r="P1264" s="1311"/>
      <c r="Q1264" s="1311"/>
      <c r="R1264" s="1311"/>
      <c r="S1264" s="1311"/>
      <c r="T1264" s="1311"/>
      <c r="U1264" s="1311"/>
      <c r="V1264" s="1311"/>
      <c r="W1264" s="1311"/>
      <c r="X1264" s="1311"/>
      <c r="Y1264" s="1311"/>
      <c r="Z1264" s="1311"/>
    </row>
    <row r="1265" spans="1:26" x14ac:dyDescent="0.25">
      <c r="A1265" s="850" t="s">
        <v>225</v>
      </c>
      <c r="B1265" s="1274" t="str">
        <f ca="1">_xlfn.CONCAT(IFERROR(SUBSTITUTE(ADDRESS(1,MATCH(A1265,INDIRECT("'"&amp;E1265&amp;"'"&amp;"!A9:Z9"),0),4),1,""),""),13)</f>
        <v>K13</v>
      </c>
      <c r="C1265" s="1274" t="str">
        <f t="shared" ca="1" si="218"/>
        <v>K</v>
      </c>
      <c r="D1265" s="1314" t="s">
        <v>1357</v>
      </c>
      <c r="E1265" s="791" t="s">
        <v>208</v>
      </c>
      <c r="F1265" s="1314"/>
      <c r="G1265" s="1314"/>
      <c r="H1265" s="1314"/>
      <c r="I1265" s="1274" t="str">
        <f t="shared" si="215"/>
        <v>Enter Margin</v>
      </c>
      <c r="J1265" s="1314" t="str">
        <f>IFERROR(Q$1&amp;M317,"")</f>
        <v>F286</v>
      </c>
      <c r="K1265" s="1314" t="str">
        <f t="shared" si="213"/>
        <v>PIM Model</v>
      </c>
      <c r="L1265" s="1314"/>
      <c r="M1265" s="1314"/>
      <c r="N1265" s="1314"/>
      <c r="O1265" s="1311"/>
      <c r="P1265" s="1311"/>
      <c r="Q1265" s="1311"/>
      <c r="R1265" s="1311"/>
      <c r="S1265" s="1311"/>
      <c r="T1265" s="1311"/>
      <c r="U1265" s="1311"/>
      <c r="V1265" s="1311"/>
      <c r="W1265" s="1311"/>
      <c r="X1265" s="1311"/>
      <c r="Y1265" s="1311"/>
      <c r="Z1265" s="1311"/>
    </row>
    <row r="1266" spans="1:26" x14ac:dyDescent="0.25">
      <c r="A1266" s="847" t="s">
        <v>225</v>
      </c>
      <c r="B1266" s="1274" t="str">
        <f ca="1">_xlfn.CONCAT(IFERROR(SUBSTITUTE(ADDRESS(1,MATCH(A1266,INDIRECT("'"&amp;E1266&amp;"'"&amp;"!A9:Z9"),0),4),1,""),""),14)</f>
        <v>K14</v>
      </c>
      <c r="C1266" s="1274" t="str">
        <f t="shared" ca="1" si="218"/>
        <v>K</v>
      </c>
      <c r="D1266" s="1314" t="s">
        <v>1357</v>
      </c>
      <c r="E1266" s="791" t="s">
        <v>208</v>
      </c>
      <c r="F1266" s="1314"/>
      <c r="G1266" s="1314"/>
      <c r="H1266" s="1314"/>
      <c r="I1266" s="1274" t="str">
        <f t="shared" si="215"/>
        <v>Enter Margin</v>
      </c>
      <c r="J1266" s="1314" t="str">
        <f>IFERROR(Q$1&amp;M329,"")</f>
        <v>F298</v>
      </c>
      <c r="K1266" s="1314" t="str">
        <f t="shared" si="213"/>
        <v>PIM Model</v>
      </c>
      <c r="L1266" s="1314"/>
      <c r="M1266" s="1314"/>
      <c r="N1266" s="1314"/>
      <c r="O1266" s="1311"/>
      <c r="P1266" s="1311"/>
      <c r="Q1266" s="1311"/>
      <c r="R1266" s="1311"/>
      <c r="S1266" s="1311"/>
      <c r="T1266" s="1311"/>
      <c r="U1266" s="1311"/>
      <c r="V1266" s="1311"/>
      <c r="W1266" s="1311"/>
      <c r="X1266" s="1311"/>
      <c r="Y1266" s="1311"/>
      <c r="Z1266" s="1311"/>
    </row>
    <row r="1267" spans="1:26" x14ac:dyDescent="0.25">
      <c r="A1267" s="850" t="s">
        <v>225</v>
      </c>
      <c r="B1267" s="1274" t="str">
        <f ca="1">_xlfn.CONCAT(IFERROR(SUBSTITUTE(ADDRESS(1,MATCH(A1267,INDIRECT("'"&amp;E1267&amp;"'"&amp;"!A9:Z9"),0),4),1,""),""),15)</f>
        <v>K15</v>
      </c>
      <c r="C1267" s="1274" t="str">
        <f t="shared" ca="1" si="218"/>
        <v>K</v>
      </c>
      <c r="D1267" s="1314" t="s">
        <v>1357</v>
      </c>
      <c r="E1267" s="791" t="s">
        <v>208</v>
      </c>
      <c r="F1267" s="1314"/>
      <c r="G1267" s="1314"/>
      <c r="H1267" s="1314"/>
      <c r="I1267" s="1274" t="str">
        <f t="shared" si="215"/>
        <v>Enter Margin</v>
      </c>
      <c r="J1267" s="1314" t="str">
        <f>IFERROR(Q$1&amp;M341,"")</f>
        <v>F310</v>
      </c>
      <c r="K1267" s="1314" t="str">
        <f t="shared" si="213"/>
        <v>PIM Model</v>
      </c>
      <c r="L1267" s="1314"/>
      <c r="M1267" s="1314"/>
      <c r="N1267" s="1314"/>
      <c r="O1267" s="1311"/>
      <c r="P1267" s="1311"/>
      <c r="Q1267" s="1311"/>
      <c r="R1267" s="1311"/>
      <c r="S1267" s="1311"/>
      <c r="T1267" s="1311"/>
      <c r="U1267" s="1311"/>
      <c r="V1267" s="1311"/>
      <c r="W1267" s="1311"/>
      <c r="X1267" s="1311"/>
      <c r="Y1267" s="1311"/>
      <c r="Z1267" s="1311"/>
    </row>
    <row r="1268" spans="1:26" x14ac:dyDescent="0.25">
      <c r="A1268" s="847" t="s">
        <v>225</v>
      </c>
      <c r="B1268" s="1274" t="str">
        <f ca="1">_xlfn.CONCAT(IFERROR(SUBSTITUTE(ADDRESS(1,MATCH(A1268,INDIRECT("'"&amp;E1268&amp;"'"&amp;"!A9:Z9"),0),4),1,""),""),16)</f>
        <v>K16</v>
      </c>
      <c r="C1268" s="1274" t="str">
        <f t="shared" ca="1" si="218"/>
        <v>K</v>
      </c>
      <c r="D1268" s="1314" t="s">
        <v>1357</v>
      </c>
      <c r="E1268" s="791" t="s">
        <v>208</v>
      </c>
      <c r="F1268" s="1314"/>
      <c r="G1268" s="1314"/>
      <c r="H1268" s="1314"/>
      <c r="I1268" s="1274" t="str">
        <f t="shared" si="215"/>
        <v>Enter Margin</v>
      </c>
      <c r="J1268" s="1314" t="str">
        <f>IFERROR(Q$1&amp;M353,"")</f>
        <v>F322</v>
      </c>
      <c r="K1268" s="1314" t="str">
        <f t="shared" si="213"/>
        <v>PIM Model</v>
      </c>
      <c r="L1268" s="1314"/>
      <c r="M1268" s="1314"/>
      <c r="N1268" s="1314"/>
      <c r="O1268" s="1311"/>
      <c r="P1268" s="1311"/>
      <c r="Q1268" s="1311"/>
      <c r="R1268" s="1311"/>
      <c r="S1268" s="1311"/>
      <c r="T1268" s="1311"/>
      <c r="U1268" s="1311"/>
      <c r="V1268" s="1311"/>
      <c r="W1268" s="1311"/>
      <c r="X1268" s="1311"/>
      <c r="Y1268" s="1311"/>
      <c r="Z1268" s="1311"/>
    </row>
    <row r="1269" spans="1:26" x14ac:dyDescent="0.25">
      <c r="A1269" s="850" t="s">
        <v>225</v>
      </c>
      <c r="B1269" s="1274" t="str">
        <f ca="1">_xlfn.CONCAT(IFERROR(SUBSTITUTE(ADDRESS(1,MATCH(A1269,INDIRECT("'"&amp;E1269&amp;"'"&amp;"!A9:Z9"),0),4),1,""),""),17)</f>
        <v>K17</v>
      </c>
      <c r="C1269" s="1274" t="str">
        <f t="shared" ca="1" si="218"/>
        <v>K</v>
      </c>
      <c r="D1269" s="1314" t="s">
        <v>1357</v>
      </c>
      <c r="E1269" s="791" t="s">
        <v>208</v>
      </c>
      <c r="F1269" s="1314"/>
      <c r="G1269" s="1314"/>
      <c r="H1269" s="1314"/>
      <c r="I1269" s="1274" t="str">
        <f t="shared" si="215"/>
        <v>Enter Margin</v>
      </c>
      <c r="J1269" s="1314" t="str">
        <f>IFERROR(Q$1&amp;M365,"")</f>
        <v>F334</v>
      </c>
      <c r="K1269" s="1314" t="str">
        <f t="shared" si="213"/>
        <v>PIM Model</v>
      </c>
      <c r="L1269" s="1314"/>
      <c r="M1269" s="1314"/>
      <c r="N1269" s="1314"/>
      <c r="O1269" s="1311"/>
      <c r="P1269" s="1311"/>
      <c r="Q1269" s="1311"/>
      <c r="R1269" s="1311"/>
      <c r="S1269" s="1311"/>
      <c r="T1269" s="1311"/>
      <c r="U1269" s="1311"/>
      <c r="V1269" s="1311"/>
      <c r="W1269" s="1311"/>
      <c r="X1269" s="1311"/>
      <c r="Y1269" s="1311"/>
      <c r="Z1269" s="1311"/>
    </row>
    <row r="1270" spans="1:26" x14ac:dyDescent="0.25">
      <c r="A1270" s="847" t="s">
        <v>225</v>
      </c>
      <c r="B1270" s="1274" t="str">
        <f ca="1">_xlfn.CONCAT(IFERROR(SUBSTITUTE(ADDRESS(1,MATCH(A1270,INDIRECT("'"&amp;E1270&amp;"'"&amp;"!A9:Z9"),0),4),1,""),""),18)</f>
        <v>K18</v>
      </c>
      <c r="C1270" s="1274" t="str">
        <f t="shared" ca="1" si="218"/>
        <v>K</v>
      </c>
      <c r="D1270" s="1314" t="s">
        <v>1357</v>
      </c>
      <c r="E1270" s="791" t="s">
        <v>208</v>
      </c>
      <c r="F1270" s="1314"/>
      <c r="G1270" s="1314"/>
      <c r="H1270" s="1314"/>
      <c r="I1270" s="1274" t="str">
        <f t="shared" si="215"/>
        <v>Enter Margin</v>
      </c>
      <c r="J1270" s="1314" t="str">
        <f>IFERROR(Q$1&amp;M377,"")</f>
        <v>F346</v>
      </c>
      <c r="K1270" s="1314" t="str">
        <f t="shared" si="213"/>
        <v>PIM Model</v>
      </c>
      <c r="L1270" s="1314"/>
      <c r="M1270" s="1314"/>
      <c r="N1270" s="1314"/>
      <c r="O1270" s="1311"/>
      <c r="P1270" s="1311"/>
      <c r="Q1270" s="1311"/>
      <c r="R1270" s="1311"/>
      <c r="S1270" s="1311"/>
      <c r="T1270" s="1311"/>
      <c r="U1270" s="1311"/>
      <c r="V1270" s="1311"/>
      <c r="W1270" s="1311"/>
      <c r="X1270" s="1311"/>
      <c r="Y1270" s="1311"/>
      <c r="Z1270" s="1311"/>
    </row>
    <row r="1271" spans="1:26" x14ac:dyDescent="0.25">
      <c r="A1271" s="850" t="s">
        <v>225</v>
      </c>
      <c r="B1271" s="1274" t="str">
        <f ca="1">_xlfn.CONCAT(IFERROR(SUBSTITUTE(ADDRESS(1,MATCH(A1271,INDIRECT("'"&amp;E1271&amp;"'"&amp;"!A9:Z9"),0),4),1,""),""),19)</f>
        <v>K19</v>
      </c>
      <c r="C1271" s="1274" t="str">
        <f t="shared" ca="1" si="218"/>
        <v>K</v>
      </c>
      <c r="D1271" s="1314" t="s">
        <v>1357</v>
      </c>
      <c r="E1271" s="791" t="s">
        <v>208</v>
      </c>
      <c r="F1271" s="1314"/>
      <c r="G1271" s="1314"/>
      <c r="H1271" s="1314"/>
      <c r="I1271" s="1274" t="str">
        <f t="shared" si="215"/>
        <v>Enter Margin</v>
      </c>
      <c r="J1271" s="1314" t="str">
        <f>IFERROR(Q$1&amp;M389,"")</f>
        <v>F358</v>
      </c>
      <c r="K1271" s="1314" t="str">
        <f t="shared" si="213"/>
        <v>PIM Model</v>
      </c>
      <c r="L1271" s="1314"/>
      <c r="M1271" s="1314"/>
      <c r="N1271" s="1314"/>
      <c r="O1271" s="1311"/>
      <c r="P1271" s="1311"/>
      <c r="Q1271" s="1311"/>
      <c r="R1271" s="1311"/>
      <c r="S1271" s="1311"/>
      <c r="T1271" s="1311"/>
      <c r="U1271" s="1311"/>
      <c r="V1271" s="1311"/>
      <c r="W1271" s="1311"/>
      <c r="X1271" s="1311"/>
      <c r="Y1271" s="1311"/>
      <c r="Z1271" s="1311"/>
    </row>
    <row r="1272" spans="1:26" x14ac:dyDescent="0.25">
      <c r="A1272" s="847" t="s">
        <v>225</v>
      </c>
      <c r="B1272" s="1274" t="str">
        <f ca="1">_xlfn.CONCAT(IFERROR(SUBSTITUTE(ADDRESS(1,MATCH(A1272,INDIRECT("'"&amp;E1272&amp;"'"&amp;"!A9:Z9"),0),4),1,""),""),20)</f>
        <v>K20</v>
      </c>
      <c r="C1272" s="1274" t="str">
        <f t="shared" ca="1" si="218"/>
        <v>K</v>
      </c>
      <c r="D1272" s="1314" t="s">
        <v>1357</v>
      </c>
      <c r="E1272" s="791" t="s">
        <v>208</v>
      </c>
      <c r="F1272" s="1314"/>
      <c r="G1272" s="1314"/>
      <c r="H1272" s="1314"/>
      <c r="I1272" s="1274" t="str">
        <f t="shared" si="215"/>
        <v>Enter Margin</v>
      </c>
      <c r="J1272" s="1314" t="str">
        <f>IFERROR(Q$1&amp;M401,"")</f>
        <v>F370</v>
      </c>
      <c r="K1272" s="1314" t="str">
        <f t="shared" si="213"/>
        <v>PIM Model</v>
      </c>
      <c r="L1272" s="1314"/>
      <c r="M1272" s="1314"/>
      <c r="N1272" s="1314"/>
      <c r="O1272" s="1311"/>
      <c r="P1272" s="1311"/>
      <c r="Q1272" s="1311"/>
      <c r="R1272" s="1311"/>
      <c r="S1272" s="1311"/>
      <c r="T1272" s="1311"/>
      <c r="U1272" s="1311"/>
      <c r="V1272" s="1311"/>
      <c r="W1272" s="1311"/>
      <c r="X1272" s="1311"/>
      <c r="Y1272" s="1311"/>
      <c r="Z1272" s="1311"/>
    </row>
    <row r="1273" spans="1:26" x14ac:dyDescent="0.25">
      <c r="A1273" s="850" t="s">
        <v>225</v>
      </c>
      <c r="B1273" s="1274" t="str">
        <f ca="1">_xlfn.CONCAT(IFERROR(SUBSTITUTE(ADDRESS(1,MATCH(A1273,INDIRECT("'"&amp;E1273&amp;"'"&amp;"!A9:Z9"),0),4),1,""),""),21)</f>
        <v>K21</v>
      </c>
      <c r="C1273" s="1274" t="str">
        <f t="shared" ca="1" si="218"/>
        <v>K</v>
      </c>
      <c r="D1273" s="1314" t="s">
        <v>1357</v>
      </c>
      <c r="E1273" s="791" t="s">
        <v>208</v>
      </c>
      <c r="F1273" s="1314"/>
      <c r="G1273" s="1314"/>
      <c r="H1273" s="1314"/>
      <c r="I1273" s="1274" t="str">
        <f t="shared" si="215"/>
        <v>Enter Margin</v>
      </c>
      <c r="J1273" s="1314" t="str">
        <f>IFERROR(Q$1&amp;M413,"")</f>
        <v>F382</v>
      </c>
      <c r="K1273" s="1314" t="str">
        <f t="shared" si="213"/>
        <v>PIM Model</v>
      </c>
      <c r="L1273" s="1314"/>
      <c r="M1273" s="1314"/>
      <c r="N1273" s="1314"/>
      <c r="O1273" s="1311"/>
      <c r="P1273" s="1311"/>
      <c r="Q1273" s="1311"/>
      <c r="R1273" s="1311"/>
      <c r="S1273" s="1311"/>
      <c r="T1273" s="1311"/>
      <c r="U1273" s="1311"/>
      <c r="V1273" s="1311"/>
      <c r="W1273" s="1311"/>
      <c r="X1273" s="1311"/>
      <c r="Y1273" s="1311"/>
      <c r="Z1273" s="1311"/>
    </row>
    <row r="1274" spans="1:26" x14ac:dyDescent="0.25">
      <c r="A1274" s="847" t="s">
        <v>225</v>
      </c>
      <c r="B1274" s="1274" t="str">
        <f ca="1">_xlfn.CONCAT(IFERROR(SUBSTITUTE(ADDRESS(1,MATCH(A1274,INDIRECT("'"&amp;E1274&amp;"'"&amp;"!A9:Z9"),0),4),1,""),""),22)</f>
        <v>K22</v>
      </c>
      <c r="C1274" s="1274" t="str">
        <f t="shared" ca="1" si="218"/>
        <v>K</v>
      </c>
      <c r="D1274" s="1314" t="s">
        <v>1357</v>
      </c>
      <c r="E1274" s="791" t="s">
        <v>208</v>
      </c>
      <c r="F1274" s="1314"/>
      <c r="G1274" s="1314"/>
      <c r="H1274" s="1314"/>
      <c r="I1274" s="1274" t="str">
        <f t="shared" si="215"/>
        <v>Enter Margin</v>
      </c>
      <c r="J1274" s="1314" t="str">
        <f>IFERROR(Q$1&amp;M425,"")</f>
        <v>F394</v>
      </c>
      <c r="K1274" s="1314" t="str">
        <f t="shared" si="213"/>
        <v>PIM Model</v>
      </c>
      <c r="L1274" s="1314"/>
      <c r="M1274" s="1314"/>
      <c r="N1274" s="1314"/>
      <c r="O1274" s="1311"/>
      <c r="P1274" s="1311"/>
      <c r="Q1274" s="1311"/>
      <c r="R1274" s="1311"/>
      <c r="S1274" s="1311"/>
      <c r="T1274" s="1311"/>
      <c r="U1274" s="1311"/>
      <c r="V1274" s="1311"/>
      <c r="W1274" s="1311"/>
      <c r="X1274" s="1311"/>
      <c r="Y1274" s="1311"/>
      <c r="Z1274" s="1311"/>
    </row>
    <row r="1275" spans="1:26" x14ac:dyDescent="0.25">
      <c r="A1275" s="850" t="s">
        <v>225</v>
      </c>
      <c r="B1275" s="1274" t="str">
        <f ca="1">_xlfn.CONCAT(IFERROR(SUBSTITUTE(ADDRESS(1,MATCH(A1275,INDIRECT("'"&amp;E1275&amp;"'"&amp;"!A9:Z9"),0),4),1,""),""),23)</f>
        <v>K23</v>
      </c>
      <c r="C1275" s="1274" t="str">
        <f t="shared" ca="1" si="218"/>
        <v>K</v>
      </c>
      <c r="D1275" s="1314" t="s">
        <v>1357</v>
      </c>
      <c r="E1275" s="791" t="s">
        <v>208</v>
      </c>
      <c r="F1275" s="1314"/>
      <c r="G1275" s="1314"/>
      <c r="H1275" s="1314"/>
      <c r="I1275" s="1274" t="str">
        <f t="shared" si="215"/>
        <v>Enter Margin</v>
      </c>
      <c r="J1275" s="1314" t="str">
        <f>IFERROR(Q$1&amp;M437,"")</f>
        <v>F406</v>
      </c>
      <c r="K1275" s="1314" t="str">
        <f t="shared" si="213"/>
        <v>PIM Model</v>
      </c>
      <c r="L1275" s="1314"/>
      <c r="M1275" s="1314"/>
      <c r="N1275" s="1314"/>
      <c r="O1275" s="1311"/>
      <c r="P1275" s="1311"/>
      <c r="Q1275" s="1311"/>
      <c r="R1275" s="1311"/>
      <c r="S1275" s="1311"/>
      <c r="T1275" s="1311"/>
      <c r="U1275" s="1311"/>
      <c r="V1275" s="1311"/>
      <c r="W1275" s="1311"/>
      <c r="X1275" s="1311"/>
      <c r="Y1275" s="1311"/>
      <c r="Z1275" s="1311"/>
    </row>
    <row r="1276" spans="1:26" x14ac:dyDescent="0.25">
      <c r="A1276" s="847" t="s">
        <v>225</v>
      </c>
      <c r="B1276" s="1274" t="str">
        <f ca="1">_xlfn.CONCAT(IFERROR(SUBSTITUTE(ADDRESS(1,MATCH(A1276,INDIRECT("'"&amp;E1276&amp;"'"&amp;"!A9:Z9"),0),4),1,""),""),24)</f>
        <v>K24</v>
      </c>
      <c r="C1276" s="1274" t="str">
        <f t="shared" ca="1" si="218"/>
        <v>K</v>
      </c>
      <c r="D1276" s="1314" t="s">
        <v>1357</v>
      </c>
      <c r="E1276" s="791" t="s">
        <v>208</v>
      </c>
      <c r="F1276" s="1314"/>
      <c r="G1276" s="1314"/>
      <c r="H1276" s="1314"/>
      <c r="I1276" s="1274" t="str">
        <f t="shared" si="215"/>
        <v>Enter Margin</v>
      </c>
      <c r="J1276" s="1314" t="str">
        <f>IFERROR(Q$1&amp;M449,"")</f>
        <v>F418</v>
      </c>
      <c r="K1276" s="1314" t="str">
        <f t="shared" si="213"/>
        <v>PIM Model</v>
      </c>
      <c r="L1276" s="1314"/>
      <c r="M1276" s="1314"/>
      <c r="N1276" s="1314"/>
      <c r="O1276" s="1311"/>
      <c r="P1276" s="1311"/>
      <c r="Q1276" s="1311"/>
      <c r="R1276" s="1311"/>
      <c r="S1276" s="1311"/>
      <c r="T1276" s="1311"/>
      <c r="U1276" s="1311"/>
      <c r="V1276" s="1311"/>
      <c r="W1276" s="1311"/>
      <c r="X1276" s="1311"/>
      <c r="Y1276" s="1311"/>
      <c r="Z1276" s="1311"/>
    </row>
    <row r="1277" spans="1:26" x14ac:dyDescent="0.25">
      <c r="A1277" s="850" t="s">
        <v>225</v>
      </c>
      <c r="B1277" s="1274" t="str">
        <f ca="1">_xlfn.CONCAT(IFERROR(SUBSTITUTE(ADDRESS(1,MATCH(A1277,INDIRECT("'"&amp;E1277&amp;"'"&amp;"!A9:Z9"),0),4),1,""),""),25)</f>
        <v>K25</v>
      </c>
      <c r="C1277" s="1274" t="str">
        <f t="shared" ca="1" si="218"/>
        <v>K</v>
      </c>
      <c r="D1277" s="1314" t="s">
        <v>1357</v>
      </c>
      <c r="E1277" s="791" t="s">
        <v>208</v>
      </c>
      <c r="F1277" s="1314"/>
      <c r="G1277" s="1314"/>
      <c r="H1277" s="1314"/>
      <c r="I1277" s="1274" t="str">
        <f t="shared" si="215"/>
        <v>Enter Margin</v>
      </c>
      <c r="J1277" s="1314" t="str">
        <f>IFERROR(Q$1&amp;M461,"")</f>
        <v>F430</v>
      </c>
      <c r="K1277" s="1314" t="str">
        <f t="shared" si="213"/>
        <v>PIM Model</v>
      </c>
      <c r="L1277" s="1314"/>
      <c r="M1277" s="1314"/>
      <c r="N1277" s="1314"/>
      <c r="O1277" s="1311"/>
      <c r="P1277" s="1311"/>
      <c r="Q1277" s="1311"/>
      <c r="R1277" s="1311"/>
      <c r="S1277" s="1311"/>
      <c r="T1277" s="1311"/>
      <c r="U1277" s="1311"/>
      <c r="V1277" s="1311"/>
      <c r="W1277" s="1311"/>
      <c r="X1277" s="1311"/>
      <c r="Y1277" s="1311"/>
      <c r="Z1277" s="1311"/>
    </row>
    <row r="1278" spans="1:26" x14ac:dyDescent="0.25">
      <c r="A1278" s="847" t="s">
        <v>225</v>
      </c>
      <c r="B1278" s="1274" t="str">
        <f ca="1">_xlfn.CONCAT(IFERROR(SUBSTITUTE(ADDRESS(1,MATCH(A1278,INDIRECT("'"&amp;E1278&amp;"'"&amp;"!A9:Z9"),0),4),1,""),""),26)</f>
        <v>K26</v>
      </c>
      <c r="C1278" s="1274" t="str">
        <f t="shared" ca="1" si="218"/>
        <v>K</v>
      </c>
      <c r="D1278" s="1314" t="s">
        <v>1357</v>
      </c>
      <c r="E1278" s="791" t="s">
        <v>208</v>
      </c>
      <c r="F1278" s="1314"/>
      <c r="G1278" s="1314"/>
      <c r="H1278" s="1314"/>
      <c r="I1278" s="1274" t="str">
        <f t="shared" si="215"/>
        <v>Enter Margin</v>
      </c>
      <c r="J1278" s="1314" t="str">
        <f>IFERROR(Q$1&amp;M473,"")</f>
        <v>F442</v>
      </c>
      <c r="K1278" s="1314" t="str">
        <f t="shared" si="213"/>
        <v>PIM Model</v>
      </c>
      <c r="L1278" s="1314"/>
      <c r="M1278" s="1314"/>
      <c r="N1278" s="1314"/>
      <c r="O1278" s="1311"/>
      <c r="P1278" s="1311"/>
      <c r="Q1278" s="1311"/>
      <c r="R1278" s="1311"/>
      <c r="S1278" s="1311"/>
      <c r="T1278" s="1311"/>
      <c r="U1278" s="1311"/>
      <c r="V1278" s="1311"/>
      <c r="W1278" s="1311"/>
      <c r="X1278" s="1311"/>
      <c r="Y1278" s="1311"/>
      <c r="Z1278" s="1311"/>
    </row>
    <row r="1279" spans="1:26" x14ac:dyDescent="0.25">
      <c r="A1279" s="850" t="s">
        <v>225</v>
      </c>
      <c r="B1279" s="1274" t="str">
        <f ca="1">_xlfn.CONCAT(IFERROR(SUBSTITUTE(ADDRESS(1,MATCH(A1279,INDIRECT("'"&amp;E1279&amp;"'"&amp;"!A9:Z9"),0),4),1,""),""),27)</f>
        <v>K27</v>
      </c>
      <c r="C1279" s="1274" t="str">
        <f t="shared" ca="1" si="218"/>
        <v>K</v>
      </c>
      <c r="D1279" s="1314" t="s">
        <v>1357</v>
      </c>
      <c r="E1279" s="791" t="s">
        <v>208</v>
      </c>
      <c r="F1279" s="1314"/>
      <c r="G1279" s="1314"/>
      <c r="H1279" s="1314"/>
      <c r="I1279" s="1274" t="str">
        <f t="shared" si="215"/>
        <v>Enter Margin</v>
      </c>
      <c r="J1279" s="1314" t="str">
        <f>IFERROR(Q$1&amp;M485,"")</f>
        <v>F454</v>
      </c>
      <c r="K1279" s="1314" t="str">
        <f t="shared" si="213"/>
        <v>PIM Model</v>
      </c>
      <c r="L1279" s="1314"/>
      <c r="M1279" s="1314"/>
      <c r="N1279" s="1314"/>
      <c r="O1279" s="1311"/>
      <c r="P1279" s="1311"/>
      <c r="Q1279" s="1311"/>
      <c r="R1279" s="1311"/>
      <c r="S1279" s="1311"/>
      <c r="T1279" s="1311"/>
      <c r="U1279" s="1311"/>
      <c r="V1279" s="1311"/>
      <c r="W1279" s="1311"/>
      <c r="X1279" s="1311"/>
      <c r="Y1279" s="1311"/>
      <c r="Z1279" s="1311"/>
    </row>
    <row r="1280" spans="1:26" x14ac:dyDescent="0.25">
      <c r="A1280" s="847" t="s">
        <v>225</v>
      </c>
      <c r="B1280" s="1274" t="str">
        <f ca="1">_xlfn.CONCAT(IFERROR(SUBSTITUTE(ADDRESS(1,MATCH(A1280,INDIRECT("'"&amp;E1280&amp;"'"&amp;"!A9:Z9"),0),4),1,""),""),28)</f>
        <v>K28</v>
      </c>
      <c r="C1280" s="1274" t="str">
        <f t="shared" ca="1" si="218"/>
        <v>K</v>
      </c>
      <c r="D1280" s="1314" t="s">
        <v>1357</v>
      </c>
      <c r="E1280" s="791" t="s">
        <v>208</v>
      </c>
      <c r="F1280" s="1314"/>
      <c r="G1280" s="1314"/>
      <c r="H1280" s="1314"/>
      <c r="I1280" s="1274" t="str">
        <f t="shared" si="215"/>
        <v>Enter Margin</v>
      </c>
      <c r="J1280" s="1314" t="str">
        <f>IFERROR(Q$1&amp;M497,"")</f>
        <v>F466</v>
      </c>
      <c r="K1280" s="1314" t="str">
        <f t="shared" si="213"/>
        <v>PIM Model</v>
      </c>
      <c r="L1280" s="1314"/>
      <c r="M1280" s="1314"/>
      <c r="N1280" s="1314"/>
      <c r="O1280" s="1311"/>
      <c r="P1280" s="1311"/>
      <c r="Q1280" s="1311"/>
      <c r="R1280" s="1311"/>
      <c r="S1280" s="1311"/>
      <c r="T1280" s="1311"/>
      <c r="U1280" s="1311"/>
      <c r="V1280" s="1311"/>
      <c r="W1280" s="1311"/>
      <c r="X1280" s="1311"/>
      <c r="Y1280" s="1311"/>
      <c r="Z1280" s="1311"/>
    </row>
    <row r="1281" spans="1:26" x14ac:dyDescent="0.25">
      <c r="A1281" s="850" t="s">
        <v>225</v>
      </c>
      <c r="B1281" s="1274" t="str">
        <f ca="1">_xlfn.CONCAT(IFERROR(SUBSTITUTE(ADDRESS(1,MATCH(A1281,INDIRECT("'"&amp;E1281&amp;"'"&amp;"!A9:Z9"),0),4),1,""),""),29)</f>
        <v>K29</v>
      </c>
      <c r="C1281" s="1274" t="str">
        <f t="shared" ca="1" si="218"/>
        <v>K</v>
      </c>
      <c r="D1281" s="1314" t="s">
        <v>1357</v>
      </c>
      <c r="E1281" s="791" t="s">
        <v>208</v>
      </c>
      <c r="F1281" s="1314"/>
      <c r="G1281" s="1314"/>
      <c r="H1281" s="1314"/>
      <c r="I1281" s="1274" t="str">
        <f t="shared" si="215"/>
        <v>Enter Margin</v>
      </c>
      <c r="J1281" s="1314" t="str">
        <f>IFERROR(Q$1&amp;M509,"")</f>
        <v>F478</v>
      </c>
      <c r="K1281" s="1314" t="str">
        <f t="shared" si="213"/>
        <v>PIM Model</v>
      </c>
      <c r="L1281" s="1314"/>
      <c r="M1281" s="1314"/>
      <c r="N1281" s="1314"/>
      <c r="O1281" s="1311"/>
      <c r="P1281" s="1311"/>
      <c r="Q1281" s="1311"/>
      <c r="R1281" s="1311"/>
      <c r="S1281" s="1311"/>
      <c r="T1281" s="1311"/>
      <c r="U1281" s="1311"/>
      <c r="V1281" s="1311"/>
      <c r="W1281" s="1311"/>
      <c r="X1281" s="1311"/>
      <c r="Y1281" s="1311"/>
      <c r="Z1281" s="1311"/>
    </row>
    <row r="1282" spans="1:26" x14ac:dyDescent="0.25">
      <c r="A1282" s="847" t="s">
        <v>225</v>
      </c>
      <c r="B1282" s="1274" t="str">
        <f ca="1">_xlfn.CONCAT(IFERROR(SUBSTITUTE(ADDRESS(1,MATCH(A1282,INDIRECT("'"&amp;E1282&amp;"'"&amp;"!A9:Z9"),0),4),1,""),""),30)</f>
        <v>K30</v>
      </c>
      <c r="C1282" s="1274" t="str">
        <f t="shared" ca="1" si="218"/>
        <v>K</v>
      </c>
      <c r="D1282" s="1314" t="s">
        <v>1357</v>
      </c>
      <c r="E1282" s="791" t="s">
        <v>208</v>
      </c>
      <c r="F1282" s="1314"/>
      <c r="G1282" s="1314"/>
      <c r="H1282" s="1314"/>
      <c r="I1282" s="1274" t="str">
        <f t="shared" si="215"/>
        <v>Enter Margin</v>
      </c>
      <c r="J1282" s="1314" t="str">
        <f>IFERROR(Q$1&amp;M521,"")</f>
        <v>F490</v>
      </c>
      <c r="K1282" s="1314" t="str">
        <f t="shared" si="213"/>
        <v>PIM Model</v>
      </c>
      <c r="L1282" s="1314"/>
      <c r="M1282" s="1314"/>
      <c r="N1282" s="1314"/>
      <c r="O1282" s="1311"/>
      <c r="P1282" s="1311"/>
      <c r="Q1282" s="1311"/>
      <c r="R1282" s="1311"/>
      <c r="S1282" s="1311"/>
      <c r="T1282" s="1311"/>
      <c r="U1282" s="1311"/>
      <c r="V1282" s="1311"/>
      <c r="W1282" s="1311"/>
      <c r="X1282" s="1311"/>
      <c r="Y1282" s="1311"/>
      <c r="Z1282" s="1311"/>
    </row>
    <row r="1283" spans="1:26" x14ac:dyDescent="0.25">
      <c r="A1283" s="52" t="s">
        <v>1472</v>
      </c>
      <c r="B1283" s="791" t="str">
        <f>IFERROR(_xlfn.CONCAT("D",MATCH(A1283,Incentives!D$1:D$60,0)),"")</f>
        <v>D4</v>
      </c>
      <c r="C1283" s="791" t="str">
        <f>IFERROR(_xlfn.CONCAT("E",MATCH(A1283,Incentives!D$1:D$60,0)),"")</f>
        <v>E4</v>
      </c>
      <c r="D1283" s="52" t="s">
        <v>1350</v>
      </c>
      <c r="E1283" s="791" t="s">
        <v>1742</v>
      </c>
      <c r="F1283" s="52" t="s">
        <v>1768</v>
      </c>
      <c r="G1283" s="52" t="s">
        <v>1364</v>
      </c>
      <c r="H1283" s="52" t="s">
        <v>1783</v>
      </c>
      <c r="I1283" s="1314" t="s">
        <v>2053</v>
      </c>
      <c r="J1283" s="1314" t="str">
        <f>IFERROR(Q$1&amp;M1283,"")</f>
        <v>F1203</v>
      </c>
      <c r="K1283" s="1314" t="str">
        <f t="shared" si="213"/>
        <v>Incentives</v>
      </c>
      <c r="L1283" s="1314" t="s">
        <v>1768</v>
      </c>
      <c r="M1283" s="1314">
        <v>1203</v>
      </c>
      <c r="N1283" s="1314"/>
      <c r="O1283" s="1311"/>
      <c r="P1283" s="1311"/>
      <c r="Q1283" s="1311"/>
      <c r="R1283" s="1314" t="s">
        <v>1155</v>
      </c>
      <c r="S1283" s="1311"/>
      <c r="T1283" s="1311"/>
      <c r="U1283" s="1311"/>
      <c r="V1283" s="1311"/>
      <c r="W1283" s="1311"/>
      <c r="X1283" s="1311"/>
      <c r="Y1283" s="1311"/>
      <c r="Z1283" s="1311"/>
    </row>
    <row r="1284" spans="1:26" x14ac:dyDescent="0.25">
      <c r="A1284" s="52" t="s">
        <v>2035</v>
      </c>
      <c r="B1284" s="791" t="str">
        <f>IFERROR(_xlfn.CONCAT("D",MATCH(A1284,Incentives!D$1:D$60,0)),"")</f>
        <v>D6</v>
      </c>
      <c r="C1284" s="791" t="str">
        <f>IFERROR(_xlfn.CONCAT("E",MATCH(A1284,Incentives!D$1:D$60,0)),"")</f>
        <v>E6</v>
      </c>
      <c r="D1284" s="52" t="s">
        <v>1350</v>
      </c>
      <c r="E1284" s="791" t="s">
        <v>1742</v>
      </c>
      <c r="F1284" s="52" t="s">
        <v>2056</v>
      </c>
      <c r="G1284" s="52" t="s">
        <v>1818</v>
      </c>
      <c r="H1284" s="52" t="s">
        <v>1783</v>
      </c>
      <c r="I1284" s="1314" t="s">
        <v>2035</v>
      </c>
      <c r="J1284" s="1314" t="str">
        <f>IFERROR(Q$1&amp;M1284,"")</f>
        <v>F1204</v>
      </c>
      <c r="K1284" s="1314" t="str">
        <f t="shared" ref="K1284:K1348" si="219">IF(J1284&lt;&gt;"",E1284,"")</f>
        <v>Incentives</v>
      </c>
      <c r="L1284" s="1314" t="s">
        <v>2052</v>
      </c>
      <c r="M1284" s="1314">
        <v>1204</v>
      </c>
      <c r="N1284" s="1314"/>
      <c r="O1284" s="1311"/>
      <c r="P1284" s="1311"/>
      <c r="Q1284" s="1311"/>
      <c r="R1284" s="1314" t="s">
        <v>1155</v>
      </c>
      <c r="S1284" s="1311"/>
      <c r="T1284" s="1311"/>
      <c r="U1284" s="1311"/>
      <c r="V1284" s="1311"/>
      <c r="W1284" s="1311"/>
      <c r="X1284" s="1311"/>
      <c r="Y1284" s="1311"/>
      <c r="Z1284" s="1311"/>
    </row>
    <row r="1285" spans="1:26" x14ac:dyDescent="0.25">
      <c r="A1285" s="1314" t="s">
        <v>1776</v>
      </c>
      <c r="B1285" s="1274" t="str">
        <f>IFERROR(_xlfn.CONCAT("D",MATCH(A1285,Incentives!D$1:D$60,0)),"")</f>
        <v>D8</v>
      </c>
      <c r="C1285" s="1274" t="str">
        <f>IFERROR(_xlfn.CONCAT("E",MATCH(A1285,Incentives!D$1:D$60,0)),"")</f>
        <v>E8</v>
      </c>
      <c r="D1285" s="1314" t="s">
        <v>1350</v>
      </c>
      <c r="E1285" s="791" t="s">
        <v>1742</v>
      </c>
      <c r="F1285" s="1314" t="s">
        <v>1926</v>
      </c>
      <c r="G1285" s="1314" t="s">
        <v>239</v>
      </c>
      <c r="H1285" s="1314" t="s">
        <v>1238</v>
      </c>
      <c r="I1285" s="1314" t="s">
        <v>1743</v>
      </c>
      <c r="J1285" s="1314" t="str">
        <f>IFERROR(Q$1&amp;M1285,"")</f>
        <v>F1308</v>
      </c>
      <c r="K1285" s="1314" t="str">
        <f t="shared" si="219"/>
        <v>Incentives</v>
      </c>
      <c r="L1285" s="1463" t="s">
        <v>1926</v>
      </c>
      <c r="M1285" s="1314">
        <v>1308</v>
      </c>
      <c r="N1285" s="1314"/>
      <c r="O1285" s="1311"/>
      <c r="P1285" s="1311"/>
      <c r="Q1285" s="1311"/>
      <c r="R1285" s="1314" t="s">
        <v>1155</v>
      </c>
      <c r="S1285" s="1311"/>
      <c r="T1285" s="1311"/>
      <c r="U1285" s="1311"/>
      <c r="V1285" s="1311"/>
      <c r="W1285" s="1311"/>
      <c r="X1285" s="1311"/>
      <c r="Y1285" s="1311"/>
      <c r="Z1285" s="1311"/>
    </row>
    <row r="1286" spans="1:26" x14ac:dyDescent="0.25">
      <c r="A1286" s="1011" t="s">
        <v>523</v>
      </c>
      <c r="B1286" s="1274" t="str">
        <f>IFERROR(_xlfn.CONCAT("D",('Configurable Tab'!$C$3+1)),"")</f>
        <v>D13</v>
      </c>
      <c r="C1286" s="1274" t="str">
        <f>IFERROR(_xlfn.CONCAT("E",('Configurable Tab'!$C$3+1)),"")</f>
        <v>E13</v>
      </c>
      <c r="D1286" s="1314" t="s">
        <v>1350</v>
      </c>
      <c r="E1286" s="791" t="s">
        <v>1742</v>
      </c>
      <c r="F1286" s="1314"/>
      <c r="G1286" s="1314"/>
      <c r="H1286" s="1314"/>
      <c r="I1286" s="1274" t="str">
        <f t="shared" ref="I1286:I1349" si="220">IF(J1286&lt;&gt;"",A1286,"")</f>
        <v>Offer this Incentive?</v>
      </c>
      <c r="J1286" s="1314" t="str">
        <f>$Q$1&amp;IF(T$1286&lt;&gt;0,U1286,IF(T$1304&lt;&gt;0,U1304,IF(T$1322&lt;&gt;0,U1322,"")))</f>
        <v>F</v>
      </c>
      <c r="K1286" s="1314" t="str">
        <f t="shared" si="219"/>
        <v>Incentives</v>
      </c>
      <c r="L1286" s="1314"/>
      <c r="M1286" s="1314"/>
      <c r="N1286" s="1314"/>
      <c r="O1286" s="1311" t="s">
        <v>1744</v>
      </c>
      <c r="P1286" s="1311" t="str">
        <f>'Configurable Tab'!E3</f>
        <v>Yes</v>
      </c>
      <c r="Q1286" s="1274" t="str">
        <f>IFERROR(_xlfn.CONCAT("C",('Configurable Tab'!$C3+1)),"")</f>
        <v>C13</v>
      </c>
      <c r="R1286" s="1314" t="s">
        <v>851</v>
      </c>
      <c r="S1286" s="1314" t="s">
        <v>1745</v>
      </c>
      <c r="T1286" s="1313">
        <f>IF(Q$540="Yes",IF(Q$555="Yes",2,1),0)</f>
        <v>0</v>
      </c>
      <c r="U1286" s="1314" t="str">
        <f>IF(Q$540="Yes",M540,"")</f>
        <v/>
      </c>
      <c r="V1286" s="1314" t="str">
        <f>IF(Q$555="Yes",M555,"")</f>
        <v/>
      </c>
      <c r="W1286" s="1311"/>
      <c r="X1286" s="1311"/>
      <c r="Y1286" s="1311"/>
      <c r="Z1286" s="1311"/>
    </row>
    <row r="1287" spans="1:26" x14ac:dyDescent="0.25">
      <c r="A1287" s="1012" t="s">
        <v>1383</v>
      </c>
      <c r="B1287" s="1274" t="str">
        <f>IFERROR(_xlfn.CONCAT("D",('Configurable Tab'!$C$3+2)),"")</f>
        <v>D14</v>
      </c>
      <c r="C1287" s="1274" t="str">
        <f>IFERROR(_xlfn.CONCAT("E",('Configurable Tab'!$C$3+2)),"")</f>
        <v>E14</v>
      </c>
      <c r="D1287" s="1314" t="s">
        <v>1350</v>
      </c>
      <c r="E1287" s="791" t="s">
        <v>1742</v>
      </c>
      <c r="F1287" s="1314"/>
      <c r="G1287" s="1314"/>
      <c r="H1287" s="1314"/>
      <c r="I1287" s="1274" t="str">
        <f t="shared" si="220"/>
        <v>Incentive Type</v>
      </c>
      <c r="J1287" s="1314" t="str">
        <f t="shared" ref="J1287:J1303" si="221">$Q$1&amp;IF(T$1286&lt;&gt;0,U1287,IF(T$1304&lt;&gt;0,U1305,IF(T$1322&lt;&gt;0,U1323,"")))</f>
        <v>F</v>
      </c>
      <c r="K1287" s="1314" t="str">
        <f t="shared" si="219"/>
        <v>Incentives</v>
      </c>
      <c r="L1287" s="1314"/>
      <c r="M1287" s="1314"/>
      <c r="N1287" s="1314"/>
      <c r="O1287" s="1311"/>
      <c r="P1287" s="1311"/>
      <c r="Q1287" s="1311"/>
      <c r="R1287" s="1314" t="s">
        <v>851</v>
      </c>
      <c r="S1287" s="1314" t="s">
        <v>1745</v>
      </c>
      <c r="T1287" s="1311"/>
      <c r="U1287" s="1314" t="str">
        <f>IF(Q$540="Yes",M541,"")</f>
        <v/>
      </c>
      <c r="V1287" s="1314" t="str">
        <f>IF(Q$555="Yes",M556,"")</f>
        <v/>
      </c>
      <c r="W1287" s="1311"/>
      <c r="X1287" s="1311"/>
      <c r="Y1287" s="1311"/>
      <c r="Z1287" s="1311"/>
    </row>
    <row r="1288" spans="1:26" x14ac:dyDescent="0.25">
      <c r="A1288" s="1012" t="s">
        <v>1385</v>
      </c>
      <c r="B1288" s="1274" t="str">
        <f>IFERROR(_xlfn.CONCAT("D",('Configurable Tab'!$C$3+4)),"")</f>
        <v>D16</v>
      </c>
      <c r="C1288" s="1274" t="str">
        <f>IFERROR(_xlfn.CONCAT("E",('Configurable Tab'!$C$3+4)),"")</f>
        <v>E16</v>
      </c>
      <c r="D1288" s="1314" t="s">
        <v>1350</v>
      </c>
      <c r="E1288" s="791" t="s">
        <v>1742</v>
      </c>
      <c r="F1288" s="1314"/>
      <c r="G1288" s="1314"/>
      <c r="H1288" s="1314"/>
      <c r="I1288" s="1274" t="str">
        <f t="shared" si="220"/>
        <v>Incentive Effective Date</v>
      </c>
      <c r="J1288" s="1314" t="str">
        <f t="shared" si="221"/>
        <v>F</v>
      </c>
      <c r="K1288" s="1314" t="str">
        <f t="shared" si="219"/>
        <v>Incentives</v>
      </c>
      <c r="L1288" s="1314"/>
      <c r="M1288" s="1314"/>
      <c r="N1288" s="1314"/>
      <c r="O1288" s="1311"/>
      <c r="P1288" s="1311"/>
      <c r="Q1288" s="1311"/>
      <c r="R1288" s="1314" t="s">
        <v>851</v>
      </c>
      <c r="S1288" s="1314" t="s">
        <v>1745</v>
      </c>
      <c r="T1288" s="1311"/>
      <c r="U1288" s="1314" t="str">
        <f>IF(Q$540="Yes",M549,"")</f>
        <v/>
      </c>
      <c r="V1288" s="1314" t="str">
        <f>IF(Q$555="Yes",M564,"")</f>
        <v/>
      </c>
      <c r="W1288" s="1311"/>
      <c r="X1288" s="1311"/>
      <c r="Y1288" s="1311"/>
      <c r="Z1288" s="1311"/>
    </row>
    <row r="1289" spans="1:26" x14ac:dyDescent="0.25">
      <c r="A1289" s="1012" t="s">
        <v>1386</v>
      </c>
      <c r="B1289" s="1274" t="str">
        <f>IFERROR(_xlfn.CONCAT("D",('Configurable Tab'!$C$3+5)),"")</f>
        <v>D17</v>
      </c>
      <c r="C1289" s="1274" t="str">
        <f>IFERROR(_xlfn.CONCAT("E",('Configurable Tab'!$C$3+5)),"")</f>
        <v>E17</v>
      </c>
      <c r="D1289" s="1314" t="s">
        <v>1350</v>
      </c>
      <c r="E1289" s="791" t="s">
        <v>1742</v>
      </c>
      <c r="F1289" s="1314"/>
      <c r="G1289" s="1314"/>
      <c r="H1289" s="1314"/>
      <c r="I1289" s="1274" t="str">
        <f t="shared" si="220"/>
        <v>Incentive Expiration Date</v>
      </c>
      <c r="J1289" s="1314" t="str">
        <f t="shared" si="221"/>
        <v>F</v>
      </c>
      <c r="K1289" s="1314" t="str">
        <f t="shared" si="219"/>
        <v>Incentives</v>
      </c>
      <c r="L1289" s="1314"/>
      <c r="M1289" s="1314"/>
      <c r="N1289" s="1314"/>
      <c r="O1289" s="1311"/>
      <c r="P1289" s="1311"/>
      <c r="Q1289" s="1311"/>
      <c r="R1289" s="1314" t="s">
        <v>851</v>
      </c>
      <c r="S1289" s="1314" t="s">
        <v>1745</v>
      </c>
      <c r="T1289" s="1311"/>
      <c r="U1289" s="1314" t="str">
        <f>IF(Q$540="Yes",M550,"")</f>
        <v/>
      </c>
      <c r="V1289" s="1314" t="str">
        <f>IF(Q$555="Yes",M565,"")</f>
        <v/>
      </c>
      <c r="W1289" s="1311"/>
      <c r="X1289" s="1311"/>
      <c r="Y1289" s="1311"/>
      <c r="Z1289" s="1311"/>
    </row>
    <row r="1290" spans="1:26" x14ac:dyDescent="0.25">
      <c r="A1290" s="1012" t="s">
        <v>1380</v>
      </c>
      <c r="B1290" s="1274" t="str">
        <f>IFERROR(_xlfn.CONCAT("G",('Configurable Tab'!$C$3+1)),"")</f>
        <v>G13</v>
      </c>
      <c r="C1290" s="1274" t="str">
        <f>IFERROR(_xlfn.CONCAT("G",('Configurable Tab'!$C$3+2)),"")</f>
        <v>G14</v>
      </c>
      <c r="D1290" s="1314" t="s">
        <v>1350</v>
      </c>
      <c r="E1290" s="791" t="s">
        <v>1742</v>
      </c>
      <c r="F1290" s="1310"/>
      <c r="G1290" s="1069"/>
      <c r="H1290" s="1314"/>
      <c r="I1290" s="1274" t="str">
        <f t="shared" si="220"/>
        <v>Incentive Period</v>
      </c>
      <c r="J1290" s="1314" t="str">
        <f t="shared" si="221"/>
        <v>F</v>
      </c>
      <c r="K1290" s="1314" t="str">
        <f t="shared" si="219"/>
        <v>Incentives</v>
      </c>
      <c r="L1290" s="1314"/>
      <c r="M1290" s="1314"/>
      <c r="N1290" s="1314"/>
      <c r="O1290" s="1311"/>
      <c r="P1290" s="1311"/>
      <c r="Q1290" s="1311"/>
      <c r="R1290" s="1314" t="s">
        <v>851</v>
      </c>
      <c r="S1290" s="1316" t="s">
        <v>1745</v>
      </c>
      <c r="T1290" s="1311"/>
      <c r="U1290" s="1314" t="str">
        <f>IF(Q$540="Yes",M542,"")</f>
        <v/>
      </c>
      <c r="V1290" s="1314" t="str">
        <f>IF(Q$555="Yes",M557,"")</f>
        <v/>
      </c>
      <c r="W1290" s="1311"/>
      <c r="X1290" s="1311"/>
      <c r="Y1290" s="1311"/>
      <c r="Z1290" s="1311"/>
    </row>
    <row r="1291" spans="1:26" x14ac:dyDescent="0.25">
      <c r="A1291" s="1012" t="s">
        <v>1381</v>
      </c>
      <c r="B1291" s="1274" t="str">
        <f>IFERROR(_xlfn.CONCAT("I",('Configurable Tab'!$C$3+1)),"")</f>
        <v>I13</v>
      </c>
      <c r="C1291" s="1274" t="str">
        <f>IFERROR(_xlfn.CONCAT("I",('Configurable Tab'!$C$3+2)),"")</f>
        <v>I14</v>
      </c>
      <c r="D1291" s="1314" t="s">
        <v>1350</v>
      </c>
      <c r="E1291" s="791" t="s">
        <v>1742</v>
      </c>
      <c r="F1291" s="1314"/>
      <c r="G1291" s="1314"/>
      <c r="H1291" s="1314"/>
      <c r="I1291" s="1274" t="str">
        <f t="shared" si="220"/>
        <v>Payment Method</v>
      </c>
      <c r="J1291" s="1314" t="str">
        <f t="shared" si="221"/>
        <v>F</v>
      </c>
      <c r="K1291" s="1314" t="str">
        <f t="shared" si="219"/>
        <v>Incentives</v>
      </c>
      <c r="L1291" s="1314"/>
      <c r="M1291" s="1314"/>
      <c r="N1291" s="1314"/>
      <c r="O1291" s="1311"/>
      <c r="P1291" s="1311"/>
      <c r="Q1291" s="1311"/>
      <c r="R1291" s="1314" t="s">
        <v>851</v>
      </c>
      <c r="S1291" s="1316" t="s">
        <v>1745</v>
      </c>
      <c r="T1291" s="1311"/>
      <c r="U1291" s="1314" t="str">
        <f>IF(Q$540="Yes",M543,"")</f>
        <v/>
      </c>
      <c r="V1291" s="1314" t="str">
        <f>IF(Q$555="Yes",M558,"")</f>
        <v/>
      </c>
      <c r="W1291" s="1311"/>
      <c r="X1291" s="1311"/>
      <c r="Y1291" s="1311"/>
      <c r="Z1291" s="1311"/>
    </row>
    <row r="1292" spans="1:26" x14ac:dyDescent="0.25">
      <c r="A1292" s="1012" t="s">
        <v>833</v>
      </c>
      <c r="B1292" s="1274" t="str">
        <f>IFERROR(_xlfn.CONCAT("K",('Configurable Tab'!$C$3+1)),"")</f>
        <v>K13</v>
      </c>
      <c r="C1292" s="1274" t="str">
        <f>IFERROR(_xlfn.CONCAT("K",('Configurable Tab'!$C$3+2)),"")</f>
        <v>K14</v>
      </c>
      <c r="D1292" s="1314" t="s">
        <v>1350</v>
      </c>
      <c r="E1292" s="791" t="s">
        <v>1742</v>
      </c>
      <c r="F1292" s="1314"/>
      <c r="G1292" s="1314"/>
      <c r="H1292" s="1314"/>
      <c r="I1292" s="1274" t="str">
        <f t="shared" si="220"/>
        <v>Paid to:</v>
      </c>
      <c r="J1292" s="1314" t="str">
        <f t="shared" si="221"/>
        <v>F</v>
      </c>
      <c r="K1292" s="1314" t="str">
        <f t="shared" si="219"/>
        <v>Incentives</v>
      </c>
      <c r="L1292" s="1314"/>
      <c r="M1292" s="1314"/>
      <c r="N1292" s="1314"/>
      <c r="O1292" s="1311"/>
      <c r="P1292" s="1311"/>
      <c r="Q1292" s="1311"/>
      <c r="R1292" s="1314" t="s">
        <v>851</v>
      </c>
      <c r="S1292" s="1316" t="s">
        <v>1745</v>
      </c>
      <c r="T1292" s="1311"/>
      <c r="U1292" s="1314" t="str">
        <f>IF(Q$540="Yes",M544,"")</f>
        <v/>
      </c>
      <c r="V1292" s="1314" t="str">
        <f>IF(Q$555="Yes",M559,"")</f>
        <v/>
      </c>
      <c r="W1292" s="1311"/>
      <c r="X1292" s="1311"/>
      <c r="Y1292" s="1311"/>
      <c r="Z1292" s="1311"/>
    </row>
    <row r="1293" spans="1:26" x14ac:dyDescent="0.25">
      <c r="A1293" s="1012" t="s">
        <v>1382</v>
      </c>
      <c r="B1293" s="1274" t="str">
        <f>IFERROR(_xlfn.CONCAT("M",('Configurable Tab'!$C$3+1)),"")</f>
        <v>M13</v>
      </c>
      <c r="C1293" s="1274" t="str">
        <f>IFERROR(_xlfn.CONCAT("M",('Configurable Tab'!$C$3+2)),"")</f>
        <v>M14</v>
      </c>
      <c r="D1293" s="1314" t="s">
        <v>1350</v>
      </c>
      <c r="E1293" s="791" t="s">
        <v>1742</v>
      </c>
      <c r="F1293" s="1314"/>
      <c r="G1293" s="1314"/>
      <c r="H1293" s="1314"/>
      <c r="I1293" s="1274" t="str">
        <f t="shared" si="220"/>
        <v>AP/AR Vendor Number</v>
      </c>
      <c r="J1293" s="1314" t="str">
        <f t="shared" si="221"/>
        <v>F</v>
      </c>
      <c r="K1293" s="1314" t="str">
        <f t="shared" si="219"/>
        <v>Incentives</v>
      </c>
      <c r="L1293" s="1314"/>
      <c r="M1293" s="1314"/>
      <c r="N1293" s="1314"/>
      <c r="O1293" s="1311"/>
      <c r="P1293" s="1311"/>
      <c r="Q1293" s="1311"/>
      <c r="R1293" s="1314" t="s">
        <v>851</v>
      </c>
      <c r="S1293" s="1316" t="s">
        <v>1745</v>
      </c>
      <c r="T1293" s="1311"/>
      <c r="U1293" s="1314" t="str">
        <f>IF(Q$540="Yes",M545,"")</f>
        <v/>
      </c>
      <c r="V1293" s="1314" t="str">
        <f>IF(Q$555="Yes",M560,"")</f>
        <v/>
      </c>
      <c r="W1293" s="1311"/>
      <c r="X1293" s="1311"/>
      <c r="Y1293" s="1311"/>
      <c r="Z1293" s="1311"/>
    </row>
    <row r="1294" spans="1:26" x14ac:dyDescent="0.25">
      <c r="A1294" s="1012" t="s">
        <v>1387</v>
      </c>
      <c r="B1294" s="1274" t="str">
        <f>IFERROR(_xlfn.CONCAT("G",('Configurable Tab'!$C$3+6)),"")</f>
        <v>G18</v>
      </c>
      <c r="C1294" s="1274" t="str">
        <f>IFERROR(_xlfn.CONCAT("G",('Configurable Tab'!$C$3+7)),"")</f>
        <v>G19</v>
      </c>
      <c r="D1294" s="1314" t="s">
        <v>1350</v>
      </c>
      <c r="E1294" s="791" t="s">
        <v>1742</v>
      </c>
      <c r="F1294" s="1314"/>
      <c r="G1294" s="1314"/>
      <c r="H1294" s="1314"/>
      <c r="I1294" s="1274" t="str">
        <f t="shared" si="220"/>
        <v>Minimum Units</v>
      </c>
      <c r="J1294" s="1314" t="str">
        <f t="shared" si="221"/>
        <v>F</v>
      </c>
      <c r="K1294" s="1314" t="str">
        <f t="shared" si="219"/>
        <v>Incentives</v>
      </c>
      <c r="L1294" s="1314"/>
      <c r="M1294" s="1314"/>
      <c r="N1294" s="1314"/>
      <c r="O1294" s="1311"/>
      <c r="P1294" s="1311"/>
      <c r="Q1294" s="1311"/>
      <c r="R1294" s="1314" t="s">
        <v>851</v>
      </c>
      <c r="S1294" s="1311"/>
      <c r="T1294" s="1311"/>
      <c r="U1294" s="1311"/>
      <c r="V1294" s="1311"/>
      <c r="W1294" s="1311"/>
      <c r="X1294" s="1311"/>
      <c r="Y1294" s="1311"/>
      <c r="Z1294" s="1311"/>
    </row>
    <row r="1295" spans="1:26" x14ac:dyDescent="0.25">
      <c r="A1295" s="1012" t="s">
        <v>1387</v>
      </c>
      <c r="B1295" s="1274" t="str">
        <f>IFERROR(_xlfn.CONCAT("G",('Configurable Tab'!$C$3+6)),"")</f>
        <v>G18</v>
      </c>
      <c r="C1295" s="1274" t="str">
        <f>IFERROR(_xlfn.CONCAT("G",('Configurable Tab'!$C$3+8)),"")</f>
        <v>G20</v>
      </c>
      <c r="D1295" s="1314" t="s">
        <v>1350</v>
      </c>
      <c r="E1295" s="791" t="s">
        <v>1742</v>
      </c>
      <c r="F1295" s="1314"/>
      <c r="G1295" s="1314"/>
      <c r="H1295" s="1314"/>
      <c r="I1295" s="1274" t="str">
        <f t="shared" si="220"/>
        <v>Minimum Units</v>
      </c>
      <c r="J1295" s="1314" t="str">
        <f t="shared" si="221"/>
        <v>F</v>
      </c>
      <c r="K1295" s="1314" t="str">
        <f t="shared" si="219"/>
        <v>Incentives</v>
      </c>
      <c r="L1295" s="1314"/>
      <c r="M1295" s="1314"/>
      <c r="N1295" s="1314"/>
      <c r="O1295" s="1311"/>
      <c r="P1295" s="1311"/>
      <c r="Q1295" s="1311"/>
      <c r="R1295" s="1314" t="s">
        <v>851</v>
      </c>
      <c r="S1295" s="1311"/>
      <c r="T1295" s="1311"/>
      <c r="U1295" s="1311"/>
      <c r="V1295" s="1311"/>
      <c r="W1295" s="1311"/>
      <c r="X1295" s="1311"/>
      <c r="Y1295" s="1311"/>
      <c r="Z1295" s="1311"/>
    </row>
    <row r="1296" spans="1:26" x14ac:dyDescent="0.25">
      <c r="A1296" s="1012" t="s">
        <v>1387</v>
      </c>
      <c r="B1296" s="1274" t="str">
        <f>IFERROR(_xlfn.CONCAT("G",('Configurable Tab'!$C$3+6)),"")</f>
        <v>G18</v>
      </c>
      <c r="C1296" s="1274" t="str">
        <f>IFERROR(_xlfn.CONCAT("G",('Configurable Tab'!$C$3+9)),"")</f>
        <v>G21</v>
      </c>
      <c r="D1296" s="1314" t="s">
        <v>1350</v>
      </c>
      <c r="E1296" s="791" t="s">
        <v>1742</v>
      </c>
      <c r="F1296" s="1314"/>
      <c r="G1296" s="1314"/>
      <c r="H1296" s="1314"/>
      <c r="I1296" s="1274" t="str">
        <f t="shared" si="220"/>
        <v>Minimum Units</v>
      </c>
      <c r="J1296" s="1314" t="str">
        <f t="shared" si="221"/>
        <v>F</v>
      </c>
      <c r="K1296" s="1314" t="str">
        <f t="shared" si="219"/>
        <v>Incentives</v>
      </c>
      <c r="L1296" s="1314"/>
      <c r="M1296" s="1314"/>
      <c r="N1296" s="1314"/>
      <c r="O1296" s="1311"/>
      <c r="P1296" s="1311"/>
      <c r="Q1296" s="1311"/>
      <c r="R1296" s="1314" t="s">
        <v>851</v>
      </c>
      <c r="S1296" s="1311"/>
      <c r="T1296" s="1311"/>
      <c r="U1296" s="1311"/>
      <c r="V1296" s="1311"/>
      <c r="W1296" s="1311"/>
      <c r="X1296" s="1311"/>
      <c r="Y1296" s="1311"/>
      <c r="Z1296" s="1311"/>
    </row>
    <row r="1297" spans="1:26" x14ac:dyDescent="0.25">
      <c r="A1297" s="1012" t="s">
        <v>1387</v>
      </c>
      <c r="B1297" s="1274" t="str">
        <f>IFERROR(_xlfn.CONCAT("G",('Configurable Tab'!$C$3+6)),"")</f>
        <v>G18</v>
      </c>
      <c r="C1297" s="1274" t="str">
        <f>IFERROR(_xlfn.CONCAT("G",('Configurable Tab'!$C$3+10)),"")</f>
        <v>G22</v>
      </c>
      <c r="D1297" s="1314" t="s">
        <v>1350</v>
      </c>
      <c r="E1297" s="791" t="s">
        <v>1742</v>
      </c>
      <c r="F1297" s="1314"/>
      <c r="G1297" s="1314"/>
      <c r="H1297" s="1314"/>
      <c r="I1297" s="1274" t="str">
        <f t="shared" si="220"/>
        <v>Minimum Units</v>
      </c>
      <c r="J1297" s="1314" t="str">
        <f t="shared" si="221"/>
        <v>F</v>
      </c>
      <c r="K1297" s="1314" t="str">
        <f t="shared" si="219"/>
        <v>Incentives</v>
      </c>
      <c r="L1297" s="1314"/>
      <c r="M1297" s="1314"/>
      <c r="N1297" s="1314"/>
      <c r="O1297" s="1311"/>
      <c r="P1297" s="1311"/>
      <c r="Q1297" s="1311"/>
      <c r="R1297" s="1314" t="s">
        <v>851</v>
      </c>
      <c r="S1297" s="1311"/>
      <c r="T1297" s="1311"/>
      <c r="U1297" s="1311"/>
      <c r="V1297" s="1311"/>
      <c r="W1297" s="1311"/>
      <c r="X1297" s="1311"/>
      <c r="Y1297" s="1311"/>
      <c r="Z1297" s="1311"/>
    </row>
    <row r="1298" spans="1:26" x14ac:dyDescent="0.25">
      <c r="A1298" s="1012" t="s">
        <v>1387</v>
      </c>
      <c r="B1298" s="1274" t="str">
        <f>IFERROR(_xlfn.CONCAT("G",('Configurable Tab'!$C$3+6)),"")</f>
        <v>G18</v>
      </c>
      <c r="C1298" s="1274" t="str">
        <f>IFERROR(_xlfn.CONCAT("G",('Configurable Tab'!$C$3+11)),"")</f>
        <v>G23</v>
      </c>
      <c r="D1298" s="1314" t="s">
        <v>1350</v>
      </c>
      <c r="E1298" s="791" t="s">
        <v>1742</v>
      </c>
      <c r="F1298" s="1314"/>
      <c r="G1298" s="1314"/>
      <c r="H1298" s="1314"/>
      <c r="I1298" s="1274" t="str">
        <f t="shared" si="220"/>
        <v>Minimum Units</v>
      </c>
      <c r="J1298" s="1314" t="str">
        <f t="shared" si="221"/>
        <v>F</v>
      </c>
      <c r="K1298" s="1314" t="str">
        <f t="shared" si="219"/>
        <v>Incentives</v>
      </c>
      <c r="L1298" s="1314"/>
      <c r="M1298" s="1314"/>
      <c r="N1298" s="1314"/>
      <c r="O1298" s="1311"/>
      <c r="P1298" s="1311"/>
      <c r="Q1298" s="1311"/>
      <c r="R1298" s="1314" t="s">
        <v>851</v>
      </c>
      <c r="S1298" s="1311"/>
      <c r="T1298" s="1311"/>
      <c r="U1298" s="1311"/>
      <c r="V1298" s="1311"/>
      <c r="W1298" s="1311"/>
      <c r="X1298" s="1311"/>
      <c r="Y1298" s="1311"/>
      <c r="Z1298" s="1311"/>
    </row>
    <row r="1299" spans="1:26" x14ac:dyDescent="0.25">
      <c r="A1299" s="1012" t="s">
        <v>1389</v>
      </c>
      <c r="B1299" s="1274" t="str">
        <f>IFERROR(_xlfn.CONCAT("K",('Configurable Tab'!$C$3+6)),"")</f>
        <v>K18</v>
      </c>
      <c r="C1299" s="1274" t="str">
        <f>IFERROR(_xlfn.CONCAT("K",('Configurable Tab'!$C$3+7)),"")</f>
        <v>K19</v>
      </c>
      <c r="D1299" s="1314" t="s">
        <v>1350</v>
      </c>
      <c r="E1299" s="791" t="s">
        <v>1742</v>
      </c>
      <c r="F1299" s="1314"/>
      <c r="G1299" s="1314"/>
      <c r="H1299" s="1314"/>
      <c r="I1299" s="1274" t="str">
        <f t="shared" si="220"/>
        <v>Rate % of Sales</v>
      </c>
      <c r="J1299" s="1314" t="str">
        <f t="shared" si="221"/>
        <v>F</v>
      </c>
      <c r="K1299" s="1314" t="str">
        <f t="shared" si="219"/>
        <v>Incentives</v>
      </c>
      <c r="L1299" s="1314"/>
      <c r="M1299" s="1314"/>
      <c r="N1299" s="1314"/>
      <c r="O1299" s="1311"/>
      <c r="P1299" s="1311"/>
      <c r="Q1299" s="1311"/>
      <c r="R1299" s="1314" t="s">
        <v>851</v>
      </c>
      <c r="S1299" s="1488" t="s">
        <v>1745</v>
      </c>
      <c r="T1299" s="1487"/>
      <c r="U1299" s="1489" t="str">
        <f>IF(Q$540="Yes",M553,"")</f>
        <v/>
      </c>
      <c r="V1299" s="1489" t="str">
        <f>IF(Q$555="Yes",M568,"")</f>
        <v/>
      </c>
      <c r="W1299" s="1311"/>
      <c r="X1299" s="1311"/>
      <c r="Y1299" s="1311"/>
      <c r="Z1299" s="1311"/>
    </row>
    <row r="1300" spans="1:26" x14ac:dyDescent="0.25">
      <c r="A1300" s="1012" t="s">
        <v>1389</v>
      </c>
      <c r="B1300" s="1274" t="str">
        <f>IFERROR(_xlfn.CONCAT("K",('Configurable Tab'!$C$3+6)),"")</f>
        <v>K18</v>
      </c>
      <c r="C1300" s="1274" t="str">
        <f>IFERROR(_xlfn.CONCAT("K",('Configurable Tab'!$C$3+8)),"")</f>
        <v>K20</v>
      </c>
      <c r="D1300" s="1314" t="s">
        <v>1350</v>
      </c>
      <c r="E1300" s="791" t="s">
        <v>1742</v>
      </c>
      <c r="F1300" s="1314"/>
      <c r="G1300" s="1314"/>
      <c r="H1300" s="1314"/>
      <c r="I1300" s="1274" t="str">
        <f t="shared" si="220"/>
        <v>Rate % of Sales</v>
      </c>
      <c r="J1300" s="1314" t="str">
        <f t="shared" si="221"/>
        <v>F</v>
      </c>
      <c r="K1300" s="1314" t="str">
        <f t="shared" si="219"/>
        <v>Incentives</v>
      </c>
      <c r="L1300" s="1314"/>
      <c r="M1300" s="1314"/>
      <c r="N1300" s="1314"/>
      <c r="O1300" s="1311"/>
      <c r="P1300" s="1311"/>
      <c r="Q1300" s="1311"/>
      <c r="R1300" s="1314" t="s">
        <v>851</v>
      </c>
      <c r="S1300" s="1311"/>
      <c r="T1300" s="1311"/>
      <c r="U1300" s="1311"/>
      <c r="V1300" s="1311"/>
      <c r="W1300" s="1311"/>
      <c r="X1300" s="1311"/>
      <c r="Y1300" s="1311"/>
      <c r="Z1300" s="1311"/>
    </row>
    <row r="1301" spans="1:26" x14ac:dyDescent="0.25">
      <c r="A1301" s="1012" t="s">
        <v>1389</v>
      </c>
      <c r="B1301" s="1274" t="str">
        <f>IFERROR(_xlfn.CONCAT("K",('Configurable Tab'!$C$3+6)),"")</f>
        <v>K18</v>
      </c>
      <c r="C1301" s="1274" t="str">
        <f>IFERROR(_xlfn.CONCAT("K",('Configurable Tab'!$C$3+9)),"")</f>
        <v>K21</v>
      </c>
      <c r="D1301" s="1314" t="s">
        <v>1350</v>
      </c>
      <c r="E1301" s="791" t="s">
        <v>1742</v>
      </c>
      <c r="F1301" s="1314"/>
      <c r="G1301" s="1314"/>
      <c r="H1301" s="1314"/>
      <c r="I1301" s="1274" t="str">
        <f t="shared" si="220"/>
        <v>Rate % of Sales</v>
      </c>
      <c r="J1301" s="1314" t="str">
        <f t="shared" si="221"/>
        <v>F</v>
      </c>
      <c r="K1301" s="1314" t="str">
        <f t="shared" si="219"/>
        <v>Incentives</v>
      </c>
      <c r="L1301" s="1314"/>
      <c r="M1301" s="1314"/>
      <c r="N1301" s="1314"/>
      <c r="O1301" s="1311"/>
      <c r="P1301" s="1311"/>
      <c r="Q1301" s="1311"/>
      <c r="R1301" s="1314" t="s">
        <v>851</v>
      </c>
      <c r="S1301" s="1311"/>
      <c r="T1301" s="1311"/>
      <c r="U1301" s="1311"/>
      <c r="V1301" s="1311"/>
      <c r="W1301" s="1311"/>
      <c r="X1301" s="1311"/>
      <c r="Y1301" s="1311"/>
      <c r="Z1301" s="1311"/>
    </row>
    <row r="1302" spans="1:26" x14ac:dyDescent="0.25">
      <c r="A1302" s="1012" t="s">
        <v>1389</v>
      </c>
      <c r="B1302" s="1274" t="str">
        <f>IFERROR(_xlfn.CONCAT("K",('Configurable Tab'!$C$3+6)),"")</f>
        <v>K18</v>
      </c>
      <c r="C1302" s="1274" t="str">
        <f>IFERROR(_xlfn.CONCAT("K",('Configurable Tab'!$C$3+10)),"")</f>
        <v>K22</v>
      </c>
      <c r="D1302" s="1314" t="s">
        <v>1350</v>
      </c>
      <c r="E1302" s="791" t="s">
        <v>1742</v>
      </c>
      <c r="F1302" s="1314"/>
      <c r="G1302" s="1314"/>
      <c r="H1302" s="1314"/>
      <c r="I1302" s="1274" t="str">
        <f t="shared" si="220"/>
        <v>Rate % of Sales</v>
      </c>
      <c r="J1302" s="1314" t="str">
        <f t="shared" si="221"/>
        <v>F</v>
      </c>
      <c r="K1302" s="1314" t="str">
        <f t="shared" si="219"/>
        <v>Incentives</v>
      </c>
      <c r="L1302" s="1314"/>
      <c r="M1302" s="1314"/>
      <c r="N1302" s="1314"/>
      <c r="O1302" s="1311"/>
      <c r="P1302" s="1311"/>
      <c r="Q1302" s="1311"/>
      <c r="R1302" s="1314" t="s">
        <v>851</v>
      </c>
      <c r="S1302" s="1311"/>
      <c r="T1302" s="1311"/>
      <c r="U1302" s="1311"/>
      <c r="V1302" s="1311"/>
      <c r="W1302" s="1311"/>
      <c r="X1302" s="1311"/>
      <c r="Y1302" s="1311"/>
      <c r="Z1302" s="1311"/>
    </row>
    <row r="1303" spans="1:26" x14ac:dyDescent="0.25">
      <c r="A1303" s="1012" t="s">
        <v>1389</v>
      </c>
      <c r="B1303" s="1274" t="str">
        <f>IFERROR(_xlfn.CONCAT("K",('Configurable Tab'!$C$3+6)),"")</f>
        <v>K18</v>
      </c>
      <c r="C1303" s="1274" t="str">
        <f>IFERROR(_xlfn.CONCAT("K",('Configurable Tab'!$C$3+11)),"")</f>
        <v>K23</v>
      </c>
      <c r="D1303" s="1314" t="s">
        <v>1350</v>
      </c>
      <c r="E1303" s="791" t="s">
        <v>1742</v>
      </c>
      <c r="F1303" s="1314"/>
      <c r="G1303" s="1314"/>
      <c r="H1303" s="1314"/>
      <c r="I1303" s="1274" t="str">
        <f t="shared" si="220"/>
        <v>Rate % of Sales</v>
      </c>
      <c r="J1303" s="1314" t="str">
        <f t="shared" si="221"/>
        <v>F</v>
      </c>
      <c r="K1303" s="1314" t="str">
        <f t="shared" si="219"/>
        <v>Incentives</v>
      </c>
      <c r="L1303" s="1314"/>
      <c r="M1303" s="1314"/>
      <c r="N1303" s="1314"/>
      <c r="O1303" s="1311"/>
      <c r="P1303" s="1311"/>
      <c r="Q1303" s="1311"/>
      <c r="R1303" s="1314" t="s">
        <v>851</v>
      </c>
      <c r="S1303" s="1311"/>
      <c r="T1303" s="1311"/>
      <c r="U1303" s="1311"/>
      <c r="V1303" s="1311"/>
      <c r="W1303" s="1311"/>
      <c r="X1303" s="1311"/>
      <c r="Y1303" s="1311"/>
      <c r="Z1303" s="1311"/>
    </row>
    <row r="1304" spans="1:26" x14ac:dyDescent="0.25">
      <c r="A1304" s="847" t="s">
        <v>523</v>
      </c>
      <c r="B1304" s="1274" t="str">
        <f>IFERROR(_xlfn.CONCAT("D",('Configurable Tab'!$C$4+1)),"")</f>
        <v>D27</v>
      </c>
      <c r="C1304" s="1274" t="str">
        <f>IFERROR(_xlfn.CONCAT("E",('Configurable Tab'!$C$4+1)),"")</f>
        <v>E27</v>
      </c>
      <c r="D1304" s="1314" t="s">
        <v>1350</v>
      </c>
      <c r="E1304" s="791" t="s">
        <v>1742</v>
      </c>
      <c r="F1304" s="1314"/>
      <c r="G1304" s="1314"/>
      <c r="H1304" s="1314"/>
      <c r="I1304" s="1274" t="str">
        <f t="shared" si="220"/>
        <v>Offer this Incentive?</v>
      </c>
      <c r="J1304" s="1314" t="str">
        <f>$Q$1&amp;IF(T$1286=2,V1286,IF(T$1286=1,IF(T$1304&lt;&gt;0,U1304,IF(T$1322&lt;&gt;0,U1322,"")),IF(T$1304=2,V1304,IF(T$1304=1,IF(T$1322&lt;&gt;0,U1322,""),IF(T$1322=2,V1322,"")))))</f>
        <v>F</v>
      </c>
      <c r="K1304" s="1314" t="str">
        <f t="shared" si="219"/>
        <v>Incentives</v>
      </c>
      <c r="L1304" s="1314"/>
      <c r="M1304" s="1314"/>
      <c r="N1304" s="1314"/>
      <c r="O1304" s="1311" t="s">
        <v>1746</v>
      </c>
      <c r="P1304" s="1405" t="str">
        <f>'Configurable Tab'!E4</f>
        <v>Yes</v>
      </c>
      <c r="Q1304" s="1274" t="str">
        <f>IFERROR(_xlfn.CONCAT("C",('Configurable Tab'!$C4+1)),"")</f>
        <v>C27</v>
      </c>
      <c r="R1304" s="1314" t="s">
        <v>851</v>
      </c>
      <c r="S1304" s="1314" t="s">
        <v>1747</v>
      </c>
      <c r="T1304" s="1314">
        <f>IF(Q$570="Yes",IF(Q$589="Yes",2,1),0)</f>
        <v>0</v>
      </c>
      <c r="U1304" s="1314" t="str">
        <f>IF(Q$570="Yes",M570,"")</f>
        <v/>
      </c>
      <c r="V1304" s="1314" t="str">
        <f>IF(Q$589="Yes",M589,"")</f>
        <v/>
      </c>
      <c r="W1304" s="1311"/>
      <c r="X1304" s="1311"/>
      <c r="Y1304" s="1311"/>
      <c r="Z1304" s="1311"/>
    </row>
    <row r="1305" spans="1:26" x14ac:dyDescent="0.25">
      <c r="A1305" s="842" t="s">
        <v>1383</v>
      </c>
      <c r="B1305" s="1274" t="str">
        <f>IFERROR(_xlfn.CONCAT("D",('Configurable Tab'!$C$4+2)),"")</f>
        <v>D28</v>
      </c>
      <c r="C1305" s="1274" t="str">
        <f>IFERROR(_xlfn.CONCAT("E",('Configurable Tab'!$C$4+2)),"")</f>
        <v>E28</v>
      </c>
      <c r="D1305" s="1314" t="s">
        <v>1350</v>
      </c>
      <c r="E1305" s="791" t="s">
        <v>1742</v>
      </c>
      <c r="F1305" s="1314"/>
      <c r="G1305" s="1314"/>
      <c r="H1305" s="1314"/>
      <c r="I1305" s="1274" t="str">
        <f t="shared" si="220"/>
        <v>Incentive Type</v>
      </c>
      <c r="J1305" s="1314" t="str">
        <f t="shared" ref="J1305:J1321" si="222">$Q$1&amp;IF(T$1286=2,V1287,IF(T$1286=1,IF(T$1304&lt;&gt;0,U1305,IF(T$1322&lt;&gt;0,U1323,"")),IF(T$1304=2,V1305,IF(T$1304=1,IF(T$1322&lt;&gt;0,U1323,""),IF(T$1322=2,V1323,"")))))</f>
        <v>F</v>
      </c>
      <c r="K1305" s="1314" t="str">
        <f t="shared" si="219"/>
        <v>Incentives</v>
      </c>
      <c r="L1305" s="1314"/>
      <c r="M1305" s="1314"/>
      <c r="N1305" s="1314"/>
      <c r="O1305" s="1311"/>
      <c r="P1305" s="1311"/>
      <c r="Q1305" s="1311"/>
      <c r="R1305" s="1314" t="s">
        <v>851</v>
      </c>
      <c r="S1305" s="1314" t="s">
        <v>1747</v>
      </c>
      <c r="T1305" s="1311"/>
      <c r="U1305" s="1314" t="str">
        <f>IF(Q$570="Yes",M571,"")</f>
        <v/>
      </c>
      <c r="V1305" s="1314" t="str">
        <f>IF(Q$589="Yes",M590,"")</f>
        <v/>
      </c>
      <c r="W1305" s="1311"/>
      <c r="X1305" s="1311"/>
      <c r="Y1305" s="1311"/>
      <c r="Z1305" s="1311"/>
    </row>
    <row r="1306" spans="1:26" x14ac:dyDescent="0.25">
      <c r="A1306" s="842" t="s">
        <v>1385</v>
      </c>
      <c r="B1306" s="1274" t="str">
        <f>IFERROR(_xlfn.CONCAT("D",('Configurable Tab'!$C$4+4)),"")</f>
        <v>D30</v>
      </c>
      <c r="C1306" s="1274" t="str">
        <f>IFERROR(_xlfn.CONCAT("E",('Configurable Tab'!$C$4+4)),"")</f>
        <v>E30</v>
      </c>
      <c r="D1306" s="1314" t="s">
        <v>1350</v>
      </c>
      <c r="E1306" s="791" t="s">
        <v>1742</v>
      </c>
      <c r="F1306" s="1314"/>
      <c r="G1306" s="1314"/>
      <c r="H1306" s="1314"/>
      <c r="I1306" s="1274" t="str">
        <f t="shared" si="220"/>
        <v>Incentive Effective Date</v>
      </c>
      <c r="J1306" s="1314" t="str">
        <f t="shared" si="222"/>
        <v>F</v>
      </c>
      <c r="K1306" s="1314" t="str">
        <f t="shared" si="219"/>
        <v>Incentives</v>
      </c>
      <c r="L1306" s="1314"/>
      <c r="M1306" s="1314"/>
      <c r="N1306" s="1314"/>
      <c r="O1306" s="1311"/>
      <c r="P1306" s="1311"/>
      <c r="Q1306" s="1311"/>
      <c r="R1306" s="1314" t="s">
        <v>851</v>
      </c>
      <c r="S1306" s="1314" t="s">
        <v>1747</v>
      </c>
      <c r="T1306" s="1311"/>
      <c r="U1306" s="1314" t="str">
        <f>IF(Q$570="Yes",M579,"")</f>
        <v/>
      </c>
      <c r="V1306" s="1314" t="str">
        <f>IF(Q$589="Yes",M598,"")</f>
        <v/>
      </c>
      <c r="W1306" s="1311"/>
      <c r="X1306" s="1311"/>
      <c r="Y1306" s="1311"/>
      <c r="Z1306" s="1311"/>
    </row>
    <row r="1307" spans="1:26" x14ac:dyDescent="0.25">
      <c r="A1307" s="842" t="s">
        <v>1386</v>
      </c>
      <c r="B1307" s="1274" t="str">
        <f>IFERROR(_xlfn.CONCAT("D",('Configurable Tab'!$C$4+5)),"")</f>
        <v>D31</v>
      </c>
      <c r="C1307" s="1274" t="str">
        <f>IFERROR(_xlfn.CONCAT("E",('Configurable Tab'!$C$4+5)),"")</f>
        <v>E31</v>
      </c>
      <c r="D1307" s="1314" t="s">
        <v>1350</v>
      </c>
      <c r="E1307" s="791" t="s">
        <v>1742</v>
      </c>
      <c r="F1307" s="1314"/>
      <c r="G1307" s="1314"/>
      <c r="H1307" s="1314"/>
      <c r="I1307" s="1274" t="str">
        <f t="shared" si="220"/>
        <v>Incentive Expiration Date</v>
      </c>
      <c r="J1307" s="1314" t="str">
        <f t="shared" si="222"/>
        <v>F</v>
      </c>
      <c r="K1307" s="1314" t="str">
        <f t="shared" si="219"/>
        <v>Incentives</v>
      </c>
      <c r="L1307" s="1314"/>
      <c r="M1307" s="1314"/>
      <c r="N1307" s="1314"/>
      <c r="O1307" s="1311"/>
      <c r="P1307" s="1311"/>
      <c r="Q1307" s="1311"/>
      <c r="R1307" s="1314" t="s">
        <v>851</v>
      </c>
      <c r="S1307" s="1314" t="s">
        <v>1747</v>
      </c>
      <c r="T1307" s="1311"/>
      <c r="U1307" s="1314" t="str">
        <f>IF(Q$570="Yes",M580,"")</f>
        <v/>
      </c>
      <c r="V1307" s="1314" t="str">
        <f>IF(Q$589="Yes",M599,"")</f>
        <v/>
      </c>
      <c r="W1307" s="1311"/>
      <c r="X1307" s="1311"/>
      <c r="Y1307" s="1311"/>
      <c r="Z1307" s="1311"/>
    </row>
    <row r="1308" spans="1:26" x14ac:dyDescent="0.25">
      <c r="A1308" s="842" t="s">
        <v>1380</v>
      </c>
      <c r="B1308" s="1274" t="str">
        <f>IFERROR(_xlfn.CONCAT("G",('Configurable Tab'!$C$4+1)),"")</f>
        <v>G27</v>
      </c>
      <c r="C1308" s="1274" t="str">
        <f>IFERROR(_xlfn.CONCAT("G",('Configurable Tab'!$C$4+2)),"")</f>
        <v>G28</v>
      </c>
      <c r="D1308" s="1314" t="s">
        <v>1350</v>
      </c>
      <c r="E1308" s="791" t="s">
        <v>1742</v>
      </c>
      <c r="F1308" s="1314"/>
      <c r="G1308" s="1314"/>
      <c r="H1308" s="1314"/>
      <c r="I1308" s="1274" t="str">
        <f t="shared" si="220"/>
        <v>Incentive Period</v>
      </c>
      <c r="J1308" s="1314" t="str">
        <f t="shared" si="222"/>
        <v>F</v>
      </c>
      <c r="K1308" s="1314" t="str">
        <f t="shared" si="219"/>
        <v>Incentives</v>
      </c>
      <c r="L1308" s="1314"/>
      <c r="M1308" s="1314"/>
      <c r="N1308" s="1314"/>
      <c r="O1308" s="1311"/>
      <c r="P1308" s="1311"/>
      <c r="Q1308" s="1311"/>
      <c r="R1308" s="1314" t="s">
        <v>851</v>
      </c>
      <c r="S1308" s="1314" t="s">
        <v>1747</v>
      </c>
      <c r="T1308" s="1311"/>
      <c r="U1308" s="1314" t="str">
        <f>IF(Q$570="Yes",M572,"")</f>
        <v/>
      </c>
      <c r="V1308" s="1314" t="str">
        <f>IF(Q$589="Yes",M591,"")</f>
        <v/>
      </c>
      <c r="W1308" s="1311"/>
      <c r="X1308" s="1311"/>
      <c r="Y1308" s="1311"/>
      <c r="Z1308" s="1311"/>
    </row>
    <row r="1309" spans="1:26" x14ac:dyDescent="0.25">
      <c r="A1309" s="842" t="s">
        <v>1381</v>
      </c>
      <c r="B1309" s="1274" t="str">
        <f>IFERROR(_xlfn.CONCAT("I",('Configurable Tab'!$C$4+1)),"")</f>
        <v>I27</v>
      </c>
      <c r="C1309" s="1274" t="str">
        <f>IFERROR(_xlfn.CONCAT("I",('Configurable Tab'!$C$4+2)),"")</f>
        <v>I28</v>
      </c>
      <c r="D1309" s="1314" t="s">
        <v>1350</v>
      </c>
      <c r="E1309" s="791" t="s">
        <v>1742</v>
      </c>
      <c r="F1309" s="1314"/>
      <c r="G1309" s="1314"/>
      <c r="H1309" s="1314"/>
      <c r="I1309" s="1274" t="str">
        <f t="shared" si="220"/>
        <v>Payment Method</v>
      </c>
      <c r="J1309" s="1314" t="str">
        <f t="shared" si="222"/>
        <v>F</v>
      </c>
      <c r="K1309" s="1314" t="str">
        <f t="shared" si="219"/>
        <v>Incentives</v>
      </c>
      <c r="L1309" s="1314"/>
      <c r="M1309" s="1314"/>
      <c r="N1309" s="1314"/>
      <c r="O1309" s="1311"/>
      <c r="P1309" s="1311"/>
      <c r="Q1309" s="1311"/>
      <c r="R1309" s="1314" t="s">
        <v>851</v>
      </c>
      <c r="S1309" s="1314" t="s">
        <v>1747</v>
      </c>
      <c r="T1309" s="1311"/>
      <c r="U1309" s="1314" t="str">
        <f>IF(Q$570="Yes",M573,"")</f>
        <v/>
      </c>
      <c r="V1309" s="1314" t="str">
        <f>IF(Q$589="Yes",M592,"")</f>
        <v/>
      </c>
      <c r="W1309" s="1311"/>
      <c r="X1309" s="1311"/>
      <c r="Y1309" s="1311"/>
      <c r="Z1309" s="1311"/>
    </row>
    <row r="1310" spans="1:26" x14ac:dyDescent="0.25">
      <c r="A1310" s="842" t="s">
        <v>833</v>
      </c>
      <c r="B1310" s="1274" t="str">
        <f>IFERROR(_xlfn.CONCAT("K",('Configurable Tab'!$C$4+1)),"")</f>
        <v>K27</v>
      </c>
      <c r="C1310" s="1274" t="str">
        <f>IFERROR(_xlfn.CONCAT("K",('Configurable Tab'!$C$4+2)),"")</f>
        <v>K28</v>
      </c>
      <c r="D1310" s="1314" t="s">
        <v>1350</v>
      </c>
      <c r="E1310" s="791" t="s">
        <v>1742</v>
      </c>
      <c r="F1310" s="1314"/>
      <c r="G1310" s="1314"/>
      <c r="H1310" s="1314"/>
      <c r="I1310" s="1274" t="str">
        <f t="shared" si="220"/>
        <v>Paid to:</v>
      </c>
      <c r="J1310" s="1314" t="str">
        <f t="shared" si="222"/>
        <v>F</v>
      </c>
      <c r="K1310" s="1314" t="str">
        <f t="shared" si="219"/>
        <v>Incentives</v>
      </c>
      <c r="L1310" s="1314"/>
      <c r="M1310" s="1314"/>
      <c r="N1310" s="1314"/>
      <c r="O1310" s="1311"/>
      <c r="P1310" s="1311"/>
      <c r="Q1310" s="1311"/>
      <c r="R1310" s="1314" t="s">
        <v>851</v>
      </c>
      <c r="S1310" s="1314" t="s">
        <v>1747</v>
      </c>
      <c r="T1310" s="1311"/>
      <c r="U1310" s="1314" t="str">
        <f>IF(Q$570="Yes",M574,"")</f>
        <v/>
      </c>
      <c r="V1310" s="1314" t="str">
        <f>IF(Q$589="Yes",M593,"")</f>
        <v/>
      </c>
      <c r="W1310" s="1311"/>
      <c r="X1310" s="1311"/>
      <c r="Y1310" s="1311"/>
      <c r="Z1310" s="1311"/>
    </row>
    <row r="1311" spans="1:26" x14ac:dyDescent="0.25">
      <c r="A1311" s="842" t="s">
        <v>1382</v>
      </c>
      <c r="B1311" s="1274" t="str">
        <f>IFERROR(_xlfn.CONCAT("M",('Configurable Tab'!$C$4+1)),"")</f>
        <v>M27</v>
      </c>
      <c r="C1311" s="1274" t="str">
        <f>IFERROR(_xlfn.CONCAT("M",('Configurable Tab'!$C$4+2)),"")</f>
        <v>M28</v>
      </c>
      <c r="D1311" s="1314" t="s">
        <v>1350</v>
      </c>
      <c r="E1311" s="791" t="s">
        <v>1742</v>
      </c>
      <c r="F1311" s="1314"/>
      <c r="G1311" s="1314"/>
      <c r="H1311" s="1314"/>
      <c r="I1311" s="1274" t="str">
        <f t="shared" si="220"/>
        <v>AP/AR Vendor Number</v>
      </c>
      <c r="J1311" s="1314" t="str">
        <f t="shared" si="222"/>
        <v>F</v>
      </c>
      <c r="K1311" s="1314" t="str">
        <f t="shared" si="219"/>
        <v>Incentives</v>
      </c>
      <c r="L1311" s="1314"/>
      <c r="M1311" s="1314"/>
      <c r="N1311" s="1314"/>
      <c r="O1311" s="1311"/>
      <c r="P1311" s="1311"/>
      <c r="Q1311" s="1311"/>
      <c r="R1311" s="1314" t="s">
        <v>851</v>
      </c>
      <c r="S1311" s="1314" t="s">
        <v>1747</v>
      </c>
      <c r="T1311" s="1311"/>
      <c r="U1311" s="1314" t="str">
        <f>IF(Q$570="Yes",M575,"")</f>
        <v/>
      </c>
      <c r="V1311" s="1314" t="str">
        <f>IF(Q$589="Yes",M594,"")</f>
        <v/>
      </c>
      <c r="W1311" s="1311"/>
      <c r="X1311" s="1311"/>
      <c r="Y1311" s="1311"/>
      <c r="Z1311" s="1311"/>
    </row>
    <row r="1312" spans="1:26" x14ac:dyDescent="0.25">
      <c r="A1312" s="842" t="s">
        <v>1387</v>
      </c>
      <c r="B1312" s="1274" t="str">
        <f>IFERROR(_xlfn.CONCAT("G",('Configurable Tab'!$C$4+6)),"")</f>
        <v>G32</v>
      </c>
      <c r="C1312" s="1274" t="str">
        <f>IFERROR(_xlfn.CONCAT("G",('Configurable Tab'!$C$4+7)),"")</f>
        <v>G33</v>
      </c>
      <c r="D1312" s="1314" t="s">
        <v>1350</v>
      </c>
      <c r="E1312" s="791" t="s">
        <v>1742</v>
      </c>
      <c r="F1312" s="1314"/>
      <c r="G1312" s="1314"/>
      <c r="H1312" s="1314"/>
      <c r="I1312" s="1274" t="str">
        <f t="shared" si="220"/>
        <v>Minimum Units</v>
      </c>
      <c r="J1312" s="1314" t="str">
        <f t="shared" si="222"/>
        <v>F</v>
      </c>
      <c r="K1312" s="1314" t="str">
        <f t="shared" si="219"/>
        <v>Incentives</v>
      </c>
      <c r="L1312" s="1314"/>
      <c r="M1312" s="1314"/>
      <c r="N1312" s="1314"/>
      <c r="O1312" s="1311"/>
      <c r="P1312" s="1311"/>
      <c r="Q1312" s="1311"/>
      <c r="R1312" s="1314" t="s">
        <v>851</v>
      </c>
      <c r="S1312" s="1314" t="s">
        <v>1747</v>
      </c>
      <c r="T1312" s="1311"/>
      <c r="U1312" s="1314" t="str">
        <f>IF(Q$570="Yes",M584,"")</f>
        <v/>
      </c>
      <c r="V1312" s="1314" t="str">
        <f>IF(Q$589="Yes",M603,"")</f>
        <v/>
      </c>
      <c r="W1312" s="1311"/>
      <c r="X1312" s="1311"/>
      <c r="Y1312" s="1311"/>
      <c r="Z1312" s="1311"/>
    </row>
    <row r="1313" spans="1:26" x14ac:dyDescent="0.25">
      <c r="A1313" s="842" t="s">
        <v>1387</v>
      </c>
      <c r="B1313" s="1274" t="str">
        <f>IFERROR(_xlfn.CONCAT("G",('Configurable Tab'!$C$4+6)),"")</f>
        <v>G32</v>
      </c>
      <c r="C1313" s="1274" t="str">
        <f>IFERROR(_xlfn.CONCAT("G",('Configurable Tab'!$C$4+8)),"")</f>
        <v>G34</v>
      </c>
      <c r="D1313" s="1314" t="s">
        <v>1350</v>
      </c>
      <c r="E1313" s="791" t="s">
        <v>1742</v>
      </c>
      <c r="F1313" s="1314"/>
      <c r="G1313" s="1314"/>
      <c r="H1313" s="1314"/>
      <c r="I1313" s="1274" t="str">
        <f t="shared" si="220"/>
        <v>Minimum Units</v>
      </c>
      <c r="J1313" s="1314" t="str">
        <f t="shared" si="222"/>
        <v>F</v>
      </c>
      <c r="K1313" s="1314" t="str">
        <f t="shared" si="219"/>
        <v>Incentives</v>
      </c>
      <c r="L1313" s="1314"/>
      <c r="M1313" s="1314"/>
      <c r="N1313" s="1314"/>
      <c r="O1313" s="1311"/>
      <c r="P1313" s="1311"/>
      <c r="Q1313" s="1311"/>
      <c r="R1313" s="1314" t="s">
        <v>851</v>
      </c>
      <c r="S1313" s="1311"/>
      <c r="T1313" s="1311"/>
      <c r="U1313" s="1311"/>
      <c r="V1313" s="1311"/>
      <c r="W1313" s="1311"/>
      <c r="X1313" s="1311"/>
      <c r="Y1313" s="1311"/>
      <c r="Z1313" s="1311"/>
    </row>
    <row r="1314" spans="1:26" x14ac:dyDescent="0.25">
      <c r="A1314" s="842" t="s">
        <v>1387</v>
      </c>
      <c r="B1314" s="1274" t="str">
        <f>IFERROR(_xlfn.CONCAT("G",('Configurable Tab'!$C$4+6)),"")</f>
        <v>G32</v>
      </c>
      <c r="C1314" s="1274" t="str">
        <f>IFERROR(_xlfn.CONCAT("G",('Configurable Tab'!$C$4+9)),"")</f>
        <v>G35</v>
      </c>
      <c r="D1314" s="1314" t="s">
        <v>1350</v>
      </c>
      <c r="E1314" s="791" t="s">
        <v>1742</v>
      </c>
      <c r="F1314" s="1314"/>
      <c r="G1314" s="1314"/>
      <c r="H1314" s="1314"/>
      <c r="I1314" s="1274" t="str">
        <f t="shared" si="220"/>
        <v>Minimum Units</v>
      </c>
      <c r="J1314" s="1314" t="str">
        <f t="shared" si="222"/>
        <v>F</v>
      </c>
      <c r="K1314" s="1314" t="str">
        <f t="shared" si="219"/>
        <v>Incentives</v>
      </c>
      <c r="L1314" s="1314"/>
      <c r="M1314" s="1314"/>
      <c r="N1314" s="1314"/>
      <c r="O1314" s="1311"/>
      <c r="P1314" s="1311"/>
      <c r="Q1314" s="1311"/>
      <c r="R1314" s="1314" t="s">
        <v>851</v>
      </c>
      <c r="S1314" s="1311"/>
      <c r="T1314" s="1311"/>
      <c r="U1314" s="1311"/>
      <c r="V1314" s="1311"/>
      <c r="W1314" s="1311"/>
      <c r="X1314" s="1311"/>
      <c r="Y1314" s="1311"/>
      <c r="Z1314" s="1311"/>
    </row>
    <row r="1315" spans="1:26" x14ac:dyDescent="0.25">
      <c r="A1315" s="842" t="s">
        <v>1387</v>
      </c>
      <c r="B1315" s="1274" t="str">
        <f>IFERROR(_xlfn.CONCAT("G",('Configurable Tab'!$C$4+6)),"")</f>
        <v>G32</v>
      </c>
      <c r="C1315" s="1274" t="str">
        <f>IFERROR(_xlfn.CONCAT("G",('Configurable Tab'!$C$4+10)),"")</f>
        <v>G36</v>
      </c>
      <c r="D1315" s="1314" t="s">
        <v>1350</v>
      </c>
      <c r="E1315" s="791" t="s">
        <v>1742</v>
      </c>
      <c r="F1315" s="1314"/>
      <c r="G1315" s="1314"/>
      <c r="H1315" s="1314"/>
      <c r="I1315" s="1274" t="str">
        <f t="shared" si="220"/>
        <v>Minimum Units</v>
      </c>
      <c r="J1315" s="1314" t="str">
        <f t="shared" si="222"/>
        <v>F</v>
      </c>
      <c r="K1315" s="1314" t="str">
        <f t="shared" si="219"/>
        <v>Incentives</v>
      </c>
      <c r="L1315" s="1314"/>
      <c r="M1315" s="1314"/>
      <c r="N1315" s="1314"/>
      <c r="O1315" s="1311"/>
      <c r="P1315" s="1311"/>
      <c r="Q1315" s="1311"/>
      <c r="R1315" s="1314" t="s">
        <v>851</v>
      </c>
      <c r="S1315" s="1311"/>
      <c r="T1315" s="1311"/>
      <c r="U1315" s="1311"/>
      <c r="V1315" s="1311"/>
      <c r="W1315" s="1311"/>
      <c r="X1315" s="1311"/>
      <c r="Y1315" s="1311"/>
      <c r="Z1315" s="1311"/>
    </row>
    <row r="1316" spans="1:26" x14ac:dyDescent="0.25">
      <c r="A1316" s="842" t="s">
        <v>1387</v>
      </c>
      <c r="B1316" s="1274" t="str">
        <f>IFERROR(_xlfn.CONCAT("G",('Configurable Tab'!$C$4+6)),"")</f>
        <v>G32</v>
      </c>
      <c r="C1316" s="1274" t="str">
        <f>IFERROR(_xlfn.CONCAT("G",('Configurable Tab'!$C$4+11)),"")</f>
        <v>G37</v>
      </c>
      <c r="D1316" s="1314" t="s">
        <v>1350</v>
      </c>
      <c r="E1316" s="791" t="s">
        <v>1742</v>
      </c>
      <c r="F1316" s="1314"/>
      <c r="G1316" s="1314"/>
      <c r="H1316" s="1314"/>
      <c r="I1316" s="1274" t="str">
        <f t="shared" si="220"/>
        <v>Minimum Units</v>
      </c>
      <c r="J1316" s="1314" t="str">
        <f t="shared" si="222"/>
        <v>F</v>
      </c>
      <c r="K1316" s="1314" t="str">
        <f t="shared" si="219"/>
        <v>Incentives</v>
      </c>
      <c r="L1316" s="1314"/>
      <c r="M1316" s="1314"/>
      <c r="N1316" s="1314"/>
      <c r="O1316" s="1311"/>
      <c r="P1316" s="1311"/>
      <c r="Q1316" s="1311"/>
      <c r="R1316" s="1314" t="s">
        <v>851</v>
      </c>
      <c r="S1316" s="1311"/>
      <c r="T1316" s="1311"/>
      <c r="U1316" s="1311"/>
      <c r="V1316" s="1311"/>
      <c r="W1316" s="1311"/>
      <c r="X1316" s="1311"/>
      <c r="Y1316" s="1311"/>
      <c r="Z1316" s="1311"/>
    </row>
    <row r="1317" spans="1:26" x14ac:dyDescent="0.25">
      <c r="A1317" s="842" t="s">
        <v>1389</v>
      </c>
      <c r="B1317" s="1274" t="str">
        <f>IFERROR(_xlfn.CONCAT("K",('Configurable Tab'!$C$4+6)),"")</f>
        <v>K32</v>
      </c>
      <c r="C1317" s="1274" t="str">
        <f>IFERROR(_xlfn.CONCAT("K",('Configurable Tab'!$C$4+7)),"")</f>
        <v>K33</v>
      </c>
      <c r="D1317" s="1314" t="s">
        <v>1350</v>
      </c>
      <c r="E1317" s="791" t="s">
        <v>1742</v>
      </c>
      <c r="F1317" s="1314"/>
      <c r="G1317" s="1314"/>
      <c r="H1317" s="1314"/>
      <c r="I1317" s="1274" t="str">
        <f t="shared" si="220"/>
        <v>Rate % of Sales</v>
      </c>
      <c r="J1317" s="1314" t="str">
        <f t="shared" si="222"/>
        <v>F</v>
      </c>
      <c r="K1317" s="1314" t="str">
        <f t="shared" si="219"/>
        <v>Incentives</v>
      </c>
      <c r="L1317" s="1314"/>
      <c r="M1317" s="1314"/>
      <c r="N1317" s="1314"/>
      <c r="O1317" s="1311"/>
      <c r="P1317" s="1311"/>
      <c r="Q1317" s="1311"/>
      <c r="R1317" s="1314" t="s">
        <v>851</v>
      </c>
      <c r="S1317" s="1314" t="s">
        <v>1747</v>
      </c>
      <c r="T1317" s="1311"/>
      <c r="U1317" s="1314" t="str">
        <f>IF(Q$570="Yes",M586,"")</f>
        <v/>
      </c>
      <c r="V1317" s="1314" t="str">
        <f>IF(Q$589="Yes",M605,"")</f>
        <v/>
      </c>
      <c r="W1317" s="1311"/>
      <c r="X1317" s="1311"/>
      <c r="Y1317" s="1311"/>
      <c r="Z1317" s="1311"/>
    </row>
    <row r="1318" spans="1:26" x14ac:dyDescent="0.25">
      <c r="A1318" s="842" t="s">
        <v>1389</v>
      </c>
      <c r="B1318" s="1274" t="str">
        <f>IFERROR(_xlfn.CONCAT("K",('Configurable Tab'!$C$4+6)),"")</f>
        <v>K32</v>
      </c>
      <c r="C1318" s="1274" t="str">
        <f>IFERROR(_xlfn.CONCAT("K",('Configurable Tab'!$C$4+8)),"")</f>
        <v>K34</v>
      </c>
      <c r="D1318" s="1314" t="s">
        <v>1350</v>
      </c>
      <c r="E1318" s="791" t="s">
        <v>1742</v>
      </c>
      <c r="F1318" s="1314"/>
      <c r="G1318" s="1314"/>
      <c r="H1318" s="1314"/>
      <c r="I1318" s="1274" t="str">
        <f t="shared" si="220"/>
        <v>Rate % of Sales</v>
      </c>
      <c r="J1318" s="1314" t="str">
        <f t="shared" si="222"/>
        <v>F</v>
      </c>
      <c r="K1318" s="1314" t="str">
        <f t="shared" si="219"/>
        <v>Incentives</v>
      </c>
      <c r="L1318" s="1314"/>
      <c r="M1318" s="1314"/>
      <c r="N1318" s="1314"/>
      <c r="O1318" s="1311"/>
      <c r="P1318" s="1311"/>
      <c r="Q1318" s="1311"/>
      <c r="R1318" s="1314" t="s">
        <v>851</v>
      </c>
      <c r="S1318" s="1311"/>
      <c r="T1318" s="1311"/>
      <c r="U1318" s="1311"/>
      <c r="V1318" s="1311"/>
      <c r="W1318" s="1311"/>
      <c r="X1318" s="1311"/>
      <c r="Y1318" s="1311"/>
      <c r="Z1318" s="1311"/>
    </row>
    <row r="1319" spans="1:26" x14ac:dyDescent="0.25">
      <c r="A1319" s="842" t="s">
        <v>1389</v>
      </c>
      <c r="B1319" s="1274" t="str">
        <f>IFERROR(_xlfn.CONCAT("K",('Configurable Tab'!$C$4+6)),"")</f>
        <v>K32</v>
      </c>
      <c r="C1319" s="1274" t="str">
        <f>IFERROR(_xlfn.CONCAT("K",('Configurable Tab'!$C$4+9)),"")</f>
        <v>K35</v>
      </c>
      <c r="D1319" s="1314" t="s">
        <v>1350</v>
      </c>
      <c r="E1319" s="791" t="s">
        <v>1742</v>
      </c>
      <c r="F1319" s="1314"/>
      <c r="G1319" s="1314"/>
      <c r="H1319" s="1314"/>
      <c r="I1319" s="1274" t="str">
        <f t="shared" si="220"/>
        <v>Rate % of Sales</v>
      </c>
      <c r="J1319" s="1314" t="str">
        <f t="shared" si="222"/>
        <v>F</v>
      </c>
      <c r="K1319" s="1314" t="str">
        <f t="shared" si="219"/>
        <v>Incentives</v>
      </c>
      <c r="L1319" s="1314"/>
      <c r="M1319" s="1314"/>
      <c r="N1319" s="1314"/>
      <c r="O1319" s="1311"/>
      <c r="P1319" s="1311"/>
      <c r="Q1319" s="1311"/>
      <c r="R1319" s="1314" t="s">
        <v>851</v>
      </c>
      <c r="S1319" s="1311"/>
      <c r="T1319" s="1311"/>
      <c r="U1319" s="1311"/>
      <c r="V1319" s="1311"/>
      <c r="W1319" s="1311"/>
      <c r="X1319" s="1311"/>
      <c r="Y1319" s="1311"/>
      <c r="Z1319" s="1311"/>
    </row>
    <row r="1320" spans="1:26" x14ac:dyDescent="0.25">
      <c r="A1320" s="842" t="s">
        <v>1389</v>
      </c>
      <c r="B1320" s="1274" t="str">
        <f>IFERROR(_xlfn.CONCAT("K",('Configurable Tab'!$C$4+6)),"")</f>
        <v>K32</v>
      </c>
      <c r="C1320" s="1274" t="str">
        <f>IFERROR(_xlfn.CONCAT("K",('Configurable Tab'!$C$4+10)),"")</f>
        <v>K36</v>
      </c>
      <c r="D1320" s="1314" t="s">
        <v>1350</v>
      </c>
      <c r="E1320" s="791" t="s">
        <v>1742</v>
      </c>
      <c r="F1320" s="1314"/>
      <c r="G1320" s="1314"/>
      <c r="H1320" s="1314"/>
      <c r="I1320" s="1274" t="str">
        <f t="shared" si="220"/>
        <v>Rate % of Sales</v>
      </c>
      <c r="J1320" s="1314" t="str">
        <f t="shared" si="222"/>
        <v>F</v>
      </c>
      <c r="K1320" s="1314" t="str">
        <f t="shared" si="219"/>
        <v>Incentives</v>
      </c>
      <c r="L1320" s="1314"/>
      <c r="M1320" s="1314"/>
      <c r="N1320" s="1314"/>
      <c r="O1320" s="1311"/>
      <c r="P1320" s="1311"/>
      <c r="Q1320" s="1311"/>
      <c r="R1320" s="1314" t="s">
        <v>851</v>
      </c>
      <c r="S1320" s="1311"/>
      <c r="T1320" s="1311"/>
      <c r="U1320" s="1311"/>
      <c r="V1320" s="1311"/>
      <c r="W1320" s="1311"/>
      <c r="X1320" s="1311"/>
      <c r="Y1320" s="1311"/>
      <c r="Z1320" s="1311"/>
    </row>
    <row r="1321" spans="1:26" x14ac:dyDescent="0.25">
      <c r="A1321" s="842" t="s">
        <v>1389</v>
      </c>
      <c r="B1321" s="1274" t="str">
        <f>IFERROR(_xlfn.CONCAT("K",('Configurable Tab'!$C$4+6)),"")</f>
        <v>K32</v>
      </c>
      <c r="C1321" s="1274" t="str">
        <f>IFERROR(_xlfn.CONCAT("K",('Configurable Tab'!$C$4+11)),"")</f>
        <v>K37</v>
      </c>
      <c r="D1321" s="1314" t="s">
        <v>1350</v>
      </c>
      <c r="E1321" s="791" t="s">
        <v>1742</v>
      </c>
      <c r="F1321" s="1314"/>
      <c r="G1321" s="1314"/>
      <c r="H1321" s="1314"/>
      <c r="I1321" s="1274" t="str">
        <f t="shared" si="220"/>
        <v>Rate % of Sales</v>
      </c>
      <c r="J1321" s="1314" t="str">
        <f t="shared" si="222"/>
        <v>F</v>
      </c>
      <c r="K1321" s="1314" t="str">
        <f t="shared" si="219"/>
        <v>Incentives</v>
      </c>
      <c r="L1321" s="1314"/>
      <c r="M1321" s="1314"/>
      <c r="N1321" s="1314"/>
      <c r="O1321" s="1311"/>
      <c r="P1321" s="1311"/>
      <c r="Q1321" s="1311"/>
      <c r="R1321" s="1314" t="s">
        <v>851</v>
      </c>
      <c r="S1321" s="1311"/>
      <c r="T1321" s="1311"/>
      <c r="U1321" s="1311"/>
      <c r="V1321" s="1311"/>
      <c r="W1321" s="1311"/>
      <c r="X1321" s="1311"/>
      <c r="Y1321" s="1311"/>
      <c r="Z1321" s="1311"/>
    </row>
    <row r="1322" spans="1:26" x14ac:dyDescent="0.25">
      <c r="A1322" s="1011" t="s">
        <v>523</v>
      </c>
      <c r="B1322" s="1274" t="str">
        <f>IFERROR(_xlfn.CONCAT("D",('Configurable Tab'!$C$5+1)),"")</f>
        <v>D41</v>
      </c>
      <c r="C1322" s="1274" t="str">
        <f>IFERROR(_xlfn.CONCAT("E",('Configurable Tab'!$C$5+1)),"")</f>
        <v>E41</v>
      </c>
      <c r="D1322" s="1314" t="s">
        <v>1350</v>
      </c>
      <c r="E1322" s="791" t="s">
        <v>1742</v>
      </c>
      <c r="F1322" s="1314"/>
      <c r="G1322" s="1314"/>
      <c r="H1322" s="1314"/>
      <c r="I1322" s="1274" t="str">
        <f t="shared" si="220"/>
        <v>Offer this Incentive?</v>
      </c>
      <c r="J1322" s="1314" t="str">
        <f>$Q$1&amp;IF(T$1286 = 2,IF(AND(T$1304=1,T$1304&lt;&gt;0),U1304,IF(AND(T$1322=1,T$1322&lt;&gt;0),U1322,"")),IF(T$1286=1,IF(T$1304=2,V1304,IF(T$1304=1,IF(AND(T$1322=1,T$1322&lt;&gt;0),U1322,""),IF(T$1322=2,V1322,""))),IF(T$1304=2,IF(AND(T$1322=1,T$1322&lt;&gt;0),U1322,""),IF(T$1304=1,IF(T$1322 = 2,V1322,""),""))))</f>
        <v>F</v>
      </c>
      <c r="K1322" s="1314" t="str">
        <f t="shared" si="219"/>
        <v>Incentives</v>
      </c>
      <c r="L1322" s="1314"/>
      <c r="M1322" s="1314"/>
      <c r="N1322" s="1314"/>
      <c r="O1322" s="1311" t="s">
        <v>1748</v>
      </c>
      <c r="P1322" s="1405" t="str">
        <f>'Configurable Tab'!E5</f>
        <v>Yes</v>
      </c>
      <c r="Q1322" s="1274" t="str">
        <f>IFERROR(_xlfn.CONCAT("C",('Configurable Tab'!$C5+1)),"")</f>
        <v>C41</v>
      </c>
      <c r="R1322" s="1314" t="s">
        <v>851</v>
      </c>
      <c r="S1322" s="1316" t="s">
        <v>1749</v>
      </c>
      <c r="T1322" s="1314">
        <f>IF(Q$608="Yes",IF(Q$639="Yes",2,1),0)</f>
        <v>0</v>
      </c>
      <c r="U1322" s="1314" t="str">
        <f>IF(Q$608="Yes",M608,"")</f>
        <v/>
      </c>
      <c r="V1322" s="1314" t="str">
        <f>IF(Q$639="Yes",M639,"")</f>
        <v/>
      </c>
      <c r="W1322" s="1311"/>
      <c r="X1322" s="1311"/>
      <c r="Y1322" s="1311"/>
      <c r="Z1322" s="1311"/>
    </row>
    <row r="1323" spans="1:26" x14ac:dyDescent="0.25">
      <c r="A1323" s="1012" t="s">
        <v>1383</v>
      </c>
      <c r="B1323" s="1274" t="str">
        <f>IFERROR(_xlfn.CONCAT("D",('Configurable Tab'!$C$5+2)),"")</f>
        <v>D42</v>
      </c>
      <c r="C1323" s="1274" t="str">
        <f>IFERROR(_xlfn.CONCAT("E",('Configurable Tab'!$C$5+2)),"")</f>
        <v>E42</v>
      </c>
      <c r="D1323" s="1314" t="s">
        <v>1350</v>
      </c>
      <c r="E1323" s="791" t="s">
        <v>1742</v>
      </c>
      <c r="F1323" s="1314"/>
      <c r="G1323" s="1314"/>
      <c r="H1323" s="1314"/>
      <c r="I1323" s="1274" t="str">
        <f t="shared" si="220"/>
        <v>Incentive Type</v>
      </c>
      <c r="J1323" s="1314" t="str">
        <f t="shared" ref="J1323:J1339" si="223">$Q$1&amp;IF(T$1286 = 2,IF(AND(T$1304=1,T$1304&lt;&gt;0),U1305,IF(AND(T$1322=1,T$1322&lt;&gt;0),U1323,"")),IF(T$1286=1,IF(T$1304=2,V1305,IF(T$1304=1,IF(AND(T$1322=1,T$1322&lt;&gt;0),U1323,""),IF(T$1322=2,V1323,""))),IF(T$1304=2,IF(AND(T$1322=1,T$1322&lt;&gt;0),U1323,""),IF(T$1304=1,IF(T$1322 = 2,V1323,""),""))))</f>
        <v>F</v>
      </c>
      <c r="K1323" s="1314" t="str">
        <f t="shared" si="219"/>
        <v>Incentives</v>
      </c>
      <c r="L1323" s="1314"/>
      <c r="M1323" s="1314"/>
      <c r="N1323" s="1314"/>
      <c r="O1323" s="1311"/>
      <c r="P1323" s="1311"/>
      <c r="Q1323" s="1311"/>
      <c r="R1323" s="1314" t="s">
        <v>851</v>
      </c>
      <c r="S1323" s="1316" t="s">
        <v>1749</v>
      </c>
      <c r="T1323" s="1311"/>
      <c r="U1323" s="1314" t="str">
        <f>IF(Q$608="Yes",M609,"")</f>
        <v/>
      </c>
      <c r="V1323" s="1314" t="str">
        <f>IF(Q$639="Yes",M640,"")</f>
        <v/>
      </c>
      <c r="W1323" s="1311"/>
      <c r="X1323" s="1311"/>
      <c r="Y1323" s="1311"/>
      <c r="Z1323" s="1311"/>
    </row>
    <row r="1324" spans="1:26" x14ac:dyDescent="0.25">
      <c r="A1324" s="1012" t="s">
        <v>1385</v>
      </c>
      <c r="B1324" s="1274" t="str">
        <f>IFERROR(_xlfn.CONCAT("D",('Configurable Tab'!$C$5+4)),"")</f>
        <v>D44</v>
      </c>
      <c r="C1324" s="1274" t="str">
        <f>IFERROR(_xlfn.CONCAT("E",('Configurable Tab'!$C$5+4)),"")</f>
        <v>E44</v>
      </c>
      <c r="D1324" s="1314" t="s">
        <v>1350</v>
      </c>
      <c r="E1324" s="791" t="s">
        <v>1742</v>
      </c>
      <c r="F1324" s="1314"/>
      <c r="G1324" s="1314"/>
      <c r="H1324" s="1314"/>
      <c r="I1324" s="1274" t="str">
        <f t="shared" si="220"/>
        <v>Incentive Effective Date</v>
      </c>
      <c r="J1324" s="1314" t="str">
        <f t="shared" si="223"/>
        <v>F</v>
      </c>
      <c r="K1324" s="1314" t="str">
        <f t="shared" si="219"/>
        <v>Incentives</v>
      </c>
      <c r="L1324" s="1314"/>
      <c r="M1324" s="1314"/>
      <c r="N1324" s="1314"/>
      <c r="O1324" s="1311"/>
      <c r="P1324" s="1311"/>
      <c r="Q1324" s="1311"/>
      <c r="R1324" s="1314" t="s">
        <v>851</v>
      </c>
      <c r="S1324" s="1316" t="s">
        <v>1749</v>
      </c>
      <c r="T1324" s="1311"/>
      <c r="U1324" s="1314" t="str">
        <f>IF(Q$608="Yes",M617,"")</f>
        <v/>
      </c>
      <c r="V1324" s="1314" t="str">
        <f>IF(Q$639="Yes",M648,"")</f>
        <v/>
      </c>
      <c r="W1324" s="1311"/>
      <c r="X1324" s="1311"/>
      <c r="Y1324" s="1311"/>
      <c r="Z1324" s="1311"/>
    </row>
    <row r="1325" spans="1:26" x14ac:dyDescent="0.25">
      <c r="A1325" s="1012" t="s">
        <v>1386</v>
      </c>
      <c r="B1325" s="1274" t="str">
        <f>IFERROR(_xlfn.CONCAT("D",('Configurable Tab'!$C$5+5)),"")</f>
        <v>D45</v>
      </c>
      <c r="C1325" s="1274" t="str">
        <f>IFERROR(_xlfn.CONCAT("E",('Configurable Tab'!$C$5+5)),"")</f>
        <v>E45</v>
      </c>
      <c r="D1325" s="1314" t="s">
        <v>1350</v>
      </c>
      <c r="E1325" s="791" t="s">
        <v>1742</v>
      </c>
      <c r="F1325" s="1314"/>
      <c r="G1325" s="1314"/>
      <c r="H1325" s="1314"/>
      <c r="I1325" s="1274" t="str">
        <f t="shared" si="220"/>
        <v>Incentive Expiration Date</v>
      </c>
      <c r="J1325" s="1314" t="str">
        <f t="shared" si="223"/>
        <v>F</v>
      </c>
      <c r="K1325" s="1314" t="str">
        <f t="shared" si="219"/>
        <v>Incentives</v>
      </c>
      <c r="L1325" s="1314"/>
      <c r="M1325" s="1314"/>
      <c r="N1325" s="1314"/>
      <c r="O1325" s="1311"/>
      <c r="P1325" s="1311"/>
      <c r="Q1325" s="1311"/>
      <c r="R1325" s="1314" t="s">
        <v>851</v>
      </c>
      <c r="S1325" s="1316" t="s">
        <v>1749</v>
      </c>
      <c r="T1325" s="1311"/>
      <c r="U1325" s="1314" t="str">
        <f>IF(Q$608="Yes",M618,"")</f>
        <v/>
      </c>
      <c r="V1325" s="1314" t="str">
        <f>IF(Q$639="Yes",M649,"")</f>
        <v/>
      </c>
      <c r="W1325" s="1311"/>
      <c r="X1325" s="1311"/>
      <c r="Y1325" s="1311"/>
      <c r="Z1325" s="1311"/>
    </row>
    <row r="1326" spans="1:26" x14ac:dyDescent="0.25">
      <c r="A1326" s="1012" t="s">
        <v>1380</v>
      </c>
      <c r="B1326" s="1274" t="str">
        <f>IFERROR(_xlfn.CONCAT("G",('Configurable Tab'!$C$5+1)),"")</f>
        <v>G41</v>
      </c>
      <c r="C1326" s="1274" t="str">
        <f>IFERROR(_xlfn.CONCAT("G",('Configurable Tab'!$C$5+2)),"")</f>
        <v>G42</v>
      </c>
      <c r="D1326" s="1314" t="s">
        <v>1350</v>
      </c>
      <c r="E1326" s="791" t="s">
        <v>1742</v>
      </c>
      <c r="F1326" s="1314"/>
      <c r="G1326" s="1314"/>
      <c r="H1326" s="1314"/>
      <c r="I1326" s="1274" t="str">
        <f t="shared" si="220"/>
        <v>Incentive Period</v>
      </c>
      <c r="J1326" s="1314" t="str">
        <f t="shared" si="223"/>
        <v>F</v>
      </c>
      <c r="K1326" s="1314" t="str">
        <f t="shared" si="219"/>
        <v>Incentives</v>
      </c>
      <c r="L1326" s="1314"/>
      <c r="M1326" s="1314"/>
      <c r="N1326" s="1314"/>
      <c r="O1326" s="1311"/>
      <c r="P1326" s="1311"/>
      <c r="Q1326" s="1311"/>
      <c r="R1326" s="1314" t="s">
        <v>851</v>
      </c>
      <c r="S1326" s="1316" t="s">
        <v>1749</v>
      </c>
      <c r="T1326" s="1311"/>
      <c r="U1326" s="1314" t="str">
        <f>IF(Q$608="Yes",M610,"")</f>
        <v/>
      </c>
      <c r="V1326" s="1314" t="str">
        <f>IF(Q$639="Yes",M641,"")</f>
        <v/>
      </c>
      <c r="W1326" s="1311"/>
      <c r="X1326" s="1311"/>
      <c r="Y1326" s="1311"/>
      <c r="Z1326" s="1311"/>
    </row>
    <row r="1327" spans="1:26" x14ac:dyDescent="0.25">
      <c r="A1327" s="1012" t="s">
        <v>1381</v>
      </c>
      <c r="B1327" s="1274" t="str">
        <f>IFERROR(_xlfn.CONCAT("I",('Configurable Tab'!$C$5+1)),"")</f>
        <v>I41</v>
      </c>
      <c r="C1327" s="1274" t="str">
        <f>IFERROR(_xlfn.CONCAT("I",('Configurable Tab'!$C$5+2)),"")</f>
        <v>I42</v>
      </c>
      <c r="D1327" s="1314" t="s">
        <v>1350</v>
      </c>
      <c r="E1327" s="791" t="s">
        <v>1742</v>
      </c>
      <c r="F1327" s="1314"/>
      <c r="G1327" s="1314"/>
      <c r="H1327" s="1314"/>
      <c r="I1327" s="1274" t="str">
        <f t="shared" si="220"/>
        <v>Payment Method</v>
      </c>
      <c r="J1327" s="1314" t="str">
        <f t="shared" si="223"/>
        <v>F</v>
      </c>
      <c r="K1327" s="1314" t="str">
        <f t="shared" si="219"/>
        <v>Incentives</v>
      </c>
      <c r="L1327" s="1314"/>
      <c r="M1327" s="1314"/>
      <c r="N1327" s="1314"/>
      <c r="O1327" s="1311"/>
      <c r="P1327" s="1311"/>
      <c r="Q1327" s="1311"/>
      <c r="R1327" s="1314" t="s">
        <v>851</v>
      </c>
      <c r="S1327" s="1316" t="s">
        <v>1749</v>
      </c>
      <c r="T1327" s="1311"/>
      <c r="U1327" s="1314" t="str">
        <f>IF(Q$608="Yes",M611,"")</f>
        <v/>
      </c>
      <c r="V1327" s="1314" t="str">
        <f>IF(Q$639="Yes",M642,"")</f>
        <v/>
      </c>
      <c r="W1327" s="1311"/>
      <c r="X1327" s="1311"/>
      <c r="Y1327" s="1311"/>
      <c r="Z1327" s="1311"/>
    </row>
    <row r="1328" spans="1:26" x14ac:dyDescent="0.25">
      <c r="A1328" s="1012" t="s">
        <v>833</v>
      </c>
      <c r="B1328" s="1274" t="str">
        <f>IFERROR(_xlfn.CONCAT("K",('Configurable Tab'!$C$5+1)),"")</f>
        <v>K41</v>
      </c>
      <c r="C1328" s="1274" t="str">
        <f>IFERROR(_xlfn.CONCAT("K",('Configurable Tab'!$C$5+2)),"")</f>
        <v>K42</v>
      </c>
      <c r="D1328" s="1314" t="s">
        <v>1350</v>
      </c>
      <c r="E1328" s="791" t="s">
        <v>1742</v>
      </c>
      <c r="F1328" s="1314"/>
      <c r="G1328" s="1314"/>
      <c r="H1328" s="1314"/>
      <c r="I1328" s="1274" t="str">
        <f t="shared" si="220"/>
        <v>Paid to:</v>
      </c>
      <c r="J1328" s="1314" t="str">
        <f t="shared" si="223"/>
        <v>F</v>
      </c>
      <c r="K1328" s="1314" t="str">
        <f t="shared" si="219"/>
        <v>Incentives</v>
      </c>
      <c r="L1328" s="1314"/>
      <c r="M1328" s="1314"/>
      <c r="N1328" s="1314"/>
      <c r="O1328" s="1311"/>
      <c r="P1328" s="1311"/>
      <c r="Q1328" s="1311"/>
      <c r="R1328" s="1314" t="s">
        <v>851</v>
      </c>
      <c r="S1328" s="1316" t="s">
        <v>1749</v>
      </c>
      <c r="T1328" s="1311"/>
      <c r="U1328" s="1314" t="str">
        <f>IF(Q$608="Yes",M612,"")</f>
        <v/>
      </c>
      <c r="V1328" s="1314" t="str">
        <f>IF(Q$639="Yes",M643,"")</f>
        <v/>
      </c>
      <c r="W1328" s="1311"/>
      <c r="X1328" s="1311"/>
      <c r="Y1328" s="1311"/>
      <c r="Z1328" s="1311"/>
    </row>
    <row r="1329" spans="1:26" x14ac:dyDescent="0.25">
      <c r="A1329" s="1012" t="s">
        <v>1382</v>
      </c>
      <c r="B1329" s="1274" t="str">
        <f>IFERROR(_xlfn.CONCAT("M",('Configurable Tab'!$C$5+1)),"")</f>
        <v>M41</v>
      </c>
      <c r="C1329" s="1274" t="str">
        <f>IFERROR(_xlfn.CONCAT("M",('Configurable Tab'!$C$5+2)),"")</f>
        <v>M42</v>
      </c>
      <c r="D1329" s="1314" t="s">
        <v>1350</v>
      </c>
      <c r="E1329" s="791" t="s">
        <v>1742</v>
      </c>
      <c r="F1329" s="1314"/>
      <c r="G1329" s="1314"/>
      <c r="H1329" s="1314"/>
      <c r="I1329" s="1274" t="str">
        <f t="shared" si="220"/>
        <v>AP/AR Vendor Number</v>
      </c>
      <c r="J1329" s="1314" t="str">
        <f t="shared" si="223"/>
        <v>F</v>
      </c>
      <c r="K1329" s="1314" t="str">
        <f t="shared" si="219"/>
        <v>Incentives</v>
      </c>
      <c r="L1329" s="1314"/>
      <c r="M1329" s="1314"/>
      <c r="N1329" s="1314"/>
      <c r="O1329" s="1311"/>
      <c r="P1329" s="1311"/>
      <c r="Q1329" s="1311"/>
      <c r="R1329" s="1314" t="s">
        <v>851</v>
      </c>
      <c r="S1329" s="1316" t="s">
        <v>1749</v>
      </c>
      <c r="T1329" s="1311"/>
      <c r="U1329" s="1314" t="str">
        <f>IF(Q$608="Yes",M613,"")</f>
        <v/>
      </c>
      <c r="V1329" s="1314" t="str">
        <f>IF(Q$639="Yes",M644,"")</f>
        <v/>
      </c>
      <c r="W1329" s="1311"/>
      <c r="X1329" s="1311"/>
      <c r="Y1329" s="1311"/>
      <c r="Z1329" s="1311"/>
    </row>
    <row r="1330" spans="1:26" x14ac:dyDescent="0.25">
      <c r="A1330" s="1012" t="s">
        <v>1387</v>
      </c>
      <c r="B1330" s="1274" t="str">
        <f>IFERROR(_xlfn.CONCAT("G",('Configurable Tab'!$C$5+6)),"")</f>
        <v>G46</v>
      </c>
      <c r="C1330" s="1274" t="str">
        <f>IFERROR(_xlfn.CONCAT("G",('Configurable Tab'!$C$5+7)),"")</f>
        <v>G47</v>
      </c>
      <c r="D1330" s="1314" t="s">
        <v>1350</v>
      </c>
      <c r="E1330" s="791" t="s">
        <v>1742</v>
      </c>
      <c r="F1330" s="1314"/>
      <c r="G1330" s="1314"/>
      <c r="H1330" s="1314"/>
      <c r="I1330" s="1274" t="str">
        <f t="shared" si="220"/>
        <v>Minimum Units</v>
      </c>
      <c r="J1330" s="1314" t="str">
        <f t="shared" si="223"/>
        <v>F</v>
      </c>
      <c r="K1330" s="1314" t="str">
        <f t="shared" si="219"/>
        <v>Incentives</v>
      </c>
      <c r="L1330" s="1314"/>
      <c r="M1330" s="1314"/>
      <c r="N1330" s="1314"/>
      <c r="O1330" s="1311"/>
      <c r="P1330" s="1311"/>
      <c r="Q1330" s="1311"/>
      <c r="R1330" s="1314" t="s">
        <v>851</v>
      </c>
      <c r="S1330" s="1316" t="s">
        <v>1749</v>
      </c>
      <c r="T1330" s="1311"/>
      <c r="U1330" s="1314" t="str">
        <f>IF(Q$608="Yes",M622,"")</f>
        <v/>
      </c>
      <c r="V1330" s="1314" t="str">
        <f>IF(Q$639="Yes",M653,"")</f>
        <v/>
      </c>
      <c r="W1330" s="1311"/>
      <c r="X1330" s="1311"/>
      <c r="Y1330" s="1311"/>
      <c r="Z1330" s="1311"/>
    </row>
    <row r="1331" spans="1:26" x14ac:dyDescent="0.25">
      <c r="A1331" s="1012" t="s">
        <v>1387</v>
      </c>
      <c r="B1331" s="1274" t="str">
        <f>IFERROR(_xlfn.CONCAT("G",('Configurable Tab'!$C$5+6)),"")</f>
        <v>G46</v>
      </c>
      <c r="C1331" s="1274" t="str">
        <f>IFERROR(_xlfn.CONCAT("G",('Configurable Tab'!$C$5+8)),"")</f>
        <v>G48</v>
      </c>
      <c r="D1331" s="1314" t="s">
        <v>1350</v>
      </c>
      <c r="E1331" s="791" t="s">
        <v>1742</v>
      </c>
      <c r="F1331" s="1314"/>
      <c r="G1331" s="1314"/>
      <c r="H1331" s="1314"/>
      <c r="I1331" s="1274" t="str">
        <f t="shared" si="220"/>
        <v>Minimum Units</v>
      </c>
      <c r="J1331" s="1314" t="str">
        <f t="shared" si="223"/>
        <v>F</v>
      </c>
      <c r="K1331" s="1314" t="str">
        <f t="shared" si="219"/>
        <v>Incentives</v>
      </c>
      <c r="L1331" s="1314"/>
      <c r="M1331" s="1314"/>
      <c r="N1331" s="1314"/>
      <c r="O1331" s="1311"/>
      <c r="P1331" s="1311"/>
      <c r="Q1331" s="1311"/>
      <c r="R1331" s="1314" t="s">
        <v>851</v>
      </c>
      <c r="S1331" s="1316" t="s">
        <v>1749</v>
      </c>
      <c r="T1331" s="1311"/>
      <c r="U1331" s="1314" t="str">
        <f>IF(Q$608="Yes",M625,"")</f>
        <v/>
      </c>
      <c r="V1331" s="1314" t="str">
        <f>IF(Q$639="Yes",M656,"")</f>
        <v/>
      </c>
      <c r="W1331" s="1311"/>
      <c r="X1331" s="1311"/>
      <c r="Y1331" s="1311"/>
      <c r="Z1331" s="1311"/>
    </row>
    <row r="1332" spans="1:26" x14ac:dyDescent="0.25">
      <c r="A1332" s="1012" t="s">
        <v>1387</v>
      </c>
      <c r="B1332" s="1274" t="str">
        <f>IFERROR(_xlfn.CONCAT("G",('Configurable Tab'!$C$5+6)),"")</f>
        <v>G46</v>
      </c>
      <c r="C1332" s="1274" t="str">
        <f>IFERROR(_xlfn.CONCAT("G",('Configurable Tab'!$C$5+9)),"")</f>
        <v>G49</v>
      </c>
      <c r="D1332" s="1314" t="s">
        <v>1350</v>
      </c>
      <c r="E1332" s="791" t="s">
        <v>1742</v>
      </c>
      <c r="F1332" s="1314"/>
      <c r="G1332" s="1314"/>
      <c r="H1332" s="1314"/>
      <c r="I1332" s="1274" t="str">
        <f t="shared" si="220"/>
        <v>Minimum Units</v>
      </c>
      <c r="J1332" s="1314" t="str">
        <f t="shared" si="223"/>
        <v>F</v>
      </c>
      <c r="K1332" s="1314" t="str">
        <f t="shared" si="219"/>
        <v>Incentives</v>
      </c>
      <c r="L1332" s="1314"/>
      <c r="M1332" s="1314"/>
      <c r="N1332" s="1314"/>
      <c r="O1332" s="1311"/>
      <c r="P1332" s="1311"/>
      <c r="Q1332" s="1311"/>
      <c r="R1332" s="1314" t="s">
        <v>851</v>
      </c>
      <c r="S1332" s="1316" t="s">
        <v>1749</v>
      </c>
      <c r="T1332" s="1311"/>
      <c r="U1332" s="1314" t="str">
        <f>IF(Q$608="Yes",M628,"")</f>
        <v/>
      </c>
      <c r="V1332" s="1314" t="str">
        <f>IF(Q$639="Yes",M659,"")</f>
        <v/>
      </c>
      <c r="W1332" s="1311"/>
      <c r="X1332" s="1311"/>
      <c r="Y1332" s="1311"/>
      <c r="Z1332" s="1311"/>
    </row>
    <row r="1333" spans="1:26" x14ac:dyDescent="0.25">
      <c r="A1333" s="1012" t="s">
        <v>1387</v>
      </c>
      <c r="B1333" s="1274" t="str">
        <f>IFERROR(_xlfn.CONCAT("G",('Configurable Tab'!$C$5+6)),"")</f>
        <v>G46</v>
      </c>
      <c r="C1333" s="1274" t="str">
        <f>IFERROR(_xlfn.CONCAT("G",('Configurable Tab'!$C$5+10)),"")</f>
        <v>G50</v>
      </c>
      <c r="D1333" s="1314" t="s">
        <v>1350</v>
      </c>
      <c r="E1333" s="791" t="s">
        <v>1742</v>
      </c>
      <c r="F1333" s="1314"/>
      <c r="G1333" s="1314"/>
      <c r="H1333" s="1314"/>
      <c r="I1333" s="1274" t="str">
        <f t="shared" si="220"/>
        <v>Minimum Units</v>
      </c>
      <c r="J1333" s="1314" t="str">
        <f t="shared" si="223"/>
        <v>F</v>
      </c>
      <c r="K1333" s="1314" t="str">
        <f t="shared" si="219"/>
        <v>Incentives</v>
      </c>
      <c r="L1333" s="1314"/>
      <c r="M1333" s="1314"/>
      <c r="N1333" s="1314"/>
      <c r="O1333" s="1311"/>
      <c r="P1333" s="1311"/>
      <c r="Q1333" s="1311"/>
      <c r="R1333" s="1314" t="s">
        <v>851</v>
      </c>
      <c r="S1333" s="1316" t="s">
        <v>1749</v>
      </c>
      <c r="T1333" s="1311"/>
      <c r="U1333" s="1314" t="str">
        <f>IF(Q$608="Yes",M631,"")</f>
        <v/>
      </c>
      <c r="V1333" s="1314" t="str">
        <f>IF(Q$639="Yes",M662,"")</f>
        <v/>
      </c>
      <c r="W1333" s="1311"/>
      <c r="X1333" s="1311"/>
      <c r="Y1333" s="1311"/>
      <c r="Z1333" s="1311"/>
    </row>
    <row r="1334" spans="1:26" x14ac:dyDescent="0.25">
      <c r="A1334" s="1012" t="s">
        <v>1387</v>
      </c>
      <c r="B1334" s="1274" t="str">
        <f>IFERROR(_xlfn.CONCAT("G",('Configurable Tab'!$C$5+6)),"")</f>
        <v>G46</v>
      </c>
      <c r="C1334" s="1274" t="str">
        <f>IFERROR(_xlfn.CONCAT("G",('Configurable Tab'!$C$5+11)),"")</f>
        <v>G51</v>
      </c>
      <c r="D1334" s="1314" t="s">
        <v>1350</v>
      </c>
      <c r="E1334" s="791" t="s">
        <v>1742</v>
      </c>
      <c r="F1334" s="1314"/>
      <c r="G1334" s="1314"/>
      <c r="H1334" s="1314"/>
      <c r="I1334" s="1274" t="str">
        <f t="shared" si="220"/>
        <v>Minimum Units</v>
      </c>
      <c r="J1334" s="1314" t="str">
        <f t="shared" si="223"/>
        <v>F</v>
      </c>
      <c r="K1334" s="1314" t="str">
        <f t="shared" si="219"/>
        <v>Incentives</v>
      </c>
      <c r="L1334" s="1314"/>
      <c r="M1334" s="1314"/>
      <c r="N1334" s="1314"/>
      <c r="O1334" s="1311"/>
      <c r="P1334" s="1311"/>
      <c r="Q1334" s="1311"/>
      <c r="R1334" s="1314" t="s">
        <v>851</v>
      </c>
      <c r="S1334" s="1316" t="s">
        <v>1749</v>
      </c>
      <c r="T1334" s="1311"/>
      <c r="U1334" s="1314" t="str">
        <f>IF(Q$608="Yes",M634,"")</f>
        <v/>
      </c>
      <c r="V1334" s="1314" t="str">
        <f>IF(Q$639="Yes",M665,"")</f>
        <v/>
      </c>
      <c r="W1334" s="1311"/>
      <c r="X1334" s="1311"/>
      <c r="Y1334" s="1311"/>
      <c r="Z1334" s="1311"/>
    </row>
    <row r="1335" spans="1:26" x14ac:dyDescent="0.25">
      <c r="A1335" s="1012" t="s">
        <v>1389</v>
      </c>
      <c r="B1335" s="1274" t="str">
        <f>IFERROR(_xlfn.CONCAT("K",('Configurable Tab'!$C$5+6)),"")</f>
        <v>K46</v>
      </c>
      <c r="C1335" s="1274" t="str">
        <f>IFERROR(_xlfn.CONCAT("K",('Configurable Tab'!$C$5+7)),"")</f>
        <v>K47</v>
      </c>
      <c r="D1335" s="1314" t="s">
        <v>1350</v>
      </c>
      <c r="E1335" s="791" t="s">
        <v>1742</v>
      </c>
      <c r="F1335" s="1314"/>
      <c r="G1335" s="1314"/>
      <c r="H1335" s="1314"/>
      <c r="I1335" s="1274" t="str">
        <f t="shared" si="220"/>
        <v>Rate % of Sales</v>
      </c>
      <c r="J1335" s="1314" t="str">
        <f t="shared" si="223"/>
        <v>F</v>
      </c>
      <c r="K1335" s="1314" t="str">
        <f t="shared" si="219"/>
        <v>Incentives</v>
      </c>
      <c r="L1335" s="1314"/>
      <c r="M1335" s="1314"/>
      <c r="N1335" s="1314"/>
      <c r="O1335" s="1311"/>
      <c r="P1335" s="1311"/>
      <c r="Q1335" s="1311"/>
      <c r="R1335" s="1314" t="s">
        <v>851</v>
      </c>
      <c r="S1335" s="1316" t="s">
        <v>1749</v>
      </c>
      <c r="T1335" s="1311"/>
      <c r="U1335" s="1314" t="str">
        <f>IF(Q$608="Yes",M624,"")</f>
        <v/>
      </c>
      <c r="V1335" s="1314" t="str">
        <f>IF(Q$639="Yes",M655,"")</f>
        <v/>
      </c>
      <c r="W1335" s="1311"/>
      <c r="X1335" s="1311"/>
      <c r="Y1335" s="1311"/>
      <c r="Z1335" s="1311"/>
    </row>
    <row r="1336" spans="1:26" x14ac:dyDescent="0.25">
      <c r="A1336" s="1012" t="s">
        <v>1389</v>
      </c>
      <c r="B1336" s="1274" t="str">
        <f>IFERROR(_xlfn.CONCAT("K",('Configurable Tab'!$C$5+6)),"")</f>
        <v>K46</v>
      </c>
      <c r="C1336" s="1274" t="str">
        <f>IFERROR(_xlfn.CONCAT("K",('Configurable Tab'!$C$5+8)),"")</f>
        <v>K48</v>
      </c>
      <c r="D1336" s="1314" t="s">
        <v>1350</v>
      </c>
      <c r="E1336" s="791" t="s">
        <v>1742</v>
      </c>
      <c r="F1336" s="1314"/>
      <c r="G1336" s="1314"/>
      <c r="H1336" s="1314"/>
      <c r="I1336" s="1274" t="str">
        <f t="shared" si="220"/>
        <v>Rate % of Sales</v>
      </c>
      <c r="J1336" s="1314" t="str">
        <f t="shared" si="223"/>
        <v>F</v>
      </c>
      <c r="K1336" s="1314" t="str">
        <f t="shared" si="219"/>
        <v>Incentives</v>
      </c>
      <c r="L1336" s="1314"/>
      <c r="M1336" s="1314"/>
      <c r="N1336" s="1314"/>
      <c r="O1336" s="1311"/>
      <c r="P1336" s="1311"/>
      <c r="Q1336" s="1311"/>
      <c r="R1336" s="1314" t="s">
        <v>851</v>
      </c>
      <c r="S1336" s="1316" t="s">
        <v>1749</v>
      </c>
      <c r="T1336" s="1311"/>
      <c r="U1336" s="1314" t="str">
        <f>IF(Q$608="Yes",M627,"")</f>
        <v/>
      </c>
      <c r="V1336" s="1314" t="str">
        <f>IF(Q$639="Yes",M658,"")</f>
        <v/>
      </c>
      <c r="W1336" s="1311"/>
      <c r="X1336" s="1311"/>
      <c r="Y1336" s="1311"/>
      <c r="Z1336" s="1311"/>
    </row>
    <row r="1337" spans="1:26" x14ac:dyDescent="0.25">
      <c r="A1337" s="1012" t="s">
        <v>1389</v>
      </c>
      <c r="B1337" s="1274" t="str">
        <f>IFERROR(_xlfn.CONCAT("K",('Configurable Tab'!$C$5+6)),"")</f>
        <v>K46</v>
      </c>
      <c r="C1337" s="1274" t="str">
        <f>IFERROR(_xlfn.CONCAT("K",('Configurable Tab'!$C$5+9)),"")</f>
        <v>K49</v>
      </c>
      <c r="D1337" s="1314" t="s">
        <v>1350</v>
      </c>
      <c r="E1337" s="791" t="s">
        <v>1742</v>
      </c>
      <c r="F1337" s="1314"/>
      <c r="G1337" s="1314"/>
      <c r="H1337" s="1314"/>
      <c r="I1337" s="1274" t="str">
        <f t="shared" si="220"/>
        <v>Rate % of Sales</v>
      </c>
      <c r="J1337" s="1314" t="str">
        <f t="shared" si="223"/>
        <v>F</v>
      </c>
      <c r="K1337" s="1314" t="str">
        <f t="shared" si="219"/>
        <v>Incentives</v>
      </c>
      <c r="L1337" s="1314"/>
      <c r="M1337" s="1314"/>
      <c r="N1337" s="1314"/>
      <c r="O1337" s="1311"/>
      <c r="P1337" s="1311"/>
      <c r="Q1337" s="1311"/>
      <c r="R1337" s="1314" t="s">
        <v>851</v>
      </c>
      <c r="S1337" s="1316" t="s">
        <v>1749</v>
      </c>
      <c r="T1337" s="1311"/>
      <c r="U1337" s="1314" t="str">
        <f>IF(Q$608="Yes",M630,"")</f>
        <v/>
      </c>
      <c r="V1337" s="1314" t="str">
        <f>IF(Q$639="Yes",M661,"")</f>
        <v/>
      </c>
      <c r="W1337" s="1311"/>
      <c r="X1337" s="1311"/>
      <c r="Y1337" s="1311"/>
      <c r="Z1337" s="1311"/>
    </row>
    <row r="1338" spans="1:26" x14ac:dyDescent="0.25">
      <c r="A1338" s="1012" t="s">
        <v>1389</v>
      </c>
      <c r="B1338" s="1274" t="str">
        <f>IFERROR(_xlfn.CONCAT("K",('Configurable Tab'!$C$5+6)),"")</f>
        <v>K46</v>
      </c>
      <c r="C1338" s="1274" t="str">
        <f>IFERROR(_xlfn.CONCAT("K",('Configurable Tab'!$C$5+10)),"")</f>
        <v>K50</v>
      </c>
      <c r="D1338" s="1314" t="s">
        <v>1350</v>
      </c>
      <c r="E1338" s="791" t="s">
        <v>1742</v>
      </c>
      <c r="F1338" s="1314"/>
      <c r="G1338" s="1314"/>
      <c r="H1338" s="1314"/>
      <c r="I1338" s="1274" t="str">
        <f t="shared" si="220"/>
        <v>Rate % of Sales</v>
      </c>
      <c r="J1338" s="1314" t="str">
        <f t="shared" si="223"/>
        <v>F</v>
      </c>
      <c r="K1338" s="1314" t="str">
        <f t="shared" si="219"/>
        <v>Incentives</v>
      </c>
      <c r="L1338" s="1314"/>
      <c r="M1338" s="1314"/>
      <c r="N1338" s="1314"/>
      <c r="O1338" s="1311"/>
      <c r="P1338" s="1311"/>
      <c r="Q1338" s="1311"/>
      <c r="R1338" s="1314" t="s">
        <v>851</v>
      </c>
      <c r="S1338" s="1316" t="s">
        <v>1749</v>
      </c>
      <c r="T1338" s="1311"/>
      <c r="U1338" s="1314" t="str">
        <f>IF(Q$608="Yes",M633,"")</f>
        <v/>
      </c>
      <c r="V1338" s="1314" t="str">
        <f>IF(Q$639="Yes",M664,"")</f>
        <v/>
      </c>
      <c r="W1338" s="1311"/>
      <c r="X1338" s="1311"/>
      <c r="Y1338" s="1311"/>
      <c r="Z1338" s="1311"/>
    </row>
    <row r="1339" spans="1:26" x14ac:dyDescent="0.25">
      <c r="A1339" s="1012" t="s">
        <v>1389</v>
      </c>
      <c r="B1339" s="1274" t="str">
        <f>IFERROR(_xlfn.CONCAT("K",('Configurable Tab'!$C$5+6)),"")</f>
        <v>K46</v>
      </c>
      <c r="C1339" s="1274" t="str">
        <f>IFERROR(_xlfn.CONCAT("K",('Configurable Tab'!$C$5+11)),"")</f>
        <v>K51</v>
      </c>
      <c r="D1339" s="1314" t="s">
        <v>1350</v>
      </c>
      <c r="E1339" s="791" t="s">
        <v>1742</v>
      </c>
      <c r="F1339" s="1314"/>
      <c r="G1339" s="1314"/>
      <c r="H1339" s="1314"/>
      <c r="I1339" s="1274" t="str">
        <f t="shared" si="220"/>
        <v>Rate % of Sales</v>
      </c>
      <c r="J1339" s="1314" t="str">
        <f t="shared" si="223"/>
        <v>F</v>
      </c>
      <c r="K1339" s="1314" t="str">
        <f t="shared" si="219"/>
        <v>Incentives</v>
      </c>
      <c r="L1339" s="1314"/>
      <c r="M1339" s="1314"/>
      <c r="N1339" s="1314"/>
      <c r="O1339" s="1311"/>
      <c r="P1339" s="1311"/>
      <c r="Q1339" s="1311"/>
      <c r="R1339" s="1314" t="s">
        <v>851</v>
      </c>
      <c r="S1339" s="1316" t="s">
        <v>1749</v>
      </c>
      <c r="T1339" s="1311"/>
      <c r="U1339" s="1314" t="str">
        <f>IF(Q$608="Yes",M636,"")</f>
        <v/>
      </c>
      <c r="V1339" s="1314" t="str">
        <f>IF(Q$639="Yes",M667,"")</f>
        <v/>
      </c>
      <c r="W1339" s="1311"/>
      <c r="X1339" s="1311"/>
      <c r="Y1339" s="1311"/>
      <c r="Z1339" s="1311"/>
    </row>
    <row r="1340" spans="1:26" x14ac:dyDescent="0.25">
      <c r="A1340" s="1070" t="s">
        <v>523</v>
      </c>
      <c r="B1340" s="1274" t="str">
        <f>IFERROR(_xlfn.CONCAT("D",('Configurable Tab'!$C$6+1)),"")</f>
        <v>D55</v>
      </c>
      <c r="C1340" s="1274" t="str">
        <f>IFERROR(_xlfn.CONCAT("E",('Configurable Tab'!$C$6+1)),"")</f>
        <v>E55</v>
      </c>
      <c r="D1340" s="1314" t="s">
        <v>1350</v>
      </c>
      <c r="E1340" s="791" t="s">
        <v>1742</v>
      </c>
      <c r="F1340" s="1314"/>
      <c r="G1340" s="1314"/>
      <c r="H1340" s="1314"/>
      <c r="I1340" s="1274" t="str">
        <f t="shared" si="220"/>
        <v>Offer this Incentive?</v>
      </c>
      <c r="J1340" s="1314" t="str">
        <f>$Q$1&amp;IF(T$1340&lt;&gt;0,U1340,IF(T$1358&lt;&gt;0,U1358,""))</f>
        <v>F</v>
      </c>
      <c r="K1340" s="1314" t="str">
        <f t="shared" si="219"/>
        <v>Incentives</v>
      </c>
      <c r="L1340" s="1314"/>
      <c r="M1340" s="1314"/>
      <c r="N1340" s="1314"/>
      <c r="O1340" s="1311" t="s">
        <v>1687</v>
      </c>
      <c r="P1340" s="1405" t="str">
        <f>'Configurable Tab'!E6</f>
        <v>Yes</v>
      </c>
      <c r="Q1340" s="1274" t="str">
        <f>IFERROR(_xlfn.CONCAT("C",('Configurable Tab'!$C6+1)),"")</f>
        <v>C55</v>
      </c>
      <c r="R1340" s="1314" t="s">
        <v>1525</v>
      </c>
      <c r="S1340" s="1316" t="s">
        <v>1750</v>
      </c>
      <c r="T1340" s="1314">
        <f>IF(Q$670="Yes",IF(Q$688="Yes",2,1),0)</f>
        <v>0</v>
      </c>
      <c r="U1340" s="1314" t="str">
        <f>IF(Q$670="Yes",M670,"")</f>
        <v/>
      </c>
      <c r="V1340" s="1314" t="str">
        <f>IF(Q$688="Yes",M688,"")</f>
        <v/>
      </c>
      <c r="W1340" s="1311"/>
      <c r="X1340" s="1311"/>
      <c r="Y1340" s="1311"/>
      <c r="Z1340" s="1311"/>
    </row>
    <row r="1341" spans="1:26" x14ac:dyDescent="0.25">
      <c r="A1341" s="1071" t="s">
        <v>1383</v>
      </c>
      <c r="B1341" s="1274" t="str">
        <f>IFERROR(_xlfn.CONCAT("D",('Configurable Tab'!$C$6+2)),"")</f>
        <v>D56</v>
      </c>
      <c r="C1341" s="1274" t="str">
        <f>IFERROR(_xlfn.CONCAT("E",('Configurable Tab'!$C$6+2)),"")</f>
        <v>E56</v>
      </c>
      <c r="D1341" s="1314" t="s">
        <v>1350</v>
      </c>
      <c r="E1341" s="791" t="s">
        <v>1742</v>
      </c>
      <c r="F1341" s="1314"/>
      <c r="G1341" s="1314"/>
      <c r="H1341" s="1314"/>
      <c r="I1341" s="1274" t="str">
        <f t="shared" si="220"/>
        <v>Incentive Type</v>
      </c>
      <c r="J1341" s="1314" t="str">
        <f t="shared" ref="J1341:J1357" si="224">$Q$1&amp;IF(T$1340&lt;&gt;0,U1341,IF(T$1358&lt;&gt;0,U1359,""))</f>
        <v>F</v>
      </c>
      <c r="K1341" s="1314" t="str">
        <f t="shared" si="219"/>
        <v>Incentives</v>
      </c>
      <c r="L1341" s="1314"/>
      <c r="M1341" s="1314"/>
      <c r="N1341" s="1314"/>
      <c r="O1341" s="1311"/>
      <c r="P1341" s="1311"/>
      <c r="Q1341" s="1311"/>
      <c r="R1341" s="1314" t="s">
        <v>1525</v>
      </c>
      <c r="S1341" s="1316" t="s">
        <v>1750</v>
      </c>
      <c r="T1341" s="1311"/>
      <c r="U1341" s="1314" t="str">
        <f>IF(Q$670="Yes",M671,"")</f>
        <v/>
      </c>
      <c r="V1341" s="1314" t="str">
        <f>IF(Q$688="Yes",M689,"")</f>
        <v/>
      </c>
      <c r="W1341" s="1311"/>
      <c r="X1341" s="1311"/>
      <c r="Y1341" s="1311"/>
      <c r="Z1341" s="1311"/>
    </row>
    <row r="1342" spans="1:26" x14ac:dyDescent="0.25">
      <c r="A1342" s="1071" t="s">
        <v>1385</v>
      </c>
      <c r="B1342" s="1274" t="str">
        <f>IFERROR(_xlfn.CONCAT("D",('Configurable Tab'!$C$6+4)),"")</f>
        <v>D58</v>
      </c>
      <c r="C1342" s="1274" t="str">
        <f>IFERROR(_xlfn.CONCAT("E",('Configurable Tab'!$C$6+4)),"")</f>
        <v>E58</v>
      </c>
      <c r="D1342" s="1314" t="s">
        <v>1350</v>
      </c>
      <c r="E1342" s="791" t="s">
        <v>1742</v>
      </c>
      <c r="F1342" s="1314"/>
      <c r="G1342" s="1314"/>
      <c r="H1342" s="1314"/>
      <c r="I1342" s="1274" t="str">
        <f t="shared" si="220"/>
        <v>Incentive Effective Date</v>
      </c>
      <c r="J1342" s="1314" t="str">
        <f t="shared" si="224"/>
        <v>F</v>
      </c>
      <c r="K1342" s="1314" t="str">
        <f t="shared" si="219"/>
        <v>Incentives</v>
      </c>
      <c r="L1342" s="1314"/>
      <c r="M1342" s="1314"/>
      <c r="N1342" s="1314"/>
      <c r="O1342" s="1311"/>
      <c r="P1342" s="1311"/>
      <c r="Q1342" s="1311"/>
      <c r="R1342" s="1314" t="s">
        <v>1525</v>
      </c>
      <c r="S1342" s="1316" t="s">
        <v>1750</v>
      </c>
      <c r="T1342" s="1311"/>
      <c r="U1342" s="1314" t="str">
        <f>IF(Q$670="Yes",M679,"")</f>
        <v/>
      </c>
      <c r="V1342" s="1314" t="str">
        <f>IF(Q$688="Yes",M697,"")</f>
        <v/>
      </c>
      <c r="W1342" s="1311"/>
      <c r="X1342" s="1311"/>
      <c r="Y1342" s="1311"/>
      <c r="Z1342" s="1311"/>
    </row>
    <row r="1343" spans="1:26" x14ac:dyDescent="0.25">
      <c r="A1343" s="1071" t="s">
        <v>1386</v>
      </c>
      <c r="B1343" s="1274" t="str">
        <f>IFERROR(_xlfn.CONCAT("D",('Configurable Tab'!$C$6+5)),"")</f>
        <v>D59</v>
      </c>
      <c r="C1343" s="1274" t="str">
        <f>IFERROR(_xlfn.CONCAT("E",('Configurable Tab'!$C$6+5)),"")</f>
        <v>E59</v>
      </c>
      <c r="D1343" s="1314" t="s">
        <v>1350</v>
      </c>
      <c r="E1343" s="791" t="s">
        <v>1742</v>
      </c>
      <c r="F1343" s="1314"/>
      <c r="G1343" s="1314"/>
      <c r="H1343" s="1314"/>
      <c r="I1343" s="1274" t="str">
        <f t="shared" si="220"/>
        <v>Incentive Expiration Date</v>
      </c>
      <c r="J1343" s="1314" t="str">
        <f t="shared" si="224"/>
        <v>F</v>
      </c>
      <c r="K1343" s="1314" t="str">
        <f t="shared" si="219"/>
        <v>Incentives</v>
      </c>
      <c r="L1343" s="1314"/>
      <c r="M1343" s="1314"/>
      <c r="N1343" s="1314"/>
      <c r="O1343" s="1311"/>
      <c r="P1343" s="1311"/>
      <c r="Q1343" s="1311"/>
      <c r="R1343" s="1314" t="s">
        <v>1525</v>
      </c>
      <c r="S1343" s="1316" t="s">
        <v>1750</v>
      </c>
      <c r="T1343" s="1311"/>
      <c r="U1343" s="1314" t="str">
        <f>IF(Q$670="Yes",M680,"")</f>
        <v/>
      </c>
      <c r="V1343" s="1314" t="str">
        <f>IF(Q$688="Yes",M698,"")</f>
        <v/>
      </c>
      <c r="W1343" s="1311"/>
      <c r="X1343" s="1311"/>
      <c r="Y1343" s="1311"/>
      <c r="Z1343" s="1311"/>
    </row>
    <row r="1344" spans="1:26" x14ac:dyDescent="0.25">
      <c r="A1344" s="1071" t="s">
        <v>1380</v>
      </c>
      <c r="B1344" s="1274" t="str">
        <f>IFERROR(_xlfn.CONCAT("G",('Configurable Tab'!$C$6+1)),"")</f>
        <v>G55</v>
      </c>
      <c r="C1344" s="1274" t="str">
        <f>IFERROR(_xlfn.CONCAT("G",('Configurable Tab'!$C$6+2)),"")</f>
        <v>G56</v>
      </c>
      <c r="D1344" s="1314" t="s">
        <v>1350</v>
      </c>
      <c r="E1344" s="791" t="s">
        <v>1742</v>
      </c>
      <c r="F1344" s="1310"/>
      <c r="G1344" s="1069"/>
      <c r="H1344" s="1314"/>
      <c r="I1344" s="1274" t="str">
        <f t="shared" si="220"/>
        <v>Incentive Period</v>
      </c>
      <c r="J1344" s="1314" t="str">
        <f t="shared" si="224"/>
        <v>F</v>
      </c>
      <c r="K1344" s="1314" t="str">
        <f t="shared" si="219"/>
        <v>Incentives</v>
      </c>
      <c r="L1344" s="1314"/>
      <c r="M1344" s="1314"/>
      <c r="N1344" s="1314"/>
      <c r="O1344" s="1311"/>
      <c r="P1344" s="1311"/>
      <c r="Q1344" s="1311"/>
      <c r="R1344" s="1314" t="s">
        <v>1525</v>
      </c>
      <c r="S1344" s="1316" t="s">
        <v>1750</v>
      </c>
      <c r="T1344" s="1311"/>
      <c r="U1344" s="1314" t="str">
        <f>IF(Q$670="Yes",M672,"")</f>
        <v/>
      </c>
      <c r="V1344" s="1314" t="str">
        <f>IF(Q$688="Yes",M690,"")</f>
        <v/>
      </c>
      <c r="W1344" s="1311"/>
      <c r="X1344" s="1311"/>
      <c r="Y1344" s="1311"/>
      <c r="Z1344" s="1311"/>
    </row>
    <row r="1345" spans="1:26" x14ac:dyDescent="0.25">
      <c r="A1345" s="1071" t="s">
        <v>1381</v>
      </c>
      <c r="B1345" s="1274" t="str">
        <f>IFERROR(_xlfn.CONCAT("I",('Configurable Tab'!$C$6+1)),"")</f>
        <v>I55</v>
      </c>
      <c r="C1345" s="1274" t="str">
        <f>IFERROR(_xlfn.CONCAT("I",('Configurable Tab'!$C$6+2)),"")</f>
        <v>I56</v>
      </c>
      <c r="D1345" s="1314" t="s">
        <v>1350</v>
      </c>
      <c r="E1345" s="791" t="s">
        <v>1742</v>
      </c>
      <c r="F1345" s="1314"/>
      <c r="G1345" s="1314"/>
      <c r="H1345" s="1314"/>
      <c r="I1345" s="1274" t="str">
        <f t="shared" si="220"/>
        <v>Payment Method</v>
      </c>
      <c r="J1345" s="1314" t="str">
        <f t="shared" si="224"/>
        <v>F</v>
      </c>
      <c r="K1345" s="1314" t="str">
        <f t="shared" si="219"/>
        <v>Incentives</v>
      </c>
      <c r="L1345" s="1314"/>
      <c r="M1345" s="1314"/>
      <c r="N1345" s="1314"/>
      <c r="O1345" s="1311"/>
      <c r="P1345" s="1311"/>
      <c r="Q1345" s="1311"/>
      <c r="R1345" s="1314" t="s">
        <v>1525</v>
      </c>
      <c r="S1345" s="1316" t="s">
        <v>1750</v>
      </c>
      <c r="T1345" s="1311"/>
      <c r="U1345" s="1314" t="str">
        <f>IF(Q$670="Yes",M673,"")</f>
        <v/>
      </c>
      <c r="V1345" s="1314" t="str">
        <f>IF(Q$688="Yes",M691,"")</f>
        <v/>
      </c>
      <c r="W1345" s="1311"/>
      <c r="X1345" s="1311"/>
      <c r="Y1345" s="1311"/>
      <c r="Z1345" s="1311"/>
    </row>
    <row r="1346" spans="1:26" x14ac:dyDescent="0.25">
      <c r="A1346" s="1071" t="s">
        <v>833</v>
      </c>
      <c r="B1346" s="1274" t="str">
        <f>IFERROR(_xlfn.CONCAT("K",('Configurable Tab'!$C$6+1)),"")</f>
        <v>K55</v>
      </c>
      <c r="C1346" s="1274" t="str">
        <f>IFERROR(_xlfn.CONCAT("K",('Configurable Tab'!$C$6+2)),"")</f>
        <v>K56</v>
      </c>
      <c r="D1346" s="1314" t="s">
        <v>1350</v>
      </c>
      <c r="E1346" s="791" t="s">
        <v>1742</v>
      </c>
      <c r="F1346" s="1314"/>
      <c r="G1346" s="1314"/>
      <c r="H1346" s="1314"/>
      <c r="I1346" s="1274" t="str">
        <f t="shared" si="220"/>
        <v>Paid to:</v>
      </c>
      <c r="J1346" s="1314" t="str">
        <f t="shared" si="224"/>
        <v>F</v>
      </c>
      <c r="K1346" s="1314" t="str">
        <f t="shared" si="219"/>
        <v>Incentives</v>
      </c>
      <c r="L1346" s="1314"/>
      <c r="M1346" s="1314"/>
      <c r="N1346" s="1314"/>
      <c r="O1346" s="1311"/>
      <c r="P1346" s="1311"/>
      <c r="Q1346" s="1311"/>
      <c r="R1346" s="1314" t="s">
        <v>1525</v>
      </c>
      <c r="S1346" s="1316" t="s">
        <v>1750</v>
      </c>
      <c r="T1346" s="1311"/>
      <c r="U1346" s="1314" t="str">
        <f>IF(Q$670="Yes",M674,"")</f>
        <v/>
      </c>
      <c r="V1346" s="1314" t="str">
        <f>IF(Q$688="Yes",M692,"")</f>
        <v/>
      </c>
      <c r="W1346" s="1311"/>
      <c r="X1346" s="1311"/>
      <c r="Y1346" s="1311"/>
      <c r="Z1346" s="1311"/>
    </row>
    <row r="1347" spans="1:26" x14ac:dyDescent="0.25">
      <c r="A1347" s="1071" t="s">
        <v>1382</v>
      </c>
      <c r="B1347" s="1274" t="str">
        <f>IFERROR(_xlfn.CONCAT("M",('Configurable Tab'!$C$6+1)),"")</f>
        <v>M55</v>
      </c>
      <c r="C1347" s="1274" t="str">
        <f>IFERROR(_xlfn.CONCAT("M",('Configurable Tab'!$C$6+2)),"")</f>
        <v>M56</v>
      </c>
      <c r="D1347" s="1314" t="s">
        <v>1350</v>
      </c>
      <c r="E1347" s="791" t="s">
        <v>1742</v>
      </c>
      <c r="F1347" s="1314"/>
      <c r="G1347" s="1314"/>
      <c r="H1347" s="1314"/>
      <c r="I1347" s="1274" t="str">
        <f t="shared" si="220"/>
        <v>AP/AR Vendor Number</v>
      </c>
      <c r="J1347" s="1314" t="str">
        <f t="shared" si="224"/>
        <v>F</v>
      </c>
      <c r="K1347" s="1314" t="str">
        <f t="shared" si="219"/>
        <v>Incentives</v>
      </c>
      <c r="L1347" s="1314"/>
      <c r="M1347" s="1314"/>
      <c r="N1347" s="1314"/>
      <c r="O1347" s="1311"/>
      <c r="P1347" s="1311"/>
      <c r="Q1347" s="1311"/>
      <c r="R1347" s="1314" t="s">
        <v>1525</v>
      </c>
      <c r="S1347" s="1316" t="s">
        <v>1750</v>
      </c>
      <c r="T1347" s="1311"/>
      <c r="U1347" s="1314" t="str">
        <f>IF(Q$670="Yes",M675,"")</f>
        <v/>
      </c>
      <c r="V1347" s="1314" t="str">
        <f>IF(Q$688="Yes",M693,"")</f>
        <v/>
      </c>
      <c r="W1347" s="1311"/>
      <c r="X1347" s="1311"/>
      <c r="Y1347" s="1311"/>
      <c r="Z1347" s="1311"/>
    </row>
    <row r="1348" spans="1:26" x14ac:dyDescent="0.25">
      <c r="A1348" s="1071" t="s">
        <v>1387</v>
      </c>
      <c r="B1348" s="1274" t="str">
        <f>IFERROR(_xlfn.CONCAT("G",('Configurable Tab'!$C$6+6)),"")</f>
        <v>G60</v>
      </c>
      <c r="C1348" s="1274" t="str">
        <f>IFERROR(_xlfn.CONCAT("G",('Configurable Tab'!$C$6+7)),"")</f>
        <v>G61</v>
      </c>
      <c r="D1348" s="1314" t="s">
        <v>1350</v>
      </c>
      <c r="E1348" s="791" t="s">
        <v>1742</v>
      </c>
      <c r="F1348" s="1314"/>
      <c r="G1348" s="1314"/>
      <c r="H1348" s="1314"/>
      <c r="I1348" s="1274" t="str">
        <f t="shared" si="220"/>
        <v>Minimum Units</v>
      </c>
      <c r="J1348" s="1314" t="str">
        <f t="shared" si="224"/>
        <v>F</v>
      </c>
      <c r="K1348" s="1314" t="str">
        <f t="shared" si="219"/>
        <v>Incentives</v>
      </c>
      <c r="L1348" s="1314"/>
      <c r="M1348" s="1314"/>
      <c r="N1348" s="1314"/>
      <c r="O1348" s="1311"/>
      <c r="P1348" s="1311"/>
      <c r="Q1348" s="1311"/>
      <c r="R1348" s="1314" t="s">
        <v>1525</v>
      </c>
      <c r="S1348" s="1316" t="s">
        <v>1750</v>
      </c>
      <c r="T1348" s="1311"/>
      <c r="U1348" s="1314" t="str">
        <f>IF(Q$670="Yes",M684,"")</f>
        <v/>
      </c>
      <c r="V1348" s="1314" t="str">
        <f>IF(Q$688="Yes",M702,"")</f>
        <v/>
      </c>
      <c r="W1348" s="1311"/>
      <c r="X1348" s="1311"/>
      <c r="Y1348" s="1311"/>
      <c r="Z1348" s="1311"/>
    </row>
    <row r="1349" spans="1:26" x14ac:dyDescent="0.25">
      <c r="A1349" s="1071" t="s">
        <v>1387</v>
      </c>
      <c r="B1349" s="1274" t="str">
        <f>IFERROR(_xlfn.CONCAT("G",('Configurable Tab'!$C$6+6)),"")</f>
        <v>G60</v>
      </c>
      <c r="C1349" s="1274" t="str">
        <f>IFERROR(_xlfn.CONCAT("G",('Configurable Tab'!$C$6+8)),"")</f>
        <v>G62</v>
      </c>
      <c r="D1349" s="1314" t="s">
        <v>1350</v>
      </c>
      <c r="E1349" s="791" t="s">
        <v>1742</v>
      </c>
      <c r="F1349" s="1314"/>
      <c r="G1349" s="1314"/>
      <c r="H1349" s="1314"/>
      <c r="I1349" s="1274" t="str">
        <f t="shared" si="220"/>
        <v>Minimum Units</v>
      </c>
      <c r="J1349" s="1314" t="str">
        <f t="shared" si="224"/>
        <v>F</v>
      </c>
      <c r="K1349" s="1314" t="str">
        <f t="shared" ref="K1349:K1412" si="225">IF(J1349&lt;&gt;"",E1349,"")</f>
        <v>Incentives</v>
      </c>
      <c r="L1349" s="1314"/>
      <c r="M1349" s="1314"/>
      <c r="N1349" s="1314"/>
      <c r="O1349" s="1311"/>
      <c r="P1349" s="1311"/>
      <c r="Q1349" s="1311"/>
      <c r="R1349" s="1314" t="s">
        <v>1525</v>
      </c>
      <c r="S1349" s="1311"/>
      <c r="T1349" s="1311"/>
      <c r="U1349" s="1311"/>
      <c r="V1349" s="1311"/>
      <c r="W1349" s="1311"/>
      <c r="X1349" s="1311"/>
      <c r="Y1349" s="1311"/>
      <c r="Z1349" s="1311"/>
    </row>
    <row r="1350" spans="1:26" x14ac:dyDescent="0.25">
      <c r="A1350" s="1071" t="s">
        <v>1387</v>
      </c>
      <c r="B1350" s="1274" t="str">
        <f>IFERROR(_xlfn.CONCAT("G",('Configurable Tab'!$C$6+6)),"")</f>
        <v>G60</v>
      </c>
      <c r="C1350" s="1274" t="str">
        <f>IFERROR(_xlfn.CONCAT("G",('Configurable Tab'!$C$6+9)),"")</f>
        <v>G63</v>
      </c>
      <c r="D1350" s="1314" t="s">
        <v>1350</v>
      </c>
      <c r="E1350" s="791" t="s">
        <v>1742</v>
      </c>
      <c r="F1350" s="1314"/>
      <c r="G1350" s="1314"/>
      <c r="H1350" s="1314"/>
      <c r="I1350" s="1274" t="str">
        <f t="shared" ref="I1350:I1413" si="226">IF(J1350&lt;&gt;"",A1350,"")</f>
        <v>Minimum Units</v>
      </c>
      <c r="J1350" s="1314" t="str">
        <f t="shared" si="224"/>
        <v>F</v>
      </c>
      <c r="K1350" s="1314" t="str">
        <f t="shared" si="225"/>
        <v>Incentives</v>
      </c>
      <c r="L1350" s="1314"/>
      <c r="M1350" s="1314"/>
      <c r="N1350" s="1314"/>
      <c r="O1350" s="1311"/>
      <c r="P1350" s="1311"/>
      <c r="Q1350" s="1311"/>
      <c r="R1350" s="1314" t="s">
        <v>1525</v>
      </c>
      <c r="S1350" s="1311"/>
      <c r="T1350" s="1311"/>
      <c r="U1350" s="1311"/>
      <c r="V1350" s="1311"/>
      <c r="W1350" s="1311"/>
      <c r="X1350" s="1311"/>
      <c r="Y1350" s="1311"/>
      <c r="Z1350" s="1311"/>
    </row>
    <row r="1351" spans="1:26" x14ac:dyDescent="0.25">
      <c r="A1351" s="1071" t="s">
        <v>1387</v>
      </c>
      <c r="B1351" s="1274" t="str">
        <f>IFERROR(_xlfn.CONCAT("G",('Configurable Tab'!$C$6+6)),"")</f>
        <v>G60</v>
      </c>
      <c r="C1351" s="1274" t="str">
        <f>IFERROR(_xlfn.CONCAT("G",('Configurable Tab'!$C$6+10)),"")</f>
        <v>G64</v>
      </c>
      <c r="D1351" s="1314" t="s">
        <v>1350</v>
      </c>
      <c r="E1351" s="791" t="s">
        <v>1742</v>
      </c>
      <c r="F1351" s="1314"/>
      <c r="G1351" s="1314"/>
      <c r="H1351" s="1314"/>
      <c r="I1351" s="1274" t="str">
        <f t="shared" si="226"/>
        <v>Minimum Units</v>
      </c>
      <c r="J1351" s="1314" t="str">
        <f t="shared" si="224"/>
        <v>F</v>
      </c>
      <c r="K1351" s="1314" t="str">
        <f t="shared" si="225"/>
        <v>Incentives</v>
      </c>
      <c r="L1351" s="1314"/>
      <c r="M1351" s="1314"/>
      <c r="N1351" s="1314"/>
      <c r="O1351" s="1311"/>
      <c r="P1351" s="1311"/>
      <c r="Q1351" s="1311"/>
      <c r="R1351" s="1314" t="s">
        <v>1525</v>
      </c>
      <c r="S1351" s="1311"/>
      <c r="T1351" s="1311"/>
      <c r="U1351" s="1311"/>
      <c r="V1351" s="1311"/>
      <c r="W1351" s="1311"/>
      <c r="X1351" s="1311"/>
      <c r="Y1351" s="1311"/>
      <c r="Z1351" s="1311"/>
    </row>
    <row r="1352" spans="1:26" x14ac:dyDescent="0.25">
      <c r="A1352" s="1071" t="s">
        <v>1387</v>
      </c>
      <c r="B1352" s="1274" t="str">
        <f>IFERROR(_xlfn.CONCAT("G",('Configurable Tab'!$C$6+6)),"")</f>
        <v>G60</v>
      </c>
      <c r="C1352" s="1274" t="str">
        <f>IFERROR(_xlfn.CONCAT("G",('Configurable Tab'!$C$6+11)),"")</f>
        <v>G65</v>
      </c>
      <c r="D1352" s="1314" t="s">
        <v>1350</v>
      </c>
      <c r="E1352" s="791" t="s">
        <v>1742</v>
      </c>
      <c r="F1352" s="1314"/>
      <c r="G1352" s="1314"/>
      <c r="H1352" s="1314"/>
      <c r="I1352" s="1274" t="str">
        <f t="shared" si="226"/>
        <v>Minimum Units</v>
      </c>
      <c r="J1352" s="1314" t="str">
        <f t="shared" si="224"/>
        <v>F</v>
      </c>
      <c r="K1352" s="1314" t="str">
        <f t="shared" si="225"/>
        <v>Incentives</v>
      </c>
      <c r="L1352" s="1314"/>
      <c r="M1352" s="1314"/>
      <c r="N1352" s="1314"/>
      <c r="O1352" s="1311"/>
      <c r="P1352" s="1311"/>
      <c r="Q1352" s="1311"/>
      <c r="R1352" s="1314" t="s">
        <v>1525</v>
      </c>
      <c r="S1352" s="1311"/>
      <c r="T1352" s="1311"/>
      <c r="U1352" s="1311"/>
      <c r="V1352" s="1311"/>
      <c r="W1352" s="1311"/>
      <c r="X1352" s="1311"/>
      <c r="Y1352" s="1311"/>
      <c r="Z1352" s="1311"/>
    </row>
    <row r="1353" spans="1:26" x14ac:dyDescent="0.25">
      <c r="A1353" s="1071" t="s">
        <v>1389</v>
      </c>
      <c r="B1353" s="1274" t="str">
        <f>IFERROR(_xlfn.CONCAT("K",('Configurable Tab'!$C$6+6)),"")</f>
        <v>K60</v>
      </c>
      <c r="C1353" s="1274" t="str">
        <f>IFERROR(_xlfn.CONCAT("K",('Configurable Tab'!$C$6+7)),"")</f>
        <v>K61</v>
      </c>
      <c r="D1353" s="1314" t="s">
        <v>1350</v>
      </c>
      <c r="E1353" s="791" t="s">
        <v>1742</v>
      </c>
      <c r="F1353" s="1314"/>
      <c r="G1353" s="1314"/>
      <c r="H1353" s="1314"/>
      <c r="I1353" s="1274" t="str">
        <f t="shared" si="226"/>
        <v>Rate % of Sales</v>
      </c>
      <c r="J1353" s="1314" t="str">
        <f t="shared" si="224"/>
        <v>F</v>
      </c>
      <c r="K1353" s="1314" t="str">
        <f t="shared" si="225"/>
        <v>Incentives</v>
      </c>
      <c r="L1353" s="1314"/>
      <c r="M1353" s="1314"/>
      <c r="N1353" s="1314"/>
      <c r="O1353" s="1311"/>
      <c r="P1353" s="1311"/>
      <c r="Q1353" s="1311"/>
      <c r="R1353" s="1314" t="s">
        <v>1525</v>
      </c>
      <c r="S1353" s="1316" t="s">
        <v>1750</v>
      </c>
      <c r="T1353" s="1311"/>
      <c r="U1353" s="1314" t="str">
        <f>IF(Q$670="Yes",M686,"")</f>
        <v/>
      </c>
      <c r="V1353" s="1314" t="str">
        <f>IF(Q$688="Yes",M704,"")</f>
        <v/>
      </c>
      <c r="W1353" s="1311"/>
      <c r="X1353" s="1311"/>
      <c r="Y1353" s="1311"/>
      <c r="Z1353" s="1311"/>
    </row>
    <row r="1354" spans="1:26" x14ac:dyDescent="0.25">
      <c r="A1354" s="1071" t="s">
        <v>1389</v>
      </c>
      <c r="B1354" s="1274" t="str">
        <f>IFERROR(_xlfn.CONCAT("K",('Configurable Tab'!$C$6+6)),"")</f>
        <v>K60</v>
      </c>
      <c r="C1354" s="1274" t="str">
        <f>IFERROR(_xlfn.CONCAT("K",('Configurable Tab'!$C$6+8)),"")</f>
        <v>K62</v>
      </c>
      <c r="D1354" s="1314" t="s">
        <v>1350</v>
      </c>
      <c r="E1354" s="791" t="s">
        <v>1742</v>
      </c>
      <c r="F1354" s="1314"/>
      <c r="G1354" s="1314"/>
      <c r="H1354" s="1314"/>
      <c r="I1354" s="1274" t="str">
        <f t="shared" si="226"/>
        <v>Rate % of Sales</v>
      </c>
      <c r="J1354" s="1314" t="str">
        <f t="shared" si="224"/>
        <v>F</v>
      </c>
      <c r="K1354" s="1314" t="str">
        <f t="shared" si="225"/>
        <v>Incentives</v>
      </c>
      <c r="L1354" s="1314"/>
      <c r="M1354" s="1314"/>
      <c r="N1354" s="1314"/>
      <c r="O1354" s="1311"/>
      <c r="P1354" s="1311"/>
      <c r="Q1354" s="1311"/>
      <c r="R1354" s="1314" t="s">
        <v>1525</v>
      </c>
      <c r="S1354" s="1311"/>
      <c r="T1354" s="1311"/>
      <c r="U1354" s="1311"/>
      <c r="V1354" s="1311"/>
      <c r="W1354" s="1311"/>
      <c r="X1354" s="1311"/>
      <c r="Y1354" s="1311"/>
      <c r="Z1354" s="1311"/>
    </row>
    <row r="1355" spans="1:26" x14ac:dyDescent="0.25">
      <c r="A1355" s="1071" t="s">
        <v>1389</v>
      </c>
      <c r="B1355" s="1274" t="str">
        <f>IFERROR(_xlfn.CONCAT("K",('Configurable Tab'!$C$6+6)),"")</f>
        <v>K60</v>
      </c>
      <c r="C1355" s="1274" t="str">
        <f>IFERROR(_xlfn.CONCAT("K",('Configurable Tab'!$C$6+9)),"")</f>
        <v>K63</v>
      </c>
      <c r="D1355" s="1314" t="s">
        <v>1350</v>
      </c>
      <c r="E1355" s="791" t="s">
        <v>1742</v>
      </c>
      <c r="F1355" s="1314"/>
      <c r="G1355" s="1314"/>
      <c r="H1355" s="1314"/>
      <c r="I1355" s="1274" t="str">
        <f t="shared" si="226"/>
        <v>Rate % of Sales</v>
      </c>
      <c r="J1355" s="1314" t="str">
        <f t="shared" si="224"/>
        <v>F</v>
      </c>
      <c r="K1355" s="1314" t="str">
        <f t="shared" si="225"/>
        <v>Incentives</v>
      </c>
      <c r="L1355" s="1314"/>
      <c r="M1355" s="1314"/>
      <c r="N1355" s="1314"/>
      <c r="O1355" s="1311"/>
      <c r="P1355" s="1311"/>
      <c r="Q1355" s="1311"/>
      <c r="R1355" s="1314" t="s">
        <v>1525</v>
      </c>
      <c r="S1355" s="1311"/>
      <c r="T1355" s="1311"/>
      <c r="U1355" s="1311"/>
      <c r="V1355" s="1311"/>
      <c r="W1355" s="1311"/>
      <c r="X1355" s="1311"/>
      <c r="Y1355" s="1311"/>
      <c r="Z1355" s="1311"/>
    </row>
    <row r="1356" spans="1:26" x14ac:dyDescent="0.25">
      <c r="A1356" s="1071" t="s">
        <v>1389</v>
      </c>
      <c r="B1356" s="1274" t="str">
        <f>IFERROR(_xlfn.CONCAT("K",('Configurable Tab'!$C$6+6)),"")</f>
        <v>K60</v>
      </c>
      <c r="C1356" s="1274" t="str">
        <f>IFERROR(_xlfn.CONCAT("K",('Configurable Tab'!$C$6+10)),"")</f>
        <v>K64</v>
      </c>
      <c r="D1356" s="1314" t="s">
        <v>1350</v>
      </c>
      <c r="E1356" s="791" t="s">
        <v>1742</v>
      </c>
      <c r="F1356" s="1314"/>
      <c r="G1356" s="1314"/>
      <c r="H1356" s="1314"/>
      <c r="I1356" s="1274" t="str">
        <f t="shared" si="226"/>
        <v>Rate % of Sales</v>
      </c>
      <c r="J1356" s="1314" t="str">
        <f t="shared" si="224"/>
        <v>F</v>
      </c>
      <c r="K1356" s="1314" t="str">
        <f t="shared" si="225"/>
        <v>Incentives</v>
      </c>
      <c r="L1356" s="1314"/>
      <c r="M1356" s="1314"/>
      <c r="N1356" s="1314"/>
      <c r="O1356" s="1311"/>
      <c r="P1356" s="1311"/>
      <c r="Q1356" s="1311"/>
      <c r="R1356" s="1314" t="s">
        <v>1525</v>
      </c>
      <c r="S1356" s="1311"/>
      <c r="T1356" s="1311"/>
      <c r="U1356" s="1311"/>
      <c r="V1356" s="1311"/>
      <c r="W1356" s="1311"/>
      <c r="X1356" s="1311"/>
      <c r="Y1356" s="1311"/>
      <c r="Z1356" s="1311"/>
    </row>
    <row r="1357" spans="1:26" x14ac:dyDescent="0.25">
      <c r="A1357" s="1071" t="s">
        <v>1389</v>
      </c>
      <c r="B1357" s="1274" t="str">
        <f>IFERROR(_xlfn.CONCAT("K",('Configurable Tab'!$C$6+6)),"")</f>
        <v>K60</v>
      </c>
      <c r="C1357" s="1274" t="str">
        <f>IFERROR(_xlfn.CONCAT("K",('Configurable Tab'!$C$6+11)),"")</f>
        <v>K65</v>
      </c>
      <c r="D1357" s="1314" t="s">
        <v>1350</v>
      </c>
      <c r="E1357" s="791" t="s">
        <v>1742</v>
      </c>
      <c r="F1357" s="1314"/>
      <c r="G1357" s="1314"/>
      <c r="H1357" s="1314"/>
      <c r="I1357" s="1274" t="str">
        <f t="shared" si="226"/>
        <v>Rate % of Sales</v>
      </c>
      <c r="J1357" s="1314" t="str">
        <f t="shared" si="224"/>
        <v>F</v>
      </c>
      <c r="K1357" s="1314" t="str">
        <f t="shared" si="225"/>
        <v>Incentives</v>
      </c>
      <c r="L1357" s="1314"/>
      <c r="M1357" s="1314"/>
      <c r="N1357" s="1314"/>
      <c r="O1357" s="1311"/>
      <c r="P1357" s="1311"/>
      <c r="Q1357" s="1311"/>
      <c r="R1357" s="1314" t="s">
        <v>1525</v>
      </c>
      <c r="S1357" s="1311"/>
      <c r="T1357" s="1311"/>
      <c r="U1357" s="1311"/>
      <c r="V1357" s="1311"/>
      <c r="W1357" s="1311"/>
      <c r="X1357" s="1311"/>
      <c r="Y1357" s="1311"/>
      <c r="Z1357" s="1311"/>
    </row>
    <row r="1358" spans="1:26" x14ac:dyDescent="0.25">
      <c r="A1358" s="1072" t="s">
        <v>523</v>
      </c>
      <c r="B1358" s="1274" t="str">
        <f>IFERROR(_xlfn.CONCAT("D",('Configurable Tab'!$C$7+1)),"")</f>
        <v>D69</v>
      </c>
      <c r="C1358" s="1274" t="str">
        <f>IFERROR(_xlfn.CONCAT("E",('Configurable Tab'!$C$7+1)),"")</f>
        <v>E69</v>
      </c>
      <c r="D1358" s="1314" t="s">
        <v>1350</v>
      </c>
      <c r="E1358" s="791" t="s">
        <v>1742</v>
      </c>
      <c r="F1358" s="1314"/>
      <c r="G1358" s="1314"/>
      <c r="H1358" s="1314"/>
      <c r="I1358" s="1274" t="str">
        <f t="shared" si="226"/>
        <v>Offer this Incentive?</v>
      </c>
      <c r="J1358" s="1314" t="str">
        <f>$Q$1&amp;IF(T$1340=2,V1340,IF(T$1340=1,IF(AND(T$1358=1,T$1358&lt;&gt;0),U1358,""),IF(T$1358=2,V1358,"")))</f>
        <v>F</v>
      </c>
      <c r="K1358" s="1314" t="str">
        <f t="shared" si="225"/>
        <v>Incentives</v>
      </c>
      <c r="L1358" s="1314"/>
      <c r="M1358" s="1314"/>
      <c r="N1358" s="1314"/>
      <c r="O1358" s="1311" t="s">
        <v>1688</v>
      </c>
      <c r="P1358" s="1405" t="str">
        <f>'Configurable Tab'!E7</f>
        <v>Yes</v>
      </c>
      <c r="Q1358" s="1274" t="str">
        <f>IFERROR(_xlfn.CONCAT("C",('Configurable Tab'!$C7+1)),"")</f>
        <v>C69</v>
      </c>
      <c r="R1358" s="1314" t="s">
        <v>1525</v>
      </c>
      <c r="S1358" s="1316" t="s">
        <v>1751</v>
      </c>
      <c r="T1358" s="1314">
        <f>IF(Q$706="Yes",IF(Q$736="Yes",2,1),0)</f>
        <v>0</v>
      </c>
      <c r="U1358" s="1314" t="str">
        <f>IF(Q$706="Yes",M706,"")</f>
        <v/>
      </c>
      <c r="V1358" s="1314" t="str">
        <f>IF(Q$736="Yes",M736,"")</f>
        <v/>
      </c>
      <c r="W1358" s="1311"/>
      <c r="X1358" s="1311"/>
      <c r="Y1358" s="1311"/>
      <c r="Z1358" s="1311"/>
    </row>
    <row r="1359" spans="1:26" x14ac:dyDescent="0.25">
      <c r="A1359" s="1073" t="s">
        <v>1383</v>
      </c>
      <c r="B1359" s="1274" t="str">
        <f>IFERROR(_xlfn.CONCAT("D",('Configurable Tab'!$C$7+2)),"")</f>
        <v>D70</v>
      </c>
      <c r="C1359" s="1274" t="str">
        <f>IFERROR(_xlfn.CONCAT("E",('Configurable Tab'!$C$7+2)),"")</f>
        <v>E70</v>
      </c>
      <c r="D1359" s="1314" t="s">
        <v>1350</v>
      </c>
      <c r="E1359" s="791" t="s">
        <v>1742</v>
      </c>
      <c r="F1359" s="1314"/>
      <c r="G1359" s="1314"/>
      <c r="H1359" s="1314"/>
      <c r="I1359" s="1274" t="str">
        <f t="shared" si="226"/>
        <v>Incentive Type</v>
      </c>
      <c r="J1359" s="1314" t="str">
        <f t="shared" ref="J1359:J1375" si="227">$Q$1&amp;IF(T$1340=2,V1341,IF(T$1340=1,IF(AND(T$1358=1,T$1358&lt;&gt;0),U1359,""),IF(T$1358=2,V1359,"")))</f>
        <v>F</v>
      </c>
      <c r="K1359" s="1314" t="str">
        <f t="shared" si="225"/>
        <v>Incentives</v>
      </c>
      <c r="L1359" s="1314"/>
      <c r="M1359" s="1314"/>
      <c r="N1359" s="1314"/>
      <c r="O1359" s="1311"/>
      <c r="P1359" s="1311"/>
      <c r="Q1359" s="1311"/>
      <c r="R1359" s="1314" t="s">
        <v>1525</v>
      </c>
      <c r="S1359" s="1316" t="s">
        <v>1751</v>
      </c>
      <c r="T1359" s="1311"/>
      <c r="U1359" s="1314" t="str">
        <f>IF(Q$706="Yes",M707,"")</f>
        <v/>
      </c>
      <c r="V1359" s="1314" t="str">
        <f>IF(Q$736="Yes",M737,"")</f>
        <v/>
      </c>
      <c r="W1359" s="1311"/>
      <c r="X1359" s="1311"/>
      <c r="Y1359" s="1311"/>
      <c r="Z1359" s="1311"/>
    </row>
    <row r="1360" spans="1:26" x14ac:dyDescent="0.25">
      <c r="A1360" s="1073" t="s">
        <v>1385</v>
      </c>
      <c r="B1360" s="1274" t="str">
        <f>IFERROR(_xlfn.CONCAT("D",('Configurable Tab'!$C$7+4)),"")</f>
        <v>D72</v>
      </c>
      <c r="C1360" s="1274" t="str">
        <f>IFERROR(_xlfn.CONCAT("E",('Configurable Tab'!$C$7+4)),"")</f>
        <v>E72</v>
      </c>
      <c r="D1360" s="1314" t="s">
        <v>1350</v>
      </c>
      <c r="E1360" s="791" t="s">
        <v>1742</v>
      </c>
      <c r="F1360" s="1314"/>
      <c r="G1360" s="1314"/>
      <c r="H1360" s="1314"/>
      <c r="I1360" s="1274" t="str">
        <f t="shared" si="226"/>
        <v>Incentive Effective Date</v>
      </c>
      <c r="J1360" s="1314" t="str">
        <f t="shared" si="227"/>
        <v>F</v>
      </c>
      <c r="K1360" s="1314" t="str">
        <f t="shared" si="225"/>
        <v>Incentives</v>
      </c>
      <c r="L1360" s="1314"/>
      <c r="M1360" s="1314"/>
      <c r="N1360" s="1314"/>
      <c r="O1360" s="1311"/>
      <c r="P1360" s="1311"/>
      <c r="Q1360" s="1311"/>
      <c r="R1360" s="1314" t="s">
        <v>1525</v>
      </c>
      <c r="S1360" s="1316" t="s">
        <v>1751</v>
      </c>
      <c r="T1360" s="1311"/>
      <c r="U1360" s="1314" t="str">
        <f>IF(Q$706="Yes",M715,"")</f>
        <v/>
      </c>
      <c r="V1360" s="1314" t="str">
        <f>IF(Q$736="Yes",M745,"")</f>
        <v/>
      </c>
      <c r="W1360" s="1311"/>
      <c r="X1360" s="1311"/>
      <c r="Y1360" s="1311"/>
      <c r="Z1360" s="1311"/>
    </row>
    <row r="1361" spans="1:26" x14ac:dyDescent="0.25">
      <c r="A1361" s="1073" t="s">
        <v>1386</v>
      </c>
      <c r="B1361" s="1274" t="str">
        <f>IFERROR(_xlfn.CONCAT("D",('Configurable Tab'!$C$7+5)),"")</f>
        <v>D73</v>
      </c>
      <c r="C1361" s="1274" t="str">
        <f>IFERROR(_xlfn.CONCAT("E",('Configurable Tab'!$C$7+5)),"")</f>
        <v>E73</v>
      </c>
      <c r="D1361" s="1314" t="s">
        <v>1350</v>
      </c>
      <c r="E1361" s="791" t="s">
        <v>1742</v>
      </c>
      <c r="F1361" s="1314"/>
      <c r="G1361" s="1314"/>
      <c r="H1361" s="1314"/>
      <c r="I1361" s="1274" t="str">
        <f t="shared" si="226"/>
        <v>Incentive Expiration Date</v>
      </c>
      <c r="J1361" s="1314" t="str">
        <f t="shared" si="227"/>
        <v>F</v>
      </c>
      <c r="K1361" s="1314" t="str">
        <f t="shared" si="225"/>
        <v>Incentives</v>
      </c>
      <c r="L1361" s="1314"/>
      <c r="M1361" s="1314"/>
      <c r="N1361" s="1314"/>
      <c r="O1361" s="1311"/>
      <c r="P1361" s="1311"/>
      <c r="Q1361" s="1311"/>
      <c r="R1361" s="1314" t="s">
        <v>1525</v>
      </c>
      <c r="S1361" s="1316" t="s">
        <v>1751</v>
      </c>
      <c r="T1361" s="1311"/>
      <c r="U1361" s="1314" t="str">
        <f>IF(Q$706="Yes",M716,"")</f>
        <v/>
      </c>
      <c r="V1361" s="1314" t="str">
        <f>IF(Q$736="Yes",M746,"")</f>
        <v/>
      </c>
      <c r="W1361" s="1311"/>
      <c r="X1361" s="1311"/>
      <c r="Y1361" s="1311"/>
      <c r="Z1361" s="1311"/>
    </row>
    <row r="1362" spans="1:26" x14ac:dyDescent="0.25">
      <c r="A1362" s="1073" t="s">
        <v>1380</v>
      </c>
      <c r="B1362" s="1274" t="str">
        <f>IFERROR(_xlfn.CONCAT("G",('Configurable Tab'!$C$7+1)),"")</f>
        <v>G69</v>
      </c>
      <c r="C1362" s="1274" t="str">
        <f>IFERROR(_xlfn.CONCAT("G",('Configurable Tab'!$C$7+2)),"")</f>
        <v>G70</v>
      </c>
      <c r="D1362" s="1314" t="s">
        <v>1350</v>
      </c>
      <c r="E1362" s="791" t="s">
        <v>1742</v>
      </c>
      <c r="F1362" s="1314"/>
      <c r="G1362" s="1314"/>
      <c r="H1362" s="1314"/>
      <c r="I1362" s="1274" t="str">
        <f t="shared" si="226"/>
        <v>Incentive Period</v>
      </c>
      <c r="J1362" s="1314" t="str">
        <f t="shared" si="227"/>
        <v>F</v>
      </c>
      <c r="K1362" s="1314" t="str">
        <f t="shared" si="225"/>
        <v>Incentives</v>
      </c>
      <c r="L1362" s="1314"/>
      <c r="M1362" s="1314"/>
      <c r="N1362" s="1314"/>
      <c r="O1362" s="1311"/>
      <c r="P1362" s="1311"/>
      <c r="Q1362" s="1311"/>
      <c r="R1362" s="1314" t="s">
        <v>1525</v>
      </c>
      <c r="S1362" s="1316" t="s">
        <v>1751</v>
      </c>
      <c r="T1362" s="1311"/>
      <c r="U1362" s="1314" t="str">
        <f>IF(Q$706="Yes",M708,"")</f>
        <v/>
      </c>
      <c r="V1362" s="1314" t="str">
        <f>IF(Q$736="Yes",M738,"")</f>
        <v/>
      </c>
      <c r="W1362" s="1311"/>
      <c r="X1362" s="1311"/>
      <c r="Y1362" s="1311"/>
      <c r="Z1362" s="1311"/>
    </row>
    <row r="1363" spans="1:26" x14ac:dyDescent="0.25">
      <c r="A1363" s="1073" t="s">
        <v>1381</v>
      </c>
      <c r="B1363" s="1274" t="str">
        <f>IFERROR(_xlfn.CONCAT("I",('Configurable Tab'!$C$7+1)),"")</f>
        <v>I69</v>
      </c>
      <c r="C1363" s="1274" t="str">
        <f>IFERROR(_xlfn.CONCAT("I",('Configurable Tab'!$C$7+2)),"")</f>
        <v>I70</v>
      </c>
      <c r="D1363" s="1314" t="s">
        <v>1350</v>
      </c>
      <c r="E1363" s="791" t="s">
        <v>1742</v>
      </c>
      <c r="F1363" s="1314"/>
      <c r="G1363" s="1314"/>
      <c r="H1363" s="1314"/>
      <c r="I1363" s="1274" t="str">
        <f t="shared" si="226"/>
        <v>Payment Method</v>
      </c>
      <c r="J1363" s="1314" t="str">
        <f t="shared" si="227"/>
        <v>F</v>
      </c>
      <c r="K1363" s="1314" t="str">
        <f t="shared" si="225"/>
        <v>Incentives</v>
      </c>
      <c r="L1363" s="1314"/>
      <c r="M1363" s="1314"/>
      <c r="N1363" s="1314"/>
      <c r="O1363" s="1311"/>
      <c r="P1363" s="1311"/>
      <c r="Q1363" s="1311"/>
      <c r="R1363" s="1314" t="s">
        <v>1525</v>
      </c>
      <c r="S1363" s="1316" t="s">
        <v>1751</v>
      </c>
      <c r="T1363" s="1311"/>
      <c r="U1363" s="1314" t="str">
        <f>IF(Q$706="Yes",M709,"")</f>
        <v/>
      </c>
      <c r="V1363" s="1314" t="str">
        <f>IF(Q$736="Yes",M739,"")</f>
        <v/>
      </c>
      <c r="W1363" s="1311"/>
      <c r="X1363" s="1311"/>
      <c r="Y1363" s="1311"/>
      <c r="Z1363" s="1311"/>
    </row>
    <row r="1364" spans="1:26" x14ac:dyDescent="0.25">
      <c r="A1364" s="1073" t="s">
        <v>833</v>
      </c>
      <c r="B1364" s="1274" t="str">
        <f>IFERROR(_xlfn.CONCAT("K",('Configurable Tab'!$C$7+1)),"")</f>
        <v>K69</v>
      </c>
      <c r="C1364" s="1274" t="str">
        <f>IFERROR(_xlfn.CONCAT("K",('Configurable Tab'!$C$7+2)),"")</f>
        <v>K70</v>
      </c>
      <c r="D1364" s="1314" t="s">
        <v>1350</v>
      </c>
      <c r="E1364" s="791" t="s">
        <v>1742</v>
      </c>
      <c r="F1364" s="1314"/>
      <c r="G1364" s="1314"/>
      <c r="H1364" s="1314"/>
      <c r="I1364" s="1274" t="str">
        <f t="shared" si="226"/>
        <v>Paid to:</v>
      </c>
      <c r="J1364" s="1314" t="str">
        <f t="shared" si="227"/>
        <v>F</v>
      </c>
      <c r="K1364" s="1314" t="str">
        <f t="shared" si="225"/>
        <v>Incentives</v>
      </c>
      <c r="L1364" s="1314"/>
      <c r="M1364" s="1314"/>
      <c r="N1364" s="1314"/>
      <c r="O1364" s="1311"/>
      <c r="P1364" s="1311"/>
      <c r="Q1364" s="1311"/>
      <c r="R1364" s="1314" t="s">
        <v>1525</v>
      </c>
      <c r="S1364" s="1316" t="s">
        <v>1751</v>
      </c>
      <c r="T1364" s="1311"/>
      <c r="U1364" s="1314" t="str">
        <f>IF(Q$706="Yes",M710,"")</f>
        <v/>
      </c>
      <c r="V1364" s="1314" t="str">
        <f>IF(Q$736="Yes",M740,"")</f>
        <v/>
      </c>
      <c r="W1364" s="1311"/>
      <c r="X1364" s="1311"/>
      <c r="Y1364" s="1311"/>
      <c r="Z1364" s="1311"/>
    </row>
    <row r="1365" spans="1:26" x14ac:dyDescent="0.25">
      <c r="A1365" s="1073" t="s">
        <v>1382</v>
      </c>
      <c r="B1365" s="1274" t="str">
        <f>IFERROR(_xlfn.CONCAT("M",('Configurable Tab'!$C$7+1)),"")</f>
        <v>M69</v>
      </c>
      <c r="C1365" s="1274" t="str">
        <f>IFERROR(_xlfn.CONCAT("M",('Configurable Tab'!$C$7+2)),"")</f>
        <v>M70</v>
      </c>
      <c r="D1365" s="1314" t="s">
        <v>1350</v>
      </c>
      <c r="E1365" s="791" t="s">
        <v>1742</v>
      </c>
      <c r="F1365" s="1314"/>
      <c r="G1365" s="1314"/>
      <c r="H1365" s="1314"/>
      <c r="I1365" s="1274" t="str">
        <f t="shared" si="226"/>
        <v>AP/AR Vendor Number</v>
      </c>
      <c r="J1365" s="1314" t="str">
        <f t="shared" si="227"/>
        <v>F</v>
      </c>
      <c r="K1365" s="1314" t="str">
        <f t="shared" si="225"/>
        <v>Incentives</v>
      </c>
      <c r="L1365" s="1314"/>
      <c r="M1365" s="1314"/>
      <c r="N1365" s="1314"/>
      <c r="O1365" s="1311"/>
      <c r="P1365" s="1311"/>
      <c r="Q1365" s="1311"/>
      <c r="R1365" s="1314" t="s">
        <v>1525</v>
      </c>
      <c r="S1365" s="1316" t="s">
        <v>1751</v>
      </c>
      <c r="T1365" s="1311"/>
      <c r="U1365" s="1314" t="str">
        <f>IF(Q$706="Yes",M711,"")</f>
        <v/>
      </c>
      <c r="V1365" s="1314" t="str">
        <f>IF(Q$736="Yes",M741,"")</f>
        <v/>
      </c>
      <c r="W1365" s="1311"/>
      <c r="X1365" s="1311"/>
      <c r="Y1365" s="1311"/>
      <c r="Z1365" s="1311"/>
    </row>
    <row r="1366" spans="1:26" x14ac:dyDescent="0.25">
      <c r="A1366" s="1073" t="s">
        <v>1387</v>
      </c>
      <c r="B1366" s="1274" t="str">
        <f>IFERROR(_xlfn.CONCAT("G",('Configurable Tab'!$C$7+6)),"")</f>
        <v>G74</v>
      </c>
      <c r="C1366" s="1274" t="str">
        <f>IFERROR(_xlfn.CONCAT("G",('Configurable Tab'!$C$7+7)),"")</f>
        <v>G75</v>
      </c>
      <c r="D1366" s="1314" t="s">
        <v>1350</v>
      </c>
      <c r="E1366" s="791" t="s">
        <v>1742</v>
      </c>
      <c r="F1366" s="1314"/>
      <c r="G1366" s="1314"/>
      <c r="H1366" s="1314"/>
      <c r="I1366" s="1274" t="str">
        <f t="shared" si="226"/>
        <v>Minimum Units</v>
      </c>
      <c r="J1366" s="1314" t="str">
        <f t="shared" si="227"/>
        <v>F</v>
      </c>
      <c r="K1366" s="1314" t="str">
        <f t="shared" si="225"/>
        <v>Incentives</v>
      </c>
      <c r="L1366" s="1314"/>
      <c r="M1366" s="1314"/>
      <c r="N1366" s="1314"/>
      <c r="O1366" s="1311"/>
      <c r="P1366" s="1311"/>
      <c r="Q1366" s="1311"/>
      <c r="R1366" s="1314" t="s">
        <v>1525</v>
      </c>
      <c r="S1366" s="1316" t="s">
        <v>1751</v>
      </c>
      <c r="T1366" s="1311"/>
      <c r="U1366" s="1314" t="str">
        <f>IF(Q$706="Yes",M720,"")</f>
        <v/>
      </c>
      <c r="V1366" s="1314" t="str">
        <f>IF(Q$736="Yes",M750,"")</f>
        <v/>
      </c>
      <c r="W1366" s="1311"/>
      <c r="X1366" s="1311"/>
      <c r="Y1366" s="1311"/>
      <c r="Z1366" s="1311"/>
    </row>
    <row r="1367" spans="1:26" x14ac:dyDescent="0.25">
      <c r="A1367" s="1073" t="s">
        <v>1387</v>
      </c>
      <c r="B1367" s="1274" t="str">
        <f>IFERROR(_xlfn.CONCAT("G",('Configurable Tab'!$C$7+6)),"")</f>
        <v>G74</v>
      </c>
      <c r="C1367" s="1274" t="str">
        <f>IFERROR(_xlfn.CONCAT("G",('Configurable Tab'!$C$7+8)),"")</f>
        <v>G76</v>
      </c>
      <c r="D1367" s="1314" t="s">
        <v>1350</v>
      </c>
      <c r="E1367" s="791" t="s">
        <v>1742</v>
      </c>
      <c r="F1367" s="1314"/>
      <c r="G1367" s="1314"/>
      <c r="H1367" s="1314"/>
      <c r="I1367" s="1274" t="str">
        <f t="shared" si="226"/>
        <v>Minimum Units</v>
      </c>
      <c r="J1367" s="1314" t="str">
        <f t="shared" si="227"/>
        <v>F</v>
      </c>
      <c r="K1367" s="1314" t="str">
        <f t="shared" si="225"/>
        <v>Incentives</v>
      </c>
      <c r="L1367" s="1314"/>
      <c r="M1367" s="1314"/>
      <c r="N1367" s="1314"/>
      <c r="O1367" s="1311"/>
      <c r="P1367" s="1311"/>
      <c r="Q1367" s="1311"/>
      <c r="R1367" s="1314" t="s">
        <v>1525</v>
      </c>
      <c r="S1367" s="1316" t="s">
        <v>1751</v>
      </c>
      <c r="T1367" s="1311"/>
      <c r="U1367" s="1314" t="str">
        <f>IF(Q$706="Yes",M723,"")</f>
        <v/>
      </c>
      <c r="V1367" s="1314" t="str">
        <f>IF(Q$736="Yes",M753,"")</f>
        <v/>
      </c>
      <c r="W1367" s="1311"/>
      <c r="X1367" s="1311"/>
      <c r="Y1367" s="1311"/>
      <c r="Z1367" s="1311"/>
    </row>
    <row r="1368" spans="1:26" x14ac:dyDescent="0.25">
      <c r="A1368" s="1073" t="s">
        <v>1387</v>
      </c>
      <c r="B1368" s="1274" t="str">
        <f>IFERROR(_xlfn.CONCAT("G",('Configurable Tab'!$C$7+6)),"")</f>
        <v>G74</v>
      </c>
      <c r="C1368" s="1274" t="str">
        <f>IFERROR(_xlfn.CONCAT("G",('Configurable Tab'!$C$7+9)),"")</f>
        <v>G77</v>
      </c>
      <c r="D1368" s="1314" t="s">
        <v>1350</v>
      </c>
      <c r="E1368" s="791" t="s">
        <v>1742</v>
      </c>
      <c r="F1368" s="1314"/>
      <c r="G1368" s="1314"/>
      <c r="H1368" s="1314"/>
      <c r="I1368" s="1274" t="str">
        <f t="shared" si="226"/>
        <v>Minimum Units</v>
      </c>
      <c r="J1368" s="1314" t="str">
        <f t="shared" si="227"/>
        <v>F</v>
      </c>
      <c r="K1368" s="1314" t="str">
        <f t="shared" si="225"/>
        <v>Incentives</v>
      </c>
      <c r="L1368" s="1314"/>
      <c r="M1368" s="1314"/>
      <c r="N1368" s="1314"/>
      <c r="O1368" s="1311"/>
      <c r="P1368" s="1311"/>
      <c r="Q1368" s="1311"/>
      <c r="R1368" s="1314" t="s">
        <v>1525</v>
      </c>
      <c r="S1368" s="1316" t="s">
        <v>1751</v>
      </c>
      <c r="T1368" s="1311"/>
      <c r="U1368" s="1314" t="str">
        <f>IF(Q$706="Yes",M726,"")</f>
        <v/>
      </c>
      <c r="V1368" s="1314" t="str">
        <f>IF(Q$736="Yes",M756,"")</f>
        <v/>
      </c>
      <c r="W1368" s="1311"/>
      <c r="X1368" s="1311"/>
      <c r="Y1368" s="1311"/>
      <c r="Z1368" s="1311"/>
    </row>
    <row r="1369" spans="1:26" x14ac:dyDescent="0.25">
      <c r="A1369" s="1073" t="s">
        <v>1387</v>
      </c>
      <c r="B1369" s="1274" t="str">
        <f>IFERROR(_xlfn.CONCAT("G",('Configurable Tab'!$C$7+6)),"")</f>
        <v>G74</v>
      </c>
      <c r="C1369" s="1274" t="str">
        <f>IFERROR(_xlfn.CONCAT("G",('Configurable Tab'!$C$7+10)),"")</f>
        <v>G78</v>
      </c>
      <c r="D1369" s="1314" t="s">
        <v>1350</v>
      </c>
      <c r="E1369" s="791" t="s">
        <v>1742</v>
      </c>
      <c r="F1369" s="1314"/>
      <c r="G1369" s="1314"/>
      <c r="H1369" s="1314"/>
      <c r="I1369" s="1274" t="str">
        <f t="shared" si="226"/>
        <v>Minimum Units</v>
      </c>
      <c r="J1369" s="1314" t="str">
        <f t="shared" si="227"/>
        <v>F</v>
      </c>
      <c r="K1369" s="1314" t="str">
        <f t="shared" si="225"/>
        <v>Incentives</v>
      </c>
      <c r="L1369" s="1314"/>
      <c r="M1369" s="1314"/>
      <c r="N1369" s="1314"/>
      <c r="O1369" s="1311"/>
      <c r="P1369" s="1311"/>
      <c r="Q1369" s="1311"/>
      <c r="R1369" s="1314" t="s">
        <v>1525</v>
      </c>
      <c r="S1369" s="1316" t="s">
        <v>1751</v>
      </c>
      <c r="T1369" s="1311"/>
      <c r="U1369" s="1314" t="str">
        <f>IF(Q$706="Yes",M729,"")</f>
        <v/>
      </c>
      <c r="V1369" s="1314" t="str">
        <f>IF(Q$736="Yes",M759,"")</f>
        <v/>
      </c>
      <c r="W1369" s="1311"/>
      <c r="X1369" s="1311"/>
      <c r="Y1369" s="1311"/>
      <c r="Z1369" s="1311"/>
    </row>
    <row r="1370" spans="1:26" x14ac:dyDescent="0.25">
      <c r="A1370" s="1073" t="s">
        <v>1387</v>
      </c>
      <c r="B1370" s="1274" t="str">
        <f>IFERROR(_xlfn.CONCAT("G",('Configurable Tab'!$C$7+6)),"")</f>
        <v>G74</v>
      </c>
      <c r="C1370" s="1274" t="str">
        <f>IFERROR(_xlfn.CONCAT("G",('Configurable Tab'!$C$7+11)),"")</f>
        <v>G79</v>
      </c>
      <c r="D1370" s="1314" t="s">
        <v>1350</v>
      </c>
      <c r="E1370" s="791" t="s">
        <v>1742</v>
      </c>
      <c r="F1370" s="1314"/>
      <c r="G1370" s="1314"/>
      <c r="H1370" s="1314"/>
      <c r="I1370" s="1274" t="str">
        <f t="shared" si="226"/>
        <v>Minimum Units</v>
      </c>
      <c r="J1370" s="1314" t="str">
        <f t="shared" si="227"/>
        <v>F</v>
      </c>
      <c r="K1370" s="1314" t="str">
        <f t="shared" si="225"/>
        <v>Incentives</v>
      </c>
      <c r="L1370" s="1314"/>
      <c r="M1370" s="1314"/>
      <c r="N1370" s="1314"/>
      <c r="O1370" s="1311"/>
      <c r="P1370" s="1311"/>
      <c r="Q1370" s="1311"/>
      <c r="R1370" s="1314" t="s">
        <v>1525</v>
      </c>
      <c r="S1370" s="1316" t="s">
        <v>1751</v>
      </c>
      <c r="T1370" s="1311"/>
      <c r="U1370" s="1314" t="str">
        <f>IF(Q$706="Yes",M732,"")</f>
        <v/>
      </c>
      <c r="V1370" s="1314" t="str">
        <f>IF(Q$736="Yes",M762,"")</f>
        <v/>
      </c>
      <c r="W1370" s="1311"/>
      <c r="X1370" s="1311"/>
      <c r="Y1370" s="1311"/>
      <c r="Z1370" s="1311"/>
    </row>
    <row r="1371" spans="1:26" x14ac:dyDescent="0.25">
      <c r="A1371" s="1073" t="s">
        <v>1389</v>
      </c>
      <c r="B1371" s="1274" t="str">
        <f>IFERROR(_xlfn.CONCAT("K",('Configurable Tab'!$C$7+6)),"")</f>
        <v>K74</v>
      </c>
      <c r="C1371" s="1274" t="str">
        <f>IFERROR(_xlfn.CONCAT("K",('Configurable Tab'!$C$7+7)),"")</f>
        <v>K75</v>
      </c>
      <c r="D1371" s="1314" t="s">
        <v>1350</v>
      </c>
      <c r="E1371" s="791" t="s">
        <v>1742</v>
      </c>
      <c r="F1371" s="1314"/>
      <c r="G1371" s="1314"/>
      <c r="H1371" s="1314"/>
      <c r="I1371" s="1274" t="str">
        <f t="shared" si="226"/>
        <v>Rate % of Sales</v>
      </c>
      <c r="J1371" s="1314" t="str">
        <f t="shared" si="227"/>
        <v>F</v>
      </c>
      <c r="K1371" s="1314" t="str">
        <f t="shared" si="225"/>
        <v>Incentives</v>
      </c>
      <c r="L1371" s="1314"/>
      <c r="M1371" s="1314"/>
      <c r="N1371" s="1314"/>
      <c r="O1371" s="1311"/>
      <c r="P1371" s="1311"/>
      <c r="Q1371" s="1311"/>
      <c r="R1371" s="1314" t="s">
        <v>1525</v>
      </c>
      <c r="S1371" s="1316" t="s">
        <v>1751</v>
      </c>
      <c r="T1371" s="1311"/>
      <c r="U1371" s="1314" t="str">
        <f>IF(Q$706="Yes",M722,"")</f>
        <v/>
      </c>
      <c r="V1371" s="1314" t="str">
        <f>IF(Q$736="Yes",M752,"")</f>
        <v/>
      </c>
      <c r="W1371" s="1311"/>
      <c r="X1371" s="1311"/>
      <c r="Y1371" s="1311"/>
      <c r="Z1371" s="1311"/>
    </row>
    <row r="1372" spans="1:26" x14ac:dyDescent="0.25">
      <c r="A1372" s="1073" t="s">
        <v>1389</v>
      </c>
      <c r="B1372" s="1274" t="str">
        <f>IFERROR(_xlfn.CONCAT("K",('Configurable Tab'!$C$7+6)),"")</f>
        <v>K74</v>
      </c>
      <c r="C1372" s="1274" t="str">
        <f>IFERROR(_xlfn.CONCAT("K",('Configurable Tab'!$C$7+8)),"")</f>
        <v>K76</v>
      </c>
      <c r="D1372" s="1314" t="s">
        <v>1350</v>
      </c>
      <c r="E1372" s="791" t="s">
        <v>1742</v>
      </c>
      <c r="F1372" s="1314"/>
      <c r="G1372" s="1314"/>
      <c r="H1372" s="1314"/>
      <c r="I1372" s="1274" t="str">
        <f t="shared" si="226"/>
        <v>Rate % of Sales</v>
      </c>
      <c r="J1372" s="1314" t="str">
        <f t="shared" si="227"/>
        <v>F</v>
      </c>
      <c r="K1372" s="1314" t="str">
        <f t="shared" si="225"/>
        <v>Incentives</v>
      </c>
      <c r="L1372" s="1314"/>
      <c r="M1372" s="1314"/>
      <c r="N1372" s="1314"/>
      <c r="O1372" s="1311"/>
      <c r="P1372" s="1311"/>
      <c r="Q1372" s="1311"/>
      <c r="R1372" s="1314" t="s">
        <v>1525</v>
      </c>
      <c r="S1372" s="1316" t="s">
        <v>1751</v>
      </c>
      <c r="T1372" s="1311"/>
      <c r="U1372" s="1314" t="str">
        <f>IF(Q$706="Yes",M725,"")</f>
        <v/>
      </c>
      <c r="V1372" s="1314" t="str">
        <f>IF(Q$736="Yes",M755,"")</f>
        <v/>
      </c>
      <c r="W1372" s="1311"/>
      <c r="X1372" s="1311"/>
      <c r="Y1372" s="1311"/>
      <c r="Z1372" s="1311"/>
    </row>
    <row r="1373" spans="1:26" x14ac:dyDescent="0.25">
      <c r="A1373" s="1073" t="s">
        <v>1389</v>
      </c>
      <c r="B1373" s="1274" t="str">
        <f>IFERROR(_xlfn.CONCAT("K",('Configurable Tab'!$C$7+6)),"")</f>
        <v>K74</v>
      </c>
      <c r="C1373" s="1274" t="str">
        <f>IFERROR(_xlfn.CONCAT("K",('Configurable Tab'!$C$7+9)),"")</f>
        <v>K77</v>
      </c>
      <c r="D1373" s="1314" t="s">
        <v>1350</v>
      </c>
      <c r="E1373" s="791" t="s">
        <v>1742</v>
      </c>
      <c r="F1373" s="1314"/>
      <c r="G1373" s="1314"/>
      <c r="H1373" s="1314"/>
      <c r="I1373" s="1274" t="str">
        <f t="shared" si="226"/>
        <v>Rate % of Sales</v>
      </c>
      <c r="J1373" s="1314" t="str">
        <f t="shared" si="227"/>
        <v>F</v>
      </c>
      <c r="K1373" s="1314" t="str">
        <f t="shared" si="225"/>
        <v>Incentives</v>
      </c>
      <c r="L1373" s="1314"/>
      <c r="M1373" s="1314"/>
      <c r="N1373" s="1314"/>
      <c r="O1373" s="1311"/>
      <c r="P1373" s="1311"/>
      <c r="Q1373" s="1311"/>
      <c r="R1373" s="1314" t="s">
        <v>1525</v>
      </c>
      <c r="S1373" s="1316" t="s">
        <v>1751</v>
      </c>
      <c r="T1373" s="1311"/>
      <c r="U1373" s="1314" t="str">
        <f>IF(Q$706="Yes",M728,"")</f>
        <v/>
      </c>
      <c r="V1373" s="1314" t="str">
        <f>IF(Q$736="Yes",M758,"")</f>
        <v/>
      </c>
      <c r="W1373" s="1311"/>
      <c r="X1373" s="1311"/>
      <c r="Y1373" s="1311"/>
      <c r="Z1373" s="1311"/>
    </row>
    <row r="1374" spans="1:26" x14ac:dyDescent="0.25">
      <c r="A1374" s="1073" t="s">
        <v>1389</v>
      </c>
      <c r="B1374" s="1274" t="str">
        <f>IFERROR(_xlfn.CONCAT("K",('Configurable Tab'!$C$7+6)),"")</f>
        <v>K74</v>
      </c>
      <c r="C1374" s="1274" t="str">
        <f>IFERROR(_xlfn.CONCAT("K",('Configurable Tab'!$C$7+10)),"")</f>
        <v>K78</v>
      </c>
      <c r="D1374" s="1314" t="s">
        <v>1350</v>
      </c>
      <c r="E1374" s="791" t="s">
        <v>1742</v>
      </c>
      <c r="F1374" s="1314"/>
      <c r="G1374" s="1314"/>
      <c r="H1374" s="1314"/>
      <c r="I1374" s="1274" t="str">
        <f t="shared" si="226"/>
        <v>Rate % of Sales</v>
      </c>
      <c r="J1374" s="1314" t="str">
        <f t="shared" si="227"/>
        <v>F</v>
      </c>
      <c r="K1374" s="1314" t="str">
        <f t="shared" si="225"/>
        <v>Incentives</v>
      </c>
      <c r="L1374" s="1314"/>
      <c r="M1374" s="1314"/>
      <c r="N1374" s="1314"/>
      <c r="O1374" s="1311"/>
      <c r="P1374" s="1311"/>
      <c r="Q1374" s="1311"/>
      <c r="R1374" s="1314" t="s">
        <v>1525</v>
      </c>
      <c r="S1374" s="1316" t="s">
        <v>1751</v>
      </c>
      <c r="T1374" s="1311"/>
      <c r="U1374" s="1314" t="str">
        <f>IF(Q$706="Yes",M731,"")</f>
        <v/>
      </c>
      <c r="V1374" s="1314" t="str">
        <f>IF(Q$736="Yes",M761,"")</f>
        <v/>
      </c>
      <c r="W1374" s="1311"/>
      <c r="X1374" s="1311"/>
      <c r="Y1374" s="1311"/>
      <c r="Z1374" s="1311"/>
    </row>
    <row r="1375" spans="1:26" x14ac:dyDescent="0.25">
      <c r="A1375" s="1073" t="s">
        <v>1389</v>
      </c>
      <c r="B1375" s="1274" t="str">
        <f>IFERROR(_xlfn.CONCAT("K",('Configurable Tab'!$C$7+6)),"")</f>
        <v>K74</v>
      </c>
      <c r="C1375" s="1274" t="str">
        <f>IFERROR(_xlfn.CONCAT("K",('Configurable Tab'!$C$7+11)),"")</f>
        <v>K79</v>
      </c>
      <c r="D1375" s="1314" t="s">
        <v>1350</v>
      </c>
      <c r="E1375" s="791" t="s">
        <v>1742</v>
      </c>
      <c r="F1375" s="1314"/>
      <c r="G1375" s="1314"/>
      <c r="H1375" s="1314"/>
      <c r="I1375" s="1274" t="str">
        <f t="shared" si="226"/>
        <v>Rate % of Sales</v>
      </c>
      <c r="J1375" s="1314" t="str">
        <f t="shared" si="227"/>
        <v>F</v>
      </c>
      <c r="K1375" s="1314" t="str">
        <f t="shared" si="225"/>
        <v>Incentives</v>
      </c>
      <c r="L1375" s="1314"/>
      <c r="M1375" s="1314"/>
      <c r="N1375" s="1314"/>
      <c r="O1375" s="1311"/>
      <c r="P1375" s="1311"/>
      <c r="Q1375" s="1311"/>
      <c r="R1375" s="1314" t="s">
        <v>1525</v>
      </c>
      <c r="S1375" s="1316" t="s">
        <v>1751</v>
      </c>
      <c r="T1375" s="1311"/>
      <c r="U1375" s="1314" t="str">
        <f>IF(Q$706="Yes",M734,"")</f>
        <v/>
      </c>
      <c r="V1375" s="1314" t="str">
        <f>IF(Q$736="Yes",M764,"")</f>
        <v/>
      </c>
      <c r="W1375" s="1311"/>
      <c r="X1375" s="1311"/>
      <c r="Y1375" s="1311"/>
      <c r="Z1375" s="1311"/>
    </row>
    <row r="1376" spans="1:26" x14ac:dyDescent="0.25">
      <c r="A1376" s="1074" t="s">
        <v>523</v>
      </c>
      <c r="B1376" s="1274" t="str">
        <f>IFERROR(_xlfn.CONCAT("D",('Configurable Tab'!$C$8+1)),"")</f>
        <v>D83</v>
      </c>
      <c r="C1376" s="1274" t="str">
        <f>IFERROR(_xlfn.CONCAT("E",('Configurable Tab'!$C$8+1)),"")</f>
        <v>E83</v>
      </c>
      <c r="D1376" s="1314" t="s">
        <v>1350</v>
      </c>
      <c r="E1376" s="791" t="s">
        <v>1742</v>
      </c>
      <c r="F1376" s="1314"/>
      <c r="G1376" s="1314"/>
      <c r="H1376" s="1314"/>
      <c r="I1376" s="1274" t="str">
        <f t="shared" si="226"/>
        <v>Offer this Incentive?</v>
      </c>
      <c r="J1376" s="1314" t="str">
        <f>$Q$1&amp;IF(T$1376&lt;&gt;0,U1376,IF(T$1394&lt;&gt;0,U1394,IF(X$1394&lt;&gt;0,Y1394,"")))</f>
        <v>F</v>
      </c>
      <c r="K1376" s="1314" t="str">
        <f t="shared" si="225"/>
        <v>Incentives</v>
      </c>
      <c r="L1376" s="1314"/>
      <c r="M1376" s="1314"/>
      <c r="N1376" s="1314"/>
      <c r="O1376" s="1311" t="s">
        <v>1689</v>
      </c>
      <c r="P1376" s="1405" t="str">
        <f>'Configurable Tab'!E8</f>
        <v>Yes</v>
      </c>
      <c r="Q1376" s="1274" t="str">
        <f>IFERROR(_xlfn.CONCAT("C",('Configurable Tab'!$C8+1)),"")</f>
        <v>C83</v>
      </c>
      <c r="R1376" s="1314" t="s">
        <v>1531</v>
      </c>
      <c r="S1376" s="1316" t="s">
        <v>1752</v>
      </c>
      <c r="T1376" s="1314">
        <f>IF(Q$766="Yes",IF(Q$781="Yes",2,1),0)</f>
        <v>0</v>
      </c>
      <c r="U1376" s="1314" t="str">
        <f>IF(Q$766="Yes",M766,"")</f>
        <v/>
      </c>
      <c r="V1376" s="1314" t="str">
        <f>IF(Q$781="Yes",M781,"")</f>
        <v/>
      </c>
      <c r="W1376" s="1311"/>
      <c r="X1376" s="1311"/>
      <c r="Y1376" s="1311"/>
      <c r="Z1376" s="1311"/>
    </row>
    <row r="1377" spans="1:26" x14ac:dyDescent="0.25">
      <c r="A1377" s="1075" t="s">
        <v>1383</v>
      </c>
      <c r="B1377" s="1274" t="str">
        <f>IFERROR(_xlfn.CONCAT("D",('Configurable Tab'!$C$8+2)),"")</f>
        <v>D84</v>
      </c>
      <c r="C1377" s="1274" t="str">
        <f>IFERROR(_xlfn.CONCAT("E",('Configurable Tab'!$C$8+2)),"")</f>
        <v>E84</v>
      </c>
      <c r="D1377" s="1314" t="s">
        <v>1350</v>
      </c>
      <c r="E1377" s="791" t="s">
        <v>1742</v>
      </c>
      <c r="F1377" s="1314"/>
      <c r="G1377" s="1314"/>
      <c r="H1377" s="1314"/>
      <c r="I1377" s="1274" t="str">
        <f t="shared" si="226"/>
        <v>Incentive Type</v>
      </c>
      <c r="J1377" s="1314" t="str">
        <f t="shared" ref="J1377:J1393" si="228">$Q$1&amp;IF(T$1376&lt;&gt;0,U1377,IF(T$1394&lt;&gt;0,U1395,IF(X$1394&lt;&gt;0,Y1395,"")))</f>
        <v>F</v>
      </c>
      <c r="K1377" s="1314" t="str">
        <f t="shared" si="225"/>
        <v>Incentives</v>
      </c>
      <c r="L1377" s="1314"/>
      <c r="M1377" s="1314"/>
      <c r="N1377" s="1314"/>
      <c r="O1377" s="1311"/>
      <c r="P1377" s="1311"/>
      <c r="Q1377" s="1311"/>
      <c r="R1377" s="1314" t="s">
        <v>1531</v>
      </c>
      <c r="S1377" s="1316" t="s">
        <v>1752</v>
      </c>
      <c r="T1377" s="1311"/>
      <c r="U1377" s="1314" t="str">
        <f>IF(Q$766="Yes",M767,"")</f>
        <v/>
      </c>
      <c r="V1377" s="1314" t="str">
        <f>IF(Q$781="Yes",M782,"")</f>
        <v/>
      </c>
      <c r="W1377" s="1311"/>
      <c r="X1377" s="1311"/>
      <c r="Y1377" s="1311"/>
      <c r="Z1377" s="1311"/>
    </row>
    <row r="1378" spans="1:26" x14ac:dyDescent="0.25">
      <c r="A1378" s="1075" t="s">
        <v>1385</v>
      </c>
      <c r="B1378" s="1274" t="str">
        <f>IFERROR(_xlfn.CONCAT("D",('Configurable Tab'!$C$8+4)),"")</f>
        <v>D86</v>
      </c>
      <c r="C1378" s="1274" t="str">
        <f>IFERROR(_xlfn.CONCAT("E",('Configurable Tab'!$C$8+4)),"")</f>
        <v>E86</v>
      </c>
      <c r="D1378" s="1314" t="s">
        <v>1350</v>
      </c>
      <c r="E1378" s="791" t="s">
        <v>1742</v>
      </c>
      <c r="F1378" s="1314"/>
      <c r="G1378" s="1314"/>
      <c r="H1378" s="1314"/>
      <c r="I1378" s="1274" t="str">
        <f t="shared" si="226"/>
        <v>Incentive Effective Date</v>
      </c>
      <c r="J1378" s="1314" t="str">
        <f t="shared" si="228"/>
        <v>F</v>
      </c>
      <c r="K1378" s="1314" t="str">
        <f t="shared" si="225"/>
        <v>Incentives</v>
      </c>
      <c r="L1378" s="1314"/>
      <c r="M1378" s="1314"/>
      <c r="N1378" s="1314"/>
      <c r="O1378" s="1311"/>
      <c r="P1378" s="1311"/>
      <c r="Q1378" s="1311"/>
      <c r="R1378" s="1314" t="s">
        <v>1531</v>
      </c>
      <c r="S1378" s="1316" t="s">
        <v>1752</v>
      </c>
      <c r="T1378" s="1311"/>
      <c r="U1378" s="1314" t="str">
        <f>IF(Q$766="Yes",M775,"")</f>
        <v/>
      </c>
      <c r="V1378" s="1314" t="str">
        <f>IF(Q$781="Yes",M790,"")</f>
        <v/>
      </c>
      <c r="W1378" s="1311"/>
      <c r="X1378" s="1311"/>
      <c r="Y1378" s="1311"/>
      <c r="Z1378" s="1311"/>
    </row>
    <row r="1379" spans="1:26" x14ac:dyDescent="0.25">
      <c r="A1379" s="1075" t="s">
        <v>1386</v>
      </c>
      <c r="B1379" s="1274" t="str">
        <f>IFERROR(_xlfn.CONCAT("D",('Configurable Tab'!$C$8+5)),"")</f>
        <v>D87</v>
      </c>
      <c r="C1379" s="1274" t="str">
        <f>IFERROR(_xlfn.CONCAT("E",('Configurable Tab'!$C$8+5)),"")</f>
        <v>E87</v>
      </c>
      <c r="D1379" s="1314" t="s">
        <v>1350</v>
      </c>
      <c r="E1379" s="791" t="s">
        <v>1742</v>
      </c>
      <c r="F1379" s="1314"/>
      <c r="G1379" s="1314"/>
      <c r="H1379" s="1314"/>
      <c r="I1379" s="1274" t="str">
        <f t="shared" si="226"/>
        <v>Incentive Expiration Date</v>
      </c>
      <c r="J1379" s="1314" t="str">
        <f t="shared" si="228"/>
        <v>F</v>
      </c>
      <c r="K1379" s="1314" t="str">
        <f t="shared" si="225"/>
        <v>Incentives</v>
      </c>
      <c r="L1379" s="1314"/>
      <c r="M1379" s="1314"/>
      <c r="N1379" s="1314"/>
      <c r="O1379" s="1311"/>
      <c r="P1379" s="1311"/>
      <c r="Q1379" s="1311"/>
      <c r="R1379" s="1314" t="s">
        <v>1531</v>
      </c>
      <c r="S1379" s="1316" t="s">
        <v>1752</v>
      </c>
      <c r="T1379" s="1311"/>
      <c r="U1379" s="1314" t="str">
        <f>IF(Q$766="Yes",M776,"")</f>
        <v/>
      </c>
      <c r="V1379" s="1314" t="str">
        <f>IF(Q$781="Yes",M791,"")</f>
        <v/>
      </c>
      <c r="W1379" s="1311"/>
      <c r="X1379" s="1311"/>
      <c r="Y1379" s="1311"/>
      <c r="Z1379" s="1311"/>
    </row>
    <row r="1380" spans="1:26" x14ac:dyDescent="0.25">
      <c r="A1380" s="1075" t="s">
        <v>1380</v>
      </c>
      <c r="B1380" s="1274" t="str">
        <f>IFERROR(_xlfn.CONCAT("G",('Configurable Tab'!$C$8+1)),"")</f>
        <v>G83</v>
      </c>
      <c r="C1380" s="1274" t="str">
        <f>IFERROR(_xlfn.CONCAT("G",('Configurable Tab'!$C$8+2)),"")</f>
        <v>G84</v>
      </c>
      <c r="D1380" s="1314" t="s">
        <v>1350</v>
      </c>
      <c r="E1380" s="791" t="s">
        <v>1742</v>
      </c>
      <c r="F1380" s="1310"/>
      <c r="G1380" s="1069"/>
      <c r="H1380" s="1314"/>
      <c r="I1380" s="1274" t="str">
        <f t="shared" si="226"/>
        <v>Incentive Period</v>
      </c>
      <c r="J1380" s="1314" t="str">
        <f t="shared" si="228"/>
        <v>F</v>
      </c>
      <c r="K1380" s="1314" t="str">
        <f t="shared" si="225"/>
        <v>Incentives</v>
      </c>
      <c r="L1380" s="1314"/>
      <c r="M1380" s="1314"/>
      <c r="N1380" s="1314"/>
      <c r="O1380" s="1311"/>
      <c r="P1380" s="1311"/>
      <c r="Q1380" s="1311"/>
      <c r="R1380" s="1314" t="s">
        <v>1531</v>
      </c>
      <c r="S1380" s="1316" t="s">
        <v>1752</v>
      </c>
      <c r="T1380" s="1311"/>
      <c r="U1380" s="1314" t="str">
        <f>IF(Q$766="Yes",M768,"")</f>
        <v/>
      </c>
      <c r="V1380" s="1314" t="str">
        <f>IF(Q$781="Yes",M783,"")</f>
        <v/>
      </c>
      <c r="W1380" s="1311"/>
      <c r="X1380" s="1311"/>
      <c r="Y1380" s="1311"/>
      <c r="Z1380" s="1311"/>
    </row>
    <row r="1381" spans="1:26" x14ac:dyDescent="0.25">
      <c r="A1381" s="1075" t="s">
        <v>1381</v>
      </c>
      <c r="B1381" s="1274" t="str">
        <f>IFERROR(_xlfn.CONCAT("I",('Configurable Tab'!$C$8+1)),"")</f>
        <v>I83</v>
      </c>
      <c r="C1381" s="1274" t="str">
        <f>IFERROR(_xlfn.CONCAT("I",('Configurable Tab'!$C$8+2)),"")</f>
        <v>I84</v>
      </c>
      <c r="D1381" s="1314" t="s">
        <v>1350</v>
      </c>
      <c r="E1381" s="791" t="s">
        <v>1742</v>
      </c>
      <c r="F1381" s="1314"/>
      <c r="G1381" s="1314"/>
      <c r="H1381" s="1314"/>
      <c r="I1381" s="1274" t="str">
        <f t="shared" si="226"/>
        <v>Payment Method</v>
      </c>
      <c r="J1381" s="1314" t="str">
        <f t="shared" si="228"/>
        <v>F</v>
      </c>
      <c r="K1381" s="1314" t="str">
        <f t="shared" si="225"/>
        <v>Incentives</v>
      </c>
      <c r="L1381" s="1314"/>
      <c r="M1381" s="1314"/>
      <c r="N1381" s="1314"/>
      <c r="O1381" s="1311"/>
      <c r="P1381" s="1311"/>
      <c r="Q1381" s="1311"/>
      <c r="R1381" s="1314" t="s">
        <v>1531</v>
      </c>
      <c r="S1381" s="1316" t="s">
        <v>1752</v>
      </c>
      <c r="T1381" s="1311"/>
      <c r="U1381" s="1314" t="str">
        <f>IF(Q$766="Yes",M769,"")</f>
        <v/>
      </c>
      <c r="V1381" s="1314" t="str">
        <f>IF(Q$781="Yes",M784,"")</f>
        <v/>
      </c>
      <c r="W1381" s="1311"/>
      <c r="X1381" s="1311"/>
      <c r="Y1381" s="1311"/>
      <c r="Z1381" s="1311"/>
    </row>
    <row r="1382" spans="1:26" x14ac:dyDescent="0.25">
      <c r="A1382" s="1075" t="s">
        <v>833</v>
      </c>
      <c r="B1382" s="1274" t="str">
        <f>IFERROR(_xlfn.CONCAT("K",('Configurable Tab'!$C$8+1)),"")</f>
        <v>K83</v>
      </c>
      <c r="C1382" s="1274" t="str">
        <f>IFERROR(_xlfn.CONCAT("K",('Configurable Tab'!$C$8+2)),"")</f>
        <v>K84</v>
      </c>
      <c r="D1382" s="1314" t="s">
        <v>1350</v>
      </c>
      <c r="E1382" s="791" t="s">
        <v>1742</v>
      </c>
      <c r="F1382" s="1314"/>
      <c r="G1382" s="1314"/>
      <c r="H1382" s="1314"/>
      <c r="I1382" s="1274" t="str">
        <f t="shared" si="226"/>
        <v>Paid to:</v>
      </c>
      <c r="J1382" s="1314" t="str">
        <f t="shared" si="228"/>
        <v>F</v>
      </c>
      <c r="K1382" s="1314" t="str">
        <f t="shared" si="225"/>
        <v>Incentives</v>
      </c>
      <c r="L1382" s="1314"/>
      <c r="M1382" s="1314"/>
      <c r="N1382" s="1314"/>
      <c r="O1382" s="1311"/>
      <c r="P1382" s="1311"/>
      <c r="Q1382" s="1311"/>
      <c r="R1382" s="1314" t="s">
        <v>1531</v>
      </c>
      <c r="S1382" s="1316" t="s">
        <v>1752</v>
      </c>
      <c r="T1382" s="1311"/>
      <c r="U1382" s="1314" t="str">
        <f>IF(Q$766="Yes",M770,"")</f>
        <v/>
      </c>
      <c r="V1382" s="1314" t="str">
        <f>IF(Q$781="Yes",M785,"")</f>
        <v/>
      </c>
      <c r="W1382" s="1311"/>
      <c r="X1382" s="1311"/>
      <c r="Y1382" s="1311"/>
      <c r="Z1382" s="1311"/>
    </row>
    <row r="1383" spans="1:26" x14ac:dyDescent="0.25">
      <c r="A1383" s="1075" t="s">
        <v>1382</v>
      </c>
      <c r="B1383" s="1274" t="str">
        <f>IFERROR(_xlfn.CONCAT("M",('Configurable Tab'!$C$8+1)),"")</f>
        <v>M83</v>
      </c>
      <c r="C1383" s="1274" t="str">
        <f>IFERROR(_xlfn.CONCAT("M",('Configurable Tab'!$C$8+2)),"")</f>
        <v>M84</v>
      </c>
      <c r="D1383" s="1314" t="s">
        <v>1350</v>
      </c>
      <c r="E1383" s="791" t="s">
        <v>1742</v>
      </c>
      <c r="F1383" s="1314"/>
      <c r="G1383" s="1314"/>
      <c r="H1383" s="1314"/>
      <c r="I1383" s="1274" t="str">
        <f t="shared" si="226"/>
        <v>AP/AR Vendor Number</v>
      </c>
      <c r="J1383" s="1314" t="str">
        <f t="shared" si="228"/>
        <v>F</v>
      </c>
      <c r="K1383" s="1314" t="str">
        <f t="shared" si="225"/>
        <v>Incentives</v>
      </c>
      <c r="L1383" s="1314"/>
      <c r="M1383" s="1314"/>
      <c r="N1383" s="1314"/>
      <c r="O1383" s="1311"/>
      <c r="P1383" s="1311"/>
      <c r="Q1383" s="1311"/>
      <c r="R1383" s="1314" t="s">
        <v>1531</v>
      </c>
      <c r="S1383" s="1316" t="s">
        <v>1752</v>
      </c>
      <c r="T1383" s="1311"/>
      <c r="U1383" s="1314" t="str">
        <f>IF(Q$766="Yes",M771,"")</f>
        <v/>
      </c>
      <c r="V1383" s="1314" t="str">
        <f>IF(Q$781="Yes",M786,"")</f>
        <v/>
      </c>
      <c r="W1383" s="1311"/>
      <c r="X1383" s="1311"/>
      <c r="Y1383" s="1311"/>
      <c r="Z1383" s="1311"/>
    </row>
    <row r="1384" spans="1:26" x14ac:dyDescent="0.25">
      <c r="A1384" s="1075" t="s">
        <v>1387</v>
      </c>
      <c r="B1384" s="1274" t="str">
        <f>IFERROR(_xlfn.CONCAT("G",('Configurable Tab'!$C$8+6)),"")</f>
        <v>G88</v>
      </c>
      <c r="C1384" s="1274" t="str">
        <f>IFERROR(_xlfn.CONCAT("G",('Configurable Tab'!$C$8+7)),"")</f>
        <v>G89</v>
      </c>
      <c r="D1384" s="1314" t="s">
        <v>1350</v>
      </c>
      <c r="E1384" s="791" t="s">
        <v>1742</v>
      </c>
      <c r="F1384" s="1314"/>
      <c r="G1384" s="1314"/>
      <c r="H1384" s="1314"/>
      <c r="I1384" s="1274" t="str">
        <f t="shared" si="226"/>
        <v>Minimum Units</v>
      </c>
      <c r="J1384" s="1314" t="str">
        <f t="shared" si="228"/>
        <v>F</v>
      </c>
      <c r="K1384" s="1314" t="str">
        <f t="shared" si="225"/>
        <v>Incentives</v>
      </c>
      <c r="L1384" s="1314"/>
      <c r="M1384" s="1314"/>
      <c r="N1384" s="1314"/>
      <c r="O1384" s="1311"/>
      <c r="P1384" s="1311"/>
      <c r="Q1384" s="1311"/>
      <c r="R1384" s="1314" t="s">
        <v>1531</v>
      </c>
      <c r="S1384" s="1311"/>
      <c r="T1384" s="1311"/>
      <c r="U1384" s="1311"/>
      <c r="V1384" s="1311"/>
      <c r="W1384" s="1311"/>
      <c r="X1384" s="1311"/>
      <c r="Y1384" s="1311"/>
      <c r="Z1384" s="1311"/>
    </row>
    <row r="1385" spans="1:26" x14ac:dyDescent="0.25">
      <c r="A1385" s="1075" t="s">
        <v>1387</v>
      </c>
      <c r="B1385" s="1274" t="str">
        <f>IFERROR(_xlfn.CONCAT("G",('Configurable Tab'!$C$8+6)),"")</f>
        <v>G88</v>
      </c>
      <c r="C1385" s="1274" t="str">
        <f>IFERROR(_xlfn.CONCAT("G",('Configurable Tab'!$C$8+8)),"")</f>
        <v>G90</v>
      </c>
      <c r="D1385" s="1314" t="s">
        <v>1350</v>
      </c>
      <c r="E1385" s="791" t="s">
        <v>1742</v>
      </c>
      <c r="F1385" s="1314"/>
      <c r="G1385" s="1314"/>
      <c r="H1385" s="1314"/>
      <c r="I1385" s="1274" t="str">
        <f t="shared" si="226"/>
        <v>Minimum Units</v>
      </c>
      <c r="J1385" s="1314" t="str">
        <f t="shared" si="228"/>
        <v>F</v>
      </c>
      <c r="K1385" s="1314" t="str">
        <f t="shared" si="225"/>
        <v>Incentives</v>
      </c>
      <c r="L1385" s="1314"/>
      <c r="M1385" s="1314"/>
      <c r="N1385" s="1314"/>
      <c r="O1385" s="1311"/>
      <c r="P1385" s="1311"/>
      <c r="Q1385" s="1311"/>
      <c r="R1385" s="1314" t="s">
        <v>1531</v>
      </c>
      <c r="S1385" s="1311"/>
      <c r="T1385" s="1311"/>
      <c r="U1385" s="1311"/>
      <c r="V1385" s="1311"/>
      <c r="W1385" s="1311"/>
      <c r="X1385" s="1311"/>
      <c r="Y1385" s="1311"/>
      <c r="Z1385" s="1311"/>
    </row>
    <row r="1386" spans="1:26" x14ac:dyDescent="0.25">
      <c r="A1386" s="1075" t="s">
        <v>1387</v>
      </c>
      <c r="B1386" s="1274" t="str">
        <f>IFERROR(_xlfn.CONCAT("G",('Configurable Tab'!$C$8+6)),"")</f>
        <v>G88</v>
      </c>
      <c r="C1386" s="1274" t="str">
        <f>IFERROR(_xlfn.CONCAT("G",('Configurable Tab'!$C$8+9)),"")</f>
        <v>G91</v>
      </c>
      <c r="D1386" s="1314" t="s">
        <v>1350</v>
      </c>
      <c r="E1386" s="791" t="s">
        <v>1742</v>
      </c>
      <c r="F1386" s="1314"/>
      <c r="G1386" s="1314"/>
      <c r="H1386" s="1314"/>
      <c r="I1386" s="1274" t="str">
        <f t="shared" si="226"/>
        <v>Minimum Units</v>
      </c>
      <c r="J1386" s="1314" t="str">
        <f t="shared" si="228"/>
        <v>F</v>
      </c>
      <c r="K1386" s="1314" t="str">
        <f t="shared" si="225"/>
        <v>Incentives</v>
      </c>
      <c r="L1386" s="1314"/>
      <c r="M1386" s="1314"/>
      <c r="N1386" s="1314"/>
      <c r="O1386" s="1311"/>
      <c r="P1386" s="1311"/>
      <c r="Q1386" s="1311"/>
      <c r="R1386" s="1314" t="s">
        <v>1531</v>
      </c>
      <c r="S1386" s="1311"/>
      <c r="T1386" s="1311"/>
      <c r="U1386" s="1311"/>
      <c r="V1386" s="1311"/>
      <c r="W1386" s="1311"/>
      <c r="X1386" s="1311"/>
      <c r="Y1386" s="1311"/>
      <c r="Z1386" s="1311"/>
    </row>
    <row r="1387" spans="1:26" x14ac:dyDescent="0.25">
      <c r="A1387" s="1075" t="s">
        <v>1387</v>
      </c>
      <c r="B1387" s="1274" t="str">
        <f>IFERROR(_xlfn.CONCAT("G",('Configurable Tab'!$C$8+6)),"")</f>
        <v>G88</v>
      </c>
      <c r="C1387" s="1274" t="str">
        <f>IFERROR(_xlfn.CONCAT("G",('Configurable Tab'!$C$8+10)),"")</f>
        <v>G92</v>
      </c>
      <c r="D1387" s="1314" t="s">
        <v>1350</v>
      </c>
      <c r="E1387" s="791" t="s">
        <v>1742</v>
      </c>
      <c r="F1387" s="1314"/>
      <c r="G1387" s="1314"/>
      <c r="H1387" s="1314"/>
      <c r="I1387" s="1274" t="str">
        <f t="shared" si="226"/>
        <v>Minimum Units</v>
      </c>
      <c r="J1387" s="1314" t="str">
        <f t="shared" si="228"/>
        <v>F</v>
      </c>
      <c r="K1387" s="1314" t="str">
        <f t="shared" si="225"/>
        <v>Incentives</v>
      </c>
      <c r="L1387" s="1314"/>
      <c r="M1387" s="1314"/>
      <c r="N1387" s="1314"/>
      <c r="O1387" s="1311"/>
      <c r="P1387" s="1311"/>
      <c r="Q1387" s="1311"/>
      <c r="R1387" s="1314" t="s">
        <v>1531</v>
      </c>
      <c r="S1387" s="1311"/>
      <c r="T1387" s="1311"/>
      <c r="U1387" s="1311"/>
      <c r="V1387" s="1311"/>
      <c r="W1387" s="1311"/>
      <c r="X1387" s="1311"/>
      <c r="Y1387" s="1311"/>
      <c r="Z1387" s="1311"/>
    </row>
    <row r="1388" spans="1:26" x14ac:dyDescent="0.25">
      <c r="A1388" s="1075" t="s">
        <v>1387</v>
      </c>
      <c r="B1388" s="1274" t="str">
        <f>IFERROR(_xlfn.CONCAT("G",('Configurable Tab'!$C$8+6)),"")</f>
        <v>G88</v>
      </c>
      <c r="C1388" s="1274" t="str">
        <f>IFERROR(_xlfn.CONCAT("G",('Configurable Tab'!$C$8+11)),"")</f>
        <v>G93</v>
      </c>
      <c r="D1388" s="1314" t="s">
        <v>1350</v>
      </c>
      <c r="E1388" s="791" t="s">
        <v>1742</v>
      </c>
      <c r="F1388" s="1314"/>
      <c r="G1388" s="1314"/>
      <c r="H1388" s="1314"/>
      <c r="I1388" s="1274" t="str">
        <f t="shared" si="226"/>
        <v>Minimum Units</v>
      </c>
      <c r="J1388" s="1314" t="str">
        <f t="shared" si="228"/>
        <v>F</v>
      </c>
      <c r="K1388" s="1314" t="str">
        <f t="shared" si="225"/>
        <v>Incentives</v>
      </c>
      <c r="L1388" s="1314"/>
      <c r="M1388" s="1314"/>
      <c r="N1388" s="1314"/>
      <c r="O1388" s="1311"/>
      <c r="P1388" s="1311"/>
      <c r="Q1388" s="1311"/>
      <c r="R1388" s="1314" t="s">
        <v>1531</v>
      </c>
      <c r="S1388" s="1311"/>
      <c r="T1388" s="1311"/>
      <c r="U1388" s="1311"/>
      <c r="V1388" s="1311"/>
      <c r="W1388" s="1311"/>
      <c r="X1388" s="1311"/>
      <c r="Y1388" s="1311"/>
      <c r="Z1388" s="1311"/>
    </row>
    <row r="1389" spans="1:26" x14ac:dyDescent="0.25">
      <c r="A1389" s="1075" t="s">
        <v>1389</v>
      </c>
      <c r="B1389" s="1274" t="str">
        <f>IFERROR(_xlfn.CONCAT("K",('Configurable Tab'!$C$8+6)),"")</f>
        <v>K88</v>
      </c>
      <c r="C1389" s="1274" t="str">
        <f>IFERROR(_xlfn.CONCAT("K",('Configurable Tab'!$C$8+7)),"")</f>
        <v>K89</v>
      </c>
      <c r="D1389" s="1314" t="s">
        <v>1350</v>
      </c>
      <c r="E1389" s="791" t="s">
        <v>1742</v>
      </c>
      <c r="F1389" s="1314"/>
      <c r="G1389" s="1314"/>
      <c r="H1389" s="1314"/>
      <c r="I1389" s="1274" t="str">
        <f t="shared" si="226"/>
        <v>Rate % of Sales</v>
      </c>
      <c r="J1389" s="1314" t="str">
        <f t="shared" si="228"/>
        <v>F</v>
      </c>
      <c r="K1389" s="1314" t="str">
        <f t="shared" si="225"/>
        <v>Incentives</v>
      </c>
      <c r="L1389" s="1314"/>
      <c r="M1389" s="1314"/>
      <c r="N1389" s="1314"/>
      <c r="O1389" s="1311"/>
      <c r="P1389" s="1311"/>
      <c r="Q1389" s="1311"/>
      <c r="R1389" s="1314" t="s">
        <v>1531</v>
      </c>
      <c r="S1389" s="1488" t="s">
        <v>1752</v>
      </c>
      <c r="T1389" s="1487"/>
      <c r="U1389" s="1489" t="str">
        <f>IF(Q$766="Yes",M779,"")</f>
        <v/>
      </c>
      <c r="V1389" s="1489" t="str">
        <f>IF(Q$781="Yes",M794,"")</f>
        <v/>
      </c>
      <c r="W1389" s="1311"/>
      <c r="X1389" s="1311"/>
      <c r="Y1389" s="1311"/>
      <c r="Z1389" s="1311"/>
    </row>
    <row r="1390" spans="1:26" x14ac:dyDescent="0.25">
      <c r="A1390" s="1075" t="s">
        <v>1389</v>
      </c>
      <c r="B1390" s="1274" t="str">
        <f>IFERROR(_xlfn.CONCAT("K",('Configurable Tab'!$C$8+6)),"")</f>
        <v>K88</v>
      </c>
      <c r="C1390" s="1274" t="str">
        <f>IFERROR(_xlfn.CONCAT("K",('Configurable Tab'!$C$8+8)),"")</f>
        <v>K90</v>
      </c>
      <c r="D1390" s="1314" t="s">
        <v>1350</v>
      </c>
      <c r="E1390" s="791" t="s">
        <v>1742</v>
      </c>
      <c r="F1390" s="1314"/>
      <c r="G1390" s="1314"/>
      <c r="H1390" s="1314"/>
      <c r="I1390" s="1274" t="str">
        <f t="shared" si="226"/>
        <v>Rate % of Sales</v>
      </c>
      <c r="J1390" s="1314" t="str">
        <f t="shared" si="228"/>
        <v>F</v>
      </c>
      <c r="K1390" s="1314" t="str">
        <f t="shared" si="225"/>
        <v>Incentives</v>
      </c>
      <c r="L1390" s="1314"/>
      <c r="M1390" s="1314"/>
      <c r="N1390" s="1314"/>
      <c r="O1390" s="1311"/>
      <c r="P1390" s="1311"/>
      <c r="Q1390" s="1311"/>
      <c r="R1390" s="1314" t="s">
        <v>1531</v>
      </c>
      <c r="S1390" s="1311"/>
      <c r="T1390" s="1311"/>
      <c r="U1390" s="1311"/>
      <c r="V1390" s="1311"/>
      <c r="W1390" s="1311"/>
      <c r="X1390" s="1311"/>
      <c r="Y1390" s="1311"/>
      <c r="Z1390" s="1311"/>
    </row>
    <row r="1391" spans="1:26" x14ac:dyDescent="0.25">
      <c r="A1391" s="1075" t="s">
        <v>1389</v>
      </c>
      <c r="B1391" s="1274" t="str">
        <f>IFERROR(_xlfn.CONCAT("K",('Configurable Tab'!$C$8+6)),"")</f>
        <v>K88</v>
      </c>
      <c r="C1391" s="1274" t="str">
        <f>IFERROR(_xlfn.CONCAT("K",('Configurable Tab'!$C$8+9)),"")</f>
        <v>K91</v>
      </c>
      <c r="D1391" s="1314" t="s">
        <v>1350</v>
      </c>
      <c r="E1391" s="791" t="s">
        <v>1742</v>
      </c>
      <c r="F1391" s="1314"/>
      <c r="G1391" s="1314"/>
      <c r="H1391" s="1314"/>
      <c r="I1391" s="1274" t="str">
        <f t="shared" si="226"/>
        <v>Rate % of Sales</v>
      </c>
      <c r="J1391" s="1314" t="str">
        <f t="shared" si="228"/>
        <v>F</v>
      </c>
      <c r="K1391" s="1314" t="str">
        <f t="shared" si="225"/>
        <v>Incentives</v>
      </c>
      <c r="L1391" s="1314"/>
      <c r="M1391" s="1314"/>
      <c r="N1391" s="1314"/>
      <c r="O1391" s="1311"/>
      <c r="P1391" s="1311"/>
      <c r="Q1391" s="1311"/>
      <c r="R1391" s="1314" t="s">
        <v>1531</v>
      </c>
      <c r="S1391" s="1311"/>
      <c r="T1391" s="1311"/>
      <c r="U1391" s="1311"/>
      <c r="V1391" s="1311"/>
      <c r="W1391" s="1311"/>
      <c r="X1391" s="1311"/>
      <c r="Y1391" s="1311"/>
      <c r="Z1391" s="1311"/>
    </row>
    <row r="1392" spans="1:26" x14ac:dyDescent="0.25">
      <c r="A1392" s="1075" t="s">
        <v>1389</v>
      </c>
      <c r="B1392" s="1274" t="str">
        <f>IFERROR(_xlfn.CONCAT("K",('Configurable Tab'!$C$8+6)),"")</f>
        <v>K88</v>
      </c>
      <c r="C1392" s="1274" t="str">
        <f>IFERROR(_xlfn.CONCAT("K",('Configurable Tab'!$C$8+10)),"")</f>
        <v>K92</v>
      </c>
      <c r="D1392" s="1314" t="s">
        <v>1350</v>
      </c>
      <c r="E1392" s="791" t="s">
        <v>1742</v>
      </c>
      <c r="F1392" s="1314"/>
      <c r="G1392" s="1314"/>
      <c r="H1392" s="1314"/>
      <c r="I1392" s="1274" t="str">
        <f t="shared" si="226"/>
        <v>Rate % of Sales</v>
      </c>
      <c r="J1392" s="1314" t="str">
        <f t="shared" si="228"/>
        <v>F</v>
      </c>
      <c r="K1392" s="1314" t="str">
        <f t="shared" si="225"/>
        <v>Incentives</v>
      </c>
      <c r="L1392" s="1314"/>
      <c r="M1392" s="1314"/>
      <c r="N1392" s="1314"/>
      <c r="O1392" s="1311"/>
      <c r="P1392" s="1311"/>
      <c r="Q1392" s="1311"/>
      <c r="R1392" s="1314" t="s">
        <v>1531</v>
      </c>
      <c r="S1392" s="1311"/>
      <c r="T1392" s="1311"/>
      <c r="U1392" s="1311"/>
      <c r="V1392" s="1311"/>
      <c r="W1392" s="1311"/>
      <c r="X1392" s="1311"/>
      <c r="Y1392" s="1311"/>
      <c r="Z1392" s="1311"/>
    </row>
    <row r="1393" spans="1:26" x14ac:dyDescent="0.25">
      <c r="A1393" s="1075" t="s">
        <v>1389</v>
      </c>
      <c r="B1393" s="1274" t="str">
        <f>IFERROR(_xlfn.CONCAT("K",('Configurable Tab'!$C$8+6)),"")</f>
        <v>K88</v>
      </c>
      <c r="C1393" s="1274" t="str">
        <f>IFERROR(_xlfn.CONCAT("K",('Configurable Tab'!$C$8+11)),"")</f>
        <v>K93</v>
      </c>
      <c r="D1393" s="1314" t="s">
        <v>1350</v>
      </c>
      <c r="E1393" s="791" t="s">
        <v>1742</v>
      </c>
      <c r="F1393" s="1314"/>
      <c r="G1393" s="1314"/>
      <c r="H1393" s="1314"/>
      <c r="I1393" s="1274" t="str">
        <f t="shared" si="226"/>
        <v>Rate % of Sales</v>
      </c>
      <c r="J1393" s="1314" t="str">
        <f t="shared" si="228"/>
        <v>F</v>
      </c>
      <c r="K1393" s="1314" t="str">
        <f t="shared" si="225"/>
        <v>Incentives</v>
      </c>
      <c r="L1393" s="1314"/>
      <c r="M1393" s="1314"/>
      <c r="N1393" s="1314"/>
      <c r="O1393" s="1311"/>
      <c r="P1393" s="1311"/>
      <c r="Q1393" s="1311"/>
      <c r="R1393" s="1314" t="s">
        <v>1531</v>
      </c>
      <c r="S1393" s="1311"/>
      <c r="T1393" s="1311"/>
      <c r="U1393" s="1311"/>
      <c r="V1393" s="1311"/>
      <c r="W1393" s="1311"/>
      <c r="X1393" s="1311"/>
      <c r="Y1393" s="1311"/>
      <c r="Z1393" s="1311"/>
    </row>
    <row r="1394" spans="1:26" x14ac:dyDescent="0.25">
      <c r="A1394" s="1076" t="s">
        <v>523</v>
      </c>
      <c r="B1394" s="1274" t="str">
        <f>IFERROR(_xlfn.CONCAT("D",('Configurable Tab'!$C$9+1)),"")</f>
        <v>D97</v>
      </c>
      <c r="C1394" s="1274" t="str">
        <f>IFERROR(_xlfn.CONCAT("E",('Configurable Tab'!$C$9+1)),"")</f>
        <v>E97</v>
      </c>
      <c r="D1394" s="1314" t="s">
        <v>1350</v>
      </c>
      <c r="E1394" s="791" t="s">
        <v>1742</v>
      </c>
      <c r="F1394" s="1314"/>
      <c r="G1394" s="1314"/>
      <c r="H1394" s="1314"/>
      <c r="I1394" s="1274" t="str">
        <f t="shared" si="226"/>
        <v>Offer this Incentive?</v>
      </c>
      <c r="J1394" s="1314" t="str">
        <f>$Q$1&amp;IF(T$1376=2,V1376,IF(T$1376=1,IF(AND(T$1394=1,T$1394&lt;&gt;0),U1394,IF(AND(X$1394=1,X$1394&lt;&gt;0),Y1394,"")),IF(T$1394=2,V1394,IF(T$1394=1,IF(AND(X$1394=1,X$1394&lt;&gt;0),Y1394,""),IF(X$1394=2,Z1394,"")))))</f>
        <v>F</v>
      </c>
      <c r="K1394" s="1314" t="str">
        <f t="shared" si="225"/>
        <v>Incentives</v>
      </c>
      <c r="L1394" s="1314"/>
      <c r="M1394" s="1314"/>
      <c r="N1394" s="1314"/>
      <c r="O1394" s="1311" t="s">
        <v>1690</v>
      </c>
      <c r="P1394" s="1405" t="str">
        <f>'Configurable Tab'!E9</f>
        <v>Yes</v>
      </c>
      <c r="Q1394" s="1274" t="str">
        <f>IFERROR(_xlfn.CONCAT("C",('Configurable Tab'!$C9+1)),"")</f>
        <v>C97</v>
      </c>
      <c r="R1394" s="1314" t="s">
        <v>1531</v>
      </c>
      <c r="S1394" s="1316" t="s">
        <v>1753</v>
      </c>
      <c r="T1394" s="1314">
        <f>IF(Q$796="Yes",IF(Q$814="Yes",2,1),0)</f>
        <v>0</v>
      </c>
      <c r="U1394" s="1314" t="str">
        <f>IF(Q$796="Yes",M796,"")</f>
        <v/>
      </c>
      <c r="V1394" s="1314" t="str">
        <f>IF(Q$814="Yes",M814,"")</f>
        <v/>
      </c>
      <c r="W1394" s="1316" t="s">
        <v>1754</v>
      </c>
      <c r="X1394" s="1314">
        <f>IF(Q$832="Yes",IF(Q$862="Yes",2,1),0)</f>
        <v>0</v>
      </c>
      <c r="Y1394" s="1314" t="str">
        <f>IF(Q$832="Yes",M832,"")</f>
        <v/>
      </c>
      <c r="Z1394" s="1314" t="str">
        <f>IF(U$862="Yes",M862,"")</f>
        <v/>
      </c>
    </row>
    <row r="1395" spans="1:26" x14ac:dyDescent="0.25">
      <c r="A1395" s="1077" t="s">
        <v>1383</v>
      </c>
      <c r="B1395" s="1274" t="str">
        <f>IFERROR(_xlfn.CONCAT("D",('Configurable Tab'!$C$9+2)),"")</f>
        <v>D98</v>
      </c>
      <c r="C1395" s="1274" t="str">
        <f>IFERROR(_xlfn.CONCAT("E",('Configurable Tab'!$C$9+2)),"")</f>
        <v>E98</v>
      </c>
      <c r="D1395" s="1314" t="s">
        <v>1350</v>
      </c>
      <c r="E1395" s="791" t="s">
        <v>1742</v>
      </c>
      <c r="F1395" s="1314"/>
      <c r="G1395" s="1314"/>
      <c r="H1395" s="1314"/>
      <c r="I1395" s="1274" t="str">
        <f t="shared" si="226"/>
        <v>Incentive Type</v>
      </c>
      <c r="J1395" s="1314" t="str">
        <f t="shared" ref="J1395:J1411" si="229">$Q$1&amp;IF(T$1376=2,V1377,IF(T$1376=1,IF(AND(T$1394=1,T$1394&lt;&gt;0),U1395,IF(AND(X$1394=1,X$1394&lt;&gt;0),Y1395,"")),IF(T$1394=2,U1395,IF(T$1394=1,IF(AND(X$1394=1,X$1394&lt;&gt;0),Y1395,""),IF(X$1394=2,Z1395,"")))))</f>
        <v>F</v>
      </c>
      <c r="K1395" s="1314" t="str">
        <f t="shared" si="225"/>
        <v>Incentives</v>
      </c>
      <c r="L1395" s="1314"/>
      <c r="M1395" s="1314"/>
      <c r="N1395" s="1314"/>
      <c r="O1395" s="1311"/>
      <c r="P1395" s="1311"/>
      <c r="Q1395" s="1311"/>
      <c r="R1395" s="1314" t="s">
        <v>1531</v>
      </c>
      <c r="S1395" s="1316" t="s">
        <v>1753</v>
      </c>
      <c r="T1395" s="1311"/>
      <c r="U1395" s="1314" t="str">
        <f>IF(Q$796="Yes",M797,"")</f>
        <v/>
      </c>
      <c r="V1395" s="1314" t="str">
        <f>IF(Q$814="Yes",M815,"")</f>
        <v/>
      </c>
      <c r="W1395" s="1316" t="s">
        <v>1754</v>
      </c>
      <c r="X1395" s="1311"/>
      <c r="Y1395" s="1314" t="str">
        <f>IF(Q$832="Yes",M833,"")</f>
        <v/>
      </c>
      <c r="Z1395" s="1314" t="str">
        <f>IF(U$862="Yes",M863,"")</f>
        <v/>
      </c>
    </row>
    <row r="1396" spans="1:26" x14ac:dyDescent="0.25">
      <c r="A1396" s="1077" t="s">
        <v>1385</v>
      </c>
      <c r="B1396" s="1274" t="str">
        <f>IFERROR(_xlfn.CONCAT("D",('Configurable Tab'!$C$9+4)),"")</f>
        <v>D100</v>
      </c>
      <c r="C1396" s="1274" t="str">
        <f>IFERROR(_xlfn.CONCAT("E",('Configurable Tab'!$C$9+4)),"")</f>
        <v>E100</v>
      </c>
      <c r="D1396" s="1314" t="s">
        <v>1350</v>
      </c>
      <c r="E1396" s="791" t="s">
        <v>1742</v>
      </c>
      <c r="F1396" s="1314"/>
      <c r="G1396" s="1314"/>
      <c r="H1396" s="1314"/>
      <c r="I1396" s="1274" t="str">
        <f t="shared" si="226"/>
        <v>Incentive Effective Date</v>
      </c>
      <c r="J1396" s="1314" t="str">
        <f t="shared" si="229"/>
        <v>F</v>
      </c>
      <c r="K1396" s="1314" t="str">
        <f t="shared" si="225"/>
        <v>Incentives</v>
      </c>
      <c r="L1396" s="1314"/>
      <c r="M1396" s="1314"/>
      <c r="N1396" s="1314"/>
      <c r="O1396" s="1311"/>
      <c r="P1396" s="1311"/>
      <c r="Q1396" s="1311"/>
      <c r="R1396" s="1314" t="s">
        <v>1531</v>
      </c>
      <c r="S1396" s="1316" t="s">
        <v>1753</v>
      </c>
      <c r="T1396" s="1311"/>
      <c r="U1396" s="1314" t="str">
        <f>IF(Q$796="Yes",M805,"")</f>
        <v/>
      </c>
      <c r="V1396" s="1314" t="str">
        <f>IF(Q$814="Yes",M823,"")</f>
        <v/>
      </c>
      <c r="W1396" s="1316" t="s">
        <v>1754</v>
      </c>
      <c r="X1396" s="1311"/>
      <c r="Y1396" s="1314" t="str">
        <f>IF(Q$832="Yes",M841,"")</f>
        <v/>
      </c>
      <c r="Z1396" s="1314" t="str">
        <f>IF(U$862="Yes",M871,"")</f>
        <v/>
      </c>
    </row>
    <row r="1397" spans="1:26" x14ac:dyDescent="0.25">
      <c r="A1397" s="1077" t="s">
        <v>1386</v>
      </c>
      <c r="B1397" s="1274" t="str">
        <f>IFERROR(_xlfn.CONCAT("D",('Configurable Tab'!$C$9+5)),"")</f>
        <v>D101</v>
      </c>
      <c r="C1397" s="1274" t="str">
        <f>IFERROR(_xlfn.CONCAT("E",('Configurable Tab'!$C$9+5)),"")</f>
        <v>E101</v>
      </c>
      <c r="D1397" s="1314" t="s">
        <v>1350</v>
      </c>
      <c r="E1397" s="791" t="s">
        <v>1742</v>
      </c>
      <c r="F1397" s="1314"/>
      <c r="G1397" s="1314"/>
      <c r="H1397" s="1314"/>
      <c r="I1397" s="1274" t="str">
        <f t="shared" si="226"/>
        <v>Incentive Expiration Date</v>
      </c>
      <c r="J1397" s="1314" t="str">
        <f t="shared" si="229"/>
        <v>F</v>
      </c>
      <c r="K1397" s="1314" t="str">
        <f t="shared" si="225"/>
        <v>Incentives</v>
      </c>
      <c r="L1397" s="1314"/>
      <c r="M1397" s="1314"/>
      <c r="N1397" s="1314"/>
      <c r="O1397" s="1311"/>
      <c r="P1397" s="1311"/>
      <c r="Q1397" s="1311"/>
      <c r="R1397" s="1314" t="s">
        <v>1531</v>
      </c>
      <c r="S1397" s="1316" t="s">
        <v>1753</v>
      </c>
      <c r="T1397" s="1311"/>
      <c r="U1397" s="1314" t="str">
        <f>IF(Q$796="Yes",M806,"")</f>
        <v/>
      </c>
      <c r="V1397" s="1314" t="str">
        <f>IF(Q$814="Yes",M824,"")</f>
        <v/>
      </c>
      <c r="W1397" s="1316" t="s">
        <v>1754</v>
      </c>
      <c r="X1397" s="1311"/>
      <c r="Y1397" s="1314" t="str">
        <f>IF(Q$832="Yes",M842,"")</f>
        <v/>
      </c>
      <c r="Z1397" s="1314" t="str">
        <f>IF(U$862="Yes",M872,"")</f>
        <v/>
      </c>
    </row>
    <row r="1398" spans="1:26" x14ac:dyDescent="0.25">
      <c r="A1398" s="1077" t="s">
        <v>1380</v>
      </c>
      <c r="B1398" s="1274" t="str">
        <f>IFERROR(_xlfn.CONCAT("G",('Configurable Tab'!$C$9+1)),"")</f>
        <v>G97</v>
      </c>
      <c r="C1398" s="1274" t="str">
        <f>IFERROR(_xlfn.CONCAT("G",('Configurable Tab'!$C$9+2)),"")</f>
        <v>G98</v>
      </c>
      <c r="D1398" s="1314" t="s">
        <v>1350</v>
      </c>
      <c r="E1398" s="791" t="s">
        <v>1742</v>
      </c>
      <c r="F1398" s="1314"/>
      <c r="G1398" s="1314"/>
      <c r="H1398" s="1314"/>
      <c r="I1398" s="1274" t="str">
        <f t="shared" si="226"/>
        <v>Incentive Period</v>
      </c>
      <c r="J1398" s="1314" t="str">
        <f t="shared" si="229"/>
        <v>F</v>
      </c>
      <c r="K1398" s="1314" t="str">
        <f t="shared" si="225"/>
        <v>Incentives</v>
      </c>
      <c r="L1398" s="1314"/>
      <c r="M1398" s="1314"/>
      <c r="N1398" s="1314"/>
      <c r="O1398" s="1311"/>
      <c r="P1398" s="1311"/>
      <c r="Q1398" s="1311"/>
      <c r="R1398" s="1314" t="s">
        <v>1531</v>
      </c>
      <c r="S1398" s="1316" t="s">
        <v>1753</v>
      </c>
      <c r="T1398" s="1311"/>
      <c r="U1398" s="1314" t="str">
        <f>IF(Q$796="Yes",M798,"")</f>
        <v/>
      </c>
      <c r="V1398" s="1314" t="str">
        <f>IF(Q$814="Yes",M816,"")</f>
        <v/>
      </c>
      <c r="W1398" s="1316" t="s">
        <v>1754</v>
      </c>
      <c r="X1398" s="1311"/>
      <c r="Y1398" s="1314" t="str">
        <f>IF(Q$832="Yes",M834,"")</f>
        <v/>
      </c>
      <c r="Z1398" s="1314" t="str">
        <f>IF(U$862="Yes",M864,"")</f>
        <v/>
      </c>
    </row>
    <row r="1399" spans="1:26" x14ac:dyDescent="0.25">
      <c r="A1399" s="1077" t="s">
        <v>1381</v>
      </c>
      <c r="B1399" s="1274" t="str">
        <f>IFERROR(_xlfn.CONCAT("I",('Configurable Tab'!$C$9+1)),"")</f>
        <v>I97</v>
      </c>
      <c r="C1399" s="1274" t="str">
        <f>IFERROR(_xlfn.CONCAT("I",('Configurable Tab'!$C$9+2)),"")</f>
        <v>I98</v>
      </c>
      <c r="D1399" s="1314" t="s">
        <v>1350</v>
      </c>
      <c r="E1399" s="791" t="s">
        <v>1742</v>
      </c>
      <c r="F1399" s="1314"/>
      <c r="G1399" s="1314"/>
      <c r="H1399" s="1314"/>
      <c r="I1399" s="1274" t="str">
        <f t="shared" si="226"/>
        <v>Payment Method</v>
      </c>
      <c r="J1399" s="1314" t="str">
        <f t="shared" si="229"/>
        <v>F</v>
      </c>
      <c r="K1399" s="1314" t="str">
        <f t="shared" si="225"/>
        <v>Incentives</v>
      </c>
      <c r="L1399" s="1314"/>
      <c r="M1399" s="1314"/>
      <c r="N1399" s="1314"/>
      <c r="O1399" s="1311"/>
      <c r="P1399" s="1311"/>
      <c r="Q1399" s="1311"/>
      <c r="R1399" s="1314" t="s">
        <v>1531</v>
      </c>
      <c r="S1399" s="1316" t="s">
        <v>1753</v>
      </c>
      <c r="T1399" s="1311"/>
      <c r="U1399" s="1314" t="str">
        <f>IF(Q$796="Yes",M799,"")</f>
        <v/>
      </c>
      <c r="V1399" s="1314" t="str">
        <f>IF(Q$814="Yes",M817,"")</f>
        <v/>
      </c>
      <c r="W1399" s="1316" t="s">
        <v>1754</v>
      </c>
      <c r="X1399" s="1311"/>
      <c r="Y1399" s="1314" t="str">
        <f>IF(Q$832="Yes",M835,"")</f>
        <v/>
      </c>
      <c r="Z1399" s="1314" t="str">
        <f>IF(U$862="Yes",M865,"")</f>
        <v/>
      </c>
    </row>
    <row r="1400" spans="1:26" x14ac:dyDescent="0.25">
      <c r="A1400" s="1077" t="s">
        <v>833</v>
      </c>
      <c r="B1400" s="1274" t="str">
        <f>IFERROR(_xlfn.CONCAT("K",('Configurable Tab'!$C$9+1)),"")</f>
        <v>K97</v>
      </c>
      <c r="C1400" s="1274" t="str">
        <f>IFERROR(_xlfn.CONCAT("K",('Configurable Tab'!$C$9+2)),"")</f>
        <v>K98</v>
      </c>
      <c r="D1400" s="1314" t="s">
        <v>1350</v>
      </c>
      <c r="E1400" s="791" t="s">
        <v>1742</v>
      </c>
      <c r="F1400" s="1314"/>
      <c r="G1400" s="1314"/>
      <c r="H1400" s="1314"/>
      <c r="I1400" s="1274" t="str">
        <f t="shared" si="226"/>
        <v>Paid to:</v>
      </c>
      <c r="J1400" s="1314" t="str">
        <f t="shared" si="229"/>
        <v>F</v>
      </c>
      <c r="K1400" s="1314" t="str">
        <f t="shared" si="225"/>
        <v>Incentives</v>
      </c>
      <c r="L1400" s="1314"/>
      <c r="M1400" s="1314"/>
      <c r="N1400" s="1314"/>
      <c r="O1400" s="1311"/>
      <c r="P1400" s="1311"/>
      <c r="Q1400" s="1311"/>
      <c r="R1400" s="1314" t="s">
        <v>1531</v>
      </c>
      <c r="S1400" s="1316" t="s">
        <v>1753</v>
      </c>
      <c r="T1400" s="1311"/>
      <c r="U1400" s="1314" t="str">
        <f>IF(Q$796="Yes",M800,"")</f>
        <v/>
      </c>
      <c r="V1400" s="1314" t="str">
        <f>IF(Q$814="Yes",M818,"")</f>
        <v/>
      </c>
      <c r="W1400" s="1316" t="s">
        <v>1754</v>
      </c>
      <c r="X1400" s="1311"/>
      <c r="Y1400" s="1314" t="str">
        <f>IF(Q$832="Yes",M836,"")</f>
        <v/>
      </c>
      <c r="Z1400" s="1314" t="str">
        <f>IF(U$862="Yes",M866,"")</f>
        <v/>
      </c>
    </row>
    <row r="1401" spans="1:26" x14ac:dyDescent="0.25">
      <c r="A1401" s="1077" t="s">
        <v>1382</v>
      </c>
      <c r="B1401" s="1274" t="str">
        <f>IFERROR(_xlfn.CONCAT("M",('Configurable Tab'!$C$9+1)),"")</f>
        <v>M97</v>
      </c>
      <c r="C1401" s="1274" t="str">
        <f>IFERROR(_xlfn.CONCAT("M",('Configurable Tab'!$C$9+2)),"")</f>
        <v>M98</v>
      </c>
      <c r="D1401" s="1314" t="s">
        <v>1350</v>
      </c>
      <c r="E1401" s="791" t="s">
        <v>1742</v>
      </c>
      <c r="F1401" s="1314"/>
      <c r="G1401" s="1314"/>
      <c r="H1401" s="1314"/>
      <c r="I1401" s="1274" t="str">
        <f t="shared" si="226"/>
        <v>AP/AR Vendor Number</v>
      </c>
      <c r="J1401" s="1314" t="str">
        <f t="shared" si="229"/>
        <v>F</v>
      </c>
      <c r="K1401" s="1314" t="str">
        <f t="shared" si="225"/>
        <v>Incentives</v>
      </c>
      <c r="L1401" s="1314"/>
      <c r="M1401" s="1314"/>
      <c r="N1401" s="1314"/>
      <c r="O1401" s="1311"/>
      <c r="P1401" s="1311"/>
      <c r="Q1401" s="1311"/>
      <c r="R1401" s="1314" t="s">
        <v>1531</v>
      </c>
      <c r="S1401" s="1316" t="s">
        <v>1753</v>
      </c>
      <c r="T1401" s="1311"/>
      <c r="U1401" s="1314" t="str">
        <f>IF(Q$796="Yes",M801,"")</f>
        <v/>
      </c>
      <c r="V1401" s="1314" t="str">
        <f>IF(Q$814="Yes",M819,"")</f>
        <v/>
      </c>
      <c r="W1401" s="1316" t="s">
        <v>1754</v>
      </c>
      <c r="X1401" s="1311"/>
      <c r="Y1401" s="1314" t="str">
        <f>IF(Q$832="Yes",M837,"")</f>
        <v/>
      </c>
      <c r="Z1401" s="1314" t="str">
        <f>IF(U$862="Yes",M867,"")</f>
        <v/>
      </c>
    </row>
    <row r="1402" spans="1:26" x14ac:dyDescent="0.25">
      <c r="A1402" s="1077" t="s">
        <v>1387</v>
      </c>
      <c r="B1402" s="1274" t="str">
        <f>IFERROR(_xlfn.CONCAT("G",('Configurable Tab'!$C$9+6)),"")</f>
        <v>G102</v>
      </c>
      <c r="C1402" s="1274" t="str">
        <f>IFERROR(_xlfn.CONCAT("G",('Configurable Tab'!$C$9+7)),"")</f>
        <v>G103</v>
      </c>
      <c r="D1402" s="1314" t="s">
        <v>1350</v>
      </c>
      <c r="E1402" s="791" t="s">
        <v>1742</v>
      </c>
      <c r="F1402" s="1314"/>
      <c r="G1402" s="1314"/>
      <c r="H1402" s="1314"/>
      <c r="I1402" s="1274" t="str">
        <f t="shared" si="226"/>
        <v>Minimum Units</v>
      </c>
      <c r="J1402" s="1314" t="str">
        <f t="shared" si="229"/>
        <v>F</v>
      </c>
      <c r="K1402" s="1314" t="str">
        <f t="shared" si="225"/>
        <v>Incentives</v>
      </c>
      <c r="L1402" s="1314"/>
      <c r="M1402" s="1314"/>
      <c r="N1402" s="1314"/>
      <c r="O1402" s="1311"/>
      <c r="P1402" s="1311"/>
      <c r="Q1402" s="1311"/>
      <c r="R1402" s="1314" t="s">
        <v>1531</v>
      </c>
      <c r="S1402" s="1316" t="s">
        <v>1753</v>
      </c>
      <c r="T1402" s="1311"/>
      <c r="U1402" s="1314" t="str">
        <f>IF(Q$796="Yes",M810,"")</f>
        <v/>
      </c>
      <c r="V1402" s="1314" t="str">
        <f>IF(Q$814="Yes",M828,"")</f>
        <v/>
      </c>
      <c r="W1402" s="1316" t="s">
        <v>1754</v>
      </c>
      <c r="X1402" s="1311"/>
      <c r="Y1402" s="1314" t="str">
        <f>IF(Q$832="Yes",M846,"")</f>
        <v/>
      </c>
      <c r="Z1402" s="1314" t="str">
        <f>IF(U$862="Yes",M876,"")</f>
        <v/>
      </c>
    </row>
    <row r="1403" spans="1:26" x14ac:dyDescent="0.25">
      <c r="A1403" s="1077" t="s">
        <v>1387</v>
      </c>
      <c r="B1403" s="1274" t="str">
        <f>IFERROR(_xlfn.CONCAT("G",('Configurable Tab'!$C$9+6)),"")</f>
        <v>G102</v>
      </c>
      <c r="C1403" s="1274" t="str">
        <f>IFERROR(_xlfn.CONCAT("G",('Configurable Tab'!$C$9+8)),"")</f>
        <v>G104</v>
      </c>
      <c r="D1403" s="1314" t="s">
        <v>1350</v>
      </c>
      <c r="E1403" s="791" t="s">
        <v>1742</v>
      </c>
      <c r="F1403" s="1314"/>
      <c r="G1403" s="1314"/>
      <c r="H1403" s="1314"/>
      <c r="I1403" s="1274" t="str">
        <f t="shared" si="226"/>
        <v>Minimum Units</v>
      </c>
      <c r="J1403" s="1314" t="str">
        <f t="shared" si="229"/>
        <v>F</v>
      </c>
      <c r="K1403" s="1314" t="str">
        <f t="shared" si="225"/>
        <v>Incentives</v>
      </c>
      <c r="L1403" s="1314"/>
      <c r="M1403" s="1314"/>
      <c r="N1403" s="1314"/>
      <c r="O1403" s="1311"/>
      <c r="P1403" s="1311"/>
      <c r="Q1403" s="1311"/>
      <c r="R1403" s="1314" t="s">
        <v>1531</v>
      </c>
      <c r="S1403" s="1311"/>
      <c r="T1403" s="1311"/>
      <c r="U1403" s="1311"/>
      <c r="V1403" s="1311"/>
      <c r="W1403" s="1314" t="s">
        <v>1754</v>
      </c>
      <c r="X1403" s="1311"/>
      <c r="Y1403" s="1314" t="str">
        <f>IF(Q$832="Yes",M849,"")</f>
        <v/>
      </c>
      <c r="Z1403" s="1314" t="str">
        <f>IF(U$862="Yes",M879,"")</f>
        <v/>
      </c>
    </row>
    <row r="1404" spans="1:26" x14ac:dyDescent="0.25">
      <c r="A1404" s="1077" t="s">
        <v>1387</v>
      </c>
      <c r="B1404" s="1274" t="str">
        <f>IFERROR(_xlfn.CONCAT("G",('Configurable Tab'!$C$9+6)),"")</f>
        <v>G102</v>
      </c>
      <c r="C1404" s="1274" t="str">
        <f>IFERROR(_xlfn.CONCAT("G",('Configurable Tab'!$C$9+9)),"")</f>
        <v>G105</v>
      </c>
      <c r="D1404" s="1314" t="s">
        <v>1350</v>
      </c>
      <c r="E1404" s="791" t="s">
        <v>1742</v>
      </c>
      <c r="F1404" s="1314"/>
      <c r="G1404" s="1314"/>
      <c r="H1404" s="1314"/>
      <c r="I1404" s="1274" t="str">
        <f t="shared" si="226"/>
        <v>Minimum Units</v>
      </c>
      <c r="J1404" s="1314" t="str">
        <f t="shared" si="229"/>
        <v>F</v>
      </c>
      <c r="K1404" s="1314" t="str">
        <f t="shared" si="225"/>
        <v>Incentives</v>
      </c>
      <c r="L1404" s="1314"/>
      <c r="M1404" s="1314"/>
      <c r="N1404" s="1314"/>
      <c r="O1404" s="1311"/>
      <c r="P1404" s="1311"/>
      <c r="Q1404" s="1311"/>
      <c r="R1404" s="1314" t="s">
        <v>1531</v>
      </c>
      <c r="S1404" s="1311"/>
      <c r="T1404" s="1311"/>
      <c r="U1404" s="1311"/>
      <c r="V1404" s="1311"/>
      <c r="W1404" s="1314" t="s">
        <v>1754</v>
      </c>
      <c r="X1404" s="1311"/>
      <c r="Y1404" s="1314" t="str">
        <f>IF(Q$832="Yes",M852,"")</f>
        <v/>
      </c>
      <c r="Z1404" s="1314" t="str">
        <f>IF(U$862="Yes",M882,"")</f>
        <v/>
      </c>
    </row>
    <row r="1405" spans="1:26" x14ac:dyDescent="0.25">
      <c r="A1405" s="1077" t="s">
        <v>1387</v>
      </c>
      <c r="B1405" s="1274" t="str">
        <f>IFERROR(_xlfn.CONCAT("G",('Configurable Tab'!$C$9+6)),"")</f>
        <v>G102</v>
      </c>
      <c r="C1405" s="1274" t="str">
        <f>IFERROR(_xlfn.CONCAT("G",('Configurable Tab'!$C$9+10)),"")</f>
        <v>G106</v>
      </c>
      <c r="D1405" s="1314" t="s">
        <v>1350</v>
      </c>
      <c r="E1405" s="791" t="s">
        <v>1742</v>
      </c>
      <c r="F1405" s="1314"/>
      <c r="G1405" s="1314"/>
      <c r="H1405" s="1314"/>
      <c r="I1405" s="1274" t="str">
        <f t="shared" si="226"/>
        <v>Minimum Units</v>
      </c>
      <c r="J1405" s="1314" t="str">
        <f t="shared" si="229"/>
        <v>F</v>
      </c>
      <c r="K1405" s="1314" t="str">
        <f t="shared" si="225"/>
        <v>Incentives</v>
      </c>
      <c r="L1405" s="1314"/>
      <c r="M1405" s="1314"/>
      <c r="N1405" s="1314"/>
      <c r="O1405" s="1311"/>
      <c r="P1405" s="1311"/>
      <c r="Q1405" s="1311"/>
      <c r="R1405" s="1314" t="s">
        <v>1531</v>
      </c>
      <c r="S1405" s="1311"/>
      <c r="T1405" s="1311"/>
      <c r="U1405" s="1311"/>
      <c r="V1405" s="1311"/>
      <c r="W1405" s="1314" t="s">
        <v>1754</v>
      </c>
      <c r="X1405" s="1311"/>
      <c r="Y1405" s="1314" t="str">
        <f>IF(Q$832="Yes",M855,"")</f>
        <v/>
      </c>
      <c r="Z1405" s="1314" t="str">
        <f>IF(U$862="Yes",M885,"")</f>
        <v/>
      </c>
    </row>
    <row r="1406" spans="1:26" x14ac:dyDescent="0.25">
      <c r="A1406" s="1077" t="s">
        <v>1387</v>
      </c>
      <c r="B1406" s="1274" t="str">
        <f>IFERROR(_xlfn.CONCAT("G",('Configurable Tab'!$C$9+6)),"")</f>
        <v>G102</v>
      </c>
      <c r="C1406" s="1274" t="str">
        <f>IFERROR(_xlfn.CONCAT("G",('Configurable Tab'!$C$9+11)),"")</f>
        <v>G107</v>
      </c>
      <c r="D1406" s="1314" t="s">
        <v>1350</v>
      </c>
      <c r="E1406" s="791" t="s">
        <v>1742</v>
      </c>
      <c r="F1406" s="1314"/>
      <c r="G1406" s="1314"/>
      <c r="H1406" s="1314"/>
      <c r="I1406" s="1274" t="str">
        <f t="shared" si="226"/>
        <v>Minimum Units</v>
      </c>
      <c r="J1406" s="1314" t="str">
        <f t="shared" si="229"/>
        <v>F</v>
      </c>
      <c r="K1406" s="1314" t="str">
        <f t="shared" si="225"/>
        <v>Incentives</v>
      </c>
      <c r="L1406" s="1314"/>
      <c r="M1406" s="1314"/>
      <c r="N1406" s="1314"/>
      <c r="O1406" s="1311"/>
      <c r="P1406" s="1311"/>
      <c r="Q1406" s="1311"/>
      <c r="R1406" s="1314" t="s">
        <v>1531</v>
      </c>
      <c r="S1406" s="1311"/>
      <c r="T1406" s="1311"/>
      <c r="U1406" s="1311"/>
      <c r="V1406" s="1311"/>
      <c r="W1406" s="1314" t="s">
        <v>1754</v>
      </c>
      <c r="X1406" s="1311"/>
      <c r="Y1406" s="1314" t="str">
        <f>IF(Q$832="Yes",M858,"")</f>
        <v/>
      </c>
      <c r="Z1406" s="1314" t="str">
        <f>IF(U$862="Yes",M888,"")</f>
        <v/>
      </c>
    </row>
    <row r="1407" spans="1:26" x14ac:dyDescent="0.25">
      <c r="A1407" s="1077" t="s">
        <v>1389</v>
      </c>
      <c r="B1407" s="1274" t="str">
        <f>IFERROR(_xlfn.CONCAT("K",('Configurable Tab'!$C$9+6)),"")</f>
        <v>K102</v>
      </c>
      <c r="C1407" s="1274" t="str">
        <f>IFERROR(_xlfn.CONCAT("K",('Configurable Tab'!$C$9+7)),"")</f>
        <v>K103</v>
      </c>
      <c r="D1407" s="1314" t="s">
        <v>1350</v>
      </c>
      <c r="E1407" s="791" t="s">
        <v>1742</v>
      </c>
      <c r="F1407" s="1314"/>
      <c r="G1407" s="1314"/>
      <c r="H1407" s="1314"/>
      <c r="I1407" s="1274" t="str">
        <f t="shared" si="226"/>
        <v>Rate % of Sales</v>
      </c>
      <c r="J1407" s="1314" t="str">
        <f t="shared" si="229"/>
        <v>F</v>
      </c>
      <c r="K1407" s="1314" t="str">
        <f t="shared" si="225"/>
        <v>Incentives</v>
      </c>
      <c r="L1407" s="1314"/>
      <c r="M1407" s="1314"/>
      <c r="N1407" s="1314"/>
      <c r="O1407" s="1311"/>
      <c r="P1407" s="1311"/>
      <c r="Q1407" s="1311"/>
      <c r="R1407" s="1314" t="s">
        <v>1531</v>
      </c>
      <c r="S1407" s="1316" t="s">
        <v>1753</v>
      </c>
      <c r="T1407" s="1311"/>
      <c r="U1407" s="1314" t="str">
        <f>IF(Q$796="Yes",M812,"")</f>
        <v/>
      </c>
      <c r="V1407" s="1314" t="str">
        <f>IF(Q$814="Yes",M830,"")</f>
        <v/>
      </c>
      <c r="W1407" s="1314" t="s">
        <v>1754</v>
      </c>
      <c r="X1407" s="1311"/>
      <c r="Y1407" s="1314" t="str">
        <f>IF(Q$832="Yes",M848,"")</f>
        <v/>
      </c>
      <c r="Z1407" s="1314" t="str">
        <f>IF(U$862="Yes",M878,"")</f>
        <v/>
      </c>
    </row>
    <row r="1408" spans="1:26" x14ac:dyDescent="0.25">
      <c r="A1408" s="1077" t="s">
        <v>1389</v>
      </c>
      <c r="B1408" s="1274" t="str">
        <f>IFERROR(_xlfn.CONCAT("K",('Configurable Tab'!$C$9+6)),"")</f>
        <v>K102</v>
      </c>
      <c r="C1408" s="1274" t="str">
        <f>IFERROR(_xlfn.CONCAT("K",('Configurable Tab'!$C$9+8)),"")</f>
        <v>K104</v>
      </c>
      <c r="D1408" s="1314" t="s">
        <v>1350</v>
      </c>
      <c r="E1408" s="791" t="s">
        <v>1742</v>
      </c>
      <c r="F1408" s="1314"/>
      <c r="G1408" s="1314"/>
      <c r="H1408" s="1314"/>
      <c r="I1408" s="1274" t="str">
        <f t="shared" si="226"/>
        <v>Rate % of Sales</v>
      </c>
      <c r="J1408" s="1314" t="str">
        <f t="shared" si="229"/>
        <v>F</v>
      </c>
      <c r="K1408" s="1314" t="str">
        <f t="shared" si="225"/>
        <v>Incentives</v>
      </c>
      <c r="L1408" s="1314"/>
      <c r="M1408" s="1314"/>
      <c r="N1408" s="1314"/>
      <c r="O1408" s="1311"/>
      <c r="P1408" s="1311"/>
      <c r="Q1408" s="1311"/>
      <c r="R1408" s="1314" t="s">
        <v>1531</v>
      </c>
      <c r="S1408" s="1311"/>
      <c r="T1408" s="1311"/>
      <c r="U1408" s="1311"/>
      <c r="V1408" s="1311"/>
      <c r="W1408" s="1314" t="s">
        <v>1754</v>
      </c>
      <c r="X1408" s="1311"/>
      <c r="Y1408" s="1314" t="str">
        <f>IF(Q$832="Yes",M851,"")</f>
        <v/>
      </c>
      <c r="Z1408" s="1314" t="str">
        <f>IF(U$862="Yes",M881,"")</f>
        <v/>
      </c>
    </row>
    <row r="1409" spans="1:26" x14ac:dyDescent="0.25">
      <c r="A1409" s="1077" t="s">
        <v>1389</v>
      </c>
      <c r="B1409" s="1274" t="str">
        <f>IFERROR(_xlfn.CONCAT("K",('Configurable Tab'!$C$9+6)),"")</f>
        <v>K102</v>
      </c>
      <c r="C1409" s="1274" t="str">
        <f>IFERROR(_xlfn.CONCAT("K",('Configurable Tab'!$C$9+9)),"")</f>
        <v>K105</v>
      </c>
      <c r="D1409" s="1314" t="s">
        <v>1350</v>
      </c>
      <c r="E1409" s="791" t="s">
        <v>1742</v>
      </c>
      <c r="F1409" s="1314"/>
      <c r="G1409" s="1314"/>
      <c r="H1409" s="1314"/>
      <c r="I1409" s="1274" t="str">
        <f t="shared" si="226"/>
        <v>Rate % of Sales</v>
      </c>
      <c r="J1409" s="1314" t="str">
        <f t="shared" si="229"/>
        <v>F</v>
      </c>
      <c r="K1409" s="1314" t="str">
        <f t="shared" si="225"/>
        <v>Incentives</v>
      </c>
      <c r="L1409" s="1314"/>
      <c r="M1409" s="1314"/>
      <c r="N1409" s="1314"/>
      <c r="O1409" s="1311"/>
      <c r="P1409" s="1311"/>
      <c r="Q1409" s="1311"/>
      <c r="R1409" s="1314" t="s">
        <v>1531</v>
      </c>
      <c r="S1409" s="1311"/>
      <c r="T1409" s="1311"/>
      <c r="U1409" s="1311"/>
      <c r="V1409" s="1311"/>
      <c r="W1409" s="1314" t="s">
        <v>1754</v>
      </c>
      <c r="X1409" s="1311"/>
      <c r="Y1409" s="1314" t="str">
        <f>IF(Q$832="Yes",M854,"")</f>
        <v/>
      </c>
      <c r="Z1409" s="1314" t="str">
        <f>IF(U$862="Yes",M884,"")</f>
        <v/>
      </c>
    </row>
    <row r="1410" spans="1:26" x14ac:dyDescent="0.25">
      <c r="A1410" s="1077" t="s">
        <v>1389</v>
      </c>
      <c r="B1410" s="1274" t="str">
        <f>IFERROR(_xlfn.CONCAT("K",('Configurable Tab'!$C$9+6)),"")</f>
        <v>K102</v>
      </c>
      <c r="C1410" s="1274" t="str">
        <f>IFERROR(_xlfn.CONCAT("K",('Configurable Tab'!$C$9+10)),"")</f>
        <v>K106</v>
      </c>
      <c r="D1410" s="1314" t="s">
        <v>1350</v>
      </c>
      <c r="E1410" s="791" t="s">
        <v>1742</v>
      </c>
      <c r="F1410" s="1314"/>
      <c r="G1410" s="1314"/>
      <c r="H1410" s="1314"/>
      <c r="I1410" s="1274" t="str">
        <f t="shared" si="226"/>
        <v>Rate % of Sales</v>
      </c>
      <c r="J1410" s="1314" t="str">
        <f t="shared" si="229"/>
        <v>F</v>
      </c>
      <c r="K1410" s="1314" t="str">
        <f t="shared" si="225"/>
        <v>Incentives</v>
      </c>
      <c r="L1410" s="1314"/>
      <c r="M1410" s="1314"/>
      <c r="N1410" s="1314"/>
      <c r="O1410" s="1311"/>
      <c r="P1410" s="1311"/>
      <c r="Q1410" s="1311"/>
      <c r="R1410" s="1314" t="s">
        <v>1531</v>
      </c>
      <c r="S1410" s="1311"/>
      <c r="T1410" s="1311"/>
      <c r="U1410" s="1311"/>
      <c r="V1410" s="1311"/>
      <c r="W1410" s="1314" t="s">
        <v>1754</v>
      </c>
      <c r="X1410" s="1311"/>
      <c r="Y1410" s="1314" t="str">
        <f>IF(Q$832="Yes",M857,"")</f>
        <v/>
      </c>
      <c r="Z1410" s="1314" t="str">
        <f>IF(U$862="Yes",M887,"")</f>
        <v/>
      </c>
    </row>
    <row r="1411" spans="1:26" x14ac:dyDescent="0.25">
      <c r="A1411" s="1077" t="s">
        <v>1389</v>
      </c>
      <c r="B1411" s="1274" t="str">
        <f>IFERROR(_xlfn.CONCAT("K",('Configurable Tab'!$C$9+6)),"")</f>
        <v>K102</v>
      </c>
      <c r="C1411" s="1274" t="str">
        <f>IFERROR(_xlfn.CONCAT("K",('Configurable Tab'!$C$9+11)),"")</f>
        <v>K107</v>
      </c>
      <c r="D1411" s="1314" t="s">
        <v>1350</v>
      </c>
      <c r="E1411" s="791" t="s">
        <v>1742</v>
      </c>
      <c r="F1411" s="1314"/>
      <c r="G1411" s="1314"/>
      <c r="H1411" s="1314"/>
      <c r="I1411" s="1274" t="str">
        <f t="shared" si="226"/>
        <v>Rate % of Sales</v>
      </c>
      <c r="J1411" s="1314" t="str">
        <f t="shared" si="229"/>
        <v>F</v>
      </c>
      <c r="K1411" s="1314" t="str">
        <f t="shared" si="225"/>
        <v>Incentives</v>
      </c>
      <c r="L1411" s="1314"/>
      <c r="M1411" s="1314"/>
      <c r="N1411" s="1314"/>
      <c r="O1411" s="1311"/>
      <c r="P1411" s="1311"/>
      <c r="Q1411" s="1311"/>
      <c r="R1411" s="1314" t="s">
        <v>1531</v>
      </c>
      <c r="S1411" s="1311"/>
      <c r="T1411" s="1311"/>
      <c r="U1411" s="1311"/>
      <c r="V1411" s="1311"/>
      <c r="W1411" s="1314" t="s">
        <v>1754</v>
      </c>
      <c r="X1411" s="1311"/>
      <c r="Y1411" s="1314" t="str">
        <f>IF(Q$832="Yes",M860,"")</f>
        <v/>
      </c>
      <c r="Z1411" s="1314" t="str">
        <f>IF(U$862="Yes",M890,"")</f>
        <v/>
      </c>
    </row>
    <row r="1412" spans="1:26" x14ac:dyDescent="0.25">
      <c r="A1412" s="1013" t="s">
        <v>523</v>
      </c>
      <c r="B1412" s="1274" t="str">
        <f>IFERROR(_xlfn.CONCAT("D",('Configurable Tab'!$C$10+1)),"")</f>
        <v>D111</v>
      </c>
      <c r="C1412" s="1274" t="str">
        <f>IFERROR(_xlfn.CONCAT("E",('Configurable Tab'!$C$10+1)),"")</f>
        <v>E111</v>
      </c>
      <c r="D1412" s="1314" t="s">
        <v>1350</v>
      </c>
      <c r="E1412" s="791" t="s">
        <v>1742</v>
      </c>
      <c r="F1412" s="1314"/>
      <c r="G1412" s="1314"/>
      <c r="H1412" s="1314"/>
      <c r="I1412" s="1274" t="str">
        <f t="shared" si="226"/>
        <v>Offer this Incentive?</v>
      </c>
      <c r="J1412" s="1314" t="str">
        <f>$Q$1&amp;T1412</f>
        <v>F</v>
      </c>
      <c r="K1412" s="1314" t="str">
        <f t="shared" si="225"/>
        <v>Incentives</v>
      </c>
      <c r="L1412" s="1314"/>
      <c r="M1412" s="1314"/>
      <c r="N1412" s="1314"/>
      <c r="O1412" s="1311" t="s">
        <v>1755</v>
      </c>
      <c r="P1412" s="1405">
        <f>'Configurable Tab'!E10</f>
        <v>0</v>
      </c>
      <c r="Q1412" s="1274" t="str">
        <f>IFERROR(_xlfn.CONCAT("C",('Configurable Tab'!$C10+1)),"")</f>
        <v>C111</v>
      </c>
      <c r="R1412" s="1314" t="s">
        <v>395</v>
      </c>
      <c r="S1412" s="1311"/>
      <c r="T1412" s="1314" t="str">
        <f>IF(Q$892="Yes",M892,"")</f>
        <v/>
      </c>
      <c r="U1412" s="1311"/>
      <c r="V1412" s="1311"/>
      <c r="W1412" s="1311"/>
      <c r="X1412" s="1311"/>
      <c r="Y1412" s="1311"/>
      <c r="Z1412" s="1311"/>
    </row>
    <row r="1413" spans="1:26" x14ac:dyDescent="0.25">
      <c r="A1413" s="1078" t="s">
        <v>1383</v>
      </c>
      <c r="B1413" s="1274" t="str">
        <f>IFERROR(_xlfn.CONCAT("D",('Configurable Tab'!$C$10+2)),"")</f>
        <v>D112</v>
      </c>
      <c r="C1413" s="1274" t="str">
        <f>IFERROR(_xlfn.CONCAT("E",('Configurable Tab'!$C$10+2)),"")</f>
        <v>E112</v>
      </c>
      <c r="D1413" s="1314" t="s">
        <v>1350</v>
      </c>
      <c r="E1413" s="791" t="s">
        <v>1742</v>
      </c>
      <c r="F1413" s="1314"/>
      <c r="G1413" s="1314"/>
      <c r="H1413" s="1314"/>
      <c r="I1413" s="1274" t="str">
        <f t="shared" si="226"/>
        <v>Incentive Type</v>
      </c>
      <c r="J1413" s="1314" t="str">
        <f t="shared" ref="J1413:J1461" si="230">$Q$1&amp;T1413</f>
        <v>F</v>
      </c>
      <c r="K1413" s="1314" t="str">
        <f t="shared" ref="K1413:K1476" si="231">IF(J1413&lt;&gt;"",E1413,"")</f>
        <v>Incentives</v>
      </c>
      <c r="L1413" s="1314"/>
      <c r="M1413" s="1314"/>
      <c r="N1413" s="1314"/>
      <c r="O1413" s="1311"/>
      <c r="P1413" s="1311"/>
      <c r="Q1413" s="1311"/>
      <c r="R1413" s="1314" t="s">
        <v>395</v>
      </c>
      <c r="S1413" s="1311"/>
      <c r="T1413" s="1314" t="str">
        <f>IF(Q$892="Yes",M893,"")</f>
        <v/>
      </c>
      <c r="U1413" s="1311"/>
      <c r="V1413" s="1311"/>
      <c r="W1413" s="1311"/>
      <c r="X1413" s="1311"/>
      <c r="Y1413" s="1311"/>
      <c r="Z1413" s="1311"/>
    </row>
    <row r="1414" spans="1:26" x14ac:dyDescent="0.25">
      <c r="A1414" s="1078" t="s">
        <v>1385</v>
      </c>
      <c r="B1414" s="1274" t="str">
        <f>IFERROR(_xlfn.CONCAT("D",('Configurable Tab'!$C$10+4)),"")</f>
        <v>D114</v>
      </c>
      <c r="C1414" s="1274" t="str">
        <f>IFERROR(_xlfn.CONCAT("E",('Configurable Tab'!$C$10+4)),"")</f>
        <v>E114</v>
      </c>
      <c r="D1414" s="1314" t="s">
        <v>1350</v>
      </c>
      <c r="E1414" s="791" t="s">
        <v>1742</v>
      </c>
      <c r="F1414" s="1314"/>
      <c r="G1414" s="1314"/>
      <c r="H1414" s="1314"/>
      <c r="I1414" s="1274" t="str">
        <f t="shared" ref="I1414:I1477" si="232">IF(J1414&lt;&gt;"",A1414,"")</f>
        <v>Incentive Effective Date</v>
      </c>
      <c r="J1414" s="1314" t="str">
        <f t="shared" si="230"/>
        <v>F</v>
      </c>
      <c r="K1414" s="1314" t="str">
        <f t="shared" si="231"/>
        <v>Incentives</v>
      </c>
      <c r="L1414" s="1314"/>
      <c r="M1414" s="1314"/>
      <c r="N1414" s="1314"/>
      <c r="O1414" s="1311"/>
      <c r="P1414" s="1311"/>
      <c r="Q1414" s="1311"/>
      <c r="R1414" s="1314" t="s">
        <v>395</v>
      </c>
      <c r="S1414" s="1311"/>
      <c r="T1414" s="1314" t="str">
        <f>IF(Q$892="Yes",M901,"")</f>
        <v/>
      </c>
      <c r="U1414" s="1311"/>
      <c r="V1414" s="1311"/>
      <c r="W1414" s="1311"/>
      <c r="X1414" s="1311"/>
      <c r="Y1414" s="1311"/>
      <c r="Z1414" s="1311"/>
    </row>
    <row r="1415" spans="1:26" x14ac:dyDescent="0.25">
      <c r="A1415" s="1078" t="s">
        <v>1386</v>
      </c>
      <c r="B1415" s="1274" t="str">
        <f>IFERROR(_xlfn.CONCAT("D",('Configurable Tab'!$C$10+5)),"")</f>
        <v>D115</v>
      </c>
      <c r="C1415" s="1274" t="str">
        <f>IFERROR(_xlfn.CONCAT("E",('Configurable Tab'!$C$10+5)),"")</f>
        <v>E115</v>
      </c>
      <c r="D1415" s="1314" t="s">
        <v>1350</v>
      </c>
      <c r="E1415" s="791" t="s">
        <v>1742</v>
      </c>
      <c r="F1415" s="1314"/>
      <c r="G1415" s="1314"/>
      <c r="H1415" s="1314"/>
      <c r="I1415" s="1274" t="str">
        <f t="shared" si="232"/>
        <v>Incentive Expiration Date</v>
      </c>
      <c r="J1415" s="1314" t="str">
        <f t="shared" si="230"/>
        <v>F</v>
      </c>
      <c r="K1415" s="1314" t="str">
        <f t="shared" si="231"/>
        <v>Incentives</v>
      </c>
      <c r="L1415" s="1314"/>
      <c r="M1415" s="1314"/>
      <c r="N1415" s="1314"/>
      <c r="O1415" s="1311"/>
      <c r="P1415" s="1311"/>
      <c r="Q1415" s="1311"/>
      <c r="R1415" s="1314" t="s">
        <v>395</v>
      </c>
      <c r="S1415" s="1311"/>
      <c r="T1415" s="1314" t="str">
        <f>IF(Q$892="Yes",M902,"")</f>
        <v/>
      </c>
      <c r="U1415" s="1311"/>
      <c r="V1415" s="1311"/>
      <c r="W1415" s="1311"/>
      <c r="X1415" s="1311"/>
      <c r="Y1415" s="1311"/>
      <c r="Z1415" s="1311"/>
    </row>
    <row r="1416" spans="1:26" x14ac:dyDescent="0.25">
      <c r="A1416" s="1078" t="s">
        <v>1380</v>
      </c>
      <c r="B1416" s="1274" t="str">
        <f>IFERROR(_xlfn.CONCAT("G",('Configurable Tab'!$C$10+1)),"")</f>
        <v>G111</v>
      </c>
      <c r="C1416" s="1274" t="str">
        <f>IFERROR(_xlfn.CONCAT("G",('Configurable Tab'!$C$10+2)),"")</f>
        <v>G112</v>
      </c>
      <c r="D1416" s="1314" t="s">
        <v>1350</v>
      </c>
      <c r="E1416" s="791" t="s">
        <v>1742</v>
      </c>
      <c r="F1416" s="1314"/>
      <c r="G1416" s="1314"/>
      <c r="H1416" s="1314"/>
      <c r="I1416" s="1274" t="str">
        <f t="shared" si="232"/>
        <v>Incentive Period</v>
      </c>
      <c r="J1416" s="1314" t="str">
        <f t="shared" si="230"/>
        <v>F</v>
      </c>
      <c r="K1416" s="1314" t="str">
        <f t="shared" si="231"/>
        <v>Incentives</v>
      </c>
      <c r="L1416" s="1314"/>
      <c r="M1416" s="1314"/>
      <c r="N1416" s="1314"/>
      <c r="O1416" s="1311"/>
      <c r="P1416" s="1311"/>
      <c r="Q1416" s="1311"/>
      <c r="R1416" s="1314" t="s">
        <v>395</v>
      </c>
      <c r="S1416" s="1311"/>
      <c r="T1416" s="1314" t="str">
        <f>IF(Q$892="Yes",M894,"")</f>
        <v/>
      </c>
      <c r="U1416" s="1311"/>
      <c r="V1416" s="1311"/>
      <c r="W1416" s="1311"/>
      <c r="X1416" s="1311"/>
      <c r="Y1416" s="1311"/>
      <c r="Z1416" s="1311"/>
    </row>
    <row r="1417" spans="1:26" x14ac:dyDescent="0.25">
      <c r="A1417" s="1078" t="s">
        <v>1381</v>
      </c>
      <c r="B1417" s="1274" t="str">
        <f>IFERROR(_xlfn.CONCAT("I",('Configurable Tab'!$C$10+1)),"")</f>
        <v>I111</v>
      </c>
      <c r="C1417" s="1274" t="str">
        <f>IFERROR(_xlfn.CONCAT("I",('Configurable Tab'!$C$10+2)),"")</f>
        <v>I112</v>
      </c>
      <c r="D1417" s="1314" t="s">
        <v>1350</v>
      </c>
      <c r="E1417" s="791" t="s">
        <v>1742</v>
      </c>
      <c r="F1417" s="1314"/>
      <c r="G1417" s="1314"/>
      <c r="H1417" s="1314"/>
      <c r="I1417" s="1274" t="str">
        <f t="shared" si="232"/>
        <v>Payment Method</v>
      </c>
      <c r="J1417" s="1314" t="str">
        <f t="shared" si="230"/>
        <v>F</v>
      </c>
      <c r="K1417" s="1314" t="str">
        <f t="shared" si="231"/>
        <v>Incentives</v>
      </c>
      <c r="L1417" s="1314"/>
      <c r="M1417" s="1314"/>
      <c r="N1417" s="1314"/>
      <c r="O1417" s="1311"/>
      <c r="P1417" s="1311"/>
      <c r="Q1417" s="1311"/>
      <c r="R1417" s="1314" t="s">
        <v>395</v>
      </c>
      <c r="S1417" s="1311"/>
      <c r="T1417" s="1314" t="str">
        <f>IF(Q$892="Yes",M895,"")</f>
        <v/>
      </c>
      <c r="U1417" s="1311"/>
      <c r="V1417" s="1311"/>
      <c r="W1417" s="1311"/>
      <c r="X1417" s="1311"/>
      <c r="Y1417" s="1311"/>
      <c r="Z1417" s="1311"/>
    </row>
    <row r="1418" spans="1:26" x14ac:dyDescent="0.25">
      <c r="A1418" s="1078" t="s">
        <v>833</v>
      </c>
      <c r="B1418" s="1274" t="str">
        <f>IFERROR(_xlfn.CONCAT("K",('Configurable Tab'!$C$10+1)),"")</f>
        <v>K111</v>
      </c>
      <c r="C1418" s="1274" t="str">
        <f>IFERROR(_xlfn.CONCAT("K",('Configurable Tab'!$C$10+2)),"")</f>
        <v>K112</v>
      </c>
      <c r="D1418" s="1314" t="s">
        <v>1350</v>
      </c>
      <c r="E1418" s="791" t="s">
        <v>1742</v>
      </c>
      <c r="F1418" s="1314"/>
      <c r="G1418" s="1314"/>
      <c r="H1418" s="1314"/>
      <c r="I1418" s="1274" t="str">
        <f t="shared" si="232"/>
        <v>Paid to:</v>
      </c>
      <c r="J1418" s="1314" t="str">
        <f t="shared" si="230"/>
        <v>F</v>
      </c>
      <c r="K1418" s="1314" t="str">
        <f t="shared" si="231"/>
        <v>Incentives</v>
      </c>
      <c r="L1418" s="1314"/>
      <c r="M1418" s="1314"/>
      <c r="N1418" s="1314"/>
      <c r="O1418" s="1311"/>
      <c r="P1418" s="1311"/>
      <c r="Q1418" s="1311"/>
      <c r="R1418" s="1314" t="s">
        <v>395</v>
      </c>
      <c r="S1418" s="1311"/>
      <c r="T1418" s="1314" t="str">
        <f>IF(Q$892="Yes",M896,"")</f>
        <v/>
      </c>
      <c r="U1418" s="1311"/>
      <c r="V1418" s="1311"/>
      <c r="W1418" s="1311"/>
      <c r="X1418" s="1311"/>
      <c r="Y1418" s="1311"/>
      <c r="Z1418" s="1311"/>
    </row>
    <row r="1419" spans="1:26" x14ac:dyDescent="0.25">
      <c r="A1419" s="1078" t="s">
        <v>1382</v>
      </c>
      <c r="B1419" s="1274" t="str">
        <f>IFERROR(_xlfn.CONCAT("M",('Configurable Tab'!$C$10+1)),"")</f>
        <v>M111</v>
      </c>
      <c r="C1419" s="1274" t="str">
        <f>IFERROR(_xlfn.CONCAT("M",('Configurable Tab'!$C$10+2)),"")</f>
        <v>M112</v>
      </c>
      <c r="D1419" s="1314" t="s">
        <v>1350</v>
      </c>
      <c r="E1419" s="791" t="s">
        <v>1742</v>
      </c>
      <c r="F1419" s="1314"/>
      <c r="G1419" s="1314"/>
      <c r="H1419" s="1314"/>
      <c r="I1419" s="1274" t="str">
        <f t="shared" si="232"/>
        <v>AP/AR Vendor Number</v>
      </c>
      <c r="J1419" s="1314" t="str">
        <f t="shared" si="230"/>
        <v>F</v>
      </c>
      <c r="K1419" s="1314" t="str">
        <f t="shared" si="231"/>
        <v>Incentives</v>
      </c>
      <c r="L1419" s="1314"/>
      <c r="M1419" s="1314"/>
      <c r="N1419" s="1314"/>
      <c r="O1419" s="1311"/>
      <c r="P1419" s="1311"/>
      <c r="Q1419" s="1311"/>
      <c r="R1419" s="1314" t="s">
        <v>395</v>
      </c>
      <c r="S1419" s="1311"/>
      <c r="T1419" s="1314" t="str">
        <f>IF(Q$892="Yes",M897,"")</f>
        <v/>
      </c>
      <c r="U1419" s="1311"/>
      <c r="V1419" s="1311"/>
      <c r="W1419" s="1311"/>
      <c r="X1419" s="1311"/>
      <c r="Y1419" s="1311"/>
      <c r="Z1419" s="1311"/>
    </row>
    <row r="1420" spans="1:26" x14ac:dyDescent="0.25">
      <c r="A1420" s="1078" t="s">
        <v>1387</v>
      </c>
      <c r="B1420" s="1274" t="str">
        <f>IFERROR(_xlfn.CONCAT("G",('Configurable Tab'!$C$10+4)),"")</f>
        <v>G114</v>
      </c>
      <c r="C1420" s="1274" t="str">
        <f>IFERROR(_xlfn.CONCAT("G",('Configurable Tab'!$C$10+5)),"")</f>
        <v>G115</v>
      </c>
      <c r="D1420" s="1314" t="s">
        <v>1350</v>
      </c>
      <c r="E1420" s="791" t="s">
        <v>1742</v>
      </c>
      <c r="F1420" s="1314"/>
      <c r="G1420" s="1314"/>
      <c r="H1420" s="1314"/>
      <c r="I1420" s="1274" t="str">
        <f t="shared" si="232"/>
        <v>Minimum Units</v>
      </c>
      <c r="J1420" s="1314" t="str">
        <f t="shared" si="230"/>
        <v>F</v>
      </c>
      <c r="K1420" s="1314" t="str">
        <f t="shared" si="231"/>
        <v>Incentives</v>
      </c>
      <c r="L1420" s="1314"/>
      <c r="M1420" s="1314"/>
      <c r="N1420" s="1314"/>
      <c r="O1420" s="1311"/>
      <c r="P1420" s="1311"/>
      <c r="Q1420" s="1311"/>
      <c r="R1420" s="1314" t="s">
        <v>395</v>
      </c>
      <c r="S1420" s="1311"/>
      <c r="T1420" s="1314" t="str">
        <f>IF(Q$892="Yes",M906,"")</f>
        <v/>
      </c>
      <c r="U1420" s="1311"/>
      <c r="V1420" s="1311"/>
      <c r="W1420" s="1311"/>
      <c r="X1420" s="1311"/>
      <c r="Y1420" s="1311"/>
      <c r="Z1420" s="1311"/>
    </row>
    <row r="1421" spans="1:26" x14ac:dyDescent="0.25">
      <c r="A1421" s="1078" t="s">
        <v>1389</v>
      </c>
      <c r="B1421" s="1274" t="str">
        <f>IFERROR(_xlfn.CONCAT("K",('Configurable Tab'!$C$10+4)),"")</f>
        <v>K114</v>
      </c>
      <c r="C1421" s="1274" t="str">
        <f>IFERROR(_xlfn.CONCAT("K",('Configurable Tab'!$C$10+5)),"")</f>
        <v>K115</v>
      </c>
      <c r="D1421" s="1314" t="s">
        <v>1350</v>
      </c>
      <c r="E1421" s="791" t="s">
        <v>1742</v>
      </c>
      <c r="F1421" s="1314"/>
      <c r="G1421" s="1314"/>
      <c r="H1421" s="1314"/>
      <c r="I1421" s="1274" t="str">
        <f t="shared" si="232"/>
        <v>Rate % of Sales</v>
      </c>
      <c r="J1421" s="1314" t="str">
        <f t="shared" si="230"/>
        <v>F</v>
      </c>
      <c r="K1421" s="1314" t="str">
        <f t="shared" si="231"/>
        <v>Incentives</v>
      </c>
      <c r="L1421" s="1314"/>
      <c r="M1421" s="1314"/>
      <c r="N1421" s="1314"/>
      <c r="O1421" s="1311"/>
      <c r="P1421" s="1311"/>
      <c r="Q1421" s="1311"/>
      <c r="R1421" s="1314" t="s">
        <v>395</v>
      </c>
      <c r="S1421" s="1311"/>
      <c r="T1421" s="1314" t="str">
        <f>IF(Q$892="Yes",M908,"")</f>
        <v/>
      </c>
      <c r="U1421" s="1311"/>
      <c r="V1421" s="1311"/>
      <c r="W1421" s="1311"/>
      <c r="X1421" s="1311"/>
      <c r="Y1421" s="1311"/>
      <c r="Z1421" s="1311"/>
    </row>
    <row r="1422" spans="1:26" x14ac:dyDescent="0.25">
      <c r="A1422" s="1079" t="s">
        <v>523</v>
      </c>
      <c r="B1422" s="1274" t="str">
        <f>IFERROR(_xlfn.CONCAT("D",('Configurable Tab'!$C$11+1)),"")</f>
        <v>D119</v>
      </c>
      <c r="C1422" s="1274" t="str">
        <f>IFERROR(_xlfn.CONCAT("E",('Configurable Tab'!$C$11+1)),"")</f>
        <v>E119</v>
      </c>
      <c r="D1422" s="1314" t="s">
        <v>1350</v>
      </c>
      <c r="E1422" s="791" t="s">
        <v>1742</v>
      </c>
      <c r="F1422" s="1314"/>
      <c r="G1422" s="1314"/>
      <c r="H1422" s="1314"/>
      <c r="I1422" s="1274" t="str">
        <f t="shared" si="232"/>
        <v>Offer this Incentive?</v>
      </c>
      <c r="J1422" s="1314" t="str">
        <f t="shared" si="230"/>
        <v>F</v>
      </c>
      <c r="K1422" s="1314" t="str">
        <f t="shared" si="231"/>
        <v>Incentives</v>
      </c>
      <c r="L1422" s="1314"/>
      <c r="M1422" s="1314"/>
      <c r="N1422" s="1314"/>
      <c r="O1422" s="1311" t="s">
        <v>1756</v>
      </c>
      <c r="P1422" s="1405">
        <f>'Configurable Tab'!E11</f>
        <v>0</v>
      </c>
      <c r="Q1422" s="1274" t="str">
        <f>IFERROR(_xlfn.CONCAT("C",('Configurable Tab'!$C11+1)),"")</f>
        <v>C119</v>
      </c>
      <c r="R1422" s="1314" t="s">
        <v>395</v>
      </c>
      <c r="S1422" s="1311"/>
      <c r="T1422" s="1314" t="str">
        <f>IF(Q$911="Yes",M911,"")</f>
        <v/>
      </c>
      <c r="U1422" s="1311"/>
      <c r="V1422" s="1311"/>
      <c r="W1422" s="1311"/>
      <c r="X1422" s="1311"/>
      <c r="Y1422" s="1311"/>
      <c r="Z1422" s="1311"/>
    </row>
    <row r="1423" spans="1:26" x14ac:dyDescent="0.25">
      <c r="A1423" s="1080" t="s">
        <v>1383</v>
      </c>
      <c r="B1423" s="1274" t="str">
        <f>IFERROR(_xlfn.CONCAT("D",('Configurable Tab'!$C$11+2)),"")</f>
        <v>D120</v>
      </c>
      <c r="C1423" s="1274" t="str">
        <f>IFERROR(_xlfn.CONCAT("E",('Configurable Tab'!$C$11+2)),"")</f>
        <v>E120</v>
      </c>
      <c r="D1423" s="1314" t="s">
        <v>1350</v>
      </c>
      <c r="E1423" s="791" t="s">
        <v>1742</v>
      </c>
      <c r="F1423" s="1314"/>
      <c r="G1423" s="1314"/>
      <c r="H1423" s="1314"/>
      <c r="I1423" s="1274" t="str">
        <f t="shared" si="232"/>
        <v>Incentive Type</v>
      </c>
      <c r="J1423" s="1314" t="str">
        <f t="shared" si="230"/>
        <v>F</v>
      </c>
      <c r="K1423" s="1314" t="str">
        <f t="shared" si="231"/>
        <v>Incentives</v>
      </c>
      <c r="L1423" s="1314"/>
      <c r="M1423" s="1314"/>
      <c r="N1423" s="1314"/>
      <c r="O1423" s="1311"/>
      <c r="P1423" s="1311"/>
      <c r="Q1423" s="1311"/>
      <c r="R1423" s="1314" t="s">
        <v>395</v>
      </c>
      <c r="S1423" s="1311"/>
      <c r="T1423" s="1314" t="str">
        <f>IF(Q$911="Yes",M912,"")</f>
        <v/>
      </c>
      <c r="U1423" s="1311"/>
      <c r="V1423" s="1311"/>
      <c r="W1423" s="1311"/>
      <c r="X1423" s="1311"/>
      <c r="Y1423" s="1311"/>
      <c r="Z1423" s="1311"/>
    </row>
    <row r="1424" spans="1:26" x14ac:dyDescent="0.25">
      <c r="A1424" s="1080" t="s">
        <v>1385</v>
      </c>
      <c r="B1424" s="1274" t="str">
        <f>IFERROR(_xlfn.CONCAT("D",('Configurable Tab'!$C$11+4)),"")</f>
        <v>D122</v>
      </c>
      <c r="C1424" s="1274" t="str">
        <f>IFERROR(_xlfn.CONCAT("E",('Configurable Tab'!$C$11+4)),"")</f>
        <v>E122</v>
      </c>
      <c r="D1424" s="1314" t="s">
        <v>1350</v>
      </c>
      <c r="E1424" s="791" t="s">
        <v>1742</v>
      </c>
      <c r="F1424" s="1314"/>
      <c r="G1424" s="1314"/>
      <c r="H1424" s="1314"/>
      <c r="I1424" s="1274" t="str">
        <f t="shared" si="232"/>
        <v>Incentive Effective Date</v>
      </c>
      <c r="J1424" s="1314" t="str">
        <f t="shared" si="230"/>
        <v>F</v>
      </c>
      <c r="K1424" s="1314" t="str">
        <f t="shared" si="231"/>
        <v>Incentives</v>
      </c>
      <c r="L1424" s="1314"/>
      <c r="M1424" s="1314"/>
      <c r="N1424" s="1314"/>
      <c r="O1424" s="1311"/>
      <c r="P1424" s="1311"/>
      <c r="Q1424" s="1311"/>
      <c r="R1424" s="1314" t="s">
        <v>395</v>
      </c>
      <c r="S1424" s="1311"/>
      <c r="T1424" s="1314" t="str">
        <f>IF(Q$911="Yes",M920,"")</f>
        <v/>
      </c>
      <c r="U1424" s="1311"/>
      <c r="V1424" s="1311"/>
      <c r="W1424" s="1311"/>
      <c r="X1424" s="1311"/>
      <c r="Y1424" s="1311"/>
      <c r="Z1424" s="1311"/>
    </row>
    <row r="1425" spans="1:26" x14ac:dyDescent="0.25">
      <c r="A1425" s="1080" t="s">
        <v>1386</v>
      </c>
      <c r="B1425" s="1274" t="str">
        <f>IFERROR(_xlfn.CONCAT("D",('Configurable Tab'!$C$11+5)),"")</f>
        <v>D123</v>
      </c>
      <c r="C1425" s="1274" t="str">
        <f>IFERROR(_xlfn.CONCAT("E",('Configurable Tab'!$C$11+5)),"")</f>
        <v>E123</v>
      </c>
      <c r="D1425" s="1314" t="s">
        <v>1350</v>
      </c>
      <c r="E1425" s="791" t="s">
        <v>1742</v>
      </c>
      <c r="F1425" s="1314"/>
      <c r="G1425" s="1314"/>
      <c r="H1425" s="1314"/>
      <c r="I1425" s="1274" t="str">
        <f t="shared" si="232"/>
        <v>Incentive Expiration Date</v>
      </c>
      <c r="J1425" s="1314" t="str">
        <f t="shared" si="230"/>
        <v>F</v>
      </c>
      <c r="K1425" s="1314" t="str">
        <f t="shared" si="231"/>
        <v>Incentives</v>
      </c>
      <c r="L1425" s="1314"/>
      <c r="M1425" s="1314"/>
      <c r="N1425" s="1314"/>
      <c r="O1425" s="1311"/>
      <c r="P1425" s="1311"/>
      <c r="Q1425" s="1311"/>
      <c r="R1425" s="1314" t="s">
        <v>395</v>
      </c>
      <c r="S1425" s="1311"/>
      <c r="T1425" s="1314" t="str">
        <f>IF(Q$911="Yes",M921,"")</f>
        <v/>
      </c>
      <c r="U1425" s="1311"/>
      <c r="V1425" s="1311"/>
      <c r="W1425" s="1311"/>
      <c r="X1425" s="1311"/>
      <c r="Y1425" s="1311"/>
      <c r="Z1425" s="1311"/>
    </row>
    <row r="1426" spans="1:26" x14ac:dyDescent="0.25">
      <c r="A1426" s="1080" t="s">
        <v>1380</v>
      </c>
      <c r="B1426" s="1274" t="str">
        <f>IFERROR(_xlfn.CONCAT("G",('Configurable Tab'!$C$11+1)),"")</f>
        <v>G119</v>
      </c>
      <c r="C1426" s="1274" t="str">
        <f>IFERROR(_xlfn.CONCAT("G",('Configurable Tab'!$C$11+2)),"")</f>
        <v>G120</v>
      </c>
      <c r="D1426" s="1314" t="s">
        <v>1350</v>
      </c>
      <c r="E1426" s="791" t="s">
        <v>1742</v>
      </c>
      <c r="F1426" s="1314"/>
      <c r="G1426" s="1314"/>
      <c r="H1426" s="1314"/>
      <c r="I1426" s="1274" t="str">
        <f t="shared" si="232"/>
        <v>Incentive Period</v>
      </c>
      <c r="J1426" s="1314" t="str">
        <f t="shared" si="230"/>
        <v>F</v>
      </c>
      <c r="K1426" s="1314" t="str">
        <f t="shared" si="231"/>
        <v>Incentives</v>
      </c>
      <c r="L1426" s="1314"/>
      <c r="M1426" s="1314"/>
      <c r="N1426" s="1314"/>
      <c r="O1426" s="1311"/>
      <c r="P1426" s="1311"/>
      <c r="Q1426" s="1311"/>
      <c r="R1426" s="1314" t="s">
        <v>395</v>
      </c>
      <c r="S1426" s="1311"/>
      <c r="T1426" s="1314" t="str">
        <f>IF(Q$911="Yes",M913,"")</f>
        <v/>
      </c>
      <c r="U1426" s="1311"/>
      <c r="V1426" s="1311"/>
      <c r="W1426" s="1311"/>
      <c r="X1426" s="1311"/>
      <c r="Y1426" s="1311"/>
      <c r="Z1426" s="1311"/>
    </row>
    <row r="1427" spans="1:26" x14ac:dyDescent="0.25">
      <c r="A1427" s="1080" t="s">
        <v>1381</v>
      </c>
      <c r="B1427" s="1274" t="str">
        <f>IFERROR(_xlfn.CONCAT("I",('Configurable Tab'!$C$11+1)),"")</f>
        <v>I119</v>
      </c>
      <c r="C1427" s="1274" t="str">
        <f>IFERROR(_xlfn.CONCAT("I",('Configurable Tab'!$C$11+2)),"")</f>
        <v>I120</v>
      </c>
      <c r="D1427" s="1314" t="s">
        <v>1350</v>
      </c>
      <c r="E1427" s="791" t="s">
        <v>1742</v>
      </c>
      <c r="F1427" s="1314"/>
      <c r="G1427" s="1314"/>
      <c r="H1427" s="1314"/>
      <c r="I1427" s="1274" t="str">
        <f t="shared" si="232"/>
        <v>Payment Method</v>
      </c>
      <c r="J1427" s="1314" t="str">
        <f t="shared" si="230"/>
        <v>F</v>
      </c>
      <c r="K1427" s="1314" t="str">
        <f t="shared" si="231"/>
        <v>Incentives</v>
      </c>
      <c r="L1427" s="1314"/>
      <c r="M1427" s="1314"/>
      <c r="N1427" s="1314"/>
      <c r="O1427" s="1311"/>
      <c r="P1427" s="1311"/>
      <c r="Q1427" s="1311"/>
      <c r="R1427" s="1314" t="s">
        <v>395</v>
      </c>
      <c r="S1427" s="1311"/>
      <c r="T1427" s="1314" t="str">
        <f>IF(Q$911="Yes",M914,"")</f>
        <v/>
      </c>
      <c r="U1427" s="1311"/>
      <c r="V1427" s="1311"/>
      <c r="W1427" s="1311"/>
      <c r="X1427" s="1311"/>
      <c r="Y1427" s="1311"/>
      <c r="Z1427" s="1311"/>
    </row>
    <row r="1428" spans="1:26" x14ac:dyDescent="0.25">
      <c r="A1428" s="1080" t="s">
        <v>833</v>
      </c>
      <c r="B1428" s="1274" t="str">
        <f>IFERROR(_xlfn.CONCAT("K",('Configurable Tab'!$C$11+1)),"")</f>
        <v>K119</v>
      </c>
      <c r="C1428" s="1274" t="str">
        <f>IFERROR(_xlfn.CONCAT("K",('Configurable Tab'!$C$11+2)),"")</f>
        <v>K120</v>
      </c>
      <c r="D1428" s="1314" t="s">
        <v>1350</v>
      </c>
      <c r="E1428" s="791" t="s">
        <v>1742</v>
      </c>
      <c r="F1428" s="1314"/>
      <c r="G1428" s="1314"/>
      <c r="H1428" s="1314"/>
      <c r="I1428" s="1274" t="str">
        <f t="shared" si="232"/>
        <v>Paid to:</v>
      </c>
      <c r="J1428" s="1314" t="str">
        <f t="shared" si="230"/>
        <v>F</v>
      </c>
      <c r="K1428" s="1314" t="str">
        <f t="shared" si="231"/>
        <v>Incentives</v>
      </c>
      <c r="L1428" s="1314"/>
      <c r="M1428" s="1314"/>
      <c r="N1428" s="1314"/>
      <c r="O1428" s="1311"/>
      <c r="P1428" s="1311"/>
      <c r="Q1428" s="1311"/>
      <c r="R1428" s="1314" t="s">
        <v>395</v>
      </c>
      <c r="S1428" s="1311"/>
      <c r="T1428" s="1314" t="str">
        <f>IF(Q$911="Yes",M915,"")</f>
        <v/>
      </c>
      <c r="U1428" s="1311"/>
      <c r="V1428" s="1311"/>
      <c r="W1428" s="1311"/>
      <c r="X1428" s="1311"/>
      <c r="Y1428" s="1311"/>
      <c r="Z1428" s="1311"/>
    </row>
    <row r="1429" spans="1:26" x14ac:dyDescent="0.25">
      <c r="A1429" s="1080" t="s">
        <v>1382</v>
      </c>
      <c r="B1429" s="1274" t="str">
        <f>IFERROR(_xlfn.CONCAT("M",('Configurable Tab'!$C$11+1)),"")</f>
        <v>M119</v>
      </c>
      <c r="C1429" s="1274" t="str">
        <f>IFERROR(_xlfn.CONCAT("M",('Configurable Tab'!$C$11+2)),"")</f>
        <v>M120</v>
      </c>
      <c r="D1429" s="1314" t="s">
        <v>1350</v>
      </c>
      <c r="E1429" s="791" t="s">
        <v>1742</v>
      </c>
      <c r="F1429" s="1314"/>
      <c r="G1429" s="1314"/>
      <c r="H1429" s="1314"/>
      <c r="I1429" s="1274" t="str">
        <f t="shared" si="232"/>
        <v>AP/AR Vendor Number</v>
      </c>
      <c r="J1429" s="1314" t="str">
        <f t="shared" si="230"/>
        <v>F</v>
      </c>
      <c r="K1429" s="1314" t="str">
        <f t="shared" si="231"/>
        <v>Incentives</v>
      </c>
      <c r="L1429" s="1314"/>
      <c r="M1429" s="1314"/>
      <c r="N1429" s="1314"/>
      <c r="O1429" s="1311"/>
      <c r="P1429" s="1311"/>
      <c r="Q1429" s="1311"/>
      <c r="R1429" s="1314" t="s">
        <v>395</v>
      </c>
      <c r="S1429" s="1311"/>
      <c r="T1429" s="1314" t="str">
        <f>IF(Q$911="Yes",M916,"")</f>
        <v/>
      </c>
      <c r="U1429" s="1311"/>
      <c r="V1429" s="1311"/>
      <c r="W1429" s="1311"/>
      <c r="X1429" s="1311"/>
      <c r="Y1429" s="1311"/>
      <c r="Z1429" s="1311"/>
    </row>
    <row r="1430" spans="1:26" x14ac:dyDescent="0.25">
      <c r="A1430" s="1080" t="s">
        <v>1387</v>
      </c>
      <c r="B1430" s="1274" t="str">
        <f>IFERROR(_xlfn.CONCAT("G",('Configurable Tab'!$C$11+4)),"")</f>
        <v>G122</v>
      </c>
      <c r="C1430" s="1274" t="str">
        <f>IFERROR(_xlfn.CONCAT("G",('Configurable Tab'!$C$11+5)),"")</f>
        <v>G123</v>
      </c>
      <c r="D1430" s="1314" t="s">
        <v>1350</v>
      </c>
      <c r="E1430" s="791" t="s">
        <v>1742</v>
      </c>
      <c r="F1430" s="1314"/>
      <c r="G1430" s="1314"/>
      <c r="H1430" s="1314"/>
      <c r="I1430" s="1274" t="str">
        <f t="shared" si="232"/>
        <v>Minimum Units</v>
      </c>
      <c r="J1430" s="1314" t="str">
        <f t="shared" si="230"/>
        <v>F</v>
      </c>
      <c r="K1430" s="1314" t="str">
        <f t="shared" si="231"/>
        <v>Incentives</v>
      </c>
      <c r="L1430" s="1314"/>
      <c r="M1430" s="1314"/>
      <c r="N1430" s="1314"/>
      <c r="O1430" s="1311"/>
      <c r="P1430" s="1311"/>
      <c r="Q1430" s="1311"/>
      <c r="R1430" s="1314" t="s">
        <v>395</v>
      </c>
      <c r="S1430" s="1311"/>
      <c r="T1430" s="1314" t="str">
        <f>IF(Q$911="Yes",M925,"")</f>
        <v/>
      </c>
      <c r="U1430" s="1311"/>
      <c r="V1430" s="1311"/>
      <c r="W1430" s="1311"/>
      <c r="X1430" s="1311"/>
      <c r="Y1430" s="1311"/>
      <c r="Z1430" s="1311"/>
    </row>
    <row r="1431" spans="1:26" x14ac:dyDescent="0.25">
      <c r="A1431" s="1080" t="s">
        <v>1389</v>
      </c>
      <c r="B1431" s="1274" t="str">
        <f>IFERROR(_xlfn.CONCAT("K",('Configurable Tab'!$C$11+4)),"")</f>
        <v>K122</v>
      </c>
      <c r="C1431" s="1274" t="str">
        <f>IFERROR(_xlfn.CONCAT("K",('Configurable Tab'!$C$11+5)),"")</f>
        <v>K123</v>
      </c>
      <c r="D1431" s="1314" t="s">
        <v>1350</v>
      </c>
      <c r="E1431" s="791" t="s">
        <v>1742</v>
      </c>
      <c r="F1431" s="1314"/>
      <c r="G1431" s="1314"/>
      <c r="H1431" s="1314"/>
      <c r="I1431" s="1274" t="str">
        <f t="shared" si="232"/>
        <v>Rate % of Sales</v>
      </c>
      <c r="J1431" s="1314" t="str">
        <f t="shared" si="230"/>
        <v>F</v>
      </c>
      <c r="K1431" s="1314" t="str">
        <f t="shared" si="231"/>
        <v>Incentives</v>
      </c>
      <c r="L1431" s="1314"/>
      <c r="M1431" s="1314"/>
      <c r="N1431" s="1314"/>
      <c r="O1431" s="1311"/>
      <c r="P1431" s="1311"/>
      <c r="Q1431" s="1311"/>
      <c r="R1431" s="1314" t="s">
        <v>395</v>
      </c>
      <c r="S1431" s="1311"/>
      <c r="T1431" s="1314" t="str">
        <f>IF(Q$911="Yes",M927,"")</f>
        <v/>
      </c>
      <c r="U1431" s="1311"/>
      <c r="V1431" s="1311"/>
      <c r="W1431" s="1311"/>
      <c r="X1431" s="1311"/>
      <c r="Y1431" s="1311"/>
      <c r="Z1431" s="1311"/>
    </row>
    <row r="1432" spans="1:26" x14ac:dyDescent="0.25">
      <c r="A1432" s="1013" t="s">
        <v>523</v>
      </c>
      <c r="B1432" s="1274" t="str">
        <f>IFERROR(_xlfn.CONCAT("D",('Configurable Tab'!$C$12+1)),"")</f>
        <v>D127</v>
      </c>
      <c r="C1432" s="1274" t="str">
        <f>IFERROR(_xlfn.CONCAT("E",('Configurable Tab'!$C$12+1)),"")</f>
        <v>E127</v>
      </c>
      <c r="D1432" s="1314" t="s">
        <v>1350</v>
      </c>
      <c r="E1432" s="791" t="s">
        <v>1742</v>
      </c>
      <c r="F1432" s="1314"/>
      <c r="G1432" s="1314"/>
      <c r="H1432" s="1314"/>
      <c r="I1432" s="1274" t="str">
        <f t="shared" si="232"/>
        <v>Offer this Incentive?</v>
      </c>
      <c r="J1432" s="1314" t="str">
        <f t="shared" si="230"/>
        <v>F</v>
      </c>
      <c r="K1432" s="1314" t="str">
        <f t="shared" si="231"/>
        <v>Incentives</v>
      </c>
      <c r="L1432" s="1314"/>
      <c r="M1432" s="1314"/>
      <c r="N1432" s="1314"/>
      <c r="O1432" s="1311" t="s">
        <v>1757</v>
      </c>
      <c r="P1432" s="1405">
        <f>'Configurable Tab'!E12</f>
        <v>0</v>
      </c>
      <c r="Q1432" s="1274" t="str">
        <f>IFERROR(_xlfn.CONCAT("C",('Configurable Tab'!$C12+1)),"")</f>
        <v>C127</v>
      </c>
      <c r="R1432" s="1314" t="s">
        <v>395</v>
      </c>
      <c r="S1432" s="1311"/>
      <c r="T1432" s="1314" t="str">
        <f>IF(Q$930="Yes",M930,"")</f>
        <v/>
      </c>
      <c r="U1432" s="1311"/>
      <c r="V1432" s="1311"/>
      <c r="W1432" s="1311"/>
      <c r="X1432" s="1311"/>
      <c r="Y1432" s="1311"/>
      <c r="Z1432" s="1311"/>
    </row>
    <row r="1433" spans="1:26" x14ac:dyDescent="0.25">
      <c r="A1433" s="1078" t="s">
        <v>1383</v>
      </c>
      <c r="B1433" s="1274" t="str">
        <f>IFERROR(_xlfn.CONCAT("D",('Configurable Tab'!$C$12+2)),"")</f>
        <v>D128</v>
      </c>
      <c r="C1433" s="1274" t="str">
        <f>IFERROR(_xlfn.CONCAT("E",('Configurable Tab'!$C$12+2)),"")</f>
        <v>E128</v>
      </c>
      <c r="D1433" s="1314" t="s">
        <v>1350</v>
      </c>
      <c r="E1433" s="791" t="s">
        <v>1742</v>
      </c>
      <c r="F1433" s="1314"/>
      <c r="G1433" s="1314"/>
      <c r="H1433" s="1314"/>
      <c r="I1433" s="1274" t="str">
        <f t="shared" si="232"/>
        <v>Incentive Type</v>
      </c>
      <c r="J1433" s="1314" t="str">
        <f t="shared" si="230"/>
        <v>F</v>
      </c>
      <c r="K1433" s="1314" t="str">
        <f t="shared" si="231"/>
        <v>Incentives</v>
      </c>
      <c r="L1433" s="1314"/>
      <c r="M1433" s="1314"/>
      <c r="N1433" s="1314"/>
      <c r="O1433" s="1311"/>
      <c r="P1433" s="1311"/>
      <c r="Q1433" s="1311"/>
      <c r="R1433" s="1314" t="s">
        <v>395</v>
      </c>
      <c r="S1433" s="1311"/>
      <c r="T1433" s="1314" t="str">
        <f>IF(Q$930="Yes",M931,"")</f>
        <v/>
      </c>
      <c r="U1433" s="1311"/>
      <c r="V1433" s="1311"/>
      <c r="W1433" s="1311"/>
      <c r="X1433" s="1311"/>
      <c r="Y1433" s="1311"/>
      <c r="Z1433" s="1311"/>
    </row>
    <row r="1434" spans="1:26" x14ac:dyDescent="0.25">
      <c r="A1434" s="1078" t="s">
        <v>1385</v>
      </c>
      <c r="B1434" s="1274" t="str">
        <f>IFERROR(_xlfn.CONCAT("D",('Configurable Tab'!$C$12+4)),"")</f>
        <v>D130</v>
      </c>
      <c r="C1434" s="1274" t="str">
        <f>IFERROR(_xlfn.CONCAT("E",('Configurable Tab'!$C$12+4)),"")</f>
        <v>E130</v>
      </c>
      <c r="D1434" s="1314" t="s">
        <v>1350</v>
      </c>
      <c r="E1434" s="791" t="s">
        <v>1742</v>
      </c>
      <c r="F1434" s="1314"/>
      <c r="G1434" s="1314"/>
      <c r="H1434" s="1314"/>
      <c r="I1434" s="1274" t="str">
        <f t="shared" si="232"/>
        <v>Incentive Effective Date</v>
      </c>
      <c r="J1434" s="1314" t="str">
        <f t="shared" si="230"/>
        <v>F</v>
      </c>
      <c r="K1434" s="1314" t="str">
        <f t="shared" si="231"/>
        <v>Incentives</v>
      </c>
      <c r="L1434" s="1314"/>
      <c r="M1434" s="1314"/>
      <c r="N1434" s="1314"/>
      <c r="O1434" s="1311"/>
      <c r="P1434" s="1311"/>
      <c r="Q1434" s="1311"/>
      <c r="R1434" s="1314" t="s">
        <v>395</v>
      </c>
      <c r="S1434" s="1311"/>
      <c r="T1434" s="1314" t="str">
        <f>IF(Q$930="Yes",M939,"")</f>
        <v/>
      </c>
      <c r="U1434" s="1311"/>
      <c r="V1434" s="1311"/>
      <c r="W1434" s="1311"/>
      <c r="X1434" s="1311"/>
      <c r="Y1434" s="1311"/>
      <c r="Z1434" s="1311"/>
    </row>
    <row r="1435" spans="1:26" x14ac:dyDescent="0.25">
      <c r="A1435" s="1078" t="s">
        <v>1386</v>
      </c>
      <c r="B1435" s="1274" t="str">
        <f>IFERROR(_xlfn.CONCAT("D",('Configurable Tab'!$C$12+5)),"")</f>
        <v>D131</v>
      </c>
      <c r="C1435" s="1274" t="str">
        <f>IFERROR(_xlfn.CONCAT("E",('Configurable Tab'!$C$12+5)),"")</f>
        <v>E131</v>
      </c>
      <c r="D1435" s="1314" t="s">
        <v>1350</v>
      </c>
      <c r="E1435" s="791" t="s">
        <v>1742</v>
      </c>
      <c r="F1435" s="1314"/>
      <c r="G1435" s="1314"/>
      <c r="H1435" s="1314"/>
      <c r="I1435" s="1274" t="str">
        <f t="shared" si="232"/>
        <v>Incentive Expiration Date</v>
      </c>
      <c r="J1435" s="1314" t="str">
        <f t="shared" si="230"/>
        <v>F</v>
      </c>
      <c r="K1435" s="1314" t="str">
        <f t="shared" si="231"/>
        <v>Incentives</v>
      </c>
      <c r="L1435" s="1314"/>
      <c r="M1435" s="1314"/>
      <c r="N1435" s="1314"/>
      <c r="O1435" s="1311"/>
      <c r="P1435" s="1311"/>
      <c r="Q1435" s="1311"/>
      <c r="R1435" s="1314" t="s">
        <v>395</v>
      </c>
      <c r="S1435" s="1311"/>
      <c r="T1435" s="1314" t="str">
        <f>IF(Q$930="Yes",M940,"")</f>
        <v/>
      </c>
      <c r="U1435" s="1311"/>
      <c r="V1435" s="1311"/>
      <c r="W1435" s="1311"/>
      <c r="X1435" s="1311"/>
      <c r="Y1435" s="1311"/>
      <c r="Z1435" s="1311"/>
    </row>
    <row r="1436" spans="1:26" x14ac:dyDescent="0.25">
      <c r="A1436" s="1078" t="s">
        <v>1380</v>
      </c>
      <c r="B1436" s="1274" t="str">
        <f>IFERROR(_xlfn.CONCAT("G",('Configurable Tab'!$C$12+1)),"")</f>
        <v>G127</v>
      </c>
      <c r="C1436" s="1274" t="str">
        <f>IFERROR(_xlfn.CONCAT("G",('Configurable Tab'!$C$12+2)),"")</f>
        <v>G128</v>
      </c>
      <c r="D1436" s="1314" t="s">
        <v>1350</v>
      </c>
      <c r="E1436" s="791" t="s">
        <v>1742</v>
      </c>
      <c r="F1436" s="1314"/>
      <c r="G1436" s="1314"/>
      <c r="H1436" s="1314"/>
      <c r="I1436" s="1274" t="str">
        <f t="shared" si="232"/>
        <v>Incentive Period</v>
      </c>
      <c r="J1436" s="1314" t="str">
        <f t="shared" si="230"/>
        <v>F</v>
      </c>
      <c r="K1436" s="1314" t="str">
        <f t="shared" si="231"/>
        <v>Incentives</v>
      </c>
      <c r="L1436" s="1314"/>
      <c r="M1436" s="1314"/>
      <c r="N1436" s="1314"/>
      <c r="O1436" s="1311"/>
      <c r="P1436" s="1311"/>
      <c r="Q1436" s="1311"/>
      <c r="R1436" s="1314" t="s">
        <v>395</v>
      </c>
      <c r="S1436" s="1311"/>
      <c r="T1436" s="1314" t="str">
        <f>IF(Q$930="Yes",M932,"")</f>
        <v/>
      </c>
      <c r="U1436" s="1311"/>
      <c r="V1436" s="1311"/>
      <c r="W1436" s="1311"/>
      <c r="X1436" s="1311"/>
      <c r="Y1436" s="1311"/>
      <c r="Z1436" s="1311"/>
    </row>
    <row r="1437" spans="1:26" x14ac:dyDescent="0.25">
      <c r="A1437" s="1078" t="s">
        <v>1381</v>
      </c>
      <c r="B1437" s="1274" t="str">
        <f>IFERROR(_xlfn.CONCAT("I",('Configurable Tab'!$C$12+1)),"")</f>
        <v>I127</v>
      </c>
      <c r="C1437" s="1274" t="str">
        <f>IFERROR(_xlfn.CONCAT("I",('Configurable Tab'!$C$12+2)),"")</f>
        <v>I128</v>
      </c>
      <c r="D1437" s="1314" t="s">
        <v>1350</v>
      </c>
      <c r="E1437" s="791" t="s">
        <v>1742</v>
      </c>
      <c r="F1437" s="1314"/>
      <c r="G1437" s="1314"/>
      <c r="H1437" s="1314"/>
      <c r="I1437" s="1274" t="str">
        <f t="shared" si="232"/>
        <v>Payment Method</v>
      </c>
      <c r="J1437" s="1314" t="str">
        <f t="shared" si="230"/>
        <v>F</v>
      </c>
      <c r="K1437" s="1314" t="str">
        <f t="shared" si="231"/>
        <v>Incentives</v>
      </c>
      <c r="L1437" s="1314"/>
      <c r="M1437" s="1314"/>
      <c r="N1437" s="1314"/>
      <c r="O1437" s="1311"/>
      <c r="P1437" s="1311"/>
      <c r="Q1437" s="1311"/>
      <c r="R1437" s="1314" t="s">
        <v>395</v>
      </c>
      <c r="S1437" s="1311"/>
      <c r="T1437" s="1314" t="str">
        <f>IF(Q$930="Yes",M933,"")</f>
        <v/>
      </c>
      <c r="U1437" s="1311"/>
      <c r="V1437" s="1311"/>
      <c r="W1437" s="1311"/>
      <c r="X1437" s="1311"/>
      <c r="Y1437" s="1311"/>
      <c r="Z1437" s="1311"/>
    </row>
    <row r="1438" spans="1:26" x14ac:dyDescent="0.25">
      <c r="A1438" s="1078" t="s">
        <v>833</v>
      </c>
      <c r="B1438" s="1274" t="str">
        <f>IFERROR(_xlfn.CONCAT("K",('Configurable Tab'!$C$12+1)),"")</f>
        <v>K127</v>
      </c>
      <c r="C1438" s="1274" t="str">
        <f>IFERROR(_xlfn.CONCAT("K",('Configurable Tab'!$C$12+2)),"")</f>
        <v>K128</v>
      </c>
      <c r="D1438" s="1314" t="s">
        <v>1350</v>
      </c>
      <c r="E1438" s="791" t="s">
        <v>1742</v>
      </c>
      <c r="F1438" s="1314"/>
      <c r="G1438" s="1314"/>
      <c r="H1438" s="1314"/>
      <c r="I1438" s="1274" t="str">
        <f t="shared" si="232"/>
        <v>Paid to:</v>
      </c>
      <c r="J1438" s="1314" t="str">
        <f t="shared" si="230"/>
        <v>F</v>
      </c>
      <c r="K1438" s="1314" t="str">
        <f t="shared" si="231"/>
        <v>Incentives</v>
      </c>
      <c r="L1438" s="1314"/>
      <c r="M1438" s="1314"/>
      <c r="N1438" s="1314"/>
      <c r="O1438" s="1311"/>
      <c r="P1438" s="1311"/>
      <c r="Q1438" s="1311"/>
      <c r="R1438" s="1314" t="s">
        <v>395</v>
      </c>
      <c r="S1438" s="1311"/>
      <c r="T1438" s="1314" t="str">
        <f>IF(Q$930="Yes",M934,"")</f>
        <v/>
      </c>
      <c r="U1438" s="1311"/>
      <c r="V1438" s="1311"/>
      <c r="W1438" s="1311"/>
      <c r="X1438" s="1311"/>
      <c r="Y1438" s="1311"/>
      <c r="Z1438" s="1311"/>
    </row>
    <row r="1439" spans="1:26" x14ac:dyDescent="0.25">
      <c r="A1439" s="1078" t="s">
        <v>1382</v>
      </c>
      <c r="B1439" s="1274" t="str">
        <f>IFERROR(_xlfn.CONCAT("M",('Configurable Tab'!$C$12+1)),"")</f>
        <v>M127</v>
      </c>
      <c r="C1439" s="1274" t="str">
        <f>IFERROR(_xlfn.CONCAT("M",('Configurable Tab'!$C$12+2)),"")</f>
        <v>M128</v>
      </c>
      <c r="D1439" s="1314" t="s">
        <v>1350</v>
      </c>
      <c r="E1439" s="791" t="s">
        <v>1742</v>
      </c>
      <c r="F1439" s="1314"/>
      <c r="G1439" s="1314"/>
      <c r="H1439" s="1314"/>
      <c r="I1439" s="1274" t="str">
        <f t="shared" si="232"/>
        <v>AP/AR Vendor Number</v>
      </c>
      <c r="J1439" s="1314" t="str">
        <f t="shared" si="230"/>
        <v>F</v>
      </c>
      <c r="K1439" s="1314" t="str">
        <f t="shared" si="231"/>
        <v>Incentives</v>
      </c>
      <c r="L1439" s="1314"/>
      <c r="M1439" s="1314"/>
      <c r="N1439" s="1314"/>
      <c r="O1439" s="1311"/>
      <c r="P1439" s="1311"/>
      <c r="Q1439" s="1311"/>
      <c r="R1439" s="1314" t="s">
        <v>395</v>
      </c>
      <c r="S1439" s="1311"/>
      <c r="T1439" s="1314" t="str">
        <f>IF(Q$930="Yes",M935,"")</f>
        <v/>
      </c>
      <c r="U1439" s="1311"/>
      <c r="V1439" s="1311"/>
      <c r="W1439" s="1311"/>
      <c r="X1439" s="1311"/>
      <c r="Y1439" s="1311"/>
      <c r="Z1439" s="1311"/>
    </row>
    <row r="1440" spans="1:26" x14ac:dyDescent="0.25">
      <c r="A1440" s="1078" t="s">
        <v>1387</v>
      </c>
      <c r="B1440" s="1274" t="str">
        <f>IFERROR(_xlfn.CONCAT("G",('Configurable Tab'!$C$12+4)),"")</f>
        <v>G130</v>
      </c>
      <c r="C1440" s="1274" t="str">
        <f>IFERROR(_xlfn.CONCAT("G",('Configurable Tab'!$C$12+5)),"")</f>
        <v>G131</v>
      </c>
      <c r="D1440" s="1314" t="s">
        <v>1350</v>
      </c>
      <c r="E1440" s="791" t="s">
        <v>1742</v>
      </c>
      <c r="F1440" s="1314"/>
      <c r="G1440" s="1314"/>
      <c r="H1440" s="1314"/>
      <c r="I1440" s="1274" t="str">
        <f t="shared" si="232"/>
        <v>Minimum Units</v>
      </c>
      <c r="J1440" s="1314" t="str">
        <f t="shared" si="230"/>
        <v>F</v>
      </c>
      <c r="K1440" s="1314" t="str">
        <f t="shared" si="231"/>
        <v>Incentives</v>
      </c>
      <c r="L1440" s="1314"/>
      <c r="M1440" s="1314"/>
      <c r="N1440" s="1314"/>
      <c r="O1440" s="1311"/>
      <c r="P1440" s="1311"/>
      <c r="Q1440" s="1311"/>
      <c r="R1440" s="1314" t="s">
        <v>395</v>
      </c>
      <c r="S1440" s="1311"/>
      <c r="T1440" s="1314" t="str">
        <f>IF(Q$930="Yes",M944,"")</f>
        <v/>
      </c>
      <c r="U1440" s="1311"/>
      <c r="V1440" s="1311"/>
      <c r="W1440" s="1311"/>
      <c r="X1440" s="1311"/>
      <c r="Y1440" s="1311"/>
      <c r="Z1440" s="1311"/>
    </row>
    <row r="1441" spans="1:26" x14ac:dyDescent="0.25">
      <c r="A1441" s="1078" t="s">
        <v>1389</v>
      </c>
      <c r="B1441" s="1274" t="str">
        <f>IFERROR(_xlfn.CONCAT("K",('Configurable Tab'!$C$12+4)),"")</f>
        <v>K130</v>
      </c>
      <c r="C1441" s="1274" t="str">
        <f>IFERROR(_xlfn.CONCAT("K",('Configurable Tab'!$C$12+5)),"")</f>
        <v>K131</v>
      </c>
      <c r="D1441" s="1314" t="s">
        <v>1350</v>
      </c>
      <c r="E1441" s="791" t="s">
        <v>1742</v>
      </c>
      <c r="F1441" s="1314"/>
      <c r="G1441" s="1314"/>
      <c r="H1441" s="1314"/>
      <c r="I1441" s="1274" t="str">
        <f t="shared" si="232"/>
        <v>Rate % of Sales</v>
      </c>
      <c r="J1441" s="1314" t="str">
        <f t="shared" si="230"/>
        <v>F</v>
      </c>
      <c r="K1441" s="1314" t="str">
        <f t="shared" si="231"/>
        <v>Incentives</v>
      </c>
      <c r="L1441" s="1314"/>
      <c r="M1441" s="1314"/>
      <c r="N1441" s="1314"/>
      <c r="O1441" s="1311"/>
      <c r="P1441" s="1311"/>
      <c r="Q1441" s="1311"/>
      <c r="R1441" s="1314" t="s">
        <v>395</v>
      </c>
      <c r="S1441" s="1311"/>
      <c r="T1441" s="1314" t="str">
        <f>IF(Q$930="Yes",M946,"")</f>
        <v/>
      </c>
      <c r="U1441" s="1311"/>
      <c r="V1441" s="1311"/>
      <c r="W1441" s="1311"/>
      <c r="X1441" s="1311"/>
      <c r="Y1441" s="1311"/>
      <c r="Z1441" s="1311"/>
    </row>
    <row r="1442" spans="1:26" x14ac:dyDescent="0.25">
      <c r="A1442" s="1079" t="s">
        <v>523</v>
      </c>
      <c r="B1442" s="1274" t="str">
        <f>IFERROR(_xlfn.CONCAT("D",('Configurable Tab'!$C$13+1)),"")</f>
        <v>D135</v>
      </c>
      <c r="C1442" s="1274" t="str">
        <f>IFERROR(_xlfn.CONCAT("E",('Configurable Tab'!$C$13+1)),"")</f>
        <v>E135</v>
      </c>
      <c r="D1442" s="1314" t="s">
        <v>1350</v>
      </c>
      <c r="E1442" s="791" t="s">
        <v>1742</v>
      </c>
      <c r="F1442" s="1314"/>
      <c r="G1442" s="1314"/>
      <c r="H1442" s="1314"/>
      <c r="I1442" s="1274" t="str">
        <f t="shared" si="232"/>
        <v>Offer this Incentive?</v>
      </c>
      <c r="J1442" s="1314" t="str">
        <f t="shared" si="230"/>
        <v>F</v>
      </c>
      <c r="K1442" s="1314" t="str">
        <f t="shared" si="231"/>
        <v>Incentives</v>
      </c>
      <c r="L1442" s="1314"/>
      <c r="M1442" s="1314"/>
      <c r="N1442" s="1314"/>
      <c r="O1442" s="1311" t="s">
        <v>1758</v>
      </c>
      <c r="P1442" s="1405">
        <f>'Configurable Tab'!E13</f>
        <v>0</v>
      </c>
      <c r="Q1442" s="1274" t="str">
        <f>IFERROR(_xlfn.CONCAT("C",('Configurable Tab'!$C13+1)),"")</f>
        <v>C135</v>
      </c>
      <c r="R1442" s="1314" t="s">
        <v>395</v>
      </c>
      <c r="S1442" s="1311"/>
      <c r="T1442" s="1314" t="str">
        <f>IF(Q$949="Yes",M949,"")</f>
        <v/>
      </c>
      <c r="U1442" s="1311"/>
      <c r="V1442" s="1311"/>
      <c r="W1442" s="1311"/>
      <c r="X1442" s="1311"/>
      <c r="Y1442" s="1311"/>
      <c r="Z1442" s="1311"/>
    </row>
    <row r="1443" spans="1:26" x14ac:dyDescent="0.25">
      <c r="A1443" s="1080" t="s">
        <v>1383</v>
      </c>
      <c r="B1443" s="1274" t="str">
        <f>IFERROR(_xlfn.CONCAT("D",('Configurable Tab'!$C$13+2)),"")</f>
        <v>D136</v>
      </c>
      <c r="C1443" s="1274" t="str">
        <f>IFERROR(_xlfn.CONCAT("E",('Configurable Tab'!$C$13+2)),"")</f>
        <v>E136</v>
      </c>
      <c r="D1443" s="1314" t="s">
        <v>1350</v>
      </c>
      <c r="E1443" s="791" t="s">
        <v>1742</v>
      </c>
      <c r="F1443" s="1314"/>
      <c r="G1443" s="1314"/>
      <c r="H1443" s="1314"/>
      <c r="I1443" s="1274" t="str">
        <f t="shared" si="232"/>
        <v>Incentive Type</v>
      </c>
      <c r="J1443" s="1314" t="str">
        <f t="shared" si="230"/>
        <v>F</v>
      </c>
      <c r="K1443" s="1314" t="str">
        <f t="shared" si="231"/>
        <v>Incentives</v>
      </c>
      <c r="L1443" s="1314"/>
      <c r="M1443" s="1314"/>
      <c r="N1443" s="1314"/>
      <c r="O1443" s="1311"/>
      <c r="P1443" s="1311"/>
      <c r="Q1443" s="1311"/>
      <c r="R1443" s="1314" t="s">
        <v>395</v>
      </c>
      <c r="S1443" s="1311"/>
      <c r="T1443" s="1314" t="str">
        <f>IF(Q$949="Yes",M950,"")</f>
        <v/>
      </c>
      <c r="U1443" s="1311"/>
      <c r="V1443" s="1311"/>
      <c r="W1443" s="1311"/>
      <c r="X1443" s="1311"/>
      <c r="Y1443" s="1311"/>
      <c r="Z1443" s="1311"/>
    </row>
    <row r="1444" spans="1:26" x14ac:dyDescent="0.25">
      <c r="A1444" s="1080" t="s">
        <v>1385</v>
      </c>
      <c r="B1444" s="1274" t="str">
        <f>IFERROR(_xlfn.CONCAT("D",('Configurable Tab'!$C$13+4)),"")</f>
        <v>D138</v>
      </c>
      <c r="C1444" s="1274" t="str">
        <f>IFERROR(_xlfn.CONCAT("E",('Configurable Tab'!$C$13+4)),"")</f>
        <v>E138</v>
      </c>
      <c r="D1444" s="1314" t="s">
        <v>1350</v>
      </c>
      <c r="E1444" s="791" t="s">
        <v>1742</v>
      </c>
      <c r="F1444" s="1314"/>
      <c r="G1444" s="1314"/>
      <c r="H1444" s="1314"/>
      <c r="I1444" s="1274" t="str">
        <f t="shared" si="232"/>
        <v>Incentive Effective Date</v>
      </c>
      <c r="J1444" s="1314" t="str">
        <f t="shared" si="230"/>
        <v>F</v>
      </c>
      <c r="K1444" s="1314" t="str">
        <f t="shared" si="231"/>
        <v>Incentives</v>
      </c>
      <c r="L1444" s="1314"/>
      <c r="M1444" s="1314"/>
      <c r="N1444" s="1314"/>
      <c r="O1444" s="1311"/>
      <c r="P1444" s="1311"/>
      <c r="Q1444" s="1311"/>
      <c r="R1444" s="1314" t="s">
        <v>395</v>
      </c>
      <c r="S1444" s="1311"/>
      <c r="T1444" s="1314" t="str">
        <f>IF(Q$949="Yes",M958,"")</f>
        <v/>
      </c>
      <c r="U1444" s="1311"/>
      <c r="V1444" s="1311"/>
      <c r="W1444" s="1311"/>
      <c r="X1444" s="1311"/>
      <c r="Y1444" s="1311"/>
      <c r="Z1444" s="1311"/>
    </row>
    <row r="1445" spans="1:26" x14ac:dyDescent="0.25">
      <c r="A1445" s="1080" t="s">
        <v>1386</v>
      </c>
      <c r="B1445" s="1274" t="str">
        <f>IFERROR(_xlfn.CONCAT("D",('Configurable Tab'!$C$13+5)),"")</f>
        <v>D139</v>
      </c>
      <c r="C1445" s="1274" t="str">
        <f>IFERROR(_xlfn.CONCAT("E",('Configurable Tab'!$C$13+5)),"")</f>
        <v>E139</v>
      </c>
      <c r="D1445" s="1314" t="s">
        <v>1350</v>
      </c>
      <c r="E1445" s="791" t="s">
        <v>1742</v>
      </c>
      <c r="F1445" s="1314"/>
      <c r="G1445" s="1314"/>
      <c r="H1445" s="1314"/>
      <c r="I1445" s="1274" t="str">
        <f t="shared" si="232"/>
        <v>Incentive Expiration Date</v>
      </c>
      <c r="J1445" s="1314" t="str">
        <f t="shared" si="230"/>
        <v>F</v>
      </c>
      <c r="K1445" s="1314" t="str">
        <f t="shared" si="231"/>
        <v>Incentives</v>
      </c>
      <c r="L1445" s="1314"/>
      <c r="M1445" s="1314"/>
      <c r="N1445" s="1314"/>
      <c r="O1445" s="1311"/>
      <c r="P1445" s="1311"/>
      <c r="Q1445" s="1311"/>
      <c r="R1445" s="1314" t="s">
        <v>395</v>
      </c>
      <c r="S1445" s="1311"/>
      <c r="T1445" s="1314" t="str">
        <f>IF(Q$949="Yes",M959,"")</f>
        <v/>
      </c>
      <c r="U1445" s="1311"/>
      <c r="V1445" s="1311"/>
      <c r="W1445" s="1311"/>
      <c r="X1445" s="1311"/>
      <c r="Y1445" s="1311"/>
      <c r="Z1445" s="1311"/>
    </row>
    <row r="1446" spans="1:26" x14ac:dyDescent="0.25">
      <c r="A1446" s="1080" t="s">
        <v>1380</v>
      </c>
      <c r="B1446" s="1274" t="str">
        <f>IFERROR(_xlfn.CONCAT("G",('Configurable Tab'!$C$13+1)),"")</f>
        <v>G135</v>
      </c>
      <c r="C1446" s="1274" t="str">
        <f>IFERROR(_xlfn.CONCAT("G",('Configurable Tab'!$C$13+2)),"")</f>
        <v>G136</v>
      </c>
      <c r="D1446" s="1314" t="s">
        <v>1350</v>
      </c>
      <c r="E1446" s="791" t="s">
        <v>1742</v>
      </c>
      <c r="F1446" s="1314"/>
      <c r="G1446" s="1314"/>
      <c r="H1446" s="1314"/>
      <c r="I1446" s="1274" t="str">
        <f t="shared" si="232"/>
        <v>Incentive Period</v>
      </c>
      <c r="J1446" s="1314" t="str">
        <f t="shared" si="230"/>
        <v>F</v>
      </c>
      <c r="K1446" s="1314" t="str">
        <f t="shared" si="231"/>
        <v>Incentives</v>
      </c>
      <c r="L1446" s="1314"/>
      <c r="M1446" s="1314"/>
      <c r="N1446" s="1314"/>
      <c r="O1446" s="1311"/>
      <c r="P1446" s="1311"/>
      <c r="Q1446" s="1311"/>
      <c r="R1446" s="1314" t="s">
        <v>395</v>
      </c>
      <c r="S1446" s="1311"/>
      <c r="T1446" s="1314" t="str">
        <f>IF(Q$949="Yes",M951,"")</f>
        <v/>
      </c>
      <c r="U1446" s="1311"/>
      <c r="V1446" s="1311"/>
      <c r="W1446" s="1311"/>
      <c r="X1446" s="1311"/>
      <c r="Y1446" s="1311"/>
      <c r="Z1446" s="1311"/>
    </row>
    <row r="1447" spans="1:26" x14ac:dyDescent="0.25">
      <c r="A1447" s="1080" t="s">
        <v>1381</v>
      </c>
      <c r="B1447" s="1274" t="str">
        <f>IFERROR(_xlfn.CONCAT("I",('Configurable Tab'!$C$13+1)),"")</f>
        <v>I135</v>
      </c>
      <c r="C1447" s="1274" t="str">
        <f>IFERROR(_xlfn.CONCAT("I",('Configurable Tab'!$C$13+2)),"")</f>
        <v>I136</v>
      </c>
      <c r="D1447" s="1314" t="s">
        <v>1350</v>
      </c>
      <c r="E1447" s="791" t="s">
        <v>1742</v>
      </c>
      <c r="F1447" s="1314"/>
      <c r="G1447" s="1314"/>
      <c r="H1447" s="1314"/>
      <c r="I1447" s="1274" t="str">
        <f t="shared" si="232"/>
        <v>Payment Method</v>
      </c>
      <c r="J1447" s="1314" t="str">
        <f t="shared" si="230"/>
        <v>F</v>
      </c>
      <c r="K1447" s="1314" t="str">
        <f t="shared" si="231"/>
        <v>Incentives</v>
      </c>
      <c r="L1447" s="1314"/>
      <c r="M1447" s="1314"/>
      <c r="N1447" s="1314"/>
      <c r="O1447" s="1311"/>
      <c r="P1447" s="1311"/>
      <c r="Q1447" s="1311"/>
      <c r="R1447" s="1314" t="s">
        <v>395</v>
      </c>
      <c r="S1447" s="1311"/>
      <c r="T1447" s="1314" t="str">
        <f>IF(Q$949="Yes",M952,"")</f>
        <v/>
      </c>
      <c r="U1447" s="1311"/>
      <c r="V1447" s="1311"/>
      <c r="W1447" s="1311"/>
      <c r="X1447" s="1311"/>
      <c r="Y1447" s="1311"/>
      <c r="Z1447" s="1311"/>
    </row>
    <row r="1448" spans="1:26" x14ac:dyDescent="0.25">
      <c r="A1448" s="1080" t="s">
        <v>833</v>
      </c>
      <c r="B1448" s="1274" t="str">
        <f>IFERROR(_xlfn.CONCAT("K",('Configurable Tab'!$C$13+1)),"")</f>
        <v>K135</v>
      </c>
      <c r="C1448" s="1274" t="str">
        <f>IFERROR(_xlfn.CONCAT("K",('Configurable Tab'!$C$13+2)),"")</f>
        <v>K136</v>
      </c>
      <c r="D1448" s="1314" t="s">
        <v>1350</v>
      </c>
      <c r="E1448" s="791" t="s">
        <v>1742</v>
      </c>
      <c r="F1448" s="1314"/>
      <c r="G1448" s="1314"/>
      <c r="H1448" s="1314"/>
      <c r="I1448" s="1274" t="str">
        <f t="shared" si="232"/>
        <v>Paid to:</v>
      </c>
      <c r="J1448" s="1314" t="str">
        <f t="shared" si="230"/>
        <v>F</v>
      </c>
      <c r="K1448" s="1314" t="str">
        <f t="shared" si="231"/>
        <v>Incentives</v>
      </c>
      <c r="L1448" s="1314"/>
      <c r="M1448" s="1314"/>
      <c r="N1448" s="1314"/>
      <c r="O1448" s="1311"/>
      <c r="P1448" s="1311"/>
      <c r="Q1448" s="1311"/>
      <c r="R1448" s="1314" t="s">
        <v>395</v>
      </c>
      <c r="S1448" s="1311"/>
      <c r="T1448" s="1314" t="str">
        <f>IF(Q$949="Yes",M953,"")</f>
        <v/>
      </c>
      <c r="U1448" s="1311"/>
      <c r="V1448" s="1311"/>
      <c r="W1448" s="1311"/>
      <c r="X1448" s="1311"/>
      <c r="Y1448" s="1311"/>
      <c r="Z1448" s="1311"/>
    </row>
    <row r="1449" spans="1:26" x14ac:dyDescent="0.25">
      <c r="A1449" s="1080" t="s">
        <v>1382</v>
      </c>
      <c r="B1449" s="1274" t="str">
        <f>IFERROR(_xlfn.CONCAT("M",('Configurable Tab'!$C$13+1)),"")</f>
        <v>M135</v>
      </c>
      <c r="C1449" s="1274" t="str">
        <f>IFERROR(_xlfn.CONCAT("M",('Configurable Tab'!$C$13+2)),"")</f>
        <v>M136</v>
      </c>
      <c r="D1449" s="1314" t="s">
        <v>1350</v>
      </c>
      <c r="E1449" s="791" t="s">
        <v>1742</v>
      </c>
      <c r="F1449" s="1314"/>
      <c r="G1449" s="1314"/>
      <c r="H1449" s="1314"/>
      <c r="I1449" s="1274" t="str">
        <f t="shared" si="232"/>
        <v>AP/AR Vendor Number</v>
      </c>
      <c r="J1449" s="1314" t="str">
        <f t="shared" si="230"/>
        <v>F</v>
      </c>
      <c r="K1449" s="1314" t="str">
        <f t="shared" si="231"/>
        <v>Incentives</v>
      </c>
      <c r="L1449" s="1314"/>
      <c r="M1449" s="1314"/>
      <c r="N1449" s="1314"/>
      <c r="O1449" s="1311"/>
      <c r="P1449" s="1311"/>
      <c r="Q1449" s="1311"/>
      <c r="R1449" s="1314" t="s">
        <v>395</v>
      </c>
      <c r="S1449" s="1311"/>
      <c r="T1449" s="1314" t="str">
        <f>IF(Q$949="Yes",M954,"")</f>
        <v/>
      </c>
      <c r="U1449" s="1311"/>
      <c r="V1449" s="1311"/>
      <c r="W1449" s="1311"/>
      <c r="X1449" s="1311"/>
      <c r="Y1449" s="1311"/>
      <c r="Z1449" s="1311"/>
    </row>
    <row r="1450" spans="1:26" x14ac:dyDescent="0.25">
      <c r="A1450" s="1080" t="s">
        <v>1387</v>
      </c>
      <c r="B1450" s="1274" t="str">
        <f>IFERROR(_xlfn.CONCAT("G",('Configurable Tab'!$C$13+4)),"")</f>
        <v>G138</v>
      </c>
      <c r="C1450" s="1274" t="str">
        <f>IFERROR(_xlfn.CONCAT("G",('Configurable Tab'!$C$13+5)),"")</f>
        <v>G139</v>
      </c>
      <c r="D1450" s="1314" t="s">
        <v>1350</v>
      </c>
      <c r="E1450" s="791" t="s">
        <v>1742</v>
      </c>
      <c r="F1450" s="1314"/>
      <c r="G1450" s="1314"/>
      <c r="H1450" s="1314"/>
      <c r="I1450" s="1274" t="str">
        <f t="shared" si="232"/>
        <v>Minimum Units</v>
      </c>
      <c r="J1450" s="1314" t="str">
        <f t="shared" si="230"/>
        <v>F</v>
      </c>
      <c r="K1450" s="1314" t="str">
        <f t="shared" si="231"/>
        <v>Incentives</v>
      </c>
      <c r="L1450" s="1314"/>
      <c r="M1450" s="1314"/>
      <c r="N1450" s="1314"/>
      <c r="O1450" s="1311"/>
      <c r="P1450" s="1311"/>
      <c r="Q1450" s="1311"/>
      <c r="R1450" s="1314" t="s">
        <v>395</v>
      </c>
      <c r="S1450" s="1311"/>
      <c r="T1450" s="1314" t="str">
        <f>IF(Q$949="Yes",M963,"")</f>
        <v/>
      </c>
      <c r="U1450" s="1311"/>
      <c r="V1450" s="1311"/>
      <c r="W1450" s="1311"/>
      <c r="X1450" s="1311"/>
      <c r="Y1450" s="1311"/>
      <c r="Z1450" s="1311"/>
    </row>
    <row r="1451" spans="1:26" x14ac:dyDescent="0.25">
      <c r="A1451" s="1080" t="s">
        <v>1389</v>
      </c>
      <c r="B1451" s="1274" t="str">
        <f>IFERROR(_xlfn.CONCAT("K",('Configurable Tab'!$C$13+4)),"")</f>
        <v>K138</v>
      </c>
      <c r="C1451" s="1274" t="str">
        <f>IFERROR(_xlfn.CONCAT("K",('Configurable Tab'!$C$13+5)),"")</f>
        <v>K139</v>
      </c>
      <c r="D1451" s="1314" t="s">
        <v>1350</v>
      </c>
      <c r="E1451" s="791" t="s">
        <v>1742</v>
      </c>
      <c r="F1451" s="1314"/>
      <c r="G1451" s="1314"/>
      <c r="H1451" s="1314"/>
      <c r="I1451" s="1274" t="str">
        <f t="shared" si="232"/>
        <v>Rate % of Sales</v>
      </c>
      <c r="J1451" s="1314" t="str">
        <f t="shared" si="230"/>
        <v>F</v>
      </c>
      <c r="K1451" s="1314" t="str">
        <f t="shared" si="231"/>
        <v>Incentives</v>
      </c>
      <c r="L1451" s="1314"/>
      <c r="M1451" s="1314"/>
      <c r="N1451" s="1314"/>
      <c r="O1451" s="1311"/>
      <c r="P1451" s="1311"/>
      <c r="Q1451" s="1311"/>
      <c r="R1451" s="1314" t="s">
        <v>395</v>
      </c>
      <c r="S1451" s="1311"/>
      <c r="T1451" s="1314" t="str">
        <f>IF(Q$949="Yes",M965,"")</f>
        <v/>
      </c>
      <c r="U1451" s="1311"/>
      <c r="V1451" s="1311"/>
      <c r="W1451" s="1311"/>
      <c r="X1451" s="1311"/>
      <c r="Y1451" s="1311"/>
      <c r="Z1451" s="1311"/>
    </row>
    <row r="1452" spans="1:26" x14ac:dyDescent="0.25">
      <c r="A1452" s="1013" t="s">
        <v>523</v>
      </c>
      <c r="B1452" s="1274" t="str">
        <f>IFERROR(_xlfn.CONCAT("D",('Configurable Tab'!$C$14+1)),"")</f>
        <v>D143</v>
      </c>
      <c r="C1452" s="1274" t="str">
        <f>IFERROR(_xlfn.CONCAT("E",('Configurable Tab'!$C$14+1)),"")</f>
        <v>E143</v>
      </c>
      <c r="D1452" s="1314" t="s">
        <v>1350</v>
      </c>
      <c r="E1452" s="791" t="s">
        <v>1742</v>
      </c>
      <c r="F1452" s="1314"/>
      <c r="G1452" s="1314"/>
      <c r="H1452" s="1314"/>
      <c r="I1452" s="1274" t="str">
        <f t="shared" si="232"/>
        <v>Offer this Incentive?</v>
      </c>
      <c r="J1452" s="1314" t="str">
        <f t="shared" si="230"/>
        <v>F</v>
      </c>
      <c r="K1452" s="1314" t="str">
        <f t="shared" si="231"/>
        <v>Incentives</v>
      </c>
      <c r="L1452" s="1314"/>
      <c r="M1452" s="1314"/>
      <c r="N1452" s="1314"/>
      <c r="O1452" s="1311" t="s">
        <v>1759</v>
      </c>
      <c r="P1452" s="1405">
        <f>'Configurable Tab'!E14</f>
        <v>0</v>
      </c>
      <c r="Q1452" s="1274" t="str">
        <f>IFERROR(_xlfn.CONCAT("C",('Configurable Tab'!$C14+1)),"")</f>
        <v>C143</v>
      </c>
      <c r="R1452" s="1314" t="s">
        <v>395</v>
      </c>
      <c r="S1452" s="1311"/>
      <c r="T1452" s="1314" t="str">
        <f>IF(Q$968="Yes",M968,"")</f>
        <v/>
      </c>
      <c r="U1452" s="1311"/>
      <c r="V1452" s="1311"/>
      <c r="W1452" s="1311"/>
      <c r="X1452" s="1311"/>
      <c r="Y1452" s="1311"/>
      <c r="Z1452" s="1311"/>
    </row>
    <row r="1453" spans="1:26" x14ac:dyDescent="0.25">
      <c r="A1453" s="1078" t="s">
        <v>1383</v>
      </c>
      <c r="B1453" s="1274" t="str">
        <f>IFERROR(_xlfn.CONCAT("D",('Configurable Tab'!$C$14+2)),"")</f>
        <v>D144</v>
      </c>
      <c r="C1453" s="1274" t="str">
        <f>IFERROR(_xlfn.CONCAT("E",('Configurable Tab'!$C$14+2)),"")</f>
        <v>E144</v>
      </c>
      <c r="D1453" s="1314" t="s">
        <v>1350</v>
      </c>
      <c r="E1453" s="791" t="s">
        <v>1742</v>
      </c>
      <c r="F1453" s="1314"/>
      <c r="G1453" s="1314"/>
      <c r="H1453" s="1314"/>
      <c r="I1453" s="1274" t="str">
        <f t="shared" si="232"/>
        <v>Incentive Type</v>
      </c>
      <c r="J1453" s="1314" t="str">
        <f t="shared" si="230"/>
        <v>F</v>
      </c>
      <c r="K1453" s="1314" t="str">
        <f t="shared" si="231"/>
        <v>Incentives</v>
      </c>
      <c r="L1453" s="1314"/>
      <c r="M1453" s="1314"/>
      <c r="N1453" s="1314"/>
      <c r="O1453" s="1311"/>
      <c r="P1453" s="1311"/>
      <c r="Q1453" s="1311"/>
      <c r="R1453" s="1314" t="s">
        <v>395</v>
      </c>
      <c r="S1453" s="1311"/>
      <c r="T1453" s="1314" t="str">
        <f>IF(Q$968="Yes",M969,"")</f>
        <v/>
      </c>
      <c r="U1453" s="1311"/>
      <c r="V1453" s="1311"/>
      <c r="W1453" s="1311"/>
      <c r="X1453" s="1311"/>
      <c r="Y1453" s="1311"/>
      <c r="Z1453" s="1311"/>
    </row>
    <row r="1454" spans="1:26" x14ac:dyDescent="0.25">
      <c r="A1454" s="1078" t="s">
        <v>1385</v>
      </c>
      <c r="B1454" s="1274" t="str">
        <f>IFERROR(_xlfn.CONCAT("D",('Configurable Tab'!$C$14+4)),"")</f>
        <v>D146</v>
      </c>
      <c r="C1454" s="1274" t="str">
        <f>IFERROR(_xlfn.CONCAT("E",('Configurable Tab'!$C$14+4)),"")</f>
        <v>E146</v>
      </c>
      <c r="D1454" s="1314" t="s">
        <v>1350</v>
      </c>
      <c r="E1454" s="791" t="s">
        <v>1742</v>
      </c>
      <c r="F1454" s="1314"/>
      <c r="G1454" s="1314"/>
      <c r="H1454" s="1314"/>
      <c r="I1454" s="1274" t="str">
        <f t="shared" si="232"/>
        <v>Incentive Effective Date</v>
      </c>
      <c r="J1454" s="1314" t="str">
        <f t="shared" si="230"/>
        <v>F</v>
      </c>
      <c r="K1454" s="1314" t="str">
        <f t="shared" si="231"/>
        <v>Incentives</v>
      </c>
      <c r="L1454" s="1314"/>
      <c r="M1454" s="1314"/>
      <c r="N1454" s="1314"/>
      <c r="O1454" s="1311"/>
      <c r="P1454" s="1311"/>
      <c r="Q1454" s="1311"/>
      <c r="R1454" s="1314" t="s">
        <v>395</v>
      </c>
      <c r="S1454" s="1311"/>
      <c r="T1454" s="1314" t="str">
        <f>IF(Q$968="Yes",M977,"")</f>
        <v/>
      </c>
      <c r="U1454" s="1311"/>
      <c r="V1454" s="1311"/>
      <c r="W1454" s="1311"/>
      <c r="X1454" s="1311"/>
      <c r="Y1454" s="1311"/>
      <c r="Z1454" s="1311"/>
    </row>
    <row r="1455" spans="1:26" x14ac:dyDescent="0.25">
      <c r="A1455" s="1078" t="s">
        <v>1386</v>
      </c>
      <c r="B1455" s="1274" t="str">
        <f>IFERROR(_xlfn.CONCAT("D",('Configurable Tab'!$C$14+5)),"")</f>
        <v>D147</v>
      </c>
      <c r="C1455" s="1274" t="str">
        <f>IFERROR(_xlfn.CONCAT("E",('Configurable Tab'!$C$14+5)),"")</f>
        <v>E147</v>
      </c>
      <c r="D1455" s="1314" t="s">
        <v>1350</v>
      </c>
      <c r="E1455" s="791" t="s">
        <v>1742</v>
      </c>
      <c r="F1455" s="1314"/>
      <c r="G1455" s="1314"/>
      <c r="H1455" s="1314"/>
      <c r="I1455" s="1274" t="str">
        <f t="shared" si="232"/>
        <v>Incentive Expiration Date</v>
      </c>
      <c r="J1455" s="1314" t="str">
        <f t="shared" si="230"/>
        <v>F</v>
      </c>
      <c r="K1455" s="1314" t="str">
        <f t="shared" si="231"/>
        <v>Incentives</v>
      </c>
      <c r="L1455" s="1314"/>
      <c r="M1455" s="1314"/>
      <c r="N1455" s="1314"/>
      <c r="O1455" s="1311"/>
      <c r="P1455" s="1311"/>
      <c r="Q1455" s="1311"/>
      <c r="R1455" s="1314" t="s">
        <v>395</v>
      </c>
      <c r="S1455" s="1311"/>
      <c r="T1455" s="1314" t="str">
        <f>IF(Q$968="Yes",M978,"")</f>
        <v/>
      </c>
      <c r="U1455" s="1311"/>
      <c r="V1455" s="1311"/>
      <c r="W1455" s="1311"/>
      <c r="X1455" s="1311"/>
      <c r="Y1455" s="1311"/>
      <c r="Z1455" s="1311"/>
    </row>
    <row r="1456" spans="1:26" x14ac:dyDescent="0.25">
      <c r="A1456" s="1078" t="s">
        <v>1380</v>
      </c>
      <c r="B1456" s="1274" t="str">
        <f>IFERROR(_xlfn.CONCAT("G",('Configurable Tab'!$C$14+1)),"")</f>
        <v>G143</v>
      </c>
      <c r="C1456" s="1274" t="str">
        <f>IFERROR(_xlfn.CONCAT("G",('Configurable Tab'!$C$14+2)),"")</f>
        <v>G144</v>
      </c>
      <c r="D1456" s="1314" t="s">
        <v>1350</v>
      </c>
      <c r="E1456" s="791" t="s">
        <v>1742</v>
      </c>
      <c r="F1456" s="1314"/>
      <c r="G1456" s="1314"/>
      <c r="H1456" s="1314"/>
      <c r="I1456" s="1274" t="str">
        <f t="shared" si="232"/>
        <v>Incentive Period</v>
      </c>
      <c r="J1456" s="1314" t="str">
        <f t="shared" si="230"/>
        <v>F</v>
      </c>
      <c r="K1456" s="1314" t="str">
        <f t="shared" si="231"/>
        <v>Incentives</v>
      </c>
      <c r="L1456" s="1314"/>
      <c r="M1456" s="1314"/>
      <c r="N1456" s="1314"/>
      <c r="O1456" s="1311"/>
      <c r="P1456" s="1311"/>
      <c r="Q1456" s="1311"/>
      <c r="R1456" s="1314" t="s">
        <v>395</v>
      </c>
      <c r="S1456" s="1311"/>
      <c r="T1456" s="1314" t="str">
        <f>IF(Q$968="Yes",M970,"")</f>
        <v/>
      </c>
      <c r="U1456" s="1311"/>
      <c r="V1456" s="1311"/>
      <c r="W1456" s="1311"/>
      <c r="X1456" s="1311"/>
      <c r="Y1456" s="1311"/>
      <c r="Z1456" s="1311"/>
    </row>
    <row r="1457" spans="1:26" x14ac:dyDescent="0.25">
      <c r="A1457" s="1078" t="s">
        <v>1381</v>
      </c>
      <c r="B1457" s="1274" t="str">
        <f>IFERROR(_xlfn.CONCAT("I",('Configurable Tab'!$C$14+1)),"")</f>
        <v>I143</v>
      </c>
      <c r="C1457" s="1274" t="str">
        <f>IFERROR(_xlfn.CONCAT("I",('Configurable Tab'!$C$14+2)),"")</f>
        <v>I144</v>
      </c>
      <c r="D1457" s="1314" t="s">
        <v>1350</v>
      </c>
      <c r="E1457" s="791" t="s">
        <v>1742</v>
      </c>
      <c r="F1457" s="1314"/>
      <c r="G1457" s="1314"/>
      <c r="H1457" s="1314"/>
      <c r="I1457" s="1274" t="str">
        <f t="shared" si="232"/>
        <v>Payment Method</v>
      </c>
      <c r="J1457" s="1314" t="str">
        <f t="shared" si="230"/>
        <v>F</v>
      </c>
      <c r="K1457" s="1314" t="str">
        <f t="shared" si="231"/>
        <v>Incentives</v>
      </c>
      <c r="L1457" s="1314"/>
      <c r="M1457" s="1314"/>
      <c r="N1457" s="1314"/>
      <c r="O1457" s="1311"/>
      <c r="P1457" s="1311"/>
      <c r="Q1457" s="1311"/>
      <c r="R1457" s="1314" t="s">
        <v>395</v>
      </c>
      <c r="S1457" s="1311"/>
      <c r="T1457" s="1314" t="str">
        <f>IF(Q$968="Yes",M971,"")</f>
        <v/>
      </c>
      <c r="U1457" s="1311"/>
      <c r="V1457" s="1311"/>
      <c r="W1457" s="1311"/>
      <c r="X1457" s="1311"/>
      <c r="Y1457" s="1311"/>
      <c r="Z1457" s="1311"/>
    </row>
    <row r="1458" spans="1:26" x14ac:dyDescent="0.25">
      <c r="A1458" s="1078" t="s">
        <v>833</v>
      </c>
      <c r="B1458" s="1274" t="str">
        <f>IFERROR(_xlfn.CONCAT("K",('Configurable Tab'!$C$14+1)),"")</f>
        <v>K143</v>
      </c>
      <c r="C1458" s="1274" t="str">
        <f>IFERROR(_xlfn.CONCAT("K",('Configurable Tab'!$C$14+2)),"")</f>
        <v>K144</v>
      </c>
      <c r="D1458" s="1314" t="s">
        <v>1350</v>
      </c>
      <c r="E1458" s="791" t="s">
        <v>1742</v>
      </c>
      <c r="F1458" s="1314"/>
      <c r="G1458" s="1314"/>
      <c r="H1458" s="1314"/>
      <c r="I1458" s="1274" t="str">
        <f t="shared" si="232"/>
        <v>Paid to:</v>
      </c>
      <c r="J1458" s="1314" t="str">
        <f t="shared" si="230"/>
        <v>F</v>
      </c>
      <c r="K1458" s="1314" t="str">
        <f t="shared" si="231"/>
        <v>Incentives</v>
      </c>
      <c r="L1458" s="1314"/>
      <c r="M1458" s="1314"/>
      <c r="N1458" s="1314"/>
      <c r="O1458" s="1311"/>
      <c r="P1458" s="1311"/>
      <c r="Q1458" s="1311"/>
      <c r="R1458" s="1314" t="s">
        <v>395</v>
      </c>
      <c r="S1458" s="1311"/>
      <c r="T1458" s="1314" t="str">
        <f>IF(Q$968="Yes",M972,"")</f>
        <v/>
      </c>
      <c r="U1458" s="1311"/>
      <c r="V1458" s="1311"/>
      <c r="W1458" s="1311"/>
      <c r="X1458" s="1311"/>
      <c r="Y1458" s="1311"/>
      <c r="Z1458" s="1311"/>
    </row>
    <row r="1459" spans="1:26" x14ac:dyDescent="0.25">
      <c r="A1459" s="1078" t="s">
        <v>1382</v>
      </c>
      <c r="B1459" s="1274" t="str">
        <f>IFERROR(_xlfn.CONCAT("M",('Configurable Tab'!$C$14+1)),"")</f>
        <v>M143</v>
      </c>
      <c r="C1459" s="1274" t="str">
        <f>IFERROR(_xlfn.CONCAT("M",('Configurable Tab'!$C$14+2)),"")</f>
        <v>M144</v>
      </c>
      <c r="D1459" s="1314" t="s">
        <v>1350</v>
      </c>
      <c r="E1459" s="791" t="s">
        <v>1742</v>
      </c>
      <c r="F1459" s="1314"/>
      <c r="G1459" s="1314"/>
      <c r="H1459" s="1314"/>
      <c r="I1459" s="1274" t="str">
        <f t="shared" si="232"/>
        <v>AP/AR Vendor Number</v>
      </c>
      <c r="J1459" s="1314" t="str">
        <f t="shared" si="230"/>
        <v>F</v>
      </c>
      <c r="K1459" s="1314" t="str">
        <f t="shared" si="231"/>
        <v>Incentives</v>
      </c>
      <c r="L1459" s="1314"/>
      <c r="M1459" s="1314"/>
      <c r="N1459" s="1314"/>
      <c r="O1459" s="1311"/>
      <c r="P1459" s="1311"/>
      <c r="Q1459" s="1311"/>
      <c r="R1459" s="1314" t="s">
        <v>395</v>
      </c>
      <c r="S1459" s="1311"/>
      <c r="T1459" s="1314" t="str">
        <f>IF(Q$968="Yes",M973,"")</f>
        <v/>
      </c>
      <c r="U1459" s="1311"/>
      <c r="V1459" s="1311"/>
      <c r="W1459" s="1311"/>
      <c r="X1459" s="1311"/>
      <c r="Y1459" s="1311"/>
      <c r="Z1459" s="1311"/>
    </row>
    <row r="1460" spans="1:26" x14ac:dyDescent="0.25">
      <c r="A1460" s="1078" t="s">
        <v>1387</v>
      </c>
      <c r="B1460" s="1274" t="str">
        <f>IFERROR(_xlfn.CONCAT("G",('Configurable Tab'!$C$14+4)),"")</f>
        <v>G146</v>
      </c>
      <c r="C1460" s="1274" t="str">
        <f>IFERROR(_xlfn.CONCAT("G",('Configurable Tab'!$C$14+5)),"")</f>
        <v>G147</v>
      </c>
      <c r="D1460" s="1314" t="s">
        <v>1350</v>
      </c>
      <c r="E1460" s="791" t="s">
        <v>1742</v>
      </c>
      <c r="F1460" s="1314"/>
      <c r="G1460" s="1314"/>
      <c r="H1460" s="1314"/>
      <c r="I1460" s="1274" t="str">
        <f t="shared" si="232"/>
        <v>Minimum Units</v>
      </c>
      <c r="J1460" s="1314" t="str">
        <f t="shared" si="230"/>
        <v>F</v>
      </c>
      <c r="K1460" s="1314" t="str">
        <f t="shared" si="231"/>
        <v>Incentives</v>
      </c>
      <c r="L1460" s="1314"/>
      <c r="M1460" s="1314"/>
      <c r="N1460" s="1314"/>
      <c r="O1460" s="1311"/>
      <c r="P1460" s="1311"/>
      <c r="Q1460" s="1311"/>
      <c r="R1460" s="1314" t="s">
        <v>395</v>
      </c>
      <c r="S1460" s="1311"/>
      <c r="T1460" s="1314" t="str">
        <f>IF(Q$968="Yes",M982,"")</f>
        <v/>
      </c>
      <c r="U1460" s="1311"/>
      <c r="V1460" s="1311"/>
      <c r="W1460" s="1311"/>
      <c r="X1460" s="1311"/>
      <c r="Y1460" s="1311"/>
      <c r="Z1460" s="1311"/>
    </row>
    <row r="1461" spans="1:26" x14ac:dyDescent="0.25">
      <c r="A1461" s="1078" t="s">
        <v>1389</v>
      </c>
      <c r="B1461" s="1274" t="str">
        <f>IFERROR(_xlfn.CONCAT("K",('Configurable Tab'!$C$14+4)),"")</f>
        <v>K146</v>
      </c>
      <c r="C1461" s="1274" t="str">
        <f>IFERROR(_xlfn.CONCAT("K",('Configurable Tab'!$C$14+5)),"")</f>
        <v>K147</v>
      </c>
      <c r="D1461" s="1314" t="s">
        <v>1350</v>
      </c>
      <c r="E1461" s="791" t="s">
        <v>1742</v>
      </c>
      <c r="F1461" s="1314"/>
      <c r="G1461" s="1314"/>
      <c r="H1461" s="1314"/>
      <c r="I1461" s="1274" t="str">
        <f t="shared" si="232"/>
        <v>Rate % of Sales</v>
      </c>
      <c r="J1461" s="1314" t="str">
        <f t="shared" si="230"/>
        <v>F</v>
      </c>
      <c r="K1461" s="1314" t="str">
        <f t="shared" si="231"/>
        <v>Incentives</v>
      </c>
      <c r="L1461" s="1314"/>
      <c r="M1461" s="1314"/>
      <c r="N1461" s="1314"/>
      <c r="O1461" s="1311"/>
      <c r="P1461" s="1311"/>
      <c r="Q1461" s="1311"/>
      <c r="R1461" s="1314" t="s">
        <v>395</v>
      </c>
      <c r="S1461" s="1311"/>
      <c r="T1461" s="1314" t="str">
        <f>IF(Q$968="Yes",M984,"")</f>
        <v/>
      </c>
      <c r="U1461" s="1311"/>
      <c r="V1461" s="1311"/>
      <c r="W1461" s="1311"/>
      <c r="X1461" s="1311"/>
      <c r="Y1461" s="1311"/>
      <c r="Z1461" s="1311"/>
    </row>
    <row r="1462" spans="1:26" x14ac:dyDescent="0.25">
      <c r="A1462" s="1070" t="s">
        <v>523</v>
      </c>
      <c r="B1462" s="1274" t="str">
        <f>IFERROR(_xlfn.CONCAT("D",('Configurable Tab'!$C$15+1)),"")</f>
        <v>D151</v>
      </c>
      <c r="C1462" s="1274" t="str">
        <f>IFERROR(_xlfn.CONCAT("E",('Configurable Tab'!$C$15+1)),"")</f>
        <v>E151</v>
      </c>
      <c r="D1462" s="1314" t="s">
        <v>1350</v>
      </c>
      <c r="E1462" s="791" t="s">
        <v>1742</v>
      </c>
      <c r="F1462" s="1314"/>
      <c r="G1462" s="1314"/>
      <c r="H1462" s="1314"/>
      <c r="I1462" s="1274" t="str">
        <f t="shared" si="232"/>
        <v>Offer this Incentive?</v>
      </c>
      <c r="J1462" s="1314" t="str">
        <f>$Q$1&amp;T1462</f>
        <v>F</v>
      </c>
      <c r="K1462" s="1314" t="str">
        <f t="shared" si="231"/>
        <v>Incentives</v>
      </c>
      <c r="L1462" s="1314"/>
      <c r="M1462" s="1314"/>
      <c r="N1462" s="1314"/>
      <c r="O1462" s="1311" t="s">
        <v>1696</v>
      </c>
      <c r="P1462" s="1405" t="str">
        <f>'Configurable Tab'!E15</f>
        <v>Yes</v>
      </c>
      <c r="Q1462" s="1274" t="str">
        <f>IFERROR(_xlfn.CONCAT("C",('Configurable Tab'!$C15+1)),"")</f>
        <v>C151</v>
      </c>
      <c r="R1462" s="1314" t="s">
        <v>1696</v>
      </c>
      <c r="S1462" s="1311"/>
      <c r="T1462" s="1314" t="str">
        <f>IF(Q$987="Yes",M987,"")</f>
        <v/>
      </c>
      <c r="U1462" s="1311"/>
      <c r="V1462" s="1311"/>
      <c r="W1462" s="1311"/>
      <c r="X1462" s="1311"/>
      <c r="Y1462" s="1311"/>
      <c r="Z1462" s="1311"/>
    </row>
    <row r="1463" spans="1:26" x14ac:dyDescent="0.25">
      <c r="A1463" s="1071" t="s">
        <v>1383</v>
      </c>
      <c r="B1463" s="1274" t="str">
        <f>IFERROR(_xlfn.CONCAT("D",('Configurable Tab'!$C$15+2)),"")</f>
        <v>D152</v>
      </c>
      <c r="C1463" s="1274" t="str">
        <f>IFERROR(_xlfn.CONCAT("E",('Configurable Tab'!$C$15+2)),"")</f>
        <v>E152</v>
      </c>
      <c r="D1463" s="1314" t="s">
        <v>1350</v>
      </c>
      <c r="E1463" s="791" t="s">
        <v>1742</v>
      </c>
      <c r="F1463" s="1314"/>
      <c r="G1463" s="1314"/>
      <c r="H1463" s="1314"/>
      <c r="I1463" s="1274" t="str">
        <f t="shared" si="232"/>
        <v>Incentive Type</v>
      </c>
      <c r="J1463" s="1314" t="str">
        <f t="shared" ref="J1463:J1471" si="233">$Q$1&amp;T1463</f>
        <v>F</v>
      </c>
      <c r="K1463" s="1314" t="str">
        <f t="shared" si="231"/>
        <v>Incentives</v>
      </c>
      <c r="L1463" s="1314"/>
      <c r="M1463" s="1314"/>
      <c r="N1463" s="1314"/>
      <c r="O1463" s="1311"/>
      <c r="P1463" s="1311"/>
      <c r="Q1463" s="1311"/>
      <c r="R1463" s="1314" t="s">
        <v>1696</v>
      </c>
      <c r="S1463" s="1311"/>
      <c r="T1463" s="1314" t="str">
        <f>IF(Q$987="Yes",M988,"")</f>
        <v/>
      </c>
      <c r="U1463" s="1311"/>
      <c r="V1463" s="1311"/>
      <c r="W1463" s="1311"/>
      <c r="X1463" s="1311"/>
      <c r="Y1463" s="1311"/>
      <c r="Z1463" s="1311"/>
    </row>
    <row r="1464" spans="1:26" x14ac:dyDescent="0.25">
      <c r="A1464" s="1071" t="s">
        <v>1385</v>
      </c>
      <c r="B1464" s="1274" t="str">
        <f>IFERROR(_xlfn.CONCAT("D",('Configurable Tab'!$C$15+4)),"")</f>
        <v>D154</v>
      </c>
      <c r="C1464" s="1274" t="str">
        <f>IFERROR(_xlfn.CONCAT("E",('Configurable Tab'!$C$15+4)),"")</f>
        <v>E154</v>
      </c>
      <c r="D1464" s="1314" t="s">
        <v>1350</v>
      </c>
      <c r="E1464" s="791" t="s">
        <v>1742</v>
      </c>
      <c r="F1464" s="1314"/>
      <c r="G1464" s="1314"/>
      <c r="H1464" s="1314"/>
      <c r="I1464" s="1274" t="str">
        <f t="shared" si="232"/>
        <v>Incentive Effective Date</v>
      </c>
      <c r="J1464" s="1314" t="str">
        <f t="shared" si="233"/>
        <v>F</v>
      </c>
      <c r="K1464" s="1314" t="str">
        <f t="shared" si="231"/>
        <v>Incentives</v>
      </c>
      <c r="L1464" s="1314"/>
      <c r="M1464" s="1314"/>
      <c r="N1464" s="1314"/>
      <c r="O1464" s="1311"/>
      <c r="P1464" s="1311"/>
      <c r="Q1464" s="1311"/>
      <c r="R1464" s="1314" t="s">
        <v>1696</v>
      </c>
      <c r="S1464" s="1311"/>
      <c r="T1464" s="1314" t="str">
        <f>IF(Q$987="Yes",M996,"")</f>
        <v/>
      </c>
      <c r="U1464" s="1311"/>
      <c r="V1464" s="1311"/>
      <c r="W1464" s="1311"/>
      <c r="X1464" s="1311"/>
      <c r="Y1464" s="1311"/>
      <c r="Z1464" s="1311"/>
    </row>
    <row r="1465" spans="1:26" x14ac:dyDescent="0.25">
      <c r="A1465" s="1071" t="s">
        <v>1386</v>
      </c>
      <c r="B1465" s="1274" t="str">
        <f>IFERROR(_xlfn.CONCAT("D",('Configurable Tab'!$C$15+5)),"")</f>
        <v>D155</v>
      </c>
      <c r="C1465" s="1274" t="str">
        <f>IFERROR(_xlfn.CONCAT("E",('Configurable Tab'!$C$15+5)),"")</f>
        <v>E155</v>
      </c>
      <c r="D1465" s="1314" t="s">
        <v>1350</v>
      </c>
      <c r="E1465" s="791" t="s">
        <v>1742</v>
      </c>
      <c r="F1465" s="1314"/>
      <c r="G1465" s="1314"/>
      <c r="H1465" s="1314"/>
      <c r="I1465" s="1274" t="str">
        <f t="shared" si="232"/>
        <v>Incentive Expiration Date</v>
      </c>
      <c r="J1465" s="1314" t="str">
        <f t="shared" si="233"/>
        <v>F</v>
      </c>
      <c r="K1465" s="1314" t="str">
        <f t="shared" si="231"/>
        <v>Incentives</v>
      </c>
      <c r="L1465" s="1314"/>
      <c r="M1465" s="1314"/>
      <c r="N1465" s="1314"/>
      <c r="O1465" s="1311"/>
      <c r="P1465" s="1311"/>
      <c r="Q1465" s="1311"/>
      <c r="R1465" s="1314" t="s">
        <v>1696</v>
      </c>
      <c r="S1465" s="1311"/>
      <c r="T1465" s="1314" t="str">
        <f>IF(Q$987="Yes",M997,"")</f>
        <v/>
      </c>
      <c r="U1465" s="1311"/>
      <c r="V1465" s="1311"/>
      <c r="W1465" s="1311"/>
      <c r="X1465" s="1311"/>
      <c r="Y1465" s="1311"/>
      <c r="Z1465" s="1311"/>
    </row>
    <row r="1466" spans="1:26" x14ac:dyDescent="0.25">
      <c r="A1466" s="1071" t="s">
        <v>1380</v>
      </c>
      <c r="B1466" s="1274" t="str">
        <f>IFERROR(_xlfn.CONCAT("G",('Configurable Tab'!$C$15+1)),"")</f>
        <v>G151</v>
      </c>
      <c r="C1466" s="1274" t="str">
        <f>IFERROR(_xlfn.CONCAT("G",('Configurable Tab'!$C$15+2)),"")</f>
        <v>G152</v>
      </c>
      <c r="D1466" s="1314" t="s">
        <v>1350</v>
      </c>
      <c r="E1466" s="791" t="s">
        <v>1742</v>
      </c>
      <c r="F1466" s="1314"/>
      <c r="G1466" s="1314"/>
      <c r="H1466" s="1314"/>
      <c r="I1466" s="1274" t="str">
        <f t="shared" si="232"/>
        <v>Incentive Period</v>
      </c>
      <c r="J1466" s="1314" t="str">
        <f t="shared" si="233"/>
        <v>F</v>
      </c>
      <c r="K1466" s="1314" t="str">
        <f t="shared" si="231"/>
        <v>Incentives</v>
      </c>
      <c r="L1466" s="1314"/>
      <c r="M1466" s="1314"/>
      <c r="N1466" s="1314"/>
      <c r="O1466" s="1311"/>
      <c r="P1466" s="1311"/>
      <c r="Q1466" s="1311"/>
      <c r="R1466" s="1314" t="s">
        <v>1696</v>
      </c>
      <c r="S1466" s="1311"/>
      <c r="T1466" s="1314" t="str">
        <f>IF(Q$987="Yes",M989,"")</f>
        <v/>
      </c>
      <c r="U1466" s="1311"/>
      <c r="V1466" s="1311"/>
      <c r="W1466" s="1311"/>
      <c r="X1466" s="1311"/>
      <c r="Y1466" s="1311"/>
      <c r="Z1466" s="1311"/>
    </row>
    <row r="1467" spans="1:26" x14ac:dyDescent="0.25">
      <c r="A1467" s="1071" t="s">
        <v>1381</v>
      </c>
      <c r="B1467" s="1274" t="str">
        <f>IFERROR(_xlfn.CONCAT("I",('Configurable Tab'!$C$15+1)),"")</f>
        <v>I151</v>
      </c>
      <c r="C1467" s="1274" t="str">
        <f>IFERROR(_xlfn.CONCAT("I",('Configurable Tab'!$C$15+2)),"")</f>
        <v>I152</v>
      </c>
      <c r="D1467" s="1314" t="s">
        <v>1350</v>
      </c>
      <c r="E1467" s="791" t="s">
        <v>1742</v>
      </c>
      <c r="F1467" s="1314"/>
      <c r="G1467" s="1314"/>
      <c r="H1467" s="1314"/>
      <c r="I1467" s="1274" t="str">
        <f t="shared" si="232"/>
        <v>Payment Method</v>
      </c>
      <c r="J1467" s="1314" t="str">
        <f t="shared" si="233"/>
        <v>F</v>
      </c>
      <c r="K1467" s="1314" t="str">
        <f t="shared" si="231"/>
        <v>Incentives</v>
      </c>
      <c r="L1467" s="1314"/>
      <c r="M1467" s="1314"/>
      <c r="N1467" s="1314"/>
      <c r="O1467" s="1311"/>
      <c r="P1467" s="1311"/>
      <c r="Q1467" s="1311"/>
      <c r="R1467" s="1314" t="s">
        <v>1696</v>
      </c>
      <c r="S1467" s="1311"/>
      <c r="T1467" s="1314" t="str">
        <f>IF(Q$987="Yes",M990,"")</f>
        <v/>
      </c>
      <c r="U1467" s="1311"/>
      <c r="V1467" s="1311"/>
      <c r="W1467" s="1311"/>
      <c r="X1467" s="1311"/>
      <c r="Y1467" s="1311"/>
      <c r="Z1467" s="1311"/>
    </row>
    <row r="1468" spans="1:26" x14ac:dyDescent="0.25">
      <c r="A1468" s="1071" t="s">
        <v>833</v>
      </c>
      <c r="B1468" s="1274" t="str">
        <f>IFERROR(_xlfn.CONCAT("K",('Configurable Tab'!$C$15+1)),"")</f>
        <v>K151</v>
      </c>
      <c r="C1468" s="1274" t="str">
        <f>IFERROR(_xlfn.CONCAT("K",('Configurable Tab'!$C$15+2)),"")</f>
        <v>K152</v>
      </c>
      <c r="D1468" s="1314" t="s">
        <v>1350</v>
      </c>
      <c r="E1468" s="791" t="s">
        <v>1742</v>
      </c>
      <c r="F1468" s="1314"/>
      <c r="G1468" s="1314"/>
      <c r="H1468" s="1314"/>
      <c r="I1468" s="1274" t="str">
        <f t="shared" si="232"/>
        <v>Paid to:</v>
      </c>
      <c r="J1468" s="1314" t="str">
        <f t="shared" si="233"/>
        <v>F</v>
      </c>
      <c r="K1468" s="1314" t="str">
        <f t="shared" si="231"/>
        <v>Incentives</v>
      </c>
      <c r="L1468" s="1314"/>
      <c r="M1468" s="1314"/>
      <c r="N1468" s="1314"/>
      <c r="O1468" s="1311"/>
      <c r="P1468" s="1311"/>
      <c r="Q1468" s="1311"/>
      <c r="R1468" s="1314" t="s">
        <v>1696</v>
      </c>
      <c r="S1468" s="1311"/>
      <c r="T1468" s="1314" t="str">
        <f>IF(Q$987="Yes",M991,"")</f>
        <v/>
      </c>
      <c r="U1468" s="1311"/>
      <c r="V1468" s="1311"/>
      <c r="W1468" s="1311"/>
      <c r="X1468" s="1311"/>
      <c r="Y1468" s="1311"/>
      <c r="Z1468" s="1311"/>
    </row>
    <row r="1469" spans="1:26" x14ac:dyDescent="0.25">
      <c r="A1469" s="1071" t="s">
        <v>1382</v>
      </c>
      <c r="B1469" s="1274" t="str">
        <f>IFERROR(_xlfn.CONCAT("M",('Configurable Tab'!$C$15+1)),"")</f>
        <v>M151</v>
      </c>
      <c r="C1469" s="1274" t="str">
        <f>IFERROR(_xlfn.CONCAT("M",('Configurable Tab'!$C$15+2)),"")</f>
        <v>M152</v>
      </c>
      <c r="D1469" s="1314" t="s">
        <v>1350</v>
      </c>
      <c r="E1469" s="791" t="s">
        <v>1742</v>
      </c>
      <c r="F1469" s="1314"/>
      <c r="G1469" s="1314"/>
      <c r="H1469" s="1314"/>
      <c r="I1469" s="1274" t="str">
        <f t="shared" si="232"/>
        <v>AP/AR Vendor Number</v>
      </c>
      <c r="J1469" s="1314" t="str">
        <f t="shared" si="233"/>
        <v>F</v>
      </c>
      <c r="K1469" s="1314" t="str">
        <f t="shared" si="231"/>
        <v>Incentives</v>
      </c>
      <c r="L1469" s="1314"/>
      <c r="M1469" s="1314"/>
      <c r="N1469" s="1314"/>
      <c r="O1469" s="1311"/>
      <c r="P1469" s="1311"/>
      <c r="Q1469" s="1311"/>
      <c r="R1469" s="1314" t="s">
        <v>1696</v>
      </c>
      <c r="S1469" s="1311"/>
      <c r="T1469" s="1314" t="str">
        <f>IF(Q$987="Yes",M992,"")</f>
        <v/>
      </c>
      <c r="U1469" s="1311"/>
      <c r="V1469" s="1311"/>
      <c r="W1469" s="1311"/>
      <c r="X1469" s="1311"/>
      <c r="Y1469" s="1311"/>
      <c r="Z1469" s="1311"/>
    </row>
    <row r="1470" spans="1:26" x14ac:dyDescent="0.25">
      <c r="A1470" s="1071" t="s">
        <v>1387</v>
      </c>
      <c r="B1470" s="1274" t="str">
        <f>IFERROR(_xlfn.CONCAT("G",('Configurable Tab'!$C$15+4)),"")</f>
        <v>G154</v>
      </c>
      <c r="C1470" s="1274" t="str">
        <f>IFERROR(_xlfn.CONCAT("G",('Configurable Tab'!$C$15+5)),"")</f>
        <v>G155</v>
      </c>
      <c r="D1470" s="1314" t="s">
        <v>1350</v>
      </c>
      <c r="E1470" s="791" t="s">
        <v>1742</v>
      </c>
      <c r="F1470" s="1314"/>
      <c r="G1470" s="1314"/>
      <c r="H1470" s="1314"/>
      <c r="I1470" s="1274" t="str">
        <f t="shared" si="232"/>
        <v>Minimum Units</v>
      </c>
      <c r="J1470" s="1314" t="str">
        <f t="shared" si="233"/>
        <v>F</v>
      </c>
      <c r="K1470" s="1314" t="str">
        <f t="shared" si="231"/>
        <v>Incentives</v>
      </c>
      <c r="L1470" s="1314"/>
      <c r="M1470" s="1314"/>
      <c r="N1470" s="1314"/>
      <c r="O1470" s="1311"/>
      <c r="P1470" s="1311"/>
      <c r="Q1470" s="1311"/>
      <c r="R1470" s="1314" t="s">
        <v>1696</v>
      </c>
      <c r="S1470" s="1311"/>
      <c r="T1470" s="1314" t="str">
        <f>IF(Q$987="Yes",M1001,"")</f>
        <v/>
      </c>
      <c r="U1470" s="1311"/>
      <c r="V1470" s="1311"/>
      <c r="W1470" s="1311"/>
      <c r="X1470" s="1311"/>
      <c r="Y1470" s="1311"/>
      <c r="Z1470" s="1311"/>
    </row>
    <row r="1471" spans="1:26" x14ac:dyDescent="0.25">
      <c r="A1471" s="1071" t="s">
        <v>1389</v>
      </c>
      <c r="B1471" s="1274" t="str">
        <f>IFERROR(_xlfn.CONCAT("K",('Configurable Tab'!$C$15+4)),"")</f>
        <v>K154</v>
      </c>
      <c r="C1471" s="1274" t="str">
        <f>IFERROR(_xlfn.CONCAT("K",('Configurable Tab'!$C$15+5)),"")</f>
        <v>K155</v>
      </c>
      <c r="D1471" s="1314" t="s">
        <v>1350</v>
      </c>
      <c r="E1471" s="791" t="s">
        <v>1742</v>
      </c>
      <c r="F1471" s="1314"/>
      <c r="G1471" s="1314"/>
      <c r="H1471" s="1314"/>
      <c r="I1471" s="1274" t="str">
        <f t="shared" si="232"/>
        <v>Rate % of Sales</v>
      </c>
      <c r="J1471" s="1314" t="str">
        <f t="shared" si="233"/>
        <v>F</v>
      </c>
      <c r="K1471" s="1314" t="str">
        <f t="shared" si="231"/>
        <v>Incentives</v>
      </c>
      <c r="L1471" s="1314"/>
      <c r="M1471" s="1314"/>
      <c r="N1471" s="1314"/>
      <c r="O1471" s="1311"/>
      <c r="P1471" s="1311"/>
      <c r="Q1471" s="1311"/>
      <c r="R1471" s="1314" t="s">
        <v>1696</v>
      </c>
      <c r="S1471" s="1311"/>
      <c r="T1471" s="1314" t="str">
        <f>IF(Q$987="Yes",M1003,"")</f>
        <v/>
      </c>
      <c r="U1471" s="1311"/>
      <c r="V1471" s="1311"/>
      <c r="W1471" s="1311"/>
      <c r="X1471" s="1311"/>
      <c r="Y1471" s="1311"/>
      <c r="Z1471" s="1311"/>
    </row>
    <row r="1472" spans="1:26" x14ac:dyDescent="0.25">
      <c r="A1472" s="847" t="s">
        <v>523</v>
      </c>
      <c r="B1472" s="1274" t="str">
        <f>IFERROR(_xlfn.CONCAT("D",('Configurable Tab'!$C$16+1)),"")</f>
        <v>D159</v>
      </c>
      <c r="C1472" s="1274" t="str">
        <f>IFERROR(_xlfn.CONCAT("E",('Configurable Tab'!$C$16+1)),"")</f>
        <v>E159</v>
      </c>
      <c r="D1472" s="1314" t="s">
        <v>1350</v>
      </c>
      <c r="E1472" s="791" t="s">
        <v>1742</v>
      </c>
      <c r="F1472" s="1314"/>
      <c r="G1472" s="1314"/>
      <c r="H1472" s="1314"/>
      <c r="I1472" s="1274" t="str">
        <f t="shared" si="232"/>
        <v>Offer this Incentive?</v>
      </c>
      <c r="J1472" s="1314" t="str">
        <f>$Q$1&amp;IF(T$1472&lt;&gt;0,U1472,IF(T$1479&lt;&gt;0,U1479,""))</f>
        <v>F</v>
      </c>
      <c r="K1472" s="1314" t="str">
        <f t="shared" si="231"/>
        <v>Incentives</v>
      </c>
      <c r="L1472" s="1314"/>
      <c r="M1472" s="1314"/>
      <c r="N1472" s="1314"/>
      <c r="O1472" s="1311" t="s">
        <v>1760</v>
      </c>
      <c r="P1472" s="1405" t="str">
        <f>'Configurable Tab'!E16</f>
        <v>No</v>
      </c>
      <c r="Q1472" s="1274" t="str">
        <f>IFERROR(_xlfn.CONCAT("C",('Configurable Tab'!$C16+1)),"")</f>
        <v>C159</v>
      </c>
      <c r="R1472" s="1314" t="s">
        <v>481</v>
      </c>
      <c r="S1472" s="1314" t="s">
        <v>1760</v>
      </c>
      <c r="T1472" s="1314">
        <f>IF(Q1005="Yes",IF(Q1016="Yes",2,1),0)</f>
        <v>0</v>
      </c>
      <c r="U1472" s="1314" t="str">
        <f>IF(Q$1005="Yes",M1005,"")</f>
        <v/>
      </c>
      <c r="V1472" s="1314" t="str">
        <f>IF(Q$1016="Yes",M1016,"")</f>
        <v/>
      </c>
      <c r="W1472" s="1311"/>
      <c r="X1472" s="1311"/>
      <c r="Y1472" s="1311"/>
      <c r="Z1472" s="1311"/>
    </row>
    <row r="1473" spans="1:26" x14ac:dyDescent="0.25">
      <c r="A1473" s="842" t="s">
        <v>1383</v>
      </c>
      <c r="B1473" s="1274" t="str">
        <f>IFERROR(_xlfn.CONCAT("D",('Configurable Tab'!$C$16+2)),"")</f>
        <v>D160</v>
      </c>
      <c r="C1473" s="1274" t="str">
        <f>IFERROR(_xlfn.CONCAT("E",('Configurable Tab'!$C$16+2)),"")</f>
        <v>E160</v>
      </c>
      <c r="D1473" s="1314" t="s">
        <v>1350</v>
      </c>
      <c r="E1473" s="791" t="s">
        <v>1742</v>
      </c>
      <c r="F1473" s="1314"/>
      <c r="G1473" s="1314"/>
      <c r="H1473" s="1314"/>
      <c r="I1473" s="1274" t="str">
        <f t="shared" si="232"/>
        <v>Incentive Type</v>
      </c>
      <c r="J1473" s="1314" t="str">
        <f t="shared" ref="J1473:J1478" si="234">$Q$1&amp;IF(T$1472&lt;&gt;0,U1473,IF(T$1479&lt;&gt;0,U1480,""))</f>
        <v>F</v>
      </c>
      <c r="K1473" s="1314" t="str">
        <f t="shared" si="231"/>
        <v>Incentives</v>
      </c>
      <c r="L1473" s="1314"/>
      <c r="M1473" s="1314"/>
      <c r="N1473" s="1314"/>
      <c r="O1473" s="1311"/>
      <c r="P1473" s="1311"/>
      <c r="Q1473" s="1311"/>
      <c r="R1473" s="1314" t="s">
        <v>481</v>
      </c>
      <c r="S1473" s="1314" t="s">
        <v>1760</v>
      </c>
      <c r="T1473" s="1311"/>
      <c r="U1473" s="1314" t="str">
        <f>IF(Q$1005="Yes",M1006,"")</f>
        <v/>
      </c>
      <c r="V1473" s="1314" t="str">
        <f>IF(Q$1016="Yes",M1017,"")</f>
        <v/>
      </c>
      <c r="W1473" s="1311"/>
      <c r="X1473" s="1311"/>
      <c r="Y1473" s="1311"/>
      <c r="Z1473" s="1311"/>
    </row>
    <row r="1474" spans="1:26" x14ac:dyDescent="0.25">
      <c r="A1474" s="842" t="s">
        <v>1385</v>
      </c>
      <c r="B1474" s="1274" t="str">
        <f>IFERROR(_xlfn.CONCAT("D",('Configurable Tab'!$C$16+4)),"")</f>
        <v>D162</v>
      </c>
      <c r="C1474" s="1274" t="str">
        <f>IFERROR(_xlfn.CONCAT("E",('Configurable Tab'!$C$16+4)),"")</f>
        <v>E162</v>
      </c>
      <c r="D1474" s="1314" t="s">
        <v>1350</v>
      </c>
      <c r="E1474" s="791" t="s">
        <v>1742</v>
      </c>
      <c r="F1474" s="1314"/>
      <c r="G1474" s="1314"/>
      <c r="H1474" s="1314"/>
      <c r="I1474" s="1274" t="str">
        <f t="shared" si="232"/>
        <v>Incentive Effective Date</v>
      </c>
      <c r="J1474" s="1314" t="str">
        <f t="shared" si="234"/>
        <v>F</v>
      </c>
      <c r="K1474" s="1314" t="str">
        <f t="shared" si="231"/>
        <v>Incentives</v>
      </c>
      <c r="L1474" s="1314"/>
      <c r="M1474" s="1314"/>
      <c r="N1474" s="1314"/>
      <c r="O1474" s="1311"/>
      <c r="P1474" s="1311"/>
      <c r="Q1474" s="1311"/>
      <c r="R1474" s="1314" t="s">
        <v>481</v>
      </c>
      <c r="S1474" s="1314" t="s">
        <v>1760</v>
      </c>
      <c r="T1474" s="1311"/>
      <c r="U1474" s="1314" t="str">
        <f>IF(Q$1005="Yes",M1010,"")</f>
        <v/>
      </c>
      <c r="V1474" s="1314" t="str">
        <f>IF(Q$1016="Yes",M1021,"")</f>
        <v/>
      </c>
      <c r="W1474" s="1311"/>
      <c r="X1474" s="1311"/>
      <c r="Y1474" s="1311"/>
      <c r="Z1474" s="1311"/>
    </row>
    <row r="1475" spans="1:26" x14ac:dyDescent="0.25">
      <c r="A1475" s="842" t="s">
        <v>1386</v>
      </c>
      <c r="B1475" s="1274" t="str">
        <f>IFERROR(_xlfn.CONCAT("D",('Configurable Tab'!$C$16+5)),"")</f>
        <v>D163</v>
      </c>
      <c r="C1475" s="1274" t="str">
        <f>IFERROR(_xlfn.CONCAT("E",('Configurable Tab'!$C$16+5)),"")</f>
        <v>E163</v>
      </c>
      <c r="D1475" s="1314" t="s">
        <v>1350</v>
      </c>
      <c r="E1475" s="791" t="s">
        <v>1742</v>
      </c>
      <c r="F1475" s="1314"/>
      <c r="G1475" s="1314"/>
      <c r="H1475" s="1314"/>
      <c r="I1475" s="1274" t="str">
        <f t="shared" si="232"/>
        <v>Incentive Expiration Date</v>
      </c>
      <c r="J1475" s="1314" t="str">
        <f t="shared" si="234"/>
        <v>F</v>
      </c>
      <c r="K1475" s="1314" t="str">
        <f t="shared" si="231"/>
        <v>Incentives</v>
      </c>
      <c r="L1475" s="1314"/>
      <c r="M1475" s="1314"/>
      <c r="N1475" s="1314"/>
      <c r="O1475" s="1311"/>
      <c r="P1475" s="1311"/>
      <c r="Q1475" s="1311"/>
      <c r="R1475" s="1314" t="s">
        <v>481</v>
      </c>
      <c r="S1475" s="1314" t="s">
        <v>1760</v>
      </c>
      <c r="T1475" s="1311"/>
      <c r="U1475" s="1314" t="str">
        <f>IF(Q$1005="Yes",M1011,"")</f>
        <v/>
      </c>
      <c r="V1475" s="1314" t="str">
        <f>IF(Q$1016="Yes",M1022,"")</f>
        <v/>
      </c>
      <c r="W1475" s="1311"/>
      <c r="X1475" s="1311"/>
      <c r="Y1475" s="1311"/>
      <c r="Z1475" s="1311"/>
    </row>
    <row r="1476" spans="1:26" x14ac:dyDescent="0.25">
      <c r="A1476" s="842" t="s">
        <v>1396</v>
      </c>
      <c r="B1476" s="1274" t="str">
        <f>IFERROR(_xlfn.CONCAT("G",('Configurable Tab'!$C$16+4)),"")</f>
        <v>G162</v>
      </c>
      <c r="C1476" s="1274" t="str">
        <f>IFERROR(_xlfn.CONCAT("G",('Configurable Tab'!$C$16+5)),"")</f>
        <v>G163</v>
      </c>
      <c r="D1476" s="1314" t="s">
        <v>1350</v>
      </c>
      <c r="E1476" s="791" t="s">
        <v>1742</v>
      </c>
      <c r="F1476" s="1314"/>
      <c r="G1476" s="1314"/>
      <c r="H1476" s="1314"/>
      <c r="I1476" s="1274" t="str">
        <f t="shared" si="232"/>
        <v>FF Payment Amount</v>
      </c>
      <c r="J1476" s="1314" t="str">
        <f t="shared" si="234"/>
        <v>F</v>
      </c>
      <c r="K1476" s="1314" t="str">
        <f t="shared" si="231"/>
        <v>Incentives</v>
      </c>
      <c r="L1476" s="1314"/>
      <c r="M1476" s="1314"/>
      <c r="N1476" s="1314"/>
      <c r="O1476" s="1311"/>
      <c r="P1476" s="1311"/>
      <c r="Q1476" s="1311"/>
      <c r="R1476" s="1314" t="s">
        <v>481</v>
      </c>
      <c r="S1476" s="1314" t="s">
        <v>1760</v>
      </c>
      <c r="T1476" s="1311"/>
      <c r="U1476" s="1314" t="str">
        <f>IF(Q$1005="Yes",M1014,"")</f>
        <v/>
      </c>
      <c r="V1476" s="1314" t="str">
        <f>IF(Q$1016="Yes",M1025,"")</f>
        <v/>
      </c>
      <c r="W1476" s="1311"/>
      <c r="X1476" s="1311"/>
      <c r="Y1476" s="1311"/>
      <c r="Z1476" s="1311"/>
    </row>
    <row r="1477" spans="1:26" x14ac:dyDescent="0.25">
      <c r="A1477" s="842" t="s">
        <v>1381</v>
      </c>
      <c r="B1477" s="1274" t="str">
        <f>IFERROR(_xlfn.CONCAT("I",('Configurable Tab'!$C$16+1)),"")</f>
        <v>I159</v>
      </c>
      <c r="C1477" s="1274" t="str">
        <f>IFERROR(_xlfn.CONCAT("I",('Configurable Tab'!$C$16+2)),"")</f>
        <v>I160</v>
      </c>
      <c r="D1477" s="1314" t="s">
        <v>1350</v>
      </c>
      <c r="E1477" s="791" t="s">
        <v>1742</v>
      </c>
      <c r="F1477" s="1314"/>
      <c r="G1477" s="1314"/>
      <c r="H1477" s="1314"/>
      <c r="I1477" s="1274" t="str">
        <f t="shared" si="232"/>
        <v>Payment Method</v>
      </c>
      <c r="J1477" s="1314" t="str">
        <f t="shared" si="234"/>
        <v>F</v>
      </c>
      <c r="K1477" s="1314" t="str">
        <f t="shared" ref="K1477:K1540" si="235">IF(J1477&lt;&gt;"",E1477,"")</f>
        <v>Incentives</v>
      </c>
      <c r="L1477" s="1314"/>
      <c r="M1477" s="1314"/>
      <c r="N1477" s="1314"/>
      <c r="O1477" s="1311"/>
      <c r="P1477" s="1311"/>
      <c r="Q1477" s="1311"/>
      <c r="R1477" s="1314" t="s">
        <v>481</v>
      </c>
      <c r="S1477" s="1314" t="s">
        <v>1760</v>
      </c>
      <c r="T1477" s="1311"/>
      <c r="U1477" s="1314" t="str">
        <f>IF(Q$1005="Yes",M1007,"")</f>
        <v/>
      </c>
      <c r="V1477" s="1314" t="str">
        <f>IF(Q$1016="Yes",M1018,"")</f>
        <v/>
      </c>
      <c r="W1477" s="1311"/>
      <c r="X1477" s="1311"/>
      <c r="Y1477" s="1311"/>
      <c r="Z1477" s="1311"/>
    </row>
    <row r="1478" spans="1:26" x14ac:dyDescent="0.25">
      <c r="A1478" s="842" t="s">
        <v>1382</v>
      </c>
      <c r="B1478" s="1274" t="str">
        <f>IFERROR(_xlfn.CONCAT("M",('Configurable Tab'!$C$16+1)),"")</f>
        <v>M159</v>
      </c>
      <c r="C1478" s="1274" t="str">
        <f>IFERROR(_xlfn.CONCAT("M",('Configurable Tab'!$C$16+2)),"")</f>
        <v>M160</v>
      </c>
      <c r="D1478" s="1314" t="s">
        <v>1350</v>
      </c>
      <c r="E1478" s="791" t="s">
        <v>1742</v>
      </c>
      <c r="F1478" s="1314"/>
      <c r="G1478" s="1314"/>
      <c r="H1478" s="1314"/>
      <c r="I1478" s="1274" t="str">
        <f t="shared" ref="I1478:I1541" si="236">IF(J1478&lt;&gt;"",A1478,"")</f>
        <v>AP/AR Vendor Number</v>
      </c>
      <c r="J1478" s="1314" t="str">
        <f t="shared" si="234"/>
        <v>F</v>
      </c>
      <c r="K1478" s="1314" t="str">
        <f t="shared" si="235"/>
        <v>Incentives</v>
      </c>
      <c r="L1478" s="1314"/>
      <c r="M1478" s="1314"/>
      <c r="N1478" s="1314"/>
      <c r="O1478" s="1311"/>
      <c r="P1478" s="1311"/>
      <c r="Q1478" s="1311"/>
      <c r="R1478" s="1314" t="s">
        <v>481</v>
      </c>
      <c r="S1478" s="1314" t="s">
        <v>1760</v>
      </c>
      <c r="T1478" s="1311"/>
      <c r="U1478" s="1314" t="str">
        <f>IF(Q$1005="Yes",M1009,"")</f>
        <v/>
      </c>
      <c r="V1478" s="1314" t="str">
        <f>IF(Q$1016="Yes",M1020,"")</f>
        <v/>
      </c>
      <c r="W1478" s="1311"/>
      <c r="X1478" s="1311"/>
      <c r="Y1478" s="1311"/>
      <c r="Z1478" s="1311"/>
    </row>
    <row r="1479" spans="1:26" x14ac:dyDescent="0.25">
      <c r="A1479" s="1011" t="s">
        <v>523</v>
      </c>
      <c r="B1479" s="1274" t="str">
        <f>IFERROR(_xlfn.CONCAT("D",('Configurable Tab'!$C$17+1)),"")</f>
        <v>D167</v>
      </c>
      <c r="C1479" s="1274" t="str">
        <f>IFERROR(_xlfn.CONCAT("E",('Configurable Tab'!$C$17+1)),"")</f>
        <v>E167</v>
      </c>
      <c r="D1479" s="1314" t="s">
        <v>1350</v>
      </c>
      <c r="E1479" s="791" t="s">
        <v>1742</v>
      </c>
      <c r="F1479" s="1314"/>
      <c r="G1479" s="1314"/>
      <c r="H1479" s="1314"/>
      <c r="I1479" s="1274" t="str">
        <f t="shared" si="236"/>
        <v>Offer this Incentive?</v>
      </c>
      <c r="J1479" s="1314" t="str">
        <f>$Q$1&amp;IF(T$1472=2,V1472,IF(AND(T$1479=1,T$1472=1),U1479,""))</f>
        <v>F</v>
      </c>
      <c r="K1479" s="1314" t="str">
        <f t="shared" si="235"/>
        <v>Incentives</v>
      </c>
      <c r="L1479" s="1314"/>
      <c r="M1479" s="1314"/>
      <c r="N1479" s="1314"/>
      <c r="O1479" s="1311" t="s">
        <v>1760</v>
      </c>
      <c r="P1479" s="1405" t="str">
        <f>'Configurable Tab'!E17</f>
        <v>No</v>
      </c>
      <c r="Q1479" s="1274" t="str">
        <f>IFERROR(_xlfn.CONCAT("C",('Configurable Tab'!$C17+1)),"")</f>
        <v>C167</v>
      </c>
      <c r="R1479" s="1314" t="s">
        <v>481</v>
      </c>
      <c r="S1479" s="1314" t="s">
        <v>1761</v>
      </c>
      <c r="T1479" s="1314">
        <f>IF(Q$1027="Yes",1,0)</f>
        <v>0</v>
      </c>
      <c r="U1479" s="1314" t="str">
        <f>IF(Q$1027="Yes",M1027,"")</f>
        <v/>
      </c>
      <c r="V1479" s="1311"/>
      <c r="W1479" s="1311"/>
      <c r="X1479" s="1311"/>
      <c r="Y1479" s="1311"/>
      <c r="Z1479" s="1311"/>
    </row>
    <row r="1480" spans="1:26" x14ac:dyDescent="0.25">
      <c r="A1480" s="1012" t="s">
        <v>1383</v>
      </c>
      <c r="B1480" s="1274" t="str">
        <f>IFERROR(_xlfn.CONCAT("D",('Configurable Tab'!$C$17+2)),"")</f>
        <v>D168</v>
      </c>
      <c r="C1480" s="1274" t="str">
        <f>IFERROR(_xlfn.CONCAT("E",('Configurable Tab'!$C$17+2)),"")</f>
        <v>E168</v>
      </c>
      <c r="D1480" s="1314" t="s">
        <v>1350</v>
      </c>
      <c r="E1480" s="791" t="s">
        <v>1742</v>
      </c>
      <c r="F1480" s="1314"/>
      <c r="G1480" s="1314"/>
      <c r="H1480" s="1314"/>
      <c r="I1480" s="1274" t="str">
        <f t="shared" si="236"/>
        <v>Incentive Type</v>
      </c>
      <c r="J1480" s="1377" t="str">
        <f t="shared" ref="J1480:J1485" si="237">$Q$1&amp;IF(T$1472=2,V1473,IF(AND(T$1479=1,T$1472=1),U1480,""))</f>
        <v>F</v>
      </c>
      <c r="K1480" s="1314" t="str">
        <f t="shared" si="235"/>
        <v>Incentives</v>
      </c>
      <c r="L1480" s="1314"/>
      <c r="M1480" s="1314"/>
      <c r="N1480" s="1314"/>
      <c r="O1480" s="1311"/>
      <c r="P1480" s="1311"/>
      <c r="Q1480" s="1311"/>
      <c r="R1480" s="1314" t="s">
        <v>481</v>
      </c>
      <c r="S1480" s="1314" t="s">
        <v>1761</v>
      </c>
      <c r="T1480" s="1311"/>
      <c r="U1480" s="1314" t="str">
        <f>IF(Q$1027="Yes",M1028,"")</f>
        <v/>
      </c>
      <c r="V1480" s="1311"/>
      <c r="W1480" s="1311"/>
      <c r="X1480" s="1311"/>
      <c r="Y1480" s="1311"/>
      <c r="Z1480" s="1311"/>
    </row>
    <row r="1481" spans="1:26" x14ac:dyDescent="0.25">
      <c r="A1481" s="1012" t="s">
        <v>1385</v>
      </c>
      <c r="B1481" s="1274" t="str">
        <f>IFERROR(_xlfn.CONCAT("D",('Configurable Tab'!$C$17+4)),"")</f>
        <v>D170</v>
      </c>
      <c r="C1481" s="1274" t="str">
        <f>IFERROR(_xlfn.CONCAT("E",('Configurable Tab'!$C$17+4)),"")</f>
        <v>E170</v>
      </c>
      <c r="D1481" s="1314" t="s">
        <v>1350</v>
      </c>
      <c r="E1481" s="791" t="s">
        <v>1742</v>
      </c>
      <c r="F1481" s="1314"/>
      <c r="G1481" s="1314"/>
      <c r="H1481" s="1314"/>
      <c r="I1481" s="1274" t="str">
        <f t="shared" si="236"/>
        <v>Incentive Effective Date</v>
      </c>
      <c r="J1481" s="1377" t="str">
        <f t="shared" si="237"/>
        <v>F</v>
      </c>
      <c r="K1481" s="1314" t="str">
        <f t="shared" si="235"/>
        <v>Incentives</v>
      </c>
      <c r="L1481" s="1314"/>
      <c r="M1481" s="1314"/>
      <c r="N1481" s="1314"/>
      <c r="O1481" s="1311"/>
      <c r="P1481" s="1311"/>
      <c r="Q1481" s="1311"/>
      <c r="R1481" s="1314" t="s">
        <v>481</v>
      </c>
      <c r="S1481" s="1314" t="s">
        <v>1761</v>
      </c>
      <c r="T1481" s="1311"/>
      <c r="U1481" s="1314" t="str">
        <f>IF(Q$1027="Yes",M1032,"")</f>
        <v/>
      </c>
      <c r="V1481" s="1311"/>
      <c r="W1481" s="1311"/>
      <c r="X1481" s="1311"/>
      <c r="Y1481" s="1311"/>
      <c r="Z1481" s="1311"/>
    </row>
    <row r="1482" spans="1:26" x14ac:dyDescent="0.25">
      <c r="A1482" s="1012" t="s">
        <v>1386</v>
      </c>
      <c r="B1482" s="1274" t="str">
        <f>IFERROR(_xlfn.CONCAT("D",('Configurable Tab'!$C$17+5)),"")</f>
        <v>D171</v>
      </c>
      <c r="C1482" s="1274" t="str">
        <f>IFERROR(_xlfn.CONCAT("E",('Configurable Tab'!$C$17+5)),"")</f>
        <v>E171</v>
      </c>
      <c r="D1482" s="1314" t="s">
        <v>1350</v>
      </c>
      <c r="E1482" s="791" t="s">
        <v>1742</v>
      </c>
      <c r="F1482" s="1314"/>
      <c r="G1482" s="1314"/>
      <c r="H1482" s="1314"/>
      <c r="I1482" s="1274" t="str">
        <f t="shared" si="236"/>
        <v>Incentive Expiration Date</v>
      </c>
      <c r="J1482" s="1377" t="str">
        <f t="shared" si="237"/>
        <v>F</v>
      </c>
      <c r="K1482" s="1314" t="str">
        <f t="shared" si="235"/>
        <v>Incentives</v>
      </c>
      <c r="L1482" s="1314"/>
      <c r="M1482" s="1314"/>
      <c r="N1482" s="1314"/>
      <c r="O1482" s="1311"/>
      <c r="P1482" s="1311"/>
      <c r="Q1482" s="1311"/>
      <c r="R1482" s="1314" t="s">
        <v>481</v>
      </c>
      <c r="S1482" s="1314" t="s">
        <v>1761</v>
      </c>
      <c r="T1482" s="1311"/>
      <c r="U1482" s="1314" t="str">
        <f>IF(Q$1027="Yes",M1033,"")</f>
        <v/>
      </c>
      <c r="V1482" s="1311"/>
      <c r="W1482" s="1311"/>
      <c r="X1482" s="1311"/>
      <c r="Y1482" s="1311"/>
      <c r="Z1482" s="1311"/>
    </row>
    <row r="1483" spans="1:26" x14ac:dyDescent="0.25">
      <c r="A1483" s="1012" t="s">
        <v>1396</v>
      </c>
      <c r="B1483" s="1274" t="str">
        <f>IFERROR(_xlfn.CONCAT("G",('Configurable Tab'!$C$17+4)),"")</f>
        <v>G170</v>
      </c>
      <c r="C1483" s="1274" t="str">
        <f>IFERROR(_xlfn.CONCAT("G",('Configurable Tab'!$C$17+5)),"")</f>
        <v>G171</v>
      </c>
      <c r="D1483" s="1314" t="s">
        <v>1350</v>
      </c>
      <c r="E1483" s="791" t="s">
        <v>1742</v>
      </c>
      <c r="F1483" s="1314"/>
      <c r="G1483" s="1314"/>
      <c r="H1483" s="1314"/>
      <c r="I1483" s="1274" t="str">
        <f t="shared" si="236"/>
        <v>FF Payment Amount</v>
      </c>
      <c r="J1483" s="1377" t="str">
        <f t="shared" si="237"/>
        <v>F</v>
      </c>
      <c r="K1483" s="1314" t="str">
        <f t="shared" si="235"/>
        <v>Incentives</v>
      </c>
      <c r="L1483" s="1314"/>
      <c r="M1483" s="1314"/>
      <c r="N1483" s="1314"/>
      <c r="O1483" s="1311"/>
      <c r="P1483" s="1311"/>
      <c r="Q1483" s="1311"/>
      <c r="R1483" s="1314" t="s">
        <v>481</v>
      </c>
      <c r="S1483" s="1314" t="s">
        <v>1761</v>
      </c>
      <c r="T1483" s="1311"/>
      <c r="U1483" s="1314" t="str">
        <f>IF(Q$1027="Yes",M1036,"")</f>
        <v/>
      </c>
      <c r="V1483" s="1311"/>
      <c r="W1483" s="1311"/>
      <c r="X1483" s="1311"/>
      <c r="Y1483" s="1311"/>
      <c r="Z1483" s="1311"/>
    </row>
    <row r="1484" spans="1:26" x14ac:dyDescent="0.25">
      <c r="A1484" s="1012" t="s">
        <v>1381</v>
      </c>
      <c r="B1484" s="1274" t="str">
        <f>IFERROR(_xlfn.CONCAT("I",('Configurable Tab'!$C$17+1)),"")</f>
        <v>I167</v>
      </c>
      <c r="C1484" s="1274" t="str">
        <f>IFERROR(_xlfn.CONCAT("I",('Configurable Tab'!$C$17+2)),"")</f>
        <v>I168</v>
      </c>
      <c r="D1484" s="1314" t="s">
        <v>1350</v>
      </c>
      <c r="E1484" s="791" t="s">
        <v>1742</v>
      </c>
      <c r="F1484" s="1314"/>
      <c r="G1484" s="1314"/>
      <c r="H1484" s="1314"/>
      <c r="I1484" s="1274" t="str">
        <f t="shared" si="236"/>
        <v>Payment Method</v>
      </c>
      <c r="J1484" s="1377" t="str">
        <f t="shared" si="237"/>
        <v>F</v>
      </c>
      <c r="K1484" s="1314" t="str">
        <f t="shared" si="235"/>
        <v>Incentives</v>
      </c>
      <c r="L1484" s="1314"/>
      <c r="M1484" s="1314"/>
      <c r="N1484" s="1314"/>
      <c r="O1484" s="1311"/>
      <c r="P1484" s="1311"/>
      <c r="Q1484" s="1311"/>
      <c r="R1484" s="1314" t="s">
        <v>481</v>
      </c>
      <c r="S1484" s="1314" t="s">
        <v>1761</v>
      </c>
      <c r="T1484" s="1311"/>
      <c r="U1484" s="1314" t="str">
        <f>IF(Q$1027="Yes",M1029,"")</f>
        <v/>
      </c>
      <c r="V1484" s="1311"/>
      <c r="W1484" s="1311"/>
      <c r="X1484" s="1311"/>
      <c r="Y1484" s="1311"/>
      <c r="Z1484" s="1311"/>
    </row>
    <row r="1485" spans="1:26" x14ac:dyDescent="0.25">
      <c r="A1485" s="1012" t="s">
        <v>1382</v>
      </c>
      <c r="B1485" s="1274" t="str">
        <f>IFERROR(_xlfn.CONCAT("M",('Configurable Tab'!$C$17+1)),"")</f>
        <v>M167</v>
      </c>
      <c r="C1485" s="1274" t="str">
        <f>IFERROR(_xlfn.CONCAT("M",('Configurable Tab'!$C$17+2)),"")</f>
        <v>M168</v>
      </c>
      <c r="D1485" s="1314" t="s">
        <v>1350</v>
      </c>
      <c r="E1485" s="791" t="s">
        <v>1742</v>
      </c>
      <c r="F1485" s="1314"/>
      <c r="G1485" s="1314"/>
      <c r="H1485" s="1314"/>
      <c r="I1485" s="1274" t="str">
        <f t="shared" si="236"/>
        <v>AP/AR Vendor Number</v>
      </c>
      <c r="J1485" s="1377" t="str">
        <f t="shared" si="237"/>
        <v>F</v>
      </c>
      <c r="K1485" s="1314" t="str">
        <f t="shared" si="235"/>
        <v>Incentives</v>
      </c>
      <c r="L1485" s="1314"/>
      <c r="M1485" s="1314"/>
      <c r="N1485" s="1314"/>
      <c r="O1485" s="1311"/>
      <c r="P1485" s="1311"/>
      <c r="Q1485" s="1311"/>
      <c r="R1485" s="1314" t="s">
        <v>481</v>
      </c>
      <c r="S1485" s="1314" t="s">
        <v>1761</v>
      </c>
      <c r="T1485" s="1311"/>
      <c r="U1485" s="1314" t="str">
        <f>IF(Q$1027="Yes",M1031,"")</f>
        <v/>
      </c>
      <c r="V1485" s="1311"/>
      <c r="W1485" s="1311"/>
      <c r="X1485" s="1311"/>
      <c r="Y1485" s="1311"/>
      <c r="Z1485" s="1311"/>
    </row>
    <row r="1486" spans="1:26" x14ac:dyDescent="0.25">
      <c r="A1486" s="1070" t="s">
        <v>523</v>
      </c>
      <c r="B1486" s="1274" t="str">
        <f>IFERROR(_xlfn.CONCAT("D",('Configurable Tab'!$C$18+1)),"")</f>
        <v>D175</v>
      </c>
      <c r="C1486" s="1274" t="str">
        <f>IFERROR(_xlfn.CONCAT("E",('Configurable Tab'!$C$18+1)),"")</f>
        <v>E175</v>
      </c>
      <c r="D1486" s="1314" t="s">
        <v>1350</v>
      </c>
      <c r="E1486" s="791" t="s">
        <v>1742</v>
      </c>
      <c r="F1486" s="1314"/>
      <c r="G1486" s="1314"/>
      <c r="H1486" s="1314"/>
      <c r="I1486" s="1274" t="str">
        <f t="shared" si="236"/>
        <v>Offer this Incentive?</v>
      </c>
      <c r="J1486" s="1314" t="str">
        <f>$Q$1&amp;T1486</f>
        <v>F</v>
      </c>
      <c r="K1486" s="1314" t="str">
        <f t="shared" si="235"/>
        <v>Incentives</v>
      </c>
      <c r="L1486" s="1314"/>
      <c r="M1486" s="1314"/>
      <c r="N1486" s="1314"/>
      <c r="O1486" s="1311" t="s">
        <v>1762</v>
      </c>
      <c r="P1486" s="1405" t="str">
        <f>'Configurable Tab'!E18</f>
        <v>No</v>
      </c>
      <c r="Q1486" s="1274" t="str">
        <f>IFERROR(_xlfn.CONCAT("C",('Configurable Tab'!$C18+1)),"")</f>
        <v>C175</v>
      </c>
      <c r="R1486" s="1314" t="s">
        <v>1136</v>
      </c>
      <c r="S1486" s="1311"/>
      <c r="T1486" s="1314" t="str">
        <f>IF(Q$1038="Yes",M1038,"")</f>
        <v/>
      </c>
      <c r="U1486" s="1311"/>
      <c r="V1486" s="1311"/>
      <c r="W1486" s="1311"/>
      <c r="X1486" s="1311"/>
      <c r="Y1486" s="1311"/>
      <c r="Z1486" s="1311"/>
    </row>
    <row r="1487" spans="1:26" x14ac:dyDescent="0.25">
      <c r="A1487" s="1071" t="s">
        <v>1383</v>
      </c>
      <c r="B1487" s="1274" t="str">
        <f>IFERROR(_xlfn.CONCAT("D",('Configurable Tab'!$C$18+2)),"")</f>
        <v>D176</v>
      </c>
      <c r="C1487" s="1274" t="str">
        <f>IFERROR(_xlfn.CONCAT("E",('Configurable Tab'!$C$18+2)),"")</f>
        <v>E176</v>
      </c>
      <c r="D1487" s="1314" t="s">
        <v>1350</v>
      </c>
      <c r="E1487" s="791" t="s">
        <v>1742</v>
      </c>
      <c r="F1487" s="1314"/>
      <c r="G1487" s="1314"/>
      <c r="H1487" s="1314"/>
      <c r="I1487" s="1274" t="str">
        <f t="shared" si="236"/>
        <v>Incentive Type</v>
      </c>
      <c r="J1487" s="1314" t="str">
        <f t="shared" ref="J1487:J1494" si="238">$Q$1&amp;T1487</f>
        <v>F</v>
      </c>
      <c r="K1487" s="1314" t="str">
        <f t="shared" si="235"/>
        <v>Incentives</v>
      </c>
      <c r="L1487" s="1314"/>
      <c r="M1487" s="1314"/>
      <c r="N1487" s="1314"/>
      <c r="O1487" s="1311"/>
      <c r="P1487" s="1311"/>
      <c r="Q1487" s="1311"/>
      <c r="R1487" s="1314" t="s">
        <v>1136</v>
      </c>
      <c r="S1487" s="1311"/>
      <c r="T1487" s="1314" t="str">
        <f>IF(Q$1038="Yes",M1039,"")</f>
        <v/>
      </c>
      <c r="U1487" s="1311"/>
      <c r="V1487" s="1311"/>
      <c r="W1487" s="1311"/>
      <c r="X1487" s="1311"/>
      <c r="Y1487" s="1311"/>
      <c r="Z1487" s="1311"/>
    </row>
    <row r="1488" spans="1:26" x14ac:dyDescent="0.25">
      <c r="A1488" s="1071" t="s">
        <v>1385</v>
      </c>
      <c r="B1488" s="1274" t="str">
        <f>IFERROR(_xlfn.CONCAT("D",('Configurable Tab'!$C$18+4)),"")</f>
        <v>D178</v>
      </c>
      <c r="C1488" s="1274" t="str">
        <f>IFERROR(_xlfn.CONCAT("E",('Configurable Tab'!$C$18+4)),"")</f>
        <v>E178</v>
      </c>
      <c r="D1488" s="1314" t="s">
        <v>1350</v>
      </c>
      <c r="E1488" s="791" t="s">
        <v>1742</v>
      </c>
      <c r="F1488" s="1314"/>
      <c r="G1488" s="1314"/>
      <c r="H1488" s="1314"/>
      <c r="I1488" s="1274" t="str">
        <f t="shared" si="236"/>
        <v>Incentive Effective Date</v>
      </c>
      <c r="J1488" s="1314" t="str">
        <f t="shared" si="238"/>
        <v>F</v>
      </c>
      <c r="K1488" s="1314" t="str">
        <f t="shared" si="235"/>
        <v>Incentives</v>
      </c>
      <c r="L1488" s="1314"/>
      <c r="M1488" s="1314"/>
      <c r="N1488" s="1314"/>
      <c r="O1488" s="1311"/>
      <c r="P1488" s="1311"/>
      <c r="Q1488" s="1311"/>
      <c r="R1488" s="1314" t="s">
        <v>1136</v>
      </c>
      <c r="S1488" s="1311"/>
      <c r="T1488" s="1314" t="str">
        <f>IF(Q$1038="Yes",M1046,"")</f>
        <v/>
      </c>
      <c r="U1488" s="1311"/>
      <c r="V1488" s="1311"/>
      <c r="W1488" s="1311"/>
      <c r="X1488" s="1311"/>
      <c r="Y1488" s="1311"/>
      <c r="Z1488" s="1311"/>
    </row>
    <row r="1489" spans="1:26" x14ac:dyDescent="0.25">
      <c r="A1489" s="1071" t="s">
        <v>1386</v>
      </c>
      <c r="B1489" s="1274" t="str">
        <f>IFERROR(_xlfn.CONCAT("D",('Configurable Tab'!$C$18+5)),"")</f>
        <v>D179</v>
      </c>
      <c r="C1489" s="1274" t="str">
        <f>IFERROR(_xlfn.CONCAT("E",('Configurable Tab'!$C$18+5)),"")</f>
        <v>E179</v>
      </c>
      <c r="D1489" s="1314" t="s">
        <v>1350</v>
      </c>
      <c r="E1489" s="791" t="s">
        <v>1742</v>
      </c>
      <c r="F1489" s="1314"/>
      <c r="G1489" s="1314"/>
      <c r="H1489" s="1314"/>
      <c r="I1489" s="1274" t="str">
        <f t="shared" si="236"/>
        <v>Incentive Expiration Date</v>
      </c>
      <c r="J1489" s="1314" t="str">
        <f t="shared" si="238"/>
        <v>F</v>
      </c>
      <c r="K1489" s="1314" t="str">
        <f t="shared" si="235"/>
        <v>Incentives</v>
      </c>
      <c r="L1489" s="1314"/>
      <c r="M1489" s="1314"/>
      <c r="N1489" s="1314"/>
      <c r="O1489" s="1311"/>
      <c r="P1489" s="1311"/>
      <c r="Q1489" s="1311"/>
      <c r="R1489" s="1314" t="s">
        <v>1136</v>
      </c>
      <c r="S1489" s="1311"/>
      <c r="T1489" s="1314" t="str">
        <f>IF(Q$1038="Yes",M1047,"")</f>
        <v/>
      </c>
      <c r="U1489" s="1311"/>
      <c r="V1489" s="1311"/>
      <c r="W1489" s="1311"/>
      <c r="X1489" s="1311"/>
      <c r="Y1489" s="1311"/>
      <c r="Z1489" s="1311"/>
    </row>
    <row r="1490" spans="1:26" x14ac:dyDescent="0.25">
      <c r="A1490" s="1071" t="s">
        <v>1380</v>
      </c>
      <c r="B1490" s="1274" t="str">
        <f>IFERROR(_xlfn.CONCAT("G",('Configurable Tab'!$C$18+1)),"")</f>
        <v>G175</v>
      </c>
      <c r="C1490" s="1274" t="str">
        <f>IFERROR(_xlfn.CONCAT("G",('Configurable Tab'!$C$18+2)),"")</f>
        <v>G176</v>
      </c>
      <c r="D1490" s="1314" t="s">
        <v>1350</v>
      </c>
      <c r="E1490" s="791" t="s">
        <v>1742</v>
      </c>
      <c r="F1490" s="1314"/>
      <c r="G1490" s="1314"/>
      <c r="H1490" s="1314"/>
      <c r="I1490" s="1274" t="str">
        <f t="shared" si="236"/>
        <v>Incentive Period</v>
      </c>
      <c r="J1490" s="1314" t="str">
        <f t="shared" si="238"/>
        <v>F</v>
      </c>
      <c r="K1490" s="1314" t="str">
        <f t="shared" si="235"/>
        <v>Incentives</v>
      </c>
      <c r="L1490" s="1314"/>
      <c r="M1490" s="1314"/>
      <c r="N1490" s="1314"/>
      <c r="O1490" s="1311"/>
      <c r="P1490" s="1311"/>
      <c r="Q1490" s="1311"/>
      <c r="R1490" s="1314" t="s">
        <v>1136</v>
      </c>
      <c r="S1490" s="1311"/>
      <c r="T1490" s="1314" t="str">
        <f>IF(Q$1038="Yes",M1818,"")</f>
        <v/>
      </c>
      <c r="U1490" s="1311"/>
      <c r="V1490" s="1311"/>
      <c r="W1490" s="1311"/>
      <c r="X1490" s="1311"/>
      <c r="Y1490" s="1311"/>
      <c r="Z1490" s="1311"/>
    </row>
    <row r="1491" spans="1:26" x14ac:dyDescent="0.25">
      <c r="A1491" s="1071" t="s">
        <v>1381</v>
      </c>
      <c r="B1491" s="1274" t="str">
        <f>IFERROR(_xlfn.CONCAT("I",('Configurable Tab'!$C$18+1)),"")</f>
        <v>I175</v>
      </c>
      <c r="C1491" s="1274" t="str">
        <f>IFERROR(_xlfn.CONCAT("I",('Configurable Tab'!$C$18+2)),"")</f>
        <v>I176</v>
      </c>
      <c r="D1491" s="1314" t="s">
        <v>1350</v>
      </c>
      <c r="E1491" s="791" t="s">
        <v>1742</v>
      </c>
      <c r="F1491" s="1314"/>
      <c r="G1491" s="1314"/>
      <c r="H1491" s="1314"/>
      <c r="I1491" s="1274" t="str">
        <f t="shared" si="236"/>
        <v>Payment Method</v>
      </c>
      <c r="J1491" s="1314" t="str">
        <f t="shared" si="238"/>
        <v>F</v>
      </c>
      <c r="K1491" s="1314" t="str">
        <f t="shared" si="235"/>
        <v>Incentives</v>
      </c>
      <c r="L1491" s="1314"/>
      <c r="M1491" s="1314"/>
      <c r="N1491" s="1314"/>
      <c r="O1491" s="1311"/>
      <c r="P1491" s="1311"/>
      <c r="Q1491" s="1311"/>
      <c r="R1491" s="1314" t="s">
        <v>1136</v>
      </c>
      <c r="S1491" s="1311"/>
      <c r="T1491" s="1314" t="str">
        <f>IF(Q$1038="Yes",M1040,"")</f>
        <v/>
      </c>
      <c r="U1491" s="1311"/>
      <c r="V1491" s="1311"/>
      <c r="W1491" s="1311"/>
      <c r="X1491" s="1311"/>
      <c r="Y1491" s="1311"/>
      <c r="Z1491" s="1311"/>
    </row>
    <row r="1492" spans="1:26" x14ac:dyDescent="0.25">
      <c r="A1492" s="1071" t="s">
        <v>833</v>
      </c>
      <c r="B1492" s="1274" t="str">
        <f>IFERROR(_xlfn.CONCAT("K",('Configurable Tab'!$C$18+1)),"")</f>
        <v>K175</v>
      </c>
      <c r="C1492" s="1274" t="str">
        <f>IFERROR(_xlfn.CONCAT("K",('Configurable Tab'!$C$18+2)),"")</f>
        <v>K176</v>
      </c>
      <c r="D1492" s="1314" t="s">
        <v>1350</v>
      </c>
      <c r="E1492" s="791" t="s">
        <v>1742</v>
      </c>
      <c r="F1492" s="1314"/>
      <c r="G1492" s="1314"/>
      <c r="H1492" s="1314"/>
      <c r="I1492" s="1274" t="str">
        <f t="shared" si="236"/>
        <v>Paid to:</v>
      </c>
      <c r="J1492" s="1314" t="str">
        <f t="shared" si="238"/>
        <v>F</v>
      </c>
      <c r="K1492" s="1314" t="str">
        <f t="shared" si="235"/>
        <v>Incentives</v>
      </c>
      <c r="L1492" s="1314"/>
      <c r="M1492" s="1314"/>
      <c r="N1492" s="1314"/>
      <c r="O1492" s="1311"/>
      <c r="P1492" s="1311"/>
      <c r="Q1492" s="1311"/>
      <c r="R1492" s="1314" t="s">
        <v>1136</v>
      </c>
      <c r="S1492" s="1311"/>
      <c r="T1492" s="1314" t="str">
        <f>IF(Q$1038="Yes",M1041,"")</f>
        <v/>
      </c>
      <c r="U1492" s="1311"/>
      <c r="V1492" s="1311"/>
      <c r="W1492" s="1311"/>
      <c r="X1492" s="1311"/>
      <c r="Y1492" s="1311"/>
      <c r="Z1492" s="1311"/>
    </row>
    <row r="1493" spans="1:26" x14ac:dyDescent="0.25">
      <c r="A1493" s="1071" t="s">
        <v>1382</v>
      </c>
      <c r="B1493" s="1274" t="str">
        <f>IFERROR(_xlfn.CONCAT("M",('Configurable Tab'!$C$18+1)),"")</f>
        <v>M175</v>
      </c>
      <c r="C1493" s="1274" t="str">
        <f>IFERROR(_xlfn.CONCAT("M",('Configurable Tab'!$C$18+2)),"")</f>
        <v>M176</v>
      </c>
      <c r="D1493" s="1314" t="s">
        <v>1350</v>
      </c>
      <c r="E1493" s="791" t="s">
        <v>1742</v>
      </c>
      <c r="F1493" s="1314"/>
      <c r="G1493" s="1314"/>
      <c r="H1493" s="1314"/>
      <c r="I1493" s="1274" t="str">
        <f t="shared" si="236"/>
        <v>AP/AR Vendor Number</v>
      </c>
      <c r="J1493" s="1314" t="str">
        <f t="shared" si="238"/>
        <v>F</v>
      </c>
      <c r="K1493" s="1314" t="str">
        <f t="shared" si="235"/>
        <v>Incentives</v>
      </c>
      <c r="L1493" s="1314"/>
      <c r="M1493" s="1314"/>
      <c r="N1493" s="1314"/>
      <c r="O1493" s="1311"/>
      <c r="P1493" s="1311"/>
      <c r="Q1493" s="1311"/>
      <c r="R1493" s="1314" t="s">
        <v>1136</v>
      </c>
      <c r="S1493" s="1311"/>
      <c r="T1493" s="1314" t="str">
        <f>IF(Q$1038="Yes",M1042,"")</f>
        <v/>
      </c>
      <c r="U1493" s="1311"/>
      <c r="V1493" s="1311"/>
      <c r="W1493" s="1311"/>
      <c r="X1493" s="1311"/>
      <c r="Y1493" s="1311"/>
      <c r="Z1493" s="1311"/>
    </row>
    <row r="1494" spans="1:26" x14ac:dyDescent="0.25">
      <c r="A1494" s="1071" t="s">
        <v>1389</v>
      </c>
      <c r="B1494" s="1274" t="str">
        <f>IFERROR(_xlfn.CONCAT("K",('Configurable Tab'!$C$18+4)),"")</f>
        <v>K178</v>
      </c>
      <c r="C1494" s="1274" t="str">
        <f>IFERROR(_xlfn.CONCAT("K",('Configurable Tab'!$C$18+5)),"")</f>
        <v>K179</v>
      </c>
      <c r="D1494" s="1314" t="s">
        <v>1350</v>
      </c>
      <c r="E1494" s="791" t="s">
        <v>1742</v>
      </c>
      <c r="F1494" s="1314"/>
      <c r="G1494" s="1314"/>
      <c r="H1494" s="1314"/>
      <c r="I1494" s="1274" t="str">
        <f t="shared" si="236"/>
        <v>Rate % of Sales</v>
      </c>
      <c r="J1494" s="1314" t="str">
        <f t="shared" si="238"/>
        <v>F</v>
      </c>
      <c r="K1494" s="1314" t="str">
        <f t="shared" si="235"/>
        <v>Incentives</v>
      </c>
      <c r="L1494" s="1314"/>
      <c r="M1494" s="1314"/>
      <c r="N1494" s="1314"/>
      <c r="O1494" s="1311"/>
      <c r="P1494" s="1311"/>
      <c r="Q1494" s="1311"/>
      <c r="R1494" s="1314" t="s">
        <v>1136</v>
      </c>
      <c r="S1494" s="1311"/>
      <c r="T1494" s="1314" t="str">
        <f>IF(Q$1038="Yes",M1050,"")</f>
        <v/>
      </c>
      <c r="U1494" s="1311"/>
      <c r="V1494" s="1311"/>
      <c r="W1494" s="1311"/>
      <c r="X1494" s="1311"/>
      <c r="Y1494" s="1311"/>
      <c r="Z1494" s="1311"/>
    </row>
    <row r="1495" spans="1:26" x14ac:dyDescent="0.25">
      <c r="A1495" s="1081" t="s">
        <v>523</v>
      </c>
      <c r="B1495" s="1274" t="str">
        <f>IFERROR(_xlfn.CONCAT("D",('Configurable Tab'!$C$19+1)),"")</f>
        <v>D183</v>
      </c>
      <c r="C1495" s="1274" t="str">
        <f>IFERROR(_xlfn.CONCAT("E",('Configurable Tab'!$C$19+1)),"")</f>
        <v>E183</v>
      </c>
      <c r="D1495" s="1314" t="s">
        <v>1350</v>
      </c>
      <c r="E1495" s="791" t="s">
        <v>1742</v>
      </c>
      <c r="F1495" s="1314"/>
      <c r="G1495" s="1314"/>
      <c r="H1495" s="1314"/>
      <c r="I1495" s="1274" t="str">
        <f t="shared" si="236"/>
        <v>Offer this Incentive?</v>
      </c>
      <c r="J1495" s="1314" t="str">
        <f>$Q$1&amp;IF($Q$1052="Yes",T1495,IF($Q$1069="Yes",V1495,""))</f>
        <v>F</v>
      </c>
      <c r="K1495" s="1314" t="str">
        <f t="shared" si="235"/>
        <v>Incentives</v>
      </c>
      <c r="L1495" s="1314"/>
      <c r="M1495" s="1314"/>
      <c r="N1495" s="1314"/>
      <c r="O1495" s="1311" t="s">
        <v>1700</v>
      </c>
      <c r="P1495" s="1405" t="str">
        <f>'Configurable Tab'!E19</f>
        <v>No</v>
      </c>
      <c r="Q1495" s="1274" t="str">
        <f>IFERROR(_xlfn.CONCAT("C",('Configurable Tab'!$C19+1)),"")</f>
        <v>C183</v>
      </c>
      <c r="R1495" s="1314" t="s">
        <v>1700</v>
      </c>
      <c r="S1495" s="1314" t="s">
        <v>1133</v>
      </c>
      <c r="T1495" s="1314" t="str">
        <f>IF(Q$1052="Yes",M1052,"")</f>
        <v/>
      </c>
      <c r="U1495" s="1314" t="s">
        <v>1763</v>
      </c>
      <c r="V1495" s="1314" t="str">
        <f>IF(Q$1069="Yes",M1069,"")</f>
        <v/>
      </c>
      <c r="W1495" s="1311"/>
      <c r="X1495" s="1311"/>
      <c r="Y1495" s="1311"/>
      <c r="Z1495" s="1311"/>
    </row>
    <row r="1496" spans="1:26" x14ac:dyDescent="0.25">
      <c r="A1496" s="790" t="s">
        <v>1383</v>
      </c>
      <c r="B1496" s="1274" t="str">
        <f>IFERROR(_xlfn.CONCAT("D",('Configurable Tab'!$C$19+2)),"")</f>
        <v>D184</v>
      </c>
      <c r="C1496" s="1274" t="str">
        <f>IFERROR(_xlfn.CONCAT("E",('Configurable Tab'!$C$19+2)),"")</f>
        <v>E184</v>
      </c>
      <c r="D1496" s="1314" t="s">
        <v>1350</v>
      </c>
      <c r="E1496" s="791" t="s">
        <v>1742</v>
      </c>
      <c r="F1496" s="1314"/>
      <c r="G1496" s="1314"/>
      <c r="H1496" s="1314"/>
      <c r="I1496" s="1274" t="str">
        <f t="shared" si="236"/>
        <v>Incentive Type</v>
      </c>
      <c r="J1496" s="1314" t="str">
        <f t="shared" ref="J1496:J1509" si="239">$Q$1&amp;IF($Q$1052="Yes",T1496,IF($Q$1069="Yes",V1496,""))</f>
        <v>F</v>
      </c>
      <c r="K1496" s="1314" t="str">
        <f t="shared" si="235"/>
        <v>Incentives</v>
      </c>
      <c r="L1496" s="1314"/>
      <c r="M1496" s="1314"/>
      <c r="N1496" s="1314"/>
      <c r="O1496" s="1311"/>
      <c r="P1496" s="1311"/>
      <c r="Q1496" s="1311"/>
      <c r="R1496" s="1314" t="s">
        <v>1700</v>
      </c>
      <c r="S1496" s="1314" t="s">
        <v>1133</v>
      </c>
      <c r="T1496" s="1314" t="str">
        <f>IF(Q$1052="Yes",M1053,"")</f>
        <v/>
      </c>
      <c r="U1496" s="1314" t="s">
        <v>1763</v>
      </c>
      <c r="V1496" s="1314" t="str">
        <f>IF(Q$1069="Yes",M1070,"")</f>
        <v/>
      </c>
      <c r="W1496" s="1311"/>
      <c r="X1496" s="1311"/>
      <c r="Y1496" s="1311"/>
      <c r="Z1496" s="1311"/>
    </row>
    <row r="1497" spans="1:26" x14ac:dyDescent="0.25">
      <c r="A1497" s="790" t="s">
        <v>1385</v>
      </c>
      <c r="B1497" s="1274" t="str">
        <f>IFERROR(_xlfn.CONCAT("D",('Configurable Tab'!$C$19+4)),"")</f>
        <v>D186</v>
      </c>
      <c r="C1497" s="1274" t="str">
        <f>IFERROR(_xlfn.CONCAT("E",('Configurable Tab'!$C$19+4)),"")</f>
        <v>E186</v>
      </c>
      <c r="D1497" s="1314" t="s">
        <v>1350</v>
      </c>
      <c r="E1497" s="791" t="s">
        <v>1742</v>
      </c>
      <c r="F1497" s="1314"/>
      <c r="G1497" s="1314"/>
      <c r="H1497" s="1314"/>
      <c r="I1497" s="1274" t="str">
        <f t="shared" si="236"/>
        <v>Incentive Effective Date</v>
      </c>
      <c r="J1497" s="1314" t="str">
        <f t="shared" si="239"/>
        <v>F</v>
      </c>
      <c r="K1497" s="1314" t="str">
        <f t="shared" si="235"/>
        <v>Incentives</v>
      </c>
      <c r="L1497" s="1314"/>
      <c r="M1497" s="1314"/>
      <c r="N1497" s="1314"/>
      <c r="O1497" s="1311"/>
      <c r="P1497" s="1311"/>
      <c r="Q1497" s="1311"/>
      <c r="R1497" s="1314" t="s">
        <v>1700</v>
      </c>
      <c r="S1497" s="1314" t="s">
        <v>1133</v>
      </c>
      <c r="T1497" s="1314" t="str">
        <f>IF(Q$1052="Yes",M1056,"")</f>
        <v/>
      </c>
      <c r="U1497" s="1314" t="s">
        <v>1763</v>
      </c>
      <c r="V1497" s="1314" t="str">
        <f>IF(Q$1069="Yes",M1073,"")</f>
        <v/>
      </c>
      <c r="W1497" s="1311"/>
      <c r="X1497" s="1311"/>
      <c r="Y1497" s="1311"/>
      <c r="Z1497" s="1311"/>
    </row>
    <row r="1498" spans="1:26" x14ac:dyDescent="0.25">
      <c r="A1498" s="790" t="s">
        <v>1386</v>
      </c>
      <c r="B1498" s="1274" t="str">
        <f>IFERROR(_xlfn.CONCAT("D",('Configurable Tab'!$C$19+5)),"")</f>
        <v>D187</v>
      </c>
      <c r="C1498" s="1274" t="str">
        <f>IFERROR(_xlfn.CONCAT("E",('Configurable Tab'!$C$19+5)),"")</f>
        <v>E187</v>
      </c>
      <c r="D1498" s="1314" t="s">
        <v>1350</v>
      </c>
      <c r="E1498" s="791" t="s">
        <v>1742</v>
      </c>
      <c r="F1498" s="1314"/>
      <c r="G1498" s="1314"/>
      <c r="H1498" s="1314"/>
      <c r="I1498" s="1274" t="str">
        <f t="shared" si="236"/>
        <v>Incentive Expiration Date</v>
      </c>
      <c r="J1498" s="1314" t="str">
        <f t="shared" si="239"/>
        <v>F</v>
      </c>
      <c r="K1498" s="1314" t="str">
        <f t="shared" si="235"/>
        <v>Incentives</v>
      </c>
      <c r="L1498" s="1314"/>
      <c r="M1498" s="1314"/>
      <c r="N1498" s="1314"/>
      <c r="O1498" s="1311"/>
      <c r="P1498" s="1311"/>
      <c r="Q1498" s="1311"/>
      <c r="R1498" s="1314" t="s">
        <v>1700</v>
      </c>
      <c r="S1498" s="1314" t="s">
        <v>1133</v>
      </c>
      <c r="T1498" s="1314" t="str">
        <f>IF(Q$1052="Yes",M1057,"")</f>
        <v/>
      </c>
      <c r="U1498" s="1314" t="s">
        <v>1763</v>
      </c>
      <c r="V1498" s="1314" t="str">
        <f>IF(Q$1069="Yes",M1074,"")</f>
        <v/>
      </c>
      <c r="W1498" s="1311"/>
      <c r="X1498" s="1311"/>
      <c r="Y1498" s="1311"/>
      <c r="Z1498" s="1311"/>
    </row>
    <row r="1499" spans="1:26" x14ac:dyDescent="0.25">
      <c r="A1499" s="790" t="s">
        <v>1381</v>
      </c>
      <c r="B1499" s="1274" t="str">
        <f>IFERROR(_xlfn.CONCAT("I",('Configurable Tab'!$C$19+1)),"")</f>
        <v>I183</v>
      </c>
      <c r="C1499" s="1274" t="str">
        <f>IFERROR(_xlfn.CONCAT("I",('Configurable Tab'!$C$19+2)),"")</f>
        <v>I184</v>
      </c>
      <c r="D1499" s="1314" t="s">
        <v>1350</v>
      </c>
      <c r="E1499" s="791" t="s">
        <v>1742</v>
      </c>
      <c r="F1499" s="1314"/>
      <c r="G1499" s="1314"/>
      <c r="H1499" s="1314"/>
      <c r="I1499" s="1274" t="str">
        <f t="shared" si="236"/>
        <v>Payment Method</v>
      </c>
      <c r="J1499" s="1314" t="str">
        <f t="shared" si="239"/>
        <v>F</v>
      </c>
      <c r="K1499" s="1314" t="str">
        <f t="shared" si="235"/>
        <v>Incentives</v>
      </c>
      <c r="L1499" s="1314"/>
      <c r="M1499" s="1314"/>
      <c r="N1499" s="1314"/>
      <c r="O1499" s="1311"/>
      <c r="P1499" s="1311"/>
      <c r="Q1499" s="1311"/>
      <c r="R1499" s="1314" t="s">
        <v>1700</v>
      </c>
      <c r="S1499" s="1314" t="s">
        <v>1133</v>
      </c>
      <c r="T1499" s="1314" t="str">
        <f>IF(Q$1052="Yes",M1054,"")</f>
        <v/>
      </c>
      <c r="U1499" s="1314" t="s">
        <v>1763</v>
      </c>
      <c r="V1499" s="1314" t="str">
        <f>IF(Q$1069="Yes",M1071,"")</f>
        <v/>
      </c>
      <c r="W1499" s="1311"/>
      <c r="X1499" s="1311"/>
      <c r="Y1499" s="1311"/>
      <c r="Z1499" s="1311"/>
    </row>
    <row r="1500" spans="1:26" x14ac:dyDescent="0.25">
      <c r="A1500" s="790" t="s">
        <v>1382</v>
      </c>
      <c r="B1500" s="1274" t="str">
        <f>IFERROR(_xlfn.CONCAT("M",('Configurable Tab'!$C$19+1)),"")</f>
        <v>M183</v>
      </c>
      <c r="C1500" s="1274" t="str">
        <f>IFERROR(_xlfn.CONCAT("M",('Configurable Tab'!$C$19+2)),"")</f>
        <v>M184</v>
      </c>
      <c r="D1500" s="1314" t="s">
        <v>1350</v>
      </c>
      <c r="E1500" s="791" t="s">
        <v>1742</v>
      </c>
      <c r="F1500" s="1314"/>
      <c r="G1500" s="1314"/>
      <c r="H1500" s="1314"/>
      <c r="I1500" s="1274" t="str">
        <f t="shared" si="236"/>
        <v>AP/AR Vendor Number</v>
      </c>
      <c r="J1500" s="1314" t="str">
        <f t="shared" si="239"/>
        <v>F</v>
      </c>
      <c r="K1500" s="1314" t="str">
        <f t="shared" si="235"/>
        <v>Incentives</v>
      </c>
      <c r="L1500" s="1314"/>
      <c r="M1500" s="1314"/>
      <c r="N1500" s="1314"/>
      <c r="O1500" s="1311"/>
      <c r="P1500" s="1311"/>
      <c r="Q1500" s="1311"/>
      <c r="R1500" s="1314" t="s">
        <v>1700</v>
      </c>
      <c r="S1500" s="1314" t="s">
        <v>1133</v>
      </c>
      <c r="T1500" s="1314" t="str">
        <f>IF(Q$1052="Yes",M1055,"")</f>
        <v/>
      </c>
      <c r="U1500" s="1314" t="s">
        <v>1763</v>
      </c>
      <c r="V1500" s="1314" t="str">
        <f>IF(Q$1069="Yes",M1072,"")</f>
        <v/>
      </c>
      <c r="W1500" s="1311"/>
      <c r="X1500" s="1311"/>
      <c r="Y1500" s="1311"/>
      <c r="Z1500" s="1311"/>
    </row>
    <row r="1501" spans="1:26" x14ac:dyDescent="0.25">
      <c r="A1501" s="790" t="s">
        <v>1396</v>
      </c>
      <c r="B1501" s="1274" t="str">
        <f>IFERROR(_xlfn.CONCAT("G",('Configurable Tab'!$C$19+4)),"")</f>
        <v>G186</v>
      </c>
      <c r="C1501" s="1274" t="str">
        <f>IFERROR(_xlfn.CONCAT("G",('Configurable Tab'!$C$19+5)),"")</f>
        <v>G187</v>
      </c>
      <c r="D1501" s="1314" t="s">
        <v>1350</v>
      </c>
      <c r="E1501" s="791" t="s">
        <v>1742</v>
      </c>
      <c r="F1501" s="1310"/>
      <c r="G1501" s="1069"/>
      <c r="H1501" s="1314"/>
      <c r="I1501" s="1274" t="str">
        <f t="shared" si="236"/>
        <v>FF Payment Amount</v>
      </c>
      <c r="J1501" s="1314" t="str">
        <f t="shared" si="239"/>
        <v>F</v>
      </c>
      <c r="K1501" s="1314" t="str">
        <f t="shared" si="235"/>
        <v>Incentives</v>
      </c>
      <c r="L1501" s="1314"/>
      <c r="M1501" s="1314"/>
      <c r="N1501" s="1314"/>
      <c r="O1501" s="1311"/>
      <c r="P1501" s="1311"/>
      <c r="Q1501" s="1311"/>
      <c r="R1501" s="1314" t="s">
        <v>1700</v>
      </c>
      <c r="S1501" s="1314" t="s">
        <v>1133</v>
      </c>
      <c r="T1501" s="1314" t="str">
        <f>IF(Q$1052="Yes",M1060,"")</f>
        <v/>
      </c>
      <c r="U1501" s="1314" t="s">
        <v>1763</v>
      </c>
      <c r="V1501" s="1314" t="str">
        <f>IF(Q$1069="Yes",M1077,"")</f>
        <v/>
      </c>
      <c r="W1501" s="1311"/>
      <c r="X1501" s="1311"/>
      <c r="Y1501" s="1311"/>
      <c r="Z1501" s="1311"/>
    </row>
    <row r="1502" spans="1:26" x14ac:dyDescent="0.25">
      <c r="A1502" s="790" t="s">
        <v>1474</v>
      </c>
      <c r="B1502" s="1274" t="str">
        <f>IFERROR(_xlfn.CONCAT("I",('Configurable Tab'!$C$19+4)),"")</f>
        <v>I186</v>
      </c>
      <c r="C1502" s="1274" t="str">
        <f>IFERROR(_xlfn.CONCAT("I",('Configurable Tab'!$C$19+5)),"")</f>
        <v>I187</v>
      </c>
      <c r="D1502" s="1314" t="s">
        <v>1350</v>
      </c>
      <c r="E1502" s="791" t="s">
        <v>1742</v>
      </c>
      <c r="F1502" s="1310"/>
      <c r="G1502" s="972"/>
      <c r="H1502" s="1314"/>
      <c r="I1502" s="1274" t="str">
        <f t="shared" si="236"/>
        <v>Unamortized Prepaid Amount</v>
      </c>
      <c r="J1502" s="1314" t="str">
        <f t="shared" si="239"/>
        <v>F</v>
      </c>
      <c r="K1502" s="1314" t="str">
        <f t="shared" si="235"/>
        <v>Incentives</v>
      </c>
      <c r="L1502" s="1314"/>
      <c r="M1502" s="1314"/>
      <c r="N1502" s="1314"/>
      <c r="O1502" s="1311"/>
      <c r="P1502" s="1311"/>
      <c r="Q1502" s="1311"/>
      <c r="R1502" s="1314" t="s">
        <v>1700</v>
      </c>
      <c r="S1502" s="1314" t="s">
        <v>1133</v>
      </c>
      <c r="T1502" s="1314" t="str">
        <f>IF(Q$1052="Yes",M1061,"")</f>
        <v/>
      </c>
      <c r="U1502" s="1314" t="s">
        <v>1763</v>
      </c>
      <c r="V1502" s="1314" t="str">
        <f>IF(Q$1069="Yes",M1078,"")</f>
        <v/>
      </c>
      <c r="W1502" s="1311"/>
      <c r="X1502" s="1311"/>
      <c r="Y1502" s="1311"/>
      <c r="Z1502" s="1311"/>
    </row>
    <row r="1503" spans="1:26" x14ac:dyDescent="0.25">
      <c r="A1503" s="790" t="s">
        <v>1475</v>
      </c>
      <c r="B1503" s="1274" t="str">
        <f>IFERROR(_xlfn.CONCAT("K",('Configurable Tab'!$C$19+4)),"")</f>
        <v>K186</v>
      </c>
      <c r="C1503" s="1274" t="str">
        <f>IFERROR(_xlfn.CONCAT("K",('Configurable Tab'!$C$19+5)),"")</f>
        <v>K187</v>
      </c>
      <c r="D1503" s="1314" t="s">
        <v>1350</v>
      </c>
      <c r="E1503" s="791" t="s">
        <v>1742</v>
      </c>
      <c r="F1503" s="972"/>
      <c r="G1503" s="1310"/>
      <c r="H1503" s="1314"/>
      <c r="I1503" s="1274" t="str">
        <f t="shared" si="236"/>
        <v>Net Prepaid Amount</v>
      </c>
      <c r="J1503" s="1314" t="str">
        <f t="shared" si="239"/>
        <v>F</v>
      </c>
      <c r="K1503" s="1314" t="str">
        <f t="shared" si="235"/>
        <v>Incentives</v>
      </c>
      <c r="L1503" s="1314"/>
      <c r="M1503" s="1314"/>
      <c r="N1503" s="1314"/>
      <c r="O1503" s="1311"/>
      <c r="P1503" s="1311"/>
      <c r="Q1503" s="1311"/>
      <c r="R1503" s="1314" t="s">
        <v>1700</v>
      </c>
      <c r="S1503" s="1314" t="s">
        <v>1133</v>
      </c>
      <c r="T1503" s="1314" t="str">
        <f>IF(Q$1052="Yes",M1062,"")</f>
        <v/>
      </c>
      <c r="U1503" s="1314" t="s">
        <v>1763</v>
      </c>
      <c r="V1503" s="1314"/>
      <c r="W1503" s="1311"/>
      <c r="X1503" s="1311"/>
      <c r="Y1503" s="1311"/>
      <c r="Z1503" s="1311"/>
    </row>
    <row r="1504" spans="1:26" x14ac:dyDescent="0.25">
      <c r="A1504" s="790" t="s">
        <v>1402</v>
      </c>
      <c r="B1504" s="1274" t="str">
        <f>IFERROR(_xlfn.CONCAT("M",('Configurable Tab'!$C$19+4)),"")</f>
        <v>M186</v>
      </c>
      <c r="C1504" s="1274" t="str">
        <f>IFERROR(_xlfn.CONCAT("M",('Configurable Tab'!$C$19+5)),"")</f>
        <v>M187</v>
      </c>
      <c r="D1504" s="1314" t="s">
        <v>1350</v>
      </c>
      <c r="E1504" s="791" t="s">
        <v>1742</v>
      </c>
      <c r="F1504" s="972"/>
      <c r="G1504" s="1310"/>
      <c r="H1504" s="1314"/>
      <c r="I1504" s="1274" t="str">
        <f t="shared" si="236"/>
        <v>Agreement Classification</v>
      </c>
      <c r="J1504" s="1314" t="str">
        <f t="shared" si="239"/>
        <v>F</v>
      </c>
      <c r="K1504" s="1314" t="str">
        <f t="shared" si="235"/>
        <v>Incentives</v>
      </c>
      <c r="L1504" s="1314"/>
      <c r="M1504" s="1314"/>
      <c r="N1504" s="1314"/>
      <c r="O1504" s="1311"/>
      <c r="P1504" s="1311"/>
      <c r="Q1504" s="1311"/>
      <c r="R1504" s="1314" t="s">
        <v>1700</v>
      </c>
      <c r="S1504" s="1314" t="s">
        <v>1133</v>
      </c>
      <c r="T1504" s="1314" t="str">
        <f>IF(Q$1052="Yes",M1065,"")</f>
        <v/>
      </c>
      <c r="U1504" s="1314" t="s">
        <v>1763</v>
      </c>
      <c r="V1504" s="1314" t="str">
        <f>IF(Q$1069="Yes",M1081,"")</f>
        <v/>
      </c>
      <c r="W1504" s="1311"/>
      <c r="X1504" s="1311"/>
      <c r="Y1504" s="1311"/>
      <c r="Z1504" s="1311"/>
    </row>
    <row r="1505" spans="1:26" x14ac:dyDescent="0.25">
      <c r="A1505" s="790" t="s">
        <v>1478</v>
      </c>
      <c r="B1505" s="1274" t="str">
        <f>IFERROR(_xlfn.CONCAT("G",('Configurable Tab'!$C$19+7)),"")</f>
        <v>G189</v>
      </c>
      <c r="C1505" s="1274" t="str">
        <f>IFERROR(_xlfn.CONCAT("G",('Configurable Tab'!$C$19+8)),"")</f>
        <v>G190</v>
      </c>
      <c r="D1505" s="1314" t="s">
        <v>1350</v>
      </c>
      <c r="E1505" s="791" t="s">
        <v>1742</v>
      </c>
      <c r="F1505" s="874"/>
      <c r="G1505" s="1069"/>
      <c r="H1505" s="1314"/>
      <c r="I1505" s="1274" t="str">
        <f t="shared" si="236"/>
        <v>Previous Agreement ID</v>
      </c>
      <c r="J1505" s="1314" t="str">
        <f t="shared" si="239"/>
        <v>F</v>
      </c>
      <c r="K1505" s="1314" t="str">
        <f t="shared" si="235"/>
        <v>Incentives</v>
      </c>
      <c r="L1505" s="1314"/>
      <c r="M1505" s="1314"/>
      <c r="N1505" s="1314"/>
      <c r="O1505" s="1311"/>
      <c r="P1505" s="1311"/>
      <c r="Q1505" s="1311"/>
      <c r="R1505" s="1314" t="s">
        <v>1700</v>
      </c>
      <c r="S1505" s="1314" t="s">
        <v>1133</v>
      </c>
      <c r="T1505" s="1314" t="str">
        <f>IF(Q$1052="Yes",M1902,"")</f>
        <v/>
      </c>
      <c r="U1505" s="1314" t="s">
        <v>1763</v>
      </c>
      <c r="V1505" s="1314" t="str">
        <f>IF(Q$1069="Yes",M1907,"")</f>
        <v/>
      </c>
      <c r="W1505" s="1311"/>
      <c r="X1505" s="1311"/>
      <c r="Y1505" s="1311"/>
      <c r="Z1505" s="1311"/>
    </row>
    <row r="1506" spans="1:26" ht="30" x14ac:dyDescent="0.25">
      <c r="A1506" s="790" t="s">
        <v>1479</v>
      </c>
      <c r="B1506" s="1274" t="str">
        <f>IFERROR(_xlfn.CONCAT("I",('Configurable Tab'!$C$19+7)),"")</f>
        <v>I189</v>
      </c>
      <c r="C1506" s="1274" t="str">
        <f>IFERROR(_xlfn.CONCAT("I",('Configurable Tab'!$C$19+8)),"")</f>
        <v>I190</v>
      </c>
      <c r="D1506" s="1314" t="s">
        <v>1350</v>
      </c>
      <c r="E1506" s="791" t="s">
        <v>1742</v>
      </c>
      <c r="F1506" s="52"/>
      <c r="G1506" s="52"/>
      <c r="H1506" s="1314"/>
      <c r="I1506" s="1274" t="str">
        <f t="shared" si="236"/>
        <v>Previous Agreement Incentive Reference Number</v>
      </c>
      <c r="J1506" s="1314" t="str">
        <f t="shared" si="239"/>
        <v>F</v>
      </c>
      <c r="K1506" s="1314" t="str">
        <f t="shared" si="235"/>
        <v>Incentives</v>
      </c>
      <c r="L1506" s="1314"/>
      <c r="M1506" s="1314"/>
      <c r="N1506" s="1314"/>
      <c r="O1506" s="1311"/>
      <c r="P1506" s="1311"/>
      <c r="Q1506" s="1311"/>
      <c r="R1506" s="1314" t="s">
        <v>1700</v>
      </c>
      <c r="S1506" s="1314" t="s">
        <v>1133</v>
      </c>
      <c r="T1506" s="1314" t="str">
        <f>IF(Q$1052="Yes",M1063,"")</f>
        <v/>
      </c>
      <c r="U1506" s="1314" t="s">
        <v>1763</v>
      </c>
      <c r="V1506" s="1314" t="str">
        <f>IF(Q$1069="Yes",M1079,"")</f>
        <v/>
      </c>
      <c r="W1506" s="1311"/>
      <c r="X1506" s="1311"/>
      <c r="Y1506" s="1311"/>
      <c r="Z1506" s="1311"/>
    </row>
    <row r="1507" spans="1:26" x14ac:dyDescent="0.25">
      <c r="A1507" s="790" t="s">
        <v>1135</v>
      </c>
      <c r="B1507" s="1274" t="str">
        <f>IFERROR(_xlfn.CONCAT("K",('Configurable Tab'!$C$19+7)),"")</f>
        <v>K189</v>
      </c>
      <c r="C1507" s="1274" t="str">
        <f>IFERROR(_xlfn.CONCAT("K",('Configurable Tab'!$C$19+8)),"")</f>
        <v>K190</v>
      </c>
      <c r="D1507" s="1314" t="s">
        <v>1350</v>
      </c>
      <c r="E1507" s="791" t="s">
        <v>1742</v>
      </c>
      <c r="F1507" s="1314"/>
      <c r="G1507" s="1314"/>
      <c r="H1507" s="1314"/>
      <c r="I1507" s="1274" t="str">
        <f t="shared" si="236"/>
        <v>Previous Agreement Effective Date</v>
      </c>
      <c r="J1507" s="1314" t="str">
        <f t="shared" si="239"/>
        <v>F</v>
      </c>
      <c r="K1507" s="1314" t="str">
        <f t="shared" si="235"/>
        <v>Incentives</v>
      </c>
      <c r="L1507" s="1314"/>
      <c r="M1507" s="1314"/>
      <c r="N1507" s="1314"/>
      <c r="O1507" s="1311"/>
      <c r="P1507" s="1311"/>
      <c r="Q1507" s="1311"/>
      <c r="R1507" s="1314" t="s">
        <v>1700</v>
      </c>
      <c r="S1507" s="1314" t="s">
        <v>1133</v>
      </c>
      <c r="T1507" s="1314" t="str">
        <f>IF(Q$1052="Yes",M1064,"")</f>
        <v/>
      </c>
      <c r="U1507" s="1314" t="s">
        <v>1763</v>
      </c>
      <c r="V1507" s="1314" t="str">
        <f>IF(Q$1069="Yes",M1080,"")</f>
        <v/>
      </c>
      <c r="W1507" s="1311"/>
      <c r="X1507" s="1311"/>
      <c r="Y1507" s="1311"/>
      <c r="Z1507" s="1311"/>
    </row>
    <row r="1508" spans="1:26" x14ac:dyDescent="0.25">
      <c r="A1508" s="790" t="s">
        <v>1480</v>
      </c>
      <c r="B1508" s="1274" t="str">
        <f>IFERROR(_xlfn.CONCAT("M",('Configurable Tab'!$C$19+7)),"")</f>
        <v>M189</v>
      </c>
      <c r="C1508" s="1274" t="str">
        <f>IFERROR(_xlfn.CONCAT("M",('Configurable Tab'!$C$19+8)),"")</f>
        <v>M190</v>
      </c>
      <c r="D1508" s="1314" t="s">
        <v>1350</v>
      </c>
      <c r="E1508" s="791" t="s">
        <v>1742</v>
      </c>
      <c r="F1508" s="1314"/>
      <c r="G1508" s="1314"/>
      <c r="H1508" s="1314"/>
      <c r="I1508" s="1274" t="str">
        <f t="shared" si="236"/>
        <v>Previous Agreement Expiration Date</v>
      </c>
      <c r="J1508" s="1314" t="str">
        <f t="shared" si="239"/>
        <v>F</v>
      </c>
      <c r="K1508" s="1314" t="str">
        <f t="shared" si="235"/>
        <v>Incentives</v>
      </c>
      <c r="L1508" s="1314"/>
      <c r="M1508" s="1314"/>
      <c r="N1508" s="1314"/>
      <c r="O1508" s="1311"/>
      <c r="P1508" s="1311"/>
      <c r="Q1508" s="1311"/>
      <c r="R1508" s="1314" t="s">
        <v>1700</v>
      </c>
      <c r="S1508" s="1314" t="s">
        <v>1133</v>
      </c>
      <c r="T1508" s="1314" t="str">
        <f>IF(Q$1052="Yes",M1066,"")</f>
        <v/>
      </c>
      <c r="U1508" s="1314" t="s">
        <v>1763</v>
      </c>
      <c r="V1508" s="1314" t="str">
        <f>IF(Q$1069="Yes",M1082,"")</f>
        <v/>
      </c>
      <c r="W1508" s="1311"/>
      <c r="X1508" s="1311"/>
      <c r="Y1508" s="1311"/>
      <c r="Z1508" s="1311"/>
    </row>
    <row r="1509" spans="1:26" x14ac:dyDescent="0.25">
      <c r="A1509" s="790" t="s">
        <v>1134</v>
      </c>
      <c r="B1509" s="1274" t="str">
        <f>IFERROR(_xlfn.CONCAT("O",('Configurable Tab'!$C$19+7)),"")</f>
        <v>O189</v>
      </c>
      <c r="C1509" s="1274" t="str">
        <f>IFERROR(_xlfn.CONCAT("O",('Configurable Tab'!$C$19+8)),"")</f>
        <v>O190</v>
      </c>
      <c r="D1509" s="1314" t="s">
        <v>1350</v>
      </c>
      <c r="E1509" s="791" t="s">
        <v>1742</v>
      </c>
      <c r="F1509" s="1314"/>
      <c r="G1509" s="1314"/>
      <c r="H1509" s="1314"/>
      <c r="I1509" s="1274" t="str">
        <f t="shared" si="236"/>
        <v>Previous Prepaid Amount</v>
      </c>
      <c r="J1509" s="1314" t="str">
        <f t="shared" si="239"/>
        <v>F</v>
      </c>
      <c r="K1509" s="1314" t="str">
        <f t="shared" si="235"/>
        <v>Incentives</v>
      </c>
      <c r="L1509" s="1314"/>
      <c r="M1509" s="1314"/>
      <c r="N1509" s="1314"/>
      <c r="O1509" s="1311"/>
      <c r="P1509" s="1311"/>
      <c r="Q1509" s="1311"/>
      <c r="R1509" s="1314" t="s">
        <v>1700</v>
      </c>
      <c r="S1509" s="1314" t="s">
        <v>1133</v>
      </c>
      <c r="T1509" s="1314" t="str">
        <f>IF(Q$1052="Yes",M1067,"")</f>
        <v/>
      </c>
      <c r="U1509" s="1314" t="s">
        <v>1763</v>
      </c>
      <c r="V1509" s="1314" t="str">
        <f>IF(Q$1069="Yes",M1083,"")</f>
        <v/>
      </c>
      <c r="W1509" s="1311"/>
      <c r="X1509" s="1311"/>
      <c r="Y1509" s="1311"/>
      <c r="Z1509" s="1311"/>
    </row>
    <row r="1510" spans="1:26" x14ac:dyDescent="0.25">
      <c r="A1510" s="1076" t="s">
        <v>523</v>
      </c>
      <c r="B1510" s="1274" t="str">
        <f>IFERROR(_xlfn.CONCAT("D",('Configurable Tab'!$C$20+1)),"")</f>
        <v>D194</v>
      </c>
      <c r="C1510" s="1274" t="str">
        <f>IFERROR(_xlfn.CONCAT("E",('Configurable Tab'!$C$20+1)),"")</f>
        <v>E194</v>
      </c>
      <c r="D1510" s="1314" t="s">
        <v>1350</v>
      </c>
      <c r="E1510" s="791" t="s">
        <v>1742</v>
      </c>
      <c r="F1510" s="1314"/>
      <c r="G1510" s="1314"/>
      <c r="H1510" s="1314"/>
      <c r="I1510" s="1274" t="str">
        <f t="shared" si="236"/>
        <v>Offer this Incentive?</v>
      </c>
      <c r="J1510" s="1314" t="str">
        <f>$Q$1&amp;IF(T$1510&lt;&gt;0,U1510,IF(T$1529&lt;&gt;0,U1529,IF(X$1510&lt;&gt;0,Y1510,"")))</f>
        <v>F</v>
      </c>
      <c r="K1510" s="1314" t="str">
        <f t="shared" si="235"/>
        <v>Incentives</v>
      </c>
      <c r="L1510" s="1314"/>
      <c r="M1510" s="1314"/>
      <c r="N1510" s="1314"/>
      <c r="O1510" s="1311" t="s">
        <v>1764</v>
      </c>
      <c r="P1510" s="1405" t="str">
        <f>'Configurable Tab'!E20</f>
        <v>No</v>
      </c>
      <c r="Q1510" s="1274" t="str">
        <f>IFERROR(_xlfn.CONCAT("C",('Configurable Tab'!$C20+1)),"")</f>
        <v>C194</v>
      </c>
      <c r="R1510" s="1312" t="s">
        <v>1099</v>
      </c>
      <c r="S1510" s="1314" t="s">
        <v>1614</v>
      </c>
      <c r="T1510" s="1314">
        <f>IF(Q$1085="Yes",IF(Q$1095="Yes",2,1),0)</f>
        <v>0</v>
      </c>
      <c r="U1510" s="1314" t="str">
        <f>IF(Q$1085="Yes",M1085,"")</f>
        <v/>
      </c>
      <c r="V1510" s="1314" t="str">
        <f>IF(Q$1095="Yes",M1095,"")</f>
        <v/>
      </c>
      <c r="W1510" s="1314" t="s">
        <v>1617</v>
      </c>
      <c r="X1510" s="1314">
        <f>IF(Q$1105="Yes",IF(Q$1134="Yes",2,1),0)</f>
        <v>0</v>
      </c>
      <c r="Y1510" s="1314" t="str">
        <f>IF(Q$1105="Yes",M1105,"")</f>
        <v/>
      </c>
      <c r="Z1510" s="1314" t="str">
        <f>IF(Q$1134="Yes",M1134,"")</f>
        <v/>
      </c>
    </row>
    <row r="1511" spans="1:26" x14ac:dyDescent="0.25">
      <c r="A1511" s="1077" t="s">
        <v>1383</v>
      </c>
      <c r="B1511" s="1274" t="str">
        <f>IFERROR(_xlfn.CONCAT("D",('Configurable Tab'!$C$20+2)),"")</f>
        <v>D195</v>
      </c>
      <c r="C1511" s="1274" t="str">
        <f>IFERROR(_xlfn.CONCAT("E",('Configurable Tab'!$C$20+2)),"")</f>
        <v>E195</v>
      </c>
      <c r="D1511" s="1314" t="s">
        <v>1350</v>
      </c>
      <c r="E1511" s="791" t="s">
        <v>1742</v>
      </c>
      <c r="F1511" s="1314"/>
      <c r="G1511" s="1314"/>
      <c r="H1511" s="1314"/>
      <c r="I1511" s="1274" t="str">
        <f t="shared" si="236"/>
        <v>Incentive Type</v>
      </c>
      <c r="J1511" s="1314" t="str">
        <f t="shared" ref="J1511:J1528" si="240">$Q$1&amp;IF(T$1510&lt;&gt;0,U1511,IF(T$1529&lt;&gt;0,U1530,IF(X$1510&lt;&gt;0,Y1511,"")))</f>
        <v>F</v>
      </c>
      <c r="K1511" s="1314" t="str">
        <f t="shared" si="235"/>
        <v>Incentives</v>
      </c>
      <c r="L1511" s="1314"/>
      <c r="M1511" s="1314"/>
      <c r="N1511" s="1314"/>
      <c r="O1511" s="1311"/>
      <c r="P1511" s="1311"/>
      <c r="Q1511" s="1311"/>
      <c r="R1511" s="1314" t="s">
        <v>1099</v>
      </c>
      <c r="S1511" s="1314" t="s">
        <v>1614</v>
      </c>
      <c r="T1511" s="1311"/>
      <c r="U1511" s="1314" t="str">
        <f>IF(Q$1085="Yes",M1086,"")</f>
        <v/>
      </c>
      <c r="V1511" s="1314" t="str">
        <f>IF(Q$1095="Yes",M1096,"")</f>
        <v/>
      </c>
      <c r="W1511" s="1314" t="s">
        <v>1617</v>
      </c>
      <c r="X1511" s="1311"/>
      <c r="Y1511" s="1314" t="str">
        <f>IF(Q$1105="Yes",M1106,"")</f>
        <v/>
      </c>
      <c r="Z1511" s="1314" t="str">
        <f>IF(Q$1134="Yes",M1135,"")</f>
        <v/>
      </c>
    </row>
    <row r="1512" spans="1:26" x14ac:dyDescent="0.25">
      <c r="A1512" s="1077" t="s">
        <v>1385</v>
      </c>
      <c r="B1512" s="1274" t="str">
        <f>IFERROR(_xlfn.CONCAT("D",('Configurable Tab'!$C$20+4)),"")</f>
        <v>D197</v>
      </c>
      <c r="C1512" s="1274" t="str">
        <f>IFERROR(_xlfn.CONCAT("E",('Configurable Tab'!$C$20+4)),"")</f>
        <v>E197</v>
      </c>
      <c r="D1512" s="1314" t="s">
        <v>1350</v>
      </c>
      <c r="E1512" s="791" t="s">
        <v>1742</v>
      </c>
      <c r="F1512" s="1314"/>
      <c r="G1512" s="1314"/>
      <c r="H1512" s="1314"/>
      <c r="I1512" s="1274" t="str">
        <f t="shared" si="236"/>
        <v>Incentive Effective Date</v>
      </c>
      <c r="J1512" s="1314" t="str">
        <f t="shared" si="240"/>
        <v>F</v>
      </c>
      <c r="K1512" s="1314" t="str">
        <f t="shared" si="235"/>
        <v>Incentives</v>
      </c>
      <c r="L1512" s="1314"/>
      <c r="M1512" s="1314"/>
      <c r="N1512" s="1314"/>
      <c r="O1512" s="1311"/>
      <c r="P1512" s="1311"/>
      <c r="Q1512" s="1311"/>
      <c r="R1512" s="1314" t="s">
        <v>1099</v>
      </c>
      <c r="S1512" s="1314" t="s">
        <v>1614</v>
      </c>
      <c r="T1512" s="1311"/>
      <c r="U1512" s="1314" t="str">
        <f>IF(Q$1085="Yes",M1089,"")</f>
        <v/>
      </c>
      <c r="V1512" s="1314" t="str">
        <f>IF(Q$1095="Yes",M1099,"")</f>
        <v/>
      </c>
      <c r="W1512" s="1314" t="s">
        <v>1617</v>
      </c>
      <c r="X1512" s="1311"/>
      <c r="Y1512" s="1314" t="str">
        <f>IF(Q$1105="Yes",M1112,"")</f>
        <v/>
      </c>
      <c r="Z1512" s="1314" t="str">
        <f>IF(Q$1134="Yes",M1141,"")</f>
        <v/>
      </c>
    </row>
    <row r="1513" spans="1:26" x14ac:dyDescent="0.25">
      <c r="A1513" s="1077" t="s">
        <v>1386</v>
      </c>
      <c r="B1513" s="1274" t="str">
        <f>IFERROR(_xlfn.CONCAT("D",('Configurable Tab'!$C$20+5)),"")</f>
        <v>D198</v>
      </c>
      <c r="C1513" s="1274" t="str">
        <f>IFERROR(_xlfn.CONCAT("E",('Configurable Tab'!$C$20+5)),"")</f>
        <v>E198</v>
      </c>
      <c r="D1513" s="1314" t="s">
        <v>1350</v>
      </c>
      <c r="E1513" s="791" t="s">
        <v>1742</v>
      </c>
      <c r="F1513" s="1314"/>
      <c r="G1513" s="1314"/>
      <c r="H1513" s="1314"/>
      <c r="I1513" s="1274" t="str">
        <f t="shared" si="236"/>
        <v>Incentive Expiration Date</v>
      </c>
      <c r="J1513" s="1314" t="str">
        <f t="shared" si="240"/>
        <v>F</v>
      </c>
      <c r="K1513" s="1314" t="str">
        <f t="shared" si="235"/>
        <v>Incentives</v>
      </c>
      <c r="L1513" s="1314"/>
      <c r="M1513" s="1314"/>
      <c r="N1513" s="1314"/>
      <c r="O1513" s="1311"/>
      <c r="P1513" s="1311"/>
      <c r="Q1513" s="1311"/>
      <c r="R1513" s="1314" t="s">
        <v>1099</v>
      </c>
      <c r="S1513" s="1314" t="s">
        <v>1614</v>
      </c>
      <c r="T1513" s="1311"/>
      <c r="U1513" s="1314" t="str">
        <f>IF(Q$1085="Yes",M1090,"")</f>
        <v/>
      </c>
      <c r="V1513" s="1314" t="str">
        <f>IF(Q$1095="Yes",M1100,"")</f>
        <v/>
      </c>
      <c r="W1513" s="1314" t="s">
        <v>1617</v>
      </c>
      <c r="X1513" s="1311"/>
      <c r="Y1513" s="1314" t="str">
        <f>IF(Q$1105="Yes",M1113,"")</f>
        <v/>
      </c>
      <c r="Z1513" s="1314" t="str">
        <f>IF(Q$1134="Yes",M1142,"")</f>
        <v/>
      </c>
    </row>
    <row r="1514" spans="1:26" x14ac:dyDescent="0.25">
      <c r="A1514" s="1077" t="s">
        <v>1380</v>
      </c>
      <c r="B1514" s="1274" t="str">
        <f>IFERROR(_xlfn.CONCAT("G",('Configurable Tab'!$C$20+1)),"")</f>
        <v>G194</v>
      </c>
      <c r="C1514" s="1274" t="str">
        <f>IFERROR(_xlfn.CONCAT("G",('Configurable Tab'!$C$20+2)),"")</f>
        <v>G195</v>
      </c>
      <c r="D1514" s="1314" t="s">
        <v>1350</v>
      </c>
      <c r="E1514" s="791" t="s">
        <v>1742</v>
      </c>
      <c r="F1514" s="1314"/>
      <c r="G1514" s="1314"/>
      <c r="H1514" s="1314"/>
      <c r="I1514" s="1274" t="str">
        <f t="shared" si="236"/>
        <v>Incentive Period</v>
      </c>
      <c r="J1514" s="1314" t="str">
        <f t="shared" si="240"/>
        <v>F</v>
      </c>
      <c r="K1514" s="1314" t="str">
        <f t="shared" si="235"/>
        <v>Incentives</v>
      </c>
      <c r="L1514" s="1314"/>
      <c r="M1514" s="1314"/>
      <c r="N1514" s="1314"/>
      <c r="O1514" s="1311"/>
      <c r="P1514" s="1311"/>
      <c r="Q1514" s="1311"/>
      <c r="R1514" s="1314" t="s">
        <v>1099</v>
      </c>
      <c r="S1514" s="1311"/>
      <c r="T1514" s="1311"/>
      <c r="U1514" s="1311"/>
      <c r="V1514" s="1311"/>
      <c r="W1514" s="1314" t="s">
        <v>1617</v>
      </c>
      <c r="X1514" s="1311"/>
      <c r="Y1514" s="1314" t="str">
        <f>IF(Q$1105="Yes",M1107,"")</f>
        <v/>
      </c>
      <c r="Z1514" s="1314" t="str">
        <f>IF(Q$1134="Yes",M1136,"")</f>
        <v/>
      </c>
    </row>
    <row r="1515" spans="1:26" x14ac:dyDescent="0.25">
      <c r="A1515" s="1077" t="s">
        <v>1381</v>
      </c>
      <c r="B1515" s="1274" t="str">
        <f>IFERROR(_xlfn.CONCAT("I",('Configurable Tab'!$C$20+1)),"")</f>
        <v>I194</v>
      </c>
      <c r="C1515" s="1274" t="str">
        <f>IFERROR(_xlfn.CONCAT("I",('Configurable Tab'!$C$20+2)),"")</f>
        <v>I195</v>
      </c>
      <c r="D1515" s="1314" t="s">
        <v>1350</v>
      </c>
      <c r="E1515" s="791" t="s">
        <v>1742</v>
      </c>
      <c r="F1515" s="1314"/>
      <c r="G1515" s="1314"/>
      <c r="H1515" s="1314"/>
      <c r="I1515" s="1274" t="str">
        <f t="shared" si="236"/>
        <v>Payment Method</v>
      </c>
      <c r="J1515" s="1314" t="str">
        <f t="shared" si="240"/>
        <v>F</v>
      </c>
      <c r="K1515" s="1314" t="str">
        <f t="shared" si="235"/>
        <v>Incentives</v>
      </c>
      <c r="L1515" s="1314"/>
      <c r="M1515" s="1314"/>
      <c r="N1515" s="1314"/>
      <c r="O1515" s="1311"/>
      <c r="P1515" s="1311"/>
      <c r="Q1515" s="1311"/>
      <c r="R1515" s="1314" t="s">
        <v>1099</v>
      </c>
      <c r="S1515" s="1314" t="s">
        <v>1614</v>
      </c>
      <c r="T1515" s="1311"/>
      <c r="U1515" s="1314" t="str">
        <f>IF(Q$1085="Yes",M1087,"")</f>
        <v/>
      </c>
      <c r="V1515" s="1314" t="str">
        <f>IF(Q$1095="Yes",M1097,"")</f>
        <v/>
      </c>
      <c r="W1515" s="1314" t="s">
        <v>1617</v>
      </c>
      <c r="X1515" s="1311"/>
      <c r="Y1515" s="1314" t="str">
        <f>IF(Q$1105="Yes",M1108,"")</f>
        <v/>
      </c>
      <c r="Z1515" s="1314" t="str">
        <f>IF(Q$1134="Yes",M1137,"")</f>
        <v/>
      </c>
    </row>
    <row r="1516" spans="1:26" x14ac:dyDescent="0.25">
      <c r="A1516" s="1077" t="s">
        <v>1382</v>
      </c>
      <c r="B1516" s="1274" t="str">
        <f>IFERROR(_xlfn.CONCAT("M",('Configurable Tab'!$C$20+1)),"")</f>
        <v>M194</v>
      </c>
      <c r="C1516" s="1274" t="str">
        <f>IFERROR(_xlfn.CONCAT("M",('Configurable Tab'!$C$20+2)),"")</f>
        <v>M195</v>
      </c>
      <c r="D1516" s="1314" t="s">
        <v>1350</v>
      </c>
      <c r="E1516" s="791" t="s">
        <v>1742</v>
      </c>
      <c r="F1516" s="1314"/>
      <c r="G1516" s="1314"/>
      <c r="H1516" s="1314"/>
      <c r="I1516" s="1274" t="str">
        <f t="shared" si="236"/>
        <v>AP/AR Vendor Number</v>
      </c>
      <c r="J1516" s="1314" t="str">
        <f t="shared" si="240"/>
        <v>F</v>
      </c>
      <c r="K1516" s="1314" t="str">
        <f t="shared" si="235"/>
        <v>Incentives</v>
      </c>
      <c r="L1516" s="1314"/>
      <c r="M1516" s="1314"/>
      <c r="N1516" s="1314"/>
      <c r="O1516" s="1311"/>
      <c r="P1516" s="1311"/>
      <c r="Q1516" s="1311"/>
      <c r="R1516" s="1314" t="s">
        <v>1099</v>
      </c>
      <c r="S1516" s="1314" t="s">
        <v>1614</v>
      </c>
      <c r="T1516" s="1311"/>
      <c r="U1516" s="1314" t="str">
        <f>IF(Q$1085="Yes",M1088,"")</f>
        <v/>
      </c>
      <c r="V1516" s="1314" t="str">
        <f>IF(Q$1095="Yes",M1098,"")</f>
        <v/>
      </c>
      <c r="W1516" s="1314" t="s">
        <v>1617</v>
      </c>
      <c r="X1516" s="1311"/>
      <c r="Y1516" s="1314" t="str">
        <f>IF(Q$1105="Yes",M1109,"")</f>
        <v/>
      </c>
      <c r="Z1516" s="1314" t="str">
        <f>IF(Q$1134="Yes",M1138,"")</f>
        <v/>
      </c>
    </row>
    <row r="1517" spans="1:26" x14ac:dyDescent="0.25">
      <c r="A1517" s="1077" t="s">
        <v>1396</v>
      </c>
      <c r="B1517" s="1274" t="str">
        <f>IFERROR(_xlfn.CONCAT("G",('Configurable Tab'!$C$20+4)),"")</f>
        <v>G197</v>
      </c>
      <c r="C1517" s="1274" t="str">
        <f>IFERROR(_xlfn.CONCAT("G",('Configurable Tab'!$C$20+5)),"")</f>
        <v>G198</v>
      </c>
      <c r="D1517" s="1314" t="s">
        <v>1350</v>
      </c>
      <c r="E1517" s="791" t="s">
        <v>1742</v>
      </c>
      <c r="F1517" s="1310"/>
      <c r="G1517" s="1069"/>
      <c r="H1517" s="1314"/>
      <c r="I1517" s="1274" t="str">
        <f t="shared" si="236"/>
        <v>FF Payment Amount</v>
      </c>
      <c r="J1517" s="1314" t="str">
        <f t="shared" si="240"/>
        <v>F</v>
      </c>
      <c r="K1517" s="1314" t="str">
        <f t="shared" si="235"/>
        <v>Incentives</v>
      </c>
      <c r="L1517" s="1314"/>
      <c r="M1517" s="1314"/>
      <c r="N1517" s="1314"/>
      <c r="O1517" s="1311"/>
      <c r="P1517" s="1311"/>
      <c r="Q1517" s="1311"/>
      <c r="R1517" s="1314" t="s">
        <v>1099</v>
      </c>
      <c r="S1517" s="1314" t="s">
        <v>1614</v>
      </c>
      <c r="T1517" s="1311"/>
      <c r="U1517" s="1314" t="str">
        <f>IF(Q$1085="Yes",M1093,"")</f>
        <v/>
      </c>
      <c r="V1517" s="1314" t="str">
        <f>IF(Q$1095="Yes",M1103,"")</f>
        <v/>
      </c>
      <c r="W1517" s="1314" t="s">
        <v>1617</v>
      </c>
      <c r="X1517" s="1311"/>
      <c r="Y1517" s="1314" t="str">
        <f>IF(Q$1105="Yes",M1117,"")</f>
        <v/>
      </c>
      <c r="Z1517" s="1314" t="str">
        <f>IF(Q$1134="Yes",M1146,"")</f>
        <v/>
      </c>
    </row>
    <row r="1518" spans="1:26" x14ac:dyDescent="0.25">
      <c r="A1518" s="1077" t="s">
        <v>1389</v>
      </c>
      <c r="B1518" s="1274" t="str">
        <f>IFERROR(_xlfn.CONCAT("G",('Configurable Tab'!$C$20+7)),"")</f>
        <v>G200</v>
      </c>
      <c r="C1518" s="1274" t="str">
        <f>IFERROR(_xlfn.CONCAT("G",('Configurable Tab'!$C$20+8)),"")</f>
        <v>G201</v>
      </c>
      <c r="D1518" s="1314" t="s">
        <v>1350</v>
      </c>
      <c r="E1518" s="791" t="s">
        <v>1742</v>
      </c>
      <c r="F1518" s="1314"/>
      <c r="G1518" s="1314"/>
      <c r="H1518" s="1314"/>
      <c r="I1518" s="1274" t="str">
        <f t="shared" si="236"/>
        <v>Rate % of Sales</v>
      </c>
      <c r="J1518" s="1314" t="str">
        <f t="shared" si="240"/>
        <v>F</v>
      </c>
      <c r="K1518" s="1314" t="str">
        <f t="shared" si="235"/>
        <v>Incentives</v>
      </c>
      <c r="L1518" s="1314"/>
      <c r="M1518" s="1314"/>
      <c r="N1518" s="1314"/>
      <c r="O1518" s="1311"/>
      <c r="P1518" s="1311"/>
      <c r="Q1518" s="1311"/>
      <c r="R1518" s="1314" t="s">
        <v>1099</v>
      </c>
      <c r="S1518" s="1311"/>
      <c r="T1518" s="1311"/>
      <c r="U1518" s="1311"/>
      <c r="V1518" s="1311"/>
      <c r="W1518" s="1311"/>
      <c r="X1518" s="1311"/>
      <c r="Y1518" s="1311"/>
      <c r="Z1518" s="1311"/>
    </row>
    <row r="1519" spans="1:26" x14ac:dyDescent="0.25">
      <c r="A1519" s="1077" t="s">
        <v>727</v>
      </c>
      <c r="B1519" s="1274" t="str">
        <f>IFERROR(_xlfn.CONCAT("K",('Configurable Tab'!$C$20+4)),"")</f>
        <v>K197</v>
      </c>
      <c r="C1519" s="1274" t="str">
        <f>IFERROR(_xlfn.CONCAT("K",('Configurable Tab'!$C$20+5)),"")</f>
        <v>K198</v>
      </c>
      <c r="D1519" s="1314" t="s">
        <v>1350</v>
      </c>
      <c r="E1519" s="791" t="s">
        <v>1742</v>
      </c>
      <c r="F1519" s="1314"/>
      <c r="G1519" s="1314"/>
      <c r="H1519" s="1314"/>
      <c r="I1519" s="1274" t="str">
        <f t="shared" si="236"/>
        <v>Payment Amount</v>
      </c>
      <c r="J1519" s="1314" t="str">
        <f t="shared" si="240"/>
        <v>F</v>
      </c>
      <c r="K1519" s="1314" t="str">
        <f t="shared" si="235"/>
        <v>Incentives</v>
      </c>
      <c r="L1519" s="1314"/>
      <c r="M1519" s="1314"/>
      <c r="N1519" s="1314"/>
      <c r="O1519" s="1311"/>
      <c r="P1519" s="1311"/>
      <c r="Q1519" s="1311"/>
      <c r="R1519" s="1314" t="s">
        <v>1099</v>
      </c>
      <c r="S1519" s="1311"/>
      <c r="T1519" s="1311"/>
      <c r="U1519" s="1311"/>
      <c r="V1519" s="1311"/>
      <c r="W1519" s="1314" t="s">
        <v>1617</v>
      </c>
      <c r="X1519" s="1311"/>
      <c r="Y1519" s="1314" t="str">
        <f>IF(Q$1105="Yes",M1119,"")</f>
        <v/>
      </c>
      <c r="Z1519" s="1314" t="str">
        <f>IF(Q$1134="Yes",M1148,"")</f>
        <v/>
      </c>
    </row>
    <row r="1520" spans="1:26" x14ac:dyDescent="0.25">
      <c r="A1520" s="1077" t="s">
        <v>727</v>
      </c>
      <c r="B1520" s="1274" t="str">
        <f>IFERROR(_xlfn.CONCAT("K",('Configurable Tab'!$C$20+4)),"")</f>
        <v>K197</v>
      </c>
      <c r="C1520" s="1274" t="str">
        <f>IFERROR(_xlfn.CONCAT("K",('Configurable Tab'!$C$20+6)),"")</f>
        <v>K199</v>
      </c>
      <c r="D1520" s="1314" t="s">
        <v>1350</v>
      </c>
      <c r="E1520" s="791" t="s">
        <v>1742</v>
      </c>
      <c r="F1520" s="1314"/>
      <c r="G1520" s="1314"/>
      <c r="H1520" s="1314"/>
      <c r="I1520" s="1274" t="str">
        <f t="shared" si="236"/>
        <v>Payment Amount</v>
      </c>
      <c r="J1520" s="1314" t="str">
        <f t="shared" si="240"/>
        <v>F</v>
      </c>
      <c r="K1520" s="1314" t="str">
        <f t="shared" si="235"/>
        <v>Incentives</v>
      </c>
      <c r="L1520" s="1314"/>
      <c r="M1520" s="1314"/>
      <c r="N1520" s="1314"/>
      <c r="O1520" s="1311"/>
      <c r="P1520" s="1311"/>
      <c r="Q1520" s="1311"/>
      <c r="R1520" s="1314" t="s">
        <v>1099</v>
      </c>
      <c r="S1520" s="1311"/>
      <c r="T1520" s="1311"/>
      <c r="U1520" s="1311"/>
      <c r="V1520" s="1311"/>
      <c r="W1520" s="1314" t="s">
        <v>1617</v>
      </c>
      <c r="X1520" s="1311"/>
      <c r="Y1520" s="1314" t="str">
        <f>IF(Q$1105="Yes",M1122,"")</f>
        <v/>
      </c>
      <c r="Z1520" s="1314" t="str">
        <f>IF(Q$1134="Yes",M1151,"")</f>
        <v/>
      </c>
    </row>
    <row r="1521" spans="1:26" x14ac:dyDescent="0.25">
      <c r="A1521" s="1077" t="s">
        <v>727</v>
      </c>
      <c r="B1521" s="1274" t="str">
        <f>IFERROR(_xlfn.CONCAT("K",('Configurable Tab'!$C$20+4)),"")</f>
        <v>K197</v>
      </c>
      <c r="C1521" s="1274" t="str">
        <f>IFERROR(_xlfn.CONCAT("K",('Configurable Tab'!$C$20+7)),"")</f>
        <v>K200</v>
      </c>
      <c r="D1521" s="1314" t="s">
        <v>1350</v>
      </c>
      <c r="E1521" s="791" t="s">
        <v>1742</v>
      </c>
      <c r="F1521" s="1314"/>
      <c r="G1521" s="1314"/>
      <c r="H1521" s="1314"/>
      <c r="I1521" s="1274" t="str">
        <f t="shared" si="236"/>
        <v>Payment Amount</v>
      </c>
      <c r="J1521" s="1314" t="str">
        <f t="shared" si="240"/>
        <v>F</v>
      </c>
      <c r="K1521" s="1314" t="str">
        <f t="shared" si="235"/>
        <v>Incentives</v>
      </c>
      <c r="L1521" s="1314"/>
      <c r="M1521" s="1314"/>
      <c r="N1521" s="1314"/>
      <c r="O1521" s="1311"/>
      <c r="P1521" s="1311"/>
      <c r="Q1521" s="1311"/>
      <c r="R1521" s="1314" t="s">
        <v>1099</v>
      </c>
      <c r="S1521" s="1311"/>
      <c r="T1521" s="1311"/>
      <c r="U1521" s="1311"/>
      <c r="V1521" s="1311"/>
      <c r="W1521" s="1314" t="s">
        <v>1617</v>
      </c>
      <c r="X1521" s="1311"/>
      <c r="Y1521" s="1314" t="str">
        <f>IF(Q$1105="Yes",M1125,"")</f>
        <v/>
      </c>
      <c r="Z1521" s="1314" t="str">
        <f>IF(Q$1134="Yes",M1154,"")</f>
        <v/>
      </c>
    </row>
    <row r="1522" spans="1:26" x14ac:dyDescent="0.25">
      <c r="A1522" s="1077" t="s">
        <v>727</v>
      </c>
      <c r="B1522" s="1274" t="str">
        <f>IFERROR(_xlfn.CONCAT("K",('Configurable Tab'!$C$20+4)),"")</f>
        <v>K197</v>
      </c>
      <c r="C1522" s="1274" t="str">
        <f>IFERROR(_xlfn.CONCAT("K",('Configurable Tab'!$C$20+8)),"")</f>
        <v>K201</v>
      </c>
      <c r="D1522" s="1314" t="s">
        <v>1350</v>
      </c>
      <c r="E1522" s="791" t="s">
        <v>1742</v>
      </c>
      <c r="F1522" s="1314"/>
      <c r="G1522" s="1314"/>
      <c r="H1522" s="1314"/>
      <c r="I1522" s="1274" t="str">
        <f t="shared" si="236"/>
        <v>Payment Amount</v>
      </c>
      <c r="J1522" s="1314" t="str">
        <f t="shared" si="240"/>
        <v>F</v>
      </c>
      <c r="K1522" s="1314" t="str">
        <f t="shared" si="235"/>
        <v>Incentives</v>
      </c>
      <c r="L1522" s="1314"/>
      <c r="M1522" s="1314"/>
      <c r="N1522" s="1314"/>
      <c r="O1522" s="1311"/>
      <c r="P1522" s="1311"/>
      <c r="Q1522" s="1311"/>
      <c r="R1522" s="1314" t="s">
        <v>1099</v>
      </c>
      <c r="S1522" s="1311"/>
      <c r="T1522" s="1311"/>
      <c r="U1522" s="1311"/>
      <c r="V1522" s="1311"/>
      <c r="W1522" s="1314" t="s">
        <v>1617</v>
      </c>
      <c r="X1522" s="1311"/>
      <c r="Y1522" s="1314" t="str">
        <f>IF(Q$1105="Yes",M1128,"")</f>
        <v/>
      </c>
      <c r="Z1522" s="1314" t="str">
        <f>IF(Q$1134="Yes",M1157,"")</f>
        <v/>
      </c>
    </row>
    <row r="1523" spans="1:26" x14ac:dyDescent="0.25">
      <c r="A1523" s="1077" t="s">
        <v>727</v>
      </c>
      <c r="B1523" s="1274" t="str">
        <f>IFERROR(_xlfn.CONCAT("K",('Configurable Tab'!$C$20+4)),"")</f>
        <v>K197</v>
      </c>
      <c r="C1523" s="1274" t="str">
        <f>IFERROR(_xlfn.CONCAT("K",('Configurable Tab'!$C$20+9)),"")</f>
        <v>K202</v>
      </c>
      <c r="D1523" s="1314" t="s">
        <v>1350</v>
      </c>
      <c r="E1523" s="791" t="s">
        <v>1742</v>
      </c>
      <c r="F1523" s="1314"/>
      <c r="G1523" s="1314"/>
      <c r="H1523" s="1314"/>
      <c r="I1523" s="1274" t="str">
        <f t="shared" si="236"/>
        <v>Payment Amount</v>
      </c>
      <c r="J1523" s="1314" t="str">
        <f t="shared" si="240"/>
        <v>F</v>
      </c>
      <c r="K1523" s="1314" t="str">
        <f t="shared" si="235"/>
        <v>Incentives</v>
      </c>
      <c r="L1523" s="1314"/>
      <c r="M1523" s="1314"/>
      <c r="N1523" s="1314"/>
      <c r="O1523" s="1311"/>
      <c r="P1523" s="1311"/>
      <c r="Q1523" s="1311"/>
      <c r="R1523" s="1314" t="s">
        <v>1099</v>
      </c>
      <c r="S1523" s="1311"/>
      <c r="T1523" s="1311"/>
      <c r="U1523" s="1311"/>
      <c r="V1523" s="1311"/>
      <c r="W1523" s="1314" t="s">
        <v>1617</v>
      </c>
      <c r="X1523" s="1311"/>
      <c r="Y1523" s="1314" t="str">
        <f>IF(Q$1105="Yes",M1131,"")</f>
        <v/>
      </c>
      <c r="Z1523" s="1314" t="str">
        <f>IF(Q$1134="Yes",M1160,"")</f>
        <v/>
      </c>
    </row>
    <row r="1524" spans="1:26" x14ac:dyDescent="0.25">
      <c r="A1524" s="1077" t="s">
        <v>1482</v>
      </c>
      <c r="B1524" s="1274" t="str">
        <f>IFERROR(_xlfn.CONCAT("M",('Configurable Tab'!$C$20+4)),"")</f>
        <v>M197</v>
      </c>
      <c r="C1524" s="1274" t="str">
        <f>IFERROR(_xlfn.CONCAT("M",('Configurable Tab'!$C$20+5)),"")</f>
        <v>M198</v>
      </c>
      <c r="D1524" s="1314" t="s">
        <v>1350</v>
      </c>
      <c r="E1524" s="791" t="s">
        <v>1742</v>
      </c>
      <c r="F1524" s="1314"/>
      <c r="G1524" s="1314"/>
      <c r="H1524" s="1314"/>
      <c r="I1524" s="1274" t="str">
        <f t="shared" si="236"/>
        <v>Purchase Commitment</v>
      </c>
      <c r="J1524" s="1314" t="str">
        <f t="shared" si="240"/>
        <v>F</v>
      </c>
      <c r="K1524" s="1314" t="str">
        <f t="shared" si="235"/>
        <v>Incentives</v>
      </c>
      <c r="L1524" s="1314"/>
      <c r="M1524" s="1314"/>
      <c r="N1524" s="1314"/>
      <c r="O1524" s="1311"/>
      <c r="P1524" s="1311"/>
      <c r="Q1524" s="1311"/>
      <c r="R1524" s="1314" t="s">
        <v>1099</v>
      </c>
      <c r="S1524" s="1311"/>
      <c r="T1524" s="1311"/>
      <c r="U1524" s="1311"/>
      <c r="V1524" s="1311"/>
      <c r="W1524" s="1314" t="s">
        <v>1617</v>
      </c>
      <c r="X1524" s="1311"/>
      <c r="Y1524" s="1314" t="str">
        <f>IF(Q$1105="Yes",M1120,"")</f>
        <v/>
      </c>
      <c r="Z1524" s="1314" t="str">
        <f>IF(Q$1134="Yes",M1149,"")</f>
        <v/>
      </c>
    </row>
    <row r="1525" spans="1:26" x14ac:dyDescent="0.25">
      <c r="A1525" s="1077" t="s">
        <v>1482</v>
      </c>
      <c r="B1525" s="1274" t="str">
        <f>IFERROR(_xlfn.CONCAT("M",('Configurable Tab'!$C$20+4)),"")</f>
        <v>M197</v>
      </c>
      <c r="C1525" s="1274" t="str">
        <f>IFERROR(_xlfn.CONCAT("M",('Configurable Tab'!$C$20+6)),"")</f>
        <v>M199</v>
      </c>
      <c r="D1525" s="1314" t="s">
        <v>1350</v>
      </c>
      <c r="E1525" s="791" t="s">
        <v>1742</v>
      </c>
      <c r="F1525" s="1314"/>
      <c r="G1525" s="1314"/>
      <c r="H1525" s="1314"/>
      <c r="I1525" s="1274" t="str">
        <f t="shared" si="236"/>
        <v>Purchase Commitment</v>
      </c>
      <c r="J1525" s="1314" t="str">
        <f t="shared" si="240"/>
        <v>F</v>
      </c>
      <c r="K1525" s="1314" t="str">
        <f t="shared" si="235"/>
        <v>Incentives</v>
      </c>
      <c r="L1525" s="1314"/>
      <c r="M1525" s="1314"/>
      <c r="N1525" s="1314"/>
      <c r="O1525" s="1311"/>
      <c r="P1525" s="1311"/>
      <c r="Q1525" s="1311"/>
      <c r="R1525" s="1314" t="s">
        <v>1099</v>
      </c>
      <c r="S1525" s="1311"/>
      <c r="T1525" s="1311"/>
      <c r="U1525" s="1311"/>
      <c r="V1525" s="1311"/>
      <c r="W1525" s="1314" t="s">
        <v>1617</v>
      </c>
      <c r="X1525" s="1311"/>
      <c r="Y1525" s="1314" t="str">
        <f>IF(Q$1105="Yes",M1123,"")</f>
        <v/>
      </c>
      <c r="Z1525" s="1314" t="str">
        <f>IF(Q$1134="Yes",M1152,"")</f>
        <v/>
      </c>
    </row>
    <row r="1526" spans="1:26" x14ac:dyDescent="0.25">
      <c r="A1526" s="1077" t="s">
        <v>1482</v>
      </c>
      <c r="B1526" s="1274" t="str">
        <f>IFERROR(_xlfn.CONCAT("M",('Configurable Tab'!$C$20+4)),"")</f>
        <v>M197</v>
      </c>
      <c r="C1526" s="1274" t="str">
        <f>IFERROR(_xlfn.CONCAT("M",('Configurable Tab'!$C$20+7)),"")</f>
        <v>M200</v>
      </c>
      <c r="D1526" s="1314" t="s">
        <v>1350</v>
      </c>
      <c r="E1526" s="791" t="s">
        <v>1742</v>
      </c>
      <c r="F1526" s="1314"/>
      <c r="G1526" s="1314"/>
      <c r="H1526" s="1314"/>
      <c r="I1526" s="1274" t="str">
        <f t="shared" si="236"/>
        <v>Purchase Commitment</v>
      </c>
      <c r="J1526" s="1314" t="str">
        <f t="shared" si="240"/>
        <v>F</v>
      </c>
      <c r="K1526" s="1314" t="str">
        <f t="shared" si="235"/>
        <v>Incentives</v>
      </c>
      <c r="L1526" s="1314"/>
      <c r="M1526" s="1314"/>
      <c r="N1526" s="1314"/>
      <c r="O1526" s="1311"/>
      <c r="P1526" s="1311"/>
      <c r="Q1526" s="1311"/>
      <c r="R1526" s="1314" t="s">
        <v>1099</v>
      </c>
      <c r="S1526" s="1311"/>
      <c r="T1526" s="1311"/>
      <c r="U1526" s="1311"/>
      <c r="V1526" s="1311"/>
      <c r="W1526" s="1314" t="s">
        <v>1617</v>
      </c>
      <c r="X1526" s="1311"/>
      <c r="Y1526" s="1314" t="str">
        <f>IF(Q$1105="Yes",M1126,"")</f>
        <v/>
      </c>
      <c r="Z1526" s="1314" t="str">
        <f>IF(Q$1134="Yes",M1155,"")</f>
        <v/>
      </c>
    </row>
    <row r="1527" spans="1:26" x14ac:dyDescent="0.25">
      <c r="A1527" s="1077" t="s">
        <v>1482</v>
      </c>
      <c r="B1527" s="1274" t="str">
        <f>IFERROR(_xlfn.CONCAT("M",('Configurable Tab'!$C$20+4)),"")</f>
        <v>M197</v>
      </c>
      <c r="C1527" s="1274" t="str">
        <f>IFERROR(_xlfn.CONCAT("M",('Configurable Tab'!$C$20+8)),"")</f>
        <v>M201</v>
      </c>
      <c r="D1527" s="1314" t="s">
        <v>1350</v>
      </c>
      <c r="E1527" s="791" t="s">
        <v>1742</v>
      </c>
      <c r="F1527" s="1314"/>
      <c r="G1527" s="1314"/>
      <c r="H1527" s="1314"/>
      <c r="I1527" s="1274" t="str">
        <f t="shared" si="236"/>
        <v>Purchase Commitment</v>
      </c>
      <c r="J1527" s="1314" t="str">
        <f t="shared" si="240"/>
        <v>F</v>
      </c>
      <c r="K1527" s="1314" t="str">
        <f t="shared" si="235"/>
        <v>Incentives</v>
      </c>
      <c r="L1527" s="1314"/>
      <c r="M1527" s="1314"/>
      <c r="N1527" s="1314"/>
      <c r="O1527" s="1311"/>
      <c r="P1527" s="1311"/>
      <c r="Q1527" s="1311"/>
      <c r="R1527" s="1314" t="s">
        <v>1099</v>
      </c>
      <c r="S1527" s="1311"/>
      <c r="T1527" s="1311"/>
      <c r="U1527" s="1311"/>
      <c r="V1527" s="1311"/>
      <c r="W1527" s="1314" t="s">
        <v>1617</v>
      </c>
      <c r="X1527" s="1311"/>
      <c r="Y1527" s="1314" t="str">
        <f>IF(Q$1105="Yes",M1129,"")</f>
        <v/>
      </c>
      <c r="Z1527" s="1314" t="str">
        <f>IF(Q$1134="Yes",M1158,"")</f>
        <v/>
      </c>
    </row>
    <row r="1528" spans="1:26" x14ac:dyDescent="0.25">
      <c r="A1528" s="1077" t="s">
        <v>1482</v>
      </c>
      <c r="B1528" s="1274" t="str">
        <f>IFERROR(_xlfn.CONCAT("M",('Configurable Tab'!$C$20+4)),"")</f>
        <v>M197</v>
      </c>
      <c r="C1528" s="1274" t="str">
        <f>IFERROR(_xlfn.CONCAT("M",('Configurable Tab'!$C$20+9)),"")</f>
        <v>M202</v>
      </c>
      <c r="D1528" s="1314" t="s">
        <v>1350</v>
      </c>
      <c r="E1528" s="791" t="s">
        <v>1742</v>
      </c>
      <c r="F1528" s="1314"/>
      <c r="G1528" s="1314"/>
      <c r="H1528" s="1314"/>
      <c r="I1528" s="1274" t="str">
        <f t="shared" si="236"/>
        <v>Purchase Commitment</v>
      </c>
      <c r="J1528" s="1314" t="str">
        <f t="shared" si="240"/>
        <v>F</v>
      </c>
      <c r="K1528" s="1314" t="str">
        <f t="shared" si="235"/>
        <v>Incentives</v>
      </c>
      <c r="L1528" s="1314"/>
      <c r="M1528" s="1314"/>
      <c r="N1528" s="1314"/>
      <c r="O1528" s="1311"/>
      <c r="P1528" s="1311"/>
      <c r="Q1528" s="1311"/>
      <c r="R1528" s="1314" t="s">
        <v>1099</v>
      </c>
      <c r="S1528" s="1311"/>
      <c r="T1528" s="1311"/>
      <c r="U1528" s="1311"/>
      <c r="V1528" s="1311"/>
      <c r="W1528" s="1314" t="s">
        <v>1617</v>
      </c>
      <c r="X1528" s="1311"/>
      <c r="Y1528" s="1314" t="str">
        <f>IF(Q$1105="Yes",M1132,"")</f>
        <v/>
      </c>
      <c r="Z1528" s="1314" t="str">
        <f>IF(Q$1134="Yes",M1161,"")</f>
        <v/>
      </c>
    </row>
    <row r="1529" spans="1:26" x14ac:dyDescent="0.25">
      <c r="A1529" s="1070" t="s">
        <v>523</v>
      </c>
      <c r="B1529" s="1274" t="str">
        <f>IFERROR(_xlfn.CONCAT("D",('Configurable Tab'!$C$21+1)),"")</f>
        <v>D206</v>
      </c>
      <c r="C1529" s="1274" t="str">
        <f>IFERROR(_xlfn.CONCAT("E",('Configurable Tab'!$C$21+1)),"")</f>
        <v>E206</v>
      </c>
      <c r="D1529" s="1314" t="s">
        <v>1350</v>
      </c>
      <c r="E1529" s="791" t="s">
        <v>1742</v>
      </c>
      <c r="F1529" s="1314"/>
      <c r="G1529" s="1314"/>
      <c r="H1529" s="1314"/>
      <c r="I1529" s="1274" t="str">
        <f t="shared" si="236"/>
        <v>Offer this Incentive?</v>
      </c>
      <c r="J1529" s="1314" t="str">
        <f>$Q$1&amp;IF(T$1510=2,V1510,IF(T$1510=1,IF(AND(T$1529=1,T$1529&lt;&gt;0),U1529,IF(AND(X$1510=1,X$1510&lt;&gt;0),Y1510,"")),IF(T$1529=2,V1529,IF(T$1529=1,IF(AND(X$1510=1,X$1510&lt;&gt;0),Y1510,""),IF(X$1510=2,Z1510,"")))))</f>
        <v>F</v>
      </c>
      <c r="K1529" s="1314" t="str">
        <f t="shared" si="235"/>
        <v>Incentives</v>
      </c>
      <c r="L1529" s="1314"/>
      <c r="M1529" s="1314"/>
      <c r="N1529" s="1314"/>
      <c r="O1529" s="1311" t="s">
        <v>1765</v>
      </c>
      <c r="P1529" s="1405" t="str">
        <f>'Configurable Tab'!E21</f>
        <v>No</v>
      </c>
      <c r="Q1529" s="1274" t="str">
        <f>IFERROR(_xlfn.CONCAT("C",('Configurable Tab'!$C21+1)),"")</f>
        <v>C206</v>
      </c>
      <c r="R1529" s="1314" t="s">
        <v>1099</v>
      </c>
      <c r="S1529" s="1315" t="s">
        <v>1766</v>
      </c>
      <c r="T1529" s="1314">
        <f>IF(Q$1163="Yes",IF(Q$1188="Yes",2,1),0)</f>
        <v>0</v>
      </c>
      <c r="U1529" s="1314" t="str">
        <f>IF(Q$1163="Yes",M1163,"")</f>
        <v/>
      </c>
      <c r="V1529" s="1314" t="str">
        <f>IF(Q$1188="Yes",M1188,"")</f>
        <v/>
      </c>
      <c r="W1529" s="1311"/>
      <c r="X1529" s="1311"/>
      <c r="Y1529" s="1311"/>
      <c r="Z1529" s="1311"/>
    </row>
    <row r="1530" spans="1:26" x14ac:dyDescent="0.25">
      <c r="A1530" s="1071" t="s">
        <v>1383</v>
      </c>
      <c r="B1530" s="1274" t="str">
        <f>IFERROR(_xlfn.CONCAT("D",('Configurable Tab'!$C$21+2)),"")</f>
        <v>D207</v>
      </c>
      <c r="C1530" s="1274" t="str">
        <f>IFERROR(_xlfn.CONCAT("E",('Configurable Tab'!$C$21+2)),"")</f>
        <v>E207</v>
      </c>
      <c r="D1530" s="1314" t="s">
        <v>1350</v>
      </c>
      <c r="E1530" s="791" t="s">
        <v>1742</v>
      </c>
      <c r="F1530" s="1314"/>
      <c r="G1530" s="1314"/>
      <c r="H1530" s="1314"/>
      <c r="I1530" s="1274" t="str">
        <f t="shared" si="236"/>
        <v>Incentive Type</v>
      </c>
      <c r="J1530" s="1314" t="str">
        <f t="shared" ref="J1530:J1547" si="241">$Q$1&amp;IF(T$1510=2,V1511,IF(T$1510=1,IF(AND(T$1529=1,T$1529&lt;&gt;0),U1530,IF(AND(X$1510=1,X$1510&lt;&gt;0),Y1511,"")),IF(T$1529=2,V1530,IF(T$1529=1,IF(AND(X$1510=1,X$1510&lt;&gt;0),Y1511,""),IF(X$1510=2,Z1511,"")))))</f>
        <v>F</v>
      </c>
      <c r="K1530" s="1314" t="str">
        <f t="shared" si="235"/>
        <v>Incentives</v>
      </c>
      <c r="L1530" s="1314"/>
      <c r="M1530" s="1314"/>
      <c r="N1530" s="1314"/>
      <c r="O1530" s="1311"/>
      <c r="P1530" s="1311"/>
      <c r="Q1530" s="1311"/>
      <c r="R1530" s="1314" t="s">
        <v>1099</v>
      </c>
      <c r="S1530" s="1311"/>
      <c r="T1530" s="1311"/>
      <c r="U1530" s="1314" t="str">
        <f>IF(Q$1163="Yes",M1164,"")</f>
        <v/>
      </c>
      <c r="V1530" s="1314" t="str">
        <f>IF(Q$1188="Yes",M1189,"")</f>
        <v/>
      </c>
      <c r="W1530" s="1311"/>
      <c r="X1530" s="1311"/>
      <c r="Y1530" s="1311"/>
      <c r="Z1530" s="1311"/>
    </row>
    <row r="1531" spans="1:26" x14ac:dyDescent="0.25">
      <c r="A1531" s="1071" t="s">
        <v>1385</v>
      </c>
      <c r="B1531" s="1274" t="str">
        <f>IFERROR(_xlfn.CONCAT("D",('Configurable Tab'!$C$21+4)),"")</f>
        <v>D209</v>
      </c>
      <c r="C1531" s="1274" t="str">
        <f>IFERROR(_xlfn.CONCAT("E",('Configurable Tab'!$C$21+4)),"")</f>
        <v>E209</v>
      </c>
      <c r="D1531" s="1314" t="s">
        <v>1350</v>
      </c>
      <c r="E1531" s="791" t="s">
        <v>1742</v>
      </c>
      <c r="F1531" s="1314"/>
      <c r="G1531" s="1314"/>
      <c r="H1531" s="1314"/>
      <c r="I1531" s="1274" t="str">
        <f t="shared" si="236"/>
        <v>Incentive Effective Date</v>
      </c>
      <c r="J1531" s="1314" t="str">
        <f t="shared" si="241"/>
        <v>F</v>
      </c>
      <c r="K1531" s="1314" t="str">
        <f t="shared" si="235"/>
        <v>Incentives</v>
      </c>
      <c r="L1531" s="1314"/>
      <c r="M1531" s="1314"/>
      <c r="N1531" s="1314"/>
      <c r="O1531" s="1311"/>
      <c r="P1531" s="1311"/>
      <c r="Q1531" s="1311"/>
      <c r="R1531" s="1314" t="s">
        <v>1099</v>
      </c>
      <c r="S1531" s="1311"/>
      <c r="T1531" s="1311"/>
      <c r="U1531" s="1314" t="str">
        <f>IF(Q$1163="Yes",M1167,"")</f>
        <v/>
      </c>
      <c r="V1531" s="1314" t="str">
        <f>IF(Q$1188="Yes",M1192,"")</f>
        <v/>
      </c>
      <c r="W1531" s="1311"/>
      <c r="X1531" s="1311"/>
      <c r="Y1531" s="1311"/>
      <c r="Z1531" s="1311"/>
    </row>
    <row r="1532" spans="1:26" x14ac:dyDescent="0.25">
      <c r="A1532" s="1071" t="s">
        <v>1386</v>
      </c>
      <c r="B1532" s="1274" t="str">
        <f>IFERROR(_xlfn.CONCAT("D",('Configurable Tab'!$C$21+5)),"")</f>
        <v>D210</v>
      </c>
      <c r="C1532" s="1274" t="str">
        <f>IFERROR(_xlfn.CONCAT("E",('Configurable Tab'!$C$21+5)),"")</f>
        <v>E210</v>
      </c>
      <c r="D1532" s="1314" t="s">
        <v>1350</v>
      </c>
      <c r="E1532" s="791" t="s">
        <v>1742</v>
      </c>
      <c r="F1532" s="1314"/>
      <c r="G1532" s="1314"/>
      <c r="H1532" s="1314"/>
      <c r="I1532" s="1274" t="str">
        <f t="shared" si="236"/>
        <v>Incentive Expiration Date</v>
      </c>
      <c r="J1532" s="1314" t="str">
        <f t="shared" si="241"/>
        <v>F</v>
      </c>
      <c r="K1532" s="1314" t="str">
        <f t="shared" si="235"/>
        <v>Incentives</v>
      </c>
      <c r="L1532" s="1314"/>
      <c r="M1532" s="1314"/>
      <c r="N1532" s="1314"/>
      <c r="O1532" s="1311"/>
      <c r="P1532" s="1311"/>
      <c r="Q1532" s="1311"/>
      <c r="R1532" s="1314" t="s">
        <v>1099</v>
      </c>
      <c r="S1532" s="1311"/>
      <c r="T1532" s="1311"/>
      <c r="U1532" s="1314" t="str">
        <f>IF(Q$1163="Yes",M1168,"")</f>
        <v/>
      </c>
      <c r="V1532" s="1314" t="str">
        <f>IF(Q$1188="Yes",M1193,"")</f>
        <v/>
      </c>
      <c r="W1532" s="1311"/>
      <c r="X1532" s="1311"/>
      <c r="Y1532" s="1311"/>
      <c r="Z1532" s="1311"/>
    </row>
    <row r="1533" spans="1:26" x14ac:dyDescent="0.25">
      <c r="A1533" s="1071" t="s">
        <v>1380</v>
      </c>
      <c r="B1533" s="1274" t="str">
        <f>IFERROR(_xlfn.CONCAT("G",('Configurable Tab'!$C$21+1)),"")</f>
        <v>G206</v>
      </c>
      <c r="C1533" s="1274" t="str">
        <f>IFERROR(_xlfn.CONCAT("G",('Configurable Tab'!$C$21+2)),"")</f>
        <v>G207</v>
      </c>
      <c r="D1533" s="1314" t="s">
        <v>1350</v>
      </c>
      <c r="E1533" s="791" t="s">
        <v>1742</v>
      </c>
      <c r="F1533" s="1314"/>
      <c r="G1533" s="1314"/>
      <c r="H1533" s="1314"/>
      <c r="I1533" s="1274" t="str">
        <f t="shared" si="236"/>
        <v>Incentive Period</v>
      </c>
      <c r="J1533" s="1314" t="str">
        <f t="shared" si="241"/>
        <v>F</v>
      </c>
      <c r="K1533" s="1314" t="str">
        <f t="shared" si="235"/>
        <v>Incentives</v>
      </c>
      <c r="L1533" s="1314"/>
      <c r="M1533" s="1314"/>
      <c r="N1533" s="1314"/>
      <c r="O1533" s="1311"/>
      <c r="P1533" s="1311"/>
      <c r="Q1533" s="1311"/>
      <c r="R1533" s="1314" t="s">
        <v>1099</v>
      </c>
      <c r="S1533" s="1311"/>
      <c r="T1533" s="1311"/>
      <c r="U1533" s="1311"/>
      <c r="V1533" s="1311"/>
      <c r="W1533" s="1311"/>
      <c r="X1533" s="1311"/>
      <c r="Y1533" s="1311"/>
      <c r="Z1533" s="1311"/>
    </row>
    <row r="1534" spans="1:26" x14ac:dyDescent="0.25">
      <c r="A1534" s="1071" t="s">
        <v>1381</v>
      </c>
      <c r="B1534" s="1274" t="str">
        <f>IFERROR(_xlfn.CONCAT("I",('Configurable Tab'!$C$21+1)),"")</f>
        <v>I206</v>
      </c>
      <c r="C1534" s="1274" t="str">
        <f>IFERROR(_xlfn.CONCAT("I",('Configurable Tab'!$C$21+2)),"")</f>
        <v>I207</v>
      </c>
      <c r="D1534" s="1314" t="s">
        <v>1350</v>
      </c>
      <c r="E1534" s="791" t="s">
        <v>1742</v>
      </c>
      <c r="F1534" s="1314"/>
      <c r="G1534" s="1314"/>
      <c r="H1534" s="1314"/>
      <c r="I1534" s="1274" t="str">
        <f t="shared" si="236"/>
        <v>Payment Method</v>
      </c>
      <c r="J1534" s="1314" t="str">
        <f t="shared" si="241"/>
        <v>F</v>
      </c>
      <c r="K1534" s="1314" t="str">
        <f t="shared" si="235"/>
        <v>Incentives</v>
      </c>
      <c r="L1534" s="1314"/>
      <c r="M1534" s="1314"/>
      <c r="N1534" s="1314"/>
      <c r="O1534" s="1311"/>
      <c r="P1534" s="1311"/>
      <c r="Q1534" s="1311"/>
      <c r="R1534" s="1314" t="s">
        <v>1099</v>
      </c>
      <c r="S1534" s="1311"/>
      <c r="T1534" s="1311"/>
      <c r="U1534" s="1314" t="str">
        <f>IF(Q$1163="Yes",M1165,"")</f>
        <v/>
      </c>
      <c r="V1534" s="1314" t="str">
        <f>IF(Q$1188="Yes",M1190,"")</f>
        <v/>
      </c>
      <c r="W1534" s="1311"/>
      <c r="X1534" s="1311"/>
      <c r="Y1534" s="1311"/>
      <c r="Z1534" s="1311"/>
    </row>
    <row r="1535" spans="1:26" x14ac:dyDescent="0.25">
      <c r="A1535" s="1071" t="s">
        <v>1382</v>
      </c>
      <c r="B1535" s="1274" t="str">
        <f>IFERROR(_xlfn.CONCAT("M",('Configurable Tab'!$C$21+1)),"")</f>
        <v>M206</v>
      </c>
      <c r="C1535" s="1274" t="str">
        <f>IFERROR(_xlfn.CONCAT("M",('Configurable Tab'!$C$21+2)),"")</f>
        <v>M207</v>
      </c>
      <c r="D1535" s="1314" t="s">
        <v>1350</v>
      </c>
      <c r="E1535" s="791" t="s">
        <v>1742</v>
      </c>
      <c r="F1535" s="1314"/>
      <c r="G1535" s="1314"/>
      <c r="H1535" s="1314"/>
      <c r="I1535" s="1274" t="str">
        <f t="shared" si="236"/>
        <v>AP/AR Vendor Number</v>
      </c>
      <c r="J1535" s="1314" t="str">
        <f t="shared" si="241"/>
        <v>F</v>
      </c>
      <c r="K1535" s="1314" t="str">
        <f t="shared" si="235"/>
        <v>Incentives</v>
      </c>
      <c r="L1535" s="1314"/>
      <c r="M1535" s="1314"/>
      <c r="N1535" s="1314"/>
      <c r="O1535" s="1311"/>
      <c r="P1535" s="1311"/>
      <c r="Q1535" s="1311"/>
      <c r="R1535" s="1314" t="s">
        <v>1099</v>
      </c>
      <c r="S1535" s="1311"/>
      <c r="T1535" s="1311"/>
      <c r="U1535" s="1314" t="str">
        <f>IF(Q$1163="Yes",M1166,"")</f>
        <v/>
      </c>
      <c r="V1535" s="1314" t="str">
        <f>IF(Q$1188="Yes",M1191,"")</f>
        <v/>
      </c>
      <c r="W1535" s="1311"/>
      <c r="X1535" s="1311"/>
      <c r="Y1535" s="1311"/>
      <c r="Z1535" s="1311"/>
    </row>
    <row r="1536" spans="1:26" x14ac:dyDescent="0.25">
      <c r="A1536" s="1071" t="s">
        <v>1396</v>
      </c>
      <c r="B1536" s="1274" t="str">
        <f>IFERROR(_xlfn.CONCAT("G",('Configurable Tab'!$C$21+4)),"")</f>
        <v>G209</v>
      </c>
      <c r="C1536" s="1274" t="str">
        <f>IFERROR(_xlfn.CONCAT("G",('Configurable Tab'!$C$21+5)),"")</f>
        <v>G210</v>
      </c>
      <c r="D1536" s="1314" t="s">
        <v>1350</v>
      </c>
      <c r="E1536" s="791" t="s">
        <v>1742</v>
      </c>
      <c r="F1536" s="1310"/>
      <c r="G1536" s="1069"/>
      <c r="H1536" s="1314"/>
      <c r="I1536" s="1274" t="str">
        <f t="shared" si="236"/>
        <v>FF Payment Amount</v>
      </c>
      <c r="J1536" s="1314" t="str">
        <f t="shared" si="241"/>
        <v>F</v>
      </c>
      <c r="K1536" s="1314" t="str">
        <f t="shared" si="235"/>
        <v>Incentives</v>
      </c>
      <c r="L1536" s="1314"/>
      <c r="M1536" s="1314"/>
      <c r="N1536" s="1314"/>
      <c r="O1536" s="1311"/>
      <c r="P1536" s="1311"/>
      <c r="Q1536" s="1311"/>
      <c r="R1536" s="1314" t="s">
        <v>1099</v>
      </c>
      <c r="S1536" s="1311"/>
      <c r="T1536" s="1311"/>
      <c r="U1536" s="1314" t="str">
        <f>IF(Q$1163="Yes",M1171,"")</f>
        <v/>
      </c>
      <c r="V1536" s="1314" t="str">
        <f>IF(Q$1188="Yes",M1196,"")</f>
        <v/>
      </c>
      <c r="W1536" s="1311"/>
      <c r="X1536" s="1311"/>
      <c r="Y1536" s="1311"/>
      <c r="Z1536" s="1311"/>
    </row>
    <row r="1537" spans="1:26" x14ac:dyDescent="0.25">
      <c r="A1537" s="1071" t="s">
        <v>1389</v>
      </c>
      <c r="B1537" s="1274" t="str">
        <f>IFERROR(_xlfn.CONCAT("G",('Configurable Tab'!$C$21+7)),"")</f>
        <v>G212</v>
      </c>
      <c r="C1537" s="1274" t="str">
        <f>IFERROR(_xlfn.CONCAT("G",('Configurable Tab'!$C$21+8)),"")</f>
        <v>G213</v>
      </c>
      <c r="D1537" s="1314" t="s">
        <v>1350</v>
      </c>
      <c r="E1537" s="791" t="s">
        <v>1742</v>
      </c>
      <c r="F1537" s="1314"/>
      <c r="G1537" s="1314"/>
      <c r="H1537" s="1314"/>
      <c r="I1537" s="1274" t="str">
        <f t="shared" si="236"/>
        <v>Rate % of Sales</v>
      </c>
      <c r="J1537" s="1314" t="str">
        <f t="shared" si="241"/>
        <v>F</v>
      </c>
      <c r="K1537" s="1314" t="str">
        <f t="shared" si="235"/>
        <v>Incentives</v>
      </c>
      <c r="L1537" s="1314"/>
      <c r="M1537" s="1314"/>
      <c r="N1537" s="1314"/>
      <c r="O1537" s="1311"/>
      <c r="P1537" s="1311"/>
      <c r="Q1537" s="1311"/>
      <c r="R1537" s="1314" t="s">
        <v>1099</v>
      </c>
      <c r="S1537" s="1311"/>
      <c r="T1537" s="1311"/>
      <c r="U1537" s="1311"/>
      <c r="V1537" s="1311"/>
      <c r="W1537" s="1311"/>
      <c r="X1537" s="1311"/>
      <c r="Y1537" s="1311"/>
      <c r="Z1537" s="1311"/>
    </row>
    <row r="1538" spans="1:26" x14ac:dyDescent="0.25">
      <c r="A1538" s="1071" t="s">
        <v>727</v>
      </c>
      <c r="B1538" s="1274" t="str">
        <f>IFERROR(_xlfn.CONCAT("K",('Configurable Tab'!$C$21+4)),"")</f>
        <v>K209</v>
      </c>
      <c r="C1538" s="1274" t="str">
        <f>IFERROR(_xlfn.CONCAT("K",('Configurable Tab'!$C$21+5)),"")</f>
        <v>K210</v>
      </c>
      <c r="D1538" s="1314" t="s">
        <v>1350</v>
      </c>
      <c r="E1538" s="791" t="s">
        <v>1742</v>
      </c>
      <c r="F1538" s="1314"/>
      <c r="G1538" s="1314"/>
      <c r="H1538" s="1314"/>
      <c r="I1538" s="1274" t="str">
        <f t="shared" si="236"/>
        <v>Payment Amount</v>
      </c>
      <c r="J1538" s="1314" t="str">
        <f t="shared" si="241"/>
        <v>F</v>
      </c>
      <c r="K1538" s="1314" t="str">
        <f t="shared" si="235"/>
        <v>Incentives</v>
      </c>
      <c r="L1538" s="1314"/>
      <c r="M1538" s="1314"/>
      <c r="N1538" s="1314"/>
      <c r="O1538" s="1311"/>
      <c r="P1538" s="1311"/>
      <c r="Q1538" s="1311"/>
      <c r="R1538" s="1314" t="s">
        <v>1099</v>
      </c>
      <c r="S1538" s="1311"/>
      <c r="T1538" s="1311"/>
      <c r="U1538" s="1314" t="str">
        <f>IF(Q$1163="Yes",M1173,"")</f>
        <v/>
      </c>
      <c r="V1538" s="1314" t="str">
        <f>IF(Q$1188="Yes",M1198,"")</f>
        <v/>
      </c>
      <c r="W1538" s="1311"/>
      <c r="X1538" s="1311"/>
      <c r="Y1538" s="1311"/>
      <c r="Z1538" s="1311"/>
    </row>
    <row r="1539" spans="1:26" x14ac:dyDescent="0.25">
      <c r="A1539" s="1071" t="s">
        <v>727</v>
      </c>
      <c r="B1539" s="1274" t="str">
        <f>IFERROR(_xlfn.CONCAT("K",('Configurable Tab'!$C$21+4)),"")</f>
        <v>K209</v>
      </c>
      <c r="C1539" s="1274" t="str">
        <f>IFERROR(_xlfn.CONCAT("K",('Configurable Tab'!$C$21+6)),"")</f>
        <v>K211</v>
      </c>
      <c r="D1539" s="1314" t="s">
        <v>1350</v>
      </c>
      <c r="E1539" s="791" t="s">
        <v>1742</v>
      </c>
      <c r="F1539" s="1314"/>
      <c r="G1539" s="1314"/>
      <c r="H1539" s="1314"/>
      <c r="I1539" s="1274" t="str">
        <f t="shared" si="236"/>
        <v>Payment Amount</v>
      </c>
      <c r="J1539" s="1314" t="str">
        <f t="shared" si="241"/>
        <v>F</v>
      </c>
      <c r="K1539" s="1314" t="str">
        <f t="shared" si="235"/>
        <v>Incentives</v>
      </c>
      <c r="L1539" s="1314"/>
      <c r="M1539" s="1314"/>
      <c r="N1539" s="1314"/>
      <c r="O1539" s="1311"/>
      <c r="P1539" s="1311"/>
      <c r="Q1539" s="1311"/>
      <c r="R1539" s="1314" t="s">
        <v>1099</v>
      </c>
      <c r="S1539" s="1311"/>
      <c r="T1539" s="1311"/>
      <c r="U1539" s="1314" t="str">
        <f>IF(Q$1163="Yes",M1176,"")</f>
        <v/>
      </c>
      <c r="V1539" s="1314" t="str">
        <f>IF(Q$1188="Yes",M1201,"")</f>
        <v/>
      </c>
      <c r="W1539" s="1311"/>
      <c r="X1539" s="1311"/>
      <c r="Y1539" s="1311"/>
      <c r="Z1539" s="1311"/>
    </row>
    <row r="1540" spans="1:26" x14ac:dyDescent="0.25">
      <c r="A1540" s="1071" t="s">
        <v>727</v>
      </c>
      <c r="B1540" s="1274" t="str">
        <f>IFERROR(_xlfn.CONCAT("K",('Configurable Tab'!$C$21+4)),"")</f>
        <v>K209</v>
      </c>
      <c r="C1540" s="1274" t="str">
        <f>IFERROR(_xlfn.CONCAT("K",('Configurable Tab'!$C$21+7)),"")</f>
        <v>K212</v>
      </c>
      <c r="D1540" s="1314" t="s">
        <v>1350</v>
      </c>
      <c r="E1540" s="791" t="s">
        <v>1742</v>
      </c>
      <c r="F1540" s="1314"/>
      <c r="G1540" s="1314"/>
      <c r="H1540" s="1314"/>
      <c r="I1540" s="1274" t="str">
        <f t="shared" si="236"/>
        <v>Payment Amount</v>
      </c>
      <c r="J1540" s="1314" t="str">
        <f t="shared" si="241"/>
        <v>F</v>
      </c>
      <c r="K1540" s="1314" t="str">
        <f t="shared" si="235"/>
        <v>Incentives</v>
      </c>
      <c r="L1540" s="1314"/>
      <c r="M1540" s="1314"/>
      <c r="N1540" s="1314"/>
      <c r="O1540" s="1311"/>
      <c r="P1540" s="1311"/>
      <c r="Q1540" s="1311"/>
      <c r="R1540" s="1314" t="s">
        <v>1099</v>
      </c>
      <c r="S1540" s="1311"/>
      <c r="T1540" s="1311"/>
      <c r="U1540" s="1314" t="str">
        <f>IF(Q$1163="Yes",M1179,"")</f>
        <v/>
      </c>
      <c r="V1540" s="1314" t="str">
        <f>IF(Q$1188="Yes",M1204,"")</f>
        <v/>
      </c>
      <c r="W1540" s="1311"/>
      <c r="X1540" s="1311"/>
      <c r="Y1540" s="1311"/>
      <c r="Z1540" s="1311"/>
    </row>
    <row r="1541" spans="1:26" x14ac:dyDescent="0.25">
      <c r="A1541" s="1071" t="s">
        <v>727</v>
      </c>
      <c r="B1541" s="1274" t="str">
        <f>IFERROR(_xlfn.CONCAT("K",('Configurable Tab'!$C$21+4)),"")</f>
        <v>K209</v>
      </c>
      <c r="C1541" s="1274" t="str">
        <f>IFERROR(_xlfn.CONCAT("K",('Configurable Tab'!$C$21+8)),"")</f>
        <v>K213</v>
      </c>
      <c r="D1541" s="1314" t="s">
        <v>1350</v>
      </c>
      <c r="E1541" s="791" t="s">
        <v>1742</v>
      </c>
      <c r="F1541" s="1314"/>
      <c r="G1541" s="1314"/>
      <c r="H1541" s="1314"/>
      <c r="I1541" s="1274" t="str">
        <f t="shared" si="236"/>
        <v>Payment Amount</v>
      </c>
      <c r="J1541" s="1314" t="str">
        <f t="shared" si="241"/>
        <v>F</v>
      </c>
      <c r="K1541" s="1314" t="str">
        <f t="shared" ref="K1541:K1553" si="242">IF(J1541&lt;&gt;"",E1541,"")</f>
        <v>Incentives</v>
      </c>
      <c r="L1541" s="1314"/>
      <c r="M1541" s="1314"/>
      <c r="N1541" s="1314"/>
      <c r="O1541" s="1311"/>
      <c r="P1541" s="1311"/>
      <c r="Q1541" s="1311"/>
      <c r="R1541" s="1314" t="s">
        <v>1099</v>
      </c>
      <c r="S1541" s="1311"/>
      <c r="T1541" s="1311"/>
      <c r="U1541" s="1314" t="str">
        <f>IF(Q$1163="Yes",M1182,"")</f>
        <v/>
      </c>
      <c r="V1541" s="1314" t="str">
        <f>IF(Q$1188="Yes",M1207,"")</f>
        <v/>
      </c>
      <c r="W1541" s="1311"/>
      <c r="X1541" s="1311"/>
      <c r="Y1541" s="1311"/>
      <c r="Z1541" s="1311"/>
    </row>
    <row r="1542" spans="1:26" x14ac:dyDescent="0.25">
      <c r="A1542" s="1071" t="s">
        <v>727</v>
      </c>
      <c r="B1542" s="1274" t="str">
        <f>IFERROR(_xlfn.CONCAT("K",('Configurable Tab'!$C$21+4)),"")</f>
        <v>K209</v>
      </c>
      <c r="C1542" s="1274" t="str">
        <f>IFERROR(_xlfn.CONCAT("K",('Configurable Tab'!$C$21+9)),"")</f>
        <v>K214</v>
      </c>
      <c r="D1542" s="1314" t="s">
        <v>1350</v>
      </c>
      <c r="E1542" s="791" t="s">
        <v>1742</v>
      </c>
      <c r="F1542" s="1314"/>
      <c r="G1542" s="1314"/>
      <c r="H1542" s="1314"/>
      <c r="I1542" s="1274" t="str">
        <f t="shared" ref="I1542:I1553" si="243">IF(J1542&lt;&gt;"",A1542,"")</f>
        <v>Payment Amount</v>
      </c>
      <c r="J1542" s="1314" t="str">
        <f t="shared" si="241"/>
        <v>F</v>
      </c>
      <c r="K1542" s="1314" t="str">
        <f t="shared" si="242"/>
        <v>Incentives</v>
      </c>
      <c r="L1542" s="1314"/>
      <c r="M1542" s="1314"/>
      <c r="N1542" s="1314"/>
      <c r="O1542" s="1311"/>
      <c r="P1542" s="1311"/>
      <c r="Q1542" s="1311"/>
      <c r="R1542" s="1314" t="s">
        <v>1099</v>
      </c>
      <c r="S1542" s="1311"/>
      <c r="T1542" s="1311"/>
      <c r="U1542" s="1314" t="str">
        <f>IF(Q$1163="Yes",M1185,"")</f>
        <v/>
      </c>
      <c r="V1542" s="1314" t="str">
        <f>IF(Q$1188="Yes",M1210,"")</f>
        <v/>
      </c>
      <c r="W1542" s="1311"/>
      <c r="X1542" s="1311"/>
      <c r="Y1542" s="1311"/>
      <c r="Z1542" s="1311"/>
    </row>
    <row r="1543" spans="1:26" x14ac:dyDescent="0.25">
      <c r="A1543" s="1071" t="s">
        <v>1482</v>
      </c>
      <c r="B1543" s="1274" t="str">
        <f>IFERROR(_xlfn.CONCAT("M",('Configurable Tab'!$C$21+4)),"")</f>
        <v>M209</v>
      </c>
      <c r="C1543" s="1274" t="str">
        <f>IFERROR(_xlfn.CONCAT("M",('Configurable Tab'!$C$21+5)),"")</f>
        <v>M210</v>
      </c>
      <c r="D1543" s="1314" t="s">
        <v>1350</v>
      </c>
      <c r="E1543" s="791" t="s">
        <v>1742</v>
      </c>
      <c r="F1543" s="1314"/>
      <c r="G1543" s="1314"/>
      <c r="H1543" s="1314"/>
      <c r="I1543" s="1274" t="str">
        <f t="shared" si="243"/>
        <v>Purchase Commitment</v>
      </c>
      <c r="J1543" s="1314" t="str">
        <f t="shared" si="241"/>
        <v>F</v>
      </c>
      <c r="K1543" s="1314" t="str">
        <f t="shared" si="242"/>
        <v>Incentives</v>
      </c>
      <c r="L1543" s="1314"/>
      <c r="M1543" s="1314"/>
      <c r="N1543" s="1314"/>
      <c r="O1543" s="1311"/>
      <c r="P1543" s="1311"/>
      <c r="Q1543" s="1311"/>
      <c r="R1543" s="1314" t="s">
        <v>1099</v>
      </c>
      <c r="S1543" s="1311"/>
      <c r="T1543" s="1311"/>
      <c r="U1543" s="1311"/>
      <c r="V1543" s="1311"/>
      <c r="W1543" s="1311"/>
      <c r="X1543" s="1311"/>
      <c r="Y1543" s="1311"/>
      <c r="Z1543" s="1311"/>
    </row>
    <row r="1544" spans="1:26" x14ac:dyDescent="0.25">
      <c r="A1544" s="1071" t="s">
        <v>1482</v>
      </c>
      <c r="B1544" s="1274" t="str">
        <f>IFERROR(_xlfn.CONCAT("M",('Configurable Tab'!$C$21+4)),"")</f>
        <v>M209</v>
      </c>
      <c r="C1544" s="1274" t="str">
        <f>IFERROR(_xlfn.CONCAT("M",('Configurable Tab'!$C$21+6)),"")</f>
        <v>M211</v>
      </c>
      <c r="D1544" s="1314" t="s">
        <v>1350</v>
      </c>
      <c r="E1544" s="791" t="s">
        <v>1742</v>
      </c>
      <c r="F1544" s="1314"/>
      <c r="G1544" s="1314"/>
      <c r="H1544" s="1314"/>
      <c r="I1544" s="1274" t="str">
        <f t="shared" si="243"/>
        <v>Purchase Commitment</v>
      </c>
      <c r="J1544" s="1314" t="str">
        <f t="shared" si="241"/>
        <v>F</v>
      </c>
      <c r="K1544" s="1314" t="str">
        <f t="shared" si="242"/>
        <v>Incentives</v>
      </c>
      <c r="L1544" s="1314"/>
      <c r="M1544" s="1314"/>
      <c r="N1544" s="1314"/>
      <c r="O1544" s="1311"/>
      <c r="P1544" s="1311"/>
      <c r="Q1544" s="1311"/>
      <c r="R1544" s="1314" t="s">
        <v>1099</v>
      </c>
      <c r="S1544" s="1311"/>
      <c r="T1544" s="1311"/>
      <c r="U1544" s="1311"/>
      <c r="V1544" s="1311"/>
      <c r="W1544" s="1311"/>
      <c r="X1544" s="1311"/>
      <c r="Y1544" s="1311"/>
      <c r="Z1544" s="1311"/>
    </row>
    <row r="1545" spans="1:26" x14ac:dyDescent="0.25">
      <c r="A1545" s="1071" t="s">
        <v>1482</v>
      </c>
      <c r="B1545" s="1274" t="str">
        <f>IFERROR(_xlfn.CONCAT("M",('Configurable Tab'!$C$21+4)),"")</f>
        <v>M209</v>
      </c>
      <c r="C1545" s="1274" t="str">
        <f>IFERROR(_xlfn.CONCAT("M",('Configurable Tab'!$C$21+7)),"")</f>
        <v>M212</v>
      </c>
      <c r="D1545" s="1314" t="s">
        <v>1350</v>
      </c>
      <c r="E1545" s="791" t="s">
        <v>1742</v>
      </c>
      <c r="F1545" s="1314"/>
      <c r="G1545" s="1314"/>
      <c r="H1545" s="1314"/>
      <c r="I1545" s="1274" t="str">
        <f t="shared" si="243"/>
        <v>Purchase Commitment</v>
      </c>
      <c r="J1545" s="1314" t="str">
        <f t="shared" si="241"/>
        <v>F</v>
      </c>
      <c r="K1545" s="1314" t="str">
        <f t="shared" si="242"/>
        <v>Incentives</v>
      </c>
      <c r="L1545" s="1314"/>
      <c r="M1545" s="1314"/>
      <c r="N1545" s="1314"/>
      <c r="O1545" s="1311"/>
      <c r="P1545" s="1311"/>
      <c r="Q1545" s="1311"/>
      <c r="R1545" s="1314" t="s">
        <v>1099</v>
      </c>
      <c r="S1545" s="1311"/>
      <c r="T1545" s="1311"/>
      <c r="U1545" s="1311"/>
      <c r="V1545" s="1311"/>
      <c r="W1545" s="1311"/>
      <c r="X1545" s="1311"/>
      <c r="Y1545" s="1311"/>
      <c r="Z1545" s="1311"/>
    </row>
    <row r="1546" spans="1:26" x14ac:dyDescent="0.25">
      <c r="A1546" s="1071" t="s">
        <v>1482</v>
      </c>
      <c r="B1546" s="1274" t="str">
        <f>IFERROR(_xlfn.CONCAT("M",('Configurable Tab'!$C$21+4)),"")</f>
        <v>M209</v>
      </c>
      <c r="C1546" s="1274" t="str">
        <f>IFERROR(_xlfn.CONCAT("M",('Configurable Tab'!$C$21+8)),"")</f>
        <v>M213</v>
      </c>
      <c r="D1546" s="1314" t="s">
        <v>1350</v>
      </c>
      <c r="E1546" s="791" t="s">
        <v>1742</v>
      </c>
      <c r="F1546" s="1314"/>
      <c r="G1546" s="1314"/>
      <c r="H1546" s="1314"/>
      <c r="I1546" s="1274" t="str">
        <f t="shared" si="243"/>
        <v>Purchase Commitment</v>
      </c>
      <c r="J1546" s="1314" t="str">
        <f t="shared" si="241"/>
        <v>F</v>
      </c>
      <c r="K1546" s="1314" t="str">
        <f t="shared" si="242"/>
        <v>Incentives</v>
      </c>
      <c r="L1546" s="1314"/>
      <c r="M1546" s="1314"/>
      <c r="N1546" s="1314"/>
      <c r="O1546" s="1311"/>
      <c r="P1546" s="1311"/>
      <c r="Q1546" s="1311"/>
      <c r="R1546" s="1314" t="s">
        <v>1099</v>
      </c>
      <c r="S1546" s="1311"/>
      <c r="T1546" s="1311"/>
      <c r="U1546" s="1311"/>
      <c r="V1546" s="1311"/>
      <c r="W1546" s="1311"/>
      <c r="X1546" s="1311"/>
      <c r="Y1546" s="1311"/>
      <c r="Z1546" s="1311"/>
    </row>
    <row r="1547" spans="1:26" x14ac:dyDescent="0.25">
      <c r="A1547" s="1071" t="s">
        <v>1482</v>
      </c>
      <c r="B1547" s="1274" t="str">
        <f>IFERROR(_xlfn.CONCAT("M",('Configurable Tab'!$C$21+4)),"")</f>
        <v>M209</v>
      </c>
      <c r="C1547" s="1274" t="str">
        <f>IFERROR(_xlfn.CONCAT("M",('Configurable Tab'!$C$21+9)),"")</f>
        <v>M214</v>
      </c>
      <c r="D1547" s="1314" t="s">
        <v>1350</v>
      </c>
      <c r="E1547" s="791" t="s">
        <v>1742</v>
      </c>
      <c r="F1547" s="1314"/>
      <c r="G1547" s="1314"/>
      <c r="H1547" s="1314"/>
      <c r="I1547" s="1274" t="str">
        <f t="shared" si="243"/>
        <v>Purchase Commitment</v>
      </c>
      <c r="J1547" s="1314" t="str">
        <f t="shared" si="241"/>
        <v>F</v>
      </c>
      <c r="K1547" s="1314" t="str">
        <f t="shared" si="242"/>
        <v>Incentives</v>
      </c>
      <c r="L1547" s="1314"/>
      <c r="M1547" s="1314"/>
      <c r="N1547" s="1314"/>
      <c r="O1547" s="1311"/>
      <c r="P1547" s="1311"/>
      <c r="Q1547" s="1311"/>
      <c r="R1547" s="1314" t="s">
        <v>1099</v>
      </c>
      <c r="S1547" s="1311"/>
      <c r="T1547" s="1311"/>
      <c r="U1547" s="1311"/>
      <c r="V1547" s="1311"/>
      <c r="W1547" s="1311"/>
      <c r="X1547" s="1311"/>
      <c r="Y1547" s="1311"/>
      <c r="Z1547" s="1311"/>
    </row>
    <row r="1548" spans="1:26" x14ac:dyDescent="0.25">
      <c r="A1548" s="847" t="s">
        <v>523</v>
      </c>
      <c r="B1548" s="1274" t="str">
        <f>IFERROR(_xlfn.CONCAT("D",('Configurable Tab'!$C$22+1)),"")</f>
        <v>D218</v>
      </c>
      <c r="C1548" s="1274" t="str">
        <f>IFERROR(_xlfn.CONCAT("E",('Configurable Tab'!$C$22+1)),"")</f>
        <v>E218</v>
      </c>
      <c r="D1548" s="1314" t="s">
        <v>1350</v>
      </c>
      <c r="E1548" s="791" t="s">
        <v>1742</v>
      </c>
      <c r="F1548" s="1314"/>
      <c r="G1548" s="1314"/>
      <c r="H1548" s="1314"/>
      <c r="I1548" s="1274" t="str">
        <f t="shared" si="243"/>
        <v>Offer this Incentive?</v>
      </c>
      <c r="J1548" s="1314" t="str">
        <f t="shared" ref="J1548:J1553" si="244">$Q$1&amp;T1548</f>
        <v>F</v>
      </c>
      <c r="K1548" s="1314" t="str">
        <f t="shared" si="242"/>
        <v>Incentives</v>
      </c>
      <c r="L1548" s="1314"/>
      <c r="M1548" s="1314"/>
      <c r="N1548" s="1314"/>
      <c r="O1548" s="1311" t="s">
        <v>1767</v>
      </c>
      <c r="P1548" s="1405" t="str">
        <f>'Configurable Tab'!E21</f>
        <v>No</v>
      </c>
      <c r="Q1548" s="1274" t="str">
        <f>IFERROR(_xlfn.CONCAT("C",('Configurable Tab'!$C22+1)),"")</f>
        <v>C218</v>
      </c>
      <c r="R1548" s="1314" t="s">
        <v>1155</v>
      </c>
      <c r="S1548" s="1311"/>
      <c r="T1548" s="1314" t="str">
        <f>IF(Q$1213="Yes",M1213,"")</f>
        <v/>
      </c>
      <c r="U1548" s="1311"/>
      <c r="V1548" s="1311"/>
      <c r="W1548" s="1311"/>
      <c r="X1548" s="1311"/>
      <c r="Y1548" s="1311"/>
      <c r="Z1548" s="1311"/>
    </row>
    <row r="1549" spans="1:26" x14ac:dyDescent="0.25">
      <c r="A1549" s="842" t="s">
        <v>1383</v>
      </c>
      <c r="B1549" s="1274" t="str">
        <f>IFERROR(_xlfn.CONCAT("D",('Configurable Tab'!$C$22+2)),"")</f>
        <v>D219</v>
      </c>
      <c r="C1549" s="1274" t="str">
        <f>IFERROR(_xlfn.CONCAT("E",('Configurable Tab'!$C$22+2)),"")</f>
        <v>E219</v>
      </c>
      <c r="D1549" s="1314" t="s">
        <v>1350</v>
      </c>
      <c r="E1549" s="791" t="s">
        <v>1742</v>
      </c>
      <c r="F1549" s="1314"/>
      <c r="G1549" s="1314"/>
      <c r="H1549" s="1314"/>
      <c r="I1549" s="1274" t="str">
        <f t="shared" si="243"/>
        <v>Incentive Type</v>
      </c>
      <c r="J1549" s="1314" t="str">
        <f t="shared" si="244"/>
        <v>F</v>
      </c>
      <c r="K1549" s="1314" t="str">
        <f t="shared" si="242"/>
        <v>Incentives</v>
      </c>
      <c r="L1549" s="1314"/>
      <c r="M1549" s="1314"/>
      <c r="N1549" s="1314"/>
      <c r="O1549" s="1311"/>
      <c r="P1549" s="1311"/>
      <c r="Q1549" s="1311"/>
      <c r="R1549" s="1314" t="s">
        <v>1155</v>
      </c>
      <c r="S1549" s="1311"/>
      <c r="T1549" s="1314" t="str">
        <f>IF(Q$1213="Yes",M1214,"")</f>
        <v/>
      </c>
      <c r="U1549" s="1311"/>
      <c r="V1549" s="1311"/>
      <c r="W1549" s="1311"/>
      <c r="X1549" s="1311"/>
      <c r="Y1549" s="1311"/>
      <c r="Z1549" s="1311"/>
    </row>
    <row r="1550" spans="1:26" x14ac:dyDescent="0.25">
      <c r="A1550" s="842" t="s">
        <v>1385</v>
      </c>
      <c r="B1550" s="1274" t="str">
        <f>IFERROR(_xlfn.CONCAT("D",('Configurable Tab'!$C$22+4)),"")</f>
        <v>D221</v>
      </c>
      <c r="C1550" s="1274" t="str">
        <f>IFERROR(_xlfn.CONCAT("E",('Configurable Tab'!$C$22+4)),"")</f>
        <v>E221</v>
      </c>
      <c r="D1550" s="1314" t="s">
        <v>1350</v>
      </c>
      <c r="E1550" s="791" t="s">
        <v>1742</v>
      </c>
      <c r="F1550" s="1314"/>
      <c r="G1550" s="1314"/>
      <c r="H1550" s="1314"/>
      <c r="I1550" s="1274" t="str">
        <f t="shared" si="243"/>
        <v>Incentive Effective Date</v>
      </c>
      <c r="J1550" s="1314" t="str">
        <f t="shared" si="244"/>
        <v>F</v>
      </c>
      <c r="K1550" s="1314" t="str">
        <f t="shared" si="242"/>
        <v>Incentives</v>
      </c>
      <c r="L1550" s="1314"/>
      <c r="M1550" s="1314"/>
      <c r="N1550" s="1314"/>
      <c r="O1550" s="1311"/>
      <c r="P1550" s="1311"/>
      <c r="Q1550" s="1311"/>
      <c r="R1550" s="1314" t="s">
        <v>1155</v>
      </c>
      <c r="S1550" s="1311"/>
      <c r="T1550" s="1314" t="str">
        <f>IF(Q$1213="Yes",M1216,"")</f>
        <v/>
      </c>
      <c r="U1550" s="1311"/>
      <c r="V1550" s="1311"/>
      <c r="W1550" s="1311"/>
      <c r="X1550" s="1311"/>
      <c r="Y1550" s="1311"/>
      <c r="Z1550" s="1311"/>
    </row>
    <row r="1551" spans="1:26" x14ac:dyDescent="0.25">
      <c r="A1551" s="842" t="s">
        <v>1386</v>
      </c>
      <c r="B1551" s="1274" t="str">
        <f>IFERROR(_xlfn.CONCAT("D",('Configurable Tab'!$C$22+5)),"")</f>
        <v>D222</v>
      </c>
      <c r="C1551" s="1274" t="str">
        <f>IFERROR(_xlfn.CONCAT("E",('Configurable Tab'!$C$22+5)),"")</f>
        <v>E222</v>
      </c>
      <c r="D1551" s="1314" t="s">
        <v>1350</v>
      </c>
      <c r="E1551" s="791" t="s">
        <v>1742</v>
      </c>
      <c r="F1551" s="1314"/>
      <c r="G1551" s="1314"/>
      <c r="H1551" s="1314"/>
      <c r="I1551" s="1274" t="str">
        <f t="shared" si="243"/>
        <v>Incentive Expiration Date</v>
      </c>
      <c r="J1551" s="1314" t="str">
        <f t="shared" si="244"/>
        <v>F</v>
      </c>
      <c r="K1551" s="1314" t="str">
        <f t="shared" si="242"/>
        <v>Incentives</v>
      </c>
      <c r="L1551" s="1314"/>
      <c r="M1551" s="1314"/>
      <c r="N1551" s="1314"/>
      <c r="O1551" s="1311"/>
      <c r="P1551" s="1311"/>
      <c r="Q1551" s="1311"/>
      <c r="R1551" s="1314" t="s">
        <v>1155</v>
      </c>
      <c r="S1551" s="1311"/>
      <c r="T1551" s="1314" t="str">
        <f>IF(Q$1213="Yes",M1217,"")</f>
        <v/>
      </c>
      <c r="U1551" s="1311"/>
      <c r="V1551" s="1311"/>
      <c r="W1551" s="1311"/>
      <c r="X1551" s="1311"/>
      <c r="Y1551" s="1311"/>
      <c r="Z1551" s="1311"/>
    </row>
    <row r="1552" spans="1:26" x14ac:dyDescent="0.25">
      <c r="A1552" s="842" t="s">
        <v>1381</v>
      </c>
      <c r="B1552" s="1274" t="str">
        <f>IFERROR(_xlfn.CONCAT("I",('Configurable Tab'!$C$22+1)),"")</f>
        <v>I218</v>
      </c>
      <c r="C1552" s="1274" t="str">
        <f>IFERROR(_xlfn.CONCAT("I",('Configurable Tab'!$C$22+2)),"")</f>
        <v>I219</v>
      </c>
      <c r="D1552" s="1314" t="s">
        <v>1350</v>
      </c>
      <c r="E1552" s="791" t="s">
        <v>1742</v>
      </c>
      <c r="F1552" s="1314"/>
      <c r="G1552" s="1314"/>
      <c r="H1552" s="1314"/>
      <c r="I1552" s="1274" t="str">
        <f t="shared" si="243"/>
        <v>Payment Method</v>
      </c>
      <c r="J1552" s="1314" t="str">
        <f t="shared" si="244"/>
        <v>F</v>
      </c>
      <c r="K1552" s="1314" t="str">
        <f t="shared" si="242"/>
        <v>Incentives</v>
      </c>
      <c r="L1552" s="1314"/>
      <c r="M1552" s="1314"/>
      <c r="N1552" s="1314"/>
      <c r="O1552" s="1311"/>
      <c r="P1552" s="1311"/>
      <c r="Q1552" s="1311"/>
      <c r="R1552" s="1314" t="s">
        <v>1155</v>
      </c>
      <c r="S1552" s="1311"/>
      <c r="T1552" s="1314" t="str">
        <f>IF(Q$1213="Yes",M1215,"")</f>
        <v/>
      </c>
      <c r="U1552" s="1311"/>
      <c r="V1552" s="1311"/>
      <c r="W1552" s="1311"/>
      <c r="X1552" s="1311"/>
      <c r="Y1552" s="1311"/>
      <c r="Z1552" s="1311"/>
    </row>
    <row r="1553" spans="1:26" x14ac:dyDescent="0.25">
      <c r="A1553" s="842" t="s">
        <v>1389</v>
      </c>
      <c r="B1553" s="1274" t="str">
        <f>IFERROR(_xlfn.CONCAT("K",('Configurable Tab'!$C$22+4)),"")</f>
        <v>K221</v>
      </c>
      <c r="C1553" s="1274" t="str">
        <f>IFERROR(_xlfn.CONCAT("K",('Configurable Tab'!$C$22+5)),"")</f>
        <v>K222</v>
      </c>
      <c r="D1553" s="1314" t="s">
        <v>1350</v>
      </c>
      <c r="E1553" s="791" t="s">
        <v>1742</v>
      </c>
      <c r="F1553" s="1314"/>
      <c r="G1553" s="1314"/>
      <c r="H1553" s="1314"/>
      <c r="I1553" s="1274" t="str">
        <f t="shared" si="243"/>
        <v>Rate % of Sales</v>
      </c>
      <c r="J1553" s="1314" t="str">
        <f t="shared" si="244"/>
        <v>F</v>
      </c>
      <c r="K1553" s="1314" t="str">
        <f t="shared" si="242"/>
        <v>Incentives</v>
      </c>
      <c r="L1553" s="1314"/>
      <c r="M1553" s="1314"/>
      <c r="N1553" s="1314"/>
      <c r="O1553" s="1311"/>
      <c r="P1553" s="1311"/>
      <c r="Q1553" s="1311"/>
      <c r="R1553" s="1314" t="s">
        <v>1155</v>
      </c>
      <c r="S1553" s="1311"/>
      <c r="T1553" s="1314" t="str">
        <f>IF(Q$1213="Yes",M1219,"")</f>
        <v/>
      </c>
      <c r="U1553" s="1311"/>
      <c r="V1553" s="1311"/>
      <c r="W1553" s="1311"/>
      <c r="X1553" s="1311"/>
      <c r="Y1553" s="1311"/>
      <c r="Z1553" s="1311"/>
    </row>
    <row r="1554" spans="1:26" x14ac:dyDescent="0.25">
      <c r="A1554" s="791" t="s">
        <v>1268</v>
      </c>
      <c r="B1554" s="791" t="str">
        <f ca="1">_xlfn.CONCAT(IFERROR(SUBSTITUTE(ADDRESS(1,MATCH(A1554,INDIRECT("'"&amp;E1554&amp;"'"&amp;"!A4:Z4"),0),4),1,""),""),4)</f>
        <v>F4</v>
      </c>
      <c r="C1554" s="791" t="str">
        <f ca="1">_xlfn.CONCAT(IFERROR(SUBSTITUTE(ADDRESS(1,MATCH(A1554,INDIRECT("'"&amp;E1554&amp;"'"&amp;"!A4:Z4"),0),4),1,""),""),5)</f>
        <v>F5</v>
      </c>
      <c r="D1554" s="791" t="s">
        <v>1350</v>
      </c>
      <c r="E1554" s="791" t="s">
        <v>1279</v>
      </c>
      <c r="F1554" s="791" t="s">
        <v>1268</v>
      </c>
      <c r="G1554" s="791" t="s">
        <v>656</v>
      </c>
      <c r="H1554" s="791" t="s">
        <v>1264</v>
      </c>
      <c r="I1554" s="1274"/>
      <c r="J1554" s="1314"/>
      <c r="K1554" s="1314"/>
      <c r="L1554" s="1314"/>
      <c r="M1554" s="1314"/>
      <c r="N1554" s="1314"/>
      <c r="O1554" s="1311"/>
      <c r="P1554" s="1311"/>
      <c r="Q1554" s="1311"/>
      <c r="R1554" s="1311"/>
      <c r="S1554" s="1311"/>
      <c r="T1554" s="1311"/>
      <c r="U1554" s="1311"/>
      <c r="V1554" s="1311"/>
      <c r="W1554" s="1311"/>
      <c r="X1554" s="1311"/>
      <c r="Y1554" s="1311"/>
      <c r="Z1554" s="1311"/>
    </row>
    <row r="1555" spans="1:26" x14ac:dyDescent="0.25">
      <c r="A1555" s="791" t="s">
        <v>1269</v>
      </c>
      <c r="B1555" s="791" t="str">
        <f ca="1">_xlfn.CONCAT(IFERROR(SUBSTITUTE(ADDRESS(1,MATCH(A1555,INDIRECT("'"&amp;E1555&amp;"'"&amp;"!A4:Z4"),0),4),1,""),""),4)</f>
        <v>G4</v>
      </c>
      <c r="C1555" s="791" t="str">
        <f ca="1">_xlfn.CONCAT(IFERROR(SUBSTITUTE(ADDRESS(1,MATCH(A1555,INDIRECT("'"&amp;E1555&amp;"'"&amp;"!A4:Z4"),0),4),1,""),""),5)</f>
        <v>G5</v>
      </c>
      <c r="D1555" s="791" t="s">
        <v>1350</v>
      </c>
      <c r="E1555" s="791" t="s">
        <v>1279</v>
      </c>
      <c r="F1555" s="791" t="s">
        <v>1269</v>
      </c>
      <c r="G1555" s="791" t="s">
        <v>1356</v>
      </c>
      <c r="H1555" s="791" t="s">
        <v>1264</v>
      </c>
      <c r="I1555" s="1274"/>
      <c r="J1555" s="1314"/>
      <c r="K1555" s="1314"/>
      <c r="L1555" s="1314"/>
      <c r="M1555" s="1314"/>
      <c r="N1555" s="1314"/>
      <c r="O1555" s="1311"/>
      <c r="P1555" s="1311"/>
      <c r="Q1555" s="1311"/>
      <c r="R1555" s="1311"/>
      <c r="S1555" s="1311"/>
      <c r="T1555" s="1311"/>
      <c r="U1555" s="1311"/>
      <c r="V1555" s="1311"/>
      <c r="W1555" s="1311"/>
      <c r="X1555" s="1311"/>
      <c r="Y1555" s="1311"/>
      <c r="Z1555" s="1311"/>
    </row>
    <row r="1556" spans="1:26" x14ac:dyDescent="0.25">
      <c r="A1556" s="791" t="s">
        <v>1270</v>
      </c>
      <c r="B1556" s="791" t="str">
        <f ca="1">_xlfn.CONCAT(IFERROR(SUBSTITUTE(ADDRESS(1,MATCH(A1556,INDIRECT("'"&amp;E1556&amp;"'"&amp;"!A4:Z4"),0),4),1,""),""),4)</f>
        <v>H4</v>
      </c>
      <c r="C1556" s="791" t="str">
        <f ca="1">_xlfn.CONCAT(IFERROR(SUBSTITUTE(ADDRESS(1,MATCH(A1556,INDIRECT("'"&amp;E1556&amp;"'"&amp;"!A4:Z4"),0),4),1,""),""),5)</f>
        <v>H5</v>
      </c>
      <c r="D1556" s="791" t="s">
        <v>1350</v>
      </c>
      <c r="E1556" s="791" t="s">
        <v>1279</v>
      </c>
      <c r="F1556" s="791" t="s">
        <v>1270</v>
      </c>
      <c r="G1556" s="791" t="s">
        <v>1361</v>
      </c>
      <c r="H1556" s="791" t="s">
        <v>1264</v>
      </c>
      <c r="I1556" s="1274"/>
      <c r="J1556" s="1314"/>
      <c r="K1556" s="1314"/>
      <c r="L1556" s="1314"/>
      <c r="M1556" s="1314"/>
      <c r="N1556" s="1314"/>
      <c r="O1556" s="1311"/>
      <c r="P1556" s="1311"/>
      <c r="Q1556" s="1311"/>
      <c r="R1556" s="1311"/>
      <c r="S1556" s="1311"/>
      <c r="T1556" s="1311"/>
      <c r="U1556" s="1311"/>
      <c r="V1556" s="1311"/>
      <c r="W1556" s="1311"/>
      <c r="X1556" s="1311"/>
      <c r="Y1556" s="1311"/>
      <c r="Z1556" s="1311"/>
    </row>
    <row r="1557" spans="1:26" x14ac:dyDescent="0.25">
      <c r="A1557" s="790" t="s">
        <v>1265</v>
      </c>
      <c r="B1557" s="791" t="str">
        <f ca="1">_xlfn.CONCAT(IFERROR(SUBSTITUTE(ADDRESS(1,MATCH(A1557,INDIRECT("'"&amp;E1557&amp;"'"&amp;"!A4:Z4"),0),4),1,""),""),4)</f>
        <v>B4</v>
      </c>
      <c r="C1557" s="791" t="str">
        <f ca="1">_xlfn.CONCAT(IFERROR(SUBSTITUTE(ADDRESS(1,MATCH(A1557,INDIRECT("'"&amp;E1557&amp;"'"&amp;"!A4:Z4"),0),4),1,""),""),5)</f>
        <v>B5</v>
      </c>
      <c r="D1557" s="791" t="s">
        <v>1350</v>
      </c>
      <c r="E1557" s="791" t="s">
        <v>1279</v>
      </c>
      <c r="F1557" s="790" t="s">
        <v>1265</v>
      </c>
      <c r="G1557" s="791" t="s">
        <v>1353</v>
      </c>
      <c r="H1557" s="791" t="s">
        <v>1781</v>
      </c>
      <c r="I1557" s="1274"/>
      <c r="J1557" s="1314"/>
      <c r="K1557" s="1314"/>
      <c r="L1557" s="1314"/>
      <c r="M1557" s="1314"/>
      <c r="N1557" s="1314"/>
      <c r="O1557" s="1311"/>
      <c r="P1557" s="1311"/>
      <c r="Q1557" s="1311"/>
      <c r="R1557" s="1311"/>
      <c r="S1557" s="1311"/>
      <c r="T1557" s="1311"/>
      <c r="U1557" s="1311"/>
      <c r="V1557" s="1311"/>
      <c r="W1557" s="1311"/>
      <c r="X1557" s="1311"/>
      <c r="Y1557" s="1311"/>
      <c r="Z1557" s="1311"/>
    </row>
    <row r="1558" spans="1:26" x14ac:dyDescent="0.25">
      <c r="A1558" s="841" t="s">
        <v>1289</v>
      </c>
      <c r="B1558" s="791" t="str">
        <f ca="1">IF('Pricing Schedule'!$K$5="No",_xlfn.CONCAT(IFERROR(SUBSTITUTE(ADDRESS(1,MATCH(A1558,INDIRECT("'"&amp;E1558&amp;"'"&amp;"!A10:Z10"),0),4),1,""),""),11),_xlfn.CONCAT(IFERROR(SUBSTITUTE(ADDRESS(1,MATCH(A1558,INDIRECT("'"&amp;E1558&amp;"'"&amp;"!A10:Z10"),0),4),1,""),""),35))</f>
        <v>N11</v>
      </c>
      <c r="C1558" s="791" t="str">
        <f ca="1">IF('Pricing Schedule'!$K$5="No",IFERROR(SUBSTITUTE(ADDRESS(1,MATCH(A1558,INDIRECT("'"&amp;E1558&amp;"'"&amp;"!A10:Z10"),0),4),1,""),""),IFERROR(SUBSTITUTE(ADDRESS(1,MATCH(A1558,INDIRECT("'"&amp;E1558&amp;"'"&amp;"!A10:Z10"),0),4),1,""),""))</f>
        <v>N</v>
      </c>
      <c r="D1558" s="791" t="s">
        <v>1357</v>
      </c>
      <c r="E1558" s="791" t="s">
        <v>1279</v>
      </c>
      <c r="F1558" s="52" t="s">
        <v>1782</v>
      </c>
      <c r="G1558" s="52" t="s">
        <v>134</v>
      </c>
      <c r="H1558" s="52" t="s">
        <v>1279</v>
      </c>
      <c r="I1558" s="1274"/>
      <c r="J1558" s="1314"/>
      <c r="K1558" s="1314"/>
      <c r="L1558" s="1314"/>
      <c r="M1558" s="1314"/>
      <c r="N1558" s="1314"/>
      <c r="O1558" s="1311"/>
      <c r="P1558" s="1311"/>
      <c r="Q1558" s="1311"/>
      <c r="R1558" s="1311"/>
      <c r="S1558" s="1311"/>
      <c r="T1558" s="1311"/>
      <c r="U1558" s="1311"/>
      <c r="V1558" s="1311"/>
      <c r="W1558" s="1311"/>
      <c r="X1558" s="1311"/>
      <c r="Y1558" s="1311"/>
      <c r="Z1558" s="1311"/>
    </row>
    <row r="1559" spans="1:26" x14ac:dyDescent="0.25">
      <c r="A1559" s="1081" t="s">
        <v>1280</v>
      </c>
      <c r="B1559" s="791" t="str">
        <f ca="1">IF('Pricing Schedule'!$K$5="No",_xlfn.CONCAT(IFERROR(SUBSTITUTE(ADDRESS(1,MATCH(A1559,INDIRECT("'"&amp;E1559&amp;"'"&amp;"!A10:Z10"),0),4),1,""),""),11),_xlfn.CONCAT(IFERROR(SUBSTITUTE(ADDRESS(1,MATCH(A1559,INDIRECT("'"&amp;E1559&amp;"'"&amp;"!A10:Z10"),0),4),1,""),""),35))</f>
        <v>C11</v>
      </c>
      <c r="C1559" s="791" t="str">
        <f ca="1">IF('Pricing Schedule'!$K$5="No",IFERROR(SUBSTITUTE(ADDRESS(1,MATCH(A1559,INDIRECT("'"&amp;E1559&amp;"'"&amp;"!A10:Z10"),0),4),1,""),""),IFERROR(SUBSTITUTE(ADDRESS(1,MATCH(A1559,INDIRECT("'"&amp;E1559&amp;"'"&amp;"!A10:Z10"),0),4),1,""),""))</f>
        <v>C</v>
      </c>
      <c r="D1559" s="791" t="s">
        <v>1357</v>
      </c>
      <c r="E1559" s="791" t="s">
        <v>1279</v>
      </c>
      <c r="F1559" s="52" t="s">
        <v>1280</v>
      </c>
      <c r="G1559" s="52" t="s">
        <v>1355</v>
      </c>
      <c r="H1559" s="52" t="s">
        <v>1279</v>
      </c>
      <c r="I1559" s="1274"/>
      <c r="J1559" s="1314"/>
      <c r="K1559" s="1314"/>
      <c r="L1559" s="1314"/>
      <c r="M1559" s="1314"/>
      <c r="N1559" s="1314"/>
      <c r="O1559" s="1311"/>
      <c r="P1559" s="1311"/>
      <c r="Q1559" s="1311"/>
      <c r="R1559" s="1311"/>
      <c r="S1559" s="1311"/>
      <c r="T1559" s="1311"/>
      <c r="U1559" s="1311"/>
      <c r="V1559" s="1311"/>
      <c r="W1559" s="1311"/>
      <c r="X1559" s="1311"/>
      <c r="Y1559" s="1311"/>
      <c r="Z1559" s="1311"/>
    </row>
    <row r="1560" spans="1:26" x14ac:dyDescent="0.25">
      <c r="A1560" s="1081" t="s">
        <v>1246</v>
      </c>
      <c r="B1560" s="791" t="str">
        <f ca="1">IF('Pricing Schedule'!$K$5="No",_xlfn.CONCAT(IFERROR(SUBSTITUTE(ADDRESS(1,MATCH(A1560,INDIRECT("'"&amp;E1560&amp;"'"&amp;"!A10:Z10"),0),4),1,""),""),11),_xlfn.CONCAT(IFERROR(SUBSTITUTE(ADDRESS(1,MATCH(A1560,INDIRECT("'"&amp;E1560&amp;"'"&amp;"!A10:Z10"),0),4),1,""),""),35))</f>
        <v>H11</v>
      </c>
      <c r="C1560" s="791" t="str">
        <f ca="1">IF('Pricing Schedule'!$K$5="No",IFERROR(SUBSTITUTE(ADDRESS(1,MATCH(A1560,INDIRECT("'"&amp;E1560&amp;"'"&amp;"!A10:Z10"),0),4),1,""),""),IFERROR(SUBSTITUTE(ADDRESS(1,MATCH(A1560,INDIRECT("'"&amp;E1560&amp;"'"&amp;"!A10:Z10"),0),4),1,""),""))</f>
        <v>H</v>
      </c>
      <c r="D1560" s="791" t="s">
        <v>1357</v>
      </c>
      <c r="E1560" s="791" t="s">
        <v>1279</v>
      </c>
      <c r="F1560" s="52" t="s">
        <v>1246</v>
      </c>
      <c r="G1560" s="52" t="s">
        <v>1363</v>
      </c>
      <c r="H1560" s="52" t="s">
        <v>1279</v>
      </c>
      <c r="I1560" s="1274"/>
      <c r="J1560" s="1314"/>
      <c r="K1560" s="1314"/>
      <c r="L1560" s="1314"/>
      <c r="M1560" s="1314"/>
      <c r="N1560" s="1314"/>
      <c r="O1560" s="1311"/>
      <c r="P1560" s="1311"/>
      <c r="Q1560" s="1311"/>
      <c r="R1560" s="1311"/>
      <c r="S1560" s="1311"/>
      <c r="T1560" s="1311"/>
      <c r="U1560" s="1311"/>
      <c r="V1560" s="1311"/>
      <c r="W1560" s="1311"/>
      <c r="X1560" s="1311"/>
      <c r="Y1560" s="1311"/>
      <c r="Z1560" s="1311"/>
    </row>
    <row r="1561" spans="1:26" x14ac:dyDescent="0.25">
      <c r="A1561" s="1081" t="s">
        <v>1283</v>
      </c>
      <c r="B1561" s="791" t="str">
        <f ca="1">IF('Pricing Schedule'!$K$5="No",_xlfn.CONCAT(IFERROR(SUBSTITUTE(ADDRESS(1,MATCH(A1561,INDIRECT("'"&amp;E1561&amp;"'"&amp;"!A10:Z10"),0),4),1,""),""),11),_xlfn.CONCAT(IFERROR(SUBSTITUTE(ADDRESS(1,MATCH(A1561,INDIRECT("'"&amp;E1561&amp;"'"&amp;"!A10:Z10"),0),4),1,""),""),35))</f>
        <v>F11</v>
      </c>
      <c r="C1561" s="791" t="str">
        <f ca="1">IF('Pricing Schedule'!$K$5="No",IFERROR(SUBSTITUTE(ADDRESS(1,MATCH(A1561,INDIRECT("'"&amp;E1561&amp;"'"&amp;"!A10:Z10"),0),4),1,""),""),IFERROR(SUBSTITUTE(ADDRESS(1,MATCH(A1561,INDIRECT("'"&amp;E1561&amp;"'"&amp;"!A10:Z10"),0),4),1,""),""))</f>
        <v>F</v>
      </c>
      <c r="D1561" s="791" t="s">
        <v>1357</v>
      </c>
      <c r="E1561" s="791" t="s">
        <v>1279</v>
      </c>
      <c r="F1561" s="52" t="s">
        <v>1283</v>
      </c>
      <c r="G1561" s="52" t="s">
        <v>1361</v>
      </c>
      <c r="H1561" s="52" t="s">
        <v>1279</v>
      </c>
      <c r="I1561" s="1274"/>
      <c r="J1561" s="1314"/>
      <c r="K1561" s="1314"/>
      <c r="L1561" s="1314"/>
      <c r="M1561" s="1314"/>
      <c r="N1561" s="1314"/>
      <c r="O1561" s="1311"/>
      <c r="P1561" s="1311"/>
      <c r="Q1561" s="1311"/>
      <c r="R1561" s="1311"/>
      <c r="S1561" s="1311"/>
      <c r="T1561" s="1311"/>
      <c r="U1561" s="1311"/>
      <c r="V1561" s="1311"/>
      <c r="W1561" s="1311"/>
      <c r="X1561" s="1311"/>
      <c r="Y1561" s="1311"/>
      <c r="Z1561" s="1311"/>
    </row>
    <row r="1562" spans="1:26" x14ac:dyDescent="0.25">
      <c r="A1562" s="1097" t="s">
        <v>1282</v>
      </c>
      <c r="B1562" s="791" t="str">
        <f ca="1">IF('Pricing Schedule'!$K$5="No",_xlfn.CONCAT(IFERROR(SUBSTITUTE(ADDRESS(1,MATCH(A1562,INDIRECT("'"&amp;E1562&amp;"'"&amp;"!A10:Z10"),0),4),1,""),""),11),_xlfn.CONCAT(IFERROR(SUBSTITUTE(ADDRESS(1,MATCH(A1562,INDIRECT("'"&amp;E1562&amp;"'"&amp;"!A10:Z10"),0),4),1,""),""),35))</f>
        <v>E11</v>
      </c>
      <c r="C1562" s="791" t="str">
        <f ca="1">IF('Pricing Schedule'!$K$5="No",IFERROR(SUBSTITUTE(ADDRESS(1,MATCH(A1562,INDIRECT("'"&amp;E1562&amp;"'"&amp;"!A10:Z10"),0),4),1,""),""),IFERROR(SUBSTITUTE(ADDRESS(1,MATCH(A1562,INDIRECT("'"&amp;E1562&amp;"'"&amp;"!A10:Z10"),0),4),1,""),""))</f>
        <v>E</v>
      </c>
      <c r="D1562" s="791" t="s">
        <v>1357</v>
      </c>
      <c r="E1562" s="791" t="s">
        <v>1279</v>
      </c>
      <c r="F1562" s="52" t="s">
        <v>1282</v>
      </c>
      <c r="G1562" s="52" t="s">
        <v>1356</v>
      </c>
      <c r="H1562" s="52" t="s">
        <v>1279</v>
      </c>
      <c r="I1562" s="1274"/>
      <c r="J1562" s="1314"/>
      <c r="K1562" s="1314"/>
      <c r="L1562" s="1314"/>
      <c r="M1562" s="1314"/>
      <c r="N1562" s="1314"/>
      <c r="O1562" s="1311"/>
      <c r="P1562" s="1311"/>
      <c r="Q1562" s="1311"/>
      <c r="R1562" s="1311"/>
      <c r="S1562" s="1311"/>
      <c r="T1562" s="1311"/>
      <c r="U1562" s="1311"/>
      <c r="V1562" s="1311"/>
      <c r="W1562" s="1311"/>
      <c r="X1562" s="1311"/>
      <c r="Y1562" s="1311"/>
      <c r="Z1562" s="1311"/>
    </row>
    <row r="1563" spans="1:26" x14ac:dyDescent="0.25">
      <c r="A1563" s="1097" t="s">
        <v>1286</v>
      </c>
      <c r="B1563" s="791" t="str">
        <f ca="1">IF('Pricing Schedule'!$K$5="No",_xlfn.CONCAT(IFERROR(SUBSTITUTE(ADDRESS(1,MATCH(A1563,INDIRECT("'"&amp;E1563&amp;"'"&amp;"!A10:Z10"),0),4),1,""),""),11),_xlfn.CONCAT(IFERROR(SUBSTITUTE(ADDRESS(1,MATCH(A1563,INDIRECT("'"&amp;E1563&amp;"'"&amp;"!A10:Z10"),0),4),1,""),""),35))</f>
        <v>J11</v>
      </c>
      <c r="C1563" s="791" t="str">
        <f ca="1">IF('Pricing Schedule'!$K$5="No",IFERROR(SUBSTITUTE(ADDRESS(1,MATCH(A1563,INDIRECT("'"&amp;E1563&amp;"'"&amp;"!A10:Z10"),0),4),1,""),""),IFERROR(SUBSTITUTE(ADDRESS(1,MATCH(A1563,INDIRECT("'"&amp;E1563&amp;"'"&amp;"!A10:Z10"),0),4),1,""),""))</f>
        <v>J</v>
      </c>
      <c r="D1563" s="791" t="s">
        <v>1357</v>
      </c>
      <c r="E1563" s="791" t="s">
        <v>1279</v>
      </c>
      <c r="F1563" s="1097" t="s">
        <v>1286</v>
      </c>
      <c r="G1563" s="52" t="s">
        <v>1364</v>
      </c>
      <c r="H1563" s="52" t="s">
        <v>1279</v>
      </c>
      <c r="I1563" s="1274"/>
      <c r="J1563" s="1314"/>
      <c r="K1563" s="1314"/>
      <c r="L1563" s="1314"/>
      <c r="M1563" s="1314"/>
      <c r="N1563" s="1314"/>
      <c r="O1563" s="1311"/>
      <c r="P1563" s="1311"/>
      <c r="Q1563" s="1311"/>
      <c r="R1563" s="1311"/>
      <c r="S1563" s="1311"/>
      <c r="T1563" s="1311"/>
      <c r="U1563" s="1311"/>
      <c r="V1563" s="1311"/>
      <c r="W1563" s="1311"/>
      <c r="X1563" s="1311"/>
      <c r="Y1563" s="1311"/>
      <c r="Z1563" s="1311"/>
    </row>
    <row r="1564" spans="1:26" x14ac:dyDescent="0.25">
      <c r="A1564" s="1097" t="s">
        <v>1288</v>
      </c>
      <c r="B1564" s="791" t="str">
        <f ca="1">IF('Pricing Schedule'!$K$5="No",_xlfn.CONCAT(IFERROR(SUBSTITUTE(ADDRESS(1,MATCH(A1564,INDIRECT("'"&amp;E1564&amp;"'"&amp;"!A10:Z10"),0),4),1,""),""),11),_xlfn.CONCAT(IFERROR(SUBSTITUTE(ADDRESS(1,MATCH(A1564,INDIRECT("'"&amp;E1564&amp;"'"&amp;"!A10:Z10"),0),4),1,""),""),35))</f>
        <v>L11</v>
      </c>
      <c r="C1564" s="791" t="str">
        <f ca="1">IF('Pricing Schedule'!$K$5="No",IFERROR(SUBSTITUTE(ADDRESS(1,MATCH(A1564,INDIRECT("'"&amp;E1564&amp;"'"&amp;"!A10:Z10"),0),4),1,""),""),IFERROR(SUBSTITUTE(ADDRESS(1,MATCH(A1564,INDIRECT("'"&amp;E1564&amp;"'"&amp;"!A10:Z10"),0),4),1,""),""))</f>
        <v>L</v>
      </c>
      <c r="D1564" s="791" t="s">
        <v>1357</v>
      </c>
      <c r="E1564" s="791" t="s">
        <v>1279</v>
      </c>
      <c r="F1564" s="1097" t="s">
        <v>1288</v>
      </c>
      <c r="G1564" s="52" t="s">
        <v>1366</v>
      </c>
      <c r="H1564" s="52" t="s">
        <v>1279</v>
      </c>
      <c r="I1564" s="1274"/>
      <c r="J1564" s="1314"/>
      <c r="K1564" s="1314"/>
      <c r="L1564" s="1314"/>
      <c r="M1564" s="1314"/>
      <c r="N1564" s="1314"/>
      <c r="O1564" s="1311"/>
      <c r="P1564" s="1311"/>
      <c r="Q1564" s="1311"/>
      <c r="R1564" s="1311"/>
      <c r="S1564" s="1311"/>
      <c r="T1564" s="1311"/>
      <c r="U1564" s="1311"/>
      <c r="V1564" s="1311"/>
      <c r="W1564" s="1311"/>
      <c r="X1564" s="1311"/>
      <c r="Y1564" s="1311"/>
      <c r="Z1564" s="1311"/>
    </row>
    <row r="1565" spans="1:26" x14ac:dyDescent="0.25">
      <c r="A1565" s="1097" t="s">
        <v>1228</v>
      </c>
      <c r="B1565" s="791" t="str">
        <f ca="1">IF('Pricing Schedule'!$K$5="No",_xlfn.CONCAT(IFERROR(SUBSTITUTE(ADDRESS(1,MATCH(A1565,INDIRECT("'"&amp;E1565&amp;"'"&amp;"!A10:Z10"),0),4),1,""),""),11),_xlfn.CONCAT(IFERROR(SUBSTITUTE(ADDRESS(1,MATCH(A1565,INDIRECT("'"&amp;E1565&amp;"'"&amp;"!A10:Z10"),0),4),1,""),""),35))</f>
        <v>M11</v>
      </c>
      <c r="C1565" s="791" t="str">
        <f ca="1">IF('Pricing Schedule'!$K$5="No",IFERROR(SUBSTITUTE(ADDRESS(1,MATCH(A1565,INDIRECT("'"&amp;E1565&amp;"'"&amp;"!A10:Z10"),0),4),1,""),""),IFERROR(SUBSTITUTE(ADDRESS(1,MATCH(A1565,INDIRECT("'"&amp;E1565&amp;"'"&amp;"!A10:Z10"),0),4),1,""),""))</f>
        <v>M</v>
      </c>
      <c r="D1565" s="791" t="s">
        <v>1357</v>
      </c>
      <c r="E1565" s="791" t="s">
        <v>1279</v>
      </c>
      <c r="F1565" s="1097" t="s">
        <v>1228</v>
      </c>
      <c r="G1565" s="52" t="s">
        <v>1360</v>
      </c>
      <c r="H1565" s="52" t="s">
        <v>1279</v>
      </c>
      <c r="I1565" s="1274"/>
      <c r="J1565" s="1314"/>
      <c r="K1565" s="1314"/>
      <c r="L1565" s="1314"/>
      <c r="M1565" s="1314"/>
      <c r="N1565" s="1314"/>
      <c r="O1565" s="1311"/>
      <c r="P1565" s="1311"/>
      <c r="Q1565" s="1311"/>
      <c r="R1565" s="1311"/>
      <c r="S1565" s="1311"/>
      <c r="T1565" s="1311"/>
      <c r="U1565" s="1311"/>
      <c r="V1565" s="1311"/>
      <c r="W1565" s="1311"/>
      <c r="X1565" s="1311"/>
      <c r="Y1565" s="1311"/>
      <c r="Z1565" s="1311"/>
    </row>
    <row r="1566" spans="1:26" x14ac:dyDescent="0.25">
      <c r="A1566" s="1081" t="s">
        <v>1281</v>
      </c>
      <c r="B1566" s="791" t="str">
        <f ca="1">IF('Pricing Schedule'!$K$5="No",_xlfn.CONCAT(IFERROR(SUBSTITUTE(ADDRESS(1,MATCH(A1566,INDIRECT("'"&amp;E1566&amp;"'"&amp;"!A10:Z10"),0),4),1,""),""),11),_xlfn.CONCAT(IFERROR(SUBSTITUTE(ADDRESS(1,MATCH(A1566,INDIRECT("'"&amp;E1566&amp;"'"&amp;"!A10:Z10"),0),4),1,""),""),35))</f>
        <v>D11</v>
      </c>
      <c r="C1566" s="791" t="str">
        <f ca="1">IF('Pricing Schedule'!$K$5="No",IFERROR(SUBSTITUTE(ADDRESS(1,MATCH(A1566,INDIRECT("'"&amp;E1566&amp;"'"&amp;"!A10:Z10"),0),4),1,""),""),IFERROR(SUBSTITUTE(ADDRESS(1,MATCH(A1566,INDIRECT("'"&amp;E1566&amp;"'"&amp;"!A10:Z10"),0),4),1,""),""))</f>
        <v>D</v>
      </c>
      <c r="D1566" s="791" t="s">
        <v>1357</v>
      </c>
      <c r="E1566" s="791" t="s">
        <v>1279</v>
      </c>
      <c r="F1566" s="1081" t="s">
        <v>1281</v>
      </c>
      <c r="G1566" s="52" t="s">
        <v>1370</v>
      </c>
      <c r="H1566" s="52" t="s">
        <v>1279</v>
      </c>
      <c r="I1566" s="1274"/>
      <c r="J1566" s="1314"/>
      <c r="K1566" s="1314"/>
      <c r="L1566" s="1314"/>
      <c r="M1566" s="1314"/>
      <c r="N1566" s="1314"/>
      <c r="O1566" s="1311"/>
      <c r="P1566" s="1311"/>
      <c r="Q1566" s="1311"/>
      <c r="R1566" s="1311"/>
      <c r="S1566" s="1311"/>
      <c r="T1566" s="1311"/>
      <c r="U1566" s="1311"/>
      <c r="V1566" s="1311"/>
      <c r="W1566" s="1311"/>
      <c r="X1566" s="1311"/>
      <c r="Y1566" s="1311"/>
      <c r="Z1566" s="1311"/>
    </row>
    <row r="1567" spans="1:26" x14ac:dyDescent="0.25">
      <c r="A1567" s="790" t="s">
        <v>1265</v>
      </c>
      <c r="B1567" s="791" t="str">
        <f ca="1">_xlfn.CONCAT(IFERROR(SUBSTITUTE(ADDRESS(1,MATCH(A1567,INDIRECT("'"&amp;E1567&amp;"'"&amp;"!A4:Z4"),0),4),1,""),""),4)</f>
        <v>B4</v>
      </c>
      <c r="C1567" s="52" t="str">
        <f ca="1">_xlfn.CONCAT(IFERROR(SUBSTITUTE(ADDRESS(1,MATCH(A1567,INDIRECT("'"&amp;E1567&amp;"'"&amp;"!A4:Z4"),0),4),1,""),""),5)</f>
        <v>B5</v>
      </c>
      <c r="D1567" s="791" t="s">
        <v>1350</v>
      </c>
      <c r="E1567" s="791" t="s">
        <v>1279</v>
      </c>
      <c r="F1567" s="790" t="s">
        <v>1265</v>
      </c>
      <c r="G1567" s="791" t="s">
        <v>1353</v>
      </c>
      <c r="H1567" s="791" t="s">
        <v>1279</v>
      </c>
      <c r="I1567" s="1274"/>
      <c r="J1567" s="1314"/>
      <c r="K1567" s="1314"/>
      <c r="L1567" s="1314"/>
      <c r="M1567" s="1314"/>
      <c r="N1567" s="1314"/>
      <c r="O1567" s="1311"/>
      <c r="P1567" s="1311"/>
      <c r="Q1567" s="1311"/>
      <c r="R1567" s="1311"/>
      <c r="S1567" s="1311"/>
      <c r="T1567" s="1311"/>
      <c r="U1567" s="1311"/>
      <c r="V1567" s="1311"/>
      <c r="W1567" s="1311"/>
      <c r="X1567" s="1311"/>
      <c r="Y1567" s="1311"/>
      <c r="Z1567" s="1311"/>
    </row>
    <row r="1568" spans="1:26" x14ac:dyDescent="0.25">
      <c r="A1568" s="791" t="s">
        <v>374</v>
      </c>
      <c r="B1568" s="791"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IFERROR(SUBSTITUTE(ADDRESS(1,MATCH(A1568,INDIRECT("'"&amp;E1568&amp;"'"&amp;"!A17:Z17"),0),4),1,""),""))))),4)</f>
        <v>B4</v>
      </c>
      <c r="C1568" s="791"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5)</f>
        <v>B5</v>
      </c>
      <c r="D1568" s="791" t="s">
        <v>1350</v>
      </c>
      <c r="E1568" s="791" t="s">
        <v>1351</v>
      </c>
      <c r="F1568" s="791" t="s">
        <v>374</v>
      </c>
      <c r="G1568" s="791" t="s">
        <v>134</v>
      </c>
      <c r="H1568" s="791" t="s">
        <v>1783</v>
      </c>
      <c r="I1568" s="1274"/>
      <c r="J1568" s="1314"/>
      <c r="K1568" s="1314"/>
      <c r="L1568" s="1314"/>
      <c r="M1568" s="1314"/>
      <c r="N1568" s="1314"/>
      <c r="O1568" s="1311"/>
      <c r="P1568" s="1311"/>
      <c r="Q1568" s="1311"/>
      <c r="R1568" s="1311"/>
      <c r="S1568" s="1311"/>
      <c r="T1568" s="1311"/>
      <c r="U1568" s="1311"/>
      <c r="V1568" s="1311"/>
      <c r="W1568" s="1311"/>
      <c r="X1568" s="1311"/>
      <c r="Y1568" s="1311"/>
      <c r="Z1568" s="1311"/>
    </row>
    <row r="1569" spans="1:26" x14ac:dyDescent="0.25">
      <c r="A1569" s="791" t="s">
        <v>1161</v>
      </c>
      <c r="B1569" s="791" t="str">
        <f ca="1">_xlfn.CONCAT(IFERROR(SUBSTITUTE(ADDRESS(1,MATCH(A1569,INDIRECT("'"&amp;E1569&amp;"'"&amp;"!A33:Z33"),0),4),1,""),""),33)</f>
        <v>B33</v>
      </c>
      <c r="C1569" s="791" t="str">
        <f ca="1">_xlfn.CONCAT(IFERROR(SUBSTITUTE(ADDRESS(1,MATCH(A1569,INDIRECT("'"&amp;E1569&amp;"'"&amp;"!A33:Z33"),0),4),1,""),""),34)</f>
        <v>B34</v>
      </c>
      <c r="D1569" s="791" t="s">
        <v>1350</v>
      </c>
      <c r="E1569" s="791" t="s">
        <v>1374</v>
      </c>
      <c r="F1569" s="791" t="str">
        <f>IF(G1569&lt;&gt;"","Business Case","")</f>
        <v>Business Case</v>
      </c>
      <c r="G1569" s="791" t="str">
        <f>IF(Welcome!D$6="New","O","")</f>
        <v>O</v>
      </c>
      <c r="H1569" s="52" t="str">
        <f>IF(G1569&lt;&gt;"","General","")</f>
        <v>General</v>
      </c>
      <c r="I1569" s="1274"/>
      <c r="J1569" s="1314"/>
      <c r="K1569" s="1314"/>
      <c r="L1569" s="1314"/>
      <c r="M1569" s="1314"/>
      <c r="N1569" s="1314"/>
      <c r="O1569" s="1311"/>
      <c r="P1569" s="1311"/>
      <c r="Q1569" s="1311"/>
      <c r="R1569" s="1311"/>
      <c r="S1569" s="1311"/>
      <c r="T1569" s="1311"/>
      <c r="U1569" s="1311"/>
      <c r="V1569" s="1311"/>
      <c r="W1569" s="1311"/>
      <c r="X1569" s="1311"/>
      <c r="Y1569" s="1311"/>
      <c r="Z1569" s="1311"/>
    </row>
    <row r="1570" spans="1:26" x14ac:dyDescent="0.25">
      <c r="A1570" s="790" t="s">
        <v>1252</v>
      </c>
      <c r="B1570" s="52" t="str">
        <f>IFERROR(_xlfn.CONCAT("D",MATCH(A1570,'Tracking &amp; Profitability'!D$1:D$62,0)),"")</f>
        <v>D23</v>
      </c>
      <c r="C1570" s="52" t="str">
        <f>IFERROR(_xlfn.CONCAT("E",MATCH(A1570,'Tracking &amp; Profitability'!D$1:D$62,0)),"")</f>
        <v>E23</v>
      </c>
      <c r="D1570" s="791" t="s">
        <v>1350</v>
      </c>
      <c r="E1570" s="52" t="s">
        <v>129</v>
      </c>
      <c r="F1570" s="790" t="s">
        <v>1784</v>
      </c>
      <c r="G1570" s="52" t="s">
        <v>1798</v>
      </c>
      <c r="H1570" s="52" t="s">
        <v>1783</v>
      </c>
      <c r="I1570" s="1274"/>
      <c r="J1570" s="1314"/>
      <c r="K1570" s="1314"/>
      <c r="L1570" s="1314"/>
      <c r="M1570" s="1314"/>
      <c r="N1570" s="1314"/>
      <c r="O1570" s="1311"/>
      <c r="P1570" s="1311"/>
      <c r="Q1570" s="1311"/>
      <c r="R1570" s="1311"/>
      <c r="S1570" s="1311"/>
      <c r="T1570" s="1311"/>
      <c r="U1570" s="1311"/>
      <c r="V1570" s="1311"/>
      <c r="W1570" s="1311"/>
      <c r="X1570" s="1311"/>
      <c r="Y1570" s="1311"/>
      <c r="Z1570" s="1311"/>
    </row>
    <row r="1571" spans="1:26" x14ac:dyDescent="0.25">
      <c r="A1571" s="790" t="s">
        <v>1253</v>
      </c>
      <c r="B1571" s="52" t="str">
        <f>IFERROR(_xlfn.CONCAT("D",MATCH(A1571,'Tracking &amp; Profitability'!D$1:D$62,0)),"")</f>
        <v>D24</v>
      </c>
      <c r="C1571" s="52" t="str">
        <f>IFERROR(_xlfn.CONCAT("E",MATCH(A1571,'Tracking &amp; Profitability'!D$1:D$62,0)),"")</f>
        <v>E24</v>
      </c>
      <c r="D1571" s="791" t="s">
        <v>1350</v>
      </c>
      <c r="E1571" s="52" t="s">
        <v>129</v>
      </c>
      <c r="F1571" s="790" t="s">
        <v>1785</v>
      </c>
      <c r="G1571" s="52" t="s">
        <v>659</v>
      </c>
      <c r="H1571" s="52" t="s">
        <v>1783</v>
      </c>
      <c r="I1571" s="1274"/>
      <c r="J1571" s="1314"/>
      <c r="K1571" s="1314"/>
      <c r="L1571" s="1314"/>
      <c r="M1571" s="1314"/>
      <c r="N1571" s="1314"/>
      <c r="O1571" s="1311"/>
      <c r="P1571" s="1311"/>
      <c r="Q1571" s="1311"/>
      <c r="R1571" s="1311"/>
      <c r="S1571" s="1311"/>
      <c r="T1571" s="1311"/>
      <c r="U1571" s="1311"/>
      <c r="V1571" s="1311"/>
      <c r="W1571" s="1311"/>
      <c r="X1571" s="1311"/>
      <c r="Y1571" s="1311"/>
      <c r="Z1571" s="1311"/>
    </row>
    <row r="1572" spans="1:26" x14ac:dyDescent="0.25">
      <c r="A1572" s="790" t="s">
        <v>1253</v>
      </c>
      <c r="B1572" s="52" t="str">
        <f>IFERROR(_xlfn.CONCAT("D",MATCH(A1572,'Tracking &amp; Profitability'!D$1:D$62,0)),"")</f>
        <v>D24</v>
      </c>
      <c r="C1572" s="52" t="str">
        <f>IFERROR(_xlfn.CONCAT("G",MATCH(A1572,'Tracking &amp; Profitability'!D$1:D$62,0)),"")</f>
        <v>G24</v>
      </c>
      <c r="D1572" s="791" t="s">
        <v>1350</v>
      </c>
      <c r="E1572" s="52" t="s">
        <v>129</v>
      </c>
      <c r="F1572" s="790" t="s">
        <v>1786</v>
      </c>
      <c r="G1572" s="52" t="s">
        <v>1799</v>
      </c>
      <c r="H1572" s="52" t="s">
        <v>1783</v>
      </c>
      <c r="I1572" s="1274"/>
      <c r="J1572" s="1314"/>
      <c r="K1572" s="1314"/>
      <c r="L1572" s="1314"/>
      <c r="M1572" s="1314"/>
      <c r="N1572" s="1314"/>
      <c r="O1572" s="1311"/>
      <c r="P1572" s="1311"/>
      <c r="Q1572" s="1311"/>
      <c r="R1572" s="1311"/>
      <c r="S1572" s="1311"/>
      <c r="T1572" s="1311"/>
      <c r="U1572" s="1311"/>
      <c r="V1572" s="1311"/>
      <c r="W1572" s="1311"/>
      <c r="X1572" s="1311"/>
      <c r="Y1572" s="1311"/>
      <c r="Z1572" s="1311"/>
    </row>
    <row r="1573" spans="1:26" x14ac:dyDescent="0.25">
      <c r="A1573" s="790" t="s">
        <v>1255</v>
      </c>
      <c r="B1573" s="52" t="str">
        <f>IFERROR(_xlfn.CONCAT("D",MATCH(A1573,'Tracking &amp; Profitability'!D$1:D$62,0)),"")</f>
        <v>D37</v>
      </c>
      <c r="C1573" s="52" t="str">
        <f>IFERROR(_xlfn.CONCAT("E",MATCH(A1573,'Tracking &amp; Profitability'!D$1:D$62,0)),"")</f>
        <v>E37</v>
      </c>
      <c r="D1573" s="791" t="s">
        <v>1350</v>
      </c>
      <c r="E1573" s="52" t="s">
        <v>129</v>
      </c>
      <c r="F1573" s="790" t="s">
        <v>1787</v>
      </c>
      <c r="G1573" s="52" t="s">
        <v>1950</v>
      </c>
      <c r="H1573" s="52" t="s">
        <v>1783</v>
      </c>
      <c r="I1573" s="1274"/>
      <c r="J1573" s="1314"/>
      <c r="K1573" s="1314"/>
      <c r="L1573" s="1314"/>
      <c r="M1573" s="1314"/>
      <c r="N1573" s="1314"/>
      <c r="O1573" s="1311"/>
      <c r="P1573" s="1311"/>
      <c r="Q1573" s="1311"/>
      <c r="R1573" s="1311"/>
      <c r="S1573" s="1311"/>
      <c r="T1573" s="1311"/>
      <c r="U1573" s="1311"/>
      <c r="V1573" s="1311"/>
      <c r="W1573" s="1311"/>
      <c r="X1573" s="1311"/>
      <c r="Y1573" s="1311"/>
      <c r="Z1573" s="1311"/>
    </row>
    <row r="1574" spans="1:26" x14ac:dyDescent="0.25">
      <c r="A1574" s="790" t="s">
        <v>1255</v>
      </c>
      <c r="B1574" s="52" t="str">
        <f>IFERROR(_xlfn.CONCAT("D",MATCH(A1574,'Tracking &amp; Profitability'!D$1:D$62,0)),"")</f>
        <v>D37</v>
      </c>
      <c r="C1574" s="52" t="str">
        <f>IFERROR(_xlfn.CONCAT("I",MATCH(A1574,'Tracking &amp; Profitability'!D$1:D$62,0)),"")</f>
        <v>I37</v>
      </c>
      <c r="D1574" s="791" t="s">
        <v>1350</v>
      </c>
      <c r="E1574" s="52" t="s">
        <v>129</v>
      </c>
      <c r="F1574" s="790" t="s">
        <v>1788</v>
      </c>
      <c r="G1574" s="52" t="s">
        <v>1935</v>
      </c>
      <c r="H1574" s="52" t="s">
        <v>1783</v>
      </c>
      <c r="I1574" s="1274"/>
      <c r="J1574" s="1314"/>
      <c r="K1574" s="1314"/>
      <c r="L1574" s="1314"/>
      <c r="M1574" s="1314"/>
      <c r="N1574" s="1314"/>
      <c r="O1574" s="1311"/>
      <c r="P1574" s="1311"/>
      <c r="Q1574" s="1311"/>
      <c r="R1574" s="1311"/>
      <c r="S1574" s="1311"/>
      <c r="T1574" s="1311"/>
      <c r="U1574" s="1311"/>
      <c r="V1574" s="1311"/>
      <c r="W1574" s="1311"/>
      <c r="X1574" s="1311"/>
      <c r="Y1574" s="1311"/>
      <c r="Z1574" s="1311"/>
    </row>
    <row r="1575" spans="1:26" x14ac:dyDescent="0.25">
      <c r="A1575" s="790" t="s">
        <v>1255</v>
      </c>
      <c r="B1575" s="52" t="str">
        <f>IFERROR(_xlfn.CONCAT("D",MATCH(A1575,'Tracking &amp; Profitability'!D$1:D$62,0)),"")</f>
        <v>D37</v>
      </c>
      <c r="C1575" s="52" t="str">
        <f>IFERROR(_xlfn.CONCAT("G",MATCH(A1575,'Tracking &amp; Profitability'!D$1:D$62,0)),"")</f>
        <v>G37</v>
      </c>
      <c r="D1575" s="791" t="s">
        <v>1350</v>
      </c>
      <c r="E1575" s="52" t="s">
        <v>129</v>
      </c>
      <c r="F1575" s="790" t="s">
        <v>1789</v>
      </c>
      <c r="G1575" s="52" t="s">
        <v>1936</v>
      </c>
      <c r="H1575" s="52" t="s">
        <v>1783</v>
      </c>
      <c r="I1575" s="1274"/>
      <c r="J1575" s="1314"/>
      <c r="K1575" s="1314"/>
      <c r="L1575" s="1314"/>
      <c r="M1575" s="1314"/>
      <c r="N1575" s="1314"/>
      <c r="O1575" s="1311"/>
      <c r="P1575" s="1311"/>
      <c r="Q1575" s="1311"/>
      <c r="R1575" s="1311"/>
      <c r="S1575" s="1311"/>
      <c r="T1575" s="1311"/>
      <c r="U1575" s="1311"/>
      <c r="V1575" s="1311"/>
      <c r="W1575" s="1311"/>
      <c r="X1575" s="1311"/>
      <c r="Y1575" s="1311"/>
      <c r="Z1575" s="1311"/>
    </row>
    <row r="1576" spans="1:26" x14ac:dyDescent="0.25">
      <c r="A1576" s="790" t="s">
        <v>1255</v>
      </c>
      <c r="B1576" s="52" t="str">
        <f>IFERROR(_xlfn.CONCAT("D",MATCH(A1576,'Tracking &amp; Profitability'!D$1:D$62,0)),"")</f>
        <v>D37</v>
      </c>
      <c r="C1576" s="52" t="str">
        <f>IFERROR(_xlfn.CONCAT("K",MATCH(A1576,'Tracking &amp; Profitability'!D$1:D$62,0)),"")</f>
        <v>K37</v>
      </c>
      <c r="D1576" s="791" t="s">
        <v>1350</v>
      </c>
      <c r="E1576" s="52" t="s">
        <v>129</v>
      </c>
      <c r="F1576" s="790" t="s">
        <v>1790</v>
      </c>
      <c r="G1576" s="52" t="s">
        <v>1803</v>
      </c>
      <c r="H1576" s="52" t="s">
        <v>1783</v>
      </c>
      <c r="I1576" s="1274"/>
      <c r="J1576" s="1314"/>
      <c r="K1576" s="1314"/>
      <c r="L1576" s="1314"/>
      <c r="M1576" s="1314"/>
      <c r="N1576" s="1314"/>
      <c r="O1576" s="1311"/>
      <c r="P1576" s="1311"/>
      <c r="Q1576" s="1311"/>
      <c r="R1576" s="1311"/>
      <c r="S1576" s="1311"/>
      <c r="T1576" s="1311"/>
      <c r="U1576" s="1311"/>
      <c r="V1576" s="1311"/>
      <c r="W1576" s="1311"/>
      <c r="X1576" s="1311"/>
      <c r="Y1576" s="1311"/>
      <c r="Z1576" s="1311"/>
    </row>
    <row r="1577" spans="1:26" x14ac:dyDescent="0.25">
      <c r="A1577" s="790" t="s">
        <v>1255</v>
      </c>
      <c r="B1577" s="52" t="str">
        <f>IFERROR(_xlfn.CONCAT("D",MATCH(A1577,'Tracking &amp; Profitability'!D$1:D$62,0)),"")</f>
        <v>D37</v>
      </c>
      <c r="C1577" s="52" t="str">
        <f>IFERROR(_xlfn.CONCAT("M",MATCH(A1577,'Tracking &amp; Profitability'!D$1:D$62,0)),"")</f>
        <v>M37</v>
      </c>
      <c r="D1577" s="791" t="s">
        <v>1350</v>
      </c>
      <c r="E1577" s="52" t="s">
        <v>129</v>
      </c>
      <c r="F1577" s="790" t="s">
        <v>1791</v>
      </c>
      <c r="G1577" s="52" t="s">
        <v>1804</v>
      </c>
      <c r="H1577" s="52" t="s">
        <v>1783</v>
      </c>
      <c r="I1577" s="1274"/>
      <c r="J1577" s="1314"/>
      <c r="K1577" s="1314"/>
      <c r="L1577" s="1314"/>
      <c r="M1577" s="1314"/>
      <c r="N1577" s="1314"/>
      <c r="O1577" s="1311"/>
      <c r="P1577" s="1311"/>
      <c r="Q1577" s="1311"/>
      <c r="R1577" s="1311"/>
      <c r="S1577" s="1311"/>
      <c r="T1577" s="1311"/>
      <c r="U1577" s="1311"/>
      <c r="V1577" s="1311"/>
      <c r="W1577" s="1311"/>
      <c r="X1577" s="1311"/>
      <c r="Y1577" s="1311"/>
      <c r="Z1577" s="1311"/>
    </row>
    <row r="1578" spans="1:26" x14ac:dyDescent="0.25">
      <c r="A1578" s="790" t="s">
        <v>1259</v>
      </c>
      <c r="B1578" s="52" t="str">
        <f>IFERROR(_xlfn.CONCAT("D",MATCH(A1578,'Tracking &amp; Profitability'!D$1:D$62,0)),"")</f>
        <v>D41</v>
      </c>
      <c r="C1578" s="52" t="str">
        <f>IFERROR(_xlfn.CONCAT("I",MATCH(A1578,'Tracking &amp; Profitability'!D$1:D$62,0)),"")</f>
        <v>I41</v>
      </c>
      <c r="D1578" s="791" t="s">
        <v>1350</v>
      </c>
      <c r="E1578" s="52" t="s">
        <v>129</v>
      </c>
      <c r="F1578" s="1097" t="s">
        <v>1792</v>
      </c>
      <c r="G1578" s="52" t="s">
        <v>1805</v>
      </c>
      <c r="H1578" s="52" t="s">
        <v>1783</v>
      </c>
      <c r="I1578" s="1274"/>
      <c r="J1578" s="1314"/>
      <c r="K1578" s="1314"/>
      <c r="L1578" s="1314"/>
      <c r="M1578" s="1314"/>
      <c r="N1578" s="1314"/>
      <c r="O1578" s="1311"/>
      <c r="P1578" s="1311"/>
      <c r="Q1578" s="1311"/>
      <c r="R1578" s="1311"/>
      <c r="S1578" s="1311"/>
      <c r="T1578" s="1311"/>
      <c r="U1578" s="1311"/>
      <c r="V1578" s="1311"/>
      <c r="W1578" s="1311"/>
      <c r="X1578" s="1311"/>
      <c r="Y1578" s="1311"/>
      <c r="Z1578" s="1311"/>
    </row>
    <row r="1579" spans="1:26" x14ac:dyDescent="0.25">
      <c r="A1579" s="790" t="s">
        <v>1259</v>
      </c>
      <c r="B1579" s="52" t="str">
        <f>IFERROR(_xlfn.CONCAT("D",MATCH(A1579,'Tracking &amp; Profitability'!D$1:D$62,0)),"")</f>
        <v>D41</v>
      </c>
      <c r="C1579" s="52" t="str">
        <f>IFERROR(_xlfn.CONCAT("G",MATCH(A1579,'Tracking &amp; Profitability'!D$1:D$62,0)),"")</f>
        <v>G41</v>
      </c>
      <c r="D1579" s="791" t="s">
        <v>1350</v>
      </c>
      <c r="E1579" s="52" t="s">
        <v>129</v>
      </c>
      <c r="F1579" s="1097" t="s">
        <v>1793</v>
      </c>
      <c r="G1579" s="52" t="s">
        <v>1806</v>
      </c>
      <c r="H1579" s="52" t="s">
        <v>1783</v>
      </c>
      <c r="I1579" s="1274"/>
      <c r="J1579" s="1314"/>
      <c r="K1579" s="1314"/>
      <c r="L1579" s="1314"/>
      <c r="M1579" s="1314"/>
      <c r="N1579" s="1314"/>
      <c r="O1579" s="1311"/>
      <c r="P1579" s="1311"/>
      <c r="Q1579" s="1311"/>
      <c r="R1579" s="1311"/>
      <c r="S1579" s="1311"/>
      <c r="T1579" s="1311"/>
      <c r="U1579" s="1311"/>
      <c r="V1579" s="1311"/>
      <c r="W1579" s="1311"/>
      <c r="X1579" s="1311"/>
      <c r="Y1579" s="1311"/>
      <c r="Z1579" s="1311"/>
    </row>
    <row r="1580" spans="1:26" x14ac:dyDescent="0.25">
      <c r="A1580" s="790" t="s">
        <v>1259</v>
      </c>
      <c r="B1580" s="52" t="str">
        <f>IFERROR(_xlfn.CONCAT("D",MATCH(A1580,'Tracking &amp; Profitability'!D$1:D$62,0)),"")</f>
        <v>D41</v>
      </c>
      <c r="C1580" s="52" t="str">
        <f>IFERROR(_xlfn.CONCAT("E",MATCH(A1580,'Tracking &amp; Profitability'!D$1:D$62,0)),"")</f>
        <v>E41</v>
      </c>
      <c r="D1580" s="791" t="s">
        <v>1350</v>
      </c>
      <c r="E1580" s="52" t="s">
        <v>129</v>
      </c>
      <c r="F1580" s="1097" t="s">
        <v>1794</v>
      </c>
      <c r="G1580" s="52" t="s">
        <v>1807</v>
      </c>
      <c r="H1580" s="52" t="s">
        <v>1783</v>
      </c>
      <c r="I1580" s="1274"/>
      <c r="J1580" s="1314"/>
      <c r="K1580" s="1314"/>
      <c r="L1580" s="1314"/>
      <c r="M1580" s="1314"/>
      <c r="N1580" s="1314"/>
      <c r="O1580" s="1311"/>
      <c r="P1580" s="1311"/>
      <c r="Q1580" s="1311"/>
      <c r="R1580" s="1311"/>
      <c r="S1580" s="1311"/>
      <c r="T1580" s="1311"/>
      <c r="U1580" s="1311"/>
      <c r="V1580" s="1311"/>
      <c r="W1580" s="1311"/>
      <c r="X1580" s="1311"/>
      <c r="Y1580" s="1311"/>
      <c r="Z1580" s="1311"/>
    </row>
    <row r="1581" spans="1:26" x14ac:dyDescent="0.25">
      <c r="A1581" s="790" t="s">
        <v>1259</v>
      </c>
      <c r="B1581" s="52" t="str">
        <f>IFERROR(_xlfn.CONCAT("D",MATCH(A1581,'Tracking &amp; Profitability'!D$1:D$62,0)),"")</f>
        <v>D41</v>
      </c>
      <c r="C1581" s="52" t="str">
        <f>IFERROR(_xlfn.CONCAT("K",MATCH(A1581,'Tracking &amp; Profitability'!D$1:D$62,0)),"")</f>
        <v>K41</v>
      </c>
      <c r="D1581" s="791" t="s">
        <v>1350</v>
      </c>
      <c r="E1581" s="52" t="s">
        <v>129</v>
      </c>
      <c r="F1581" s="1097" t="s">
        <v>1795</v>
      </c>
      <c r="G1581" s="52" t="s">
        <v>1808</v>
      </c>
      <c r="H1581" s="52" t="s">
        <v>1783</v>
      </c>
      <c r="I1581" s="1274"/>
      <c r="J1581" s="1314"/>
      <c r="K1581" s="1314"/>
      <c r="L1581" s="1314"/>
      <c r="M1581" s="1314"/>
      <c r="N1581" s="1314"/>
      <c r="O1581" s="1311"/>
      <c r="P1581" s="1311"/>
      <c r="Q1581" s="1311"/>
      <c r="R1581" s="1311"/>
      <c r="S1581" s="1311"/>
      <c r="T1581" s="1311"/>
      <c r="U1581" s="1311"/>
      <c r="V1581" s="1311"/>
      <c r="W1581" s="1311"/>
      <c r="X1581" s="1311"/>
      <c r="Y1581" s="1311"/>
      <c r="Z1581" s="1311"/>
    </row>
    <row r="1582" spans="1:26" x14ac:dyDescent="0.25">
      <c r="A1582" s="790" t="s">
        <v>1259</v>
      </c>
      <c r="B1582" s="52" t="str">
        <f>IFERROR(_xlfn.CONCAT("D",MATCH(A1582,'Tracking &amp; Profitability'!D$1:D$62,0)),"")</f>
        <v>D41</v>
      </c>
      <c r="C1582" s="52" t="str">
        <f>IFERROR(_xlfn.CONCAT("M",MATCH(A1582,'Tracking &amp; Profitability'!D$1:D$62,0)),"")</f>
        <v>M41</v>
      </c>
      <c r="D1582" s="791" t="s">
        <v>1350</v>
      </c>
      <c r="E1582" s="52" t="s">
        <v>129</v>
      </c>
      <c r="F1582" s="1097" t="s">
        <v>1796</v>
      </c>
      <c r="G1582" s="52" t="s">
        <v>2055</v>
      </c>
      <c r="H1582" s="52" t="s">
        <v>1783</v>
      </c>
      <c r="I1582" s="1274"/>
      <c r="J1582" s="1314"/>
      <c r="K1582" s="1314"/>
      <c r="L1582" s="1314"/>
      <c r="M1582" s="1314"/>
      <c r="N1582" s="1314"/>
      <c r="O1582" s="1311"/>
      <c r="P1582" s="1311"/>
      <c r="Q1582" s="1311"/>
      <c r="R1582" s="1311"/>
      <c r="S1582" s="1311"/>
      <c r="T1582" s="1311"/>
      <c r="U1582" s="1311"/>
      <c r="V1582" s="1311"/>
      <c r="W1582" s="1311"/>
      <c r="X1582" s="1311"/>
      <c r="Y1582" s="1311"/>
      <c r="Z1582" s="1311"/>
    </row>
    <row r="1583" spans="1:26" x14ac:dyDescent="0.25">
      <c r="A1583" s="791" t="s">
        <v>1218</v>
      </c>
      <c r="B1583" s="791"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9)</f>
        <v>F9</v>
      </c>
      <c r="C1583" s="791"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10)</f>
        <v>F10</v>
      </c>
      <c r="D1583" s="791" t="s">
        <v>1350</v>
      </c>
      <c r="E1583" s="791" t="s">
        <v>1351</v>
      </c>
      <c r="F1583" s="791" t="s">
        <v>1218</v>
      </c>
      <c r="G1583" s="790" t="s">
        <v>1823</v>
      </c>
      <c r="H1583" s="791" t="s">
        <v>1783</v>
      </c>
      <c r="I1583" s="1274"/>
      <c r="J1583" s="1314"/>
      <c r="K1583" s="1314"/>
      <c r="L1583" s="1314"/>
      <c r="M1583" s="1314"/>
      <c r="N1583" s="1314"/>
      <c r="O1583" s="1311"/>
      <c r="P1583" s="1311"/>
      <c r="Q1583" s="1311"/>
      <c r="R1583" s="1311"/>
      <c r="S1583" s="1311"/>
      <c r="T1583" s="1311"/>
      <c r="U1583" s="1311"/>
      <c r="V1583" s="1311"/>
      <c r="W1583" s="1311"/>
      <c r="X1583" s="1311"/>
      <c r="Y1583" s="1311"/>
      <c r="Z1583" s="1311"/>
    </row>
    <row r="1584" spans="1:26" x14ac:dyDescent="0.25">
      <c r="A1584" s="791" t="s">
        <v>1371</v>
      </c>
      <c r="B1584" s="791"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12)</f>
        <v>F12</v>
      </c>
      <c r="C1584" s="791"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13)</f>
        <v>F13</v>
      </c>
      <c r="D1584" s="791" t="s">
        <v>1350</v>
      </c>
      <c r="E1584" s="791" t="s">
        <v>1351</v>
      </c>
      <c r="F1584" s="791" t="s">
        <v>1371</v>
      </c>
      <c r="G1584" s="791" t="s">
        <v>1813</v>
      </c>
      <c r="H1584" s="791" t="s">
        <v>1783</v>
      </c>
      <c r="I1584" s="1274"/>
      <c r="J1584" s="1314"/>
      <c r="K1584" s="1314"/>
      <c r="L1584" s="1314"/>
      <c r="M1584" s="1314"/>
      <c r="N1584" s="1314"/>
      <c r="O1584" s="1311"/>
      <c r="P1584" s="1311"/>
      <c r="Q1584" s="1311"/>
      <c r="R1584" s="1311"/>
      <c r="S1584" s="1311"/>
      <c r="T1584" s="1311"/>
      <c r="U1584" s="1311"/>
      <c r="V1584" s="1311"/>
      <c r="W1584" s="1311"/>
      <c r="X1584" s="1311"/>
      <c r="Y1584" s="1311"/>
      <c r="Z1584" s="1311"/>
    </row>
    <row r="1585" spans="1:26" x14ac:dyDescent="0.25">
      <c r="A1585" s="790" t="s">
        <v>1217</v>
      </c>
      <c r="B1585" s="791"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9)</f>
        <v>E9</v>
      </c>
      <c r="C1585" s="791"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10)</f>
        <v>E10</v>
      </c>
      <c r="D1585" s="791" t="s">
        <v>1350</v>
      </c>
      <c r="E1585" s="791" t="s">
        <v>1351</v>
      </c>
      <c r="F1585" s="790" t="s">
        <v>1217</v>
      </c>
      <c r="G1585" s="791" t="s">
        <v>1812</v>
      </c>
      <c r="H1585" s="791" t="s">
        <v>1783</v>
      </c>
      <c r="I1585" s="1274"/>
      <c r="J1585" s="1314"/>
      <c r="K1585" s="1314"/>
      <c r="L1585" s="1314"/>
      <c r="M1585" s="1314"/>
      <c r="N1585" s="1314"/>
      <c r="O1585" s="1311"/>
      <c r="P1585" s="1311"/>
      <c r="Q1585" s="1311"/>
      <c r="R1585" s="1311"/>
      <c r="S1585" s="1311"/>
      <c r="T1585" s="1311"/>
      <c r="U1585" s="1311"/>
      <c r="V1585" s="1311"/>
      <c r="W1585" s="1311"/>
      <c r="X1585" s="1311"/>
      <c r="Y1585" s="1311"/>
      <c r="Z1585" s="1311"/>
    </row>
    <row r="1586" spans="1:26" x14ac:dyDescent="0.25">
      <c r="A1586" s="790" t="s">
        <v>1231</v>
      </c>
      <c r="B1586" s="791" t="str">
        <f t="shared" ref="B1586:B1591" ca="1" si="245">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12)</f>
        <v>G12</v>
      </c>
      <c r="C1586" s="791" t="str">
        <f t="shared" ref="C1586:C1591" ca="1" si="246">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13)</f>
        <v>G13</v>
      </c>
      <c r="D1586" s="791" t="s">
        <v>1350</v>
      </c>
      <c r="E1586" s="791" t="s">
        <v>1351</v>
      </c>
      <c r="F1586" s="790" t="s">
        <v>1810</v>
      </c>
      <c r="G1586" s="791" t="s">
        <v>1811</v>
      </c>
      <c r="H1586" s="791" t="s">
        <v>1783</v>
      </c>
      <c r="I1586" s="1274"/>
      <c r="J1586" s="1314"/>
      <c r="K1586" s="1314"/>
      <c r="L1586" s="1314"/>
      <c r="M1586" s="1314"/>
      <c r="N1586" s="1314"/>
      <c r="O1586" s="1311"/>
      <c r="P1586" s="1311"/>
      <c r="Q1586" s="1311"/>
      <c r="R1586" s="1311"/>
      <c r="S1586" s="1311"/>
      <c r="T1586" s="1311"/>
      <c r="U1586" s="1311"/>
      <c r="V1586" s="1311"/>
      <c r="W1586" s="1311"/>
      <c r="X1586" s="1311"/>
      <c r="Y1586" s="1311"/>
      <c r="Z1586" s="1311"/>
    </row>
    <row r="1587" spans="1:26" x14ac:dyDescent="0.25">
      <c r="A1587" s="790" t="s">
        <v>1232</v>
      </c>
      <c r="B1587" s="791" t="str">
        <f t="shared" ca="1" si="245"/>
        <v>H12</v>
      </c>
      <c r="C1587" s="791" t="str">
        <f t="shared" ca="1" si="246"/>
        <v>H13</v>
      </c>
      <c r="D1587" s="791" t="s">
        <v>1350</v>
      </c>
      <c r="E1587" s="791" t="s">
        <v>1351</v>
      </c>
      <c r="F1587" s="790" t="s">
        <v>1232</v>
      </c>
      <c r="G1587" s="791" t="s">
        <v>1824</v>
      </c>
      <c r="H1587" s="791" t="s">
        <v>1783</v>
      </c>
      <c r="I1587" s="1274"/>
      <c r="J1587" s="1314"/>
      <c r="K1587" s="1314"/>
      <c r="L1587" s="1314"/>
      <c r="M1587" s="1314"/>
      <c r="N1587" s="1314"/>
      <c r="O1587" s="1311"/>
      <c r="P1587" s="1311"/>
      <c r="Q1587" s="1311"/>
      <c r="R1587" s="1311"/>
      <c r="S1587" s="1311"/>
      <c r="T1587" s="1311"/>
      <c r="U1587" s="1311"/>
      <c r="V1587" s="1311"/>
      <c r="W1587" s="1311"/>
      <c r="X1587" s="1311"/>
      <c r="Y1587" s="1311"/>
      <c r="Z1587" s="1311"/>
    </row>
    <row r="1588" spans="1:26" x14ac:dyDescent="0.25">
      <c r="A1588" s="790" t="s">
        <v>1227</v>
      </c>
      <c r="B1588" s="791" t="str">
        <f t="shared" ca="1" si="245"/>
        <v>C12</v>
      </c>
      <c r="C1588" s="791" t="str">
        <f t="shared" ca="1" si="246"/>
        <v>C13</v>
      </c>
      <c r="D1588" s="791" t="s">
        <v>1350</v>
      </c>
      <c r="E1588" s="791" t="s">
        <v>1351</v>
      </c>
      <c r="F1588" s="790" t="s">
        <v>1227</v>
      </c>
      <c r="G1588" s="791" t="s">
        <v>1817</v>
      </c>
      <c r="H1588" s="791" t="s">
        <v>1783</v>
      </c>
      <c r="I1588" s="1274"/>
      <c r="J1588" s="1314"/>
      <c r="K1588" s="1314"/>
      <c r="L1588" s="1314"/>
      <c r="M1588" s="1314"/>
      <c r="N1588" s="1314"/>
      <c r="O1588" s="1311"/>
      <c r="P1588" s="1311"/>
      <c r="Q1588" s="1311"/>
      <c r="R1588" s="1311"/>
      <c r="S1588" s="1311"/>
      <c r="T1588" s="1311"/>
      <c r="U1588" s="1311"/>
      <c r="V1588" s="1311"/>
      <c r="W1588" s="1311"/>
      <c r="X1588" s="1311"/>
      <c r="Y1588" s="1311"/>
      <c r="Z1588" s="1311"/>
    </row>
    <row r="1589" spans="1:26" x14ac:dyDescent="0.25">
      <c r="A1589" s="790" t="s">
        <v>1228</v>
      </c>
      <c r="B1589" s="791" t="str">
        <f t="shared" ca="1" si="245"/>
        <v>D12</v>
      </c>
      <c r="C1589" s="791" t="str">
        <f t="shared" ca="1" si="246"/>
        <v>D13</v>
      </c>
      <c r="D1589" s="791" t="s">
        <v>1350</v>
      </c>
      <c r="E1589" s="791" t="s">
        <v>1351</v>
      </c>
      <c r="F1589" s="790" t="s">
        <v>1228</v>
      </c>
      <c r="G1589" s="791" t="s">
        <v>1827</v>
      </c>
      <c r="H1589" s="791" t="s">
        <v>1783</v>
      </c>
      <c r="I1589" s="1274"/>
      <c r="J1589" s="1314"/>
      <c r="K1589" s="1314"/>
      <c r="L1589" s="1314"/>
      <c r="M1589" s="1314"/>
      <c r="N1589" s="1314"/>
      <c r="O1589" s="1311"/>
      <c r="P1589" s="1311"/>
      <c r="Q1589" s="1311"/>
      <c r="R1589" s="1311"/>
      <c r="S1589" s="1311"/>
      <c r="T1589" s="1311"/>
      <c r="U1589" s="1311"/>
      <c r="V1589" s="1311"/>
      <c r="W1589" s="1311"/>
      <c r="X1589" s="1311"/>
      <c r="Y1589" s="1311"/>
      <c r="Z1589" s="1311"/>
    </row>
    <row r="1590" spans="1:26" x14ac:dyDescent="0.25">
      <c r="A1590" s="790" t="s">
        <v>1229</v>
      </c>
      <c r="B1590" s="791" t="str">
        <f t="shared" ca="1" si="245"/>
        <v>E12</v>
      </c>
      <c r="C1590" s="791" t="str">
        <f t="shared" ca="1" si="246"/>
        <v>E13</v>
      </c>
      <c r="D1590" s="791" t="s">
        <v>1350</v>
      </c>
      <c r="E1590" s="791" t="s">
        <v>1351</v>
      </c>
      <c r="F1590" s="790" t="s">
        <v>1229</v>
      </c>
      <c r="G1590" s="791" t="s">
        <v>1820</v>
      </c>
      <c r="H1590" s="791" t="s">
        <v>1783</v>
      </c>
      <c r="I1590" s="1274"/>
      <c r="J1590" s="1314"/>
      <c r="K1590" s="1314"/>
      <c r="L1590" s="1314"/>
      <c r="M1590" s="1314"/>
      <c r="N1590" s="1314"/>
      <c r="O1590" s="1311"/>
      <c r="P1590" s="1311"/>
      <c r="Q1590" s="1311"/>
      <c r="R1590" s="1311"/>
      <c r="S1590" s="1311"/>
      <c r="T1590" s="1311"/>
      <c r="U1590" s="1311"/>
      <c r="V1590" s="1311"/>
      <c r="W1590" s="1311"/>
      <c r="X1590" s="1311"/>
      <c r="Y1590" s="1311"/>
      <c r="Z1590" s="1311"/>
    </row>
    <row r="1591" spans="1:26" x14ac:dyDescent="0.25">
      <c r="A1591" s="790" t="s">
        <v>1226</v>
      </c>
      <c r="B1591" s="791" t="str">
        <f t="shared" ca="1" si="245"/>
        <v>B12</v>
      </c>
      <c r="C1591" s="791" t="str">
        <f t="shared" ca="1" si="246"/>
        <v>B13</v>
      </c>
      <c r="D1591" s="791" t="s">
        <v>1350</v>
      </c>
      <c r="E1591" s="791" t="s">
        <v>1351</v>
      </c>
      <c r="F1591" s="790" t="s">
        <v>1226</v>
      </c>
      <c r="G1591" s="791" t="s">
        <v>1826</v>
      </c>
      <c r="H1591" s="791" t="s">
        <v>1783</v>
      </c>
      <c r="I1591" s="1274"/>
      <c r="J1591" s="1314"/>
      <c r="K1591" s="1314"/>
      <c r="L1591" s="1314"/>
      <c r="M1591" s="1314"/>
      <c r="N1591" s="1314"/>
      <c r="O1591" s="1311"/>
      <c r="P1591" s="1311"/>
      <c r="Q1591" s="1311"/>
      <c r="R1591" s="1311"/>
      <c r="S1591" s="1311"/>
      <c r="T1591" s="1311"/>
      <c r="U1591" s="1311"/>
      <c r="V1591" s="1311"/>
      <c r="W1591" s="1311"/>
      <c r="X1591" s="1311"/>
      <c r="Y1591" s="1311"/>
      <c r="Z1591" s="1311"/>
    </row>
    <row r="1592" spans="1:26" x14ac:dyDescent="0.25">
      <c r="A1592" s="791" t="s">
        <v>1469</v>
      </c>
      <c r="B1592" s="791" t="str">
        <f>IFERROR(_xlfn.CONCAT("C",MATCH(A1592,Welcome!C$1:C$60,0)),"")</f>
        <v>C24</v>
      </c>
      <c r="C1592" s="791" t="str">
        <f>IFERROR(_xlfn.CONCAT("D",MATCH(A1592,Welcome!C$1:C$61,0)),"")</f>
        <v>D24</v>
      </c>
      <c r="D1592" s="791" t="s">
        <v>1350</v>
      </c>
      <c r="E1592" s="791" t="s">
        <v>1374</v>
      </c>
      <c r="F1592" s="791" t="s">
        <v>1375</v>
      </c>
      <c r="G1592" s="791" t="s">
        <v>1816</v>
      </c>
      <c r="H1592" s="791" t="s">
        <v>1783</v>
      </c>
      <c r="I1592" s="1274"/>
      <c r="J1592" s="1314"/>
      <c r="K1592" s="1314"/>
      <c r="L1592" s="1314"/>
      <c r="M1592" s="1314"/>
      <c r="N1592" s="1314"/>
      <c r="O1592" s="1311"/>
      <c r="P1592" s="1311"/>
      <c r="Q1592" s="1311"/>
      <c r="R1592" s="1311"/>
      <c r="S1592" s="1311"/>
      <c r="T1592" s="1311"/>
      <c r="U1592" s="1311"/>
      <c r="V1592" s="1311"/>
      <c r="W1592" s="1311"/>
      <c r="X1592" s="1311"/>
      <c r="Y1592" s="1311"/>
      <c r="Z1592" s="1311"/>
    </row>
    <row r="1593" spans="1:26" x14ac:dyDescent="0.25">
      <c r="A1593" s="790" t="s">
        <v>1266</v>
      </c>
      <c r="B1593" s="791" t="str">
        <f t="shared" ref="B1593:B1600" ca="1" si="247">_xlfn.CONCAT(IFERROR(SUBSTITUTE(ADDRESS(1,MATCH(A1593,INDIRECT("'"&amp;E1593&amp;"'"&amp;"!A4:Z4"),0),4),1,""),""),4)</f>
        <v>C4</v>
      </c>
      <c r="C1593" s="52" t="str">
        <f t="shared" ref="C1593:C1600" ca="1" si="248">_xlfn.CONCAT(IFERROR(SUBSTITUTE(ADDRESS(1,MATCH(A1593,INDIRECT("'"&amp;E1593&amp;"'"&amp;"!A4:Z4"),0),4),1,""),""),5)</f>
        <v>C5</v>
      </c>
      <c r="D1593" s="791" t="s">
        <v>1350</v>
      </c>
      <c r="E1593" s="791" t="s">
        <v>1279</v>
      </c>
      <c r="F1593" s="790" t="s">
        <v>1266</v>
      </c>
      <c r="G1593" s="52" t="s">
        <v>1828</v>
      </c>
      <c r="H1593" s="52" t="s">
        <v>1783</v>
      </c>
      <c r="I1593" s="1274"/>
      <c r="J1593" s="1314"/>
      <c r="K1593" s="1314"/>
      <c r="L1593" s="1314"/>
      <c r="M1593" s="1314"/>
      <c r="N1593" s="1314"/>
      <c r="O1593" s="1311"/>
      <c r="P1593" s="1311"/>
      <c r="Q1593" s="1311"/>
      <c r="R1593" s="1311"/>
      <c r="S1593" s="1311"/>
      <c r="T1593" s="1311"/>
      <c r="U1593" s="1311"/>
      <c r="V1593" s="1311"/>
      <c r="W1593" s="1311"/>
      <c r="X1593" s="1311"/>
      <c r="Y1593" s="1311"/>
      <c r="Z1593" s="1311"/>
    </row>
    <row r="1594" spans="1:26" x14ac:dyDescent="0.25">
      <c r="A1594" s="790" t="s">
        <v>1377</v>
      </c>
      <c r="B1594" s="791" t="str">
        <f t="shared" ca="1" si="247"/>
        <v>D4</v>
      </c>
      <c r="C1594" s="52" t="str">
        <f t="shared" ca="1" si="248"/>
        <v>D5</v>
      </c>
      <c r="D1594" s="791" t="s">
        <v>1350</v>
      </c>
      <c r="E1594" s="791" t="s">
        <v>1279</v>
      </c>
      <c r="F1594" s="790" t="s">
        <v>1377</v>
      </c>
      <c r="G1594" s="52" t="s">
        <v>1829</v>
      </c>
      <c r="H1594" s="52" t="s">
        <v>1783</v>
      </c>
      <c r="I1594" s="1274"/>
      <c r="J1594" s="1314"/>
      <c r="K1594" s="1314"/>
      <c r="L1594" s="1314"/>
      <c r="M1594" s="1314"/>
      <c r="N1594" s="1314"/>
      <c r="O1594" s="1311"/>
      <c r="P1594" s="1311"/>
      <c r="Q1594" s="1311"/>
      <c r="R1594" s="1311"/>
      <c r="S1594" s="1311"/>
      <c r="T1594" s="1311"/>
      <c r="U1594" s="1311"/>
      <c r="V1594" s="1311"/>
      <c r="W1594" s="1311"/>
      <c r="X1594" s="1311"/>
      <c r="Y1594" s="1311"/>
      <c r="Z1594" s="1311"/>
    </row>
    <row r="1595" spans="1:26" x14ac:dyDescent="0.25">
      <c r="A1595" s="790" t="s">
        <v>1267</v>
      </c>
      <c r="B1595" s="791" t="str">
        <f t="shared" ca="1" si="247"/>
        <v>E4</v>
      </c>
      <c r="C1595" s="52" t="str">
        <f t="shared" ca="1" si="248"/>
        <v>E5</v>
      </c>
      <c r="D1595" s="791" t="s">
        <v>1350</v>
      </c>
      <c r="E1595" s="791" t="s">
        <v>1279</v>
      </c>
      <c r="F1595" s="790" t="s">
        <v>1267</v>
      </c>
      <c r="G1595" s="52" t="s">
        <v>1830</v>
      </c>
      <c r="H1595" s="52" t="s">
        <v>1783</v>
      </c>
      <c r="I1595" s="1274"/>
      <c r="J1595" s="1314"/>
      <c r="K1595" s="1314"/>
      <c r="L1595" s="1314"/>
      <c r="M1595" s="1314"/>
      <c r="N1595" s="1314"/>
      <c r="O1595" s="1311"/>
      <c r="P1595" s="1311"/>
      <c r="Q1595" s="1311"/>
      <c r="R1595" s="1311"/>
      <c r="S1595" s="1311"/>
      <c r="T1595" s="1311"/>
      <c r="U1595" s="1311"/>
      <c r="V1595" s="1311"/>
      <c r="W1595" s="1311"/>
      <c r="X1595" s="1311"/>
      <c r="Y1595" s="1311"/>
      <c r="Z1595" s="1311"/>
    </row>
    <row r="1596" spans="1:26" x14ac:dyDescent="0.25">
      <c r="A1596" s="790" t="s">
        <v>1270</v>
      </c>
      <c r="B1596" s="791" t="str">
        <f t="shared" ca="1" si="247"/>
        <v>H4</v>
      </c>
      <c r="C1596" s="52" t="str">
        <f t="shared" ca="1" si="248"/>
        <v>H5</v>
      </c>
      <c r="D1596" s="791" t="s">
        <v>1350</v>
      </c>
      <c r="E1596" s="791" t="s">
        <v>1279</v>
      </c>
      <c r="F1596" s="790" t="s">
        <v>1270</v>
      </c>
      <c r="G1596" s="52" t="s">
        <v>1960</v>
      </c>
      <c r="H1596" s="52" t="s">
        <v>1783</v>
      </c>
      <c r="I1596" s="1274"/>
      <c r="J1596" s="1314"/>
      <c r="K1596" s="1314"/>
      <c r="L1596" s="1314"/>
      <c r="M1596" s="1314"/>
      <c r="N1596" s="1314"/>
      <c r="O1596" s="1311"/>
      <c r="P1596" s="1311"/>
      <c r="Q1596" s="1311"/>
      <c r="R1596" s="1311"/>
      <c r="S1596" s="1311"/>
      <c r="T1596" s="1311"/>
      <c r="U1596" s="1311"/>
      <c r="V1596" s="1311"/>
      <c r="W1596" s="1311"/>
      <c r="X1596" s="1311"/>
      <c r="Y1596" s="1311"/>
      <c r="Z1596" s="1311"/>
    </row>
    <row r="1597" spans="1:26" x14ac:dyDescent="0.25">
      <c r="A1597" s="790" t="s">
        <v>1274</v>
      </c>
      <c r="B1597" s="791" t="str">
        <f t="shared" ca="1" si="247"/>
        <v>L4</v>
      </c>
      <c r="C1597" s="52" t="str">
        <f t="shared" ca="1" si="248"/>
        <v>L5</v>
      </c>
      <c r="D1597" s="791" t="s">
        <v>1350</v>
      </c>
      <c r="E1597" s="791" t="s">
        <v>1279</v>
      </c>
      <c r="F1597" s="790" t="s">
        <v>1274</v>
      </c>
      <c r="G1597" s="52" t="s">
        <v>1832</v>
      </c>
      <c r="H1597" s="52" t="s">
        <v>1783</v>
      </c>
      <c r="I1597" s="1274"/>
      <c r="J1597" s="1314"/>
      <c r="K1597" s="1314"/>
      <c r="L1597" s="1314"/>
      <c r="M1597" s="1314"/>
      <c r="N1597" s="1314"/>
      <c r="O1597" s="1311"/>
      <c r="P1597" s="1311"/>
      <c r="Q1597" s="1311"/>
      <c r="R1597" s="1311"/>
      <c r="S1597" s="1311"/>
      <c r="T1597" s="1311"/>
      <c r="U1597" s="1311"/>
      <c r="V1597" s="1311"/>
      <c r="W1597" s="1311"/>
      <c r="X1597" s="1311"/>
      <c r="Y1597" s="1311"/>
      <c r="Z1597" s="1311"/>
    </row>
    <row r="1598" spans="1:26" x14ac:dyDescent="0.25">
      <c r="A1598" s="790" t="s">
        <v>1271</v>
      </c>
      <c r="B1598" s="791" t="str">
        <f t="shared" ca="1" si="247"/>
        <v>I4</v>
      </c>
      <c r="C1598" s="52" t="str">
        <f t="shared" ca="1" si="248"/>
        <v>I5</v>
      </c>
      <c r="D1598" s="791" t="s">
        <v>1350</v>
      </c>
      <c r="E1598" s="791" t="s">
        <v>1279</v>
      </c>
      <c r="F1598" s="790" t="s">
        <v>1271</v>
      </c>
      <c r="G1598" s="52" t="s">
        <v>1833</v>
      </c>
      <c r="H1598" s="52" t="s">
        <v>1783</v>
      </c>
      <c r="I1598" s="1274"/>
      <c r="J1598" s="1314"/>
      <c r="K1598" s="1314"/>
      <c r="L1598" s="1314"/>
      <c r="M1598" s="1314"/>
      <c r="N1598" s="1314"/>
      <c r="O1598" s="1311"/>
      <c r="P1598" s="1311"/>
      <c r="Q1598" s="1311"/>
      <c r="R1598" s="1311"/>
      <c r="S1598" s="1311"/>
      <c r="T1598" s="1311"/>
      <c r="U1598" s="1311"/>
      <c r="V1598" s="1311"/>
      <c r="W1598" s="1311"/>
      <c r="X1598" s="1311"/>
      <c r="Y1598" s="1311"/>
      <c r="Z1598" s="1311"/>
    </row>
    <row r="1599" spans="1:26" x14ac:dyDescent="0.25">
      <c r="A1599" s="790" t="s">
        <v>1272</v>
      </c>
      <c r="B1599" s="791" t="str">
        <f t="shared" ca="1" si="247"/>
        <v>J4</v>
      </c>
      <c r="C1599" s="52" t="str">
        <f t="shared" ca="1" si="248"/>
        <v>J5</v>
      </c>
      <c r="D1599" s="791" t="s">
        <v>1350</v>
      </c>
      <c r="E1599" s="791" t="s">
        <v>1279</v>
      </c>
      <c r="F1599" s="790" t="s">
        <v>1272</v>
      </c>
      <c r="G1599" s="52" t="s">
        <v>1834</v>
      </c>
      <c r="H1599" s="52" t="s">
        <v>1783</v>
      </c>
      <c r="I1599" s="1274"/>
      <c r="J1599" s="1314"/>
      <c r="K1599" s="1314"/>
      <c r="L1599" s="1314"/>
      <c r="M1599" s="1314"/>
      <c r="N1599" s="1314"/>
      <c r="O1599" s="1311"/>
      <c r="P1599" s="1311"/>
      <c r="Q1599" s="1311"/>
      <c r="R1599" s="1311"/>
      <c r="S1599" s="1311"/>
      <c r="T1599" s="1311"/>
      <c r="U1599" s="1311"/>
      <c r="V1599" s="1311"/>
      <c r="W1599" s="1311"/>
      <c r="X1599" s="1311"/>
      <c r="Y1599" s="1311"/>
      <c r="Z1599" s="1311"/>
    </row>
    <row r="1600" spans="1:26" x14ac:dyDescent="0.25">
      <c r="A1600" s="790" t="s">
        <v>1273</v>
      </c>
      <c r="B1600" s="791" t="str">
        <f t="shared" ca="1" si="247"/>
        <v>K4</v>
      </c>
      <c r="C1600" s="52" t="str">
        <f t="shared" ca="1" si="248"/>
        <v>K5</v>
      </c>
      <c r="D1600" s="791" t="s">
        <v>1350</v>
      </c>
      <c r="E1600" s="791" t="s">
        <v>1279</v>
      </c>
      <c r="F1600" s="790" t="s">
        <v>1273</v>
      </c>
      <c r="G1600" s="52" t="s">
        <v>1961</v>
      </c>
      <c r="H1600" s="52" t="s">
        <v>1783</v>
      </c>
      <c r="I1600" s="1274"/>
      <c r="J1600" s="1314"/>
      <c r="K1600" s="1314"/>
      <c r="L1600" s="1314"/>
      <c r="M1600" s="1314"/>
      <c r="N1600" s="1314"/>
      <c r="O1600" s="1311"/>
      <c r="P1600" s="1311"/>
      <c r="Q1600" s="1311"/>
      <c r="R1600" s="1311"/>
      <c r="S1600" s="1311"/>
      <c r="T1600" s="1311"/>
      <c r="U1600" s="1311"/>
      <c r="V1600" s="1311"/>
      <c r="W1600" s="1311"/>
      <c r="X1600" s="1311"/>
      <c r="Y1600" s="1311"/>
      <c r="Z1600" s="1311"/>
    </row>
    <row r="1601" spans="1:26" x14ac:dyDescent="0.25">
      <c r="A1601" s="841" t="s">
        <v>1289</v>
      </c>
      <c r="B1601" s="791" t="str">
        <f ca="1">IF('Pricing Schedule'!$K$5="No",_xlfn.CONCAT(IFERROR(SUBSTITUTE(ADDRESS(1,MATCH(A1601,INDIRECT("'"&amp;E1601&amp;"'"&amp;"!A10:Z10"),0),4),1,""),""),11),_xlfn.CONCAT(IFERROR(SUBSTITUTE(ADDRESS(1,MATCH(A1601,INDIRECT("'"&amp;E1601&amp;"'"&amp;"!A10:Z10"),0),4),1,""),""),35))</f>
        <v>N11</v>
      </c>
      <c r="C1601" s="791" t="str">
        <f ca="1">IF('Pricing Schedule'!$K$5="No",IFERROR(SUBSTITUTE(ADDRESS(1,MATCH(A1601,INDIRECT("'"&amp;E1601&amp;"'"&amp;"!A10:Z10"),0),4),1,""),""),IFERROR(SUBSTITUTE(ADDRESS(1,MATCH(A1601,INDIRECT("'"&amp;E1601&amp;"'"&amp;"!A10:Z10"),0),4),1,""),""))</f>
        <v>N</v>
      </c>
      <c r="D1601" s="791" t="s">
        <v>1357</v>
      </c>
      <c r="E1601" s="791" t="s">
        <v>1279</v>
      </c>
      <c r="F1601" s="1266" t="s">
        <v>1917</v>
      </c>
      <c r="G1601" s="52" t="s">
        <v>1355</v>
      </c>
      <c r="H1601" s="1286" t="s">
        <v>1291</v>
      </c>
      <c r="I1601" s="1274"/>
      <c r="J1601" s="1314"/>
      <c r="K1601" s="1314"/>
      <c r="L1601" s="1314"/>
      <c r="M1601" s="1314"/>
      <c r="N1601" s="1314"/>
      <c r="O1601" s="1311"/>
      <c r="P1601" s="1311"/>
      <c r="Q1601" s="1311"/>
      <c r="R1601" s="1311"/>
      <c r="S1601" s="1311"/>
      <c r="T1601" s="1311"/>
      <c r="U1601" s="1311"/>
      <c r="V1601" s="1311"/>
      <c r="W1601" s="1311"/>
      <c r="X1601" s="1311"/>
      <c r="Y1601" s="1311"/>
      <c r="Z1601" s="1311"/>
    </row>
    <row r="1602" spans="1:26" x14ac:dyDescent="0.25">
      <c r="A1602" s="1081" t="s">
        <v>1246</v>
      </c>
      <c r="B1602" s="791" t="str">
        <f ca="1">IF('Pricing Schedule'!$K$5="No",_xlfn.CONCAT(IFERROR(SUBSTITUTE(ADDRESS(1,MATCH(A1602,INDIRECT("'"&amp;E1602&amp;"'"&amp;"!A10:Z10"),0),4),1,""),""),11),_xlfn.CONCAT(IFERROR(SUBSTITUTE(ADDRESS(1,MATCH(A1602,INDIRECT("'"&amp;E1602&amp;"'"&amp;"!A10:Z10"),0),4),1,""),""),35))</f>
        <v>H11</v>
      </c>
      <c r="C1602" s="791" t="str">
        <f ca="1">IF('Pricing Schedule'!$K$5="No",IFERROR(SUBSTITUTE(ADDRESS(1,MATCH(A1602,INDIRECT("'"&amp;E1602&amp;"'"&amp;"!A10:Z10"),0),4),1,""),""),IFERROR(SUBSTITUTE(ADDRESS(1,MATCH(A1602,INDIRECT("'"&amp;E1602&amp;"'"&amp;"!A10:Z10"),0),4),1,""),""))</f>
        <v>H</v>
      </c>
      <c r="D1602" s="791" t="s">
        <v>1357</v>
      </c>
      <c r="E1602" s="791" t="s">
        <v>1279</v>
      </c>
      <c r="F1602" s="1266" t="s">
        <v>1246</v>
      </c>
      <c r="G1602" s="52" t="s">
        <v>1361</v>
      </c>
      <c r="H1602" s="1286" t="s">
        <v>1291</v>
      </c>
      <c r="I1602" s="1274"/>
      <c r="J1602" s="1314"/>
      <c r="K1602" s="1314"/>
      <c r="L1602" s="1314"/>
      <c r="M1602" s="1314"/>
      <c r="N1602" s="1314"/>
      <c r="O1602" s="1311"/>
      <c r="P1602" s="1311"/>
      <c r="Q1602" s="1311"/>
      <c r="R1602" s="1311"/>
      <c r="S1602" s="1311"/>
      <c r="T1602" s="1311"/>
      <c r="U1602" s="1311"/>
      <c r="V1602" s="1311"/>
      <c r="W1602" s="1311"/>
      <c r="X1602" s="1311"/>
      <c r="Y1602" s="1311"/>
      <c r="Z1602" s="1311"/>
    </row>
    <row r="1603" spans="1:26" x14ac:dyDescent="0.25">
      <c r="A1603" s="1081" t="s">
        <v>1283</v>
      </c>
      <c r="B1603" s="791" t="str">
        <f ca="1">IF('Pricing Schedule'!$K$5="No",_xlfn.CONCAT(IFERROR(SUBSTITUTE(ADDRESS(1,MATCH(A1603,INDIRECT("'"&amp;E1603&amp;"'"&amp;"!A10:Z10"),0),4),1,""),""),11),_xlfn.CONCAT(IFERROR(SUBSTITUTE(ADDRESS(1,MATCH(A1603,INDIRECT("'"&amp;E1603&amp;"'"&amp;"!A10:Z10"),0),4),1,""),""),35))</f>
        <v>F11</v>
      </c>
      <c r="C1603" s="791" t="str">
        <f ca="1">IF('Pricing Schedule'!$K$5="No",IFERROR(SUBSTITUTE(ADDRESS(1,MATCH(A1603,INDIRECT("'"&amp;E1603&amp;"'"&amp;"!A10:Z10"),0),4),1,""),""),IFERROR(SUBSTITUTE(ADDRESS(1,MATCH(A1603,INDIRECT("'"&amp;E1603&amp;"'"&amp;"!A10:Z10"),0),4),1,""),""))</f>
        <v>F</v>
      </c>
      <c r="D1603" s="791" t="s">
        <v>1357</v>
      </c>
      <c r="E1603" s="791" t="s">
        <v>1279</v>
      </c>
      <c r="F1603" s="1266" t="s">
        <v>671</v>
      </c>
      <c r="G1603" s="52" t="s">
        <v>656</v>
      </c>
      <c r="H1603" s="1286" t="s">
        <v>1291</v>
      </c>
      <c r="I1603" s="1274"/>
      <c r="J1603" s="1314"/>
      <c r="K1603" s="1314"/>
      <c r="L1603" s="1314"/>
      <c r="M1603" s="1314"/>
      <c r="N1603" s="1314"/>
      <c r="O1603" s="1311"/>
      <c r="P1603" s="1311"/>
      <c r="Q1603" s="1311"/>
      <c r="R1603" s="1311"/>
      <c r="S1603" s="1311"/>
      <c r="T1603" s="1311"/>
      <c r="U1603" s="1311"/>
      <c r="V1603" s="1311"/>
      <c r="W1603" s="1311"/>
      <c r="X1603" s="1311"/>
      <c r="Y1603" s="1311"/>
      <c r="Z1603" s="1311"/>
    </row>
    <row r="1604" spans="1:26" x14ac:dyDescent="0.25">
      <c r="A1604" s="1097" t="s">
        <v>1282</v>
      </c>
      <c r="B1604" s="791" t="str">
        <f ca="1">IF('Pricing Schedule'!$K$5="No",_xlfn.CONCAT(IFERROR(SUBSTITUTE(ADDRESS(1,MATCH(A1604,INDIRECT("'"&amp;E1604&amp;"'"&amp;"!A10:Z10"),0),4),1,""),""),11),_xlfn.CONCAT(IFERROR(SUBSTITUTE(ADDRESS(1,MATCH(A1604,INDIRECT("'"&amp;E1604&amp;"'"&amp;"!A10:Z10"),0),4),1,""),""),35))</f>
        <v>E11</v>
      </c>
      <c r="C1604" s="791" t="str">
        <f ca="1">IF('Pricing Schedule'!$K$5="No",IFERROR(SUBSTITUTE(ADDRESS(1,MATCH(A1604,INDIRECT("'"&amp;E1604&amp;"'"&amp;"!A10:Z10"),0),4),1,""),""),IFERROR(SUBSTITUTE(ADDRESS(1,MATCH(A1604,INDIRECT("'"&amp;E1604&amp;"'"&amp;"!A10:Z10"),0),4),1,""),""))</f>
        <v>E</v>
      </c>
      <c r="D1604" s="791" t="s">
        <v>1357</v>
      </c>
      <c r="E1604" s="791" t="s">
        <v>1279</v>
      </c>
      <c r="F1604" s="1266" t="s">
        <v>1282</v>
      </c>
      <c r="G1604" s="52" t="s">
        <v>1370</v>
      </c>
      <c r="H1604" s="1286" t="s">
        <v>1291</v>
      </c>
      <c r="I1604" s="1274"/>
      <c r="J1604" s="1314"/>
      <c r="K1604" s="1314"/>
      <c r="L1604" s="1314"/>
      <c r="M1604" s="1314"/>
      <c r="N1604" s="1314"/>
      <c r="O1604" s="1311"/>
      <c r="P1604" s="1311"/>
      <c r="Q1604" s="1311"/>
      <c r="R1604" s="1311"/>
      <c r="S1604" s="1311"/>
      <c r="T1604" s="1311"/>
      <c r="U1604" s="1311"/>
      <c r="V1604" s="1311"/>
      <c r="W1604" s="1311"/>
      <c r="X1604" s="1311"/>
      <c r="Y1604" s="1311"/>
      <c r="Z1604" s="1311"/>
    </row>
    <row r="1605" spans="1:26" x14ac:dyDescent="0.25">
      <c r="A1605" s="1097" t="s">
        <v>1286</v>
      </c>
      <c r="B1605" s="791" t="str">
        <f ca="1">IF('Pricing Schedule'!$K$5="No",_xlfn.CONCAT(IFERROR(SUBSTITUTE(ADDRESS(1,MATCH(A1605,INDIRECT("'"&amp;E1605&amp;"'"&amp;"!A10:Z10"),0),4),1,""),""),11),_xlfn.CONCAT(IFERROR(SUBSTITUTE(ADDRESS(1,MATCH(A1605,INDIRECT("'"&amp;E1605&amp;"'"&amp;"!A10:Z10"),0),4),1,""),""),35))</f>
        <v>J11</v>
      </c>
      <c r="C1605" s="791" t="str">
        <f ca="1">IF('Pricing Schedule'!$K$5="No",IFERROR(SUBSTITUTE(ADDRESS(1,MATCH(A1605,INDIRECT("'"&amp;E1605&amp;"'"&amp;"!A10:Z10"),0),4),1,""),""),IFERROR(SUBSTITUTE(ADDRESS(1,MATCH(A1605,INDIRECT("'"&amp;E1605&amp;"'"&amp;"!A10:Z10"),0),4),1,""),""))</f>
        <v>J</v>
      </c>
      <c r="D1605" s="791" t="s">
        <v>1357</v>
      </c>
      <c r="E1605" s="791" t="s">
        <v>1279</v>
      </c>
      <c r="F1605" s="1266" t="s">
        <v>1286</v>
      </c>
      <c r="G1605" s="52" t="s">
        <v>1362</v>
      </c>
      <c r="H1605" s="1286" t="s">
        <v>1291</v>
      </c>
      <c r="I1605" s="1274"/>
      <c r="J1605" s="1314"/>
      <c r="K1605" s="1314"/>
      <c r="L1605" s="1314"/>
      <c r="M1605" s="1314"/>
      <c r="N1605" s="1314"/>
      <c r="O1605" s="1311"/>
      <c r="P1605" s="1311"/>
      <c r="Q1605" s="1311"/>
      <c r="R1605" s="1311"/>
      <c r="S1605" s="1311"/>
      <c r="T1605" s="1311"/>
      <c r="U1605" s="1311"/>
      <c r="V1605" s="1311"/>
      <c r="W1605" s="1311"/>
      <c r="X1605" s="1311"/>
      <c r="Y1605" s="1311"/>
      <c r="Z1605" s="1311"/>
    </row>
    <row r="1606" spans="1:26" x14ac:dyDescent="0.25">
      <c r="A1606" s="1097" t="s">
        <v>1288</v>
      </c>
      <c r="B1606" s="791" t="str">
        <f ca="1">IF('Pricing Schedule'!$K$5="No",_xlfn.CONCAT(IFERROR(SUBSTITUTE(ADDRESS(1,MATCH(A1606,INDIRECT("'"&amp;E1606&amp;"'"&amp;"!A10:Z10"),0),4),1,""),""),11),_xlfn.CONCAT(IFERROR(SUBSTITUTE(ADDRESS(1,MATCH(A1606,INDIRECT("'"&amp;E1606&amp;"'"&amp;"!A10:Z10"),0),4),1,""),""),35))</f>
        <v>L11</v>
      </c>
      <c r="C1606" s="791" t="str">
        <f ca="1">IF('Pricing Schedule'!$K$5="No",IFERROR(SUBSTITUTE(ADDRESS(1,MATCH(A1606,INDIRECT("'"&amp;E1606&amp;"'"&amp;"!A10:Z10"),0),4),1,""),""),IFERROR(SUBSTITUTE(ADDRESS(1,MATCH(A1606,INDIRECT("'"&amp;E1606&amp;"'"&amp;"!A10:Z10"),0),4),1,""),""))</f>
        <v>L</v>
      </c>
      <c r="D1606" s="791" t="s">
        <v>1357</v>
      </c>
      <c r="E1606" s="791" t="s">
        <v>1279</v>
      </c>
      <c r="F1606" s="1266" t="s">
        <v>1288</v>
      </c>
      <c r="G1606" s="52" t="s">
        <v>1363</v>
      </c>
      <c r="H1606" s="1286" t="s">
        <v>1291</v>
      </c>
      <c r="I1606" s="1274"/>
      <c r="J1606" s="1314"/>
      <c r="K1606" s="1314"/>
      <c r="L1606" s="1314"/>
      <c r="M1606" s="1314"/>
      <c r="N1606" s="1314"/>
      <c r="O1606" s="1311"/>
      <c r="P1606" s="1311"/>
      <c r="Q1606" s="1311"/>
      <c r="R1606" s="1311"/>
      <c r="S1606" s="1311"/>
      <c r="T1606" s="1311"/>
      <c r="U1606" s="1311"/>
      <c r="V1606" s="1311"/>
      <c r="W1606" s="1311"/>
      <c r="X1606" s="1311"/>
      <c r="Y1606" s="1311"/>
      <c r="Z1606" s="1311"/>
    </row>
    <row r="1607" spans="1:26" x14ac:dyDescent="0.25">
      <c r="A1607" s="1097" t="s">
        <v>1228</v>
      </c>
      <c r="B1607" s="791" t="str">
        <f ca="1">IF('Pricing Schedule'!$K$5="No",_xlfn.CONCAT(IFERROR(SUBSTITUTE(ADDRESS(1,MATCH(A1607,INDIRECT("'"&amp;E1607&amp;"'"&amp;"!A10:Z10"),0),4),1,""),""),11),_xlfn.CONCAT(IFERROR(SUBSTITUTE(ADDRESS(1,MATCH(A1607,INDIRECT("'"&amp;E1607&amp;"'"&amp;"!A10:Z10"),0),4),1,""),""),35))</f>
        <v>M11</v>
      </c>
      <c r="C1607" s="791" t="str">
        <f ca="1">IF('Pricing Schedule'!$K$5="No",IFERROR(SUBSTITUTE(ADDRESS(1,MATCH(A1607,INDIRECT("'"&amp;E1607&amp;"'"&amp;"!A10:Z10"),0),4),1,""),""),IFERROR(SUBSTITUTE(ADDRESS(1,MATCH(A1607,INDIRECT("'"&amp;E1607&amp;"'"&amp;"!A10:Z10"),0),4),1,""),""))</f>
        <v>M</v>
      </c>
      <c r="D1607" s="791" t="s">
        <v>1357</v>
      </c>
      <c r="E1607" s="791" t="s">
        <v>1279</v>
      </c>
      <c r="F1607" s="790" t="s">
        <v>1228</v>
      </c>
      <c r="G1607" s="52" t="s">
        <v>1364</v>
      </c>
      <c r="H1607" s="1286" t="s">
        <v>1291</v>
      </c>
      <c r="I1607" s="1274"/>
      <c r="J1607" s="1314"/>
      <c r="K1607" s="1314"/>
      <c r="L1607" s="1314"/>
      <c r="M1607" s="1314"/>
      <c r="N1607" s="1314"/>
      <c r="O1607" s="1311"/>
      <c r="P1607" s="1311"/>
      <c r="Q1607" s="1311"/>
      <c r="R1607" s="1311"/>
      <c r="S1607" s="1311"/>
      <c r="T1607" s="1311"/>
      <c r="U1607" s="1311"/>
      <c r="V1607" s="1311"/>
      <c r="W1607" s="1311"/>
      <c r="X1607" s="1311"/>
      <c r="Y1607" s="1311"/>
      <c r="Z1607" s="1311"/>
    </row>
    <row r="1608" spans="1:26" x14ac:dyDescent="0.25">
      <c r="A1608" s="790" t="s">
        <v>1265</v>
      </c>
      <c r="B1608" s="791" t="str">
        <f ca="1">_xlfn.CONCAT(IFERROR(SUBSTITUTE(ADDRESS(1,MATCH(A1608,INDIRECT("'"&amp;E1608&amp;"'"&amp;"!A4:Z4"),0),4),1,""),""),4)</f>
        <v>B4</v>
      </c>
      <c r="C1608" s="52" t="str">
        <f ca="1">_xlfn.CONCAT(IFERROR(SUBSTITUTE(ADDRESS(1,MATCH(A1608,INDIRECT("'"&amp;E1608&amp;"'"&amp;"!A4:Z4"),0),4),1,""),""),5)</f>
        <v>B5</v>
      </c>
      <c r="D1608" s="791" t="s">
        <v>1350</v>
      </c>
      <c r="E1608" s="791" t="s">
        <v>1279</v>
      </c>
      <c r="F1608" s="1266" t="s">
        <v>1265</v>
      </c>
      <c r="G1608" s="791" t="s">
        <v>1353</v>
      </c>
      <c r="H1608" s="52" t="s">
        <v>1291</v>
      </c>
      <c r="I1608" s="1274"/>
      <c r="J1608" s="1314"/>
      <c r="K1608" s="1314"/>
      <c r="L1608" s="1314"/>
      <c r="M1608" s="1314"/>
      <c r="N1608" s="1314"/>
      <c r="O1608" s="1311"/>
      <c r="P1608" s="1311"/>
      <c r="Q1608" s="1311"/>
      <c r="R1608" s="1311"/>
      <c r="S1608" s="1311"/>
      <c r="T1608" s="1311"/>
      <c r="U1608" s="1311"/>
      <c r="V1608" s="1311"/>
      <c r="W1608" s="1311"/>
      <c r="X1608" s="1311"/>
      <c r="Y1608" s="1311"/>
      <c r="Z1608" s="1311"/>
    </row>
    <row r="1609" spans="1:26" x14ac:dyDescent="0.25">
      <c r="A1609" s="841" t="s">
        <v>1284</v>
      </c>
      <c r="B1609" s="791" t="str">
        <f ca="1">IF('Pricing Schedule'!$K$5="No",_xlfn.CONCAT(IFERROR(SUBSTITUTE(ADDRESS(1,MATCH(A1609,INDIRECT("'"&amp;E1609&amp;"'"&amp;"!A10:Z10"),0),4),1,""),""),11),_xlfn.CONCAT(IFERROR(SUBSTITUTE(ADDRESS(1,MATCH(A1609,INDIRECT("'"&amp;E1609&amp;"'"&amp;"!A10:Z10"),0),4),1,""),""),35))</f>
        <v>G11</v>
      </c>
      <c r="C1609" s="791" t="str">
        <f ca="1">IF('Pricing Schedule'!$K$5="No",IFERROR(SUBSTITUTE(ADDRESS(1,MATCH(A1609,INDIRECT("'"&amp;E1609&amp;"'"&amp;"!A10:Z10"),0),4),1,""),""),IFERROR(SUBSTITUTE(ADDRESS(1,MATCH(A1609,INDIRECT("'"&amp;E1609&amp;"'"&amp;"!A10:Z10"),0),4),1,""),""))</f>
        <v>G</v>
      </c>
      <c r="D1609" s="791" t="s">
        <v>1357</v>
      </c>
      <c r="E1609" s="791" t="s">
        <v>1279</v>
      </c>
      <c r="F1609" s="1266" t="s">
        <v>1284</v>
      </c>
      <c r="G1609" s="52" t="s">
        <v>1356</v>
      </c>
      <c r="H1609" s="52" t="s">
        <v>1291</v>
      </c>
      <c r="I1609" s="1274"/>
      <c r="J1609" s="1314"/>
      <c r="K1609" s="1314"/>
      <c r="L1609" s="1314"/>
      <c r="M1609" s="1314"/>
      <c r="N1609" s="1314"/>
      <c r="O1609" s="1311"/>
      <c r="P1609" s="1311"/>
      <c r="Q1609" s="1311"/>
      <c r="R1609" s="1311"/>
      <c r="S1609" s="1311"/>
      <c r="T1609" s="1311"/>
      <c r="U1609" s="1311"/>
      <c r="V1609" s="1311"/>
      <c r="W1609" s="1311"/>
      <c r="X1609" s="1311"/>
      <c r="Y1609" s="1311"/>
      <c r="Z1609" s="1311"/>
    </row>
    <row r="1610" spans="1:26" x14ac:dyDescent="0.25">
      <c r="A1610" s="828" t="s">
        <v>1289</v>
      </c>
      <c r="B1610" s="1274" t="str">
        <f ca="1">_xlfn.CONCAT(IFERROR(SUBSTITUTE(ADDRESS(1,MATCH(A1610,INDIRECT("'"&amp;E1610&amp;"'"&amp;"!A9:Z9"),0),4),1,""),""),10)</f>
        <v>F10</v>
      </c>
      <c r="C1610" s="1274" t="str">
        <f ca="1">_xlfn.CONCAT(IFERROR(SUBSTITUTE(ADDRESS(1,MATCH(A1610,INDIRECT("'"&amp;E1610&amp;"'"&amp;"!A9:Z9"),0),4),1,""),""))</f>
        <v>F</v>
      </c>
      <c r="D1610" s="791" t="s">
        <v>1357</v>
      </c>
      <c r="E1610" s="828" t="s">
        <v>208</v>
      </c>
      <c r="F1610" s="1266" t="s">
        <v>1920</v>
      </c>
      <c r="G1610" s="790" t="s">
        <v>1355</v>
      </c>
      <c r="H1610" s="790" t="s">
        <v>1925</v>
      </c>
      <c r="I1610" s="1266"/>
      <c r="J1610" s="1266"/>
      <c r="K1610" s="1287"/>
      <c r="L1610" s="1287"/>
      <c r="M1610" s="1287"/>
      <c r="N1610" s="1287"/>
      <c r="O1610" s="1311"/>
      <c r="P1610" s="1311"/>
      <c r="Q1610" s="1311"/>
      <c r="R1610" s="1311"/>
      <c r="S1610" s="1311"/>
      <c r="T1610" s="1311"/>
      <c r="U1610" s="1311"/>
      <c r="V1610" s="1311"/>
      <c r="W1610" s="1311"/>
      <c r="X1610" s="1311"/>
      <c r="Y1610" s="1311"/>
      <c r="Z1610" s="1311"/>
    </row>
    <row r="1611" spans="1:26" x14ac:dyDescent="0.25">
      <c r="A1611" s="828" t="s">
        <v>395</v>
      </c>
      <c r="B1611" s="1274" t="str">
        <f ca="1">_xlfn.CONCAT(IFERROR(SUBSTITUTE(ADDRESS(1,MATCH(A1611,INDIRECT("'"&amp;E1611&amp;"'"&amp;"!A9:Z9"),0),4),1,""),""),10)</f>
        <v>G10</v>
      </c>
      <c r="C1611" s="1274" t="str">
        <f ca="1">_xlfn.CONCAT(IFERROR(SUBSTITUTE(ADDRESS(1,MATCH(A1611,INDIRECT("'"&amp;E1611&amp;"'"&amp;"!A9:Z9"),0),4),1,""),""))</f>
        <v>G</v>
      </c>
      <c r="D1611" s="791" t="s">
        <v>1357</v>
      </c>
      <c r="E1611" s="828" t="s">
        <v>208</v>
      </c>
      <c r="F1611" s="790" t="s">
        <v>1921</v>
      </c>
      <c r="G1611" s="790" t="s">
        <v>1370</v>
      </c>
      <c r="H1611" s="790" t="s">
        <v>1925</v>
      </c>
      <c r="I1611" s="1266"/>
      <c r="J1611" s="1097"/>
      <c r="K1611" s="1287"/>
      <c r="L1611" s="1287"/>
      <c r="M1611" s="1287"/>
      <c r="N1611" s="1287"/>
      <c r="O1611" s="1311"/>
      <c r="P1611" s="1311"/>
      <c r="Q1611" s="1311"/>
      <c r="R1611" s="1311"/>
      <c r="S1611" s="1311"/>
      <c r="T1611" s="1311"/>
      <c r="U1611" s="1311"/>
      <c r="V1611" s="1311"/>
      <c r="W1611" s="1311"/>
      <c r="X1611" s="1311"/>
      <c r="Y1611" s="1311"/>
      <c r="Z1611" s="1311"/>
    </row>
    <row r="1612" spans="1:26" x14ac:dyDescent="0.25">
      <c r="A1612" s="828" t="s">
        <v>83</v>
      </c>
      <c r="B1612" s="1274" t="str">
        <f ca="1">_xlfn.CONCAT(IFERROR(SUBSTITUTE(ADDRESS(1,MATCH(A1612,INDIRECT("'"&amp;E1612&amp;"'"&amp;"!A9:Z9"),0),4),1,""),""),10)</f>
        <v>H10</v>
      </c>
      <c r="C1612" s="1274" t="str">
        <f ca="1">_xlfn.CONCAT(IFERROR(SUBSTITUTE(ADDRESS(1,MATCH(A1612,INDIRECT("'"&amp;E1612&amp;"'"&amp;"!A9:Z9"),0),4),1,""),""))</f>
        <v>H</v>
      </c>
      <c r="D1612" s="791" t="s">
        <v>1357</v>
      </c>
      <c r="E1612" s="828" t="s">
        <v>208</v>
      </c>
      <c r="F1612" s="790" t="s">
        <v>1922</v>
      </c>
      <c r="G1612" s="1266" t="s">
        <v>656</v>
      </c>
      <c r="H1612" s="790" t="s">
        <v>1925</v>
      </c>
      <c r="I1612" s="825"/>
      <c r="J1612" s="1097"/>
      <c r="K1612" s="1287"/>
      <c r="L1612" s="1287"/>
      <c r="M1612" s="1287"/>
      <c r="N1612" s="1287"/>
      <c r="O1612" s="1311"/>
      <c r="P1612" s="1311"/>
      <c r="Q1612" s="1311"/>
      <c r="R1612" s="1311"/>
      <c r="S1612" s="1311"/>
      <c r="T1612" s="1311"/>
      <c r="U1612" s="1311"/>
      <c r="V1612" s="1311"/>
      <c r="W1612" s="1311"/>
      <c r="X1612" s="1311"/>
      <c r="Y1612" s="1311"/>
      <c r="Z1612" s="1311"/>
    </row>
    <row r="1613" spans="1:26" x14ac:dyDescent="0.25">
      <c r="A1613" s="828" t="s">
        <v>1247</v>
      </c>
      <c r="B1613" s="1274" t="str">
        <f ca="1">_xlfn.CONCAT(IFERROR(SUBSTITUTE(ADDRESS(1,MATCH(A1613,INDIRECT("'"&amp;E1613&amp;"'"&amp;"!A9:Z9"),0),4),1,""),""),10)</f>
        <v>I10</v>
      </c>
      <c r="C1613" s="1274" t="str">
        <f ca="1">_xlfn.CONCAT(IFERROR(SUBSTITUTE(ADDRESS(1,MATCH(A1613,INDIRECT("'"&amp;E1613&amp;"'"&amp;"!A9:Z9"),0),4),1,""),""))</f>
        <v>I</v>
      </c>
      <c r="D1613" s="791" t="s">
        <v>1357</v>
      </c>
      <c r="E1613" s="828" t="s">
        <v>208</v>
      </c>
      <c r="F1613" s="1266" t="s">
        <v>1923</v>
      </c>
      <c r="G1613" s="1266" t="s">
        <v>1356</v>
      </c>
      <c r="H1613" s="790" t="s">
        <v>1925</v>
      </c>
      <c r="I1613" s="825"/>
      <c r="J1613" s="1097"/>
      <c r="K1613" s="1287"/>
      <c r="L1613" s="1287"/>
      <c r="M1613" s="1287"/>
      <c r="N1613" s="1287"/>
      <c r="O1613" s="1311"/>
      <c r="P1613" s="1311"/>
      <c r="Q1613" s="1311"/>
      <c r="R1613" s="1311"/>
      <c r="S1613" s="1311"/>
      <c r="T1613" s="1311"/>
      <c r="U1613" s="1311"/>
      <c r="V1613" s="1311"/>
      <c r="W1613" s="1311"/>
      <c r="X1613" s="1311"/>
      <c r="Y1613" s="1311"/>
      <c r="Z1613" s="1311"/>
    </row>
    <row r="1614" spans="1:26" x14ac:dyDescent="0.25">
      <c r="A1614" s="828" t="s">
        <v>1919</v>
      </c>
      <c r="B1614" s="1274" t="str">
        <f ca="1">_xlfn.CONCAT(IFERROR(SUBSTITUTE(ADDRESS(1,MATCH(A1614,INDIRECT("'"&amp;E1614&amp;"'"&amp;"!A9:Z9"),0),4),1,""),""),10)</f>
        <v>J10</v>
      </c>
      <c r="C1614" s="1274" t="str">
        <f ca="1">_xlfn.CONCAT(IFERROR(SUBSTITUTE(ADDRESS(1,MATCH(A1614,INDIRECT("'"&amp;E1614&amp;"'"&amp;"!A9:Z9"),0),4),1,""),""))</f>
        <v>J</v>
      </c>
      <c r="D1614" s="791" t="s">
        <v>1357</v>
      </c>
      <c r="E1614" s="828" t="s">
        <v>208</v>
      </c>
      <c r="F1614" s="1266" t="s">
        <v>1924</v>
      </c>
      <c r="G1614" s="1287" t="s">
        <v>1361</v>
      </c>
      <c r="H1614" s="790" t="s">
        <v>1925</v>
      </c>
      <c r="I1614" s="1288"/>
      <c r="J1614" s="1287"/>
      <c r="K1614" s="1287"/>
      <c r="L1614" s="1287"/>
      <c r="M1614" s="1287"/>
      <c r="N1614" s="1287"/>
      <c r="O1614" s="1311"/>
      <c r="P1614" s="1311"/>
      <c r="Q1614" s="1311"/>
      <c r="R1614" s="1311"/>
      <c r="S1614" s="1311"/>
      <c r="T1614" s="1311"/>
      <c r="U1614" s="1311"/>
      <c r="V1614" s="1311"/>
      <c r="W1614" s="1311"/>
      <c r="X1614" s="1311"/>
      <c r="Y1614" s="1311"/>
      <c r="Z1614" s="1311"/>
    </row>
    <row r="1615" spans="1:26" x14ac:dyDescent="0.25">
      <c r="A1615" s="1287" t="s">
        <v>1918</v>
      </c>
      <c r="B1615" s="1274" t="str">
        <f ca="1">_xlfn.CONCAT(IFERROR(SUBSTITUTE(ADDRESS(1,MATCH(A1615,INDIRECT("'"&amp;E1615&amp;"'"&amp;"!$A$34:$Z$34"),0),4),1,""),""),35)</f>
        <v>O35</v>
      </c>
      <c r="C1615" s="1274" t="str">
        <f ca="1">IFERROR(SUBSTITUTE(ADDRESS(1,MATCH(A1615,INDIRECT("'"&amp;E1615&amp;"'"&amp;"!$A$34:$Z$34"),0),4),1,""),"")</f>
        <v>O</v>
      </c>
      <c r="D1615" s="791" t="s">
        <v>1357</v>
      </c>
      <c r="E1615" s="791" t="s">
        <v>1279</v>
      </c>
      <c r="F1615" s="1287" t="s">
        <v>1918</v>
      </c>
      <c r="G1615" s="1314" t="s">
        <v>1366</v>
      </c>
      <c r="H1615" s="52" t="s">
        <v>1291</v>
      </c>
      <c r="I1615" s="1274"/>
      <c r="J1615" s="1314"/>
      <c r="K1615" s="1314"/>
      <c r="L1615" s="1314"/>
      <c r="M1615" s="1314"/>
      <c r="N1615" s="1314"/>
      <c r="O1615" s="1311"/>
      <c r="P1615" s="1311"/>
      <c r="Q1615" s="1311"/>
      <c r="R1615" s="1311"/>
      <c r="S1615" s="1311"/>
      <c r="T1615" s="1311"/>
      <c r="U1615" s="1311"/>
      <c r="V1615" s="1311"/>
      <c r="W1615" s="1311"/>
      <c r="X1615" s="1311"/>
      <c r="Y1615" s="1311"/>
      <c r="Z1615" s="1311"/>
    </row>
    <row r="1616" spans="1:26" x14ac:dyDescent="0.25">
      <c r="A1616" s="1289" t="s">
        <v>1245</v>
      </c>
      <c r="B1616" s="791"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17)</f>
        <v>G17</v>
      </c>
      <c r="C1616" s="791"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18)</f>
        <v>G18</v>
      </c>
      <c r="D1616" s="791" t="s">
        <v>1350</v>
      </c>
      <c r="E1616" s="791" t="s">
        <v>1351</v>
      </c>
      <c r="F1616" s="1289" t="s">
        <v>1245</v>
      </c>
      <c r="G1616" s="791" t="s">
        <v>1361</v>
      </c>
      <c r="H1616" s="791" t="s">
        <v>1238</v>
      </c>
      <c r="I1616" s="1274"/>
      <c r="J1616" s="1314"/>
      <c r="K1616" s="1314"/>
      <c r="L1616" s="1314"/>
      <c r="M1616" s="1314"/>
      <c r="N1616" s="1314"/>
      <c r="O1616" s="1311"/>
      <c r="P1616" s="1311"/>
      <c r="Q1616" s="1311"/>
      <c r="R1616" s="1311"/>
      <c r="S1616" s="1311"/>
      <c r="T1616" s="1311"/>
      <c r="U1616" s="1311"/>
      <c r="V1616" s="1311"/>
      <c r="W1616" s="1311"/>
      <c r="X1616" s="1311"/>
      <c r="Y1616" s="1311"/>
      <c r="Z1616" s="1311"/>
    </row>
    <row r="1617" spans="1:26" x14ac:dyDescent="0.25">
      <c r="A1617" s="1289" t="s">
        <v>840</v>
      </c>
      <c r="B1617" s="52" t="str">
        <f>IFERROR(_xlfn.CONCAT("G",MATCH(A1617,'Tracking &amp; Profitability'!G$1:G$62,0)),"")</f>
        <v>G5</v>
      </c>
      <c r="C1617" s="52" t="str">
        <f>IFERROR(_xlfn.CONCAT("H",MATCH(A1617,'Tracking &amp; Profitability'!G$1:G$62,0)),"")</f>
        <v>H5</v>
      </c>
      <c r="D1617" s="791" t="s">
        <v>1350</v>
      </c>
      <c r="E1617" s="52" t="s">
        <v>129</v>
      </c>
      <c r="F1617" s="1314" t="s">
        <v>1971</v>
      </c>
      <c r="G1617" s="52" t="s">
        <v>1370</v>
      </c>
      <c r="H1617" s="52" t="s">
        <v>1927</v>
      </c>
      <c r="I1617" s="1274"/>
      <c r="J1617" s="1314"/>
      <c r="K1617" s="1314"/>
      <c r="L1617" s="1314"/>
      <c r="M1617" s="1314"/>
      <c r="N1617" s="1314"/>
      <c r="O1617" s="1311"/>
      <c r="P1617" s="1311"/>
      <c r="Q1617" s="1311"/>
      <c r="R1617" s="1311"/>
      <c r="S1617" s="1311"/>
      <c r="T1617" s="1311"/>
      <c r="U1617" s="1311"/>
      <c r="V1617" s="1311"/>
      <c r="W1617" s="1311"/>
      <c r="X1617" s="1311"/>
      <c r="Y1617" s="1311"/>
      <c r="Z1617" s="1311"/>
    </row>
    <row r="1618" spans="1:26" x14ac:dyDescent="0.25">
      <c r="A1618" s="791" t="s">
        <v>1164</v>
      </c>
      <c r="B1618" s="52" t="str">
        <f>IFERROR(_xlfn.CONCAT("D",MATCH(A1618,'Tracking &amp; Profitability'!C$1:C$62,0)),"")</f>
        <v>D8</v>
      </c>
      <c r="C1618" s="52" t="str">
        <f>IFERROR(_xlfn.CONCAT("E",MATCH(A1618,'Tracking &amp; Profitability'!C$1:C$62,0)),"")</f>
        <v>E8</v>
      </c>
      <c r="D1618" s="791" t="s">
        <v>1350</v>
      </c>
      <c r="E1618" s="791" t="s">
        <v>129</v>
      </c>
      <c r="F1618" s="791" t="s">
        <v>1188</v>
      </c>
      <c r="G1618" s="52" t="s">
        <v>1362</v>
      </c>
      <c r="H1618" s="52" t="s">
        <v>1927</v>
      </c>
      <c r="I1618" s="1274"/>
      <c r="J1618" s="1314"/>
      <c r="K1618" s="1314"/>
      <c r="L1618" s="1314"/>
      <c r="M1618" s="1314"/>
      <c r="N1618" s="1314"/>
      <c r="O1618" s="1311"/>
      <c r="P1618" s="1311"/>
      <c r="Q1618" s="1311"/>
      <c r="R1618" s="1311"/>
      <c r="S1618" s="1311"/>
      <c r="T1618" s="1311"/>
      <c r="U1618" s="1311"/>
      <c r="V1618" s="1311"/>
      <c r="W1618" s="1311"/>
      <c r="X1618" s="1311"/>
      <c r="Y1618" s="1311"/>
      <c r="Z1618" s="1311"/>
    </row>
    <row r="1619" spans="1:26" x14ac:dyDescent="0.25">
      <c r="A1619" s="1314" t="s">
        <v>680</v>
      </c>
      <c r="B1619" s="52" t="str">
        <f>IFERROR(_xlfn.CONCAT("D",MATCH(A1619,'Tracking &amp; Profitability'!D$1:D$62,0)),"")</f>
        <v>D12</v>
      </c>
      <c r="C1619" s="52" t="str">
        <f>IFERROR(_xlfn.CONCAT("E",MATCH(A1619,'Tracking &amp; Profitability'!D$1:D$62,0)),"")</f>
        <v>E12</v>
      </c>
      <c r="D1619" s="791" t="s">
        <v>1350</v>
      </c>
      <c r="E1619" s="52" t="s">
        <v>129</v>
      </c>
      <c r="F1619" s="1314" t="s">
        <v>1972</v>
      </c>
      <c r="G1619" s="52" t="s">
        <v>656</v>
      </c>
      <c r="H1619" s="52" t="s">
        <v>1927</v>
      </c>
      <c r="I1619" s="1274"/>
      <c r="J1619" s="1314"/>
      <c r="K1619" s="1314"/>
      <c r="L1619" s="1314"/>
      <c r="M1619" s="1314"/>
      <c r="N1619" s="1314"/>
      <c r="O1619" s="1311"/>
      <c r="P1619" s="1311"/>
      <c r="Q1619" s="1311"/>
      <c r="R1619" s="1311"/>
      <c r="S1619" s="1311"/>
      <c r="T1619" s="1311"/>
      <c r="U1619" s="1311"/>
      <c r="V1619" s="1311"/>
      <c r="W1619" s="1311"/>
      <c r="X1619" s="1311"/>
      <c r="Y1619" s="1311"/>
      <c r="Z1619" s="1311"/>
    </row>
    <row r="1620" spans="1:26" x14ac:dyDescent="0.25">
      <c r="A1620" s="1314" t="s">
        <v>898</v>
      </c>
      <c r="B1620" s="52" t="str">
        <f>IFERROR(_xlfn.CONCAT("D",MATCH(A1620,'Tracking &amp; Profitability'!D$1:D$62,0)),"")</f>
        <v>D20</v>
      </c>
      <c r="C1620" s="52" t="str">
        <f>IFERROR(_xlfn.CONCAT("E",MATCH(A1620,'Tracking &amp; Profitability'!D$1:D$62,0)),"")</f>
        <v>E20</v>
      </c>
      <c r="D1620" s="791" t="s">
        <v>1350</v>
      </c>
      <c r="E1620" s="52" t="s">
        <v>129</v>
      </c>
      <c r="F1620" s="1289" t="s">
        <v>1928</v>
      </c>
      <c r="G1620" s="1289" t="s">
        <v>1360</v>
      </c>
      <c r="H1620" s="1097" t="s">
        <v>1927</v>
      </c>
      <c r="I1620" s="1274"/>
      <c r="J1620" s="1314"/>
      <c r="K1620" s="1314"/>
      <c r="L1620" s="1314"/>
      <c r="M1620" s="1314"/>
      <c r="N1620" s="1314"/>
      <c r="O1620" s="1311"/>
      <c r="P1620" s="1311"/>
      <c r="Q1620" s="1311"/>
      <c r="R1620" s="1311"/>
      <c r="S1620" s="1311"/>
      <c r="T1620" s="1311"/>
      <c r="U1620" s="1311"/>
      <c r="V1620" s="1311"/>
      <c r="W1620" s="1311"/>
      <c r="X1620" s="1311"/>
      <c r="Y1620" s="1311"/>
      <c r="Z1620" s="1311"/>
    </row>
    <row r="1621" spans="1:26" x14ac:dyDescent="0.25">
      <c r="A1621" s="1314" t="s">
        <v>898</v>
      </c>
      <c r="B1621" s="52" t="str">
        <f>IFERROR(_xlfn.CONCAT("D",MATCH(A1621,'Tracking &amp; Profitability'!D$1:D$62,0)),"")</f>
        <v>D20</v>
      </c>
      <c r="C1621" s="52" t="str">
        <f>IFERROR(_xlfn.CONCAT("I",MATCH(A1621,'Tracking &amp; Profitability'!D$1:D$62,0)),"")</f>
        <v>I20</v>
      </c>
      <c r="D1621" s="791" t="s">
        <v>1350</v>
      </c>
      <c r="E1621" s="52" t="s">
        <v>129</v>
      </c>
      <c r="F1621" s="1289" t="s">
        <v>1929</v>
      </c>
      <c r="G1621" s="1289" t="s">
        <v>134</v>
      </c>
      <c r="H1621" s="1097" t="s">
        <v>1927</v>
      </c>
      <c r="I1621" s="1274"/>
      <c r="J1621" s="1314"/>
      <c r="K1621" s="1314"/>
      <c r="L1621" s="1314"/>
      <c r="M1621" s="1314"/>
      <c r="N1621" s="1314"/>
      <c r="O1621" s="1311"/>
      <c r="P1621" s="1311"/>
      <c r="Q1621" s="1311"/>
      <c r="R1621" s="1311"/>
      <c r="S1621" s="1311"/>
      <c r="T1621" s="1311"/>
      <c r="U1621" s="1311"/>
      <c r="V1621" s="1311"/>
      <c r="W1621" s="1311"/>
      <c r="X1621" s="1311"/>
      <c r="Y1621" s="1311"/>
      <c r="Z1621" s="1311"/>
    </row>
    <row r="1622" spans="1:26" x14ac:dyDescent="0.25">
      <c r="A1622" s="1314" t="s">
        <v>898</v>
      </c>
      <c r="B1622" s="52" t="str">
        <f>IFERROR(_xlfn.CONCAT("D",MATCH(A1622,'Tracking &amp; Profitability'!D$1:D$62,0)),"")</f>
        <v>D20</v>
      </c>
      <c r="C1622" s="52" t="str">
        <f>IFERROR(_xlfn.CONCAT("G",MATCH(A1622,'Tracking &amp; Profitability'!D$1:D$62,0)),"")</f>
        <v>G20</v>
      </c>
      <c r="D1622" s="791" t="s">
        <v>1350</v>
      </c>
      <c r="E1622" s="52" t="s">
        <v>129</v>
      </c>
      <c r="F1622" s="1289" t="s">
        <v>1930</v>
      </c>
      <c r="G1622" s="1287" t="s">
        <v>657</v>
      </c>
      <c r="H1622" s="1097" t="s">
        <v>1927</v>
      </c>
      <c r="I1622" s="1274"/>
      <c r="J1622" s="1314"/>
      <c r="K1622" s="1314"/>
      <c r="L1622" s="1314"/>
      <c r="M1622" s="1314"/>
      <c r="N1622" s="1314"/>
      <c r="O1622" s="1311"/>
      <c r="P1622" s="1311"/>
      <c r="Q1622" s="1311"/>
      <c r="R1622" s="1311"/>
      <c r="S1622" s="1311"/>
      <c r="T1622" s="1311"/>
      <c r="U1622" s="1311"/>
      <c r="V1622" s="1311"/>
      <c r="W1622" s="1311"/>
      <c r="X1622" s="1311"/>
      <c r="Y1622" s="1311"/>
      <c r="Z1622" s="1311"/>
    </row>
    <row r="1623" spans="1:26" x14ac:dyDescent="0.25">
      <c r="A1623" s="790" t="s">
        <v>1252</v>
      </c>
      <c r="B1623" s="52" t="str">
        <f>IFERROR(_xlfn.CONCAT("D",MATCH(A1623,'Tracking &amp; Profitability'!D$1:D$62,0)),"")</f>
        <v>D23</v>
      </c>
      <c r="C1623" s="52" t="str">
        <f>IFERROR(_xlfn.CONCAT("E",MATCH(A1623,'Tracking &amp; Profitability'!D$1:D$62,0)),"")</f>
        <v>E23</v>
      </c>
      <c r="D1623" s="791" t="s">
        <v>1350</v>
      </c>
      <c r="E1623" s="52" t="s">
        <v>129</v>
      </c>
      <c r="F1623" s="790" t="s">
        <v>1784</v>
      </c>
      <c r="G1623" s="52" t="s">
        <v>240</v>
      </c>
      <c r="H1623" s="1097" t="s">
        <v>1927</v>
      </c>
      <c r="I1623" s="1274"/>
      <c r="J1623" s="1314"/>
      <c r="K1623" s="1314"/>
      <c r="L1623" s="1314"/>
      <c r="M1623" s="1314"/>
      <c r="N1623" s="1314"/>
      <c r="O1623" s="1311"/>
      <c r="P1623" s="1311"/>
      <c r="Q1623" s="1311"/>
      <c r="R1623" s="1311"/>
      <c r="S1623" s="1311"/>
      <c r="T1623" s="1311"/>
      <c r="U1623" s="1311"/>
      <c r="V1623" s="1311"/>
      <c r="W1623" s="1311"/>
      <c r="X1623" s="1311"/>
      <c r="Y1623" s="1311"/>
      <c r="Z1623" s="1311"/>
    </row>
    <row r="1624" spans="1:26" x14ac:dyDescent="0.25">
      <c r="A1624" s="790" t="s">
        <v>1252</v>
      </c>
      <c r="B1624" s="52" t="str">
        <f>IFERROR(_xlfn.CONCAT("D",MATCH(A1624,'Tracking &amp; Profitability'!D$1:D$62,0)),"")</f>
        <v>D23</v>
      </c>
      <c r="C1624" s="52" t="str">
        <f>IFERROR(_xlfn.CONCAT("G",MATCH(A1624,'Tracking &amp; Profitability'!D$1:D$62,0)),"")</f>
        <v>G23</v>
      </c>
      <c r="D1624" s="791" t="s">
        <v>1350</v>
      </c>
      <c r="E1624" s="52" t="s">
        <v>129</v>
      </c>
      <c r="F1624" s="790" t="s">
        <v>1931</v>
      </c>
      <c r="G1624" s="52" t="s">
        <v>1373</v>
      </c>
      <c r="H1624" s="1097" t="s">
        <v>1927</v>
      </c>
      <c r="I1624" s="1274"/>
      <c r="J1624" s="1314"/>
      <c r="K1624" s="1314"/>
      <c r="L1624" s="1314"/>
      <c r="M1624" s="1314"/>
      <c r="N1624" s="1314"/>
      <c r="O1624" s="1311"/>
      <c r="P1624" s="1311"/>
      <c r="Q1624" s="1311"/>
      <c r="R1624" s="1311"/>
      <c r="S1624" s="1311"/>
      <c r="T1624" s="1311"/>
      <c r="U1624" s="1311"/>
      <c r="V1624" s="1311"/>
      <c r="W1624" s="1311"/>
      <c r="X1624" s="1311"/>
      <c r="Y1624" s="1311"/>
      <c r="Z1624" s="1311"/>
    </row>
    <row r="1625" spans="1:26" x14ac:dyDescent="0.25">
      <c r="A1625" s="1314" t="s">
        <v>1251</v>
      </c>
      <c r="B1625" s="52" t="str">
        <f>IFERROR(_xlfn.CONCAT("D",MATCH(A1625,'Tracking &amp; Profitability'!D$1:D$62,0)),"")</f>
        <v>D17</v>
      </c>
      <c r="C1625" s="52" t="str">
        <f>IFERROR(_xlfn.CONCAT("E",MATCH(A1625,'Tracking &amp; Profitability'!D$1:D$62,0)),"")</f>
        <v>E17</v>
      </c>
      <c r="D1625" s="791" t="s">
        <v>1350</v>
      </c>
      <c r="E1625" s="52" t="s">
        <v>129</v>
      </c>
      <c r="F1625" s="1289" t="s">
        <v>1933</v>
      </c>
      <c r="G1625" s="1314" t="s">
        <v>1800</v>
      </c>
      <c r="H1625" s="1097" t="s">
        <v>1927</v>
      </c>
      <c r="I1625" s="1274"/>
      <c r="J1625" s="1314"/>
      <c r="K1625" s="1314"/>
      <c r="L1625" s="1314"/>
      <c r="M1625" s="1314"/>
      <c r="N1625" s="1314"/>
      <c r="O1625" s="1311"/>
      <c r="P1625" s="1311"/>
      <c r="Q1625" s="1311"/>
      <c r="R1625" s="1311"/>
      <c r="S1625" s="1311"/>
      <c r="T1625" s="1311"/>
      <c r="U1625" s="1311"/>
      <c r="V1625" s="1311"/>
      <c r="W1625" s="1311"/>
      <c r="X1625" s="1311"/>
      <c r="Y1625" s="1311"/>
      <c r="Z1625" s="1311"/>
    </row>
    <row r="1626" spans="1:26" x14ac:dyDescent="0.25">
      <c r="A1626" s="1314" t="s">
        <v>1251</v>
      </c>
      <c r="B1626" s="52" t="str">
        <f>IFERROR(_xlfn.CONCAT("D",MATCH(A1626,'Tracking &amp; Profitability'!D$1:D$62,0)),"")</f>
        <v>D17</v>
      </c>
      <c r="C1626" s="52" t="str">
        <f>IFERROR(_xlfn.CONCAT("I",MATCH(A1626,'Tracking &amp; Profitability'!D$1:D$62,0)),"")</f>
        <v>I17</v>
      </c>
      <c r="D1626" s="791" t="s">
        <v>1350</v>
      </c>
      <c r="E1626" s="52" t="s">
        <v>129</v>
      </c>
      <c r="F1626" s="1289" t="s">
        <v>1934</v>
      </c>
      <c r="G1626" s="1314" t="s">
        <v>1935</v>
      </c>
      <c r="H1626" s="1097" t="s">
        <v>1927</v>
      </c>
      <c r="I1626" s="1274"/>
      <c r="J1626" s="1314"/>
      <c r="K1626" s="1314"/>
      <c r="L1626" s="1314"/>
      <c r="M1626" s="1314"/>
      <c r="N1626" s="1314"/>
      <c r="O1626" s="1311"/>
      <c r="P1626" s="1311"/>
      <c r="Q1626" s="1311"/>
      <c r="R1626" s="1311"/>
      <c r="S1626" s="1311"/>
      <c r="T1626" s="1311"/>
      <c r="U1626" s="1311"/>
      <c r="V1626" s="1311"/>
      <c r="W1626" s="1311"/>
      <c r="X1626" s="1311"/>
      <c r="Y1626" s="1311"/>
      <c r="Z1626" s="1311"/>
    </row>
    <row r="1627" spans="1:26" x14ac:dyDescent="0.25">
      <c r="A1627" s="1314" t="s">
        <v>1251</v>
      </c>
      <c r="B1627" s="52" t="str">
        <f>IFERROR(_xlfn.CONCAT("D",MATCH(A1627,'Tracking &amp; Profitability'!D$1:D$62,0)),"")</f>
        <v>D17</v>
      </c>
      <c r="C1627" s="52" t="str">
        <f>IFERROR(_xlfn.CONCAT("G",MATCH(A1627,'Tracking &amp; Profitability'!D$1:D$62,0)),"")</f>
        <v>G17</v>
      </c>
      <c r="D1627" s="791" t="s">
        <v>1350</v>
      </c>
      <c r="E1627" s="52" t="s">
        <v>129</v>
      </c>
      <c r="F1627" s="1289" t="s">
        <v>1932</v>
      </c>
      <c r="G1627" s="1314" t="s">
        <v>1801</v>
      </c>
      <c r="H1627" s="1097" t="s">
        <v>1927</v>
      </c>
      <c r="I1627" s="1274"/>
      <c r="J1627" s="1314"/>
      <c r="K1627" s="1314"/>
      <c r="L1627" s="1314"/>
      <c r="M1627" s="1314"/>
      <c r="N1627" s="1314"/>
      <c r="O1627" s="1311"/>
      <c r="P1627" s="1311"/>
      <c r="Q1627" s="1311"/>
      <c r="R1627" s="1311"/>
      <c r="S1627" s="1311"/>
      <c r="T1627" s="1311"/>
      <c r="U1627" s="1311"/>
      <c r="V1627" s="1311"/>
      <c r="W1627" s="1311"/>
      <c r="X1627" s="1311"/>
      <c r="Y1627" s="1311"/>
      <c r="Z1627" s="1311"/>
    </row>
    <row r="1628" spans="1:26" x14ac:dyDescent="0.25">
      <c r="A1628" s="790" t="s">
        <v>1253</v>
      </c>
      <c r="B1628" s="52" t="str">
        <f>IFERROR(_xlfn.CONCAT("D",MATCH(A1628,'Tracking &amp; Profitability'!D$1:D$62,0)),"")</f>
        <v>D24</v>
      </c>
      <c r="C1628" s="52" t="str">
        <f>IFERROR(_xlfn.CONCAT("E",MATCH(A1628,'Tracking &amp; Profitability'!D$1:D$62,0)),"")</f>
        <v>E24</v>
      </c>
      <c r="D1628" s="791" t="s">
        <v>1350</v>
      </c>
      <c r="E1628" s="52" t="s">
        <v>129</v>
      </c>
      <c r="F1628" s="790" t="s">
        <v>1785</v>
      </c>
      <c r="G1628" s="1314" t="s">
        <v>1936</v>
      </c>
      <c r="H1628" s="1097" t="s">
        <v>1927</v>
      </c>
      <c r="I1628" s="1274"/>
      <c r="J1628" s="1314"/>
      <c r="K1628" s="1314"/>
      <c r="L1628" s="1314"/>
      <c r="M1628" s="1314"/>
      <c r="N1628" s="1314"/>
      <c r="O1628" s="1311"/>
      <c r="P1628" s="1311"/>
      <c r="Q1628" s="1311"/>
      <c r="R1628" s="1311"/>
      <c r="S1628" s="1311"/>
      <c r="T1628" s="1311"/>
      <c r="U1628" s="1311"/>
      <c r="V1628" s="1311"/>
      <c r="W1628" s="1311"/>
      <c r="X1628" s="1311"/>
      <c r="Y1628" s="1311"/>
      <c r="Z1628" s="1311"/>
    </row>
    <row r="1629" spans="1:26" x14ac:dyDescent="0.25">
      <c r="A1629" s="790" t="s">
        <v>1253</v>
      </c>
      <c r="B1629" s="52" t="str">
        <f>IFERROR(_xlfn.CONCAT("D",MATCH(A1629,'Tracking &amp; Profitability'!D$1:D$62,0)),"")</f>
        <v>D24</v>
      </c>
      <c r="C1629" s="52" t="str">
        <f>IFERROR(_xlfn.CONCAT("G",MATCH(A1629,'Tracking &amp; Profitability'!D$1:D$62,0)),"")</f>
        <v>G24</v>
      </c>
      <c r="D1629" s="791" t="s">
        <v>1350</v>
      </c>
      <c r="E1629" s="52" t="s">
        <v>129</v>
      </c>
      <c r="F1629" s="790" t="s">
        <v>1786</v>
      </c>
      <c r="G1629" s="1314" t="s">
        <v>1823</v>
      </c>
      <c r="H1629" s="1097" t="s">
        <v>1927</v>
      </c>
      <c r="I1629" s="1274"/>
      <c r="J1629" s="1314"/>
      <c r="K1629" s="1314"/>
      <c r="L1629" s="1314"/>
      <c r="M1629" s="1314"/>
      <c r="N1629" s="1314"/>
      <c r="O1629" s="1311"/>
      <c r="P1629" s="1311"/>
      <c r="Q1629" s="1311"/>
      <c r="R1629" s="1311"/>
      <c r="S1629" s="1311"/>
      <c r="T1629" s="1311"/>
      <c r="U1629" s="1311"/>
      <c r="V1629" s="1311"/>
      <c r="W1629" s="1311"/>
      <c r="X1629" s="1311"/>
      <c r="Y1629" s="1311"/>
      <c r="Z1629" s="1311"/>
    </row>
    <row r="1630" spans="1:26" x14ac:dyDescent="0.25">
      <c r="A1630" s="790" t="s">
        <v>1255</v>
      </c>
      <c r="B1630" s="52" t="str">
        <f>IFERROR(_xlfn.CONCAT("D",MATCH(A1630,'Tracking &amp; Profitability'!D$1:D$62,0)),"")</f>
        <v>D37</v>
      </c>
      <c r="C1630" s="52" t="str">
        <f>IFERROR(_xlfn.CONCAT("E",MATCH(A1630,'Tracking &amp; Profitability'!D$1:D$62,0)),"")</f>
        <v>E37</v>
      </c>
      <c r="D1630" s="791" t="s">
        <v>1350</v>
      </c>
      <c r="E1630" s="52" t="s">
        <v>129</v>
      </c>
      <c r="F1630" s="790" t="s">
        <v>1787</v>
      </c>
      <c r="G1630" s="1314" t="s">
        <v>1937</v>
      </c>
      <c r="H1630" s="1097" t="s">
        <v>1927</v>
      </c>
      <c r="I1630" s="1274"/>
      <c r="J1630" s="1314"/>
      <c r="K1630" s="1314"/>
      <c r="L1630" s="1314"/>
      <c r="M1630" s="1314"/>
      <c r="N1630" s="1314"/>
      <c r="O1630" s="1311"/>
      <c r="P1630" s="1311"/>
      <c r="Q1630" s="1311"/>
      <c r="R1630" s="1311"/>
      <c r="S1630" s="1311"/>
      <c r="T1630" s="1311"/>
      <c r="U1630" s="1311"/>
      <c r="V1630" s="1311"/>
      <c r="W1630" s="1311"/>
      <c r="X1630" s="1311"/>
      <c r="Y1630" s="1311"/>
      <c r="Z1630" s="1311"/>
    </row>
    <row r="1631" spans="1:26" x14ac:dyDescent="0.25">
      <c r="A1631" s="790" t="s">
        <v>1255</v>
      </c>
      <c r="B1631" s="52" t="str">
        <f>IFERROR(_xlfn.CONCAT("D",MATCH(A1631,'Tracking &amp; Profitability'!D$1:D$62,0)),"")</f>
        <v>D37</v>
      </c>
      <c r="C1631" s="52" t="str">
        <f>IFERROR(_xlfn.CONCAT("I",MATCH(A1631,'Tracking &amp; Profitability'!D$1:D$62,0)),"")</f>
        <v>I37</v>
      </c>
      <c r="D1631" s="791" t="s">
        <v>1350</v>
      </c>
      <c r="E1631" s="52" t="s">
        <v>129</v>
      </c>
      <c r="F1631" s="790" t="s">
        <v>1788</v>
      </c>
      <c r="G1631" s="1314" t="s">
        <v>1938</v>
      </c>
      <c r="H1631" s="1097" t="s">
        <v>1927</v>
      </c>
      <c r="I1631" s="1274"/>
      <c r="J1631" s="1314"/>
      <c r="K1631" s="1314"/>
      <c r="L1631" s="1314"/>
      <c r="M1631" s="1314"/>
      <c r="N1631" s="1314"/>
      <c r="O1631" s="1311"/>
      <c r="P1631" s="1311"/>
      <c r="Q1631" s="1311"/>
      <c r="R1631" s="1311"/>
      <c r="S1631" s="1311"/>
      <c r="T1631" s="1311"/>
      <c r="U1631" s="1311"/>
      <c r="V1631" s="1311"/>
      <c r="W1631" s="1311"/>
      <c r="X1631" s="1311"/>
      <c r="Y1631" s="1311"/>
      <c r="Z1631" s="1311"/>
    </row>
    <row r="1632" spans="1:26" x14ac:dyDescent="0.25">
      <c r="A1632" s="790" t="s">
        <v>1255</v>
      </c>
      <c r="B1632" s="52" t="str">
        <f>IFERROR(_xlfn.CONCAT("D",MATCH(A1632,'Tracking &amp; Profitability'!D$1:D$62,0)),"")</f>
        <v>D37</v>
      </c>
      <c r="C1632" s="52" t="str">
        <f>IFERROR(_xlfn.CONCAT("G",MATCH(A1632,'Tracking &amp; Profitability'!D$1:D$62,0)),"")</f>
        <v>G37</v>
      </c>
      <c r="D1632" s="791" t="s">
        <v>1350</v>
      </c>
      <c r="E1632" s="52" t="s">
        <v>129</v>
      </c>
      <c r="F1632" s="790" t="s">
        <v>1789</v>
      </c>
      <c r="G1632" s="1314" t="s">
        <v>1835</v>
      </c>
      <c r="H1632" s="1097" t="s">
        <v>1927</v>
      </c>
      <c r="I1632" s="1274"/>
      <c r="J1632" s="1314"/>
      <c r="K1632" s="1314"/>
      <c r="L1632" s="1314"/>
      <c r="M1632" s="1314"/>
      <c r="N1632" s="1314"/>
      <c r="O1632" s="1311"/>
      <c r="P1632" s="1311"/>
      <c r="Q1632" s="1311"/>
      <c r="R1632" s="1311"/>
      <c r="S1632" s="1311"/>
      <c r="T1632" s="1311"/>
      <c r="U1632" s="1311"/>
      <c r="V1632" s="1311"/>
      <c r="W1632" s="1311"/>
      <c r="X1632" s="1311"/>
      <c r="Y1632" s="1311"/>
      <c r="Z1632" s="1311"/>
    </row>
    <row r="1633" spans="1:26" x14ac:dyDescent="0.25">
      <c r="A1633" s="790" t="s">
        <v>1255</v>
      </c>
      <c r="B1633" s="52" t="str">
        <f>IFERROR(_xlfn.CONCAT("D",MATCH(A1633,'Tracking &amp; Profitability'!D$1:D$62,0)),"")</f>
        <v>D37</v>
      </c>
      <c r="C1633" s="52" t="str">
        <f>IFERROR(_xlfn.CONCAT("K",MATCH(A1633,'Tracking &amp; Profitability'!D$1:D$62,0)),"")</f>
        <v>K37</v>
      </c>
      <c r="D1633" s="791" t="s">
        <v>1350</v>
      </c>
      <c r="E1633" s="52" t="s">
        <v>129</v>
      </c>
      <c r="F1633" s="790" t="s">
        <v>1790</v>
      </c>
      <c r="G1633" s="1314" t="s">
        <v>1939</v>
      </c>
      <c r="H1633" s="1097" t="s">
        <v>1927</v>
      </c>
      <c r="I1633" s="1274"/>
      <c r="J1633" s="1314"/>
      <c r="K1633" s="1314"/>
      <c r="L1633" s="1314"/>
      <c r="M1633" s="1314"/>
      <c r="N1633" s="1314"/>
      <c r="O1633" s="1311"/>
      <c r="P1633" s="1311"/>
      <c r="Q1633" s="1311"/>
      <c r="R1633" s="1311"/>
      <c r="S1633" s="1311"/>
      <c r="T1633" s="1311"/>
      <c r="U1633" s="1311"/>
      <c r="V1633" s="1311"/>
      <c r="W1633" s="1311"/>
      <c r="X1633" s="1311"/>
      <c r="Y1633" s="1311"/>
      <c r="Z1633" s="1311"/>
    </row>
    <row r="1634" spans="1:26" x14ac:dyDescent="0.25">
      <c r="A1634" s="790" t="s">
        <v>1255</v>
      </c>
      <c r="B1634" s="52" t="str">
        <f>IFERROR(_xlfn.CONCAT("D",MATCH(A1634,'Tracking &amp; Profitability'!D$1:D$62,0)),"")</f>
        <v>D37</v>
      </c>
      <c r="C1634" s="52" t="str">
        <f>IFERROR(_xlfn.CONCAT("M",MATCH(A1634,'Tracking &amp; Profitability'!D$1:D$62,0)),"")</f>
        <v>M37</v>
      </c>
      <c r="D1634" s="791" t="s">
        <v>1350</v>
      </c>
      <c r="E1634" s="52" t="s">
        <v>129</v>
      </c>
      <c r="F1634" s="790" t="s">
        <v>1791</v>
      </c>
      <c r="G1634" s="1314" t="s">
        <v>1940</v>
      </c>
      <c r="H1634" s="1097" t="s">
        <v>1927</v>
      </c>
      <c r="I1634" s="1274"/>
      <c r="J1634" s="1314"/>
      <c r="K1634" s="1314"/>
      <c r="L1634" s="1314"/>
      <c r="M1634" s="1314"/>
      <c r="N1634" s="1314"/>
      <c r="O1634" s="1311"/>
      <c r="P1634" s="1311"/>
      <c r="Q1634" s="1311"/>
      <c r="R1634" s="1311"/>
      <c r="S1634" s="1311"/>
      <c r="T1634" s="1311"/>
      <c r="U1634" s="1311"/>
      <c r="V1634" s="1311"/>
      <c r="W1634" s="1311"/>
      <c r="X1634" s="1311"/>
      <c r="Y1634" s="1311"/>
      <c r="Z1634" s="1311"/>
    </row>
    <row r="1635" spans="1:26" x14ac:dyDescent="0.25">
      <c r="A1635" s="790" t="s">
        <v>1259</v>
      </c>
      <c r="B1635" s="52" t="str">
        <f>IFERROR(_xlfn.CONCAT("D",MATCH(A1635,'Tracking &amp; Profitability'!D$1:D$62,0)),"")</f>
        <v>D41</v>
      </c>
      <c r="C1635" s="52" t="str">
        <f>IFERROR(_xlfn.CONCAT("I",MATCH(A1635,'Tracking &amp; Profitability'!D$1:D$62,0)),"")</f>
        <v>I41</v>
      </c>
      <c r="D1635" s="791" t="s">
        <v>1350</v>
      </c>
      <c r="E1635" s="52" t="s">
        <v>129</v>
      </c>
      <c r="F1635" s="1097" t="s">
        <v>1792</v>
      </c>
      <c r="G1635" s="1314" t="s">
        <v>1699</v>
      </c>
      <c r="H1635" s="1097" t="s">
        <v>1927</v>
      </c>
      <c r="I1635" s="1274"/>
      <c r="J1635" s="1314"/>
      <c r="K1635" s="1314"/>
      <c r="L1635" s="1314"/>
      <c r="M1635" s="1314"/>
      <c r="N1635" s="1314"/>
      <c r="O1635" s="1311"/>
      <c r="P1635" s="1311"/>
      <c r="Q1635" s="1311"/>
      <c r="R1635" s="1311"/>
      <c r="S1635" s="1311"/>
      <c r="T1635" s="1311"/>
      <c r="U1635" s="1311"/>
      <c r="V1635" s="1311"/>
      <c r="W1635" s="1311"/>
      <c r="X1635" s="1311"/>
      <c r="Y1635" s="1311"/>
      <c r="Z1635" s="1311"/>
    </row>
    <row r="1636" spans="1:26" x14ac:dyDescent="0.25">
      <c r="A1636" s="790" t="s">
        <v>1259</v>
      </c>
      <c r="B1636" s="52" t="str">
        <f>IFERROR(_xlfn.CONCAT("D",MATCH(A1636,'Tracking &amp; Profitability'!D$1:D$62,0)),"")</f>
        <v>D41</v>
      </c>
      <c r="C1636" s="52" t="str">
        <f>IFERROR(_xlfn.CONCAT("G",MATCH(A1636,'Tracking &amp; Profitability'!D$1:D$62,0)),"")</f>
        <v>G41</v>
      </c>
      <c r="D1636" s="791" t="s">
        <v>1350</v>
      </c>
      <c r="E1636" s="52" t="s">
        <v>129</v>
      </c>
      <c r="F1636" s="1097" t="s">
        <v>1793</v>
      </c>
      <c r="G1636" s="1314" t="s">
        <v>1941</v>
      </c>
      <c r="H1636" s="1097" t="s">
        <v>1927</v>
      </c>
      <c r="I1636" s="1274"/>
      <c r="J1636" s="1314"/>
      <c r="K1636" s="1314"/>
      <c r="L1636" s="1314"/>
      <c r="M1636" s="1314"/>
      <c r="N1636" s="1314"/>
      <c r="O1636" s="1311"/>
      <c r="P1636" s="1311"/>
      <c r="Q1636" s="1311"/>
      <c r="R1636" s="1311"/>
      <c r="S1636" s="1311"/>
      <c r="T1636" s="1311"/>
      <c r="U1636" s="1311"/>
      <c r="V1636" s="1311"/>
      <c r="W1636" s="1311"/>
      <c r="X1636" s="1311"/>
      <c r="Y1636" s="1311"/>
      <c r="Z1636" s="1311"/>
    </row>
    <row r="1637" spans="1:26" x14ac:dyDescent="0.25">
      <c r="A1637" s="790" t="s">
        <v>1259</v>
      </c>
      <c r="B1637" s="52" t="str">
        <f>IFERROR(_xlfn.CONCAT("D",MATCH(A1637,'Tracking &amp; Profitability'!D$1:D$62,0)),"")</f>
        <v>D41</v>
      </c>
      <c r="C1637" s="52" t="str">
        <f>IFERROR(_xlfn.CONCAT("E",MATCH(A1637,'Tracking &amp; Profitability'!D$1:D$62,0)),"")</f>
        <v>E41</v>
      </c>
      <c r="D1637" s="791" t="s">
        <v>1350</v>
      </c>
      <c r="E1637" s="52" t="s">
        <v>129</v>
      </c>
      <c r="F1637" s="1097" t="s">
        <v>1794</v>
      </c>
      <c r="G1637" s="1314" t="s">
        <v>1942</v>
      </c>
      <c r="H1637" s="1097" t="s">
        <v>1927</v>
      </c>
      <c r="I1637" s="1274"/>
      <c r="J1637" s="1314"/>
      <c r="K1637" s="1314"/>
      <c r="L1637" s="1314"/>
      <c r="M1637" s="1314"/>
      <c r="N1637" s="1314"/>
      <c r="O1637" s="1311"/>
      <c r="P1637" s="1311"/>
      <c r="Q1637" s="1311"/>
      <c r="R1637" s="1311"/>
      <c r="S1637" s="1311"/>
      <c r="T1637" s="1311"/>
      <c r="U1637" s="1311"/>
      <c r="V1637" s="1311"/>
      <c r="W1637" s="1311"/>
      <c r="X1637" s="1311"/>
      <c r="Y1637" s="1311"/>
      <c r="Z1637" s="1311"/>
    </row>
    <row r="1638" spans="1:26" x14ac:dyDescent="0.25">
      <c r="A1638" s="790" t="s">
        <v>1259</v>
      </c>
      <c r="B1638" s="52" t="str">
        <f>IFERROR(_xlfn.CONCAT("D",MATCH(A1638,'Tracking &amp; Profitability'!D$1:D$62,0)),"")</f>
        <v>D41</v>
      </c>
      <c r="C1638" s="52" t="str">
        <f>IFERROR(_xlfn.CONCAT("K",MATCH(A1638,'Tracking &amp; Profitability'!D$1:D$62,0)),"")</f>
        <v>K41</v>
      </c>
      <c r="D1638" s="791" t="s">
        <v>1350</v>
      </c>
      <c r="E1638" s="52" t="s">
        <v>129</v>
      </c>
      <c r="F1638" s="1097" t="s">
        <v>1795</v>
      </c>
      <c r="G1638" s="1314" t="s">
        <v>1943</v>
      </c>
      <c r="H1638" s="1097" t="s">
        <v>1927</v>
      </c>
      <c r="I1638" s="1274"/>
      <c r="J1638" s="1314"/>
      <c r="K1638" s="1314"/>
      <c r="L1638" s="1314"/>
      <c r="M1638" s="1314"/>
      <c r="N1638" s="1314"/>
      <c r="O1638" s="1311"/>
      <c r="P1638" s="1311"/>
      <c r="Q1638" s="1311"/>
      <c r="R1638" s="1311"/>
      <c r="S1638" s="1311"/>
      <c r="T1638" s="1311"/>
      <c r="U1638" s="1311"/>
      <c r="V1638" s="1311"/>
      <c r="W1638" s="1311"/>
      <c r="X1638" s="1311"/>
      <c r="Y1638" s="1311"/>
      <c r="Z1638" s="1311"/>
    </row>
    <row r="1639" spans="1:26" x14ac:dyDescent="0.25">
      <c r="A1639" s="790" t="s">
        <v>1259</v>
      </c>
      <c r="B1639" s="52" t="str">
        <f>IFERROR(_xlfn.CONCAT("D",MATCH(A1639,'Tracking &amp; Profitability'!D$1:D$62,0)),"")</f>
        <v>D41</v>
      </c>
      <c r="C1639" s="52" t="str">
        <f>IFERROR(_xlfn.CONCAT("M",MATCH(A1639,'Tracking &amp; Profitability'!D$1:D$62,0)),"")</f>
        <v>M41</v>
      </c>
      <c r="D1639" s="791" t="s">
        <v>1350</v>
      </c>
      <c r="E1639" s="52" t="s">
        <v>129</v>
      </c>
      <c r="F1639" s="1097" t="s">
        <v>1796</v>
      </c>
      <c r="G1639" s="1314" t="s">
        <v>1944</v>
      </c>
      <c r="H1639" s="1097" t="s">
        <v>1927</v>
      </c>
      <c r="I1639" s="1274"/>
      <c r="J1639" s="1314"/>
      <c r="K1639" s="1314"/>
      <c r="L1639" s="1314"/>
      <c r="M1639" s="1314"/>
      <c r="N1639" s="1314"/>
      <c r="O1639" s="1311"/>
      <c r="P1639" s="1311"/>
      <c r="Q1639" s="1311"/>
      <c r="R1639" s="1311"/>
      <c r="S1639" s="1311"/>
      <c r="T1639" s="1311"/>
      <c r="U1639" s="1311"/>
      <c r="V1639" s="1311"/>
      <c r="W1639" s="1311"/>
      <c r="X1639" s="1311"/>
      <c r="Y1639" s="1311"/>
      <c r="Z1639" s="1311"/>
    </row>
    <row r="1640" spans="1:26" x14ac:dyDescent="0.25">
      <c r="A1640" s="1314" t="s">
        <v>1258</v>
      </c>
      <c r="B1640" s="52" t="str">
        <f>IFERROR(_xlfn.CONCAT("D",MATCH(A1640,'Tracking &amp; Profitability'!D$1:D$62,0)),"")</f>
        <v>D39</v>
      </c>
      <c r="C1640" s="52" t="str">
        <f>IFERROR(_xlfn.CONCAT("E",MATCH(A1640,'Tracking &amp; Profitability'!D$1:D$62,0)),"")</f>
        <v>E39</v>
      </c>
      <c r="D1640" s="791" t="s">
        <v>1350</v>
      </c>
      <c r="E1640" s="52" t="s">
        <v>129</v>
      </c>
      <c r="F1640" s="790" t="s">
        <v>1947</v>
      </c>
      <c r="G1640" s="1314" t="s">
        <v>1945</v>
      </c>
      <c r="H1640" s="1097" t="s">
        <v>1927</v>
      </c>
      <c r="I1640" s="1274"/>
      <c r="J1640" s="1314"/>
      <c r="K1640" s="1314"/>
      <c r="L1640" s="1314"/>
      <c r="M1640" s="1314"/>
      <c r="N1640" s="1314"/>
      <c r="O1640" s="1311"/>
      <c r="P1640" s="1311"/>
      <c r="Q1640" s="1311"/>
      <c r="R1640" s="1311"/>
      <c r="S1640" s="1311"/>
      <c r="T1640" s="1311"/>
      <c r="U1640" s="1311"/>
      <c r="V1640" s="1311"/>
      <c r="W1640" s="1311"/>
      <c r="X1640" s="1311"/>
      <c r="Y1640" s="1311"/>
      <c r="Z1640" s="1311"/>
    </row>
    <row r="1641" spans="1:26" x14ac:dyDescent="0.25">
      <c r="A1641" s="1314" t="s">
        <v>1258</v>
      </c>
      <c r="B1641" s="52" t="str">
        <f>IFERROR(_xlfn.CONCAT("D",MATCH(A1641,'Tracking &amp; Profitability'!D$1:D$62,0)),"")</f>
        <v>D39</v>
      </c>
      <c r="C1641" s="52" t="str">
        <f>IFERROR(_xlfn.CONCAT("G",MATCH(A1641,'Tracking &amp; Profitability'!D$1:D$62,0)),"")</f>
        <v>G39</v>
      </c>
      <c r="D1641" s="791" t="s">
        <v>1350</v>
      </c>
      <c r="E1641" s="52" t="s">
        <v>129</v>
      </c>
      <c r="F1641" s="790" t="s">
        <v>1948</v>
      </c>
      <c r="G1641" s="1314" t="s">
        <v>1946</v>
      </c>
      <c r="H1641" s="1097" t="s">
        <v>1927</v>
      </c>
      <c r="I1641" s="1274"/>
      <c r="J1641" s="1314"/>
      <c r="K1641" s="1314"/>
      <c r="L1641" s="1314"/>
      <c r="M1641" s="1314"/>
      <c r="N1641" s="1314"/>
      <c r="O1641" s="1311"/>
      <c r="P1641" s="1311"/>
      <c r="Q1641" s="1311"/>
      <c r="R1641" s="1311"/>
      <c r="S1641" s="1311"/>
      <c r="T1641" s="1311"/>
      <c r="U1641" s="1311"/>
      <c r="V1641" s="1311"/>
      <c r="W1641" s="1311"/>
      <c r="X1641" s="1311"/>
      <c r="Y1641" s="1311"/>
      <c r="Z1641" s="1311"/>
    </row>
    <row r="1642" spans="1:26" x14ac:dyDescent="0.25">
      <c r="A1642" s="841" t="s">
        <v>1262</v>
      </c>
      <c r="B1642" s="791"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17)</f>
        <v>H17</v>
      </c>
      <c r="C1642" s="791"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18)</f>
        <v>H18</v>
      </c>
      <c r="D1642" s="791" t="s">
        <v>1350</v>
      </c>
      <c r="E1642" s="791" t="s">
        <v>1351</v>
      </c>
      <c r="F1642" s="791" t="s">
        <v>1185</v>
      </c>
      <c r="G1642" s="791" t="s">
        <v>1356</v>
      </c>
      <c r="H1642" s="791" t="s">
        <v>1927</v>
      </c>
      <c r="I1642" s="1274"/>
      <c r="J1642" s="1314"/>
      <c r="K1642" s="1314"/>
      <c r="L1642" s="1314"/>
      <c r="M1642" s="1314"/>
      <c r="N1642" s="1314"/>
      <c r="O1642" s="1311"/>
      <c r="P1642" s="1311"/>
      <c r="Q1642" s="1311"/>
      <c r="R1642" s="1311"/>
      <c r="S1642" s="1311"/>
      <c r="T1642" s="1311"/>
      <c r="U1642" s="1311"/>
      <c r="V1642" s="1311"/>
      <c r="W1642" s="1311"/>
      <c r="X1642" s="1311"/>
      <c r="Y1642" s="1311"/>
      <c r="Z1642" s="1311"/>
    </row>
    <row r="1643" spans="1:26" x14ac:dyDescent="0.25">
      <c r="A1643" s="1097" t="s">
        <v>1205</v>
      </c>
      <c r="B1643" s="791"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4)</f>
        <v>H4</v>
      </c>
      <c r="C1643" s="791"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5)</f>
        <v>H5</v>
      </c>
      <c r="D1643" s="791" t="s">
        <v>1350</v>
      </c>
      <c r="E1643" s="791" t="s">
        <v>1351</v>
      </c>
      <c r="F1643" s="791" t="s">
        <v>1978</v>
      </c>
      <c r="G1643" s="791" t="s">
        <v>239</v>
      </c>
      <c r="H1643" s="791" t="s">
        <v>1927</v>
      </c>
      <c r="I1643" s="1274"/>
      <c r="J1643" s="1314"/>
      <c r="K1643" s="1314"/>
      <c r="L1643" s="1314"/>
      <c r="M1643" s="1314"/>
      <c r="N1643" s="1314"/>
      <c r="O1643" s="1311"/>
      <c r="P1643" s="1311"/>
      <c r="Q1643" s="1311"/>
      <c r="R1643" s="1311"/>
      <c r="S1643" s="1311"/>
      <c r="T1643" s="1311"/>
      <c r="U1643" s="1311"/>
      <c r="V1643" s="1311"/>
      <c r="W1643" s="1311"/>
      <c r="X1643" s="1311"/>
      <c r="Y1643" s="1311"/>
      <c r="Z1643" s="1311"/>
    </row>
    <row r="1644" spans="1:26" x14ac:dyDescent="0.25">
      <c r="A1644" s="1289" t="s">
        <v>488</v>
      </c>
      <c r="B1644" s="791" t="str">
        <f>IFERROR(_xlfn.CONCAT("G",MATCH(A1644,'PIM Model'!G$1:G$60,0)),"")</f>
        <v>G34</v>
      </c>
      <c r="C1644" s="791" t="str">
        <f>IFERROR(_xlfn.CONCAT("I",MATCH(A1644,'PIM Model'!G$1:G$60,0)),"")</f>
        <v>I34</v>
      </c>
      <c r="D1644" s="791" t="s">
        <v>1350</v>
      </c>
      <c r="E1644" s="52" t="s">
        <v>208</v>
      </c>
      <c r="F1644" s="1289" t="s">
        <v>1975</v>
      </c>
      <c r="G1644" s="1289" t="s">
        <v>1363</v>
      </c>
      <c r="H1644" s="791" t="s">
        <v>1927</v>
      </c>
      <c r="I1644" s="1275"/>
      <c r="J1644" s="1314"/>
      <c r="K1644" s="1314"/>
      <c r="L1644" s="1314"/>
      <c r="M1644" s="1314"/>
      <c r="N1644" s="1314"/>
      <c r="O1644" s="1311"/>
      <c r="P1644" s="1311"/>
      <c r="Q1644" s="1311"/>
      <c r="R1644" s="1311"/>
      <c r="S1644" s="1311"/>
      <c r="T1644" s="1311"/>
      <c r="U1644" s="1311"/>
      <c r="V1644" s="1311"/>
      <c r="W1644" s="1311"/>
      <c r="X1644" s="1311"/>
      <c r="Y1644" s="1311"/>
      <c r="Z1644" s="1311"/>
    </row>
    <row r="1645" spans="1:26" x14ac:dyDescent="0.25">
      <c r="A1645" s="1289" t="s">
        <v>1249</v>
      </c>
      <c r="B1645" s="791" t="str">
        <f>IFERROR(_xlfn.CONCAT("G",MATCH(A1645,'PIM Model'!G$1:G$60,0)),"")</f>
        <v>G35</v>
      </c>
      <c r="C1645" s="791" t="str">
        <f>IFERROR(_xlfn.CONCAT("I",MATCH(A1645,'PIM Model'!G$1:G$60,0)),"")</f>
        <v>I35</v>
      </c>
      <c r="D1645" s="791" t="s">
        <v>1350</v>
      </c>
      <c r="E1645" s="52" t="s">
        <v>208</v>
      </c>
      <c r="F1645" s="1289" t="s">
        <v>1976</v>
      </c>
      <c r="G1645" s="1289" t="s">
        <v>1364</v>
      </c>
      <c r="H1645" s="791" t="s">
        <v>1927</v>
      </c>
      <c r="I1645" s="1274"/>
      <c r="J1645" s="1314"/>
      <c r="K1645" s="1314"/>
      <c r="L1645" s="1314"/>
      <c r="M1645" s="1314"/>
      <c r="N1645" s="1314"/>
      <c r="O1645" s="1311"/>
      <c r="P1645" s="1311"/>
      <c r="Q1645" s="1311"/>
      <c r="R1645" s="1311"/>
      <c r="S1645" s="1311"/>
      <c r="T1645" s="1311"/>
      <c r="U1645" s="1311"/>
      <c r="V1645" s="1311"/>
      <c r="W1645" s="1311"/>
      <c r="X1645" s="1311"/>
      <c r="Y1645" s="1311"/>
      <c r="Z1645" s="1311"/>
    </row>
    <row r="1646" spans="1:26" x14ac:dyDescent="0.25">
      <c r="A1646" s="1289" t="s">
        <v>1250</v>
      </c>
      <c r="B1646" s="791" t="str">
        <f>IFERROR(_xlfn.CONCAT("G",MATCH(A1646,'PIM Model'!G$1:G$60,0)),"")</f>
        <v>G39</v>
      </c>
      <c r="C1646" s="791" t="str">
        <f>IFERROR(_xlfn.CONCAT("I",MATCH(A1646,'PIM Model'!G$1:G$60,0)),"")</f>
        <v>I39</v>
      </c>
      <c r="D1646" s="791" t="s">
        <v>1350</v>
      </c>
      <c r="E1646" s="52" t="s">
        <v>208</v>
      </c>
      <c r="F1646" s="1289" t="s">
        <v>1977</v>
      </c>
      <c r="G1646" s="1287" t="s">
        <v>1366</v>
      </c>
      <c r="H1646" s="791" t="s">
        <v>1927</v>
      </c>
      <c r="I1646" s="1274"/>
      <c r="J1646" s="1314"/>
      <c r="K1646" s="1314"/>
      <c r="L1646" s="1314"/>
      <c r="M1646" s="1314"/>
      <c r="N1646" s="1314"/>
      <c r="O1646" s="1311"/>
      <c r="P1646" s="1311"/>
      <c r="Q1646" s="1311"/>
      <c r="R1646" s="1311"/>
      <c r="S1646" s="1311"/>
      <c r="T1646" s="1311"/>
      <c r="U1646" s="1311"/>
      <c r="V1646" s="1311"/>
      <c r="W1646" s="1311"/>
      <c r="X1646" s="1311"/>
      <c r="Y1646" s="1311"/>
      <c r="Z1646" s="1311"/>
    </row>
    <row r="1647" spans="1:26" x14ac:dyDescent="0.25">
      <c r="A1647" s="828" t="s">
        <v>83</v>
      </c>
      <c r="B1647" s="1274" t="str">
        <f ca="1">_xlfn.CONCAT(IFERROR(SUBSTITUTE(ADDRESS(1,MATCH(A1647,INDIRECT("'"&amp;E1647&amp;"'"&amp;"!A9:Z9"),0),4),1,""),""),9)</f>
        <v>H9</v>
      </c>
      <c r="C1647" s="1274" t="str">
        <f ca="1">_xlfn.CONCAT(IFERROR(SUBSTITUTE(ADDRESS(1,MATCH(A1647,INDIRECT("'"&amp;E1647&amp;"'"&amp;"!A9:Z9"),0),4),1,""),""),31)</f>
        <v>H31</v>
      </c>
      <c r="D1647" s="791" t="s">
        <v>1350</v>
      </c>
      <c r="E1647" s="828" t="s">
        <v>208</v>
      </c>
      <c r="F1647" s="1314" t="s">
        <v>1949</v>
      </c>
      <c r="G1647" s="1314" t="s">
        <v>1950</v>
      </c>
      <c r="H1647" s="1314" t="s">
        <v>1927</v>
      </c>
      <c r="I1647" s="1274"/>
      <c r="J1647" s="1314"/>
      <c r="K1647" s="1314"/>
      <c r="L1647" s="1314"/>
      <c r="M1647" s="1314"/>
      <c r="N1647" s="1314"/>
      <c r="O1647" s="1311"/>
      <c r="P1647" s="1311"/>
      <c r="Q1647" s="1311"/>
      <c r="R1647" s="1311"/>
      <c r="S1647" s="1311"/>
      <c r="T1647" s="1311"/>
      <c r="U1647" s="1311"/>
      <c r="V1647" s="1311"/>
      <c r="W1647" s="1311"/>
      <c r="X1647" s="1311"/>
      <c r="Y1647" s="1311"/>
      <c r="Z1647" s="1311"/>
    </row>
    <row r="1648" spans="1:26" x14ac:dyDescent="0.25">
      <c r="A1648" s="1314" t="s">
        <v>221</v>
      </c>
      <c r="B1648" s="52" t="str">
        <f>IFERROR(_xlfn.CONCAT("D",MATCH(A1648,'Variable Costs &amp; Income'!D$1:D$62,0)),"")</f>
        <v>D31</v>
      </c>
      <c r="C1648" s="52" t="str">
        <f>IFERROR(_xlfn.CONCAT("E",MATCH(A1648,'Variable Costs &amp; Income'!D$1:D$62,0)),"")</f>
        <v>E31</v>
      </c>
      <c r="D1648" s="791" t="s">
        <v>1350</v>
      </c>
      <c r="E1648" s="52" t="s">
        <v>210</v>
      </c>
      <c r="F1648" s="790" t="s">
        <v>1973</v>
      </c>
      <c r="G1648" s="1314" t="s">
        <v>1809</v>
      </c>
      <c r="H1648" s="1097" t="s">
        <v>1927</v>
      </c>
      <c r="I1648" s="1274"/>
      <c r="J1648" s="1314"/>
      <c r="K1648" s="1314"/>
      <c r="L1648" s="1314"/>
      <c r="M1648" s="1314"/>
      <c r="N1648" s="1314"/>
      <c r="O1648" s="1311"/>
      <c r="P1648" s="1311"/>
      <c r="Q1648" s="1311"/>
      <c r="R1648" s="1311"/>
      <c r="S1648" s="1311"/>
      <c r="T1648" s="1311"/>
      <c r="U1648" s="1311"/>
      <c r="V1648" s="1311"/>
      <c r="W1648" s="1311"/>
      <c r="X1648" s="1311"/>
      <c r="Y1648" s="1311"/>
      <c r="Z1648" s="1311"/>
    </row>
    <row r="1649" spans="1:26" x14ac:dyDescent="0.25">
      <c r="A1649" s="1314" t="s">
        <v>221</v>
      </c>
      <c r="B1649" s="52" t="str">
        <f>IFERROR(_xlfn.CONCAT("D",MATCH(A1649,'Variable Costs &amp; Income'!D$1:D$62,0)),"")</f>
        <v>D31</v>
      </c>
      <c r="C1649" s="52" t="str">
        <f>IFERROR(_xlfn.CONCAT("G",MATCH(A1649,'Variable Costs &amp; Income'!D$1:D$62,0)),"")</f>
        <v>G31</v>
      </c>
      <c r="D1649" s="791" t="s">
        <v>1350</v>
      </c>
      <c r="E1649" s="52" t="s">
        <v>210</v>
      </c>
      <c r="F1649" s="790" t="s">
        <v>1974</v>
      </c>
      <c r="G1649" s="1314" t="s">
        <v>1814</v>
      </c>
      <c r="H1649" s="1097" t="s">
        <v>1927</v>
      </c>
      <c r="I1649" s="1274"/>
      <c r="J1649" s="1314"/>
      <c r="K1649" s="1314"/>
      <c r="L1649" s="1314"/>
      <c r="M1649" s="1314"/>
      <c r="N1649" s="1314"/>
      <c r="O1649" s="1311"/>
      <c r="P1649" s="1311"/>
      <c r="Q1649" s="1311"/>
      <c r="R1649" s="1311"/>
      <c r="S1649" s="1311"/>
      <c r="T1649" s="1311"/>
      <c r="U1649" s="1311"/>
      <c r="V1649" s="1311"/>
      <c r="W1649" s="1311"/>
      <c r="X1649" s="1311"/>
      <c r="Y1649" s="1311"/>
      <c r="Z1649" s="1311"/>
    </row>
    <row r="1650" spans="1:26" x14ac:dyDescent="0.25">
      <c r="A1650" s="1314" t="s">
        <v>220</v>
      </c>
      <c r="B1650" s="52" t="str">
        <f>IFERROR(_xlfn.CONCAT("D",MATCH(A1650,'Variable Costs &amp; Income'!D$1:D$62,0)),"")</f>
        <v>D32</v>
      </c>
      <c r="C1650" s="52" t="str">
        <f>IFERROR(_xlfn.CONCAT("E",MATCH(A1650,'Variable Costs &amp; Income'!D$1:D$62,0)),"")</f>
        <v>E32</v>
      </c>
      <c r="D1650" s="791" t="s">
        <v>1350</v>
      </c>
      <c r="E1650" s="52" t="s">
        <v>210</v>
      </c>
      <c r="F1650" s="790" t="s">
        <v>1951</v>
      </c>
      <c r="G1650" s="1314" t="s">
        <v>1815</v>
      </c>
      <c r="H1650" s="1097" t="s">
        <v>1927</v>
      </c>
      <c r="I1650" s="1274"/>
      <c r="J1650" s="1314"/>
      <c r="K1650" s="1314"/>
      <c r="L1650" s="1314"/>
      <c r="M1650" s="1314"/>
      <c r="N1650" s="1314"/>
      <c r="O1650" s="1311"/>
      <c r="P1650" s="1311"/>
      <c r="Q1650" s="1311"/>
      <c r="R1650" s="1311"/>
      <c r="S1650" s="1311"/>
      <c r="T1650" s="1311"/>
      <c r="U1650" s="1311"/>
      <c r="V1650" s="1311"/>
      <c r="W1650" s="1311"/>
      <c r="X1650" s="1311"/>
      <c r="Y1650" s="1311"/>
      <c r="Z1650" s="1311"/>
    </row>
    <row r="1651" spans="1:26" x14ac:dyDescent="0.25">
      <c r="A1651" s="1314" t="s">
        <v>220</v>
      </c>
      <c r="B1651" s="52" t="str">
        <f>IFERROR(_xlfn.CONCAT("D",MATCH(A1651,'Variable Costs &amp; Income'!D$1:D$62,0)),"")</f>
        <v>D32</v>
      </c>
      <c r="C1651" s="52" t="str">
        <f>IFERROR(_xlfn.CONCAT("I",MATCH(A1651,'Variable Costs &amp; Income'!D$1:D$62,0)),"")</f>
        <v>I32</v>
      </c>
      <c r="D1651" s="791" t="s">
        <v>1350</v>
      </c>
      <c r="E1651" s="52" t="s">
        <v>210</v>
      </c>
      <c r="F1651" s="790" t="s">
        <v>1952</v>
      </c>
      <c r="G1651" s="1314" t="s">
        <v>1812</v>
      </c>
      <c r="H1651" s="1097" t="s">
        <v>1927</v>
      </c>
      <c r="I1651" s="1274"/>
      <c r="J1651" s="1314"/>
      <c r="K1651" s="1314"/>
      <c r="L1651" s="1314"/>
      <c r="M1651" s="1314"/>
      <c r="N1651" s="1314"/>
      <c r="O1651" s="1311"/>
      <c r="P1651" s="1311"/>
      <c r="Q1651" s="1311"/>
      <c r="R1651" s="1311"/>
      <c r="S1651" s="1311"/>
      <c r="T1651" s="1311"/>
      <c r="U1651" s="1311"/>
      <c r="V1651" s="1311"/>
      <c r="W1651" s="1311"/>
      <c r="X1651" s="1311"/>
      <c r="Y1651" s="1311"/>
      <c r="Z1651" s="1311"/>
    </row>
    <row r="1652" spans="1:26" x14ac:dyDescent="0.25">
      <c r="A1652" s="1314" t="s">
        <v>220</v>
      </c>
      <c r="B1652" s="52" t="str">
        <f>IFERROR(_xlfn.CONCAT("D",MATCH(A1652,'Variable Costs &amp; Income'!D$1:D$62,0)),"")</f>
        <v>D32</v>
      </c>
      <c r="C1652" s="52" t="str">
        <f>IFERROR(_xlfn.CONCAT("G",MATCH(A1652,'Variable Costs &amp; Income'!D$1:D$62,0)),"")</f>
        <v>G32</v>
      </c>
      <c r="D1652" s="791" t="s">
        <v>1350</v>
      </c>
      <c r="E1652" s="52" t="s">
        <v>210</v>
      </c>
      <c r="F1652" s="790" t="s">
        <v>1953</v>
      </c>
      <c r="G1652" s="1314" t="s">
        <v>1811</v>
      </c>
      <c r="H1652" s="1097" t="s">
        <v>1927</v>
      </c>
      <c r="I1652" s="1274"/>
      <c r="J1652" s="1314"/>
      <c r="K1652" s="1314"/>
      <c r="L1652" s="1314"/>
      <c r="M1652" s="1314"/>
      <c r="N1652" s="1314"/>
      <c r="O1652" s="1311"/>
      <c r="P1652" s="1311"/>
      <c r="Q1652" s="1311"/>
      <c r="R1652" s="1311"/>
      <c r="S1652" s="1311"/>
      <c r="T1652" s="1311"/>
      <c r="U1652" s="1311"/>
      <c r="V1652" s="1311"/>
      <c r="W1652" s="1311"/>
      <c r="X1652" s="1311"/>
      <c r="Y1652" s="1311"/>
      <c r="Z1652" s="1311"/>
    </row>
    <row r="1653" spans="1:26" x14ac:dyDescent="0.25">
      <c r="A1653" s="1314" t="s">
        <v>1169</v>
      </c>
      <c r="B1653" s="52" t="str">
        <f>IFERROR(_xlfn.CONCAT("D",MATCH(A1653,'Variable Costs &amp; Income'!D$1:D$62,0)),"")</f>
        <v>D17</v>
      </c>
      <c r="C1653" s="52" t="str">
        <f>IFERROR(_xlfn.CONCAT("E",MATCH(A1653,'Variable Costs &amp; Income'!D$1:D$62,0)),"")</f>
        <v>E17</v>
      </c>
      <c r="D1653" s="791" t="s">
        <v>1350</v>
      </c>
      <c r="E1653" s="52" t="s">
        <v>210</v>
      </c>
      <c r="F1653" s="1290" t="s">
        <v>1954</v>
      </c>
      <c r="G1653" s="1289" t="s">
        <v>1828</v>
      </c>
      <c r="H1653" s="1097" t="s">
        <v>1927</v>
      </c>
      <c r="I1653" s="1289"/>
      <c r="J1653" s="1289"/>
      <c r="K1653" s="1289"/>
      <c r="L1653" s="1289"/>
      <c r="M1653" s="1289"/>
      <c r="N1653" s="1289"/>
      <c r="O1653" s="1311"/>
      <c r="P1653" s="1311"/>
      <c r="Q1653" s="1311"/>
      <c r="R1653" s="1311"/>
      <c r="S1653" s="1311"/>
      <c r="T1653" s="1311"/>
      <c r="U1653" s="1311"/>
      <c r="V1653" s="1311"/>
      <c r="W1653" s="1311"/>
      <c r="X1653" s="1311"/>
      <c r="Y1653" s="1311"/>
      <c r="Z1653" s="1311"/>
    </row>
    <row r="1654" spans="1:26" x14ac:dyDescent="0.25">
      <c r="A1654" s="1314" t="s">
        <v>1168</v>
      </c>
      <c r="B1654" s="52" t="str">
        <f>IFERROR(_xlfn.CONCAT("D",MATCH(A1654,'Variable Costs &amp; Income'!D$1:D$62,0)),"")</f>
        <v>D15</v>
      </c>
      <c r="C1654" s="52" t="str">
        <f>IFERROR(_xlfn.CONCAT("E",MATCH(A1654,'Variable Costs &amp; Income'!D$1:D$62,0)),"")</f>
        <v>E15</v>
      </c>
      <c r="D1654" s="791" t="s">
        <v>1350</v>
      </c>
      <c r="E1654" s="52" t="s">
        <v>210</v>
      </c>
      <c r="F1654" s="1290" t="s">
        <v>1955</v>
      </c>
      <c r="G1654" s="1289" t="s">
        <v>1829</v>
      </c>
      <c r="H1654" s="1097" t="s">
        <v>1927</v>
      </c>
      <c r="I1654" s="1289"/>
      <c r="J1654" s="1289"/>
      <c r="K1654" s="1287"/>
      <c r="L1654" s="1287"/>
      <c r="M1654" s="1287"/>
      <c r="N1654" s="1287"/>
      <c r="O1654" s="1311"/>
      <c r="P1654" s="1311"/>
      <c r="Q1654" s="1311"/>
      <c r="R1654" s="1311"/>
      <c r="S1654" s="1311"/>
      <c r="T1654" s="1311"/>
      <c r="U1654" s="1311"/>
      <c r="V1654" s="1311"/>
      <c r="W1654" s="1311"/>
      <c r="X1654" s="1311"/>
      <c r="Y1654" s="1311"/>
      <c r="Z1654" s="1311"/>
    </row>
    <row r="1655" spans="1:26" x14ac:dyDescent="0.25">
      <c r="A1655" s="1314" t="s">
        <v>1254</v>
      </c>
      <c r="B1655" s="52" t="str">
        <f>IFERROR(_xlfn.CONCAT("D",MATCH(A1655,'Variable Costs &amp; Income'!D$1:D$62,0)),"")</f>
        <v>D11</v>
      </c>
      <c r="C1655" s="52" t="str">
        <f>IFERROR(_xlfn.CONCAT("E",MATCH(A1655,'Variable Costs &amp; Income'!D$1:D$62,0)),"")</f>
        <v>E11</v>
      </c>
      <c r="D1655" s="791" t="s">
        <v>1350</v>
      </c>
      <c r="E1655" s="52" t="s">
        <v>210</v>
      </c>
      <c r="F1655" s="1290" t="s">
        <v>1956</v>
      </c>
      <c r="G1655" s="1289" t="s">
        <v>1830</v>
      </c>
      <c r="H1655" s="1097" t="s">
        <v>1927</v>
      </c>
      <c r="I1655" s="1289"/>
      <c r="J1655" s="1287"/>
      <c r="K1655" s="1287"/>
      <c r="L1655" s="1287"/>
      <c r="M1655" s="1287"/>
      <c r="N1655" s="1287"/>
      <c r="O1655" s="1311"/>
      <c r="P1655" s="1311"/>
      <c r="Q1655" s="1311"/>
      <c r="R1655" s="1311"/>
      <c r="S1655" s="1311"/>
      <c r="T1655" s="1311"/>
      <c r="U1655" s="1311"/>
      <c r="V1655" s="1311"/>
      <c r="W1655" s="1311"/>
      <c r="X1655" s="1311"/>
      <c r="Y1655" s="1311"/>
      <c r="Z1655" s="1311"/>
    </row>
    <row r="1656" spans="1:26" x14ac:dyDescent="0.25">
      <c r="A1656" s="1314" t="s">
        <v>228</v>
      </c>
      <c r="B1656" s="52" t="str">
        <f>IFERROR(_xlfn.CONCAT("D",MATCH(A1656,'Variable Costs &amp; Income'!D$1:D$62,0)),"")</f>
        <v>D19</v>
      </c>
      <c r="C1656" s="52" t="str">
        <f>IFERROR(_xlfn.CONCAT("E",MATCH(A1656,'Variable Costs &amp; Income'!D$1:D$62,0)),"")</f>
        <v>E19</v>
      </c>
      <c r="D1656" s="791" t="s">
        <v>1350</v>
      </c>
      <c r="E1656" s="52" t="s">
        <v>210</v>
      </c>
      <c r="F1656" s="1290" t="s">
        <v>1979</v>
      </c>
      <c r="G1656" s="1289" t="s">
        <v>1960</v>
      </c>
      <c r="H1656" s="1097" t="s">
        <v>1927</v>
      </c>
      <c r="I1656" s="1288"/>
      <c r="J1656" s="1287"/>
      <c r="K1656" s="1287"/>
      <c r="L1656" s="1287"/>
      <c r="M1656" s="1287"/>
      <c r="N1656" s="1287"/>
      <c r="O1656" s="1311"/>
      <c r="P1656" s="1311"/>
      <c r="Q1656" s="1311"/>
      <c r="R1656" s="1311"/>
      <c r="S1656" s="1311"/>
      <c r="T1656" s="1311"/>
      <c r="U1656" s="1311"/>
      <c r="V1656" s="1311"/>
      <c r="W1656" s="1311"/>
      <c r="X1656" s="1311"/>
      <c r="Y1656" s="1311"/>
      <c r="Z1656" s="1311"/>
    </row>
    <row r="1657" spans="1:26" x14ac:dyDescent="0.25">
      <c r="A1657" s="1314" t="s">
        <v>228</v>
      </c>
      <c r="B1657" s="52" t="str">
        <f>IFERROR(_xlfn.CONCAT("D",MATCH(A1657,'Variable Costs &amp; Income'!D$1:D$62,0)),"")</f>
        <v>D19</v>
      </c>
      <c r="C1657" s="52" t="str">
        <f>IFERROR(_xlfn.CONCAT("I",MATCH(A1657,'Variable Costs &amp; Income'!D$1:D$62,0)),"")</f>
        <v>I19</v>
      </c>
      <c r="D1657" s="791" t="s">
        <v>1350</v>
      </c>
      <c r="E1657" s="52" t="s">
        <v>210</v>
      </c>
      <c r="F1657" s="1290" t="s">
        <v>1980</v>
      </c>
      <c r="G1657" s="1289" t="s">
        <v>1831</v>
      </c>
      <c r="H1657" s="1097" t="s">
        <v>1927</v>
      </c>
      <c r="I1657" s="1288"/>
      <c r="J1657" s="1287"/>
      <c r="K1657" s="1287"/>
      <c r="L1657" s="1287"/>
      <c r="M1657" s="1287"/>
      <c r="N1657" s="1287"/>
      <c r="O1657" s="1311"/>
      <c r="P1657" s="1311"/>
      <c r="Q1657" s="1311"/>
      <c r="R1657" s="1311"/>
      <c r="S1657" s="1311"/>
      <c r="T1657" s="1311"/>
      <c r="U1657" s="1311"/>
      <c r="V1657" s="1311"/>
      <c r="W1657" s="1311"/>
      <c r="X1657" s="1311"/>
      <c r="Y1657" s="1311"/>
      <c r="Z1657" s="1311"/>
    </row>
    <row r="1658" spans="1:26" x14ac:dyDescent="0.25">
      <c r="A1658" s="1314" t="s">
        <v>228</v>
      </c>
      <c r="B1658" s="52" t="str">
        <f>IFERROR(_xlfn.CONCAT("D",MATCH(A1658,'Variable Costs &amp; Income'!D$1:D$62,0)),"")</f>
        <v>D19</v>
      </c>
      <c r="C1658" s="52" t="str">
        <f>IFERROR(_xlfn.CONCAT("G",MATCH(A1658,'Variable Costs &amp; Income'!D$1:D$62,0)),"")</f>
        <v>G19</v>
      </c>
      <c r="D1658" s="791" t="s">
        <v>1350</v>
      </c>
      <c r="E1658" s="52" t="s">
        <v>210</v>
      </c>
      <c r="F1658" s="1290" t="s">
        <v>1981</v>
      </c>
      <c r="G1658" s="1287" t="s">
        <v>1832</v>
      </c>
      <c r="H1658" s="1097" t="s">
        <v>1927</v>
      </c>
      <c r="I1658" s="1288"/>
      <c r="J1658" s="1287"/>
      <c r="K1658" s="1287"/>
      <c r="L1658" s="1287"/>
      <c r="M1658" s="1287"/>
      <c r="N1658" s="1287"/>
      <c r="O1658" s="1311"/>
      <c r="P1658" s="1311"/>
      <c r="Q1658" s="1311"/>
      <c r="R1658" s="1311"/>
      <c r="S1658" s="1311"/>
      <c r="T1658" s="1311"/>
      <c r="U1658" s="1311"/>
      <c r="V1658" s="1311"/>
      <c r="W1658" s="1311"/>
      <c r="X1658" s="1311"/>
      <c r="Y1658" s="1311"/>
      <c r="Z1658" s="1311"/>
    </row>
    <row r="1659" spans="1:26" x14ac:dyDescent="0.25">
      <c r="A1659" s="1314" t="s">
        <v>1097</v>
      </c>
      <c r="B1659" s="52" t="str">
        <f>IFERROR(_xlfn.CONCAT("D",MATCH(A1659,'Variable Costs &amp; Income'!D$1:D$62,0)),"")</f>
        <v>D13</v>
      </c>
      <c r="C1659" s="52" t="str">
        <f>IFERROR(_xlfn.CONCAT("E",MATCH(A1659,'Variable Costs &amp; Income'!D$1:D$62,0)),"")</f>
        <v>E13</v>
      </c>
      <c r="D1659" s="791" t="s">
        <v>1350</v>
      </c>
      <c r="E1659" s="52" t="s">
        <v>210</v>
      </c>
      <c r="F1659" s="1290" t="s">
        <v>1957</v>
      </c>
      <c r="G1659" s="1289" t="s">
        <v>1833</v>
      </c>
      <c r="H1659" s="1097" t="s">
        <v>1927</v>
      </c>
      <c r="I1659" s="1288"/>
      <c r="J1659" s="1287"/>
      <c r="K1659" s="1287"/>
      <c r="L1659" s="1287"/>
      <c r="M1659" s="1287"/>
      <c r="N1659" s="1287"/>
      <c r="O1659" s="1311"/>
      <c r="P1659" s="1311"/>
      <c r="Q1659" s="1311"/>
      <c r="R1659" s="1311"/>
      <c r="S1659" s="1311"/>
      <c r="T1659" s="1311"/>
      <c r="U1659" s="1311"/>
      <c r="V1659" s="1311"/>
      <c r="W1659" s="1311"/>
      <c r="X1659" s="1311"/>
      <c r="Y1659" s="1311"/>
      <c r="Z1659" s="1311"/>
    </row>
    <row r="1660" spans="1:26" x14ac:dyDescent="0.25">
      <c r="A1660" s="1314" t="s">
        <v>1097</v>
      </c>
      <c r="B1660" s="52" t="str">
        <f>IFERROR(_xlfn.CONCAT("D",MATCH(A1660,'Variable Costs &amp; Income'!D$1:D$62,0)),"")</f>
        <v>D13</v>
      </c>
      <c r="C1660" s="52" t="str">
        <f>IFERROR(_xlfn.CONCAT("I",MATCH(A1660,'Variable Costs &amp; Income'!D$1:D$62,0)),"")</f>
        <v>I13</v>
      </c>
      <c r="D1660" s="791" t="s">
        <v>1350</v>
      </c>
      <c r="E1660" s="52" t="s">
        <v>210</v>
      </c>
      <c r="F1660" s="1290" t="s">
        <v>1958</v>
      </c>
      <c r="G1660" s="1289" t="s">
        <v>1834</v>
      </c>
      <c r="H1660" s="1097" t="s">
        <v>1927</v>
      </c>
      <c r="I1660" s="1288"/>
      <c r="J1660" s="1287"/>
      <c r="K1660" s="1287"/>
      <c r="L1660" s="1287"/>
      <c r="M1660" s="1287"/>
      <c r="N1660" s="1287"/>
      <c r="O1660" s="1311"/>
      <c r="P1660" s="1311"/>
      <c r="Q1660" s="1311"/>
      <c r="R1660" s="1311"/>
      <c r="S1660" s="1311"/>
      <c r="T1660" s="1311"/>
      <c r="U1660" s="1311"/>
      <c r="V1660" s="1311"/>
      <c r="W1660" s="1311"/>
      <c r="X1660" s="1311"/>
      <c r="Y1660" s="1311"/>
      <c r="Z1660" s="1311"/>
    </row>
    <row r="1661" spans="1:26" x14ac:dyDescent="0.25">
      <c r="A1661" s="1314" t="s">
        <v>1097</v>
      </c>
      <c r="B1661" s="52" t="str">
        <f>IFERROR(_xlfn.CONCAT("D",MATCH(A1661,'Variable Costs &amp; Income'!D$1:D$62,0)),"")</f>
        <v>D13</v>
      </c>
      <c r="C1661" s="52" t="str">
        <f>IFERROR(_xlfn.CONCAT("G",MATCH(A1661,'Variable Costs &amp; Income'!D$1:D$62,0)),"")</f>
        <v>G13</v>
      </c>
      <c r="D1661" s="791" t="s">
        <v>1350</v>
      </c>
      <c r="E1661" s="52" t="s">
        <v>210</v>
      </c>
      <c r="F1661" s="1290" t="s">
        <v>1959</v>
      </c>
      <c r="G1661" s="1287" t="s">
        <v>1961</v>
      </c>
      <c r="H1661" s="1097" t="s">
        <v>1927</v>
      </c>
      <c r="I1661" s="1288"/>
      <c r="J1661" s="1287"/>
      <c r="K1661" s="1287"/>
      <c r="L1661" s="1287"/>
      <c r="M1661" s="1287"/>
      <c r="N1661" s="1287"/>
      <c r="O1661" s="1311"/>
      <c r="P1661" s="1311"/>
      <c r="Q1661" s="1311"/>
      <c r="R1661" s="1311"/>
      <c r="S1661" s="1311"/>
      <c r="T1661" s="1311"/>
      <c r="U1661" s="1311"/>
      <c r="V1661" s="1311"/>
      <c r="W1661" s="1311"/>
      <c r="X1661" s="1311"/>
      <c r="Y1661" s="1311"/>
      <c r="Z1661" s="1311"/>
    </row>
    <row r="1662" spans="1:26" x14ac:dyDescent="0.25">
      <c r="A1662" s="1314" t="s">
        <v>1962</v>
      </c>
      <c r="B1662" s="52" t="str">
        <f>IFERROR(_xlfn.CONCAT("D",MATCH(A1662,'Variable Costs &amp; Income'!D$1:D$62,0)),"")</f>
        <v>D37</v>
      </c>
      <c r="C1662" s="52" t="str">
        <f>IFERROR(_xlfn.CONCAT("E",MATCH(A1662,'Variable Costs &amp; Income'!D$1:D$62,0)),"")</f>
        <v>E37</v>
      </c>
      <c r="D1662" s="791" t="s">
        <v>1350</v>
      </c>
      <c r="E1662" s="52" t="s">
        <v>210</v>
      </c>
      <c r="F1662" s="1290" t="s">
        <v>1968</v>
      </c>
      <c r="G1662" s="1289" t="s">
        <v>1963</v>
      </c>
      <c r="H1662" s="1097" t="s">
        <v>1927</v>
      </c>
      <c r="I1662" s="1288"/>
      <c r="J1662" s="1287"/>
      <c r="K1662" s="1287"/>
      <c r="L1662" s="1287"/>
      <c r="M1662" s="1287"/>
      <c r="N1662" s="1287"/>
      <c r="O1662" s="1311"/>
      <c r="P1662" s="1311"/>
      <c r="Q1662" s="1311"/>
      <c r="R1662" s="1311"/>
      <c r="S1662" s="1311"/>
      <c r="T1662" s="1311"/>
      <c r="U1662" s="1311"/>
      <c r="V1662" s="1311"/>
      <c r="W1662" s="1311"/>
      <c r="X1662" s="1311"/>
      <c r="Y1662" s="1311"/>
      <c r="Z1662" s="1311"/>
    </row>
    <row r="1663" spans="1:26" x14ac:dyDescent="0.25">
      <c r="A1663" s="1314" t="s">
        <v>1261</v>
      </c>
      <c r="B1663" s="52" t="str">
        <f>IFERROR(_xlfn.CONCAT("D",MATCH(A1663,'Variable Costs &amp; Income'!D$1:D$62,0)),"")</f>
        <v>D38</v>
      </c>
      <c r="C1663" s="52" t="str">
        <f>IFERROR(_xlfn.CONCAT("G",MATCH(A1663,'Variable Costs &amp; Income'!D$1:D$62,0)),"")</f>
        <v>G38</v>
      </c>
      <c r="D1663" s="791" t="s">
        <v>1350</v>
      </c>
      <c r="E1663" s="52" t="s">
        <v>210</v>
      </c>
      <c r="F1663" s="1290" t="s">
        <v>1967</v>
      </c>
      <c r="G1663" s="1289" t="s">
        <v>1964</v>
      </c>
      <c r="H1663" s="1097" t="s">
        <v>1927</v>
      </c>
      <c r="I1663" s="1288"/>
      <c r="J1663" s="1287"/>
      <c r="K1663" s="1287"/>
      <c r="L1663" s="1287"/>
      <c r="M1663" s="1287"/>
      <c r="N1663" s="1287"/>
      <c r="O1663" s="1311"/>
      <c r="P1663" s="1311"/>
      <c r="Q1663" s="1311"/>
      <c r="R1663" s="1311"/>
      <c r="S1663" s="1311"/>
      <c r="T1663" s="1311"/>
      <c r="U1663" s="1311"/>
      <c r="V1663" s="1311"/>
      <c r="W1663" s="1311"/>
      <c r="X1663" s="1311"/>
      <c r="Y1663" s="1311"/>
      <c r="Z1663" s="1311"/>
    </row>
    <row r="1664" spans="1:26" x14ac:dyDescent="0.25">
      <c r="A1664" s="1314" t="s">
        <v>1261</v>
      </c>
      <c r="B1664" s="52" t="str">
        <f>IFERROR(_xlfn.CONCAT("D",MATCH(A1664,'Variable Costs &amp; Income'!D$1:D$62,0)),"")</f>
        <v>D38</v>
      </c>
      <c r="C1664" s="52" t="str">
        <f>IFERROR(_xlfn.CONCAT("E",MATCH(A1664,'Variable Costs &amp; Income'!D$1:D$62,0)),"")</f>
        <v>E38</v>
      </c>
      <c r="D1664" s="791" t="s">
        <v>1350</v>
      </c>
      <c r="E1664" s="52" t="s">
        <v>210</v>
      </c>
      <c r="F1664" s="1290" t="s">
        <v>1966</v>
      </c>
      <c r="G1664" s="1287" t="s">
        <v>1965</v>
      </c>
      <c r="H1664" s="1097" t="s">
        <v>1927</v>
      </c>
      <c r="I1664" s="1274"/>
      <c r="J1664" s="1314"/>
      <c r="K1664" s="1314"/>
      <c r="L1664" s="1314"/>
      <c r="M1664" s="1314"/>
      <c r="N1664" s="1314"/>
      <c r="O1664" s="1311"/>
      <c r="P1664" s="1311"/>
      <c r="Q1664" s="1311"/>
      <c r="R1664" s="1311"/>
      <c r="S1664" s="1311"/>
      <c r="T1664" s="1311"/>
      <c r="U1664" s="1311"/>
      <c r="V1664" s="1311"/>
      <c r="W1664" s="1311"/>
      <c r="X1664" s="1311"/>
      <c r="Y1664" s="1311"/>
      <c r="Z1664" s="1311"/>
    </row>
    <row r="1665" spans="1:26" x14ac:dyDescent="0.25">
      <c r="A1665" s="1314" t="s">
        <v>374</v>
      </c>
      <c r="B1665" s="791"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4)</f>
        <v>B4</v>
      </c>
      <c r="C1665" s="791"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5)</f>
        <v>B5</v>
      </c>
      <c r="D1665" s="791" t="s">
        <v>1350</v>
      </c>
      <c r="E1665" s="791" t="s">
        <v>1351</v>
      </c>
      <c r="F1665" s="1314" t="s">
        <v>1982</v>
      </c>
      <c r="G1665" s="1289" t="s">
        <v>1355</v>
      </c>
      <c r="H1665" s="1097" t="s">
        <v>1927</v>
      </c>
      <c r="I1665" s="1274"/>
      <c r="J1665" s="1314"/>
      <c r="K1665" s="1314"/>
      <c r="L1665" s="1314"/>
      <c r="M1665" s="1314"/>
      <c r="N1665" s="1314"/>
      <c r="O1665" s="1311"/>
      <c r="P1665" s="1311"/>
      <c r="Q1665" s="1311"/>
      <c r="R1665" s="1311"/>
      <c r="S1665" s="1311"/>
      <c r="T1665" s="1311"/>
      <c r="U1665" s="1311"/>
      <c r="V1665" s="1311"/>
      <c r="W1665" s="1311"/>
      <c r="X1665" s="1311"/>
      <c r="Y1665" s="1311"/>
      <c r="Z1665" s="1311"/>
    </row>
    <row r="1666" spans="1:26" x14ac:dyDescent="0.25">
      <c r="A1666" s="846" t="s">
        <v>1501</v>
      </c>
      <c r="B1666" s="826" t="str">
        <f ca="1">_xlfn.CONCAT(IFERROR(SUBSTITUTE(ADDRESS(1,MATCH(A1666,INDIRECT("'"&amp;E1666&amp;"'"&amp;"!A" &amp; $O$570+5 &amp; ":Z" &amp; $O$570+5),0),4),1,""),""),$O$570+5)</f>
        <v>N36</v>
      </c>
      <c r="C1666" s="826" t="str">
        <f ca="1">_xlfn.CONCAT(IFERROR(SUBSTITUTE(ADDRESS(1,MATCH(A1666,INDIRECT("'"&amp;E1666&amp;"'"&amp;"!A" &amp; $O$570+5 &amp; ":Z" &amp; $O$570+5),0),4),1,""),""),$O$570+6)</f>
        <v>N37</v>
      </c>
      <c r="D1666" s="826" t="s">
        <v>1350</v>
      </c>
      <c r="E1666" s="826" t="s">
        <v>1516</v>
      </c>
      <c r="F1666" s="841" t="s">
        <v>1985</v>
      </c>
      <c r="G1666" s="1314" t="str">
        <f>IF(S1666&lt;&gt;"","G","")</f>
        <v/>
      </c>
      <c r="H1666" s="1314" t="s">
        <v>1984</v>
      </c>
      <c r="I1666" s="1274"/>
      <c r="J1666" s="1314"/>
      <c r="K1666" s="1314"/>
      <c r="L1666" s="1314"/>
      <c r="M1666" s="1329"/>
      <c r="N1666" s="1314"/>
      <c r="O1666" s="1311"/>
      <c r="P1666" s="1311"/>
      <c r="Q1666" s="1311"/>
      <c r="R1666" s="1314" t="s">
        <v>851</v>
      </c>
      <c r="S1666" s="1314" t="str">
        <f>IF(Q$570="Yes",1,"")</f>
        <v/>
      </c>
      <c r="T1666" s="1311"/>
      <c r="U1666" s="1311"/>
      <c r="V1666" s="1311"/>
      <c r="W1666" s="1311"/>
      <c r="X1666" s="1311"/>
      <c r="Y1666" s="1311"/>
      <c r="Z1666" s="1311"/>
    </row>
    <row r="1667" spans="1:26" x14ac:dyDescent="0.25">
      <c r="A1667" s="846" t="s">
        <v>1502</v>
      </c>
      <c r="B1667" s="826" t="str">
        <f ca="1">_xlfn.CONCAT(IFERROR(SUBSTITUTE(ADDRESS(1,MATCH(A1667,INDIRECT("'"&amp;E1667&amp;"'"&amp;"!A" &amp; $O$570+5 &amp; ":Z" &amp; $O$570+5),0),4),1,""),""),$O$570+5)</f>
        <v>P36</v>
      </c>
      <c r="C1667" s="826" t="str">
        <f ca="1">_xlfn.CONCAT(IFERROR(SUBSTITUTE(ADDRESS(1,MATCH(A1667,INDIRECT("'"&amp;E1667&amp;"'"&amp;"!A" &amp; $O$570+5 &amp; ":Z" &amp; $O$570+5),0),4),1,""),""),$O$570+6)</f>
        <v>P37</v>
      </c>
      <c r="D1667" s="826" t="s">
        <v>1350</v>
      </c>
      <c r="E1667" s="826" t="s">
        <v>1516</v>
      </c>
      <c r="F1667" s="841" t="s">
        <v>1986</v>
      </c>
      <c r="G1667" s="1314" t="str">
        <f>IF(S1667&lt;&gt;"","E","")</f>
        <v/>
      </c>
      <c r="H1667" s="1314" t="s">
        <v>1984</v>
      </c>
      <c r="I1667" s="1274"/>
      <c r="J1667" s="1314"/>
      <c r="K1667" s="1314"/>
      <c r="L1667" s="1314"/>
      <c r="M1667" s="1329"/>
      <c r="N1667" s="1314"/>
      <c r="O1667" s="1311"/>
      <c r="P1667" s="1311"/>
      <c r="Q1667" s="1311"/>
      <c r="R1667" s="1314" t="s">
        <v>851</v>
      </c>
      <c r="S1667" s="1314" t="str">
        <f>IF(Q$570="Yes",1,"")</f>
        <v/>
      </c>
      <c r="T1667" s="1311"/>
      <c r="U1667" s="1311"/>
      <c r="V1667" s="1311"/>
      <c r="W1667" s="1311"/>
      <c r="X1667" s="1311"/>
      <c r="Y1667" s="1311"/>
      <c r="Z1667" s="1311"/>
    </row>
    <row r="1668" spans="1:26" x14ac:dyDescent="0.25">
      <c r="A1668" s="849" t="s">
        <v>1501</v>
      </c>
      <c r="B1668" s="826" t="str">
        <f ca="1">_xlfn.CONCAT(IFERROR(SUBSTITUTE(ADDRESS(1,MATCH(A1668,INDIRECT("'"&amp;E1668&amp;"'"&amp;"!A" &amp; $O$589+5 &amp; ":Z" &amp; $O$589+5),0),4),1,""),""),$O$589+5)</f>
        <v>N50</v>
      </c>
      <c r="C1668" s="826" t="str">
        <f ca="1">_xlfn.CONCAT(IFERROR(SUBSTITUTE(ADDRESS(1,MATCH(A1668,INDIRECT("'"&amp;E1668&amp;"'"&amp;"!A" &amp; $O$589+5 &amp; ":Z" &amp; $O$589+5),0),4),1,""),""),$O$589+6)</f>
        <v>N51</v>
      </c>
      <c r="D1668" s="826" t="s">
        <v>1350</v>
      </c>
      <c r="E1668" s="826" t="s">
        <v>1516</v>
      </c>
      <c r="F1668" s="841" t="s">
        <v>1985</v>
      </c>
      <c r="G1668" s="1314" t="str">
        <f>IF(S1668&lt;&gt;"","G","")</f>
        <v/>
      </c>
      <c r="H1668" s="1314" t="s">
        <v>1984</v>
      </c>
      <c r="I1668" s="1274"/>
      <c r="J1668" s="1314"/>
      <c r="K1668" s="1314"/>
      <c r="L1668" s="1314"/>
      <c r="M1668" s="1329"/>
      <c r="N1668" s="1314"/>
      <c r="O1668" s="1311"/>
      <c r="P1668" s="1311"/>
      <c r="Q1668" s="1311"/>
      <c r="R1668" s="1314" t="s">
        <v>851</v>
      </c>
      <c r="S1668" s="1314" t="str">
        <f>IF(Q$589="Yes",2,"")</f>
        <v/>
      </c>
      <c r="T1668" s="1311"/>
      <c r="U1668" s="1311"/>
      <c r="V1668" s="1311"/>
      <c r="W1668" s="1311"/>
      <c r="X1668" s="1311"/>
      <c r="Y1668" s="1311"/>
      <c r="Z1668" s="1311"/>
    </row>
    <row r="1669" spans="1:26" x14ac:dyDescent="0.25">
      <c r="A1669" s="849" t="s">
        <v>1502</v>
      </c>
      <c r="B1669" s="826" t="str">
        <f ca="1">_xlfn.CONCAT(IFERROR(SUBSTITUTE(ADDRESS(1,MATCH(A1669,INDIRECT("'"&amp;E1669&amp;"'"&amp;"!A" &amp; $O$589+5 &amp; ":Z" &amp; $O$589+5),0),4),1,""),""),$O$589+5)</f>
        <v>P50</v>
      </c>
      <c r="C1669" s="826" t="str">
        <f ca="1">_xlfn.CONCAT(IFERROR(SUBSTITUTE(ADDRESS(1,MATCH(A1669,INDIRECT("'"&amp;E1669&amp;"'"&amp;"!A" &amp; $O$589+5 &amp; ":Z" &amp; $O$589+5),0),4),1,""),""),$O$589+6)</f>
        <v>P51</v>
      </c>
      <c r="D1669" s="826" t="s">
        <v>1350</v>
      </c>
      <c r="E1669" s="826" t="s">
        <v>1516</v>
      </c>
      <c r="F1669" s="841" t="s">
        <v>1986</v>
      </c>
      <c r="G1669" s="1314" t="str">
        <f>IF(S1669&lt;&gt;"","E","")</f>
        <v/>
      </c>
      <c r="H1669" s="1314" t="s">
        <v>1984</v>
      </c>
      <c r="I1669" s="1274"/>
      <c r="J1669" s="1314"/>
      <c r="K1669" s="1314"/>
      <c r="L1669" s="1314"/>
      <c r="M1669" s="1329"/>
      <c r="N1669" s="1314"/>
      <c r="O1669" s="1311"/>
      <c r="P1669" s="1311"/>
      <c r="Q1669" s="1311"/>
      <c r="R1669" s="1314" t="s">
        <v>851</v>
      </c>
      <c r="S1669" s="1314" t="str">
        <f>IF(Q$589="Yes",2,"")</f>
        <v/>
      </c>
      <c r="T1669" s="1311"/>
      <c r="U1669" s="1311"/>
      <c r="V1669" s="1311"/>
      <c r="W1669" s="1311"/>
      <c r="X1669" s="1311"/>
      <c r="Y1669" s="1311"/>
      <c r="Z1669" s="1311"/>
    </row>
    <row r="1670" spans="1:26" x14ac:dyDescent="0.25">
      <c r="A1670" s="847" t="s">
        <v>1501</v>
      </c>
      <c r="B1670" s="826" t="str">
        <f ca="1">_xlfn.IFNA(_xlfn.CONCAT(SUBSTITUTE(ADDRESS(1,MATCH(A1670,INDIRECT("'"&amp;E1670&amp;"'"&amp;"!A" &amp; $O$608+5 &amp; ":Z" &amp; $O$608+5),0),4),1,""),$O$608+6),"")</f>
        <v>N65</v>
      </c>
      <c r="C1670" s="826" t="str">
        <f ca="1">_xlfn.IFNA(SUBSTITUTE(ADDRESS(1,MATCH(A1670,INDIRECT("'"&amp;E1670&amp;"'"&amp;"!A" &amp; O$608+5 &amp; ":Z" &amp; O$608+5),0),4),1,""),"")</f>
        <v>N</v>
      </c>
      <c r="D1670" s="826" t="s">
        <v>1357</v>
      </c>
      <c r="E1670" s="826" t="s">
        <v>1516</v>
      </c>
      <c r="F1670" s="841" t="s">
        <v>1985</v>
      </c>
      <c r="G1670" s="1314" t="str">
        <f>IF(S1670&lt;&gt;"","G","")</f>
        <v/>
      </c>
      <c r="H1670" s="1314" t="s">
        <v>1984</v>
      </c>
      <c r="I1670" s="1274"/>
      <c r="J1670" s="1314"/>
      <c r="K1670" s="1314"/>
      <c r="L1670" s="1314"/>
      <c r="M1670" s="1329"/>
      <c r="N1670" s="1314"/>
      <c r="O1670" s="1311"/>
      <c r="P1670" s="1311"/>
      <c r="Q1670" s="1311"/>
      <c r="R1670" s="1314" t="s">
        <v>851</v>
      </c>
      <c r="S1670" s="1314" t="str">
        <f>IF(Q$608="Yes",3,"")</f>
        <v/>
      </c>
      <c r="T1670" s="1311"/>
      <c r="U1670" s="1311"/>
      <c r="V1670" s="1311"/>
      <c r="W1670" s="1311"/>
      <c r="X1670" s="1311"/>
      <c r="Y1670" s="1311"/>
      <c r="Z1670" s="1311"/>
    </row>
    <row r="1671" spans="1:26" x14ac:dyDescent="0.25">
      <c r="A1671" s="847" t="s">
        <v>1502</v>
      </c>
      <c r="B1671" s="826" t="str">
        <f ca="1">_xlfn.IFNA(_xlfn.CONCAT(SUBSTITUTE(ADDRESS(1,MATCH(A1671,INDIRECT("'"&amp;E1671&amp;"'"&amp;"!A" &amp; $O$608+5 &amp; ":Z" &amp; $O$608+5),0),4),1,""),$O$608+6),"")</f>
        <v>P65</v>
      </c>
      <c r="C1671" s="826" t="str">
        <f t="shared" ref="C1671" ca="1" si="249">_xlfn.IFNA(SUBSTITUTE(ADDRESS(1,MATCH(A1671,INDIRECT("'"&amp;E1671&amp;"'"&amp;"!A" &amp; O$608+5 &amp; ":Z" &amp; O$608+5),0),4),1,""),"")</f>
        <v>P</v>
      </c>
      <c r="D1671" s="826" t="s">
        <v>1357</v>
      </c>
      <c r="E1671" s="826" t="s">
        <v>1516</v>
      </c>
      <c r="F1671" s="841" t="s">
        <v>1986</v>
      </c>
      <c r="G1671" s="1314" t="str">
        <f>IF(S1671&lt;&gt;"","E","")</f>
        <v/>
      </c>
      <c r="H1671" s="1314" t="s">
        <v>1984</v>
      </c>
      <c r="I1671" s="1274"/>
      <c r="J1671" s="1314"/>
      <c r="K1671" s="1314"/>
      <c r="L1671" s="1314"/>
      <c r="M1671" s="1329"/>
      <c r="N1671" s="1314"/>
      <c r="O1671" s="1311"/>
      <c r="P1671" s="1311"/>
      <c r="Q1671" s="1311"/>
      <c r="R1671" s="1314" t="s">
        <v>851</v>
      </c>
      <c r="S1671" s="1314" t="str">
        <f>IF(Q$608="Yes",3,"")</f>
        <v/>
      </c>
      <c r="T1671" s="1311"/>
      <c r="U1671" s="1311"/>
      <c r="V1671" s="1311"/>
      <c r="W1671" s="1311"/>
      <c r="X1671" s="1311"/>
      <c r="Y1671" s="1311"/>
      <c r="Z1671" s="1311"/>
    </row>
    <row r="1672" spans="1:26" x14ac:dyDescent="0.25">
      <c r="A1672" s="850" t="s">
        <v>1501</v>
      </c>
      <c r="B1672" s="826" t="str">
        <f ca="1">_xlfn.IFNA(_xlfn.CONCAT(SUBSTITUTE(ADDRESS(1,MATCH(A1672,INDIRECT("'"&amp;E1672&amp;"'"&amp;"!A" &amp; $O$639 + 5 &amp; ":Z" &amp; $O$639 + 5),0),4),1,""), $O$639 + 6),"")</f>
        <v>N81</v>
      </c>
      <c r="C1672" s="826" t="str">
        <f t="shared" ref="C1672:C1673" ca="1" si="250">_xlfn.IFNA(SUBSTITUTE(ADDRESS(1,MATCH(A1672,INDIRECT("'"&amp;E1672&amp;"'"&amp;"!A" &amp; $O$639 + 5 &amp; ":Z" &amp; $O$639 + 5),0),4),1,""),"")</f>
        <v>N</v>
      </c>
      <c r="D1672" s="826" t="s">
        <v>1357</v>
      </c>
      <c r="E1672" s="826" t="s">
        <v>1516</v>
      </c>
      <c r="F1672" s="841" t="s">
        <v>1985</v>
      </c>
      <c r="G1672" s="1314" t="str">
        <f>IF(S1672&lt;&gt;"","G","")</f>
        <v/>
      </c>
      <c r="H1672" s="1314" t="s">
        <v>1984</v>
      </c>
      <c r="I1672" s="1274"/>
      <c r="J1672" s="1314"/>
      <c r="K1672" s="1314"/>
      <c r="L1672" s="1314"/>
      <c r="M1672" s="1329"/>
      <c r="N1672" s="1314"/>
      <c r="O1672" s="1311"/>
      <c r="P1672" s="1311"/>
      <c r="Q1672" s="1311"/>
      <c r="R1672" s="577" t="s">
        <v>851</v>
      </c>
      <c r="S1672" s="1314" t="str">
        <f>IF(Q$639="Yes",4,"")</f>
        <v/>
      </c>
      <c r="T1672" s="1311"/>
      <c r="U1672" s="1311"/>
      <c r="V1672" s="1311"/>
      <c r="W1672" s="1311"/>
      <c r="X1672" s="1311"/>
      <c r="Y1672" s="1311"/>
      <c r="Z1672" s="1311"/>
    </row>
    <row r="1673" spans="1:26" x14ac:dyDescent="0.25">
      <c r="A1673" s="850" t="s">
        <v>1502</v>
      </c>
      <c r="B1673" s="826" t="str">
        <f ca="1">_xlfn.IFNA(_xlfn.CONCAT(SUBSTITUTE(ADDRESS(1,MATCH(A1673,INDIRECT("'"&amp;E1673&amp;"'"&amp;"!A" &amp; $O$639 + 5 &amp; ":Z" &amp; $O$639 + 5),0),4),1,""), $O$639 + 6),"")</f>
        <v>P81</v>
      </c>
      <c r="C1673" s="826" t="str">
        <f t="shared" ca="1" si="250"/>
        <v>P</v>
      </c>
      <c r="D1673" s="826" t="s">
        <v>1357</v>
      </c>
      <c r="E1673" s="826" t="s">
        <v>1516</v>
      </c>
      <c r="F1673" s="841" t="s">
        <v>1986</v>
      </c>
      <c r="G1673" s="1314" t="str">
        <f>IF(S1673&lt;&gt;"","E","")</f>
        <v/>
      </c>
      <c r="H1673" s="1314" t="s">
        <v>1984</v>
      </c>
      <c r="I1673" s="1274"/>
      <c r="J1673" s="1314"/>
      <c r="K1673" s="1314"/>
      <c r="L1673" s="1314"/>
      <c r="M1673" s="1329"/>
      <c r="N1673" s="1314"/>
      <c r="O1673" s="1311"/>
      <c r="P1673" s="1311"/>
      <c r="Q1673" s="1311"/>
      <c r="R1673" s="577" t="s">
        <v>851</v>
      </c>
      <c r="S1673" s="1314" t="str">
        <f>IF(Q$639="Yes",4,"")</f>
        <v/>
      </c>
      <c r="T1673" s="1311"/>
      <c r="U1673" s="1311"/>
      <c r="V1673" s="1311"/>
      <c r="W1673" s="1311"/>
      <c r="X1673" s="1311"/>
      <c r="Y1673" s="1311"/>
      <c r="Z1673" s="1311"/>
    </row>
    <row r="1674" spans="1:26" x14ac:dyDescent="0.25">
      <c r="A1674" s="847" t="s">
        <v>1501</v>
      </c>
      <c r="B1674" s="826" t="str">
        <f ca="1">_xlfn.CONCAT(IFERROR(SUBSTITUTE(ADDRESS(1,MATCH(A1674,INDIRECT("'"&amp;E1674&amp;"'"&amp;"!A" &amp; $O$670 + 5 &amp; ":Z" &amp; $O$670 + 5),0),4),1,""),""),$O$670 + 5)</f>
        <v>N96</v>
      </c>
      <c r="C1674" s="826" t="str">
        <f ca="1">_xlfn.CONCAT(IFERROR(SUBSTITUTE(ADDRESS(1,MATCH(A1674,INDIRECT("'"&amp;E1674&amp;"'"&amp;"!A" &amp; $O$670 + 5 &amp; ":Z" &amp; $O$670 + 5),0),4),1,""),""),$O$670 + 6)</f>
        <v>N97</v>
      </c>
      <c r="D1674" s="826" t="s">
        <v>1350</v>
      </c>
      <c r="E1674" s="826" t="s">
        <v>1516</v>
      </c>
      <c r="F1674" s="841" t="s">
        <v>1985</v>
      </c>
      <c r="G1674" s="1314" t="str">
        <f>IF(S1674&lt;&gt;"","G","")</f>
        <v/>
      </c>
      <c r="H1674" s="1314" t="s">
        <v>1984</v>
      </c>
      <c r="I1674" s="1274"/>
      <c r="J1674" s="1314"/>
      <c r="K1674" s="1314"/>
      <c r="L1674" s="1314"/>
      <c r="M1674" s="1329"/>
      <c r="N1674" s="1314"/>
      <c r="O1674" s="1311"/>
      <c r="P1674" s="1311"/>
      <c r="Q1674" s="1311"/>
      <c r="R1674" s="1314" t="s">
        <v>1525</v>
      </c>
      <c r="S1674" s="1314" t="str">
        <f>IF(Q$670="Yes",5,"")</f>
        <v/>
      </c>
      <c r="T1674" s="1311"/>
      <c r="U1674" s="1311"/>
      <c r="V1674" s="1311"/>
      <c r="W1674" s="1311"/>
      <c r="X1674" s="1311"/>
      <c r="Y1674" s="1311"/>
      <c r="Z1674" s="1311"/>
    </row>
    <row r="1675" spans="1:26" x14ac:dyDescent="0.25">
      <c r="A1675" s="847" t="s">
        <v>1502</v>
      </c>
      <c r="B1675" s="826" t="str">
        <f ca="1">_xlfn.CONCAT(IFERROR(SUBSTITUTE(ADDRESS(1,MATCH(A1675,INDIRECT("'"&amp;E1675&amp;"'"&amp;"!A" &amp; $O$670 + 5 &amp; ":Z" &amp; $O$670 + 5),0),4),1,""),""),$O$670 + 5)</f>
        <v>P96</v>
      </c>
      <c r="C1675" s="826" t="str">
        <f ca="1">_xlfn.CONCAT(IFERROR(SUBSTITUTE(ADDRESS(1,MATCH(A1675,INDIRECT("'"&amp;E1675&amp;"'"&amp;"!A" &amp; $O$670 + 5 &amp; ":Z" &amp; $O$670 + 5),0),4),1,""),""),$O$670 + 6)</f>
        <v>P97</v>
      </c>
      <c r="D1675" s="826" t="s">
        <v>1350</v>
      </c>
      <c r="E1675" s="826" t="s">
        <v>1516</v>
      </c>
      <c r="F1675" s="841" t="s">
        <v>1986</v>
      </c>
      <c r="G1675" s="1314" t="str">
        <f>IF(S1675&lt;&gt;"","E","")</f>
        <v/>
      </c>
      <c r="H1675" s="1314" t="s">
        <v>1984</v>
      </c>
      <c r="I1675" s="1274"/>
      <c r="J1675" s="1314"/>
      <c r="K1675" s="1314"/>
      <c r="L1675" s="1314"/>
      <c r="M1675" s="1329"/>
      <c r="N1675" s="1314"/>
      <c r="O1675" s="1311"/>
      <c r="P1675" s="1311"/>
      <c r="Q1675" s="1311"/>
      <c r="R1675" s="1314" t="s">
        <v>1525</v>
      </c>
      <c r="S1675" s="1314" t="str">
        <f>IF(Q$670="Yes",5,"")</f>
        <v/>
      </c>
      <c r="T1675" s="1311"/>
      <c r="U1675" s="1311"/>
      <c r="V1675" s="1311"/>
      <c r="W1675" s="1311"/>
      <c r="X1675" s="1311"/>
      <c r="Y1675" s="1311"/>
      <c r="Z1675" s="1311"/>
    </row>
    <row r="1676" spans="1:26" x14ac:dyDescent="0.25">
      <c r="A1676" s="850" t="s">
        <v>1501</v>
      </c>
      <c r="B1676" s="826" t="str">
        <f ca="1">_xlfn.CONCAT(IFERROR(SUBSTITUTE(ADDRESS(1,MATCH(A1676,INDIRECT("'"&amp;E1676&amp;"'"&amp;"!A" &amp; $O$688 + 5 &amp; ":Z" &amp; $O$688 + 5),0),4),1,""),""),$O$688 + 5)</f>
        <v>N110</v>
      </c>
      <c r="C1676" s="826" t="str">
        <f ca="1">_xlfn.CONCAT(IFERROR(SUBSTITUTE(ADDRESS(1,MATCH(A1676,INDIRECT("'"&amp;E1676&amp;"'"&amp;"!A" &amp; $O$688 + 5 &amp; ":Z" &amp; $O$688 + 5),0),4),1,""),""),$O$688 + 6)</f>
        <v>N111</v>
      </c>
      <c r="D1676" s="826" t="s">
        <v>1350</v>
      </c>
      <c r="E1676" s="826" t="s">
        <v>1516</v>
      </c>
      <c r="F1676" s="841" t="s">
        <v>1985</v>
      </c>
      <c r="G1676" s="1314" t="str">
        <f>IF(S1676&lt;&gt;"","G","")</f>
        <v/>
      </c>
      <c r="H1676" s="1314" t="s">
        <v>1984</v>
      </c>
      <c r="I1676" s="1274"/>
      <c r="J1676" s="1314"/>
      <c r="K1676" s="1314"/>
      <c r="L1676" s="1314"/>
      <c r="M1676" s="1329"/>
      <c r="N1676" s="1314"/>
      <c r="O1676" s="1311"/>
      <c r="P1676" s="1311"/>
      <c r="Q1676" s="1311"/>
      <c r="R1676" s="1314" t="s">
        <v>1525</v>
      </c>
      <c r="S1676" s="1314" t="str">
        <f>IF(Q$688="Yes",6,"")</f>
        <v/>
      </c>
      <c r="T1676" s="1311"/>
      <c r="U1676" s="1311"/>
      <c r="V1676" s="1311"/>
      <c r="W1676" s="1311"/>
      <c r="X1676" s="1311"/>
      <c r="Y1676" s="1311"/>
      <c r="Z1676" s="1311"/>
    </row>
    <row r="1677" spans="1:26" x14ac:dyDescent="0.25">
      <c r="A1677" s="850" t="s">
        <v>1502</v>
      </c>
      <c r="B1677" s="826" t="str">
        <f ca="1">_xlfn.CONCAT(IFERROR(SUBSTITUTE(ADDRESS(1,MATCH(A1677,INDIRECT("'"&amp;E1677&amp;"'"&amp;"!A" &amp; $O$688 + 5 &amp; ":Z" &amp; $O$688 + 5),0),4),1,""),""),$O$688 + 5)</f>
        <v>P110</v>
      </c>
      <c r="C1677" s="826" t="str">
        <f ca="1">_xlfn.CONCAT(IFERROR(SUBSTITUTE(ADDRESS(1,MATCH(A1677,INDIRECT("'"&amp;E1677&amp;"'"&amp;"!A" &amp; $O$688 + 5 &amp; ":Z" &amp; $O$688 + 5),0),4),1,""),""),$O$688 + 6)</f>
        <v>P111</v>
      </c>
      <c r="D1677" s="826" t="s">
        <v>1350</v>
      </c>
      <c r="E1677" s="826" t="s">
        <v>1516</v>
      </c>
      <c r="F1677" s="841" t="s">
        <v>1986</v>
      </c>
      <c r="G1677" s="1314" t="str">
        <f>IF(S1677&lt;&gt;"","E","")</f>
        <v/>
      </c>
      <c r="H1677" s="1314" t="s">
        <v>1984</v>
      </c>
      <c r="I1677" s="1274"/>
      <c r="J1677" s="1314"/>
      <c r="K1677" s="1314"/>
      <c r="L1677" s="1314"/>
      <c r="M1677" s="1329"/>
      <c r="N1677" s="1314"/>
      <c r="O1677" s="1311"/>
      <c r="P1677" s="1311"/>
      <c r="Q1677" s="1311"/>
      <c r="R1677" s="1314" t="s">
        <v>1525</v>
      </c>
      <c r="S1677" s="1314" t="str">
        <f>IF(Q$688="Yes",6,"")</f>
        <v/>
      </c>
      <c r="T1677" s="1311"/>
      <c r="U1677" s="1311"/>
      <c r="V1677" s="1311"/>
      <c r="W1677" s="1311"/>
      <c r="X1677" s="1311"/>
      <c r="Y1677" s="1311"/>
      <c r="Z1677" s="1311"/>
    </row>
    <row r="1678" spans="1:26" x14ac:dyDescent="0.25">
      <c r="A1678" s="847" t="s">
        <v>1501</v>
      </c>
      <c r="B1678" s="826" t="str">
        <f ca="1">_xlfn.IFNA(_xlfn.CONCAT(SUBSTITUTE(ADDRESS(1,MATCH(A1678,INDIRECT("'"&amp;E1678&amp;"'"&amp;"!A" &amp; $O$706 + 5 &amp; ":Z" &amp; $O$706+ 5),0),4),1,""),$O$706 + 6),"")</f>
        <v>N125</v>
      </c>
      <c r="C1678" s="826" t="str">
        <f t="shared" ref="C1678:C1679" ca="1" si="251">_xlfn.IFNA(SUBSTITUTE(ADDRESS(1,MATCH(A1678,INDIRECT("'"&amp;E1678&amp;"'"&amp;"!A" &amp; $O$706 + 5 &amp; ":Z" &amp; $O$706+ 5),0),4),1,""),"")</f>
        <v>N</v>
      </c>
      <c r="D1678" s="826" t="s">
        <v>1357</v>
      </c>
      <c r="E1678" s="826" t="s">
        <v>1516</v>
      </c>
      <c r="F1678" s="841" t="s">
        <v>1985</v>
      </c>
      <c r="G1678" s="1314" t="str">
        <f>IF(S1678&lt;&gt;"","G","")</f>
        <v/>
      </c>
      <c r="H1678" s="1314" t="s">
        <v>1984</v>
      </c>
      <c r="I1678" s="1274"/>
      <c r="J1678" s="1314"/>
      <c r="K1678" s="1314"/>
      <c r="L1678" s="1314"/>
      <c r="M1678" s="1329"/>
      <c r="N1678" s="1314"/>
      <c r="O1678" s="1311"/>
      <c r="P1678" s="1311"/>
      <c r="Q1678" s="1311"/>
      <c r="R1678" s="1314" t="s">
        <v>1525</v>
      </c>
      <c r="S1678" s="1314" t="str">
        <f>IF(Q$706="Yes",7,"")</f>
        <v/>
      </c>
      <c r="T1678" s="1311"/>
      <c r="U1678" s="1311"/>
      <c r="V1678" s="1311"/>
      <c r="W1678" s="1311"/>
      <c r="X1678" s="1311"/>
      <c r="Y1678" s="1311"/>
      <c r="Z1678" s="1311"/>
    </row>
    <row r="1679" spans="1:26" x14ac:dyDescent="0.25">
      <c r="A1679" s="847" t="s">
        <v>1502</v>
      </c>
      <c r="B1679" s="826" t="str">
        <f ca="1">_xlfn.IFNA(_xlfn.CONCAT(SUBSTITUTE(ADDRESS(1,MATCH(A1679,INDIRECT("'"&amp;E1679&amp;"'"&amp;"!A" &amp; $O$706 + 5 &amp; ":Z" &amp; $O$706+ 5),0),4),1,""),$O$706 + 6),"")</f>
        <v>P125</v>
      </c>
      <c r="C1679" s="826" t="str">
        <f t="shared" ca="1" si="251"/>
        <v>P</v>
      </c>
      <c r="D1679" s="826" t="s">
        <v>1357</v>
      </c>
      <c r="E1679" s="826" t="s">
        <v>1516</v>
      </c>
      <c r="F1679" s="841" t="s">
        <v>1986</v>
      </c>
      <c r="G1679" s="1314" t="str">
        <f>IF(S1679&lt;&gt;"","E","")</f>
        <v/>
      </c>
      <c r="H1679" s="1314" t="s">
        <v>1984</v>
      </c>
      <c r="I1679" s="1274"/>
      <c r="J1679" s="1314"/>
      <c r="K1679" s="1314"/>
      <c r="L1679" s="1314"/>
      <c r="M1679" s="1329"/>
      <c r="N1679" s="1314"/>
      <c r="O1679" s="1311"/>
      <c r="P1679" s="1311"/>
      <c r="Q1679" s="1311"/>
      <c r="R1679" s="1314" t="s">
        <v>1525</v>
      </c>
      <c r="S1679" s="1314" t="str">
        <f>IF(Q$706="Yes",7,"")</f>
        <v/>
      </c>
      <c r="T1679" s="1311"/>
      <c r="U1679" s="1311"/>
      <c r="V1679" s="1311"/>
      <c r="W1679" s="1311"/>
      <c r="X1679" s="1311"/>
      <c r="Y1679" s="1311"/>
      <c r="Z1679" s="1311"/>
    </row>
    <row r="1680" spans="1:26" x14ac:dyDescent="0.25">
      <c r="A1680" s="850" t="s">
        <v>1501</v>
      </c>
      <c r="B1680" s="826" t="str">
        <f ca="1">_xlfn.IFNA(_xlfn.CONCAT(SUBSTITUTE(ADDRESS(1,MATCH(A1680,INDIRECT("'"&amp;E1680&amp;"'"&amp;"!A" &amp; $O$736 + 5 &amp; ":Z" &amp; $O$736+ 5),0),4),1,""),$O$736 + 6),"")</f>
        <v>N141</v>
      </c>
      <c r="C1680" s="826" t="str">
        <f t="shared" ref="C1680:C1681" ca="1" si="252">_xlfn.IFNA(SUBSTITUTE(ADDRESS(1,MATCH(A1680,INDIRECT("'"&amp;E1680&amp;"'"&amp;"!A" &amp; $O$736 + 5 &amp; ":Z" &amp; $O$736+ 5),0),4),1,""),"")</f>
        <v>N</v>
      </c>
      <c r="D1680" s="826" t="s">
        <v>1357</v>
      </c>
      <c r="E1680" s="826" t="s">
        <v>1516</v>
      </c>
      <c r="F1680" s="841" t="s">
        <v>1985</v>
      </c>
      <c r="G1680" s="1314" t="str">
        <f>IF(S1680&lt;&gt;"","G","")</f>
        <v/>
      </c>
      <c r="H1680" s="1314" t="s">
        <v>1984</v>
      </c>
      <c r="I1680" s="1274"/>
      <c r="J1680" s="1314"/>
      <c r="K1680" s="1314"/>
      <c r="L1680" s="1314"/>
      <c r="M1680" s="1329"/>
      <c r="N1680" s="1314"/>
      <c r="O1680" s="1311"/>
      <c r="P1680" s="1311"/>
      <c r="Q1680" s="1311"/>
      <c r="R1680" s="1314" t="s">
        <v>1525</v>
      </c>
      <c r="S1680" s="1314" t="str">
        <f>IF(Q$736="Yes",8,"")</f>
        <v/>
      </c>
      <c r="T1680" s="1311"/>
      <c r="U1680" s="1311"/>
      <c r="V1680" s="1311"/>
      <c r="W1680" s="1311"/>
      <c r="X1680" s="1311"/>
      <c r="Y1680" s="1311"/>
      <c r="Z1680" s="1311"/>
    </row>
    <row r="1681" spans="1:26" x14ac:dyDescent="0.25">
      <c r="A1681" s="850" t="s">
        <v>1502</v>
      </c>
      <c r="B1681" s="826" t="str">
        <f ca="1">_xlfn.IFNA(_xlfn.CONCAT(SUBSTITUTE(ADDRESS(1,MATCH(A1681,INDIRECT("'"&amp;E1681&amp;"'"&amp;"!A" &amp; $O$736 + 5 &amp; ":Z" &amp; $O$736+ 5),0),4),1,""),$O$736 + 6),"")</f>
        <v>P141</v>
      </c>
      <c r="C1681" s="826" t="str">
        <f t="shared" ca="1" si="252"/>
        <v>P</v>
      </c>
      <c r="D1681" s="826" t="s">
        <v>1357</v>
      </c>
      <c r="E1681" s="826" t="s">
        <v>1516</v>
      </c>
      <c r="F1681" s="841" t="s">
        <v>1986</v>
      </c>
      <c r="G1681" s="1314" t="str">
        <f>IF(S1681&lt;&gt;"","E","")</f>
        <v/>
      </c>
      <c r="H1681" s="1314" t="s">
        <v>1984</v>
      </c>
      <c r="I1681" s="1274"/>
      <c r="J1681" s="1314"/>
      <c r="K1681" s="1314"/>
      <c r="L1681" s="1314"/>
      <c r="M1681" s="1329"/>
      <c r="N1681" s="1314"/>
      <c r="O1681" s="1311"/>
      <c r="P1681" s="1311"/>
      <c r="Q1681" s="1311"/>
      <c r="R1681" s="1314" t="s">
        <v>1525</v>
      </c>
      <c r="S1681" s="1314" t="str">
        <f>IF(Q$736="Yes",8,"")</f>
        <v/>
      </c>
      <c r="T1681" s="1311"/>
      <c r="U1681" s="1311"/>
      <c r="V1681" s="1311"/>
      <c r="W1681" s="1311"/>
      <c r="X1681" s="1311"/>
      <c r="Y1681" s="1311"/>
      <c r="Z1681" s="1311"/>
    </row>
    <row r="1682" spans="1:26" x14ac:dyDescent="0.25">
      <c r="A1682" s="847" t="s">
        <v>1501</v>
      </c>
      <c r="B1682" s="826" t="str">
        <f ca="1">_xlfn.CONCAT(IFERROR(SUBSTITUTE(ADDRESS(1,MATCH(A1682,INDIRECT("'"&amp;E1682&amp;"'"&amp;"!A" &amp; $O$796 + 5 &amp; ":Z" &amp; $O$796+ 5),0),4),1,""),""),$O$796 + 5)</f>
        <v>N184</v>
      </c>
      <c r="C1682" s="826" t="str">
        <f ca="1">_xlfn.CONCAT(IFERROR(SUBSTITUTE(ADDRESS(1,MATCH(A1682,INDIRECT("'"&amp;E1682&amp;"'"&amp;"!A" &amp; $O$796 + 5 &amp; ":Z" &amp; $O$796+ 5),0),4),1,""),""),$O$796 + 6)</f>
        <v>N185</v>
      </c>
      <c r="D1682" s="826" t="s">
        <v>1350</v>
      </c>
      <c r="E1682" s="826" t="s">
        <v>1516</v>
      </c>
      <c r="F1682" s="841" t="s">
        <v>1985</v>
      </c>
      <c r="G1682" s="1314" t="str">
        <f>IF(S1682&lt;&gt;"","G","")</f>
        <v/>
      </c>
      <c r="H1682" s="1314" t="s">
        <v>1984</v>
      </c>
      <c r="I1682" s="1274"/>
      <c r="J1682" s="1314"/>
      <c r="K1682" s="1314"/>
      <c r="L1682" s="1314"/>
      <c r="M1682" s="1329"/>
      <c r="N1682" s="1314"/>
      <c r="O1682" s="1311"/>
      <c r="P1682" s="1311"/>
      <c r="Q1682" s="1311"/>
      <c r="R1682" s="1314" t="s">
        <v>1531</v>
      </c>
      <c r="S1682" s="1314" t="str">
        <f>IF(Q$796="Yes",9,"")</f>
        <v/>
      </c>
      <c r="T1682" s="1311"/>
      <c r="U1682" s="1311"/>
      <c r="V1682" s="1311"/>
      <c r="W1682" s="1311"/>
      <c r="X1682" s="1311"/>
      <c r="Y1682" s="1311"/>
      <c r="Z1682" s="1311"/>
    </row>
    <row r="1683" spans="1:26" x14ac:dyDescent="0.25">
      <c r="A1683" s="847" t="s">
        <v>1502</v>
      </c>
      <c r="B1683" s="826" t="str">
        <f ca="1">_xlfn.CONCAT(IFERROR(SUBSTITUTE(ADDRESS(1,MATCH(A1683,INDIRECT("'"&amp;E1683&amp;"'"&amp;"!A" &amp; $O$796 + 5 &amp; ":Z" &amp; $O$796+ 5),0),4),1,""),""),$O$796 + 5)</f>
        <v>P184</v>
      </c>
      <c r="C1683" s="826" t="str">
        <f ca="1">_xlfn.CONCAT(IFERROR(SUBSTITUTE(ADDRESS(1,MATCH(A1683,INDIRECT("'"&amp;E1683&amp;"'"&amp;"!A" &amp; $O$796 + 5 &amp; ":Z" &amp; $O$796+ 5),0),4),1,""),""),$O$796 + 6)</f>
        <v>P185</v>
      </c>
      <c r="D1683" s="826" t="s">
        <v>1350</v>
      </c>
      <c r="E1683" s="826" t="s">
        <v>1516</v>
      </c>
      <c r="F1683" s="841" t="s">
        <v>1986</v>
      </c>
      <c r="G1683" s="1314" t="str">
        <f>IF(S1683&lt;&gt;"","E","")</f>
        <v/>
      </c>
      <c r="H1683" s="1314" t="s">
        <v>1984</v>
      </c>
      <c r="I1683" s="1274"/>
      <c r="J1683" s="1314"/>
      <c r="K1683" s="1314"/>
      <c r="L1683" s="1314"/>
      <c r="M1683" s="1329"/>
      <c r="N1683" s="1314"/>
      <c r="O1683" s="1311"/>
      <c r="P1683" s="1311"/>
      <c r="Q1683" s="1311"/>
      <c r="R1683" s="1314" t="s">
        <v>1531</v>
      </c>
      <c r="S1683" s="1314" t="str">
        <f>IF(Q$796="Yes",9,"")</f>
        <v/>
      </c>
      <c r="T1683" s="1311"/>
      <c r="U1683" s="1311"/>
      <c r="V1683" s="1311"/>
      <c r="W1683" s="1311"/>
      <c r="X1683" s="1311"/>
      <c r="Y1683" s="1311"/>
      <c r="Z1683" s="1311"/>
    </row>
    <row r="1684" spans="1:26" x14ac:dyDescent="0.25">
      <c r="A1684" s="850" t="s">
        <v>1501</v>
      </c>
      <c r="B1684" s="826" t="str">
        <f ca="1">_xlfn.CONCAT(IFERROR(SUBSTITUTE(ADDRESS(1,MATCH(A1684,INDIRECT("'"&amp;E1684&amp;"'"&amp;"!A" &amp; $O$814 + 5 &amp; ":Z" &amp; $O$814+ 5),0),4),1,""),""),$O$814 + 5)</f>
        <v>N198</v>
      </c>
      <c r="C1684" s="826" t="str">
        <f ca="1">_xlfn.CONCAT(IFERROR(SUBSTITUTE(ADDRESS(1,MATCH(A1684,INDIRECT("'"&amp;E1684&amp;"'"&amp;"!A" &amp; $O$814 + 5 &amp; ":Z" &amp; $O$814+ 5),0),4),1,""),""),$O$814 + 6)</f>
        <v>N199</v>
      </c>
      <c r="D1684" s="826" t="s">
        <v>1350</v>
      </c>
      <c r="E1684" s="826" t="s">
        <v>1516</v>
      </c>
      <c r="F1684" s="841" t="s">
        <v>1985</v>
      </c>
      <c r="G1684" s="1314" t="str">
        <f>IF(S1684&lt;&gt;"","G","")</f>
        <v/>
      </c>
      <c r="H1684" s="1314" t="s">
        <v>1984</v>
      </c>
      <c r="I1684" s="1274"/>
      <c r="J1684" s="1314"/>
      <c r="K1684" s="1314"/>
      <c r="L1684" s="1314"/>
      <c r="M1684" s="1329"/>
      <c r="N1684" s="1314"/>
      <c r="O1684" s="1311"/>
      <c r="P1684" s="1311"/>
      <c r="Q1684" s="1311"/>
      <c r="R1684" s="1314" t="s">
        <v>1531</v>
      </c>
      <c r="S1684" s="1314" t="str">
        <f>IF(Q$814="Yes",10,"")</f>
        <v/>
      </c>
      <c r="T1684" s="1311"/>
      <c r="U1684" s="1311"/>
      <c r="V1684" s="1311"/>
      <c r="W1684" s="1311"/>
      <c r="X1684" s="1311"/>
      <c r="Y1684" s="1311"/>
      <c r="Z1684" s="1311"/>
    </row>
    <row r="1685" spans="1:26" x14ac:dyDescent="0.25">
      <c r="A1685" s="850" t="s">
        <v>1502</v>
      </c>
      <c r="B1685" s="826" t="str">
        <f ca="1">_xlfn.CONCAT(IFERROR(SUBSTITUTE(ADDRESS(1,MATCH(A1685,INDIRECT("'"&amp;E1685&amp;"'"&amp;"!A" &amp; $O$814 + 5 &amp; ":Z" &amp; $O$814+ 5),0),4),1,""),""),$O$814 + 5)</f>
        <v>P198</v>
      </c>
      <c r="C1685" s="826" t="str">
        <f ca="1">_xlfn.CONCAT(IFERROR(SUBSTITUTE(ADDRESS(1,MATCH(A1685,INDIRECT("'"&amp;E1685&amp;"'"&amp;"!A" &amp; $O$814 + 5 &amp; ":Z" &amp; $O$814+ 5),0),4),1,""),""),$O$814 + 6)</f>
        <v>P199</v>
      </c>
      <c r="D1685" s="826" t="s">
        <v>1350</v>
      </c>
      <c r="E1685" s="826" t="s">
        <v>1516</v>
      </c>
      <c r="F1685" s="841" t="s">
        <v>1986</v>
      </c>
      <c r="G1685" s="1314" t="str">
        <f>IF(S1685&lt;&gt;"","E","")</f>
        <v/>
      </c>
      <c r="H1685" s="1314" t="s">
        <v>1984</v>
      </c>
      <c r="I1685" s="1274"/>
      <c r="J1685" s="1314"/>
      <c r="K1685" s="1314"/>
      <c r="L1685" s="1314"/>
      <c r="M1685" s="1329"/>
      <c r="N1685" s="1314"/>
      <c r="O1685" s="1311"/>
      <c r="P1685" s="1311"/>
      <c r="Q1685" s="1311"/>
      <c r="R1685" s="1314" t="s">
        <v>1531</v>
      </c>
      <c r="S1685" s="1314" t="str">
        <f>IF(Q$814="Yes",10,"")</f>
        <v/>
      </c>
      <c r="T1685" s="1311"/>
      <c r="U1685" s="1311"/>
      <c r="V1685" s="1311"/>
      <c r="W1685" s="1311"/>
      <c r="X1685" s="1311"/>
      <c r="Y1685" s="1311"/>
      <c r="Z1685" s="1311"/>
    </row>
    <row r="1686" spans="1:26" x14ac:dyDescent="0.25">
      <c r="A1686" s="847" t="s">
        <v>1501</v>
      </c>
      <c r="B1686" s="826" t="str">
        <f ca="1">_xlfn.IFNA(_xlfn.CONCAT(SUBSTITUTE(ADDRESS(1,MATCH(A1686,INDIRECT("'"&amp;E1686&amp;"'"&amp;"!A" &amp; $O$832 + 5 &amp; ":Z" &amp; $O$832+ 5),0),4),1,""),$O$832 + 6),"")</f>
        <v>N213</v>
      </c>
      <c r="C1686" s="826" t="str">
        <f t="shared" ref="C1686:C1687" ca="1" si="253">_xlfn.IFNA(SUBSTITUTE(ADDRESS(1,MATCH(A1686,INDIRECT("'"&amp;E1686&amp;"'"&amp;"!A" &amp; $O$832 + 5 &amp; ":Z" &amp; $O$832+ 5),0),4),1,""),"")</f>
        <v>N</v>
      </c>
      <c r="D1686" s="826" t="s">
        <v>1357</v>
      </c>
      <c r="E1686" s="826" t="s">
        <v>1516</v>
      </c>
      <c r="F1686" s="841" t="s">
        <v>1985</v>
      </c>
      <c r="G1686" s="1314" t="str">
        <f>IF(S1686&lt;&gt;"","G","")</f>
        <v/>
      </c>
      <c r="H1686" s="1314" t="s">
        <v>1984</v>
      </c>
      <c r="I1686" s="1274"/>
      <c r="J1686" s="1314"/>
      <c r="K1686" s="1314"/>
      <c r="L1686" s="1314"/>
      <c r="M1686" s="1329"/>
      <c r="N1686" s="1314"/>
      <c r="O1686" s="1311"/>
      <c r="P1686" s="1311"/>
      <c r="Q1686" s="1311"/>
      <c r="R1686" s="1314" t="s">
        <v>1531</v>
      </c>
      <c r="S1686" s="1314" t="str">
        <f>IF(Q$832="Yes",11,"")</f>
        <v/>
      </c>
      <c r="T1686" s="1311"/>
      <c r="U1686" s="1311"/>
      <c r="V1686" s="1311"/>
      <c r="W1686" s="1311"/>
      <c r="X1686" s="1311"/>
      <c r="Y1686" s="1311"/>
      <c r="Z1686" s="1311"/>
    </row>
    <row r="1687" spans="1:26" x14ac:dyDescent="0.25">
      <c r="A1687" s="847" t="s">
        <v>1502</v>
      </c>
      <c r="B1687" s="826" t="str">
        <f ca="1">_xlfn.IFNA(_xlfn.CONCAT(SUBSTITUTE(ADDRESS(1,MATCH(A1687,INDIRECT("'"&amp;E1687&amp;"'"&amp;"!A" &amp; $O$832 + 5 &amp; ":Z" &amp; $O$832+ 5),0),4),1,""),$O$832 + 6),"")</f>
        <v>P213</v>
      </c>
      <c r="C1687" s="826" t="str">
        <f t="shared" ca="1" si="253"/>
        <v>P</v>
      </c>
      <c r="D1687" s="826" t="s">
        <v>1357</v>
      </c>
      <c r="E1687" s="826" t="s">
        <v>1516</v>
      </c>
      <c r="F1687" s="841" t="s">
        <v>1986</v>
      </c>
      <c r="G1687" s="1314" t="str">
        <f>IF(S1687&lt;&gt;"","E","")</f>
        <v/>
      </c>
      <c r="H1687" s="1314" t="s">
        <v>1984</v>
      </c>
      <c r="I1687" s="1274"/>
      <c r="J1687" s="1314"/>
      <c r="K1687" s="1314"/>
      <c r="L1687" s="1314"/>
      <c r="M1687" s="1329"/>
      <c r="N1687" s="1314"/>
      <c r="O1687" s="1311"/>
      <c r="P1687" s="1311"/>
      <c r="Q1687" s="1311"/>
      <c r="R1687" s="1314" t="s">
        <v>1531</v>
      </c>
      <c r="S1687" s="1314" t="str">
        <f>IF(Q$832="Yes",11,"")</f>
        <v/>
      </c>
      <c r="T1687" s="1311"/>
      <c r="U1687" s="1311"/>
      <c r="V1687" s="1311"/>
      <c r="W1687" s="1311"/>
      <c r="X1687" s="1311"/>
      <c r="Y1687" s="1311"/>
      <c r="Z1687" s="1311"/>
    </row>
    <row r="1688" spans="1:26" x14ac:dyDescent="0.25">
      <c r="A1688" s="850" t="s">
        <v>1501</v>
      </c>
      <c r="B1688" s="826" t="str">
        <f ca="1">_xlfn.IFNA(_xlfn.CONCAT(SUBSTITUTE(ADDRESS(1,MATCH(A1688,INDIRECT("'"&amp;E1688&amp;"'"&amp;"!A" &amp; $O$862 + 5 &amp; ":Z" &amp; $O$862+ 5),0),4),1,""),$O$862 + 6),"")</f>
        <v>N229</v>
      </c>
      <c r="C1688" s="826" t="str">
        <f t="shared" ref="C1688:C1689" ca="1" si="254">_xlfn.IFNA(SUBSTITUTE(ADDRESS(1,MATCH(A1688,INDIRECT("'"&amp;E1688&amp;"'"&amp;"!A" &amp; $O$862 + 5 &amp; ":Z" &amp; $O$862+ 5),0),4),1,""),"")</f>
        <v>N</v>
      </c>
      <c r="D1688" s="826" t="s">
        <v>1357</v>
      </c>
      <c r="E1688" s="826" t="s">
        <v>1516</v>
      </c>
      <c r="F1688" s="841" t="s">
        <v>1985</v>
      </c>
      <c r="G1688" s="1314" t="str">
        <f>IF(S1688&lt;&gt;"","G","")</f>
        <v/>
      </c>
      <c r="H1688" s="1314" t="s">
        <v>1984</v>
      </c>
      <c r="I1688" s="1274"/>
      <c r="J1688" s="1314"/>
      <c r="K1688" s="1314"/>
      <c r="L1688" s="1314"/>
      <c r="M1688" s="1329"/>
      <c r="N1688" s="1314"/>
      <c r="O1688" s="1311"/>
      <c r="P1688" s="1311"/>
      <c r="Q1688" s="1311"/>
      <c r="R1688" s="1314" t="s">
        <v>1531</v>
      </c>
      <c r="S1688" s="1314" t="str">
        <f>IF(Q$862="Yes",12,"")</f>
        <v/>
      </c>
      <c r="T1688" s="1311"/>
      <c r="U1688" s="1311"/>
      <c r="V1688" s="1311"/>
      <c r="W1688" s="1311"/>
      <c r="X1688" s="1311"/>
      <c r="Y1688" s="1311"/>
      <c r="Z1688" s="1311"/>
    </row>
    <row r="1689" spans="1:26" x14ac:dyDescent="0.25">
      <c r="A1689" s="850" t="s">
        <v>1502</v>
      </c>
      <c r="B1689" s="826" t="str">
        <f ca="1">_xlfn.IFNA(_xlfn.CONCAT(SUBSTITUTE(ADDRESS(1,MATCH(A1689,INDIRECT("'"&amp;E1689&amp;"'"&amp;"!A" &amp; $O$862 + 5 &amp; ":Z" &amp; $O$862+ 5),0),4),1,""),$O$862 + 6),"")</f>
        <v>P229</v>
      </c>
      <c r="C1689" s="826" t="str">
        <f t="shared" ca="1" si="254"/>
        <v>P</v>
      </c>
      <c r="D1689" s="826" t="s">
        <v>1357</v>
      </c>
      <c r="E1689" s="826" t="s">
        <v>1516</v>
      </c>
      <c r="F1689" s="841" t="s">
        <v>1986</v>
      </c>
      <c r="G1689" s="1314" t="str">
        <f>IF(S1689&lt;&gt;"","E","")</f>
        <v/>
      </c>
      <c r="H1689" s="1314" t="s">
        <v>1984</v>
      </c>
      <c r="I1689" s="1274"/>
      <c r="J1689" s="1314"/>
      <c r="K1689" s="1314"/>
      <c r="L1689" s="1314"/>
      <c r="M1689" s="1329"/>
      <c r="N1689" s="1314"/>
      <c r="O1689" s="1311"/>
      <c r="P1689" s="1311"/>
      <c r="Q1689" s="1311"/>
      <c r="R1689" s="1314" t="s">
        <v>1531</v>
      </c>
      <c r="S1689" s="1314" t="str">
        <f>IF(Q$862="Yes",12,"")</f>
        <v/>
      </c>
      <c r="T1689" s="1311"/>
      <c r="U1689" s="1311"/>
      <c r="V1689" s="1311"/>
      <c r="W1689" s="1311"/>
      <c r="X1689" s="1311"/>
      <c r="Y1689" s="1311"/>
      <c r="Z1689" s="1311"/>
    </row>
    <row r="1690" spans="1:26" x14ac:dyDescent="0.25">
      <c r="A1690" s="847" t="s">
        <v>1501</v>
      </c>
      <c r="B1690" s="826" t="str">
        <f ca="1">_xlfn.CONCAT(IFERROR(SUBSTITUTE(ADDRESS(1,MATCH(A1690,INDIRECT("'"&amp;E1690&amp;"'"&amp;"!A" &amp; $O$892 + 5 &amp; ":Z" &amp; $O$892+ 5),0),4),1,""),""),$O$892 + 5)</f>
        <v>N244</v>
      </c>
      <c r="C1690" s="826" t="str">
        <f ca="1">_xlfn.CONCAT(IFERROR(SUBSTITUTE(ADDRESS(1,MATCH(A1690,INDIRECT("'"&amp;E1690&amp;"'"&amp;"!A" &amp; $O$892 + 5 &amp; ":Z" &amp; $O$892+ 5),0),4),1,""),""),$O$892 + 6)</f>
        <v>N245</v>
      </c>
      <c r="D1690" s="826" t="s">
        <v>1350</v>
      </c>
      <c r="E1690" s="826" t="s">
        <v>1516</v>
      </c>
      <c r="F1690" s="841" t="s">
        <v>1985</v>
      </c>
      <c r="G1690" s="1314" t="str">
        <f>IF(S1690&lt;&gt;"","G","")</f>
        <v/>
      </c>
      <c r="H1690" s="1314" t="s">
        <v>1984</v>
      </c>
      <c r="I1690" s="1274"/>
      <c r="J1690" s="1314"/>
      <c r="K1690" s="1314"/>
      <c r="L1690" s="1314"/>
      <c r="M1690" s="1329"/>
      <c r="N1690" s="1314"/>
      <c r="O1690" s="1311"/>
      <c r="P1690" s="1311"/>
      <c r="Q1690" s="1311"/>
      <c r="R1690" s="1314" t="s">
        <v>395</v>
      </c>
      <c r="S1690" s="1314" t="str">
        <f>IF(Q$892="Yes",13,"")</f>
        <v/>
      </c>
      <c r="T1690" s="1311"/>
      <c r="U1690" s="1311"/>
      <c r="V1690" s="1311"/>
      <c r="W1690" s="1311"/>
      <c r="X1690" s="1311"/>
      <c r="Y1690" s="1311"/>
      <c r="Z1690" s="1311"/>
    </row>
    <row r="1691" spans="1:26" x14ac:dyDescent="0.25">
      <c r="A1691" s="847" t="s">
        <v>1502</v>
      </c>
      <c r="B1691" s="826" t="str">
        <f ca="1">_xlfn.CONCAT(IFERROR(SUBSTITUTE(ADDRESS(1,MATCH(A1691,INDIRECT("'"&amp;E1691&amp;"'"&amp;"!A" &amp; $O$892 + 5 &amp; ":Z" &amp; $O$892+ 5),0),4),1,""),""),$O$892 + 5)</f>
        <v>P244</v>
      </c>
      <c r="C1691" s="826" t="str">
        <f ca="1">_xlfn.CONCAT(IFERROR(SUBSTITUTE(ADDRESS(1,MATCH(A1691,INDIRECT("'"&amp;E1691&amp;"'"&amp;"!A" &amp; $O$892 + 5 &amp; ":Z" &amp; $O$892+ 5),0),4),1,""),""),$O$892 + 6)</f>
        <v>P245</v>
      </c>
      <c r="D1691" s="826" t="s">
        <v>1350</v>
      </c>
      <c r="E1691" s="826" t="s">
        <v>1516</v>
      </c>
      <c r="F1691" s="841" t="s">
        <v>1986</v>
      </c>
      <c r="G1691" s="1314" t="str">
        <f>IF(S1691&lt;&gt;"","E","")</f>
        <v/>
      </c>
      <c r="H1691" s="1314" t="s">
        <v>1984</v>
      </c>
      <c r="I1691" s="1274"/>
      <c r="J1691" s="1314"/>
      <c r="K1691" s="1314"/>
      <c r="L1691" s="1314"/>
      <c r="M1691" s="1329"/>
      <c r="N1691" s="1314"/>
      <c r="O1691" s="1311"/>
      <c r="P1691" s="1311"/>
      <c r="Q1691" s="1311"/>
      <c r="R1691" s="1314" t="s">
        <v>395</v>
      </c>
      <c r="S1691" s="1314" t="str">
        <f>IF(Q$892="Yes",13,"")</f>
        <v/>
      </c>
      <c r="T1691" s="1311"/>
      <c r="U1691" s="1311"/>
      <c r="V1691" s="1311"/>
      <c r="W1691" s="1311"/>
      <c r="X1691" s="1311"/>
      <c r="Y1691" s="1311"/>
      <c r="Z1691" s="1311"/>
    </row>
    <row r="1692" spans="1:26" x14ac:dyDescent="0.25">
      <c r="A1692" s="992" t="s">
        <v>1501</v>
      </c>
      <c r="B1692" s="826" t="str">
        <f ca="1">_xlfn.CONCAT(IFERROR(SUBSTITUTE(ADDRESS(1,MATCH(A1692,INDIRECT("'"&amp;E1692&amp;"'"&amp;"!A" &amp; $O$911 + 5 &amp; ":Z" &amp; $O$911 + 5),0),4),1,""),""),$O$911 + 5)</f>
        <v>N258</v>
      </c>
      <c r="C1692" s="826" t="str">
        <f ca="1">_xlfn.CONCAT(IFERROR(SUBSTITUTE(ADDRESS(1,MATCH(A1692,INDIRECT("'"&amp;E1692&amp;"'"&amp;"!A" &amp; $O$911 + 5 &amp; ":Z" &amp; $O$911 + 5),0),4),1,""),""),$O$911 + 6)</f>
        <v>N259</v>
      </c>
      <c r="D1692" s="826" t="s">
        <v>1350</v>
      </c>
      <c r="E1692" s="826" t="s">
        <v>1516</v>
      </c>
      <c r="F1692" s="841" t="s">
        <v>1985</v>
      </c>
      <c r="G1692" s="1314" t="str">
        <f>IF(S1692&lt;&gt;"","G","")</f>
        <v/>
      </c>
      <c r="H1692" s="1314" t="s">
        <v>1984</v>
      </c>
      <c r="I1692" s="1274"/>
      <c r="J1692" s="1314"/>
      <c r="K1692" s="1314"/>
      <c r="L1692" s="1314"/>
      <c r="M1692" s="1329"/>
      <c r="N1692" s="1314"/>
      <c r="O1692" s="1311"/>
      <c r="P1692" s="1311"/>
      <c r="Q1692" s="1311"/>
      <c r="R1692" s="1314" t="s">
        <v>395</v>
      </c>
      <c r="S1692" s="1314" t="str">
        <f>IF(Q$911="Yes",14,"")</f>
        <v/>
      </c>
      <c r="T1692" s="1311"/>
      <c r="U1692" s="1311"/>
      <c r="V1692" s="1311"/>
      <c r="W1692" s="1311"/>
      <c r="X1692" s="1311"/>
      <c r="Y1692" s="1311"/>
      <c r="Z1692" s="1311"/>
    </row>
    <row r="1693" spans="1:26" x14ac:dyDescent="0.25">
      <c r="A1693" s="992" t="s">
        <v>1502</v>
      </c>
      <c r="B1693" s="826" t="str">
        <f ca="1">_xlfn.CONCAT(IFERROR(SUBSTITUTE(ADDRESS(1,MATCH(A1693,INDIRECT("'"&amp;E1693&amp;"'"&amp;"!A" &amp; $O$911 + 5 &amp; ":Z" &amp; $O$911 + 5),0),4),1,""),""),$O$911 + 5)</f>
        <v>P258</v>
      </c>
      <c r="C1693" s="826" t="str">
        <f ca="1">_xlfn.CONCAT(IFERROR(SUBSTITUTE(ADDRESS(1,MATCH(A1693,INDIRECT("'"&amp;E1693&amp;"'"&amp;"!A" &amp; $O$911 + 5 &amp; ":Z" &amp; $O$911 + 5),0),4),1,""),""),$O$911 + 6)</f>
        <v>P259</v>
      </c>
      <c r="D1693" s="826" t="s">
        <v>1350</v>
      </c>
      <c r="E1693" s="826" t="s">
        <v>1516</v>
      </c>
      <c r="F1693" s="841" t="s">
        <v>1986</v>
      </c>
      <c r="G1693" s="1314" t="str">
        <f>IF(S1693&lt;&gt;"","E","")</f>
        <v/>
      </c>
      <c r="H1693" s="1314" t="s">
        <v>1984</v>
      </c>
      <c r="I1693" s="1274"/>
      <c r="J1693" s="1314"/>
      <c r="K1693" s="1314"/>
      <c r="L1693" s="1314"/>
      <c r="M1693" s="1329"/>
      <c r="N1693" s="1314"/>
      <c r="O1693" s="1311"/>
      <c r="P1693" s="1311"/>
      <c r="Q1693" s="1311"/>
      <c r="R1693" s="1314" t="s">
        <v>395</v>
      </c>
      <c r="S1693" s="1314" t="str">
        <f>IF(Q$911="Yes",14,"")</f>
        <v/>
      </c>
      <c r="T1693" s="1311"/>
      <c r="U1693" s="1311"/>
      <c r="V1693" s="1311"/>
      <c r="W1693" s="1311"/>
      <c r="X1693" s="1311"/>
      <c r="Y1693" s="1311"/>
      <c r="Z1693" s="1311"/>
    </row>
    <row r="1694" spans="1:26" x14ac:dyDescent="0.25">
      <c r="A1694" s="1011" t="s">
        <v>1501</v>
      </c>
      <c r="B1694" s="826" t="str">
        <f ca="1">_xlfn.CONCAT(IFERROR(SUBSTITUTE(ADDRESS(1,MATCH(A1694,INDIRECT("'"&amp;E1694&amp;"'"&amp;"!A" &amp; $O$930 + 5 &amp; ":Z" &amp; $O$930 + 5),0),4),1,""),""),$O$930 + 5)</f>
        <v>N272</v>
      </c>
      <c r="C1694" s="826" t="str">
        <f ca="1">_xlfn.CONCAT(IFERROR(SUBSTITUTE(ADDRESS(1,MATCH(A1694,INDIRECT("'"&amp;E1694&amp;"'"&amp;"!A" &amp; $O$930 + 5 &amp; ":Z" &amp; $O$930 + 5),0),4),1,""),""),$O$930 + 6)</f>
        <v>N273</v>
      </c>
      <c r="D1694" s="826" t="s">
        <v>1350</v>
      </c>
      <c r="E1694" s="826" t="s">
        <v>1516</v>
      </c>
      <c r="F1694" s="841" t="s">
        <v>1985</v>
      </c>
      <c r="G1694" s="1314" t="str">
        <f>IF(S1694&lt;&gt;"","G","")</f>
        <v/>
      </c>
      <c r="H1694" s="1314" t="s">
        <v>1984</v>
      </c>
      <c r="I1694" s="1274"/>
      <c r="J1694" s="1314"/>
      <c r="K1694" s="1314"/>
      <c r="L1694" s="1314"/>
      <c r="M1694" s="1329"/>
      <c r="N1694" s="1314"/>
      <c r="O1694" s="1311"/>
      <c r="P1694" s="1311"/>
      <c r="Q1694" s="1311"/>
      <c r="R1694" s="1314" t="s">
        <v>395</v>
      </c>
      <c r="S1694" s="1314" t="str">
        <f>IF(Q$930="Yes",15,"")</f>
        <v/>
      </c>
      <c r="T1694" s="1311"/>
      <c r="U1694" s="1311"/>
      <c r="V1694" s="1311"/>
      <c r="W1694" s="1311"/>
      <c r="X1694" s="1311"/>
      <c r="Y1694" s="1311"/>
      <c r="Z1694" s="1311"/>
    </row>
    <row r="1695" spans="1:26" x14ac:dyDescent="0.25">
      <c r="A1695" s="1011" t="s">
        <v>1502</v>
      </c>
      <c r="B1695" s="826" t="str">
        <f ca="1">_xlfn.CONCAT(IFERROR(SUBSTITUTE(ADDRESS(1,MATCH(A1695,INDIRECT("'"&amp;E1695&amp;"'"&amp;"!A" &amp; $O$930 + 5 &amp; ":Z" &amp; $O$930 + 5),0),4),1,""),""),$O$930 + 5)</f>
        <v>P272</v>
      </c>
      <c r="C1695" s="826" t="str">
        <f ca="1">_xlfn.CONCAT(IFERROR(SUBSTITUTE(ADDRESS(1,MATCH(A1695,INDIRECT("'"&amp;E1695&amp;"'"&amp;"!A" &amp; $O$930 + 5 &amp; ":Z" &amp; $O$930 + 5),0),4),1,""),""),$O$930 + 6)</f>
        <v>P273</v>
      </c>
      <c r="D1695" s="826" t="s">
        <v>1350</v>
      </c>
      <c r="E1695" s="826" t="s">
        <v>1516</v>
      </c>
      <c r="F1695" s="841" t="s">
        <v>1986</v>
      </c>
      <c r="G1695" s="1314" t="str">
        <f>IF(S1695&lt;&gt;"","E","")</f>
        <v/>
      </c>
      <c r="H1695" s="1314" t="s">
        <v>1984</v>
      </c>
      <c r="I1695" s="1274"/>
      <c r="J1695" s="1314"/>
      <c r="K1695" s="1314"/>
      <c r="L1695" s="1314"/>
      <c r="M1695" s="1329"/>
      <c r="N1695" s="1314"/>
      <c r="O1695" s="1311"/>
      <c r="P1695" s="1311"/>
      <c r="Q1695" s="1311"/>
      <c r="R1695" s="1314" t="s">
        <v>395</v>
      </c>
      <c r="S1695" s="1314" t="str">
        <f>IF(Q$930="Yes",15,"")</f>
        <v/>
      </c>
      <c r="T1695" s="1311"/>
      <c r="U1695" s="1311"/>
      <c r="V1695" s="1311"/>
      <c r="W1695" s="1311"/>
      <c r="X1695" s="1311"/>
      <c r="Y1695" s="1311"/>
      <c r="Z1695" s="1311"/>
    </row>
    <row r="1696" spans="1:26" x14ac:dyDescent="0.25">
      <c r="A1696" s="992" t="s">
        <v>1501</v>
      </c>
      <c r="B1696" s="826" t="str">
        <f ca="1">_xlfn.CONCAT(IFERROR(SUBSTITUTE(ADDRESS(1,MATCH(A1696,INDIRECT("'"&amp;E1696&amp;"'"&amp;"!A" &amp; $O$949 + 5 &amp; ":Z" &amp; $O$949 + 5),0),4),1,""),""),$O$949 + 5)</f>
        <v>N286</v>
      </c>
      <c r="C1696" s="826" t="str">
        <f ca="1">_xlfn.CONCAT(IFERROR(SUBSTITUTE(ADDRESS(1,MATCH(A1696,INDIRECT("'"&amp;E1696&amp;"'"&amp;"!A" &amp; $O$949 + 5 &amp; ":Z" &amp; $O$949 + 5),0),4),1,""),""),$O$949 + 6)</f>
        <v>N287</v>
      </c>
      <c r="D1696" s="826" t="s">
        <v>1350</v>
      </c>
      <c r="E1696" s="826" t="s">
        <v>1516</v>
      </c>
      <c r="F1696" s="841" t="s">
        <v>1985</v>
      </c>
      <c r="G1696" s="1314" t="str">
        <f>IF(S1696&lt;&gt;"","G","")</f>
        <v/>
      </c>
      <c r="H1696" s="1314" t="s">
        <v>1984</v>
      </c>
      <c r="I1696" s="1274"/>
      <c r="J1696" s="1314"/>
      <c r="K1696" s="1314"/>
      <c r="L1696" s="1314"/>
      <c r="M1696" s="1329"/>
      <c r="N1696" s="1314"/>
      <c r="O1696" s="1311"/>
      <c r="P1696" s="1311"/>
      <c r="Q1696" s="1311"/>
      <c r="R1696" s="1314" t="s">
        <v>395</v>
      </c>
      <c r="S1696" s="1314" t="str">
        <f>IF(Q$949="Yes",16,"")</f>
        <v/>
      </c>
      <c r="T1696" s="1311"/>
      <c r="U1696" s="1311"/>
      <c r="V1696" s="1311"/>
      <c r="W1696" s="1311"/>
      <c r="X1696" s="1311"/>
      <c r="Y1696" s="1311"/>
      <c r="Z1696" s="1311"/>
    </row>
    <row r="1697" spans="1:26" x14ac:dyDescent="0.25">
      <c r="A1697" s="992" t="s">
        <v>1502</v>
      </c>
      <c r="B1697" s="826" t="str">
        <f ca="1">_xlfn.CONCAT(IFERROR(SUBSTITUTE(ADDRESS(1,MATCH(A1697,INDIRECT("'"&amp;E1697&amp;"'"&amp;"!A" &amp; $O$949 + 5 &amp; ":Z" &amp; $O$949 + 5),0),4),1,""),""),$O$949 + 5)</f>
        <v>P286</v>
      </c>
      <c r="C1697" s="826" t="str">
        <f ca="1">_xlfn.CONCAT(IFERROR(SUBSTITUTE(ADDRESS(1,MATCH(A1697,INDIRECT("'"&amp;E1697&amp;"'"&amp;"!A" &amp; $O$949 + 5 &amp; ":Z" &amp; $O$949 + 5),0),4),1,""),""),$O$949 + 6)</f>
        <v>P287</v>
      </c>
      <c r="D1697" s="826" t="s">
        <v>1350</v>
      </c>
      <c r="E1697" s="826" t="s">
        <v>1516</v>
      </c>
      <c r="F1697" s="841" t="s">
        <v>1986</v>
      </c>
      <c r="G1697" s="1314" t="str">
        <f>IF(S1697&lt;&gt;"","E","")</f>
        <v/>
      </c>
      <c r="H1697" s="1314" t="s">
        <v>1984</v>
      </c>
      <c r="I1697" s="1274"/>
      <c r="J1697" s="1314"/>
      <c r="K1697" s="1314"/>
      <c r="L1697" s="1314"/>
      <c r="M1697" s="1329"/>
      <c r="N1697" s="1314"/>
      <c r="O1697" s="1311"/>
      <c r="P1697" s="1311"/>
      <c r="Q1697" s="1311"/>
      <c r="R1697" s="1314" t="s">
        <v>395</v>
      </c>
      <c r="S1697" s="1314" t="str">
        <f>IF(Q$949="Yes",16,"")</f>
        <v/>
      </c>
      <c r="T1697" s="1311"/>
      <c r="U1697" s="1311"/>
      <c r="V1697" s="1311"/>
      <c r="W1697" s="1311"/>
      <c r="X1697" s="1311"/>
      <c r="Y1697" s="1311"/>
      <c r="Z1697" s="1311"/>
    </row>
    <row r="1698" spans="1:26" x14ac:dyDescent="0.25">
      <c r="A1698" s="1013" t="s">
        <v>1501</v>
      </c>
      <c r="B1698" s="826" t="str">
        <f ca="1">_xlfn.CONCAT(IFERROR(SUBSTITUTE(ADDRESS(1,MATCH(A1698,INDIRECT("'"&amp;E1698&amp;"'"&amp;"!A" &amp; $O$968 + 5 &amp; ":Z" &amp; $O$968 + 5),0),4),1,""),""),$O$968 + 5)</f>
        <v>N300</v>
      </c>
      <c r="C1698" s="826" t="str">
        <f ca="1">_xlfn.CONCAT(IFERROR(SUBSTITUTE(ADDRESS(1,MATCH(A1698,INDIRECT("'"&amp;E1698&amp;"'"&amp;"!A" &amp; $O$968 + 5 &amp; ":Z" &amp; $O$968 + 5),0),4),1,""),""),$O$968 + 6)</f>
        <v>N301</v>
      </c>
      <c r="D1698" s="826" t="s">
        <v>1350</v>
      </c>
      <c r="E1698" s="826" t="s">
        <v>1516</v>
      </c>
      <c r="F1698" s="841" t="s">
        <v>1985</v>
      </c>
      <c r="G1698" s="1314" t="str">
        <f>IF(S1698&lt;&gt;"","G","")</f>
        <v/>
      </c>
      <c r="H1698" s="1314" t="s">
        <v>1984</v>
      </c>
      <c r="I1698" s="1274"/>
      <c r="J1698" s="1314"/>
      <c r="K1698" s="1314"/>
      <c r="L1698" s="1314"/>
      <c r="M1698" s="1329"/>
      <c r="N1698" s="1314"/>
      <c r="O1698" s="1311"/>
      <c r="P1698" s="1311"/>
      <c r="Q1698" s="1311"/>
      <c r="R1698" s="1314" t="s">
        <v>395</v>
      </c>
      <c r="S1698" s="1314" t="str">
        <f>IF(Q$968="Yes",17,"")</f>
        <v/>
      </c>
      <c r="T1698" s="1311"/>
      <c r="U1698" s="1311"/>
      <c r="V1698" s="1311"/>
      <c r="W1698" s="1311"/>
      <c r="X1698" s="1311"/>
      <c r="Y1698" s="1311"/>
      <c r="Z1698" s="1311"/>
    </row>
    <row r="1699" spans="1:26" x14ac:dyDescent="0.25">
      <c r="A1699" s="1013" t="s">
        <v>1502</v>
      </c>
      <c r="B1699" s="826" t="str">
        <f ca="1">_xlfn.CONCAT(IFERROR(SUBSTITUTE(ADDRESS(1,MATCH(A1699,INDIRECT("'"&amp;E1699&amp;"'"&amp;"!A" &amp; $O$968 + 5 &amp; ":Z" &amp; $O$968 + 5),0),4),1,""),""),$O$968 + 5)</f>
        <v>P300</v>
      </c>
      <c r="C1699" s="826" t="str">
        <f ca="1">_xlfn.CONCAT(IFERROR(SUBSTITUTE(ADDRESS(1,MATCH(A1699,INDIRECT("'"&amp;E1699&amp;"'"&amp;"!A" &amp; $O$968 + 5 &amp; ":Z" &amp; $O$968 + 5),0),4),1,""),""),$O$968 + 6)</f>
        <v>P301</v>
      </c>
      <c r="D1699" s="826" t="s">
        <v>1350</v>
      </c>
      <c r="E1699" s="826" t="s">
        <v>1516</v>
      </c>
      <c r="F1699" s="841" t="s">
        <v>1986</v>
      </c>
      <c r="G1699" s="1314" t="str">
        <f>IF(S1699&lt;&gt;"","E","")</f>
        <v/>
      </c>
      <c r="H1699" s="1314" t="s">
        <v>1984</v>
      </c>
      <c r="I1699" s="1274"/>
      <c r="J1699" s="1314"/>
      <c r="K1699" s="1314"/>
      <c r="L1699" s="1314"/>
      <c r="M1699" s="1329"/>
      <c r="N1699" s="1314"/>
      <c r="O1699" s="1311"/>
      <c r="P1699" s="1311"/>
      <c r="Q1699" s="1311"/>
      <c r="R1699" s="1314" t="s">
        <v>395</v>
      </c>
      <c r="S1699" s="1314" t="str">
        <f>IF(Q$968="Yes",17,"")</f>
        <v/>
      </c>
      <c r="T1699" s="1311"/>
      <c r="U1699" s="1311"/>
      <c r="V1699" s="1311"/>
      <c r="W1699" s="1311"/>
      <c r="X1699" s="1311"/>
      <c r="Y1699" s="1311"/>
      <c r="Z1699" s="1311"/>
    </row>
    <row r="1700" spans="1:26" x14ac:dyDescent="0.25">
      <c r="A1700" s="850" t="s">
        <v>1501</v>
      </c>
      <c r="B1700" s="826" t="str">
        <f ca="1">_xlfn.CONCAT(IFERROR(SUBSTITUTE(ADDRESS(1,MATCH(A1700,INDIRECT("'"&amp;E1700&amp;"'"&amp;"!A" &amp; $O$987 + 5 &amp; ":Z" &amp; $O$987 + 5),0),4),1,""),""),$O$987 + 5)</f>
        <v>N314</v>
      </c>
      <c r="C1700" s="826" t="str">
        <f ca="1">_xlfn.CONCAT(IFERROR(SUBSTITUTE(ADDRESS(1,MATCH(A1700,INDIRECT("'"&amp;E1700&amp;"'"&amp;"!A" &amp; $O$987 + 5 &amp; ":Z" &amp; $O$987 + 5),0),4),1,""),""),$O$987 + 6)</f>
        <v>N315</v>
      </c>
      <c r="D1700" s="826" t="s">
        <v>1350</v>
      </c>
      <c r="E1700" s="826" t="s">
        <v>1516</v>
      </c>
      <c r="F1700" s="841" t="s">
        <v>1985</v>
      </c>
      <c r="G1700" s="1314" t="str">
        <f>IF(S1700&lt;&gt;"","G","")</f>
        <v/>
      </c>
      <c r="H1700" s="1314" t="s">
        <v>1984</v>
      </c>
      <c r="I1700" s="1274"/>
      <c r="J1700" s="1314"/>
      <c r="K1700" s="1314"/>
      <c r="L1700" s="1314"/>
      <c r="M1700" s="1329"/>
      <c r="N1700" s="1314"/>
      <c r="O1700" s="1311"/>
      <c r="P1700" s="1311"/>
      <c r="Q1700" s="1311"/>
      <c r="R1700" s="1314" t="s">
        <v>1696</v>
      </c>
      <c r="S1700" s="1314" t="str">
        <f>IF(Q$987="Yes",18,"")</f>
        <v/>
      </c>
      <c r="T1700" s="1311"/>
      <c r="U1700" s="1311"/>
      <c r="V1700" s="1311"/>
      <c r="W1700" s="1311"/>
      <c r="X1700" s="1311"/>
      <c r="Y1700" s="1311"/>
      <c r="Z1700" s="1311"/>
    </row>
    <row r="1701" spans="1:26" x14ac:dyDescent="0.25">
      <c r="A1701" s="850" t="s">
        <v>1502</v>
      </c>
      <c r="B1701" s="826" t="str">
        <f ca="1">_xlfn.CONCAT(IFERROR(SUBSTITUTE(ADDRESS(1,MATCH(A1701,INDIRECT("'"&amp;E1701&amp;"'"&amp;"!A" &amp; $O$987 + 5 &amp; ":Z" &amp; $O$987 + 5),0),4),1,""),""),$O$987 + 5)</f>
        <v>P314</v>
      </c>
      <c r="C1701" s="826" t="str">
        <f ca="1">_xlfn.CONCAT(IFERROR(SUBSTITUTE(ADDRESS(1,MATCH(A1701,INDIRECT("'"&amp;E1701&amp;"'"&amp;"!A" &amp; $O$987 + 5 &amp; ":Z" &amp; $O$987 + 5),0),4),1,""),""),$O$987 + 6)</f>
        <v>P315</v>
      </c>
      <c r="D1701" s="826" t="s">
        <v>1350</v>
      </c>
      <c r="E1701" s="826" t="s">
        <v>1516</v>
      </c>
      <c r="F1701" s="841" t="s">
        <v>1986</v>
      </c>
      <c r="G1701" s="1314" t="str">
        <f>IF(S1701&lt;&gt;"","E","")</f>
        <v/>
      </c>
      <c r="H1701" s="1314" t="s">
        <v>1984</v>
      </c>
      <c r="I1701" s="1274"/>
      <c r="J1701" s="1314"/>
      <c r="K1701" s="1314"/>
      <c r="L1701" s="1314"/>
      <c r="M1701" s="1329"/>
      <c r="N1701" s="1314"/>
      <c r="O1701" s="1311"/>
      <c r="P1701" s="1311"/>
      <c r="Q1701" s="1311"/>
      <c r="R1701" s="1314" t="s">
        <v>1696</v>
      </c>
      <c r="S1701" s="1314" t="str">
        <f>IF(Q$987="Yes",18,"")</f>
        <v/>
      </c>
      <c r="T1701" s="1311"/>
      <c r="U1701" s="1311"/>
      <c r="V1701" s="1311"/>
      <c r="W1701" s="1311"/>
      <c r="X1701" s="1311"/>
      <c r="Y1701" s="1311"/>
      <c r="Z1701" s="1311"/>
    </row>
    <row r="1702" spans="1:26" x14ac:dyDescent="0.25">
      <c r="A1702" s="846" t="s">
        <v>1491</v>
      </c>
      <c r="B1702" s="826" t="str">
        <f ca="1">IFERROR(_xlfn.CONCAT("C",MATCH(A1702,INDIRECT("'"&amp;E1702&amp;"'!C"&amp;$O$570&amp;":C"&amp;$O$572),0)+$O$570-1),"")</f>
        <v>C35</v>
      </c>
      <c r="C1702" s="826" t="str">
        <f ca="1">IFERROR(_xlfn.CONCAT("D",MATCH(A1702,INDIRECT("'"&amp;E1702&amp;"'!C"&amp;$O$570&amp;":C"&amp;$O$572),0)+$O$570-1),"")</f>
        <v>D35</v>
      </c>
      <c r="D1702" s="826" t="s">
        <v>1350</v>
      </c>
      <c r="E1702" s="826" t="s">
        <v>1516</v>
      </c>
      <c r="F1702" s="841" t="s">
        <v>1491</v>
      </c>
      <c r="G1702" s="1314" t="str">
        <f>IF(S1702&lt;&gt;"","A","")</f>
        <v/>
      </c>
      <c r="H1702" s="1314" t="s">
        <v>1984</v>
      </c>
      <c r="I1702" s="241"/>
      <c r="J1702" s="1311"/>
      <c r="K1702" s="1311"/>
      <c r="L1702" s="1311"/>
      <c r="N1702" s="1311"/>
      <c r="O1702" s="1311"/>
      <c r="P1702" s="1311"/>
      <c r="Q1702" s="1311"/>
      <c r="R1702" s="1314" t="s">
        <v>851</v>
      </c>
      <c r="S1702" s="1314" t="str">
        <f>IF(Q$570="Yes",1,"")</f>
        <v/>
      </c>
      <c r="T1702" s="1311"/>
      <c r="U1702" s="1311"/>
      <c r="V1702" s="1311"/>
      <c r="W1702" s="1311"/>
      <c r="X1702" s="1311"/>
      <c r="Y1702" s="1311"/>
      <c r="Z1702" s="1311"/>
    </row>
    <row r="1703" spans="1:26" x14ac:dyDescent="0.25">
      <c r="A1703" s="846" t="s">
        <v>1383</v>
      </c>
      <c r="B1703" s="826" t="str">
        <f ca="1">IFERROR(_xlfn.CONCAT("C",MATCH(A1703,INDIRECT("'"&amp;E1703&amp;"'!C"&amp;$O$570&amp;":C"&amp;$O$572),0)+$O$570-1),"")</f>
        <v>C33</v>
      </c>
      <c r="C1703" s="826" t="str">
        <f ca="1">IFERROR(_xlfn.CONCAT("D",MATCH(A1703,INDIRECT("'"&amp;E1703&amp;"'!C"&amp;$O$570&amp;":C"&amp;$O$572),0)+$O$570-1),"")</f>
        <v>D33</v>
      </c>
      <c r="D1703" s="826" t="s">
        <v>1350</v>
      </c>
      <c r="E1703" s="826" t="s">
        <v>1516</v>
      </c>
      <c r="F1703" s="841" t="s">
        <v>1383</v>
      </c>
      <c r="G1703" s="1314" t="str">
        <f>IF(S1703&lt;&gt;"","B","")</f>
        <v/>
      </c>
      <c r="H1703" s="1314" t="s">
        <v>1984</v>
      </c>
      <c r="I1703" s="241"/>
      <c r="J1703" s="1311"/>
      <c r="K1703" s="1311"/>
      <c r="L1703" s="1311"/>
      <c r="N1703" s="1311"/>
      <c r="O1703" s="1311"/>
      <c r="P1703" s="1311"/>
      <c r="Q1703" s="1311"/>
      <c r="R1703" s="1314" t="s">
        <v>851</v>
      </c>
      <c r="S1703" s="1314" t="str">
        <f>IF(Q$570="Yes",1,"")</f>
        <v/>
      </c>
      <c r="T1703" s="1311"/>
      <c r="U1703" s="1311"/>
      <c r="V1703" s="1311"/>
      <c r="W1703" s="1311"/>
      <c r="X1703" s="1311"/>
      <c r="Y1703" s="1311"/>
      <c r="Z1703" s="1311"/>
    </row>
    <row r="1704" spans="1:26" x14ac:dyDescent="0.25">
      <c r="A1704" s="846" t="s">
        <v>1387</v>
      </c>
      <c r="B1704" s="826" t="str">
        <f ca="1">_xlfn.CONCAT(IFERROR(SUBSTITUTE(ADDRESS(1,MATCH(A1704,INDIRECT("'"&amp;E1704&amp;"'"&amp;"!A" &amp; $O$570+5 &amp; ":Z" &amp; $O$570+5),0),4),1,""),""),$O$570+5)</f>
        <v>H36</v>
      </c>
      <c r="C1704" s="826" t="str">
        <f ca="1">_xlfn.CONCAT(IFERROR(SUBSTITUTE(ADDRESS(1,MATCH(A1704,INDIRECT("'"&amp;E1704&amp;"'"&amp;"!A" &amp; $O$570+5 &amp; ":Z" &amp; $O$570+5),0),4),1,""),""),$O$570+6)</f>
        <v>H37</v>
      </c>
      <c r="D1704" s="826" t="s">
        <v>1350</v>
      </c>
      <c r="E1704" s="826" t="s">
        <v>1516</v>
      </c>
      <c r="F1704" s="841" t="s">
        <v>1387</v>
      </c>
      <c r="G1704" s="1314" t="str">
        <f>IF(S1704&lt;&gt;"","C","")</f>
        <v/>
      </c>
      <c r="H1704" s="1314" t="s">
        <v>1984</v>
      </c>
      <c r="I1704" s="241"/>
      <c r="J1704" s="1311"/>
      <c r="K1704" s="1311"/>
      <c r="L1704" s="1311"/>
      <c r="N1704" s="1311"/>
      <c r="O1704" s="1311"/>
      <c r="P1704" s="1311"/>
      <c r="Q1704" s="1311"/>
      <c r="R1704" s="1314" t="s">
        <v>851</v>
      </c>
      <c r="S1704" s="1314" t="str">
        <f>IF(Q$570="Yes",1,"")</f>
        <v/>
      </c>
      <c r="T1704" s="1311"/>
      <c r="U1704" s="1311"/>
      <c r="V1704" s="1311"/>
      <c r="W1704" s="1311"/>
      <c r="X1704" s="1311"/>
      <c r="Y1704" s="1311"/>
      <c r="Z1704" s="1311"/>
    </row>
    <row r="1705" spans="1:26" x14ac:dyDescent="0.25">
      <c r="A1705" s="846" t="s">
        <v>1388</v>
      </c>
      <c r="B1705" s="826" t="str">
        <f ca="1">_xlfn.CONCAT(IFERROR(SUBSTITUTE(ADDRESS(1,MATCH(A1705,INDIRECT("'"&amp;E1705&amp;"'"&amp;"!A" &amp; $O$570+5 &amp; ":Z" &amp; $O$570+5),0),4),1,""),""),$O$570+5)</f>
        <v>J36</v>
      </c>
      <c r="C1705" s="826" t="str">
        <f ca="1">_xlfn.CONCAT(IFERROR(SUBSTITUTE(ADDRESS(1,MATCH(A1705,INDIRECT("'"&amp;E1705&amp;"'"&amp;"!A" &amp; $O$570+5 &amp; ":Z" &amp; $O$570+5),0),4),1,""),""),$O$570+6)</f>
        <v>J37</v>
      </c>
      <c r="D1705" s="826" t="s">
        <v>1350</v>
      </c>
      <c r="E1705" s="826" t="s">
        <v>1516</v>
      </c>
      <c r="F1705" s="841" t="s">
        <v>1388</v>
      </c>
      <c r="G1705" s="1314" t="str">
        <f>IF(S1705&lt;&gt;"","D","")</f>
        <v/>
      </c>
      <c r="H1705" s="1314" t="s">
        <v>1984</v>
      </c>
      <c r="I1705" s="241"/>
      <c r="J1705" s="1311"/>
      <c r="K1705" s="1311"/>
      <c r="L1705" s="1311"/>
      <c r="N1705" s="1311"/>
      <c r="O1705" s="1311"/>
      <c r="P1705" s="1311"/>
      <c r="Q1705" s="1311"/>
      <c r="R1705" s="1314" t="s">
        <v>851</v>
      </c>
      <c r="S1705" s="1314" t="str">
        <f>IF(Q$570="Yes",1,"")</f>
        <v/>
      </c>
      <c r="T1705" s="1311"/>
      <c r="U1705" s="1311"/>
      <c r="V1705" s="1311"/>
      <c r="W1705" s="1311"/>
      <c r="X1705" s="1311"/>
      <c r="Y1705" s="1311"/>
      <c r="Z1705" s="1311"/>
    </row>
    <row r="1706" spans="1:26" x14ac:dyDescent="0.25">
      <c r="A1706" s="847" t="s">
        <v>1389</v>
      </c>
      <c r="B1706" s="826" t="str">
        <f ca="1">_xlfn.CONCAT(IFERROR(SUBSTITUTE(ADDRESS(1,MATCH(A1706,INDIRECT("'"&amp;E1706&amp;"'"&amp;"!A" &amp; $O$570+5 &amp; ":Z" &amp; $O$570+5),0),4),1,""),""),$O$570+5)</f>
        <v>L36</v>
      </c>
      <c r="C1706" s="826" t="str">
        <f ca="1">_xlfn.CONCAT(IFERROR(SUBSTITUTE(ADDRESS(1,MATCH(A1706,INDIRECT("'"&amp;E1706&amp;"'"&amp;"!A" &amp; $O$570+5 &amp; ":Z" &amp; $O$570+5),0),4),1,""),""),$O$570+6)</f>
        <v>L37</v>
      </c>
      <c r="D1706" s="826" t="s">
        <v>1350</v>
      </c>
      <c r="E1706" s="826" t="s">
        <v>1516</v>
      </c>
      <c r="F1706" s="1081" t="s">
        <v>1987</v>
      </c>
      <c r="G1706" s="1314" t="str">
        <f>IF(S1706&lt;&gt;"","F","")</f>
        <v/>
      </c>
      <c r="H1706" s="1314" t="s">
        <v>1984</v>
      </c>
      <c r="I1706" s="241"/>
      <c r="J1706" s="1311"/>
      <c r="K1706" s="1311"/>
      <c r="L1706" s="1311"/>
      <c r="N1706" s="1311"/>
      <c r="O1706" s="1311"/>
      <c r="P1706" s="1311"/>
      <c r="Q1706" s="1311"/>
      <c r="R1706" s="1314" t="s">
        <v>851</v>
      </c>
      <c r="S1706" s="1314" t="str">
        <f>IF(Q$570="Yes",1,"")</f>
        <v/>
      </c>
      <c r="T1706" s="1311"/>
      <c r="U1706" s="1311"/>
      <c r="V1706" s="1311"/>
      <c r="W1706" s="1311"/>
      <c r="X1706" s="1311"/>
      <c r="Y1706" s="1311"/>
      <c r="Z1706" s="1311"/>
    </row>
    <row r="1707" spans="1:26" x14ac:dyDescent="0.25">
      <c r="A1707" s="849" t="s">
        <v>1491</v>
      </c>
      <c r="B1707" s="826" t="str">
        <f ca="1">IFERROR(_xlfn.CONCAT("C",MATCH(A1707,INDIRECT("'"&amp;E1707&amp;"'!C"&amp;$O$589&amp;":C"&amp;$O$591),0)+$O$589-1),"")</f>
        <v>C49</v>
      </c>
      <c r="C1707" s="826" t="str">
        <f ca="1">IFERROR(_xlfn.CONCAT("D",MATCH(A1707,INDIRECT("'"&amp;E1707&amp;"'!C"&amp;$O$589&amp;":C"&amp;$O$591),0)+$O$589-1),"")</f>
        <v>D49</v>
      </c>
      <c r="D1707" s="826" t="s">
        <v>1350</v>
      </c>
      <c r="E1707" s="826" t="s">
        <v>1516</v>
      </c>
      <c r="F1707" s="841" t="s">
        <v>1491</v>
      </c>
      <c r="G1707" s="1314" t="str">
        <f>IF(S1707&lt;&gt;"","A","")</f>
        <v/>
      </c>
      <c r="H1707" s="1314" t="s">
        <v>1984</v>
      </c>
      <c r="I1707" s="241"/>
      <c r="J1707" s="1311"/>
      <c r="K1707" s="1311"/>
      <c r="L1707" s="1311"/>
      <c r="N1707" s="1311"/>
      <c r="O1707" s="1311"/>
      <c r="P1707" s="1311"/>
      <c r="Q1707" s="1311"/>
      <c r="R1707" s="1314" t="s">
        <v>851</v>
      </c>
      <c r="S1707" s="1314" t="str">
        <f>IF(Q$589="Yes",2,"")</f>
        <v/>
      </c>
      <c r="T1707" s="1311"/>
      <c r="U1707" s="1311"/>
      <c r="V1707" s="1311"/>
      <c r="W1707" s="1311"/>
      <c r="X1707" s="1311"/>
      <c r="Y1707" s="1311"/>
      <c r="Z1707" s="1311"/>
    </row>
    <row r="1708" spans="1:26" x14ac:dyDescent="0.25">
      <c r="A1708" s="849" t="s">
        <v>1383</v>
      </c>
      <c r="B1708" s="826" t="str">
        <f ca="1">IFERROR(_xlfn.CONCAT("C",MATCH(A1708,INDIRECT("'"&amp;E1708&amp;"'!C"&amp;$O$589&amp;":C"&amp;$O$591),0)+$O$589-1),"")</f>
        <v>C47</v>
      </c>
      <c r="C1708" s="826" t="str">
        <f ca="1">IFERROR(_xlfn.CONCAT("D",MATCH(A1708,INDIRECT("'"&amp;E1708&amp;"'!C"&amp;$O$589&amp;":C"&amp;$O$591),0)+$O$589-1),"")</f>
        <v>D47</v>
      </c>
      <c r="D1708" s="826" t="s">
        <v>1350</v>
      </c>
      <c r="E1708" s="826" t="s">
        <v>1516</v>
      </c>
      <c r="F1708" s="841" t="s">
        <v>1383</v>
      </c>
      <c r="G1708" s="1314" t="str">
        <f>IF(S1708&lt;&gt;"","B","")</f>
        <v/>
      </c>
      <c r="H1708" s="1314" t="s">
        <v>1984</v>
      </c>
      <c r="I1708" s="241"/>
      <c r="J1708" s="1311"/>
      <c r="K1708" s="1311"/>
      <c r="L1708" s="1311"/>
      <c r="N1708" s="1311"/>
      <c r="O1708" s="1311"/>
      <c r="P1708" s="1311"/>
      <c r="Q1708" s="1311"/>
      <c r="R1708" s="1314" t="s">
        <v>851</v>
      </c>
      <c r="S1708" s="1314" t="str">
        <f>IF(Q$589="Yes",2,"")</f>
        <v/>
      </c>
      <c r="T1708" s="1311"/>
      <c r="U1708" s="1311"/>
      <c r="V1708" s="1311"/>
      <c r="W1708" s="1311"/>
      <c r="X1708" s="1311"/>
      <c r="Y1708" s="1311"/>
      <c r="Z1708" s="1311"/>
    </row>
    <row r="1709" spans="1:26" x14ac:dyDescent="0.25">
      <c r="A1709" s="849" t="s">
        <v>1387</v>
      </c>
      <c r="B1709" s="826" t="str">
        <f ca="1">_xlfn.CONCAT(IFERROR(SUBSTITUTE(ADDRESS(1,MATCH(A1709,INDIRECT("'"&amp;E1709&amp;"'"&amp;"!A" &amp; $O$589+5 &amp; ":Z" &amp; $O$589+5),0),4),1,""),""),$O$589+5)</f>
        <v>H50</v>
      </c>
      <c r="C1709" s="826" t="str">
        <f ca="1">_xlfn.CONCAT(IFERROR(SUBSTITUTE(ADDRESS(1,MATCH(A1709,INDIRECT("'"&amp;E1709&amp;"'"&amp;"!A" &amp; $O$589+5 &amp; ":Z" &amp; $O$589+5),0),4),1,""),""),$O$589+6)</f>
        <v>H51</v>
      </c>
      <c r="D1709" s="826" t="s">
        <v>1350</v>
      </c>
      <c r="E1709" s="826" t="s">
        <v>1516</v>
      </c>
      <c r="F1709" s="841" t="s">
        <v>1387</v>
      </c>
      <c r="G1709" s="1314" t="str">
        <f>IF(S1709&lt;&gt;"","C","")</f>
        <v/>
      </c>
      <c r="H1709" s="1314" t="s">
        <v>1984</v>
      </c>
      <c r="I1709" s="241"/>
      <c r="J1709" s="1311"/>
      <c r="K1709" s="1311"/>
      <c r="L1709" s="1311"/>
      <c r="N1709" s="1311"/>
      <c r="O1709" s="1311"/>
      <c r="P1709" s="1311"/>
      <c r="Q1709" s="1311"/>
      <c r="R1709" s="1314" t="s">
        <v>851</v>
      </c>
      <c r="S1709" s="1314" t="str">
        <f>IF(Q$589="Yes",2,"")</f>
        <v/>
      </c>
      <c r="T1709" s="1311"/>
      <c r="U1709" s="1311"/>
      <c r="V1709" s="1311"/>
      <c r="W1709" s="1311"/>
      <c r="X1709" s="1311"/>
      <c r="Y1709" s="1311"/>
      <c r="Z1709" s="1311"/>
    </row>
    <row r="1710" spans="1:26" x14ac:dyDescent="0.25">
      <c r="A1710" s="849" t="s">
        <v>1388</v>
      </c>
      <c r="B1710" s="826" t="str">
        <f ca="1">_xlfn.CONCAT(IFERROR(SUBSTITUTE(ADDRESS(1,MATCH(A1710,INDIRECT("'"&amp;E1710&amp;"'"&amp;"!A" &amp; $O$589+5 &amp; ":Z" &amp; $O$589+5),0),4),1,""),""),$O$589+5)</f>
        <v>J50</v>
      </c>
      <c r="C1710" s="826" t="str">
        <f ca="1">_xlfn.CONCAT(IFERROR(SUBSTITUTE(ADDRESS(1,MATCH(A1710,INDIRECT("'"&amp;E1710&amp;"'"&amp;"!A" &amp; $O$589+5 &amp; ":Z" &amp; $O$589+5),0),4),1,""),""),$O$589+6)</f>
        <v>J51</v>
      </c>
      <c r="D1710" s="826" t="s">
        <v>1350</v>
      </c>
      <c r="E1710" s="826" t="s">
        <v>1516</v>
      </c>
      <c r="F1710" s="841" t="s">
        <v>1388</v>
      </c>
      <c r="G1710" s="1314" t="str">
        <f>IF(S1710&lt;&gt;"","D","")</f>
        <v/>
      </c>
      <c r="H1710" s="1314" t="s">
        <v>1984</v>
      </c>
      <c r="I1710" s="241"/>
      <c r="J1710" s="1311"/>
      <c r="K1710" s="1311"/>
      <c r="L1710" s="1311"/>
      <c r="N1710" s="1311"/>
      <c r="O1710" s="1311"/>
      <c r="P1710" s="1311"/>
      <c r="Q1710" s="1311"/>
      <c r="R1710" s="1314" t="s">
        <v>851</v>
      </c>
      <c r="S1710" s="1314" t="str">
        <f>IF(Q$589="Yes",2,"")</f>
        <v/>
      </c>
      <c r="T1710" s="1311"/>
      <c r="U1710" s="1311"/>
      <c r="V1710" s="1311"/>
      <c r="W1710" s="1311"/>
      <c r="X1710" s="1311"/>
      <c r="Y1710" s="1311"/>
      <c r="Z1710" s="1311"/>
    </row>
    <row r="1711" spans="1:26" x14ac:dyDescent="0.25">
      <c r="A1711" s="850" t="s">
        <v>1389</v>
      </c>
      <c r="B1711" s="826" t="str">
        <f ca="1">_xlfn.CONCAT(IFERROR(SUBSTITUTE(ADDRESS(1,MATCH(A1711,INDIRECT("'"&amp;E1711&amp;"'"&amp;"!A" &amp; $O$589+5 &amp; ":Z" &amp; $O$589+5),0),4),1,""),""),$O$589+5)</f>
        <v>L50</v>
      </c>
      <c r="C1711" s="826" t="str">
        <f ca="1">_xlfn.CONCAT(IFERROR(SUBSTITUTE(ADDRESS(1,MATCH(A1711,INDIRECT("'"&amp;E1711&amp;"'"&amp;"!A" &amp; $O$589+5 &amp; ":Z" &amp; $O$589+5),0),4),1,""),""),$O$589+6)</f>
        <v>L51</v>
      </c>
      <c r="D1711" s="826" t="s">
        <v>1350</v>
      </c>
      <c r="E1711" s="826" t="s">
        <v>1516</v>
      </c>
      <c r="F1711" s="1081" t="s">
        <v>1987</v>
      </c>
      <c r="G1711" s="1314" t="str">
        <f>IF(S1711&lt;&gt;"","F","")</f>
        <v/>
      </c>
      <c r="H1711" s="1314" t="s">
        <v>1984</v>
      </c>
      <c r="I1711" s="241"/>
      <c r="J1711" s="1311"/>
      <c r="K1711" s="1311"/>
      <c r="L1711" s="1311"/>
      <c r="N1711" s="1311"/>
      <c r="O1711" s="1311"/>
      <c r="P1711" s="1311"/>
      <c r="Q1711" s="1311"/>
      <c r="R1711" s="1314" t="s">
        <v>851</v>
      </c>
      <c r="S1711" s="1314" t="str">
        <f>IF(Q$589="Yes",2,"")</f>
        <v/>
      </c>
      <c r="T1711" s="1311"/>
      <c r="U1711" s="1311"/>
      <c r="V1711" s="1311"/>
      <c r="W1711" s="1311"/>
      <c r="X1711" s="1311"/>
      <c r="Y1711" s="1311"/>
      <c r="Z1711" s="1311"/>
    </row>
    <row r="1712" spans="1:26" x14ac:dyDescent="0.25">
      <c r="A1712" s="847" t="s">
        <v>1491</v>
      </c>
      <c r="B1712" s="826" t="str">
        <f ca="1">IFERROR(_xlfn.CONCAT("C",MATCH(A1712,INDIRECT("'"&amp;E1712&amp;"'!C"&amp;$O$608&amp;":C"&amp;$O$610),0)+$O$608-1),"")</f>
        <v>C63</v>
      </c>
      <c r="C1712" s="826" t="str">
        <f ca="1">IFERROR(_xlfn.CONCAT("D",MATCH(A1712,INDIRECT("'"&amp;E1712&amp;"'!C"&amp;$O$608&amp;":C"&amp;$O$610),0)+$O$608-1),"")</f>
        <v>D63</v>
      </c>
      <c r="D1712" s="826" t="s">
        <v>1350</v>
      </c>
      <c r="E1712" s="826" t="s">
        <v>1516</v>
      </c>
      <c r="F1712" s="841" t="s">
        <v>1491</v>
      </c>
      <c r="G1712" s="1314" t="str">
        <f>IF(S1712&lt;&gt;"","A","")</f>
        <v/>
      </c>
      <c r="H1712" s="1314" t="s">
        <v>1984</v>
      </c>
      <c r="I1712" s="241"/>
      <c r="J1712" s="1311"/>
      <c r="K1712" s="1311"/>
      <c r="L1712" s="1311"/>
      <c r="N1712" s="1311"/>
      <c r="O1712" s="1311"/>
      <c r="P1712" s="1311"/>
      <c r="Q1712" s="1311"/>
      <c r="R1712" s="1314" t="s">
        <v>851</v>
      </c>
      <c r="S1712" s="1314" t="str">
        <f>IF(Q$608="Yes",3,"")</f>
        <v/>
      </c>
      <c r="T1712" s="1311"/>
      <c r="U1712" s="1311"/>
      <c r="V1712" s="1311"/>
      <c r="W1712" s="1311"/>
      <c r="X1712" s="1311"/>
      <c r="Y1712" s="1311"/>
      <c r="Z1712" s="1311"/>
    </row>
    <row r="1713" spans="1:26" x14ac:dyDescent="0.25">
      <c r="A1713" s="847" t="s">
        <v>1383</v>
      </c>
      <c r="B1713" s="826" t="str">
        <f ca="1">IFERROR(_xlfn.CONCAT("C",MATCH(A1713,INDIRECT("'"&amp;E1713&amp;"'!C"&amp;$O$589&amp;":C"&amp;$O$591),0)+$O$589-1),"")</f>
        <v>C47</v>
      </c>
      <c r="C1713" s="826" t="str">
        <f ca="1">IFERROR(_xlfn.CONCAT("D",MATCH(A1713,INDIRECT("'"&amp;E1713&amp;"'!C"&amp;$O$608&amp;":C"&amp;$O$610),0)+$O$608-1),"")</f>
        <v>D61</v>
      </c>
      <c r="D1713" s="826" t="s">
        <v>1350</v>
      </c>
      <c r="E1713" s="826" t="s">
        <v>1516</v>
      </c>
      <c r="F1713" s="841" t="s">
        <v>1383</v>
      </c>
      <c r="G1713" s="1314" t="str">
        <f>IF(S1713&lt;&gt;"","B","")</f>
        <v/>
      </c>
      <c r="H1713" s="1314" t="s">
        <v>1984</v>
      </c>
      <c r="I1713" s="241"/>
      <c r="J1713" s="1311"/>
      <c r="K1713" s="1311"/>
      <c r="L1713" s="1311"/>
      <c r="N1713" s="1311"/>
      <c r="O1713" s="1311"/>
      <c r="P1713" s="1311"/>
      <c r="Q1713" s="1311"/>
      <c r="R1713" s="1314" t="s">
        <v>851</v>
      </c>
      <c r="S1713" s="1314" t="str">
        <f>IF(Q$608="Yes",3,"")</f>
        <v/>
      </c>
      <c r="T1713" s="1311"/>
      <c r="U1713" s="1311"/>
      <c r="V1713" s="1311"/>
      <c r="W1713" s="1311"/>
      <c r="X1713" s="1311"/>
      <c r="Y1713" s="1311"/>
      <c r="Z1713" s="1311"/>
    </row>
    <row r="1714" spans="1:26" x14ac:dyDescent="0.25">
      <c r="A1714" s="847" t="s">
        <v>1387</v>
      </c>
      <c r="B1714" s="826" t="str">
        <f ca="1">_xlfn.IFNA(_xlfn.CONCAT(SUBSTITUTE(ADDRESS(1,MATCH(A1714,INDIRECT("'"&amp;E1714&amp;"'"&amp;"!A" &amp; $O$608+5 &amp; ":Z" &amp; $O$608+5),0),4),1,""),$O$608+6),"")</f>
        <v>H65</v>
      </c>
      <c r="C1714" s="826" t="str">
        <f ca="1">_xlfn.IFNA(SUBSTITUTE(ADDRESS(1,MATCH(A1714,INDIRECT("'"&amp;E1714&amp;"'"&amp;"!A" &amp; O$608+5 &amp; ":Z" &amp; O$608+5),0),4),1,""),"")</f>
        <v>H</v>
      </c>
      <c r="D1714" s="826" t="s">
        <v>1357</v>
      </c>
      <c r="E1714" s="826" t="s">
        <v>1516</v>
      </c>
      <c r="F1714" s="841" t="s">
        <v>1387</v>
      </c>
      <c r="G1714" s="1314" t="str">
        <f>IF(S1714&lt;&gt;"","C","")</f>
        <v/>
      </c>
      <c r="H1714" s="1314" t="s">
        <v>1984</v>
      </c>
      <c r="I1714" s="241"/>
      <c r="J1714" s="1311"/>
      <c r="K1714" s="1311"/>
      <c r="L1714" s="1311"/>
      <c r="N1714" s="1311"/>
      <c r="O1714" s="1311"/>
      <c r="P1714" s="1311"/>
      <c r="Q1714" s="1311"/>
      <c r="R1714" s="1314" t="s">
        <v>851</v>
      </c>
      <c r="S1714" s="1314" t="str">
        <f>IF(Q$608="Yes",3,"")</f>
        <v/>
      </c>
      <c r="T1714" s="1311"/>
      <c r="U1714" s="1311"/>
      <c r="V1714" s="1311"/>
      <c r="W1714" s="1311"/>
      <c r="X1714" s="1311"/>
      <c r="Y1714" s="1311"/>
      <c r="Z1714" s="1311"/>
    </row>
    <row r="1715" spans="1:26" x14ac:dyDescent="0.25">
      <c r="A1715" s="847" t="s">
        <v>1388</v>
      </c>
      <c r="B1715" s="826" t="str">
        <f ca="1">_xlfn.IFNA(_xlfn.CONCAT(SUBSTITUTE(ADDRESS(1,MATCH(A1715,INDIRECT("'"&amp;E1715&amp;"'"&amp;"!A" &amp; $O$608+5 &amp; ":Z" &amp; $O$608+5),0),4),1,""),$O$608+6),"")</f>
        <v>J65</v>
      </c>
      <c r="C1715" s="826" t="str">
        <f t="shared" ref="C1715:C1716" ca="1" si="255">_xlfn.IFNA(SUBSTITUTE(ADDRESS(1,MATCH(A1715,INDIRECT("'"&amp;E1715&amp;"'"&amp;"!A" &amp; O$608+5 &amp; ":Z" &amp; O$608+5),0),4),1,""),"")</f>
        <v>J</v>
      </c>
      <c r="D1715" s="826" t="s">
        <v>1357</v>
      </c>
      <c r="E1715" s="826" t="s">
        <v>1516</v>
      </c>
      <c r="F1715" s="841" t="s">
        <v>1388</v>
      </c>
      <c r="G1715" s="1314" t="str">
        <f>IF(S1715&lt;&gt;"","D","")</f>
        <v/>
      </c>
      <c r="H1715" s="1314" t="s">
        <v>1984</v>
      </c>
      <c r="I1715" s="241"/>
      <c r="J1715" s="1311"/>
      <c r="K1715" s="1311"/>
      <c r="L1715" s="1311"/>
      <c r="N1715" s="1311"/>
      <c r="O1715" s="1311"/>
      <c r="P1715" s="1311"/>
      <c r="Q1715" s="1311"/>
      <c r="R1715" s="1314" t="s">
        <v>851</v>
      </c>
      <c r="S1715" s="1314" t="str">
        <f>IF(Q$608="Yes",3,"")</f>
        <v/>
      </c>
      <c r="T1715" s="1311"/>
      <c r="U1715" s="1311"/>
      <c r="V1715" s="1311"/>
      <c r="W1715" s="1311"/>
      <c r="X1715" s="1311"/>
      <c r="Y1715" s="1311"/>
      <c r="Z1715" s="1311"/>
    </row>
    <row r="1716" spans="1:26" x14ac:dyDescent="0.25">
      <c r="A1716" s="847" t="s">
        <v>1389</v>
      </c>
      <c r="B1716" s="826" t="str">
        <f ca="1">_xlfn.IFNA(_xlfn.CONCAT(SUBSTITUTE(ADDRESS(1,MATCH(A1716,INDIRECT("'"&amp;E1716&amp;"'"&amp;"!A" &amp; $O$608+5 &amp; ":Z" &amp; $O$608+5),0),4),1,""),$O$608+6),"")</f>
        <v>L65</v>
      </c>
      <c r="C1716" s="826" t="str">
        <f t="shared" ca="1" si="255"/>
        <v>L</v>
      </c>
      <c r="D1716" s="826" t="s">
        <v>1357</v>
      </c>
      <c r="E1716" s="826" t="s">
        <v>1516</v>
      </c>
      <c r="F1716" s="1081" t="s">
        <v>1987</v>
      </c>
      <c r="G1716" s="1314" t="str">
        <f>IF(S1716&lt;&gt;"","F","")</f>
        <v/>
      </c>
      <c r="H1716" s="1314" t="s">
        <v>1984</v>
      </c>
      <c r="I1716" s="241"/>
      <c r="J1716" s="1311"/>
      <c r="K1716" s="1311"/>
      <c r="L1716" s="1311"/>
      <c r="N1716" s="1311"/>
      <c r="O1716" s="1311"/>
      <c r="P1716" s="1311"/>
      <c r="Q1716" s="1311"/>
      <c r="R1716" s="1314" t="s">
        <v>851</v>
      </c>
      <c r="S1716" s="1314" t="str">
        <f>IF(Q$608="Yes",3,"")</f>
        <v/>
      </c>
      <c r="T1716" s="1311"/>
      <c r="U1716" s="1311"/>
      <c r="V1716" s="1311"/>
      <c r="W1716" s="1311"/>
      <c r="X1716" s="1311"/>
      <c r="Y1716" s="1311"/>
      <c r="Z1716" s="1311"/>
    </row>
    <row r="1717" spans="1:26" x14ac:dyDescent="0.25">
      <c r="A1717" s="850" t="s">
        <v>1491</v>
      </c>
      <c r="B1717" s="826" t="str">
        <f ca="1">IFERROR(_xlfn.CONCAT("C",MATCH(A1717,INDIRECT("'"&amp;E1717&amp;"'!C"&amp;$O$639&amp;":C"&amp;$O$641),0)+$O$639-1),"")</f>
        <v>C79</v>
      </c>
      <c r="C1717" s="826" t="str">
        <f ca="1">IFERROR(_xlfn.CONCAT("D",MATCH(A1717,INDIRECT("'"&amp;E1717&amp;"'!C"&amp;$O$639&amp;":C"&amp;$O$641),0)+$O$639-1),"")</f>
        <v>D79</v>
      </c>
      <c r="D1717" s="826" t="s">
        <v>1350</v>
      </c>
      <c r="E1717" s="826" t="s">
        <v>1516</v>
      </c>
      <c r="F1717" s="841" t="s">
        <v>1491</v>
      </c>
      <c r="G1717" s="1314" t="str">
        <f>IF(S1717&lt;&gt;"","A","")</f>
        <v/>
      </c>
      <c r="H1717" s="1314" t="s">
        <v>1984</v>
      </c>
      <c r="I1717" s="241"/>
      <c r="J1717" s="1311"/>
      <c r="K1717" s="1311"/>
      <c r="L1717" s="1311"/>
      <c r="N1717" s="1311"/>
      <c r="O1717" s="1311"/>
      <c r="P1717" s="1311"/>
      <c r="Q1717" s="1311"/>
      <c r="R1717" s="577" t="s">
        <v>851</v>
      </c>
      <c r="S1717" s="1314" t="str">
        <f>IF(Q$639="Yes",4,"")</f>
        <v/>
      </c>
      <c r="T1717" s="1311"/>
      <c r="U1717" s="1311"/>
      <c r="V1717" s="1311"/>
      <c r="W1717" s="1311"/>
      <c r="X1717" s="1311"/>
      <c r="Y1717" s="1311"/>
      <c r="Z1717" s="1311"/>
    </row>
    <row r="1718" spans="1:26" x14ac:dyDescent="0.25">
      <c r="A1718" s="850" t="s">
        <v>1383</v>
      </c>
      <c r="B1718" s="826" t="str">
        <f ca="1">IFERROR(_xlfn.CONCAT("C",MATCH(A1718,INDIRECT("'"&amp;E1718&amp;"'!C"&amp;$O$639&amp;":C"&amp;$O$641),0)+$O$639-1),"")</f>
        <v>C77</v>
      </c>
      <c r="C1718" s="826" t="str">
        <f ca="1">IFERROR(_xlfn.CONCAT("D",MATCH(A1718,INDIRECT("'"&amp;E1718&amp;"'!C"&amp;$O$639&amp;":C"&amp;$O$641),0)+$O$639-1),"")</f>
        <v>D77</v>
      </c>
      <c r="D1718" s="826" t="s">
        <v>1350</v>
      </c>
      <c r="E1718" s="826" t="s">
        <v>1516</v>
      </c>
      <c r="F1718" s="841" t="s">
        <v>1383</v>
      </c>
      <c r="G1718" s="1314" t="str">
        <f>IF(S1718&lt;&gt;"","B","")</f>
        <v/>
      </c>
      <c r="H1718" s="1314" t="s">
        <v>1984</v>
      </c>
      <c r="I1718" s="241"/>
      <c r="J1718" s="1311"/>
      <c r="K1718" s="1311"/>
      <c r="L1718" s="1311"/>
      <c r="N1718" s="1311"/>
      <c r="O1718" s="1311"/>
      <c r="P1718" s="1311"/>
      <c r="Q1718" s="1311"/>
      <c r="R1718" s="577" t="s">
        <v>851</v>
      </c>
      <c r="S1718" s="1314" t="str">
        <f>IF(Q$639="Yes",4,"")</f>
        <v/>
      </c>
      <c r="T1718" s="1311"/>
      <c r="U1718" s="1311"/>
      <c r="V1718" s="1311"/>
      <c r="W1718" s="1311"/>
      <c r="X1718" s="1311"/>
      <c r="Y1718" s="1311"/>
      <c r="Z1718" s="1311"/>
    </row>
    <row r="1719" spans="1:26" x14ac:dyDescent="0.25">
      <c r="A1719" s="850" t="s">
        <v>1387</v>
      </c>
      <c r="B1719" s="826" t="str">
        <f ca="1">_xlfn.IFNA(_xlfn.CONCAT(SUBSTITUTE(ADDRESS(1,MATCH(A1719,INDIRECT("'"&amp;E1719&amp;"'"&amp;"!A" &amp; $O$639 + 5 &amp; ":Z" &amp; $O$639 + 5),0),4),1,""), $O$639 + 6),"")</f>
        <v>H81</v>
      </c>
      <c r="C1719" s="826" t="str">
        <f t="shared" ref="C1719:C1721" ca="1" si="256">_xlfn.IFNA(SUBSTITUTE(ADDRESS(1,MATCH(A1719,INDIRECT("'"&amp;E1719&amp;"'"&amp;"!A" &amp; $O$639 + 5 &amp; ":Z" &amp; $O$639 + 5),0),4),1,""),"")</f>
        <v>H</v>
      </c>
      <c r="D1719" s="826" t="s">
        <v>1357</v>
      </c>
      <c r="E1719" s="826" t="s">
        <v>1516</v>
      </c>
      <c r="F1719" s="841" t="s">
        <v>1387</v>
      </c>
      <c r="G1719" s="1314" t="str">
        <f>IF(S1719&lt;&gt;"","C","")</f>
        <v/>
      </c>
      <c r="H1719" s="1314" t="s">
        <v>1984</v>
      </c>
      <c r="I1719" s="241"/>
      <c r="J1719" s="1311"/>
      <c r="K1719" s="1311"/>
      <c r="L1719" s="1311"/>
      <c r="N1719" s="1311"/>
      <c r="O1719" s="1311"/>
      <c r="P1719" s="1311"/>
      <c r="Q1719" s="1311"/>
      <c r="R1719" s="577" t="s">
        <v>851</v>
      </c>
      <c r="S1719" s="1314" t="str">
        <f>IF(Q$639="Yes",4,"")</f>
        <v/>
      </c>
      <c r="T1719" s="1311"/>
      <c r="U1719" s="1311"/>
      <c r="V1719" s="1311"/>
      <c r="W1719" s="1311"/>
      <c r="X1719" s="1311"/>
      <c r="Y1719" s="1311"/>
      <c r="Z1719" s="1311"/>
    </row>
    <row r="1720" spans="1:26" x14ac:dyDescent="0.25">
      <c r="A1720" s="850" t="s">
        <v>1388</v>
      </c>
      <c r="B1720" s="826" t="str">
        <f ca="1">_xlfn.IFNA(_xlfn.CONCAT(SUBSTITUTE(ADDRESS(1,MATCH(A1720,INDIRECT("'"&amp;E1720&amp;"'"&amp;"!A" &amp; $O$639 + 5 &amp; ":Z" &amp; $O$639 + 5),0),4),1,""), $O$639 + 6),"")</f>
        <v>J81</v>
      </c>
      <c r="C1720" s="826" t="str">
        <f t="shared" ca="1" si="256"/>
        <v>J</v>
      </c>
      <c r="D1720" s="826" t="s">
        <v>1357</v>
      </c>
      <c r="E1720" s="826" t="s">
        <v>1516</v>
      </c>
      <c r="F1720" s="841" t="s">
        <v>1388</v>
      </c>
      <c r="G1720" s="1314" t="str">
        <f>IF(S1720&lt;&gt;"","D","")</f>
        <v/>
      </c>
      <c r="H1720" s="1314" t="s">
        <v>1984</v>
      </c>
      <c r="I1720" s="241"/>
      <c r="J1720" s="1311"/>
      <c r="K1720" s="1311"/>
      <c r="L1720" s="1311"/>
      <c r="N1720" s="1311"/>
      <c r="O1720" s="1311"/>
      <c r="P1720" s="1311"/>
      <c r="Q1720" s="1311"/>
      <c r="R1720" s="577" t="s">
        <v>851</v>
      </c>
      <c r="S1720" s="1314" t="str">
        <f>IF(Q$639="Yes",4,"")</f>
        <v/>
      </c>
      <c r="T1720" s="1311"/>
      <c r="U1720" s="1311"/>
      <c r="V1720" s="1311"/>
      <c r="W1720" s="1311"/>
      <c r="X1720" s="1311"/>
      <c r="Y1720" s="1311"/>
      <c r="Z1720" s="1311"/>
    </row>
    <row r="1721" spans="1:26" x14ac:dyDescent="0.25">
      <c r="A1721" s="850" t="s">
        <v>1389</v>
      </c>
      <c r="B1721" s="826" t="str">
        <f ca="1">_xlfn.IFNA(_xlfn.CONCAT(SUBSTITUTE(ADDRESS(1,MATCH(A1721,INDIRECT("'"&amp;E1721&amp;"'"&amp;"!A" &amp; $O$639 + 5 &amp; ":Z" &amp; $O$639 + 5),0),4),1,""),$O$639 + 6),"")</f>
        <v>L81</v>
      </c>
      <c r="C1721" s="826" t="str">
        <f t="shared" ca="1" si="256"/>
        <v>L</v>
      </c>
      <c r="D1721" s="826" t="s">
        <v>1357</v>
      </c>
      <c r="E1721" s="826" t="s">
        <v>1516</v>
      </c>
      <c r="F1721" s="1081" t="s">
        <v>1987</v>
      </c>
      <c r="G1721" s="1314" t="str">
        <f>IF(S1721&lt;&gt;"","F","")</f>
        <v/>
      </c>
      <c r="H1721" s="1314" t="s">
        <v>1984</v>
      </c>
      <c r="I1721" s="241"/>
      <c r="J1721" s="1311"/>
      <c r="K1721" s="1311"/>
      <c r="L1721" s="1311"/>
      <c r="N1721" s="1311"/>
      <c r="O1721" s="1311"/>
      <c r="P1721" s="1311"/>
      <c r="Q1721" s="1311"/>
      <c r="R1721" s="577" t="s">
        <v>851</v>
      </c>
      <c r="S1721" s="1314" t="str">
        <f>IF(Q$639="Yes",4,"")</f>
        <v/>
      </c>
      <c r="T1721" s="1311"/>
      <c r="U1721" s="1311"/>
      <c r="V1721" s="1311"/>
      <c r="W1721" s="1311"/>
      <c r="X1721" s="1311"/>
      <c r="Y1721" s="1311"/>
      <c r="Z1721" s="1311"/>
    </row>
    <row r="1722" spans="1:26" x14ac:dyDescent="0.25">
      <c r="A1722" s="847" t="s">
        <v>1491</v>
      </c>
      <c r="B1722" s="826" t="str">
        <f ca="1">IFERROR(_xlfn.CONCAT("C",MATCH(A1722,INDIRECT("'"&amp;E1722&amp;"'!C"&amp;$O$670&amp;":C"&amp;$O$672),0)+$O$670-1),"")</f>
        <v>C95</v>
      </c>
      <c r="C1722" s="826" t="str">
        <f ca="1">IFERROR(_xlfn.CONCAT("D",MATCH(A1722,INDIRECT("'"&amp;E1722&amp;"'!C"&amp;$O$670&amp;":C"&amp;$O$672),0)+$O$670-1),"")</f>
        <v>D95</v>
      </c>
      <c r="D1722" s="826" t="s">
        <v>1350</v>
      </c>
      <c r="E1722" s="826" t="s">
        <v>1516</v>
      </c>
      <c r="F1722" s="841" t="s">
        <v>1491</v>
      </c>
      <c r="G1722" s="1314" t="str">
        <f>IF(S1722&lt;&gt;"","A","")</f>
        <v/>
      </c>
      <c r="H1722" s="1314" t="s">
        <v>1984</v>
      </c>
      <c r="I1722" s="241"/>
      <c r="J1722" s="1311"/>
      <c r="K1722" s="1311"/>
      <c r="L1722" s="1311"/>
      <c r="N1722" s="1311"/>
      <c r="O1722" s="1311"/>
      <c r="P1722" s="1311"/>
      <c r="Q1722" s="1311"/>
      <c r="R1722" s="1314" t="s">
        <v>1525</v>
      </c>
      <c r="S1722" s="1314" t="str">
        <f>IF(Q$670="Yes",5,"")</f>
        <v/>
      </c>
      <c r="T1722" s="1311"/>
      <c r="U1722" s="1311"/>
      <c r="V1722" s="1311"/>
      <c r="W1722" s="1311"/>
      <c r="X1722" s="1311"/>
      <c r="Y1722" s="1311"/>
      <c r="Z1722" s="1311"/>
    </row>
    <row r="1723" spans="1:26" x14ac:dyDescent="0.25">
      <c r="A1723" s="847" t="s">
        <v>1383</v>
      </c>
      <c r="B1723" s="826" t="str">
        <f ca="1">IFERROR(_xlfn.CONCAT("C",MATCH(A1723,INDIRECT("'"&amp;E1723&amp;"'!C"&amp;$O$670&amp;":C"&amp;$O$672),0)+$O$670-1),"")</f>
        <v>C93</v>
      </c>
      <c r="C1723" s="826" t="str">
        <f ca="1">IFERROR(_xlfn.CONCAT("D",MATCH(A1723,INDIRECT("'"&amp;E1723&amp;"'!C"&amp;$O$670&amp;":C"&amp;$O$672),0)+$O$670-1),"")</f>
        <v>D93</v>
      </c>
      <c r="D1723" s="826" t="s">
        <v>1350</v>
      </c>
      <c r="E1723" s="826" t="s">
        <v>1516</v>
      </c>
      <c r="F1723" s="841" t="s">
        <v>1383</v>
      </c>
      <c r="G1723" s="1314" t="str">
        <f>IF(S1723&lt;&gt;"","B","")</f>
        <v/>
      </c>
      <c r="H1723" s="1314" t="s">
        <v>1984</v>
      </c>
      <c r="I1723" s="241"/>
      <c r="J1723" s="1311"/>
      <c r="K1723" s="1311"/>
      <c r="L1723" s="1311"/>
      <c r="N1723" s="1311"/>
      <c r="O1723" s="1311"/>
      <c r="P1723" s="1311"/>
      <c r="Q1723" s="1311"/>
      <c r="R1723" s="1314" t="s">
        <v>1525</v>
      </c>
      <c r="S1723" s="1314" t="str">
        <f>IF(Q$670="Yes",5,"")</f>
        <v/>
      </c>
      <c r="T1723" s="1311"/>
      <c r="U1723" s="1311"/>
      <c r="V1723" s="1311"/>
      <c r="W1723" s="1311"/>
      <c r="X1723" s="1311"/>
      <c r="Y1723" s="1311"/>
      <c r="Z1723" s="1311"/>
    </row>
    <row r="1724" spans="1:26" x14ac:dyDescent="0.25">
      <c r="A1724" s="847" t="s">
        <v>1387</v>
      </c>
      <c r="B1724" s="826" t="str">
        <f ca="1">_xlfn.CONCAT(IFERROR(SUBSTITUTE(ADDRESS(1,MATCH(A1724,INDIRECT("'"&amp;E1724&amp;"'"&amp;"!A" &amp; $O$670 + 5 &amp; ":Z" &amp; $O$670 + 5),0),4),1,""),""),$O$670 + 5)</f>
        <v>H96</v>
      </c>
      <c r="C1724" s="826" t="str">
        <f ca="1">_xlfn.CONCAT(IFERROR(SUBSTITUTE(ADDRESS(1,MATCH(A1724,INDIRECT("'"&amp;E1724&amp;"'"&amp;"!A" &amp; $O$670 + 5 &amp; ":Z" &amp; $O$670 + 5),0),4),1,""),""),$O$670 + 6)</f>
        <v>H97</v>
      </c>
      <c r="D1724" s="826" t="s">
        <v>1350</v>
      </c>
      <c r="E1724" s="826" t="s">
        <v>1516</v>
      </c>
      <c r="F1724" s="841" t="s">
        <v>1387</v>
      </c>
      <c r="G1724" s="1314" t="str">
        <f>IF(S1724&lt;&gt;"","C","")</f>
        <v/>
      </c>
      <c r="H1724" s="1314" t="s">
        <v>1984</v>
      </c>
      <c r="I1724" s="241"/>
      <c r="J1724" s="1311"/>
      <c r="K1724" s="1311"/>
      <c r="L1724" s="1311"/>
      <c r="N1724" s="1311"/>
      <c r="O1724" s="1311"/>
      <c r="P1724" s="1311"/>
      <c r="Q1724" s="1311"/>
      <c r="R1724" s="1314" t="s">
        <v>1525</v>
      </c>
      <c r="S1724" s="1314" t="str">
        <f>IF(Q$670="Yes",5,"")</f>
        <v/>
      </c>
      <c r="T1724" s="1311"/>
      <c r="U1724" s="1311"/>
      <c r="V1724" s="1311"/>
      <c r="W1724" s="1311"/>
      <c r="X1724" s="1311"/>
      <c r="Y1724" s="1311"/>
      <c r="Z1724" s="1311"/>
    </row>
    <row r="1725" spans="1:26" x14ac:dyDescent="0.25">
      <c r="A1725" s="847" t="s">
        <v>1388</v>
      </c>
      <c r="B1725" s="826" t="str">
        <f ca="1">_xlfn.CONCAT(IFERROR(SUBSTITUTE(ADDRESS(1,MATCH(A1725,INDIRECT("'"&amp;E1725&amp;"'"&amp;"!A" &amp; $O$670 + 5 &amp; ":Z" &amp; $O$670 + 5),0),4),1,""),""),$O$670 + 5)</f>
        <v>J96</v>
      </c>
      <c r="C1725" s="826" t="str">
        <f ca="1">_xlfn.CONCAT(IFERROR(SUBSTITUTE(ADDRESS(1,MATCH(A1725,INDIRECT("'"&amp;E1725&amp;"'"&amp;"!A" &amp; $O$670 + 5 &amp; ":Z" &amp; $O$670 + 5),0),4),1,""),""),$O$670 + 6)</f>
        <v>J97</v>
      </c>
      <c r="D1725" s="826" t="s">
        <v>1350</v>
      </c>
      <c r="E1725" s="826" t="s">
        <v>1516</v>
      </c>
      <c r="F1725" s="841" t="s">
        <v>1388</v>
      </c>
      <c r="G1725" s="1314" t="str">
        <f>IF(S1725&lt;&gt;"","D","")</f>
        <v/>
      </c>
      <c r="H1725" s="1314" t="s">
        <v>1984</v>
      </c>
      <c r="I1725" s="241"/>
      <c r="J1725" s="1311"/>
      <c r="K1725" s="1311"/>
      <c r="L1725" s="1311"/>
      <c r="N1725" s="1311"/>
      <c r="O1725" s="1311"/>
      <c r="P1725" s="1311"/>
      <c r="Q1725" s="1311"/>
      <c r="R1725" s="1314" t="s">
        <v>1525</v>
      </c>
      <c r="S1725" s="1314" t="str">
        <f>IF(Q$670="Yes",5,"")</f>
        <v/>
      </c>
      <c r="T1725" s="1311"/>
      <c r="U1725" s="1311"/>
      <c r="V1725" s="1311"/>
      <c r="W1725" s="1311"/>
      <c r="X1725" s="1311"/>
      <c r="Y1725" s="1311"/>
      <c r="Z1725" s="1311"/>
    </row>
    <row r="1726" spans="1:26" x14ac:dyDescent="0.25">
      <c r="A1726" s="847" t="s">
        <v>1389</v>
      </c>
      <c r="B1726" s="826" t="str">
        <f ca="1">_xlfn.CONCAT(IFERROR(SUBSTITUTE(ADDRESS(1,MATCH(A1726,INDIRECT("'"&amp;E1726&amp;"'"&amp;"!A" &amp; $O$670 + 5 &amp; ":Z" &amp; $O$670 + 5),0),4),1,""),""),$O$670 + 5)</f>
        <v>L96</v>
      </c>
      <c r="C1726" s="826" t="str">
        <f ca="1">_xlfn.CONCAT(IFERROR(SUBSTITUTE(ADDRESS(1,MATCH(A1726,INDIRECT("'"&amp;E1726&amp;"'"&amp;"!A" &amp; $O$670 + 5 &amp; ":Z" &amp; $O$670 + 5),0),4),1,""),""),$O$670 + 6)</f>
        <v>L97</v>
      </c>
      <c r="D1726" s="826" t="s">
        <v>1350</v>
      </c>
      <c r="E1726" s="826" t="s">
        <v>1516</v>
      </c>
      <c r="F1726" s="1081" t="s">
        <v>1987</v>
      </c>
      <c r="G1726" s="1314" t="str">
        <f>IF(S1726&lt;&gt;"","F","")</f>
        <v/>
      </c>
      <c r="H1726" s="1314" t="s">
        <v>1984</v>
      </c>
      <c r="I1726" s="241"/>
      <c r="J1726" s="1311"/>
      <c r="K1726" s="1311"/>
      <c r="L1726" s="1311"/>
      <c r="N1726" s="1311"/>
      <c r="O1726" s="1311"/>
      <c r="P1726" s="1311"/>
      <c r="Q1726" s="1311"/>
      <c r="R1726" s="1314" t="s">
        <v>1525</v>
      </c>
      <c r="S1726" s="1314" t="str">
        <f>IF(Q$670="Yes",5,"")</f>
        <v/>
      </c>
      <c r="T1726" s="1311"/>
      <c r="U1726" s="1311"/>
      <c r="V1726" s="1311"/>
      <c r="W1726" s="1311"/>
      <c r="X1726" s="1311"/>
      <c r="Y1726" s="1311"/>
      <c r="Z1726" s="1311"/>
    </row>
    <row r="1727" spans="1:26" x14ac:dyDescent="0.25">
      <c r="A1727" s="850" t="s">
        <v>1491</v>
      </c>
      <c r="B1727" s="826" t="str">
        <f ca="1">IFERROR(_xlfn.CONCAT("C",MATCH(A1727,INDIRECT("'"&amp;E1727&amp;"'!C"&amp;$O$688&amp;":C"&amp;$O$690),0)+$O$688-1),"")</f>
        <v>C109</v>
      </c>
      <c r="C1727" s="826" t="str">
        <f ca="1">IFERROR(_xlfn.CONCAT("D",MATCH(A1727,INDIRECT("'"&amp;E1727&amp;"'!C"&amp;$O$688&amp;":C"&amp;$O$690),0)+$O$688-1),"")</f>
        <v>D109</v>
      </c>
      <c r="D1727" s="826" t="s">
        <v>1350</v>
      </c>
      <c r="E1727" s="826" t="s">
        <v>1516</v>
      </c>
      <c r="F1727" s="841" t="s">
        <v>1491</v>
      </c>
      <c r="G1727" s="1314" t="str">
        <f>IF(S1727&lt;&gt;"","A","")</f>
        <v/>
      </c>
      <c r="H1727" s="1314" t="s">
        <v>1984</v>
      </c>
      <c r="I1727" s="241"/>
      <c r="J1727" s="1311"/>
      <c r="K1727" s="1311"/>
      <c r="L1727" s="1311"/>
      <c r="N1727" s="1311"/>
      <c r="O1727" s="1311"/>
      <c r="P1727" s="1311"/>
      <c r="Q1727" s="1311"/>
      <c r="R1727" s="1314" t="s">
        <v>1525</v>
      </c>
      <c r="S1727" s="1314" t="str">
        <f>IF(Q$688="Yes",6,"")</f>
        <v/>
      </c>
      <c r="T1727" s="1311"/>
      <c r="U1727" s="1311"/>
      <c r="V1727" s="1311"/>
      <c r="W1727" s="1311"/>
      <c r="X1727" s="1311"/>
      <c r="Y1727" s="1311"/>
      <c r="Z1727" s="1311"/>
    </row>
    <row r="1728" spans="1:26" x14ac:dyDescent="0.25">
      <c r="A1728" s="850" t="s">
        <v>1383</v>
      </c>
      <c r="B1728" s="826" t="str">
        <f ca="1">IFERROR(_xlfn.CONCAT("C",MATCH(A1728,INDIRECT("'"&amp;E1728&amp;"'!C"&amp;$O$688&amp;":C"&amp;$O$690),0)+$O$688-1),"")</f>
        <v>C107</v>
      </c>
      <c r="C1728" s="826" t="str">
        <f ca="1">IFERROR(_xlfn.CONCAT("D",MATCH(A1728,INDIRECT("'"&amp;E1728&amp;"'!C"&amp;$O$688&amp;":C"&amp;$O$690),0)+$O$688-1),"")</f>
        <v>D107</v>
      </c>
      <c r="D1728" s="826" t="s">
        <v>1350</v>
      </c>
      <c r="E1728" s="826" t="s">
        <v>1516</v>
      </c>
      <c r="F1728" s="841" t="s">
        <v>1383</v>
      </c>
      <c r="G1728" s="1314" t="str">
        <f>IF(S1728&lt;&gt;"","B","")</f>
        <v/>
      </c>
      <c r="H1728" s="1314" t="s">
        <v>1984</v>
      </c>
      <c r="I1728" s="241"/>
      <c r="J1728" s="1311"/>
      <c r="K1728" s="1311"/>
      <c r="L1728" s="1311"/>
      <c r="N1728" s="1311"/>
      <c r="O1728" s="1311"/>
      <c r="P1728" s="1311"/>
      <c r="Q1728" s="1311"/>
      <c r="R1728" s="1314" t="s">
        <v>1525</v>
      </c>
      <c r="S1728" s="1314" t="str">
        <f>IF(Q$688="Yes",6,"")</f>
        <v/>
      </c>
      <c r="T1728" s="1311"/>
      <c r="U1728" s="1311"/>
      <c r="V1728" s="1311"/>
      <c r="W1728" s="1311"/>
      <c r="X1728" s="1311"/>
      <c r="Y1728" s="1311"/>
      <c r="Z1728" s="1311"/>
    </row>
    <row r="1729" spans="1:26" x14ac:dyDescent="0.25">
      <c r="A1729" s="850" t="s">
        <v>1387</v>
      </c>
      <c r="B1729" s="826" t="str">
        <f ca="1">_xlfn.CONCAT(IFERROR(SUBSTITUTE(ADDRESS(1,MATCH(A1729,INDIRECT("'"&amp;E1729&amp;"'"&amp;"!A" &amp; $O$688 + 5 &amp; ":Z" &amp; $O$688 + 5),0),4),1,""),""),$O$688 + 5)</f>
        <v>H110</v>
      </c>
      <c r="C1729" s="826" t="str">
        <f ca="1">_xlfn.CONCAT(IFERROR(SUBSTITUTE(ADDRESS(1,MATCH(A1729,INDIRECT("'"&amp;E1729&amp;"'"&amp;"!A" &amp; $O$688 + 5 &amp; ":Z" &amp; $O$688 + 5),0),4),1,""),""),$O$688 + 6)</f>
        <v>H111</v>
      </c>
      <c r="D1729" s="826" t="s">
        <v>1350</v>
      </c>
      <c r="E1729" s="826" t="s">
        <v>1516</v>
      </c>
      <c r="F1729" s="841" t="s">
        <v>1387</v>
      </c>
      <c r="G1729" s="1314" t="str">
        <f>IF(S1729&lt;&gt;"","C","")</f>
        <v/>
      </c>
      <c r="H1729" s="1314" t="s">
        <v>1984</v>
      </c>
      <c r="I1729" s="241"/>
      <c r="J1729" s="1311"/>
      <c r="K1729" s="1311"/>
      <c r="L1729" s="1311"/>
      <c r="N1729" s="1311"/>
      <c r="O1729" s="1311"/>
      <c r="P1729" s="1311"/>
      <c r="Q1729" s="1311"/>
      <c r="R1729" s="1314" t="s">
        <v>1525</v>
      </c>
      <c r="S1729" s="1314" t="str">
        <f>IF(Q$688="Yes",6,"")</f>
        <v/>
      </c>
      <c r="T1729" s="1311"/>
      <c r="U1729" s="1311"/>
      <c r="V1729" s="1311"/>
      <c r="W1729" s="1311"/>
      <c r="X1729" s="1311"/>
      <c r="Y1729" s="1311"/>
      <c r="Z1729" s="1311"/>
    </row>
    <row r="1730" spans="1:26" x14ac:dyDescent="0.25">
      <c r="A1730" s="850" t="s">
        <v>1388</v>
      </c>
      <c r="B1730" s="826" t="str">
        <f ca="1">_xlfn.CONCAT(IFERROR(SUBSTITUTE(ADDRESS(1,MATCH(A1730,INDIRECT("'"&amp;E1730&amp;"'"&amp;"!A" &amp; $O$688 + 5 &amp; ":Z" &amp; $O$688 + 5),0),4),1,""),""),$O$688 + 5)</f>
        <v>J110</v>
      </c>
      <c r="C1730" s="826" t="str">
        <f ca="1">_xlfn.CONCAT(IFERROR(SUBSTITUTE(ADDRESS(1,MATCH(A1730,INDIRECT("'"&amp;E1730&amp;"'"&amp;"!A" &amp; $O$688 + 5 &amp; ":Z" &amp; $O$688 + 5),0),4),1,""),""),$O$688 + 6)</f>
        <v>J111</v>
      </c>
      <c r="D1730" s="826" t="s">
        <v>1350</v>
      </c>
      <c r="E1730" s="826" t="s">
        <v>1516</v>
      </c>
      <c r="F1730" s="841" t="s">
        <v>1388</v>
      </c>
      <c r="G1730" s="1314" t="str">
        <f>IF(S1730&lt;&gt;"","D","")</f>
        <v/>
      </c>
      <c r="H1730" s="1314" t="s">
        <v>1984</v>
      </c>
      <c r="I1730" s="241"/>
      <c r="J1730" s="1311"/>
      <c r="K1730" s="1311"/>
      <c r="L1730" s="1311"/>
      <c r="N1730" s="1311"/>
      <c r="O1730" s="1311"/>
      <c r="P1730" s="1311"/>
      <c r="Q1730" s="1311"/>
      <c r="R1730" s="1314" t="s">
        <v>1525</v>
      </c>
      <c r="S1730" s="1314" t="str">
        <f>IF(Q$688="Yes",6,"")</f>
        <v/>
      </c>
      <c r="T1730" s="1311"/>
      <c r="U1730" s="1311"/>
      <c r="V1730" s="1311"/>
      <c r="W1730" s="1311"/>
      <c r="X1730" s="1311"/>
      <c r="Y1730" s="1311"/>
      <c r="Z1730" s="1311"/>
    </row>
    <row r="1731" spans="1:26" x14ac:dyDescent="0.25">
      <c r="A1731" s="850" t="s">
        <v>1389</v>
      </c>
      <c r="B1731" s="826" t="str">
        <f ca="1">_xlfn.CONCAT(IFERROR(SUBSTITUTE(ADDRESS(1,MATCH(A1731,INDIRECT("'"&amp;E1731&amp;"'"&amp;"!A" &amp; $O$688 + 5 &amp; ":Z" &amp; $O$688 + 5),0),4),1,""),""),$O$688 + 5)</f>
        <v>L110</v>
      </c>
      <c r="C1731" s="826" t="str">
        <f ca="1">_xlfn.CONCAT(IFERROR(SUBSTITUTE(ADDRESS(1,MATCH(A1731,INDIRECT("'"&amp;E1731&amp;"'"&amp;"!A" &amp; $O$688 + 5 &amp; ":Z" &amp; $O$688 + 5),0),4),1,""),""),$O$688 + 6)</f>
        <v>L111</v>
      </c>
      <c r="D1731" s="826" t="s">
        <v>1350</v>
      </c>
      <c r="E1731" s="826" t="s">
        <v>1516</v>
      </c>
      <c r="F1731" s="1081" t="s">
        <v>1987</v>
      </c>
      <c r="G1731" s="1314" t="str">
        <f>IF(S1731&lt;&gt;"","F","")</f>
        <v/>
      </c>
      <c r="H1731" s="1314" t="s">
        <v>1984</v>
      </c>
      <c r="I1731" s="241"/>
      <c r="J1731" s="1311"/>
      <c r="K1731" s="1311"/>
      <c r="L1731" s="1311"/>
      <c r="N1731" s="1311"/>
      <c r="O1731" s="1311"/>
      <c r="P1731" s="1311"/>
      <c r="Q1731" s="1311"/>
      <c r="R1731" s="1314" t="s">
        <v>1525</v>
      </c>
      <c r="S1731" s="1314" t="str">
        <f>IF(Q$688="Yes",6,"")</f>
        <v/>
      </c>
      <c r="T1731" s="1311"/>
      <c r="U1731" s="1311"/>
      <c r="V1731" s="1311"/>
      <c r="W1731" s="1311"/>
      <c r="X1731" s="1311"/>
      <c r="Y1731" s="1311"/>
      <c r="Z1731" s="1311"/>
    </row>
    <row r="1732" spans="1:26" x14ac:dyDescent="0.25">
      <c r="A1732" s="847" t="s">
        <v>1491</v>
      </c>
      <c r="B1732" s="826" t="str">
        <f ca="1">IFERROR(_xlfn.CONCAT("C",MATCH(A1732,INDIRECT("'"&amp;E1732&amp;"'!C"&amp;$O$706&amp;":C"&amp;$O$708),0)+$O$706-1),"")</f>
        <v>C123</v>
      </c>
      <c r="C1732" s="826" t="str">
        <f ca="1">IFERROR(_xlfn.CONCAT("D",MATCH(A1732,INDIRECT("'"&amp;E1732&amp;"'!C"&amp;$O$706&amp;":C"&amp;$O$708),0)+$O$706-1),"")</f>
        <v>D123</v>
      </c>
      <c r="D1732" s="826" t="s">
        <v>1350</v>
      </c>
      <c r="E1732" s="826" t="s">
        <v>1516</v>
      </c>
      <c r="F1732" s="841" t="s">
        <v>1491</v>
      </c>
      <c r="G1732" s="1314" t="str">
        <f>IF(S1732&lt;&gt;"","A","")</f>
        <v/>
      </c>
      <c r="H1732" s="1314" t="s">
        <v>1984</v>
      </c>
      <c r="I1732" s="241"/>
      <c r="J1732" s="1311"/>
      <c r="K1732" s="1311"/>
      <c r="L1732" s="1311"/>
      <c r="N1732" s="1311"/>
      <c r="O1732" s="1311"/>
      <c r="P1732" s="1311"/>
      <c r="Q1732" s="1311"/>
      <c r="R1732" s="1314" t="s">
        <v>1525</v>
      </c>
      <c r="S1732" s="1314" t="str">
        <f>IF(Q$706="Yes",7,"")</f>
        <v/>
      </c>
      <c r="T1732" s="1311"/>
      <c r="U1732" s="1311"/>
      <c r="V1732" s="1311"/>
      <c r="W1732" s="1311"/>
      <c r="X1732" s="1311"/>
      <c r="Y1732" s="1311"/>
      <c r="Z1732" s="1311"/>
    </row>
    <row r="1733" spans="1:26" x14ac:dyDescent="0.25">
      <c r="A1733" s="847" t="s">
        <v>1383</v>
      </c>
      <c r="B1733" s="826" t="str">
        <f ca="1">IFERROR(_xlfn.CONCAT("C",MATCH(A1733,INDIRECT("'"&amp;E1733&amp;"'!C"&amp;$O$706&amp;":C"&amp;$O$708),0)+$O$706-1),"")</f>
        <v>C121</v>
      </c>
      <c r="C1733" s="826" t="str">
        <f ca="1">IFERROR(_xlfn.CONCAT("D",MATCH(A1733,INDIRECT("'"&amp;E1733&amp;"'!C"&amp;$O$706&amp;":C"&amp;$O$708),0)+$O$706-1),"")</f>
        <v>D121</v>
      </c>
      <c r="D1733" s="826" t="s">
        <v>1350</v>
      </c>
      <c r="E1733" s="826" t="s">
        <v>1516</v>
      </c>
      <c r="F1733" s="841" t="s">
        <v>1383</v>
      </c>
      <c r="G1733" s="1314" t="str">
        <f>IF(S1733&lt;&gt;"","B","")</f>
        <v/>
      </c>
      <c r="H1733" s="1314" t="s">
        <v>1984</v>
      </c>
      <c r="I1733" s="241"/>
      <c r="J1733" s="1311"/>
      <c r="K1733" s="1311"/>
      <c r="L1733" s="1311"/>
      <c r="N1733" s="1311"/>
      <c r="O1733" s="1311"/>
      <c r="P1733" s="1311"/>
      <c r="Q1733" s="1311"/>
      <c r="R1733" s="1314" t="s">
        <v>1525</v>
      </c>
      <c r="S1733" s="1314" t="str">
        <f>IF(Q$706="Yes",7,"")</f>
        <v/>
      </c>
      <c r="T1733" s="1311"/>
      <c r="U1733" s="1311"/>
      <c r="V1733" s="1311"/>
      <c r="W1733" s="1311"/>
      <c r="X1733" s="1311"/>
      <c r="Y1733" s="1311"/>
      <c r="Z1733" s="1311"/>
    </row>
    <row r="1734" spans="1:26" x14ac:dyDescent="0.25">
      <c r="A1734" s="847" t="s">
        <v>1387</v>
      </c>
      <c r="B1734" s="826" t="str">
        <f ca="1">_xlfn.IFNA(_xlfn.CONCAT(SUBSTITUTE(ADDRESS(1,MATCH(A1734,INDIRECT("'"&amp;E1734&amp;"'"&amp;"!A" &amp; $O$706 + 5 &amp; ":Z" &amp; $O$706+ 5),0),4),1,""),$O$706 + 6),"")</f>
        <v>H125</v>
      </c>
      <c r="C1734" s="826" t="str">
        <f t="shared" ref="C1734:C1736" ca="1" si="257">_xlfn.IFNA(SUBSTITUTE(ADDRESS(1,MATCH(A1734,INDIRECT("'"&amp;E1734&amp;"'"&amp;"!A" &amp; $O$706 + 5 &amp; ":Z" &amp; $O$706+ 5),0),4),1,""),"")</f>
        <v>H</v>
      </c>
      <c r="D1734" s="826" t="s">
        <v>1357</v>
      </c>
      <c r="E1734" s="826" t="s">
        <v>1516</v>
      </c>
      <c r="F1734" s="841" t="s">
        <v>1387</v>
      </c>
      <c r="G1734" s="1314" t="str">
        <f>IF(S1734&lt;&gt;"","C","")</f>
        <v/>
      </c>
      <c r="H1734" s="1314" t="s">
        <v>1984</v>
      </c>
      <c r="I1734" s="241"/>
      <c r="J1734" s="1311"/>
      <c r="K1734" s="1311"/>
      <c r="L1734" s="1311"/>
      <c r="N1734" s="1311"/>
      <c r="O1734" s="1311"/>
      <c r="P1734" s="1311"/>
      <c r="Q1734" s="1311"/>
      <c r="R1734" s="1314" t="s">
        <v>1525</v>
      </c>
      <c r="S1734" s="1314" t="str">
        <f>IF(Q$706="Yes",7,"")</f>
        <v/>
      </c>
      <c r="T1734" s="1311"/>
      <c r="U1734" s="1311"/>
      <c r="V1734" s="1311"/>
      <c r="W1734" s="1311"/>
      <c r="X1734" s="1311"/>
      <c r="Y1734" s="1311"/>
      <c r="Z1734" s="1311"/>
    </row>
    <row r="1735" spans="1:26" x14ac:dyDescent="0.25">
      <c r="A1735" s="847" t="s">
        <v>1388</v>
      </c>
      <c r="B1735" s="826" t="str">
        <f ca="1">_xlfn.IFNA(_xlfn.CONCAT(SUBSTITUTE(ADDRESS(1,MATCH(A1735,INDIRECT("'"&amp;E1735&amp;"'"&amp;"!A" &amp; $O$706 + 5 &amp; ":Z" &amp; $O$706+ 5),0),4),1,""),$O$706 + 6),"")</f>
        <v>J125</v>
      </c>
      <c r="C1735" s="826" t="str">
        <f t="shared" ca="1" si="257"/>
        <v>J</v>
      </c>
      <c r="D1735" s="826" t="s">
        <v>1357</v>
      </c>
      <c r="E1735" s="826" t="s">
        <v>1516</v>
      </c>
      <c r="F1735" s="841" t="s">
        <v>1388</v>
      </c>
      <c r="G1735" s="1314" t="str">
        <f>IF(S1735&lt;&gt;"","D","")</f>
        <v/>
      </c>
      <c r="H1735" s="1314" t="s">
        <v>1984</v>
      </c>
      <c r="I1735" s="241"/>
      <c r="J1735" s="1311"/>
      <c r="K1735" s="1311"/>
      <c r="L1735" s="1311"/>
      <c r="N1735" s="1311"/>
      <c r="O1735" s="1311"/>
      <c r="P1735" s="1311"/>
      <c r="Q1735" s="1311"/>
      <c r="R1735" s="1314" t="s">
        <v>1525</v>
      </c>
      <c r="S1735" s="1314" t="str">
        <f>IF(Q$706="Yes",7,"")</f>
        <v/>
      </c>
      <c r="T1735" s="1311"/>
      <c r="U1735" s="1311"/>
      <c r="V1735" s="1311"/>
      <c r="W1735" s="1311"/>
      <c r="X1735" s="1311"/>
      <c r="Y1735" s="1311"/>
      <c r="Z1735" s="1311"/>
    </row>
    <row r="1736" spans="1:26" x14ac:dyDescent="0.25">
      <c r="A1736" s="847" t="s">
        <v>1389</v>
      </c>
      <c r="B1736" s="826" t="str">
        <f ca="1">_xlfn.IFNA(_xlfn.CONCAT(SUBSTITUTE(ADDRESS(1,MATCH(A1736,INDIRECT("'"&amp;E1736&amp;"'"&amp;"!A" &amp; $O$706 + 5 &amp; ":Z" &amp; $O$706+ 5),0),4),1,""),$O$706 + 6),"")</f>
        <v>L125</v>
      </c>
      <c r="C1736" s="826" t="str">
        <f t="shared" ca="1" si="257"/>
        <v>L</v>
      </c>
      <c r="D1736" s="826" t="s">
        <v>1357</v>
      </c>
      <c r="E1736" s="826" t="s">
        <v>1516</v>
      </c>
      <c r="F1736" s="1081" t="s">
        <v>1987</v>
      </c>
      <c r="G1736" s="1314" t="str">
        <f>IF(S1736&lt;&gt;"","F","")</f>
        <v/>
      </c>
      <c r="H1736" s="1314" t="s">
        <v>1984</v>
      </c>
      <c r="I1736" s="241"/>
      <c r="J1736" s="1311"/>
      <c r="K1736" s="1311"/>
      <c r="L1736" s="1311"/>
      <c r="N1736" s="1311"/>
      <c r="O1736" s="1311"/>
      <c r="P1736" s="1311"/>
      <c r="Q1736" s="1311"/>
      <c r="R1736" s="1314" t="s">
        <v>1525</v>
      </c>
      <c r="S1736" s="1314" t="str">
        <f>IF(Q$706="Yes",7,"")</f>
        <v/>
      </c>
      <c r="T1736" s="1311"/>
      <c r="U1736" s="1311"/>
      <c r="V1736" s="1311"/>
      <c r="W1736" s="1311"/>
      <c r="X1736" s="1311"/>
      <c r="Y1736" s="1311"/>
      <c r="Z1736" s="1311"/>
    </row>
    <row r="1737" spans="1:26" x14ac:dyDescent="0.25">
      <c r="A1737" s="850" t="s">
        <v>1491</v>
      </c>
      <c r="B1737" s="826" t="str">
        <f ca="1">IFERROR(_xlfn.CONCAT("C",MATCH(A1737,INDIRECT("'"&amp;E1737&amp;"'!C"&amp;$O$736&amp;":C"&amp;$O$738),0)+$O$736-1),"")</f>
        <v>C139</v>
      </c>
      <c r="C1737" s="826" t="str">
        <f ca="1">IFERROR(_xlfn.CONCAT("D",MATCH(A1737,INDIRECT("'"&amp;E1737&amp;"'!C"&amp;$O$736&amp;":C"&amp;$O$738),0)+$O$736-1),"")</f>
        <v>D139</v>
      </c>
      <c r="D1737" s="826" t="s">
        <v>1350</v>
      </c>
      <c r="E1737" s="826" t="s">
        <v>1516</v>
      </c>
      <c r="F1737" s="841" t="s">
        <v>1491</v>
      </c>
      <c r="G1737" s="1314" t="str">
        <f>IF(S1737&lt;&gt;"","A","")</f>
        <v/>
      </c>
      <c r="H1737" s="1314" t="s">
        <v>1984</v>
      </c>
      <c r="I1737" s="241"/>
      <c r="J1737" s="1311"/>
      <c r="K1737" s="1311"/>
      <c r="L1737" s="1311"/>
      <c r="N1737" s="1311"/>
      <c r="O1737" s="1311"/>
      <c r="P1737" s="1311"/>
      <c r="Q1737" s="1311"/>
      <c r="R1737" s="1314" t="s">
        <v>1525</v>
      </c>
      <c r="S1737" s="1314" t="str">
        <f>IF(Q$736="Yes",8,"")</f>
        <v/>
      </c>
      <c r="T1737" s="1311"/>
      <c r="U1737" s="1311"/>
      <c r="V1737" s="1311"/>
      <c r="W1737" s="1311"/>
      <c r="X1737" s="1311"/>
      <c r="Y1737" s="1311"/>
      <c r="Z1737" s="1311"/>
    </row>
    <row r="1738" spans="1:26" x14ac:dyDescent="0.25">
      <c r="A1738" s="850" t="s">
        <v>1383</v>
      </c>
      <c r="B1738" s="826" t="str">
        <f ca="1">IFERROR(_xlfn.CONCAT("C",MATCH(A1738,INDIRECT("'"&amp;E1738&amp;"'!C"&amp;$O$736&amp;":C"&amp;$O$738),0)+$O$736-1),"")</f>
        <v>C137</v>
      </c>
      <c r="C1738" s="826" t="str">
        <f ca="1">IFERROR(_xlfn.CONCAT("D",MATCH(A1738,INDIRECT("'"&amp;E1738&amp;"'!C"&amp;$O$736&amp;":C"&amp;$O$738),0)+$O$736-1),"")</f>
        <v>D137</v>
      </c>
      <c r="D1738" s="826" t="s">
        <v>1350</v>
      </c>
      <c r="E1738" s="826" t="s">
        <v>1516</v>
      </c>
      <c r="F1738" s="841" t="s">
        <v>1383</v>
      </c>
      <c r="G1738" s="1314" t="str">
        <f>IF(S1738&lt;&gt;"","B","")</f>
        <v/>
      </c>
      <c r="H1738" s="1314" t="s">
        <v>1984</v>
      </c>
      <c r="I1738" s="241"/>
      <c r="J1738" s="1311"/>
      <c r="K1738" s="1311"/>
      <c r="L1738" s="1311"/>
      <c r="N1738" s="1311"/>
      <c r="O1738" s="1311"/>
      <c r="P1738" s="1311"/>
      <c r="Q1738" s="1311"/>
      <c r="R1738" s="1314" t="s">
        <v>1525</v>
      </c>
      <c r="S1738" s="1314" t="str">
        <f>IF(Q$736="Yes",8,"")</f>
        <v/>
      </c>
      <c r="T1738" s="1311"/>
      <c r="U1738" s="1311"/>
      <c r="V1738" s="1311"/>
      <c r="W1738" s="1311"/>
      <c r="X1738" s="1311"/>
      <c r="Y1738" s="1311"/>
      <c r="Z1738" s="1311"/>
    </row>
    <row r="1739" spans="1:26" x14ac:dyDescent="0.25">
      <c r="A1739" s="850" t="s">
        <v>1387</v>
      </c>
      <c r="B1739" s="826" t="str">
        <f ca="1">_xlfn.IFNA(_xlfn.CONCAT(SUBSTITUTE(ADDRESS(1,MATCH(A1739,INDIRECT("'"&amp;E1739&amp;"'"&amp;"!A" &amp; $O$736 + 5 &amp; ":Z" &amp; $O$736+ 5),0),4),1,""),$O$736 + 6),"")</f>
        <v>H141</v>
      </c>
      <c r="C1739" s="826" t="str">
        <f t="shared" ref="C1739:C1741" ca="1" si="258">_xlfn.IFNA(SUBSTITUTE(ADDRESS(1,MATCH(A1739,INDIRECT("'"&amp;E1739&amp;"'"&amp;"!A" &amp; $O$736 + 5 &amp; ":Z" &amp; $O$736+ 5),0),4),1,""),"")</f>
        <v>H</v>
      </c>
      <c r="D1739" s="826" t="s">
        <v>1357</v>
      </c>
      <c r="E1739" s="826" t="s">
        <v>1516</v>
      </c>
      <c r="F1739" s="841" t="s">
        <v>1387</v>
      </c>
      <c r="G1739" s="1314" t="str">
        <f>IF(S1739&lt;&gt;"","C","")</f>
        <v/>
      </c>
      <c r="H1739" s="1314" t="s">
        <v>1984</v>
      </c>
      <c r="I1739" s="241"/>
      <c r="J1739" s="1311"/>
      <c r="K1739" s="1311"/>
      <c r="L1739" s="1311"/>
      <c r="N1739" s="1311"/>
      <c r="O1739" s="1311"/>
      <c r="P1739" s="1311"/>
      <c r="Q1739" s="1311"/>
      <c r="R1739" s="1314" t="s">
        <v>1525</v>
      </c>
      <c r="S1739" s="1314" t="str">
        <f>IF(Q$736="Yes",8,"")</f>
        <v/>
      </c>
      <c r="T1739" s="1311"/>
      <c r="U1739" s="1311"/>
      <c r="V1739" s="1311"/>
      <c r="W1739" s="1311"/>
      <c r="X1739" s="1311"/>
      <c r="Y1739" s="1311"/>
      <c r="Z1739" s="1311"/>
    </row>
    <row r="1740" spans="1:26" x14ac:dyDescent="0.25">
      <c r="A1740" s="850" t="s">
        <v>1388</v>
      </c>
      <c r="B1740" s="826" t="str">
        <f ca="1">_xlfn.IFNA(_xlfn.CONCAT(SUBSTITUTE(ADDRESS(1,MATCH(A1740,INDIRECT("'"&amp;E1740&amp;"'"&amp;"!A" &amp; $O$736 + 5 &amp; ":Z" &amp; $O$736+ 5),0),4),1,""),$O$736 + 6),"")</f>
        <v>J141</v>
      </c>
      <c r="C1740" s="826" t="str">
        <f t="shared" ca="1" si="258"/>
        <v>J</v>
      </c>
      <c r="D1740" s="826" t="s">
        <v>1357</v>
      </c>
      <c r="E1740" s="826" t="s">
        <v>1516</v>
      </c>
      <c r="F1740" s="841" t="s">
        <v>1388</v>
      </c>
      <c r="G1740" s="1314" t="str">
        <f>IF(S1740&lt;&gt;"","D","")</f>
        <v/>
      </c>
      <c r="H1740" s="1314" t="s">
        <v>1984</v>
      </c>
      <c r="I1740" s="241"/>
      <c r="J1740" s="1311"/>
      <c r="K1740" s="1311"/>
      <c r="L1740" s="1311"/>
      <c r="N1740" s="1311"/>
      <c r="O1740" s="1311"/>
      <c r="P1740" s="1311"/>
      <c r="Q1740" s="1311"/>
      <c r="R1740" s="1314" t="s">
        <v>1525</v>
      </c>
      <c r="S1740" s="1314" t="str">
        <f>IF(Q$736="Yes",8,"")</f>
        <v/>
      </c>
      <c r="T1740" s="1311"/>
      <c r="U1740" s="1311"/>
      <c r="V1740" s="1311"/>
      <c r="W1740" s="1311"/>
      <c r="X1740" s="1311"/>
      <c r="Y1740" s="1311"/>
      <c r="Z1740" s="1311"/>
    </row>
    <row r="1741" spans="1:26" x14ac:dyDescent="0.25">
      <c r="A1741" s="850" t="s">
        <v>1389</v>
      </c>
      <c r="B1741" s="826" t="str">
        <f ca="1">_xlfn.IFNA(_xlfn.CONCAT(SUBSTITUTE(ADDRESS(1,MATCH(A1741,INDIRECT("'"&amp;E1741&amp;"'"&amp;"!A" &amp; $O$736 + 5 &amp; ":Z" &amp; $O$736+ 5),0),4),1,""),$O$736 + 6),"")</f>
        <v>L141</v>
      </c>
      <c r="C1741" s="826" t="str">
        <f t="shared" ca="1" si="258"/>
        <v>L</v>
      </c>
      <c r="D1741" s="826" t="s">
        <v>1357</v>
      </c>
      <c r="E1741" s="826" t="s">
        <v>1516</v>
      </c>
      <c r="F1741" s="1081" t="s">
        <v>1987</v>
      </c>
      <c r="G1741" s="1314" t="str">
        <f>IF(S1741&lt;&gt;"","F","")</f>
        <v/>
      </c>
      <c r="H1741" s="1314" t="s">
        <v>1984</v>
      </c>
      <c r="I1741" s="241"/>
      <c r="J1741" s="1311"/>
      <c r="K1741" s="1311"/>
      <c r="L1741" s="1311"/>
      <c r="N1741" s="1311"/>
      <c r="O1741" s="1311"/>
      <c r="P1741" s="1311"/>
      <c r="Q1741" s="1311"/>
      <c r="R1741" s="1314" t="s">
        <v>1525</v>
      </c>
      <c r="S1741" s="1314" t="str">
        <f>IF(Q$736="Yes",8,"")</f>
        <v/>
      </c>
      <c r="T1741" s="1311"/>
      <c r="U1741" s="1311"/>
      <c r="V1741" s="1311"/>
      <c r="W1741" s="1311"/>
      <c r="X1741" s="1311"/>
      <c r="Y1741" s="1311"/>
      <c r="Z1741" s="1311"/>
    </row>
    <row r="1742" spans="1:26" x14ac:dyDescent="0.25">
      <c r="A1742" s="847" t="s">
        <v>1491</v>
      </c>
      <c r="B1742" s="826" t="str">
        <f ca="1">IFERROR(_xlfn.CONCAT("C",MATCH(A1742,INDIRECT("'"&amp;E1742&amp;"'!C"&amp;$O$796&amp;":C"&amp;$O$798),0)+$O$796-1),"")</f>
        <v>C183</v>
      </c>
      <c r="C1742" s="826" t="str">
        <f ca="1">IFERROR(_xlfn.CONCAT("D",MATCH(A1742,INDIRECT("'"&amp;E1742&amp;"'!C"&amp;$O$796&amp;":C"&amp;$O$798),0)+$O$796-1),"")</f>
        <v>D183</v>
      </c>
      <c r="D1742" s="826" t="s">
        <v>1350</v>
      </c>
      <c r="E1742" s="826" t="s">
        <v>1516</v>
      </c>
      <c r="F1742" s="841" t="s">
        <v>1491</v>
      </c>
      <c r="G1742" s="1314" t="str">
        <f>IF(S1742&lt;&gt;"","A","")</f>
        <v/>
      </c>
      <c r="H1742" s="1314" t="s">
        <v>1984</v>
      </c>
      <c r="I1742" s="241"/>
      <c r="J1742" s="1311"/>
      <c r="K1742" s="1311"/>
      <c r="L1742" s="1311"/>
      <c r="N1742" s="1311"/>
      <c r="O1742" s="1311"/>
      <c r="P1742" s="1311"/>
      <c r="Q1742" s="1311"/>
      <c r="R1742" s="1314" t="s">
        <v>1531</v>
      </c>
      <c r="S1742" s="1314" t="str">
        <f>IF(Q$796="Yes",9,"")</f>
        <v/>
      </c>
      <c r="T1742" s="1311"/>
      <c r="U1742" s="1311"/>
      <c r="V1742" s="1311"/>
      <c r="W1742" s="1311"/>
      <c r="X1742" s="1311"/>
      <c r="Y1742" s="1311"/>
      <c r="Z1742" s="1311"/>
    </row>
    <row r="1743" spans="1:26" x14ac:dyDescent="0.25">
      <c r="A1743" s="847" t="s">
        <v>1383</v>
      </c>
      <c r="B1743" s="826" t="str">
        <f ca="1">IFERROR(_xlfn.CONCAT("C",MATCH(A1743,INDIRECT("'"&amp;E1743&amp;"'!C"&amp;$O$796&amp;":C"&amp;$O$798),0)+$O$796-1),"")</f>
        <v>C181</v>
      </c>
      <c r="C1743" s="826" t="str">
        <f ca="1">IFERROR(_xlfn.CONCAT("D",MATCH(A1743,INDIRECT("'"&amp;E1743&amp;"'!C"&amp;$O$796&amp;":C"&amp;$O$798),0)+$O$796-1),"")</f>
        <v>D181</v>
      </c>
      <c r="D1743" s="826" t="s">
        <v>1350</v>
      </c>
      <c r="E1743" s="826" t="s">
        <v>1516</v>
      </c>
      <c r="F1743" s="841" t="s">
        <v>1383</v>
      </c>
      <c r="G1743" s="1314" t="str">
        <f>IF(S1743&lt;&gt;"","B","")</f>
        <v/>
      </c>
      <c r="H1743" s="1314" t="s">
        <v>1984</v>
      </c>
      <c r="I1743" s="241"/>
      <c r="J1743" s="1311"/>
      <c r="K1743" s="1311"/>
      <c r="L1743" s="1311"/>
      <c r="N1743" s="1311"/>
      <c r="O1743" s="1311"/>
      <c r="P1743" s="1311"/>
      <c r="Q1743" s="1311"/>
      <c r="R1743" s="1314" t="s">
        <v>1531</v>
      </c>
      <c r="S1743" s="1314" t="str">
        <f>IF(Q$796="Yes",9,"")</f>
        <v/>
      </c>
      <c r="T1743" s="1311"/>
      <c r="U1743" s="1311"/>
      <c r="V1743" s="1311"/>
      <c r="W1743" s="1311"/>
      <c r="X1743" s="1311"/>
      <c r="Y1743" s="1311"/>
      <c r="Z1743" s="1311"/>
    </row>
    <row r="1744" spans="1:26" x14ac:dyDescent="0.25">
      <c r="A1744" s="847" t="s">
        <v>1387</v>
      </c>
      <c r="B1744" s="826" t="str">
        <f ca="1">_xlfn.CONCAT(IFERROR(SUBSTITUTE(ADDRESS(1,MATCH(A1744,INDIRECT("'"&amp;E1744&amp;"'"&amp;"!A" &amp; $O$796 + 5 &amp; ":Z" &amp; $O$796+ 5),0),4),1,""),""),$O$796 + 5)</f>
        <v>H184</v>
      </c>
      <c r="C1744" s="826" t="str">
        <f ca="1">_xlfn.CONCAT(IFERROR(SUBSTITUTE(ADDRESS(1,MATCH(A1744,INDIRECT("'"&amp;E1744&amp;"'"&amp;"!A" &amp; $O$796 + 5 &amp; ":Z" &amp; $O$796+ 5),0),4),1,""),""),$O$796 + 6)</f>
        <v>H185</v>
      </c>
      <c r="D1744" s="826" t="s">
        <v>1350</v>
      </c>
      <c r="E1744" s="826" t="s">
        <v>1516</v>
      </c>
      <c r="F1744" s="841" t="s">
        <v>1387</v>
      </c>
      <c r="G1744" s="1314" t="str">
        <f>IF(S1744&lt;&gt;"","C","")</f>
        <v/>
      </c>
      <c r="H1744" s="1314" t="s">
        <v>1984</v>
      </c>
      <c r="I1744" s="241"/>
      <c r="J1744" s="1311"/>
      <c r="K1744" s="1311"/>
      <c r="L1744" s="1311"/>
      <c r="N1744" s="1311"/>
      <c r="O1744" s="1311"/>
      <c r="P1744" s="1311"/>
      <c r="Q1744" s="1311"/>
      <c r="R1744" s="1314" t="s">
        <v>1531</v>
      </c>
      <c r="S1744" s="1314" t="str">
        <f>IF(Q$796="Yes",9,"")</f>
        <v/>
      </c>
      <c r="T1744" s="1311"/>
      <c r="U1744" s="1311"/>
      <c r="V1744" s="1311"/>
      <c r="W1744" s="1311"/>
      <c r="X1744" s="1311"/>
      <c r="Y1744" s="1311"/>
      <c r="Z1744" s="1311"/>
    </row>
    <row r="1745" spans="1:26" x14ac:dyDescent="0.25">
      <c r="A1745" s="847" t="s">
        <v>1388</v>
      </c>
      <c r="B1745" s="826" t="str">
        <f ca="1">_xlfn.CONCAT(IFERROR(SUBSTITUTE(ADDRESS(1,MATCH(A1745,INDIRECT("'"&amp;E1745&amp;"'"&amp;"!A" &amp; $O$796 + 5 &amp; ":Z" &amp; $O$796+ 5),0),4),1,""),""),$O$796 + 5)</f>
        <v>J184</v>
      </c>
      <c r="C1745" s="826" t="str">
        <f ca="1">_xlfn.CONCAT(IFERROR(SUBSTITUTE(ADDRESS(1,MATCH(A1745,INDIRECT("'"&amp;E1745&amp;"'"&amp;"!A" &amp; $O$796 + 5 &amp; ":Z" &amp; $O$796+ 5),0),4),1,""),""),$O$796 + 6)</f>
        <v>J185</v>
      </c>
      <c r="D1745" s="826" t="s">
        <v>1350</v>
      </c>
      <c r="E1745" s="826" t="s">
        <v>1516</v>
      </c>
      <c r="F1745" s="841" t="s">
        <v>1388</v>
      </c>
      <c r="G1745" s="1314" t="str">
        <f>IF(S1745&lt;&gt;"","D","")</f>
        <v/>
      </c>
      <c r="H1745" s="1314" t="s">
        <v>1984</v>
      </c>
      <c r="I1745" s="241"/>
      <c r="J1745" s="1311"/>
      <c r="K1745" s="1311"/>
      <c r="L1745" s="1311"/>
      <c r="N1745" s="1311"/>
      <c r="O1745" s="1311"/>
      <c r="P1745" s="1311"/>
      <c r="Q1745" s="1311"/>
      <c r="R1745" s="1314" t="s">
        <v>1531</v>
      </c>
      <c r="S1745" s="1314" t="str">
        <f>IF(Q$796="Yes",9,"")</f>
        <v/>
      </c>
      <c r="T1745" s="1311"/>
      <c r="U1745" s="1311"/>
      <c r="V1745" s="1311"/>
      <c r="W1745" s="1311"/>
      <c r="X1745" s="1311"/>
      <c r="Y1745" s="1311"/>
      <c r="Z1745" s="1311"/>
    </row>
    <row r="1746" spans="1:26" x14ac:dyDescent="0.25">
      <c r="A1746" s="847" t="s">
        <v>1389</v>
      </c>
      <c r="B1746" s="826" t="str">
        <f ca="1">_xlfn.CONCAT(IFERROR(SUBSTITUTE(ADDRESS(1,MATCH(A1746,INDIRECT("'"&amp;E1746&amp;"'"&amp;"!A" &amp; $O$796 + 5 &amp; ":Z" &amp; $O$796+ 5),0),4),1,""),""),$O$796 + 5)</f>
        <v>L184</v>
      </c>
      <c r="C1746" s="826" t="str">
        <f ca="1">_xlfn.CONCAT(IFERROR(SUBSTITUTE(ADDRESS(1,MATCH(A1746,INDIRECT("'"&amp;E1746&amp;"'"&amp;"!A" &amp; $O$796 + 5 &amp; ":Z" &amp; $O$796+ 5),0),4),1,""),""),$O$796 + 6)</f>
        <v>L185</v>
      </c>
      <c r="D1746" s="826" t="s">
        <v>1350</v>
      </c>
      <c r="E1746" s="826" t="s">
        <v>1516</v>
      </c>
      <c r="F1746" s="1081" t="s">
        <v>1987</v>
      </c>
      <c r="G1746" s="1314" t="str">
        <f>IF(S1746&lt;&gt;"","F","")</f>
        <v/>
      </c>
      <c r="H1746" s="1314" t="s">
        <v>1984</v>
      </c>
      <c r="I1746" s="241"/>
      <c r="J1746" s="1311"/>
      <c r="K1746" s="1311"/>
      <c r="L1746" s="1311"/>
      <c r="N1746" s="1311"/>
      <c r="O1746" s="1311"/>
      <c r="P1746" s="1311"/>
      <c r="Q1746" s="1311"/>
      <c r="R1746" s="1314" t="s">
        <v>1531</v>
      </c>
      <c r="S1746" s="1314" t="str">
        <f>IF(Q$796="Yes",9,"")</f>
        <v/>
      </c>
      <c r="T1746" s="1311"/>
      <c r="U1746" s="1311"/>
      <c r="V1746" s="1311"/>
      <c r="W1746" s="1311"/>
      <c r="X1746" s="1311"/>
      <c r="Y1746" s="1311"/>
      <c r="Z1746" s="1311"/>
    </row>
    <row r="1747" spans="1:26" x14ac:dyDescent="0.25">
      <c r="A1747" s="850" t="s">
        <v>1491</v>
      </c>
      <c r="B1747" s="826" t="str">
        <f ca="1">IFERROR(_xlfn.CONCAT("C",MATCH(A1747,INDIRECT("'"&amp;E1747&amp;"'!C"&amp;$O$814&amp;":C"&amp;$O$816),0)+$O$814-1),"")</f>
        <v>C197</v>
      </c>
      <c r="C1747" s="826" t="str">
        <f ca="1">IFERROR(_xlfn.CONCAT("D",MATCH(A1747,INDIRECT("'"&amp;E1747&amp;"'!C"&amp;$O$814&amp;":C"&amp;$O$816),0)+$O$814-1),"")</f>
        <v>D197</v>
      </c>
      <c r="D1747" s="826" t="s">
        <v>1350</v>
      </c>
      <c r="E1747" s="826" t="s">
        <v>1516</v>
      </c>
      <c r="F1747" s="841" t="s">
        <v>1491</v>
      </c>
      <c r="G1747" s="1314" t="str">
        <f>IF(S1747&lt;&gt;"","A","")</f>
        <v/>
      </c>
      <c r="H1747" s="1314" t="s">
        <v>1984</v>
      </c>
      <c r="I1747" s="241"/>
      <c r="J1747" s="1311"/>
      <c r="K1747" s="1311"/>
      <c r="L1747" s="1311"/>
      <c r="N1747" s="1311"/>
      <c r="O1747" s="1311"/>
      <c r="P1747" s="1311"/>
      <c r="Q1747" s="1311"/>
      <c r="R1747" s="1314" t="s">
        <v>1531</v>
      </c>
      <c r="S1747" s="1314" t="str">
        <f>IF(Q$814="Yes",10,"")</f>
        <v/>
      </c>
      <c r="T1747" s="1311"/>
      <c r="U1747" s="1311"/>
      <c r="V1747" s="1311"/>
      <c r="W1747" s="1311"/>
      <c r="X1747" s="1311"/>
      <c r="Y1747" s="1311"/>
      <c r="Z1747" s="1311"/>
    </row>
    <row r="1748" spans="1:26" x14ac:dyDescent="0.25">
      <c r="A1748" s="850" t="s">
        <v>1383</v>
      </c>
      <c r="B1748" s="826" t="str">
        <f ca="1">IFERROR(_xlfn.CONCAT("C",MATCH(A1748,INDIRECT("'"&amp;E1748&amp;"'!C"&amp;$O$814&amp;":C"&amp;$O$816),0)+$O$814-1),"")</f>
        <v>C195</v>
      </c>
      <c r="C1748" s="826" t="str">
        <f ca="1">IFERROR(_xlfn.CONCAT("D",MATCH(A1748,INDIRECT("'"&amp;E1748&amp;"'!C"&amp;$O$814&amp;":C"&amp;$O$816),0)+$O$814-1),"")</f>
        <v>D195</v>
      </c>
      <c r="D1748" s="826" t="s">
        <v>1350</v>
      </c>
      <c r="E1748" s="826" t="s">
        <v>1516</v>
      </c>
      <c r="F1748" s="841" t="s">
        <v>1383</v>
      </c>
      <c r="G1748" s="1314" t="str">
        <f>IF(S1748&lt;&gt;"","B","")</f>
        <v/>
      </c>
      <c r="H1748" s="1314" t="s">
        <v>1984</v>
      </c>
      <c r="I1748" s="241"/>
      <c r="J1748" s="1311"/>
      <c r="K1748" s="1311"/>
      <c r="L1748" s="1311"/>
      <c r="N1748" s="1311"/>
      <c r="O1748" s="1311"/>
      <c r="P1748" s="1311"/>
      <c r="Q1748" s="1311"/>
      <c r="R1748" s="1314" t="s">
        <v>1531</v>
      </c>
      <c r="S1748" s="1314" t="str">
        <f>IF(Q$814="Yes",10,"")</f>
        <v/>
      </c>
      <c r="T1748" s="1311"/>
      <c r="U1748" s="1311"/>
      <c r="V1748" s="1311"/>
      <c r="W1748" s="1311"/>
      <c r="X1748" s="1311"/>
      <c r="Y1748" s="1311"/>
      <c r="Z1748" s="1311"/>
    </row>
    <row r="1749" spans="1:26" x14ac:dyDescent="0.25">
      <c r="A1749" s="850" t="s">
        <v>1387</v>
      </c>
      <c r="B1749" s="826" t="str">
        <f ca="1">_xlfn.CONCAT(IFERROR(SUBSTITUTE(ADDRESS(1,MATCH(A1749,INDIRECT("'"&amp;E1749&amp;"'"&amp;"!A" &amp; $O$814 + 5 &amp; ":Z" &amp; $O$814+ 5),0),4),1,""),""),$O$814 + 5)</f>
        <v>H198</v>
      </c>
      <c r="C1749" s="826" t="str">
        <f ca="1">_xlfn.CONCAT(IFERROR(SUBSTITUTE(ADDRESS(1,MATCH(A1749,INDIRECT("'"&amp;E1749&amp;"'"&amp;"!A" &amp; $O$814 + 5 &amp; ":Z" &amp; $O$814+ 5),0),4),1,""),""),$O$814 + 6)</f>
        <v>H199</v>
      </c>
      <c r="D1749" s="826" t="s">
        <v>1350</v>
      </c>
      <c r="E1749" s="826" t="s">
        <v>1516</v>
      </c>
      <c r="F1749" s="841" t="s">
        <v>1387</v>
      </c>
      <c r="G1749" s="1314" t="str">
        <f>IF(S1749&lt;&gt;"","C","")</f>
        <v/>
      </c>
      <c r="H1749" s="1314" t="s">
        <v>1984</v>
      </c>
      <c r="I1749" s="241"/>
      <c r="J1749" s="1311"/>
      <c r="K1749" s="1311"/>
      <c r="L1749" s="1311"/>
      <c r="N1749" s="1311"/>
      <c r="O1749" s="1311"/>
      <c r="P1749" s="1311"/>
      <c r="Q1749" s="1311"/>
      <c r="R1749" s="1314" t="s">
        <v>1531</v>
      </c>
      <c r="S1749" s="1314" t="str">
        <f>IF(Q$814="Yes",10,"")</f>
        <v/>
      </c>
      <c r="T1749" s="1311"/>
      <c r="U1749" s="1311"/>
      <c r="V1749" s="1311"/>
      <c r="W1749" s="1311"/>
      <c r="X1749" s="1311"/>
      <c r="Y1749" s="1311"/>
      <c r="Z1749" s="1311"/>
    </row>
    <row r="1750" spans="1:26" x14ac:dyDescent="0.25">
      <c r="A1750" s="850" t="s">
        <v>1388</v>
      </c>
      <c r="B1750" s="826" t="str">
        <f ca="1">_xlfn.CONCAT(IFERROR(SUBSTITUTE(ADDRESS(1,MATCH(A1750,INDIRECT("'"&amp;E1750&amp;"'"&amp;"!A" &amp; $O$814 + 5 &amp; ":Z" &amp; $O$814+ 5),0),4),1,""),""),$O$814 + 5)</f>
        <v>J198</v>
      </c>
      <c r="C1750" s="826" t="str">
        <f ca="1">_xlfn.CONCAT(IFERROR(SUBSTITUTE(ADDRESS(1,MATCH(A1750,INDIRECT("'"&amp;E1750&amp;"'"&amp;"!A" &amp; $O$814 + 5 &amp; ":Z" &amp; $O$814+ 5),0),4),1,""),""),$O$814 + 6)</f>
        <v>J199</v>
      </c>
      <c r="D1750" s="826" t="s">
        <v>1350</v>
      </c>
      <c r="E1750" s="826" t="s">
        <v>1516</v>
      </c>
      <c r="F1750" s="841" t="s">
        <v>1388</v>
      </c>
      <c r="G1750" s="1314" t="str">
        <f>IF(S1750&lt;&gt;"","D","")</f>
        <v/>
      </c>
      <c r="H1750" s="1314" t="s">
        <v>1984</v>
      </c>
      <c r="I1750" s="241"/>
      <c r="J1750" s="1311"/>
      <c r="K1750" s="1311"/>
      <c r="L1750" s="1311"/>
      <c r="N1750" s="1311"/>
      <c r="O1750" s="1311"/>
      <c r="P1750" s="1311"/>
      <c r="Q1750" s="1311"/>
      <c r="R1750" s="1314" t="s">
        <v>1531</v>
      </c>
      <c r="S1750" s="1314" t="str">
        <f>IF(Q$814="Yes",10,"")</f>
        <v/>
      </c>
      <c r="T1750" s="1311"/>
      <c r="U1750" s="1311"/>
      <c r="V1750" s="1311"/>
      <c r="W1750" s="1311"/>
      <c r="X1750" s="1311"/>
      <c r="Y1750" s="1311"/>
      <c r="Z1750" s="1311"/>
    </row>
    <row r="1751" spans="1:26" x14ac:dyDescent="0.25">
      <c r="A1751" s="850" t="s">
        <v>1389</v>
      </c>
      <c r="B1751" s="826" t="str">
        <f ca="1">_xlfn.CONCAT(IFERROR(SUBSTITUTE(ADDRESS(1,MATCH(A1751,INDIRECT("'"&amp;E1751&amp;"'"&amp;"!A" &amp; $O$814 + 5 &amp; ":Z" &amp; $O$814+ 5),0),4),1,""),""),$O$814 + 5)</f>
        <v>L198</v>
      </c>
      <c r="C1751" s="826" t="str">
        <f ca="1">_xlfn.CONCAT(IFERROR(SUBSTITUTE(ADDRESS(1,MATCH(A1751,INDIRECT("'"&amp;E1751&amp;"'"&amp;"!A" &amp; $O$814 + 5 &amp; ":Z" &amp; $O$814+ 5),0),4),1,""),""),$O$814 + 6)</f>
        <v>L199</v>
      </c>
      <c r="D1751" s="826" t="s">
        <v>1350</v>
      </c>
      <c r="E1751" s="826" t="s">
        <v>1516</v>
      </c>
      <c r="F1751" s="1081" t="s">
        <v>1987</v>
      </c>
      <c r="G1751" s="1314" t="str">
        <f>IF(S1751&lt;&gt;"","F","")</f>
        <v/>
      </c>
      <c r="H1751" s="1314" t="s">
        <v>1984</v>
      </c>
      <c r="I1751" s="241"/>
      <c r="J1751" s="1311"/>
      <c r="K1751" s="1311"/>
      <c r="L1751" s="1311"/>
      <c r="N1751" s="1311"/>
      <c r="O1751" s="1311"/>
      <c r="P1751" s="1311"/>
      <c r="Q1751" s="1311"/>
      <c r="R1751" s="1314" t="s">
        <v>1531</v>
      </c>
      <c r="S1751" s="1314" t="str">
        <f>IF(Q$814="Yes",10,"")</f>
        <v/>
      </c>
      <c r="T1751" s="1311"/>
      <c r="U1751" s="1311"/>
      <c r="V1751" s="1311"/>
      <c r="W1751" s="1311"/>
      <c r="X1751" s="1311"/>
      <c r="Y1751" s="1311"/>
      <c r="Z1751" s="1311"/>
    </row>
    <row r="1752" spans="1:26" x14ac:dyDescent="0.25">
      <c r="A1752" s="847" t="s">
        <v>1491</v>
      </c>
      <c r="B1752" s="826" t="str">
        <f ca="1">IFERROR(_xlfn.CONCAT("C",MATCH(A1752,INDIRECT("'"&amp;E1752&amp;"'!C"&amp;$O$832&amp;":C"&amp;$O$834),0)+$O$832-1),"")</f>
        <v>C211</v>
      </c>
      <c r="C1752" s="826" t="str">
        <f ca="1">IFERROR(_xlfn.CONCAT("D",MATCH(A1752,INDIRECT("'"&amp;E1752&amp;"'!C"&amp;$O$832&amp;":C"&amp;$O$834),0)+$O$832-1),"")</f>
        <v>D211</v>
      </c>
      <c r="D1752" s="826" t="s">
        <v>1350</v>
      </c>
      <c r="E1752" s="826" t="s">
        <v>1516</v>
      </c>
      <c r="F1752" s="841" t="s">
        <v>1491</v>
      </c>
      <c r="G1752" s="1314" t="str">
        <f>IF(S1752&lt;&gt;"","A","")</f>
        <v/>
      </c>
      <c r="H1752" s="1314" t="s">
        <v>1984</v>
      </c>
      <c r="I1752" s="241"/>
      <c r="J1752" s="1311"/>
      <c r="K1752" s="1311"/>
      <c r="L1752" s="1311"/>
      <c r="N1752" s="1311"/>
      <c r="O1752" s="1311"/>
      <c r="P1752" s="1311"/>
      <c r="Q1752" s="1311"/>
      <c r="R1752" s="1314" t="s">
        <v>1531</v>
      </c>
      <c r="S1752" s="1314" t="str">
        <f>IF(Q$832="Yes",11,"")</f>
        <v/>
      </c>
      <c r="T1752" s="1311"/>
      <c r="U1752" s="1311"/>
      <c r="V1752" s="1311"/>
      <c r="W1752" s="1311"/>
      <c r="X1752" s="1311"/>
      <c r="Y1752" s="1311"/>
      <c r="Z1752" s="1311"/>
    </row>
    <row r="1753" spans="1:26" x14ac:dyDescent="0.25">
      <c r="A1753" s="847" t="s">
        <v>1383</v>
      </c>
      <c r="B1753" s="826" t="str">
        <f ca="1">IFERROR(_xlfn.CONCAT("C",MATCH(A1753,INDIRECT("'"&amp;E1753&amp;"'!C"&amp;$O$832&amp;":C"&amp;$O$834),0)+$O$832-1),"")</f>
        <v>C209</v>
      </c>
      <c r="C1753" s="826" t="str">
        <f ca="1">IFERROR(_xlfn.CONCAT("D",MATCH(A1753,INDIRECT("'"&amp;E1753&amp;"'!C"&amp;$O$832&amp;":C"&amp;$O$834),0)+$O$832-1),"")</f>
        <v>D209</v>
      </c>
      <c r="D1753" s="826" t="s">
        <v>1350</v>
      </c>
      <c r="E1753" s="826" t="s">
        <v>1516</v>
      </c>
      <c r="F1753" s="841" t="s">
        <v>1383</v>
      </c>
      <c r="G1753" s="1314" t="str">
        <f>IF(S1753&lt;&gt;"","B","")</f>
        <v/>
      </c>
      <c r="H1753" s="1314" t="s">
        <v>1984</v>
      </c>
      <c r="I1753" s="241"/>
      <c r="J1753" s="1311"/>
      <c r="K1753" s="1311"/>
      <c r="L1753" s="1311"/>
      <c r="N1753" s="1311"/>
      <c r="O1753" s="1311"/>
      <c r="P1753" s="1311"/>
      <c r="Q1753" s="1311"/>
      <c r="R1753" s="1314" t="s">
        <v>1531</v>
      </c>
      <c r="S1753" s="1314" t="str">
        <f>IF(Q$832="Yes",11,"")</f>
        <v/>
      </c>
      <c r="T1753" s="1311"/>
      <c r="U1753" s="1311"/>
      <c r="V1753" s="1311"/>
      <c r="W1753" s="1311"/>
      <c r="X1753" s="1311"/>
      <c r="Y1753" s="1311"/>
      <c r="Z1753" s="1311"/>
    </row>
    <row r="1754" spans="1:26" x14ac:dyDescent="0.25">
      <c r="A1754" s="847" t="s">
        <v>1387</v>
      </c>
      <c r="B1754" s="826" t="str">
        <f ca="1">_xlfn.IFNA(_xlfn.CONCAT(SUBSTITUTE(ADDRESS(1,MATCH(A1754,INDIRECT("'"&amp;E1754&amp;"'"&amp;"!A" &amp; $O$832 + 5 &amp; ":Z" &amp; $O$832+ 5),0),4),1,""),$O$832 + 6),"")</f>
        <v>H213</v>
      </c>
      <c r="C1754" s="826" t="str">
        <f t="shared" ref="C1754:C1756" ca="1" si="259">_xlfn.IFNA(SUBSTITUTE(ADDRESS(1,MATCH(A1754,INDIRECT("'"&amp;E1754&amp;"'"&amp;"!A" &amp; $O$832 + 5 &amp; ":Z" &amp; $O$832+ 5),0),4),1,""),"")</f>
        <v>H</v>
      </c>
      <c r="D1754" s="826" t="s">
        <v>1357</v>
      </c>
      <c r="E1754" s="826" t="s">
        <v>1516</v>
      </c>
      <c r="F1754" s="841" t="s">
        <v>1387</v>
      </c>
      <c r="G1754" s="1314" t="str">
        <f>IF(S1754&lt;&gt;"","C","")</f>
        <v/>
      </c>
      <c r="H1754" s="1314" t="s">
        <v>1984</v>
      </c>
      <c r="I1754" s="241"/>
      <c r="J1754" s="1311"/>
      <c r="K1754" s="1311"/>
      <c r="L1754" s="1311"/>
      <c r="N1754" s="1311"/>
      <c r="O1754" s="1311"/>
      <c r="P1754" s="1311"/>
      <c r="Q1754" s="1311"/>
      <c r="R1754" s="1314" t="s">
        <v>1531</v>
      </c>
      <c r="S1754" s="1314" t="str">
        <f>IF(Q$832="Yes",11,"")</f>
        <v/>
      </c>
      <c r="T1754" s="1311"/>
      <c r="U1754" s="1311"/>
      <c r="V1754" s="1311"/>
      <c r="W1754" s="1311"/>
      <c r="X1754" s="1311"/>
      <c r="Y1754" s="1311"/>
      <c r="Z1754" s="1311"/>
    </row>
    <row r="1755" spans="1:26" x14ac:dyDescent="0.25">
      <c r="A1755" s="847" t="s">
        <v>1388</v>
      </c>
      <c r="B1755" s="826" t="str">
        <f ca="1">_xlfn.IFNA(_xlfn.CONCAT(SUBSTITUTE(ADDRESS(1,MATCH(A1755,INDIRECT("'"&amp;E1755&amp;"'"&amp;"!A" &amp; $O$832 + 5 &amp; ":Z" &amp; $O$832+ 5),0),4),1,""),$O$832 + 6),"")</f>
        <v>J213</v>
      </c>
      <c r="C1755" s="826" t="str">
        <f t="shared" ca="1" si="259"/>
        <v>J</v>
      </c>
      <c r="D1755" s="826" t="s">
        <v>1357</v>
      </c>
      <c r="E1755" s="826" t="s">
        <v>1516</v>
      </c>
      <c r="F1755" s="841" t="s">
        <v>1388</v>
      </c>
      <c r="G1755" s="1314" t="str">
        <f>IF(S1755&lt;&gt;"","D","")</f>
        <v/>
      </c>
      <c r="H1755" s="1314" t="s">
        <v>1984</v>
      </c>
      <c r="I1755" s="241"/>
      <c r="J1755" s="1311"/>
      <c r="K1755" s="1311"/>
      <c r="L1755" s="1311"/>
      <c r="N1755" s="1311"/>
      <c r="O1755" s="1311"/>
      <c r="P1755" s="1311"/>
      <c r="Q1755" s="1311"/>
      <c r="R1755" s="1314" t="s">
        <v>1531</v>
      </c>
      <c r="S1755" s="1314" t="str">
        <f>IF(Q$832="Yes",11,"")</f>
        <v/>
      </c>
      <c r="T1755" s="1311"/>
      <c r="U1755" s="1311"/>
      <c r="V1755" s="1311"/>
      <c r="W1755" s="1311"/>
      <c r="X1755" s="1311"/>
      <c r="Y1755" s="1311"/>
      <c r="Z1755" s="1311"/>
    </row>
    <row r="1756" spans="1:26" x14ac:dyDescent="0.25">
      <c r="A1756" s="847" t="s">
        <v>1389</v>
      </c>
      <c r="B1756" s="826" t="str">
        <f ca="1">_xlfn.IFNA(_xlfn.CONCAT(SUBSTITUTE(ADDRESS(1,MATCH(A1756,INDIRECT("'"&amp;E1756&amp;"'"&amp;"!A" &amp; $O$832 + 5 &amp; ":Z" &amp; $O$832+ 5),0),4),1,""),$O$832 + 6),"")</f>
        <v>L213</v>
      </c>
      <c r="C1756" s="826" t="str">
        <f t="shared" ca="1" si="259"/>
        <v>L</v>
      </c>
      <c r="D1756" s="826" t="s">
        <v>1357</v>
      </c>
      <c r="E1756" s="826" t="s">
        <v>1516</v>
      </c>
      <c r="F1756" s="1081" t="s">
        <v>1987</v>
      </c>
      <c r="G1756" s="1314" t="str">
        <f>IF(S1756&lt;&gt;"","F","")</f>
        <v/>
      </c>
      <c r="H1756" s="1314" t="s">
        <v>1984</v>
      </c>
      <c r="I1756" s="241"/>
      <c r="J1756" s="1311"/>
      <c r="K1756" s="1311"/>
      <c r="L1756" s="1311"/>
      <c r="N1756" s="1311"/>
      <c r="O1756" s="1311"/>
      <c r="P1756" s="1311"/>
      <c r="Q1756" s="1311"/>
      <c r="R1756" s="1314" t="s">
        <v>1531</v>
      </c>
      <c r="S1756" s="1314" t="str">
        <f>IF(Q$832="Yes",11,"")</f>
        <v/>
      </c>
      <c r="T1756" s="1311"/>
      <c r="U1756" s="1311"/>
      <c r="V1756" s="1311"/>
      <c r="W1756" s="1311"/>
      <c r="X1756" s="1311"/>
      <c r="Y1756" s="1311"/>
      <c r="Z1756" s="1311"/>
    </row>
    <row r="1757" spans="1:26" x14ac:dyDescent="0.25">
      <c r="A1757" s="850" t="s">
        <v>1491</v>
      </c>
      <c r="B1757" s="826" t="str">
        <f ca="1">IFERROR(_xlfn.CONCAT("C",MATCH(A1757,INDIRECT("'"&amp;E1757&amp;"'!C"&amp;$O$862&amp;":C"&amp;$O$864),0)+$O$862-1),"")</f>
        <v>C227</v>
      </c>
      <c r="C1757" s="826" t="str">
        <f ca="1">IFERROR(_xlfn.CONCAT("D",MATCH(A1757,INDIRECT("'"&amp;E1757&amp;"'!C"&amp;$O$862&amp;":C"&amp;$O$864),0)+$O$862-1),"")</f>
        <v>D227</v>
      </c>
      <c r="D1757" s="826" t="s">
        <v>1350</v>
      </c>
      <c r="E1757" s="826" t="s">
        <v>1516</v>
      </c>
      <c r="F1757" s="841" t="s">
        <v>1491</v>
      </c>
      <c r="G1757" s="1314" t="str">
        <f>IF(S1757&lt;&gt;"","A","")</f>
        <v/>
      </c>
      <c r="H1757" s="1314" t="s">
        <v>1984</v>
      </c>
      <c r="I1757" s="241"/>
      <c r="J1757" s="1311"/>
      <c r="K1757" s="1311"/>
      <c r="L1757" s="1311"/>
      <c r="N1757" s="1311"/>
      <c r="O1757" s="1311"/>
      <c r="P1757" s="1311"/>
      <c r="Q1757" s="1311"/>
      <c r="R1757" s="1314" t="s">
        <v>1531</v>
      </c>
      <c r="S1757" s="1314" t="str">
        <f>IF(Q$862="Yes",12,"")</f>
        <v/>
      </c>
      <c r="T1757" s="1311"/>
      <c r="U1757" s="1311"/>
      <c r="V1757" s="1311"/>
      <c r="W1757" s="1311"/>
      <c r="X1757" s="1311"/>
      <c r="Y1757" s="1311"/>
      <c r="Z1757" s="1311"/>
    </row>
    <row r="1758" spans="1:26" x14ac:dyDescent="0.25">
      <c r="A1758" s="850" t="s">
        <v>1383</v>
      </c>
      <c r="B1758" s="826" t="str">
        <f ca="1">IFERROR(_xlfn.CONCAT("C",MATCH(A1758,INDIRECT("'"&amp;E1758&amp;"'!C"&amp;$O$862&amp;":C"&amp;$O$864),0)+$O$862-1),"")</f>
        <v>C225</v>
      </c>
      <c r="C1758" s="826" t="str">
        <f ca="1">IFERROR(_xlfn.CONCAT("D",MATCH(A1758,INDIRECT("'"&amp;E1758&amp;"'!C"&amp;$O$862&amp;":C"&amp;$O$864),0)+$O$862-1),"")</f>
        <v>D225</v>
      </c>
      <c r="D1758" s="826" t="s">
        <v>1350</v>
      </c>
      <c r="E1758" s="826" t="s">
        <v>1516</v>
      </c>
      <c r="F1758" s="841" t="s">
        <v>1383</v>
      </c>
      <c r="G1758" s="1314" t="str">
        <f>IF(S1758&lt;&gt;"","B","")</f>
        <v/>
      </c>
      <c r="H1758" s="1314" t="s">
        <v>1984</v>
      </c>
      <c r="I1758" s="241"/>
      <c r="J1758" s="1311"/>
      <c r="K1758" s="1311"/>
      <c r="L1758" s="1311"/>
      <c r="N1758" s="1311"/>
      <c r="O1758" s="1311"/>
      <c r="P1758" s="1311"/>
      <c r="Q1758" s="1311"/>
      <c r="R1758" s="1314" t="s">
        <v>1531</v>
      </c>
      <c r="S1758" s="1314" t="str">
        <f>IF(Q$862="Yes",12,"")</f>
        <v/>
      </c>
      <c r="T1758" s="1311"/>
      <c r="U1758" s="1311"/>
      <c r="V1758" s="1311"/>
      <c r="W1758" s="1311"/>
      <c r="X1758" s="1311"/>
      <c r="Y1758" s="1311"/>
      <c r="Z1758" s="1311"/>
    </row>
    <row r="1759" spans="1:26" x14ac:dyDescent="0.25">
      <c r="A1759" s="850" t="s">
        <v>1387</v>
      </c>
      <c r="B1759" s="826" t="str">
        <f ca="1">_xlfn.IFNA(_xlfn.CONCAT(SUBSTITUTE(ADDRESS(1,MATCH(A1759,INDIRECT("'"&amp;E1759&amp;"'"&amp;"!A" &amp; $O$862 + 5 &amp; ":Z" &amp; $O$862+ 5),0),4),1,""),$O$862 + 6),"")</f>
        <v>H229</v>
      </c>
      <c r="C1759" s="826" t="str">
        <f t="shared" ref="C1759:C1761" ca="1" si="260">_xlfn.IFNA(SUBSTITUTE(ADDRESS(1,MATCH(A1759,INDIRECT("'"&amp;E1759&amp;"'"&amp;"!A" &amp; $O$862 + 5 &amp; ":Z" &amp; $O$862+ 5),0),4),1,""),"")</f>
        <v>H</v>
      </c>
      <c r="D1759" s="826" t="s">
        <v>1357</v>
      </c>
      <c r="E1759" s="826" t="s">
        <v>1516</v>
      </c>
      <c r="F1759" s="841" t="s">
        <v>1387</v>
      </c>
      <c r="G1759" s="1314" t="str">
        <f>IF(S1759&lt;&gt;"","C","")</f>
        <v/>
      </c>
      <c r="H1759" s="1314" t="s">
        <v>1984</v>
      </c>
      <c r="I1759" s="241"/>
      <c r="J1759" s="1311"/>
      <c r="K1759" s="1311"/>
      <c r="L1759" s="1311"/>
      <c r="N1759" s="1311"/>
      <c r="O1759" s="1311"/>
      <c r="P1759" s="1311"/>
      <c r="Q1759" s="1311"/>
      <c r="R1759" s="1314" t="s">
        <v>1531</v>
      </c>
      <c r="S1759" s="1314" t="str">
        <f>IF(Q$862="Yes",12,"")</f>
        <v/>
      </c>
      <c r="T1759" s="1311"/>
      <c r="U1759" s="1311"/>
      <c r="V1759" s="1311"/>
      <c r="W1759" s="1311"/>
      <c r="X1759" s="1311"/>
      <c r="Y1759" s="1311"/>
      <c r="Z1759" s="1311"/>
    </row>
    <row r="1760" spans="1:26" x14ac:dyDescent="0.25">
      <c r="A1760" s="850" t="s">
        <v>1388</v>
      </c>
      <c r="B1760" s="826" t="str">
        <f ca="1">_xlfn.IFNA(_xlfn.CONCAT(SUBSTITUTE(ADDRESS(1,MATCH(A1760,INDIRECT("'"&amp;E1760&amp;"'"&amp;"!A" &amp; $O$862 + 5 &amp; ":Z" &amp; $O$862+ 5),0),4),1,""),$O$862 + 6),"")</f>
        <v>J229</v>
      </c>
      <c r="C1760" s="826" t="str">
        <f t="shared" ca="1" si="260"/>
        <v>J</v>
      </c>
      <c r="D1760" s="826" t="s">
        <v>1357</v>
      </c>
      <c r="E1760" s="826" t="s">
        <v>1516</v>
      </c>
      <c r="F1760" s="841" t="s">
        <v>1388</v>
      </c>
      <c r="G1760" s="1314" t="str">
        <f>IF(S1760&lt;&gt;"","D","")</f>
        <v/>
      </c>
      <c r="H1760" s="1314" t="s">
        <v>1984</v>
      </c>
      <c r="I1760" s="241"/>
      <c r="J1760" s="1311"/>
      <c r="K1760" s="1311"/>
      <c r="L1760" s="1311"/>
      <c r="N1760" s="1311"/>
      <c r="O1760" s="1311"/>
      <c r="P1760" s="1311"/>
      <c r="Q1760" s="1311"/>
      <c r="R1760" s="1314" t="s">
        <v>1531</v>
      </c>
      <c r="S1760" s="1314" t="str">
        <f>IF(Q$862="Yes",12,"")</f>
        <v/>
      </c>
      <c r="T1760" s="1311"/>
      <c r="U1760" s="1311"/>
      <c r="V1760" s="1311"/>
      <c r="W1760" s="1311"/>
      <c r="X1760" s="1311"/>
      <c r="Y1760" s="1311"/>
      <c r="Z1760" s="1311"/>
    </row>
    <row r="1761" spans="1:26" x14ac:dyDescent="0.25">
      <c r="A1761" s="850" t="s">
        <v>1389</v>
      </c>
      <c r="B1761" s="826" t="str">
        <f ca="1">_xlfn.IFNA(_xlfn.CONCAT(SUBSTITUTE(ADDRESS(1,MATCH(A1761,INDIRECT("'"&amp;E1761&amp;"'"&amp;"!A" &amp; $O$862 + 5 &amp; ":Z" &amp; $O$862+ 5),0),4),1,""),$O$862 + 6),"")</f>
        <v>L229</v>
      </c>
      <c r="C1761" s="826" t="str">
        <f t="shared" ca="1" si="260"/>
        <v>L</v>
      </c>
      <c r="D1761" s="826" t="s">
        <v>1357</v>
      </c>
      <c r="E1761" s="826" t="s">
        <v>1516</v>
      </c>
      <c r="F1761" s="1081" t="s">
        <v>1987</v>
      </c>
      <c r="G1761" s="1314" t="str">
        <f>IF(S1761&lt;&gt;"","F","")</f>
        <v/>
      </c>
      <c r="H1761" s="1314" t="s">
        <v>1984</v>
      </c>
      <c r="I1761" s="241"/>
      <c r="J1761" s="1311"/>
      <c r="K1761" s="1311"/>
      <c r="L1761" s="1311"/>
      <c r="N1761" s="1311"/>
      <c r="O1761" s="1311"/>
      <c r="P1761" s="1311"/>
      <c r="Q1761" s="1311"/>
      <c r="R1761" s="1314" t="s">
        <v>1531</v>
      </c>
      <c r="S1761" s="1314" t="str">
        <f>IF(Q$862="Yes",12,"")</f>
        <v/>
      </c>
      <c r="T1761" s="1311"/>
      <c r="U1761" s="1311"/>
      <c r="V1761" s="1311"/>
      <c r="W1761" s="1311"/>
      <c r="X1761" s="1311"/>
      <c r="Y1761" s="1311"/>
      <c r="Z1761" s="1311"/>
    </row>
    <row r="1762" spans="1:26" x14ac:dyDescent="0.25">
      <c r="A1762" s="847" t="s">
        <v>1491</v>
      </c>
      <c r="B1762" s="826" t="str">
        <f ca="1">IFERROR(_xlfn.CONCAT("C",MATCH(A1762,INDIRECT("'"&amp;E1762&amp;"'!C"&amp;$O$892&amp;":C"&amp;$O$894),0)+$O$892-1),"")</f>
        <v>C243</v>
      </c>
      <c r="C1762" s="826" t="str">
        <f ca="1">IFERROR(_xlfn.CONCAT("D",MATCH(A1762,INDIRECT("'"&amp;E1762&amp;"'!C"&amp;$O$892&amp;":C"&amp;$O$894),0)+$O$892-1),"")</f>
        <v>D243</v>
      </c>
      <c r="D1762" s="826" t="s">
        <v>1350</v>
      </c>
      <c r="E1762" s="826" t="s">
        <v>1516</v>
      </c>
      <c r="F1762" s="841" t="s">
        <v>1491</v>
      </c>
      <c r="G1762" s="1314" t="str">
        <f>IF(S1762&lt;&gt;"","A","")</f>
        <v/>
      </c>
      <c r="H1762" s="1314" t="s">
        <v>1984</v>
      </c>
      <c r="I1762" s="241"/>
      <c r="J1762" s="1311"/>
      <c r="K1762" s="1311"/>
      <c r="L1762" s="1311"/>
      <c r="N1762" s="1311"/>
      <c r="O1762" s="1311"/>
      <c r="P1762" s="1311"/>
      <c r="Q1762" s="1311"/>
      <c r="R1762" s="1314" t="s">
        <v>395</v>
      </c>
      <c r="S1762" s="1314" t="str">
        <f>IF(Q$892="Yes",13,"")</f>
        <v/>
      </c>
      <c r="T1762" s="1311"/>
      <c r="U1762" s="1311"/>
      <c r="V1762" s="1311"/>
      <c r="W1762" s="1311"/>
      <c r="X1762" s="1311"/>
      <c r="Y1762" s="1311"/>
      <c r="Z1762" s="1311"/>
    </row>
    <row r="1763" spans="1:26" x14ac:dyDescent="0.25">
      <c r="A1763" s="847" t="s">
        <v>1383</v>
      </c>
      <c r="B1763" s="826" t="str">
        <f ca="1">IFERROR(_xlfn.CONCAT("C",MATCH(A1763,INDIRECT("'"&amp;E1763&amp;"'!C"&amp;$O$892&amp;":C"&amp;$O$894),0)+$O$892-1),"")</f>
        <v>C241</v>
      </c>
      <c r="C1763" s="826" t="str">
        <f ca="1">IFERROR(_xlfn.CONCAT("D",MATCH(A1763,INDIRECT("'"&amp;E1763&amp;"'!C"&amp;$O$892&amp;":C"&amp;$O$894),0)+$O$892-1),"")</f>
        <v>D241</v>
      </c>
      <c r="D1763" s="826" t="s">
        <v>1350</v>
      </c>
      <c r="E1763" s="826" t="s">
        <v>1516</v>
      </c>
      <c r="F1763" s="841" t="s">
        <v>1383</v>
      </c>
      <c r="G1763" s="1314" t="str">
        <f>IF(S1763&lt;&gt;"","B","")</f>
        <v/>
      </c>
      <c r="H1763" s="1314" t="s">
        <v>1984</v>
      </c>
      <c r="I1763" s="241"/>
      <c r="J1763" s="1311"/>
      <c r="K1763" s="1311"/>
      <c r="L1763" s="1311"/>
      <c r="N1763" s="1311"/>
      <c r="O1763" s="1311"/>
      <c r="P1763" s="1311"/>
      <c r="Q1763" s="1311"/>
      <c r="R1763" s="1314" t="s">
        <v>395</v>
      </c>
      <c r="S1763" s="1314" t="str">
        <f>IF(Q$892="Yes",13,"")</f>
        <v/>
      </c>
      <c r="T1763" s="1311"/>
      <c r="U1763" s="1311"/>
      <c r="V1763" s="1311"/>
      <c r="W1763" s="1311"/>
      <c r="X1763" s="1311"/>
      <c r="Y1763" s="1311"/>
      <c r="Z1763" s="1311"/>
    </row>
    <row r="1764" spans="1:26" x14ac:dyDescent="0.25">
      <c r="A1764" s="847" t="s">
        <v>1387</v>
      </c>
      <c r="B1764" s="826" t="str">
        <f ca="1">_xlfn.CONCAT(IFERROR(SUBSTITUTE(ADDRESS(1,MATCH(A1764,INDIRECT("'"&amp;E1764&amp;"'"&amp;"!A" &amp; $O$892 + 5 &amp; ":Z" &amp; $O$892+ 5),0),4),1,""),""),$O$892 + 5)</f>
        <v>H244</v>
      </c>
      <c r="C1764" s="826" t="str">
        <f ca="1">_xlfn.CONCAT(IFERROR(SUBSTITUTE(ADDRESS(1,MATCH(A1764,INDIRECT("'"&amp;E1764&amp;"'"&amp;"!A" &amp; $O$892 + 5 &amp; ":Z" &amp; $O$892+ 5),0),4),1,""),""),$O$892 + 6)</f>
        <v>H245</v>
      </c>
      <c r="D1764" s="826" t="s">
        <v>1350</v>
      </c>
      <c r="E1764" s="826" t="s">
        <v>1516</v>
      </c>
      <c r="F1764" s="841" t="s">
        <v>1387</v>
      </c>
      <c r="G1764" s="1314" t="str">
        <f>IF(S1764&lt;&gt;"","C","")</f>
        <v/>
      </c>
      <c r="H1764" s="1314" t="s">
        <v>1984</v>
      </c>
      <c r="I1764" s="241"/>
      <c r="J1764" s="1311"/>
      <c r="K1764" s="1311"/>
      <c r="L1764" s="1311"/>
      <c r="N1764" s="1311"/>
      <c r="O1764" s="1311"/>
      <c r="P1764" s="1311"/>
      <c r="Q1764" s="1311"/>
      <c r="R1764" s="1314" t="s">
        <v>395</v>
      </c>
      <c r="S1764" s="1314" t="str">
        <f>IF(Q$892="Yes",13,"")</f>
        <v/>
      </c>
      <c r="T1764" s="1311"/>
      <c r="U1764" s="1311"/>
      <c r="V1764" s="1311"/>
      <c r="W1764" s="1311"/>
      <c r="X1764" s="1311"/>
      <c r="Y1764" s="1311"/>
      <c r="Z1764" s="1311"/>
    </row>
    <row r="1765" spans="1:26" x14ac:dyDescent="0.25">
      <c r="A1765" s="847" t="s">
        <v>1388</v>
      </c>
      <c r="B1765" s="826" t="str">
        <f ca="1">_xlfn.CONCAT(IFERROR(SUBSTITUTE(ADDRESS(1,MATCH(A1765,INDIRECT("'"&amp;E1765&amp;"'"&amp;"!A" &amp; $O$892 + 5 &amp; ":Z" &amp; $O$892+ 5),0),4),1,""),""),$O$892 + 5)</f>
        <v>J244</v>
      </c>
      <c r="C1765" s="826" t="str">
        <f ca="1">_xlfn.CONCAT(IFERROR(SUBSTITUTE(ADDRESS(1,MATCH(A1765,INDIRECT("'"&amp;E1765&amp;"'"&amp;"!A" &amp; $O$892 + 5 &amp; ":Z" &amp; $O$892+ 5),0),4),1,""),""),$O$892 + 6)</f>
        <v>J245</v>
      </c>
      <c r="D1765" s="826" t="s">
        <v>1350</v>
      </c>
      <c r="E1765" s="826" t="s">
        <v>1516</v>
      </c>
      <c r="F1765" s="841" t="s">
        <v>1388</v>
      </c>
      <c r="G1765" s="1314" t="str">
        <f>IF(S1765&lt;&gt;"","D","")</f>
        <v/>
      </c>
      <c r="H1765" s="1314" t="s">
        <v>1984</v>
      </c>
      <c r="I1765" s="241"/>
      <c r="J1765" s="1311"/>
      <c r="K1765" s="1311"/>
      <c r="L1765" s="1311"/>
      <c r="N1765" s="1311"/>
      <c r="O1765" s="1311"/>
      <c r="P1765" s="1311"/>
      <c r="Q1765" s="1311"/>
      <c r="R1765" s="1314" t="s">
        <v>395</v>
      </c>
      <c r="S1765" s="1314" t="str">
        <f>IF(Q$892="Yes",13,"")</f>
        <v/>
      </c>
      <c r="T1765" s="1311"/>
      <c r="U1765" s="1311"/>
      <c r="V1765" s="1311"/>
      <c r="W1765" s="1311"/>
      <c r="X1765" s="1311"/>
      <c r="Y1765" s="1311"/>
      <c r="Z1765" s="1311"/>
    </row>
    <row r="1766" spans="1:26" x14ac:dyDescent="0.25">
      <c r="A1766" s="847" t="s">
        <v>1389</v>
      </c>
      <c r="B1766" s="826" t="str">
        <f ca="1">_xlfn.CONCAT(IFERROR(SUBSTITUTE(ADDRESS(1,MATCH(A1766,INDIRECT("'"&amp;E1766&amp;"'"&amp;"!A" &amp; $O$892 + 5 &amp; ":Z" &amp; $O$892+ 5),0),4),1,""),""),$O$892 + 5)</f>
        <v>L244</v>
      </c>
      <c r="C1766" s="826" t="str">
        <f ca="1">_xlfn.CONCAT(IFERROR(SUBSTITUTE(ADDRESS(1,MATCH(A1766,INDIRECT("'"&amp;E1766&amp;"'"&amp;"!A" &amp; $O$892 + 5 &amp; ":Z" &amp; $O$892+ 5),0),4),1,""),""),$O$892 + 6)</f>
        <v>L245</v>
      </c>
      <c r="D1766" s="826" t="s">
        <v>1350</v>
      </c>
      <c r="E1766" s="826" t="s">
        <v>1516</v>
      </c>
      <c r="F1766" s="1081" t="s">
        <v>1987</v>
      </c>
      <c r="G1766" s="1314" t="str">
        <f>IF(S1766&lt;&gt;"","F","")</f>
        <v/>
      </c>
      <c r="H1766" s="1314" t="s">
        <v>1984</v>
      </c>
      <c r="I1766" s="241"/>
      <c r="J1766" s="1311"/>
      <c r="K1766" s="1311"/>
      <c r="L1766" s="1311"/>
      <c r="N1766" s="1311"/>
      <c r="O1766" s="1311"/>
      <c r="P1766" s="1311"/>
      <c r="Q1766" s="1311"/>
      <c r="R1766" s="1314" t="s">
        <v>395</v>
      </c>
      <c r="S1766" s="1314" t="str">
        <f>IF(Q$892="Yes",13,"")</f>
        <v/>
      </c>
      <c r="T1766" s="1311"/>
      <c r="U1766" s="1311"/>
      <c r="V1766" s="1311"/>
      <c r="W1766" s="1311"/>
      <c r="X1766" s="1311"/>
      <c r="Y1766" s="1311"/>
      <c r="Z1766" s="1311"/>
    </row>
    <row r="1767" spans="1:26" x14ac:dyDescent="0.25">
      <c r="A1767" s="992" t="s">
        <v>1491</v>
      </c>
      <c r="B1767" s="826" t="str">
        <f ca="1">IFERROR(_xlfn.CONCAT("C",MATCH(A1767,INDIRECT("'"&amp;E1767&amp;"'!C"&amp;$O$911&amp;":C"&amp;$O$913),0)+$O$911-1),"")</f>
        <v>C257</v>
      </c>
      <c r="C1767" s="826" t="str">
        <f ca="1">IFERROR(_xlfn.CONCAT("D",MATCH(A1767,INDIRECT("'"&amp;E1767&amp;"'!C"&amp;$O$911&amp;":C"&amp;$O$913),0)+$O$911-1),"")</f>
        <v>D257</v>
      </c>
      <c r="D1767" s="826" t="s">
        <v>1350</v>
      </c>
      <c r="E1767" s="826" t="s">
        <v>1516</v>
      </c>
      <c r="F1767" s="841" t="s">
        <v>1491</v>
      </c>
      <c r="G1767" s="1314" t="str">
        <f>IF(S1767&lt;&gt;"","A","")</f>
        <v/>
      </c>
      <c r="H1767" s="1314" t="s">
        <v>1984</v>
      </c>
      <c r="I1767" s="241"/>
      <c r="J1767" s="1311"/>
      <c r="K1767" s="1311"/>
      <c r="L1767" s="1311"/>
      <c r="N1767" s="1311"/>
      <c r="O1767" s="1311"/>
      <c r="P1767" s="1311"/>
      <c r="Q1767" s="1311"/>
      <c r="R1767" s="1314" t="s">
        <v>395</v>
      </c>
      <c r="S1767" s="1314" t="str">
        <f>IF(Q$911="Yes",14,"")</f>
        <v/>
      </c>
      <c r="T1767" s="1311"/>
      <c r="U1767" s="1311"/>
      <c r="V1767" s="1311"/>
      <c r="W1767" s="1311"/>
      <c r="X1767" s="1311"/>
      <c r="Y1767" s="1311"/>
      <c r="Z1767" s="1311"/>
    </row>
    <row r="1768" spans="1:26" x14ac:dyDescent="0.25">
      <c r="A1768" s="992" t="s">
        <v>1383</v>
      </c>
      <c r="B1768" s="826" t="str">
        <f ca="1">IFERROR(_xlfn.CONCAT("C",MATCH(A1768,INDIRECT("'"&amp;E1768&amp;"'!C"&amp;$O$911&amp;":C"&amp;$O$913),0)+$O$911-1),"")</f>
        <v>C255</v>
      </c>
      <c r="C1768" s="826" t="str">
        <f ca="1">IFERROR(_xlfn.CONCAT("D",MATCH(A1768,INDIRECT("'"&amp;E1768&amp;"'!C"&amp;$O$911&amp;":C"&amp;$O$913),0)+$O$911-1),"")</f>
        <v>D255</v>
      </c>
      <c r="D1768" s="826" t="s">
        <v>1350</v>
      </c>
      <c r="E1768" s="826" t="s">
        <v>1516</v>
      </c>
      <c r="F1768" s="841" t="s">
        <v>1383</v>
      </c>
      <c r="G1768" s="1314" t="str">
        <f>IF(S1768&lt;&gt;"","B","")</f>
        <v/>
      </c>
      <c r="H1768" s="1314" t="s">
        <v>1984</v>
      </c>
      <c r="I1768" s="241"/>
      <c r="J1768" s="1311"/>
      <c r="K1768" s="1311"/>
      <c r="L1768" s="1311"/>
      <c r="N1768" s="1311"/>
      <c r="O1768" s="1311"/>
      <c r="P1768" s="1311"/>
      <c r="Q1768" s="1311"/>
      <c r="R1768" s="1314" t="s">
        <v>395</v>
      </c>
      <c r="S1768" s="1314" t="str">
        <f>IF(Q$911="Yes",14,"")</f>
        <v/>
      </c>
      <c r="T1768" s="1311"/>
      <c r="U1768" s="1311"/>
      <c r="V1768" s="1311"/>
      <c r="W1768" s="1311"/>
      <c r="X1768" s="1311"/>
      <c r="Y1768" s="1311"/>
      <c r="Z1768" s="1311"/>
    </row>
    <row r="1769" spans="1:26" x14ac:dyDescent="0.25">
      <c r="A1769" s="992" t="s">
        <v>1387</v>
      </c>
      <c r="B1769" s="826" t="str">
        <f ca="1">_xlfn.CONCAT(IFERROR(SUBSTITUTE(ADDRESS(1,MATCH(A1769,INDIRECT("'"&amp;E1769&amp;"'"&amp;"!A" &amp; $O$911 + 5 &amp; ":Z" &amp; $O$911 + 5),0),4),1,""),""),$O$911 + 5)</f>
        <v>H258</v>
      </c>
      <c r="C1769" s="826" t="str">
        <f ca="1">_xlfn.CONCAT(IFERROR(SUBSTITUTE(ADDRESS(1,MATCH(A1769,INDIRECT("'"&amp;E1769&amp;"'"&amp;"!A" &amp; $O$911 + 5 &amp; ":Z" &amp; $O$911 + 5),0),4),1,""),""),$O$911 + 6)</f>
        <v>H259</v>
      </c>
      <c r="D1769" s="826" t="s">
        <v>1350</v>
      </c>
      <c r="E1769" s="826" t="s">
        <v>1516</v>
      </c>
      <c r="F1769" s="841" t="s">
        <v>1387</v>
      </c>
      <c r="G1769" s="1314" t="str">
        <f>IF(S1769&lt;&gt;"","C","")</f>
        <v/>
      </c>
      <c r="H1769" s="1314" t="s">
        <v>1984</v>
      </c>
      <c r="I1769" s="241"/>
      <c r="J1769" s="1311"/>
      <c r="K1769" s="1311"/>
      <c r="L1769" s="1311"/>
      <c r="N1769" s="1311"/>
      <c r="O1769" s="1311"/>
      <c r="P1769" s="1311"/>
      <c r="Q1769" s="1311"/>
      <c r="R1769" s="1314" t="s">
        <v>395</v>
      </c>
      <c r="S1769" s="1314" t="str">
        <f>IF(Q$911="Yes",14,"")</f>
        <v/>
      </c>
      <c r="T1769" s="1311"/>
      <c r="U1769" s="1311"/>
      <c r="V1769" s="1311"/>
      <c r="W1769" s="1311"/>
      <c r="X1769" s="1311"/>
      <c r="Y1769" s="1311"/>
      <c r="Z1769" s="1311"/>
    </row>
    <row r="1770" spans="1:26" x14ac:dyDescent="0.25">
      <c r="A1770" s="992" t="s">
        <v>1388</v>
      </c>
      <c r="B1770" s="826" t="str">
        <f ca="1">_xlfn.CONCAT(IFERROR(SUBSTITUTE(ADDRESS(1,MATCH(A1770,INDIRECT("'"&amp;E1770&amp;"'"&amp;"!A" &amp; $O$911 + 5 &amp; ":Z" &amp; $O$911 + 5),0),4),1,""),""),$O$911 + 5)</f>
        <v>J258</v>
      </c>
      <c r="C1770" s="826" t="str">
        <f ca="1">_xlfn.CONCAT(IFERROR(SUBSTITUTE(ADDRESS(1,MATCH(A1770,INDIRECT("'"&amp;E1770&amp;"'"&amp;"!A" &amp; $O$911 + 5 &amp; ":Z" &amp; $O$911 + 5),0),4),1,""),""),$O$911 + 6)</f>
        <v>J259</v>
      </c>
      <c r="D1770" s="826" t="s">
        <v>1350</v>
      </c>
      <c r="E1770" s="826" t="s">
        <v>1516</v>
      </c>
      <c r="F1770" s="841" t="s">
        <v>1388</v>
      </c>
      <c r="G1770" s="1314" t="str">
        <f>IF(S1770&lt;&gt;"","D","")</f>
        <v/>
      </c>
      <c r="H1770" s="1314" t="s">
        <v>1984</v>
      </c>
      <c r="I1770" s="241"/>
      <c r="J1770" s="1311"/>
      <c r="K1770" s="1311"/>
      <c r="L1770" s="1311"/>
      <c r="N1770" s="1311"/>
      <c r="O1770" s="1311"/>
      <c r="P1770" s="1311"/>
      <c r="Q1770" s="1311"/>
      <c r="R1770" s="1314" t="s">
        <v>395</v>
      </c>
      <c r="S1770" s="1314" t="str">
        <f>IF(Q$911="Yes",14,"")</f>
        <v/>
      </c>
      <c r="T1770" s="1311"/>
      <c r="U1770" s="1311"/>
      <c r="V1770" s="1311"/>
      <c r="W1770" s="1311"/>
      <c r="X1770" s="1311"/>
      <c r="Y1770" s="1311"/>
      <c r="Z1770" s="1311"/>
    </row>
    <row r="1771" spans="1:26" x14ac:dyDescent="0.25">
      <c r="A1771" s="992" t="s">
        <v>1389</v>
      </c>
      <c r="B1771" s="826" t="str">
        <f ca="1">_xlfn.CONCAT(IFERROR(SUBSTITUTE(ADDRESS(1,MATCH(A1771,INDIRECT("'"&amp;E1771&amp;"'"&amp;"!A" &amp; $O$911 + 5 &amp; ":Z" &amp; $O$911 + 5),0),4),1,""),""),$O$911 + 5)</f>
        <v>L258</v>
      </c>
      <c r="C1771" s="826" t="str">
        <f ca="1">_xlfn.CONCAT(IFERROR(SUBSTITUTE(ADDRESS(1,MATCH(A1771,INDIRECT("'"&amp;E1771&amp;"'"&amp;"!A" &amp; $O$911 + 5 &amp; ":Z" &amp; $O$911 + 5),0),4),1,""),""),$O$911 + 6)</f>
        <v>L259</v>
      </c>
      <c r="D1771" s="826" t="s">
        <v>1350</v>
      </c>
      <c r="E1771" s="826" t="s">
        <v>1516</v>
      </c>
      <c r="F1771" s="1081" t="s">
        <v>1987</v>
      </c>
      <c r="G1771" s="1314" t="str">
        <f>IF(S1771&lt;&gt;"","F","")</f>
        <v/>
      </c>
      <c r="H1771" s="1314" t="s">
        <v>1984</v>
      </c>
      <c r="I1771" s="241"/>
      <c r="J1771" s="1311"/>
      <c r="K1771" s="1311"/>
      <c r="L1771" s="1311"/>
      <c r="N1771" s="1311"/>
      <c r="O1771" s="1311"/>
      <c r="P1771" s="1311"/>
      <c r="Q1771" s="1311"/>
      <c r="R1771" s="1314" t="s">
        <v>395</v>
      </c>
      <c r="S1771" s="1314" t="str">
        <f>IF(Q$911="Yes",14,"")</f>
        <v/>
      </c>
      <c r="T1771" s="1311"/>
      <c r="U1771" s="1311"/>
      <c r="V1771" s="1311"/>
      <c r="W1771" s="1311"/>
      <c r="X1771" s="1311"/>
      <c r="Y1771" s="1311"/>
      <c r="Z1771" s="1311"/>
    </row>
    <row r="1772" spans="1:26" x14ac:dyDescent="0.25">
      <c r="A1772" s="1011" t="s">
        <v>1491</v>
      </c>
      <c r="B1772" s="826" t="str">
        <f ca="1">IFERROR(_xlfn.CONCAT("C",MATCH(A1772,INDIRECT("'"&amp;E1772&amp;"'!C"&amp;$O$930&amp;":C"&amp;$O$932),0)+$O$930-1),"")</f>
        <v>C271</v>
      </c>
      <c r="C1772" s="826" t="str">
        <f ca="1">IFERROR(_xlfn.CONCAT("D",MATCH(A1772,INDIRECT("'"&amp;E1772&amp;"'!C"&amp;$O$930&amp;":C"&amp;$O$932),0)+$O$930-1),"")</f>
        <v>D271</v>
      </c>
      <c r="D1772" s="826" t="s">
        <v>1350</v>
      </c>
      <c r="E1772" s="826" t="s">
        <v>1516</v>
      </c>
      <c r="F1772" s="841" t="s">
        <v>1491</v>
      </c>
      <c r="G1772" s="1314" t="str">
        <f>IF(S1772&lt;&gt;"","A","")</f>
        <v/>
      </c>
      <c r="H1772" s="1314" t="s">
        <v>1984</v>
      </c>
      <c r="I1772" s="241"/>
      <c r="J1772" s="1311"/>
      <c r="K1772" s="1311"/>
      <c r="L1772" s="1311"/>
      <c r="N1772" s="1311"/>
      <c r="O1772" s="1311"/>
      <c r="P1772" s="1311"/>
      <c r="Q1772" s="1311"/>
      <c r="R1772" s="1314" t="s">
        <v>395</v>
      </c>
      <c r="S1772" s="1314" t="str">
        <f>IF(Q$930="Yes",15,"")</f>
        <v/>
      </c>
      <c r="T1772" s="1311"/>
      <c r="U1772" s="1311"/>
      <c r="V1772" s="1311"/>
      <c r="W1772" s="1311"/>
      <c r="X1772" s="1311"/>
      <c r="Y1772" s="1311"/>
      <c r="Z1772" s="1311"/>
    </row>
    <row r="1773" spans="1:26" x14ac:dyDescent="0.25">
      <c r="A1773" s="1011" t="s">
        <v>1383</v>
      </c>
      <c r="B1773" s="826" t="str">
        <f ca="1">IFERROR(_xlfn.CONCAT("C",MATCH(A1773,INDIRECT("'"&amp;E1773&amp;"'!C"&amp;$O$930&amp;":C"&amp;$O$932),0)+$O$930-1),"")</f>
        <v>C269</v>
      </c>
      <c r="C1773" s="826" t="str">
        <f ca="1">IFERROR(_xlfn.CONCAT("D",MATCH(A1773,INDIRECT("'"&amp;E1773&amp;"'!C"&amp;$O$930&amp;":C"&amp;$O$932),0)+$O$930-1),"")</f>
        <v>D269</v>
      </c>
      <c r="D1773" s="826" t="s">
        <v>1350</v>
      </c>
      <c r="E1773" s="826" t="s">
        <v>1516</v>
      </c>
      <c r="F1773" s="841" t="s">
        <v>1383</v>
      </c>
      <c r="G1773" s="1314" t="str">
        <f>IF(S1773&lt;&gt;"","B","")</f>
        <v/>
      </c>
      <c r="H1773" s="1314" t="s">
        <v>1984</v>
      </c>
      <c r="I1773" s="241"/>
      <c r="J1773" s="1311"/>
      <c r="K1773" s="1311"/>
      <c r="L1773" s="1311"/>
      <c r="N1773" s="1311"/>
      <c r="O1773" s="1311"/>
      <c r="P1773" s="1311"/>
      <c r="Q1773" s="1311"/>
      <c r="R1773" s="1314" t="s">
        <v>395</v>
      </c>
      <c r="S1773" s="1314" t="str">
        <f>IF(Q$930="Yes",15,"")</f>
        <v/>
      </c>
      <c r="T1773" s="1311"/>
      <c r="U1773" s="1311"/>
      <c r="V1773" s="1311"/>
      <c r="W1773" s="1311"/>
      <c r="X1773" s="1311"/>
      <c r="Y1773" s="1311"/>
      <c r="Z1773" s="1311"/>
    </row>
    <row r="1774" spans="1:26" x14ac:dyDescent="0.25">
      <c r="A1774" s="1011" t="s">
        <v>1387</v>
      </c>
      <c r="B1774" s="826" t="str">
        <f ca="1">_xlfn.CONCAT(IFERROR(SUBSTITUTE(ADDRESS(1,MATCH(A1774,INDIRECT("'"&amp;E1774&amp;"'"&amp;"!A" &amp; $O$930 + 5 &amp; ":Z" &amp; $O$930 + 5),0),4),1,""),""),$O$930 + 5)</f>
        <v>H272</v>
      </c>
      <c r="C1774" s="826" t="str">
        <f ca="1">_xlfn.CONCAT(IFERROR(SUBSTITUTE(ADDRESS(1,MATCH(A1774,INDIRECT("'"&amp;E1774&amp;"'"&amp;"!A" &amp; $O$930 + 5 &amp; ":Z" &amp; $O$930 + 5),0),4),1,""),""),$O$930 + 6)</f>
        <v>H273</v>
      </c>
      <c r="D1774" s="826" t="s">
        <v>1350</v>
      </c>
      <c r="E1774" s="826" t="s">
        <v>1516</v>
      </c>
      <c r="F1774" s="841" t="s">
        <v>1387</v>
      </c>
      <c r="G1774" s="1314" t="str">
        <f>IF(S1774&lt;&gt;"","C","")</f>
        <v/>
      </c>
      <c r="H1774" s="1314" t="s">
        <v>1984</v>
      </c>
      <c r="I1774" s="241"/>
      <c r="J1774" s="1311"/>
      <c r="K1774" s="1311"/>
      <c r="L1774" s="1311"/>
      <c r="N1774" s="1311"/>
      <c r="O1774" s="1311"/>
      <c r="P1774" s="1311"/>
      <c r="Q1774" s="1311"/>
      <c r="R1774" s="1314" t="s">
        <v>395</v>
      </c>
      <c r="S1774" s="1314" t="str">
        <f>IF(Q$930="Yes",15,"")</f>
        <v/>
      </c>
      <c r="T1774" s="1311"/>
      <c r="U1774" s="1311"/>
      <c r="V1774" s="1311"/>
      <c r="W1774" s="1311"/>
      <c r="X1774" s="1311"/>
      <c r="Y1774" s="1311"/>
      <c r="Z1774" s="1311"/>
    </row>
    <row r="1775" spans="1:26" x14ac:dyDescent="0.25">
      <c r="A1775" s="1011" t="s">
        <v>1388</v>
      </c>
      <c r="B1775" s="826" t="str">
        <f ca="1">_xlfn.CONCAT(IFERROR(SUBSTITUTE(ADDRESS(1,MATCH(A1775,INDIRECT("'"&amp;E1775&amp;"'"&amp;"!A" &amp; $O$930 + 5 &amp; ":Z" &amp; $O$930 + 5),0),4),1,""),""),$O$930 + 5)</f>
        <v>J272</v>
      </c>
      <c r="C1775" s="826" t="str">
        <f ca="1">_xlfn.CONCAT(IFERROR(SUBSTITUTE(ADDRESS(1,MATCH(A1775,INDIRECT("'"&amp;E1775&amp;"'"&amp;"!A" &amp; $O$930 + 5 &amp; ":Z" &amp; $O$930 + 5),0),4),1,""),""),$O$930 + 6)</f>
        <v>J273</v>
      </c>
      <c r="D1775" s="826" t="s">
        <v>1350</v>
      </c>
      <c r="E1775" s="826" t="s">
        <v>1516</v>
      </c>
      <c r="F1775" s="841" t="s">
        <v>1388</v>
      </c>
      <c r="G1775" s="1314" t="str">
        <f>IF(S1775&lt;&gt;"","D","")</f>
        <v/>
      </c>
      <c r="H1775" s="1314" t="s">
        <v>1984</v>
      </c>
      <c r="I1775" s="241"/>
      <c r="J1775" s="1311"/>
      <c r="K1775" s="1311"/>
      <c r="L1775" s="1311"/>
      <c r="N1775" s="1311"/>
      <c r="O1775" s="1311"/>
      <c r="P1775" s="1311"/>
      <c r="Q1775" s="1311"/>
      <c r="R1775" s="1314" t="s">
        <v>395</v>
      </c>
      <c r="S1775" s="1314" t="str">
        <f>IF(Q$930="Yes",15,"")</f>
        <v/>
      </c>
      <c r="T1775" s="1311"/>
      <c r="U1775" s="1311"/>
      <c r="V1775" s="1311"/>
      <c r="W1775" s="1311"/>
      <c r="X1775" s="1311"/>
      <c r="Y1775" s="1311"/>
      <c r="Z1775" s="1311"/>
    </row>
    <row r="1776" spans="1:26" x14ac:dyDescent="0.25">
      <c r="A1776" s="1011" t="s">
        <v>1389</v>
      </c>
      <c r="B1776" s="826" t="str">
        <f ca="1">_xlfn.CONCAT(IFERROR(SUBSTITUTE(ADDRESS(1,MATCH(A1776,INDIRECT("'"&amp;E1776&amp;"'"&amp;"!A" &amp; $O$930 + 5 &amp; ":Z" &amp; $O$930 + 5),0),4),1,""),""),$O$930 + 5)</f>
        <v>L272</v>
      </c>
      <c r="C1776" s="826" t="str">
        <f ca="1">_xlfn.CONCAT(IFERROR(SUBSTITUTE(ADDRESS(1,MATCH(A1776,INDIRECT("'"&amp;E1776&amp;"'"&amp;"!A" &amp; $O$930 + 5 &amp; ":Z" &amp; $O$930 + 5),0),4),1,""),""),$O$930 + 6)</f>
        <v>L273</v>
      </c>
      <c r="D1776" s="826" t="s">
        <v>1350</v>
      </c>
      <c r="E1776" s="826" t="s">
        <v>1516</v>
      </c>
      <c r="F1776" s="1081" t="s">
        <v>1987</v>
      </c>
      <c r="G1776" s="1314" t="str">
        <f>IF(S1776&lt;&gt;"","F","")</f>
        <v/>
      </c>
      <c r="H1776" s="1314" t="s">
        <v>1984</v>
      </c>
      <c r="I1776" s="241"/>
      <c r="J1776" s="1311"/>
      <c r="K1776" s="1311"/>
      <c r="L1776" s="1311"/>
      <c r="N1776" s="1311"/>
      <c r="O1776" s="1311"/>
      <c r="P1776" s="1311"/>
      <c r="Q1776" s="1311"/>
      <c r="R1776" s="1314" t="s">
        <v>395</v>
      </c>
      <c r="S1776" s="1314" t="str">
        <f>IF(Q$930="Yes",15,"")</f>
        <v/>
      </c>
      <c r="T1776" s="1311"/>
      <c r="U1776" s="1311"/>
      <c r="V1776" s="1311"/>
      <c r="W1776" s="1311"/>
      <c r="X1776" s="1311"/>
      <c r="Y1776" s="1311"/>
      <c r="Z1776" s="1311"/>
    </row>
    <row r="1777" spans="1:26" x14ac:dyDescent="0.25">
      <c r="A1777" s="992" t="s">
        <v>1491</v>
      </c>
      <c r="B1777" s="826" t="str">
        <f ca="1">IFERROR(_xlfn.CONCAT("C",MATCH(A1777,INDIRECT("'"&amp;E1777&amp;"'!C"&amp;$O$949&amp;":C"&amp;$O$951),0)+$O$949-1),"")</f>
        <v>C285</v>
      </c>
      <c r="C1777" s="826" t="str">
        <f ca="1">IFERROR(_xlfn.CONCAT("D",MATCH(A1777,INDIRECT("'"&amp;E1777&amp;"'!C"&amp;$O$949&amp;":C"&amp;$O$951),0)+$O$949-1),"")</f>
        <v>D285</v>
      </c>
      <c r="D1777" s="826" t="s">
        <v>1350</v>
      </c>
      <c r="E1777" s="826" t="s">
        <v>1516</v>
      </c>
      <c r="F1777" s="841" t="s">
        <v>1491</v>
      </c>
      <c r="G1777" s="1314" t="str">
        <f>IF(S1777&lt;&gt;"","A","")</f>
        <v/>
      </c>
      <c r="H1777" s="1314" t="s">
        <v>1984</v>
      </c>
      <c r="I1777" s="241"/>
      <c r="J1777" s="1311"/>
      <c r="K1777" s="1311"/>
      <c r="L1777" s="1311"/>
      <c r="N1777" s="1311"/>
      <c r="O1777" s="1311"/>
      <c r="P1777" s="1311"/>
      <c r="Q1777" s="1311"/>
      <c r="R1777" s="1314" t="s">
        <v>395</v>
      </c>
      <c r="S1777" s="1314" t="str">
        <f>IF(Q$949="Yes",16,"")</f>
        <v/>
      </c>
      <c r="T1777" s="1311"/>
      <c r="U1777" s="1311"/>
      <c r="V1777" s="1311"/>
      <c r="W1777" s="1311"/>
      <c r="X1777" s="1311"/>
      <c r="Y1777" s="1311"/>
      <c r="Z1777" s="1311"/>
    </row>
    <row r="1778" spans="1:26" x14ac:dyDescent="0.25">
      <c r="A1778" s="992" t="s">
        <v>1383</v>
      </c>
      <c r="B1778" s="826" t="str">
        <f ca="1">IFERROR(_xlfn.CONCAT("C",MATCH(A1778,INDIRECT("'"&amp;E1778&amp;"'!C"&amp;$O$949&amp;":C"&amp;$O$951),0)+$O$949-1),"")</f>
        <v>C283</v>
      </c>
      <c r="C1778" s="826" t="str">
        <f ca="1">IFERROR(_xlfn.CONCAT("D",MATCH(A1778,INDIRECT("'"&amp;E1778&amp;"'!C"&amp;$O$949&amp;":C"&amp;$O$951),0)+$O$949-1),"")</f>
        <v>D283</v>
      </c>
      <c r="D1778" s="826" t="s">
        <v>1350</v>
      </c>
      <c r="E1778" s="826" t="s">
        <v>1516</v>
      </c>
      <c r="F1778" s="841" t="s">
        <v>1383</v>
      </c>
      <c r="G1778" s="1314" t="str">
        <f>IF(S1778&lt;&gt;"","B","")</f>
        <v/>
      </c>
      <c r="H1778" s="1314" t="s">
        <v>1984</v>
      </c>
      <c r="I1778" s="241"/>
      <c r="J1778" s="1311"/>
      <c r="K1778" s="1311"/>
      <c r="L1778" s="1311"/>
      <c r="N1778" s="1311"/>
      <c r="O1778" s="1311"/>
      <c r="P1778" s="1311"/>
      <c r="Q1778" s="1311"/>
      <c r="R1778" s="1314" t="s">
        <v>395</v>
      </c>
      <c r="S1778" s="1314" t="str">
        <f>IF(Q$949="Yes",16,"")</f>
        <v/>
      </c>
      <c r="T1778" s="1311"/>
      <c r="U1778" s="1311"/>
      <c r="V1778" s="1311"/>
      <c r="W1778" s="1311"/>
      <c r="X1778" s="1311"/>
      <c r="Y1778" s="1311"/>
      <c r="Z1778" s="1311"/>
    </row>
    <row r="1779" spans="1:26" x14ac:dyDescent="0.25">
      <c r="A1779" s="992" t="s">
        <v>1387</v>
      </c>
      <c r="B1779" s="826" t="str">
        <f ca="1">_xlfn.CONCAT(IFERROR(SUBSTITUTE(ADDRESS(1,MATCH(A1779,INDIRECT("'"&amp;E1779&amp;"'"&amp;"!A" &amp; $O$949 + 5 &amp; ":Z" &amp; $O$949 + 5),0),4),1,""),""),$O$949 + 5)</f>
        <v>H286</v>
      </c>
      <c r="C1779" s="826" t="str">
        <f ca="1">_xlfn.CONCAT(IFERROR(SUBSTITUTE(ADDRESS(1,MATCH(A1779,INDIRECT("'"&amp;E1779&amp;"'"&amp;"!A" &amp; $O$949 + 5 &amp; ":Z" &amp; $O$949 + 5),0),4),1,""),""),$O$949 + 6)</f>
        <v>H287</v>
      </c>
      <c r="D1779" s="826" t="s">
        <v>1350</v>
      </c>
      <c r="E1779" s="826" t="s">
        <v>1516</v>
      </c>
      <c r="F1779" s="841" t="s">
        <v>1387</v>
      </c>
      <c r="G1779" s="1314" t="str">
        <f>IF(S1779&lt;&gt;"","C","")</f>
        <v/>
      </c>
      <c r="H1779" s="1314" t="s">
        <v>1984</v>
      </c>
      <c r="I1779" s="241"/>
      <c r="J1779" s="1311"/>
      <c r="K1779" s="1311"/>
      <c r="L1779" s="1311"/>
      <c r="N1779" s="1311"/>
      <c r="O1779" s="1311"/>
      <c r="P1779" s="1311"/>
      <c r="Q1779" s="1311"/>
      <c r="R1779" s="1314" t="s">
        <v>395</v>
      </c>
      <c r="S1779" s="1314" t="str">
        <f>IF(Q$949="Yes",16,"")</f>
        <v/>
      </c>
      <c r="T1779" s="1311"/>
      <c r="U1779" s="1311"/>
      <c r="V1779" s="1311"/>
      <c r="W1779" s="1311"/>
      <c r="X1779" s="1311"/>
      <c r="Y1779" s="1311"/>
      <c r="Z1779" s="1311"/>
    </row>
    <row r="1780" spans="1:26" x14ac:dyDescent="0.25">
      <c r="A1780" s="992" t="s">
        <v>1388</v>
      </c>
      <c r="B1780" s="826" t="str">
        <f ca="1">_xlfn.CONCAT(IFERROR(SUBSTITUTE(ADDRESS(1,MATCH(A1780,INDIRECT("'"&amp;E1780&amp;"'"&amp;"!A" &amp; $O$949 + 5 &amp; ":Z" &amp; $O$949 + 5),0),4),1,""),""),$O$949 + 5)</f>
        <v>J286</v>
      </c>
      <c r="C1780" s="826" t="str">
        <f ca="1">_xlfn.CONCAT(IFERROR(SUBSTITUTE(ADDRESS(1,MATCH(A1780,INDIRECT("'"&amp;E1780&amp;"'"&amp;"!A" &amp; $O$949 + 5 &amp; ":Z" &amp; $O$949 + 5),0),4),1,""),""),$O$949 + 6)</f>
        <v>J287</v>
      </c>
      <c r="D1780" s="826" t="s">
        <v>1350</v>
      </c>
      <c r="E1780" s="826" t="s">
        <v>1516</v>
      </c>
      <c r="F1780" s="841" t="s">
        <v>1388</v>
      </c>
      <c r="G1780" s="1314" t="str">
        <f>IF(S1780&lt;&gt;"","D","")</f>
        <v/>
      </c>
      <c r="H1780" s="1314" t="s">
        <v>1984</v>
      </c>
      <c r="I1780" s="241"/>
      <c r="J1780" s="1311"/>
      <c r="K1780" s="1311"/>
      <c r="L1780" s="1311"/>
      <c r="N1780" s="1311"/>
      <c r="O1780" s="1311"/>
      <c r="P1780" s="1311"/>
      <c r="Q1780" s="1311"/>
      <c r="R1780" s="1314" t="s">
        <v>395</v>
      </c>
      <c r="S1780" s="1314" t="str">
        <f>IF(Q$949="Yes",16,"")</f>
        <v/>
      </c>
      <c r="T1780" s="1311"/>
      <c r="U1780" s="1311"/>
      <c r="V1780" s="1311"/>
      <c r="W1780" s="1311"/>
      <c r="X1780" s="1311"/>
      <c r="Y1780" s="1311"/>
      <c r="Z1780" s="1311"/>
    </row>
    <row r="1781" spans="1:26" x14ac:dyDescent="0.25">
      <c r="A1781" s="992" t="s">
        <v>1389</v>
      </c>
      <c r="B1781" s="826" t="str">
        <f ca="1">_xlfn.CONCAT(IFERROR(SUBSTITUTE(ADDRESS(1,MATCH(A1781,INDIRECT("'"&amp;E1781&amp;"'"&amp;"!A" &amp; $O$949 + 5 &amp; ":Z" &amp; $O$949 + 5),0),4),1,""),""),$O$949 + 5)</f>
        <v>L286</v>
      </c>
      <c r="C1781" s="826" t="str">
        <f ca="1">_xlfn.CONCAT(IFERROR(SUBSTITUTE(ADDRESS(1,MATCH(A1781,INDIRECT("'"&amp;E1781&amp;"'"&amp;"!A" &amp; $O$949 + 5 &amp; ":Z" &amp; $O$949 + 5),0),4),1,""),""),$O$949 + 6)</f>
        <v>L287</v>
      </c>
      <c r="D1781" s="826" t="s">
        <v>1350</v>
      </c>
      <c r="E1781" s="826" t="s">
        <v>1516</v>
      </c>
      <c r="F1781" s="1081" t="s">
        <v>1987</v>
      </c>
      <c r="G1781" s="1314" t="str">
        <f>IF(S1781&lt;&gt;"","F","")</f>
        <v/>
      </c>
      <c r="H1781" s="1314" t="s">
        <v>1984</v>
      </c>
      <c r="I1781" s="241"/>
      <c r="J1781" s="1311"/>
      <c r="K1781" s="1311"/>
      <c r="L1781" s="1311"/>
      <c r="N1781" s="1311"/>
      <c r="O1781" s="1311"/>
      <c r="P1781" s="1311"/>
      <c r="Q1781" s="1311"/>
      <c r="R1781" s="1314" t="s">
        <v>395</v>
      </c>
      <c r="S1781" s="1314" t="str">
        <f>IF(Q$949="Yes",16,"")</f>
        <v/>
      </c>
      <c r="T1781" s="1311"/>
      <c r="U1781" s="1311"/>
      <c r="V1781" s="1311"/>
      <c r="W1781" s="1311"/>
      <c r="X1781" s="1311"/>
      <c r="Y1781" s="1311"/>
      <c r="Z1781" s="1311"/>
    </row>
    <row r="1782" spans="1:26" x14ac:dyDescent="0.25">
      <c r="A1782" s="1013" t="s">
        <v>1491</v>
      </c>
      <c r="B1782" s="826" t="str">
        <f ca="1">IFERROR(_xlfn.CONCAT("C",MATCH(A1782,INDIRECT("'"&amp;E1782&amp;"'!C"&amp;$O$968&amp;":C"&amp;$O$970),0)+$O$968-1),"")</f>
        <v>C299</v>
      </c>
      <c r="C1782" s="826" t="str">
        <f ca="1">IFERROR(_xlfn.CONCAT("D",MATCH(A1782,INDIRECT("'"&amp;E1782&amp;"'!C"&amp;$O$968&amp;":C"&amp;$O$970),0)+$O$968-1),"")</f>
        <v>D299</v>
      </c>
      <c r="D1782" s="826" t="s">
        <v>1350</v>
      </c>
      <c r="E1782" s="826" t="s">
        <v>1516</v>
      </c>
      <c r="F1782" s="841" t="s">
        <v>1491</v>
      </c>
      <c r="G1782" s="1314" t="str">
        <f>IF(S1782&lt;&gt;"","A","")</f>
        <v/>
      </c>
      <c r="H1782" s="1314" t="s">
        <v>1984</v>
      </c>
      <c r="I1782" s="241"/>
      <c r="J1782" s="1311"/>
      <c r="K1782" s="1311"/>
      <c r="L1782" s="1311"/>
      <c r="N1782" s="1311"/>
      <c r="O1782" s="1311"/>
      <c r="P1782" s="1311"/>
      <c r="Q1782" s="1311"/>
      <c r="R1782" s="1314" t="s">
        <v>395</v>
      </c>
      <c r="S1782" s="1314" t="str">
        <f>IF(Q$968="Yes",17,"")</f>
        <v/>
      </c>
      <c r="T1782" s="1311"/>
      <c r="U1782" s="1311"/>
      <c r="V1782" s="1311"/>
      <c r="W1782" s="1311"/>
      <c r="X1782" s="1311"/>
      <c r="Y1782" s="1311"/>
      <c r="Z1782" s="1311"/>
    </row>
    <row r="1783" spans="1:26" x14ac:dyDescent="0.25">
      <c r="A1783" s="1013" t="s">
        <v>1383</v>
      </c>
      <c r="B1783" s="826" t="str">
        <f ca="1">IFERROR(_xlfn.CONCAT("C",MATCH(A1783,INDIRECT("'"&amp;E1783&amp;"'!C"&amp;$O$968&amp;":C"&amp;$O$970),0)+$O$968-1),"")</f>
        <v>C297</v>
      </c>
      <c r="C1783" s="826" t="str">
        <f ca="1">IFERROR(_xlfn.CONCAT("D",MATCH(A1783,INDIRECT("'"&amp;E1783&amp;"'!C"&amp;$O$968&amp;":C"&amp;$O$970),0)+$O$968-1),"")</f>
        <v>D297</v>
      </c>
      <c r="D1783" s="826" t="s">
        <v>1350</v>
      </c>
      <c r="E1783" s="826" t="s">
        <v>1516</v>
      </c>
      <c r="F1783" s="841" t="s">
        <v>1383</v>
      </c>
      <c r="G1783" s="1314" t="str">
        <f>IF(S1783&lt;&gt;"","B","")</f>
        <v/>
      </c>
      <c r="H1783" s="1314" t="s">
        <v>1984</v>
      </c>
      <c r="I1783" s="241"/>
      <c r="J1783" s="1311"/>
      <c r="K1783" s="1311"/>
      <c r="L1783" s="1311"/>
      <c r="N1783" s="1311"/>
      <c r="O1783" s="1311"/>
      <c r="P1783" s="1311"/>
      <c r="Q1783" s="1311"/>
      <c r="R1783" s="1314" t="s">
        <v>395</v>
      </c>
      <c r="S1783" s="1314" t="str">
        <f>IF(Q$968="Yes",17,"")</f>
        <v/>
      </c>
      <c r="T1783" s="1311"/>
      <c r="U1783" s="1311"/>
      <c r="V1783" s="1311"/>
      <c r="W1783" s="1311"/>
      <c r="X1783" s="1311"/>
      <c r="Y1783" s="1311"/>
      <c r="Z1783" s="1311"/>
    </row>
    <row r="1784" spans="1:26" x14ac:dyDescent="0.25">
      <c r="A1784" s="1013" t="s">
        <v>1387</v>
      </c>
      <c r="B1784" s="826" t="str">
        <f ca="1">_xlfn.CONCAT(IFERROR(SUBSTITUTE(ADDRESS(1,MATCH(A1784,INDIRECT("'"&amp;E1784&amp;"'"&amp;"!A" &amp; $O$968 + 5 &amp; ":Z" &amp; $O$968 + 5),0),4),1,""),""),$O$968 + 5)</f>
        <v>H300</v>
      </c>
      <c r="C1784" s="826" t="str">
        <f ca="1">_xlfn.CONCAT(IFERROR(SUBSTITUTE(ADDRESS(1,MATCH(A1784,INDIRECT("'"&amp;E1784&amp;"'"&amp;"!A" &amp; $O$968 + 5 &amp; ":Z" &amp; $O$968 + 5),0),4),1,""),""),$O$968 + 6)</f>
        <v>H301</v>
      </c>
      <c r="D1784" s="826" t="s">
        <v>1350</v>
      </c>
      <c r="E1784" s="826" t="s">
        <v>1516</v>
      </c>
      <c r="F1784" s="841" t="s">
        <v>1387</v>
      </c>
      <c r="G1784" s="1314" t="str">
        <f>IF(S1784&lt;&gt;"","C","")</f>
        <v/>
      </c>
      <c r="H1784" s="1314" t="s">
        <v>1984</v>
      </c>
      <c r="I1784" s="241"/>
      <c r="J1784" s="1311"/>
      <c r="K1784" s="1311"/>
      <c r="L1784" s="1311"/>
      <c r="N1784" s="1311"/>
      <c r="O1784" s="1311"/>
      <c r="P1784" s="1311"/>
      <c r="Q1784" s="1311"/>
      <c r="R1784" s="1314" t="s">
        <v>395</v>
      </c>
      <c r="S1784" s="1314" t="str">
        <f>IF(Q$968="Yes",17,"")</f>
        <v/>
      </c>
      <c r="T1784" s="1311"/>
      <c r="U1784" s="1311"/>
      <c r="V1784" s="1311"/>
      <c r="W1784" s="1311"/>
      <c r="X1784" s="1311"/>
      <c r="Y1784" s="1311"/>
      <c r="Z1784" s="1311"/>
    </row>
    <row r="1785" spans="1:26" x14ac:dyDescent="0.25">
      <c r="A1785" s="1013" t="s">
        <v>1388</v>
      </c>
      <c r="B1785" s="826" t="str">
        <f ca="1">_xlfn.CONCAT(IFERROR(SUBSTITUTE(ADDRESS(1,MATCH(A1785,INDIRECT("'"&amp;E1785&amp;"'"&amp;"!A" &amp; $O$968 + 5 &amp; ":Z" &amp; $O$968 + 5),0),4),1,""),""),$O$968 + 5)</f>
        <v>J300</v>
      </c>
      <c r="C1785" s="826" t="str">
        <f ca="1">_xlfn.CONCAT(IFERROR(SUBSTITUTE(ADDRESS(1,MATCH(A1785,INDIRECT("'"&amp;E1785&amp;"'"&amp;"!A" &amp; $O$968 + 5 &amp; ":Z" &amp; $O$968 + 5),0),4),1,""),""),$O$968 + 6)</f>
        <v>J301</v>
      </c>
      <c r="D1785" s="826" t="s">
        <v>1350</v>
      </c>
      <c r="E1785" s="826" t="s">
        <v>1516</v>
      </c>
      <c r="F1785" s="841" t="s">
        <v>1388</v>
      </c>
      <c r="G1785" s="1314" t="str">
        <f>IF(S1785&lt;&gt;"","D","")</f>
        <v/>
      </c>
      <c r="H1785" s="1314" t="s">
        <v>1984</v>
      </c>
      <c r="I1785" s="241"/>
      <c r="J1785" s="1311"/>
      <c r="K1785" s="1311"/>
      <c r="L1785" s="1311"/>
      <c r="N1785" s="1311"/>
      <c r="O1785" s="1311"/>
      <c r="P1785" s="1311"/>
      <c r="Q1785" s="1311"/>
      <c r="R1785" s="1314" t="s">
        <v>395</v>
      </c>
      <c r="S1785" s="1314" t="str">
        <f>IF(Q$968="Yes",17,"")</f>
        <v/>
      </c>
      <c r="T1785" s="1311"/>
      <c r="U1785" s="1311"/>
      <c r="V1785" s="1311"/>
      <c r="W1785" s="1311"/>
      <c r="X1785" s="1311"/>
      <c r="Y1785" s="1311"/>
      <c r="Z1785" s="1311"/>
    </row>
    <row r="1786" spans="1:26" x14ac:dyDescent="0.25">
      <c r="A1786" s="1013" t="s">
        <v>1389</v>
      </c>
      <c r="B1786" s="826" t="str">
        <f ca="1">_xlfn.CONCAT(IFERROR(SUBSTITUTE(ADDRESS(1,MATCH(A1786,INDIRECT("'"&amp;E1786&amp;"'"&amp;"!A" &amp; $O$968 + 5 &amp; ":Z" &amp; $O$968 + 5),0),4),1,""),""),$O$968 + 5)</f>
        <v>L300</v>
      </c>
      <c r="C1786" s="826" t="str">
        <f ca="1">_xlfn.CONCAT(IFERROR(SUBSTITUTE(ADDRESS(1,MATCH(A1786,INDIRECT("'"&amp;E1786&amp;"'"&amp;"!A" &amp; $O$968 + 5 &amp; ":Z" &amp; $O$968 + 5),0),4),1,""),""),$O$968 + 6)</f>
        <v>L301</v>
      </c>
      <c r="D1786" s="826" t="s">
        <v>1350</v>
      </c>
      <c r="E1786" s="826" t="s">
        <v>1516</v>
      </c>
      <c r="F1786" s="1081" t="s">
        <v>1987</v>
      </c>
      <c r="G1786" s="1314" t="str">
        <f>IF(S1786&lt;&gt;"","F","")</f>
        <v/>
      </c>
      <c r="H1786" s="1314" t="s">
        <v>1984</v>
      </c>
      <c r="I1786" s="241"/>
      <c r="J1786" s="1311"/>
      <c r="K1786" s="1311"/>
      <c r="L1786" s="1311"/>
      <c r="N1786" s="1311"/>
      <c r="O1786" s="1311"/>
      <c r="P1786" s="1311"/>
      <c r="Q1786" s="1311"/>
      <c r="R1786" s="1314" t="s">
        <v>395</v>
      </c>
      <c r="S1786" s="1314" t="str">
        <f>IF(Q$968="Yes",17,"")</f>
        <v/>
      </c>
      <c r="T1786" s="1311"/>
      <c r="U1786" s="1311"/>
      <c r="V1786" s="1311"/>
      <c r="W1786" s="1311"/>
      <c r="X1786" s="1311"/>
      <c r="Y1786" s="1311"/>
      <c r="Z1786" s="1311"/>
    </row>
    <row r="1787" spans="1:26" x14ac:dyDescent="0.25">
      <c r="A1787" s="850" t="s">
        <v>1491</v>
      </c>
      <c r="B1787" s="826" t="str">
        <f ca="1">IFERROR(_xlfn.CONCAT("C",MATCH(A1787,INDIRECT("'"&amp;E1787&amp;"'!C"&amp;$O$987&amp;":C"&amp;$O$989),0)+$O$987-1),"")</f>
        <v>C313</v>
      </c>
      <c r="C1787" s="826" t="str">
        <f ca="1">IFERROR(_xlfn.CONCAT("D",MATCH(A1787,INDIRECT("'"&amp;E1787&amp;"'!C"&amp;$O$987&amp;":C"&amp;$O$989),0)+$O$987-1),"")</f>
        <v>D313</v>
      </c>
      <c r="D1787" s="826" t="s">
        <v>1350</v>
      </c>
      <c r="E1787" s="826" t="s">
        <v>1516</v>
      </c>
      <c r="F1787" s="841" t="s">
        <v>1491</v>
      </c>
      <c r="G1787" s="1314" t="str">
        <f>IF(S1787&lt;&gt;"","A","")</f>
        <v/>
      </c>
      <c r="H1787" s="1314" t="s">
        <v>1984</v>
      </c>
      <c r="I1787" s="241"/>
      <c r="J1787" s="1311"/>
      <c r="K1787" s="1311"/>
      <c r="L1787" s="1311"/>
      <c r="N1787" s="1311"/>
      <c r="O1787" s="1311"/>
      <c r="P1787" s="1311"/>
      <c r="Q1787" s="1311"/>
      <c r="R1787" s="1314" t="s">
        <v>1696</v>
      </c>
      <c r="S1787" s="1314" t="str">
        <f>IF(Q$987="Yes",18,"")</f>
        <v/>
      </c>
      <c r="T1787" s="1311"/>
      <c r="U1787" s="1311"/>
      <c r="V1787" s="1311"/>
      <c r="W1787" s="1311"/>
      <c r="X1787" s="1311"/>
      <c r="Y1787" s="1311"/>
      <c r="Z1787" s="1311"/>
    </row>
    <row r="1788" spans="1:26" x14ac:dyDescent="0.25">
      <c r="A1788" s="850" t="s">
        <v>1383</v>
      </c>
      <c r="B1788" s="826" t="str">
        <f ca="1">IFERROR(_xlfn.CONCAT("C",MATCH(A1788,INDIRECT("'"&amp;E1788&amp;"'!C"&amp;$O$987&amp;":C"&amp;$O$989),0)+$O$987-1),"")</f>
        <v>C311</v>
      </c>
      <c r="C1788" s="826" t="str">
        <f ca="1">IFERROR(_xlfn.CONCAT("D",MATCH(A1788,INDIRECT("'"&amp;E1788&amp;"'!C"&amp;$O$987&amp;":C"&amp;$O$989),0)+$O$987-1),"")</f>
        <v>D311</v>
      </c>
      <c r="D1788" s="826" t="s">
        <v>1350</v>
      </c>
      <c r="E1788" s="826" t="s">
        <v>1516</v>
      </c>
      <c r="F1788" s="841" t="s">
        <v>1383</v>
      </c>
      <c r="G1788" s="1314" t="str">
        <f>IF(S1788&lt;&gt;"","B","")</f>
        <v/>
      </c>
      <c r="H1788" s="1314" t="s">
        <v>1984</v>
      </c>
      <c r="I1788" s="241"/>
      <c r="J1788" s="1311"/>
      <c r="K1788" s="1311"/>
      <c r="L1788" s="1311"/>
      <c r="N1788" s="1311"/>
      <c r="O1788" s="1311"/>
      <c r="P1788" s="1311"/>
      <c r="Q1788" s="1311"/>
      <c r="R1788" s="1314" t="s">
        <v>1696</v>
      </c>
      <c r="S1788" s="1314" t="str">
        <f>IF(Q$987="Yes",18,"")</f>
        <v/>
      </c>
      <c r="T1788" s="1311"/>
      <c r="U1788" s="1311"/>
      <c r="V1788" s="1311"/>
      <c r="W1788" s="1311"/>
      <c r="X1788" s="1311"/>
      <c r="Y1788" s="1311"/>
      <c r="Z1788" s="1311"/>
    </row>
    <row r="1789" spans="1:26" x14ac:dyDescent="0.25">
      <c r="A1789" s="850" t="s">
        <v>1387</v>
      </c>
      <c r="B1789" s="826" t="str">
        <f ca="1">_xlfn.CONCAT(IFERROR(SUBSTITUTE(ADDRESS(1,MATCH(A1789,INDIRECT("'"&amp;E1789&amp;"'"&amp;"!A" &amp; $O$987 + 5 &amp; ":Z" &amp; $O$987 + 5),0),4),1,""),""),$O$987 + 5)</f>
        <v>H314</v>
      </c>
      <c r="C1789" s="826" t="str">
        <f ca="1">_xlfn.CONCAT(IFERROR(SUBSTITUTE(ADDRESS(1,MATCH(A1789,INDIRECT("'"&amp;E1789&amp;"'"&amp;"!A" &amp; $O$987 + 5 &amp; ":Z" &amp; $O$987 + 5),0),4),1,""),""),$O$987 + 6)</f>
        <v>H315</v>
      </c>
      <c r="D1789" s="826" t="s">
        <v>1350</v>
      </c>
      <c r="E1789" s="826" t="s">
        <v>1516</v>
      </c>
      <c r="F1789" s="841" t="s">
        <v>1387</v>
      </c>
      <c r="G1789" s="1314" t="str">
        <f>IF(S1789&lt;&gt;"","C","")</f>
        <v/>
      </c>
      <c r="H1789" s="1314" t="s">
        <v>1984</v>
      </c>
      <c r="I1789" s="241"/>
      <c r="J1789" s="1311"/>
      <c r="K1789" s="1311"/>
      <c r="L1789" s="1311"/>
      <c r="N1789" s="1311"/>
      <c r="O1789" s="1311"/>
      <c r="P1789" s="1311"/>
      <c r="Q1789" s="1311"/>
      <c r="R1789" s="1314" t="s">
        <v>1696</v>
      </c>
      <c r="S1789" s="1314" t="str">
        <f>IF(Q$987="Yes",18,"")</f>
        <v/>
      </c>
      <c r="T1789" s="1311"/>
      <c r="U1789" s="1311"/>
      <c r="V1789" s="1311"/>
      <c r="W1789" s="1311"/>
      <c r="X1789" s="1311"/>
      <c r="Y1789" s="1311"/>
      <c r="Z1789" s="1311"/>
    </row>
    <row r="1790" spans="1:26" x14ac:dyDescent="0.25">
      <c r="A1790" s="850" t="s">
        <v>1388</v>
      </c>
      <c r="B1790" s="826" t="str">
        <f ca="1">_xlfn.CONCAT(IFERROR(SUBSTITUTE(ADDRESS(1,MATCH(A1790,INDIRECT("'"&amp;E1790&amp;"'"&amp;"!A" &amp; $O$987 + 5 &amp; ":Z" &amp; $O$987 + 5),0),4),1,""),""),$O$987 + 5)</f>
        <v>J314</v>
      </c>
      <c r="C1790" s="826" t="str">
        <f ca="1">_xlfn.CONCAT(IFERROR(SUBSTITUTE(ADDRESS(1,MATCH(A1790,INDIRECT("'"&amp;E1790&amp;"'"&amp;"!A" &amp; $O$987 + 5 &amp; ":Z" &amp; $O$987 + 5),0),4),1,""),""),$O$987 + 6)</f>
        <v>J315</v>
      </c>
      <c r="D1790" s="826" t="s">
        <v>1350</v>
      </c>
      <c r="E1790" s="826" t="s">
        <v>1516</v>
      </c>
      <c r="F1790" s="841" t="s">
        <v>1388</v>
      </c>
      <c r="G1790" s="1314" t="str">
        <f>IF(S1790&lt;&gt;"","D","")</f>
        <v/>
      </c>
      <c r="H1790" s="1314" t="s">
        <v>1984</v>
      </c>
      <c r="I1790" s="241"/>
      <c r="J1790" s="1311"/>
      <c r="K1790" s="1311"/>
      <c r="L1790" s="1311"/>
      <c r="N1790" s="1311"/>
      <c r="O1790" s="1311"/>
      <c r="P1790" s="1311"/>
      <c r="Q1790" s="1311"/>
      <c r="R1790" s="1314" t="s">
        <v>1696</v>
      </c>
      <c r="S1790" s="1314" t="str">
        <f>IF(Q$987="Yes",18,"")</f>
        <v/>
      </c>
      <c r="T1790" s="1311"/>
      <c r="U1790" s="1311"/>
      <c r="V1790" s="1311"/>
      <c r="W1790" s="1311"/>
      <c r="X1790" s="1311"/>
      <c r="Y1790" s="1311"/>
      <c r="Z1790" s="1311"/>
    </row>
    <row r="1791" spans="1:26" x14ac:dyDescent="0.25">
      <c r="A1791" s="850" t="s">
        <v>1389</v>
      </c>
      <c r="B1791" s="826" t="str">
        <f ca="1">_xlfn.CONCAT(IFERROR(SUBSTITUTE(ADDRESS(1,MATCH(A1791,INDIRECT("'"&amp;E1791&amp;"'"&amp;"!A" &amp; $O$987 + 5 &amp; ":Z" &amp; $O$987 + 5),0),4),1,""),""),$O$987 + 5)</f>
        <v>L314</v>
      </c>
      <c r="C1791" s="826" t="str">
        <f ca="1">_xlfn.CONCAT(IFERROR(SUBSTITUTE(ADDRESS(1,MATCH(A1791,INDIRECT("'"&amp;E1791&amp;"'"&amp;"!A" &amp; $O$987 + 5 &amp; ":Z" &amp; $O$987 + 5),0),4),1,""),""),$O$987 + 6)</f>
        <v>L315</v>
      </c>
      <c r="D1791" s="826" t="s">
        <v>1350</v>
      </c>
      <c r="E1791" s="826" t="s">
        <v>1516</v>
      </c>
      <c r="F1791" s="1081" t="s">
        <v>1987</v>
      </c>
      <c r="G1791" s="1314" t="str">
        <f>IF(S1791&lt;&gt;"","F","")</f>
        <v/>
      </c>
      <c r="H1791" s="1314" t="s">
        <v>1984</v>
      </c>
      <c r="I1791" s="241"/>
      <c r="J1791" s="1311"/>
      <c r="K1791" s="1311"/>
      <c r="L1791" s="1311"/>
      <c r="N1791" s="1311"/>
      <c r="O1791" s="1311"/>
      <c r="P1791" s="1311"/>
      <c r="Q1791" s="1311"/>
      <c r="R1791" s="1314" t="s">
        <v>1696</v>
      </c>
      <c r="S1791" s="1314" t="str">
        <f>IF(Q$987="Yes",18,"")</f>
        <v/>
      </c>
      <c r="T1791" s="1311"/>
      <c r="U1791" s="1311"/>
      <c r="V1791" s="1311"/>
      <c r="W1791" s="1311"/>
      <c r="X1791" s="1311"/>
      <c r="Y1791" s="1311"/>
      <c r="Z1791" s="1311"/>
    </row>
    <row r="1792" spans="1:26" x14ac:dyDescent="0.25">
      <c r="A1792" s="847" t="s">
        <v>1491</v>
      </c>
      <c r="B1792" s="826" t="str">
        <f ca="1">IFERROR(_xlfn.CONCAT("C",MATCH(A1792,INDIRECT("'"&amp;E1792&amp;"'!C"&amp;$O$1105&amp;":C"&amp;$O$1107),0)+$O$1105-1),"")</f>
        <v>C439</v>
      </c>
      <c r="C1792" s="826" t="str">
        <f ca="1">IFERROR(_xlfn.CONCAT("D",MATCH(A1792,INDIRECT("'"&amp;E1792&amp;"'!C"&amp;$O$1105&amp;":C"&amp;$O$1107),0)+$O$1105-1),"")</f>
        <v>D439</v>
      </c>
      <c r="D1792" s="826" t="s">
        <v>1350</v>
      </c>
      <c r="E1792" s="826" t="s">
        <v>1516</v>
      </c>
      <c r="F1792" s="826" t="s">
        <v>1491</v>
      </c>
      <c r="G1792" s="826" t="str">
        <f>IF(S1792&lt;&gt;"","A","")</f>
        <v/>
      </c>
      <c r="H1792" s="826" t="s">
        <v>1983</v>
      </c>
      <c r="I1792" s="241"/>
      <c r="J1792" s="1311"/>
      <c r="K1792" s="1311"/>
      <c r="L1792" s="1311"/>
      <c r="N1792" s="1311"/>
      <c r="O1792" s="1311"/>
      <c r="P1792" s="1311"/>
      <c r="Q1792" s="1311"/>
      <c r="R1792" s="1314" t="s">
        <v>1099</v>
      </c>
      <c r="S1792" s="1314" t="str">
        <f>IF(Q$1105="Yes",1,"")</f>
        <v/>
      </c>
      <c r="T1792" s="1311"/>
      <c r="U1792" s="1311"/>
      <c r="V1792" s="1311"/>
      <c r="W1792" s="1311"/>
      <c r="X1792" s="1311"/>
      <c r="Y1792" s="1311"/>
      <c r="Z1792" s="1311"/>
    </row>
    <row r="1793" spans="1:26" x14ac:dyDescent="0.25">
      <c r="A1793" s="847" t="s">
        <v>1383</v>
      </c>
      <c r="B1793" s="826" t="str">
        <f ca="1">IFERROR(_xlfn.CONCAT("C",MATCH(A1793,INDIRECT("'"&amp;E1793&amp;"'!C"&amp;$O$1105&amp;":C"&amp;$O$1107),0)+$O$1105-1),"")</f>
        <v>C437</v>
      </c>
      <c r="C1793" s="826" t="str">
        <f ca="1">IFERROR(_xlfn.CONCAT("D",MATCH(A1793,INDIRECT("'"&amp;E1793&amp;"'!C"&amp;$O$1105&amp;":C"&amp;$O$1107),0)+$O$1105-1),"")</f>
        <v>D437</v>
      </c>
      <c r="D1793" s="826" t="s">
        <v>1350</v>
      </c>
      <c r="E1793" s="826" t="s">
        <v>1516</v>
      </c>
      <c r="F1793" s="1081" t="s">
        <v>1383</v>
      </c>
      <c r="G1793" s="826" t="str">
        <f>IF(S1793&lt;&gt;"","B","")</f>
        <v/>
      </c>
      <c r="H1793" s="826" t="s">
        <v>1983</v>
      </c>
      <c r="I1793" s="241"/>
      <c r="J1793" s="1311"/>
      <c r="K1793" s="1311"/>
      <c r="L1793" s="1311"/>
      <c r="N1793" s="1311"/>
      <c r="O1793" s="1311"/>
      <c r="P1793" s="1311"/>
      <c r="Q1793" s="1311"/>
      <c r="R1793" s="1314" t="s">
        <v>1099</v>
      </c>
      <c r="S1793" s="1314" t="str">
        <f>IF(Q$1105="Yes",1,"")</f>
        <v/>
      </c>
      <c r="T1793" s="1311"/>
      <c r="U1793" s="1311"/>
      <c r="V1793" s="1311"/>
      <c r="W1793" s="1311"/>
      <c r="X1793" s="1311"/>
      <c r="Y1793" s="1311"/>
      <c r="Z1793" s="1311"/>
    </row>
    <row r="1794" spans="1:26" x14ac:dyDescent="0.25">
      <c r="A1794" s="847" t="s">
        <v>1481</v>
      </c>
      <c r="B1794" s="826" t="str">
        <f ca="1">_xlfn.CONCAT(IFERROR(SUBSTITUTE(ADDRESS(1,MATCH(A1794,INDIRECT("'"&amp;E1794&amp;"'"&amp;"!A" &amp; $O$1105 + 5 &amp; ":Z" &amp; $O$1105 + 5),0),4),1,""),""),$O$1105+ 6)</f>
        <v>J441</v>
      </c>
      <c r="C1794" s="826" t="str">
        <f t="shared" ref="C1794:C1796" ca="1" si="261">IFERROR(SUBSTITUTE(ADDRESS(1,MATCH(A1794,INDIRECT("'"&amp;E1794&amp;"'"&amp;"!A" &amp; $O$1105 + 5 &amp; ":Z" &amp; $O$1105 + 5),0),4),1,""),"")</f>
        <v>J</v>
      </c>
      <c r="D1794" s="826" t="s">
        <v>1357</v>
      </c>
      <c r="E1794" s="826" t="s">
        <v>1516</v>
      </c>
      <c r="F1794" s="1081" t="s">
        <v>1481</v>
      </c>
      <c r="G1794" s="826" t="str">
        <f>IF(S1794&lt;&gt;"","C","")</f>
        <v/>
      </c>
      <c r="H1794" s="826" t="s">
        <v>1983</v>
      </c>
      <c r="I1794" s="241"/>
      <c r="J1794" s="1311"/>
      <c r="K1794" s="1311"/>
      <c r="L1794" s="1311"/>
      <c r="N1794" s="1311"/>
      <c r="O1794" s="1311"/>
      <c r="P1794" s="1311"/>
      <c r="Q1794" s="1311"/>
      <c r="R1794" s="1314" t="s">
        <v>1099</v>
      </c>
      <c r="S1794" s="1314" t="str">
        <f>IF(Q$1105="Yes",1,"")</f>
        <v/>
      </c>
      <c r="T1794" s="1311"/>
      <c r="U1794" s="1311"/>
      <c r="V1794" s="1311"/>
      <c r="W1794" s="1311"/>
      <c r="X1794" s="1311"/>
      <c r="Y1794" s="1311"/>
      <c r="Z1794" s="1311"/>
    </row>
    <row r="1795" spans="1:26" x14ac:dyDescent="0.25">
      <c r="A1795" s="847" t="s">
        <v>727</v>
      </c>
      <c r="B1795" s="826" t="str">
        <f ca="1">_xlfn.CONCAT(IFERROR(SUBSTITUTE(ADDRESS(1,MATCH(A1795,INDIRECT("'"&amp;E1795&amp;"'"&amp;"!A" &amp; $O$1105 + 5 &amp; ":Z" &amp; $O$1105 + 5),0),4),1,""),""),$O$1105+ 6)</f>
        <v>L441</v>
      </c>
      <c r="C1795" s="826" t="str">
        <f t="shared" ca="1" si="261"/>
        <v>L</v>
      </c>
      <c r="D1795" s="826" t="s">
        <v>1357</v>
      </c>
      <c r="E1795" s="826" t="s">
        <v>1516</v>
      </c>
      <c r="F1795" s="1081" t="s">
        <v>727</v>
      </c>
      <c r="G1795" s="826" t="str">
        <f>IF(S1795&lt;&gt;"","E","")</f>
        <v/>
      </c>
      <c r="H1795" s="826" t="s">
        <v>1983</v>
      </c>
      <c r="I1795" s="241"/>
      <c r="J1795" s="1311"/>
      <c r="K1795" s="1311"/>
      <c r="L1795" s="1311"/>
      <c r="N1795" s="1311"/>
      <c r="O1795" s="1311"/>
      <c r="P1795" s="1311"/>
      <c r="Q1795" s="1311"/>
      <c r="R1795" s="1314" t="s">
        <v>1099</v>
      </c>
      <c r="S1795" s="1314" t="str">
        <f>IF(Q$1105="Yes",1,"")</f>
        <v/>
      </c>
      <c r="T1795" s="1311"/>
      <c r="U1795" s="1311"/>
      <c r="V1795" s="1311"/>
      <c r="W1795" s="1311"/>
      <c r="X1795" s="1311"/>
      <c r="Y1795" s="1311"/>
      <c r="Z1795" s="1311"/>
    </row>
    <row r="1796" spans="1:26" x14ac:dyDescent="0.25">
      <c r="A1796" s="847" t="s">
        <v>1482</v>
      </c>
      <c r="B1796" s="826" t="str">
        <f ca="1">_xlfn.CONCAT(IFERROR(SUBSTITUTE(ADDRESS(1,MATCH(A1796,INDIRECT("'"&amp;E1796&amp;"'"&amp;"!A" &amp; $O$1105 + 5 &amp; ":Z" &amp; $O$1105 + 5),0),4),1,""),""),$O$1105+ 6)</f>
        <v>N441</v>
      </c>
      <c r="C1796" s="826" t="str">
        <f t="shared" ca="1" si="261"/>
        <v>N</v>
      </c>
      <c r="D1796" s="826" t="s">
        <v>1357</v>
      </c>
      <c r="E1796" s="826" t="s">
        <v>1516</v>
      </c>
      <c r="F1796" s="1081" t="s">
        <v>1482</v>
      </c>
      <c r="G1796" s="826" t="str">
        <f>IF(S1796&lt;&gt;"","F","")</f>
        <v/>
      </c>
      <c r="H1796" s="826" t="s">
        <v>1983</v>
      </c>
      <c r="I1796" s="241"/>
      <c r="J1796" s="1311"/>
      <c r="K1796" s="1311"/>
      <c r="L1796" s="1311"/>
      <c r="N1796" s="1311"/>
      <c r="O1796" s="1311"/>
      <c r="P1796" s="1311"/>
      <c r="Q1796" s="1311"/>
      <c r="R1796" s="1314" t="s">
        <v>1099</v>
      </c>
      <c r="S1796" s="1314" t="str">
        <f>IF(Q$1105="Yes",1,"")</f>
        <v/>
      </c>
      <c r="T1796" s="1311"/>
      <c r="U1796" s="1311"/>
      <c r="V1796" s="1311"/>
      <c r="W1796" s="1311"/>
      <c r="X1796" s="1311"/>
      <c r="Y1796" s="1311"/>
      <c r="Z1796" s="1311"/>
    </row>
    <row r="1797" spans="1:26" x14ac:dyDescent="0.25">
      <c r="A1797" s="850" t="s">
        <v>1491</v>
      </c>
      <c r="B1797" s="826" t="str">
        <f ca="1">IFERROR(_xlfn.CONCAT("C",MATCH(A1797,INDIRECT("'"&amp;E1797&amp;"'!C"&amp;$O$1134&amp;":C"&amp;$O$1136),0)+$O$1134-1),"")</f>
        <v>C453</v>
      </c>
      <c r="C1797" s="826" t="str">
        <f ca="1">IFERROR(_xlfn.CONCAT("D",MATCH(A1797,INDIRECT("'"&amp;E1797&amp;"'!C"&amp;$O$1134&amp;":C"&amp;$O$1136),0)+$O$1134-1),"")</f>
        <v>D453</v>
      </c>
      <c r="D1797" s="826" t="s">
        <v>1350</v>
      </c>
      <c r="E1797" s="826" t="s">
        <v>1516</v>
      </c>
      <c r="F1797" s="826" t="s">
        <v>1491</v>
      </c>
      <c r="G1797" s="826" t="str">
        <f>IF(S1797&lt;&gt;"","A","")</f>
        <v/>
      </c>
      <c r="H1797" s="826" t="s">
        <v>1983</v>
      </c>
      <c r="I1797" s="241"/>
      <c r="J1797" s="1311"/>
      <c r="K1797" s="1311"/>
      <c r="L1797" s="1311"/>
      <c r="N1797" s="1311"/>
      <c r="O1797" s="1311"/>
      <c r="P1797" s="1311"/>
      <c r="Q1797" s="1311"/>
      <c r="R1797" s="1314" t="s">
        <v>1099</v>
      </c>
      <c r="S1797" s="1314" t="str">
        <f>IF(Q$1134="Yes",2,"")</f>
        <v/>
      </c>
      <c r="T1797" s="1311"/>
      <c r="U1797" s="1311"/>
      <c r="V1797" s="1311"/>
      <c r="W1797" s="1311"/>
      <c r="X1797" s="1311"/>
      <c r="Y1797" s="1311"/>
      <c r="Z1797" s="1311"/>
    </row>
    <row r="1798" spans="1:26" x14ac:dyDescent="0.25">
      <c r="A1798" s="850" t="s">
        <v>1383</v>
      </c>
      <c r="B1798" s="826" t="str">
        <f ca="1">IFERROR(_xlfn.CONCAT("C",MATCH(A1798,INDIRECT("'"&amp;E1798&amp;"'!C"&amp;$O$1134&amp;":C"&amp;$O$1136),0)+$O$1134-1),"")</f>
        <v>C451</v>
      </c>
      <c r="C1798" s="826" t="str">
        <f ca="1">IFERROR(_xlfn.CONCAT("D",MATCH(A1798,INDIRECT("'"&amp;E1798&amp;"'!C"&amp;$O$1134&amp;":C"&amp;$O$1136),0)+$O$1134-1),"")</f>
        <v>D451</v>
      </c>
      <c r="D1798" s="826" t="s">
        <v>1350</v>
      </c>
      <c r="E1798" s="826" t="s">
        <v>1516</v>
      </c>
      <c r="F1798" s="1081" t="s">
        <v>1383</v>
      </c>
      <c r="G1798" s="826" t="str">
        <f>IF(S1798&lt;&gt;"","B","")</f>
        <v/>
      </c>
      <c r="H1798" s="826" t="s">
        <v>1983</v>
      </c>
      <c r="I1798" s="241"/>
      <c r="J1798" s="1311"/>
      <c r="K1798" s="1311"/>
      <c r="L1798" s="1311"/>
      <c r="N1798" s="1311"/>
      <c r="O1798" s="1311"/>
      <c r="P1798" s="1311"/>
      <c r="Q1798" s="1311"/>
      <c r="R1798" s="1314" t="s">
        <v>1099</v>
      </c>
      <c r="S1798" s="1314" t="str">
        <f>IF(Q$1134="Yes",2,"")</f>
        <v/>
      </c>
      <c r="T1798" s="1311"/>
      <c r="U1798" s="1311"/>
      <c r="V1798" s="1311"/>
      <c r="W1798" s="1311"/>
      <c r="X1798" s="1311"/>
      <c r="Y1798" s="1311"/>
      <c r="Z1798" s="1311"/>
    </row>
    <row r="1799" spans="1:26" x14ac:dyDescent="0.25">
      <c r="A1799" s="850" t="s">
        <v>1481</v>
      </c>
      <c r="B1799" s="826" t="str">
        <f ca="1">_xlfn.CONCAT(IFERROR(SUBSTITUTE(ADDRESS(1,MATCH(A1799,INDIRECT("'"&amp;E1799&amp;"'"&amp;"!A" &amp; $O$1134 + 5 &amp; ":Z" &amp; $O$1134 + 5),0),4),1,""),""),$O$1134+ 6)</f>
        <v>J455</v>
      </c>
      <c r="C1799" s="826" t="str">
        <f t="shared" ref="C1799:C1801" ca="1" si="262">IFERROR(SUBSTITUTE(ADDRESS(1,MATCH(A1799,INDIRECT("'"&amp;E1799&amp;"'"&amp;"!A" &amp; $O$1134 + 5 &amp; ":Z" &amp; $O$1134 + 5),0),4),1,""),"")</f>
        <v>J</v>
      </c>
      <c r="D1799" s="826" t="s">
        <v>1357</v>
      </c>
      <c r="E1799" s="826" t="s">
        <v>1516</v>
      </c>
      <c r="F1799" s="1081" t="s">
        <v>1481</v>
      </c>
      <c r="G1799" s="826" t="str">
        <f>IF(S1799&lt;&gt;"","C","")</f>
        <v/>
      </c>
      <c r="H1799" s="826" t="s">
        <v>1983</v>
      </c>
      <c r="I1799" s="241"/>
      <c r="J1799" s="1311"/>
      <c r="K1799" s="1311"/>
      <c r="L1799" s="1311"/>
      <c r="N1799" s="1311"/>
      <c r="O1799" s="1311"/>
      <c r="P1799" s="1311"/>
      <c r="Q1799" s="1311"/>
      <c r="R1799" s="1314" t="s">
        <v>1099</v>
      </c>
      <c r="S1799" s="1314" t="str">
        <f>IF(Q$1134="Yes",2,"")</f>
        <v/>
      </c>
      <c r="T1799" s="1311"/>
      <c r="U1799" s="1311"/>
      <c r="V1799" s="1311"/>
      <c r="W1799" s="1311"/>
      <c r="X1799" s="1311"/>
      <c r="Y1799" s="1311"/>
      <c r="Z1799" s="1311"/>
    </row>
    <row r="1800" spans="1:26" x14ac:dyDescent="0.25">
      <c r="A1800" s="850" t="s">
        <v>727</v>
      </c>
      <c r="B1800" s="826" t="str">
        <f ca="1">_xlfn.CONCAT(IFERROR(SUBSTITUTE(ADDRESS(1,MATCH(A1800,INDIRECT("'"&amp;E1800&amp;"'"&amp;"!A" &amp; $O$1134 + 5 &amp; ":Z" &amp; $O$1134 + 5),0),4),1,""),""),$O$1134+ 6)</f>
        <v>L455</v>
      </c>
      <c r="C1800" s="826" t="str">
        <f t="shared" ca="1" si="262"/>
        <v>L</v>
      </c>
      <c r="D1800" s="826" t="s">
        <v>1357</v>
      </c>
      <c r="E1800" s="826" t="s">
        <v>1516</v>
      </c>
      <c r="F1800" s="1081" t="s">
        <v>727</v>
      </c>
      <c r="G1800" s="826" t="str">
        <f>IF(S1800&lt;&gt;"","E","")</f>
        <v/>
      </c>
      <c r="H1800" s="826" t="s">
        <v>1983</v>
      </c>
      <c r="I1800" s="241"/>
      <c r="J1800" s="1311"/>
      <c r="K1800" s="1311"/>
      <c r="L1800" s="1311"/>
      <c r="N1800" s="1311"/>
      <c r="O1800" s="1311"/>
      <c r="P1800" s="1311"/>
      <c r="Q1800" s="1311"/>
      <c r="R1800" s="1314" t="s">
        <v>1099</v>
      </c>
      <c r="S1800" s="1314" t="str">
        <f>IF(Q$1134="Yes",2,"")</f>
        <v/>
      </c>
      <c r="T1800" s="1311"/>
      <c r="U1800" s="1311"/>
      <c r="V1800" s="1311"/>
      <c r="W1800" s="1311"/>
      <c r="X1800" s="1311"/>
      <c r="Y1800" s="1311"/>
      <c r="Z1800" s="1311"/>
    </row>
    <row r="1801" spans="1:26" x14ac:dyDescent="0.25">
      <c r="A1801" s="850" t="s">
        <v>1482</v>
      </c>
      <c r="B1801" s="826" t="str">
        <f ca="1">_xlfn.CONCAT(IFERROR(SUBSTITUTE(ADDRESS(1,MATCH(A1801,INDIRECT("'"&amp;E1801&amp;"'"&amp;"!A" &amp; $O$1134 + 5 &amp; ":Z" &amp; $O$1134 + 5),0),4),1,""),""),$O$1134+ 6)</f>
        <v>N455</v>
      </c>
      <c r="C1801" s="826" t="str">
        <f t="shared" ca="1" si="262"/>
        <v>N</v>
      </c>
      <c r="D1801" s="826" t="s">
        <v>1357</v>
      </c>
      <c r="E1801" s="826" t="s">
        <v>1516</v>
      </c>
      <c r="F1801" s="1081" t="s">
        <v>1482</v>
      </c>
      <c r="G1801" s="826" t="str">
        <f>IF(S1801&lt;&gt;"","F","")</f>
        <v/>
      </c>
      <c r="H1801" s="826" t="s">
        <v>1983</v>
      </c>
      <c r="I1801" s="241"/>
      <c r="J1801" s="1311"/>
      <c r="K1801" s="1311"/>
      <c r="L1801" s="1311"/>
      <c r="N1801" s="1311"/>
      <c r="O1801" s="1311"/>
      <c r="P1801" s="1311"/>
      <c r="Q1801" s="1311"/>
      <c r="R1801" s="1314" t="s">
        <v>1099</v>
      </c>
      <c r="S1801" s="1314" t="str">
        <f>IF(Q$1134="Yes",2,"")</f>
        <v/>
      </c>
      <c r="T1801" s="1311"/>
      <c r="U1801" s="1311"/>
      <c r="V1801" s="1311"/>
      <c r="W1801" s="1311"/>
      <c r="X1801" s="1311"/>
      <c r="Y1801" s="1311"/>
      <c r="Z1801" s="1311"/>
    </row>
    <row r="1802" spans="1:26" x14ac:dyDescent="0.25">
      <c r="A1802" s="847" t="s">
        <v>1491</v>
      </c>
      <c r="B1802" s="826" t="str">
        <f ca="1">IFERROR(_xlfn.CONCAT("C",MATCH(A1802,INDIRECT("'"&amp;E1802&amp;"'!C"&amp;$O$1163&amp;":C"&amp;$O$1165),0)+$O$1163-1),"")</f>
        <v>C467</v>
      </c>
      <c r="C1802" s="826" t="str">
        <f ca="1">IFERROR(_xlfn.CONCAT("D",MATCH(A1802,INDIRECT("'"&amp;E1802&amp;"'!C"&amp;$O$1163&amp;":C"&amp;$O$1165),0)+$O$1163-1),"")</f>
        <v>D467</v>
      </c>
      <c r="D1802" s="826" t="s">
        <v>1350</v>
      </c>
      <c r="E1802" s="826" t="s">
        <v>1516</v>
      </c>
      <c r="F1802" s="826" t="s">
        <v>1491</v>
      </c>
      <c r="G1802" s="826" t="str">
        <f>IF(S1802&lt;&gt;"","A","")</f>
        <v/>
      </c>
      <c r="H1802" s="826" t="s">
        <v>1983</v>
      </c>
      <c r="I1802" s="241"/>
      <c r="J1802" s="1311"/>
      <c r="K1802" s="1311"/>
      <c r="L1802" s="1311"/>
      <c r="N1802" s="1311"/>
      <c r="O1802" s="1311"/>
      <c r="P1802" s="1311"/>
      <c r="Q1802" s="1311"/>
      <c r="R1802" s="1314" t="s">
        <v>1099</v>
      </c>
      <c r="S1802" s="1314" t="str">
        <f>IF(Q$1163="Yes",3,"")</f>
        <v/>
      </c>
      <c r="T1802" s="1311"/>
      <c r="U1802" s="1311"/>
      <c r="V1802" s="1311"/>
      <c r="W1802" s="1311"/>
      <c r="X1802" s="1311"/>
      <c r="Y1802" s="1311"/>
      <c r="Z1802" s="1311"/>
    </row>
    <row r="1803" spans="1:26" x14ac:dyDescent="0.25">
      <c r="A1803" s="847" t="s">
        <v>1383</v>
      </c>
      <c r="B1803" s="826" t="str">
        <f ca="1">IFERROR(_xlfn.CONCAT("C",MATCH(A1803,INDIRECT("'"&amp;E1803&amp;"'!C"&amp;$O$1163&amp;":C"&amp;$O$1165),0)+$O$1163-1),"")</f>
        <v>C465</v>
      </c>
      <c r="C1803" s="826" t="str">
        <f ca="1">IFERROR(_xlfn.CONCAT("D",MATCH(A1803,INDIRECT("'"&amp;E1803&amp;"'!C"&amp;$O$1163&amp;":C"&amp;$O$1165),0)+$O$1163-1),"")</f>
        <v>D465</v>
      </c>
      <c r="D1803" s="826" t="s">
        <v>1350</v>
      </c>
      <c r="E1803" s="826" t="s">
        <v>1516</v>
      </c>
      <c r="F1803" s="1081" t="s">
        <v>1383</v>
      </c>
      <c r="G1803" s="826" t="str">
        <f>IF(S1803&lt;&gt;"","B","")</f>
        <v/>
      </c>
      <c r="H1803" s="826" t="s">
        <v>1983</v>
      </c>
      <c r="I1803" s="241"/>
      <c r="J1803" s="1311"/>
      <c r="K1803" s="1311"/>
      <c r="L1803" s="1311"/>
      <c r="N1803" s="1311"/>
      <c r="O1803" s="1311"/>
      <c r="P1803" s="1311"/>
      <c r="Q1803" s="1311"/>
      <c r="R1803" s="1314" t="s">
        <v>1099</v>
      </c>
      <c r="S1803" s="1314" t="str">
        <f>IF(Q$1163="Yes",3,"")</f>
        <v/>
      </c>
      <c r="T1803" s="1311"/>
      <c r="U1803" s="1311"/>
      <c r="V1803" s="1311"/>
      <c r="W1803" s="1311"/>
      <c r="X1803" s="1311"/>
      <c r="Y1803" s="1311"/>
      <c r="Z1803" s="1311"/>
    </row>
    <row r="1804" spans="1:26" x14ac:dyDescent="0.25">
      <c r="A1804" s="847" t="s">
        <v>1481</v>
      </c>
      <c r="B1804" s="826" t="str">
        <f ca="1">_xlfn.CONCAT(IFERROR(SUBSTITUTE(ADDRESS(1,MATCH(A1804,INDIRECT("'"&amp;E1804&amp;"'"&amp;"!A" &amp; $O$1163 + 5 &amp; ":Z" &amp; $O$1163 + 5),0),4),1,""),""),$O$1163+ 6)</f>
        <v>J469</v>
      </c>
      <c r="C1804" s="826" t="str">
        <f t="shared" ref="C1804:C1806" ca="1" si="263">IFERROR(SUBSTITUTE(ADDRESS(1,MATCH(A1804,INDIRECT("'"&amp;E1804&amp;"'"&amp;"!A" &amp; $O$1163 + 5 &amp; ":Z" &amp; $O$1163 + 5),0),4),1,""),"")</f>
        <v>J</v>
      </c>
      <c r="D1804" s="826" t="s">
        <v>1357</v>
      </c>
      <c r="E1804" s="826" t="s">
        <v>1516</v>
      </c>
      <c r="F1804" s="1081" t="s">
        <v>1481</v>
      </c>
      <c r="G1804" s="826" t="str">
        <f>IF(S1804&lt;&gt;"","C","")</f>
        <v/>
      </c>
      <c r="H1804" s="826" t="s">
        <v>1983</v>
      </c>
      <c r="I1804" s="241"/>
      <c r="J1804" s="1311"/>
      <c r="K1804" s="1311"/>
      <c r="L1804" s="1311"/>
      <c r="N1804" s="1311"/>
      <c r="O1804" s="1311"/>
      <c r="P1804" s="1311"/>
      <c r="Q1804" s="1311"/>
      <c r="R1804" s="1314" t="s">
        <v>1099</v>
      </c>
      <c r="S1804" s="1314" t="str">
        <f>IF(Q$1163="Yes",3,"")</f>
        <v/>
      </c>
      <c r="T1804" s="1311"/>
      <c r="U1804" s="1311"/>
      <c r="V1804" s="1311"/>
      <c r="W1804" s="1311"/>
      <c r="X1804" s="1311"/>
      <c r="Y1804" s="1311"/>
      <c r="Z1804" s="1311"/>
    </row>
    <row r="1805" spans="1:26" x14ac:dyDescent="0.25">
      <c r="A1805" s="847" t="s">
        <v>727</v>
      </c>
      <c r="B1805" s="826" t="str">
        <f ca="1">_xlfn.CONCAT(IFERROR(SUBSTITUTE(ADDRESS(1,MATCH(A1805,INDIRECT("'"&amp;E1805&amp;"'"&amp;"!A" &amp; $O$1163 + 5 &amp; ":Z" &amp; $O$1163 + 5),0),4),1,""),""),$O$1163+ 6)</f>
        <v>L469</v>
      </c>
      <c r="C1805" s="826" t="str">
        <f t="shared" ca="1" si="263"/>
        <v>L</v>
      </c>
      <c r="D1805" s="826" t="s">
        <v>1357</v>
      </c>
      <c r="E1805" s="826" t="s">
        <v>1516</v>
      </c>
      <c r="F1805" s="1081" t="s">
        <v>727</v>
      </c>
      <c r="G1805" s="826" t="str">
        <f>IF(S1805&lt;&gt;"","E","")</f>
        <v/>
      </c>
      <c r="H1805" s="826" t="s">
        <v>1983</v>
      </c>
      <c r="I1805" s="241"/>
      <c r="J1805" s="1311"/>
      <c r="K1805" s="1311"/>
      <c r="L1805" s="1311"/>
      <c r="N1805" s="1311"/>
      <c r="O1805" s="1311"/>
      <c r="P1805" s="1311"/>
      <c r="Q1805" s="1311"/>
      <c r="R1805" s="1314" t="s">
        <v>1099</v>
      </c>
      <c r="S1805" s="1314" t="str">
        <f>IF(Q$1163="Yes",3,"")</f>
        <v/>
      </c>
      <c r="T1805" s="1311"/>
      <c r="U1805" s="1311"/>
      <c r="V1805" s="1311"/>
      <c r="W1805" s="1311"/>
      <c r="X1805" s="1311"/>
      <c r="Y1805" s="1311"/>
      <c r="Z1805" s="1311"/>
    </row>
    <row r="1806" spans="1:26" x14ac:dyDescent="0.25">
      <c r="A1806" s="847" t="s">
        <v>1621</v>
      </c>
      <c r="B1806" s="826" t="str">
        <f ca="1">_xlfn.CONCAT(IFERROR(SUBSTITUTE(ADDRESS(1,MATCH(A1806,INDIRECT("'"&amp;E1806&amp;"'"&amp;"!A" &amp; $O$1163 + 5 &amp; ":Z" &amp; $O$1163 + 5),0),4),1,""),""),$O$1163+ 6)</f>
        <v>N469</v>
      </c>
      <c r="C1806" s="826" t="str">
        <f t="shared" ca="1" si="263"/>
        <v>N</v>
      </c>
      <c r="D1806" s="826" t="s">
        <v>1357</v>
      </c>
      <c r="E1806" s="826" t="s">
        <v>1516</v>
      </c>
      <c r="F1806" s="1081" t="s">
        <v>1621</v>
      </c>
      <c r="G1806" s="826" t="str">
        <f>IF(S1806&lt;&gt;"","D","")</f>
        <v/>
      </c>
      <c r="H1806" s="826" t="s">
        <v>1983</v>
      </c>
      <c r="I1806" s="241"/>
      <c r="J1806" s="1311"/>
      <c r="K1806" s="1311"/>
      <c r="L1806" s="1311"/>
      <c r="N1806" s="1311"/>
      <c r="O1806" s="1311"/>
      <c r="P1806" s="1311"/>
      <c r="Q1806" s="1311"/>
      <c r="R1806" s="1314" t="s">
        <v>1099</v>
      </c>
      <c r="S1806" s="1314" t="str">
        <f>IF(Q$1163="Yes",3,"")</f>
        <v/>
      </c>
      <c r="T1806" s="1311"/>
      <c r="U1806" s="1311"/>
      <c r="V1806" s="1311"/>
      <c r="W1806" s="1311"/>
      <c r="X1806" s="1311"/>
      <c r="Y1806" s="1311"/>
      <c r="Z1806" s="1311"/>
    </row>
    <row r="1807" spans="1:26" x14ac:dyDescent="0.25">
      <c r="A1807" s="850" t="s">
        <v>1491</v>
      </c>
      <c r="B1807" s="826" t="str">
        <f ca="1">IFERROR(_xlfn.CONCAT("C",MATCH(A1807,INDIRECT("'"&amp;E1807&amp;"'!C"&amp;$O$1188&amp;":C"&amp;$O$1190),0)+$O$1188-1),"")</f>
        <v>C481</v>
      </c>
      <c r="C1807" s="826" t="str">
        <f ca="1">IFERROR(_xlfn.CONCAT("D",MATCH(A1807,INDIRECT("'"&amp;E1807&amp;"'!C"&amp;$O$1188&amp;":C"&amp;$O$1190),0)+$O$1188-1),"")</f>
        <v>D481</v>
      </c>
      <c r="D1807" s="826" t="s">
        <v>1350</v>
      </c>
      <c r="E1807" s="826" t="s">
        <v>1516</v>
      </c>
      <c r="F1807" s="826" t="s">
        <v>1491</v>
      </c>
      <c r="G1807" s="826" t="str">
        <f>IF(S1807&lt;&gt;"","A","")</f>
        <v/>
      </c>
      <c r="H1807" s="826" t="s">
        <v>1983</v>
      </c>
      <c r="I1807" s="241"/>
      <c r="J1807" s="1311"/>
      <c r="K1807" s="1311"/>
      <c r="L1807" s="1311"/>
      <c r="N1807" s="1311"/>
      <c r="O1807" s="1311"/>
      <c r="P1807" s="1311"/>
      <c r="Q1807" s="1311"/>
      <c r="R1807" s="1314" t="s">
        <v>1099</v>
      </c>
      <c r="S1807" s="1314" t="str">
        <f>IF(Q$1188="Yes",4,"")</f>
        <v/>
      </c>
      <c r="T1807" s="1311"/>
      <c r="U1807" s="1311"/>
      <c r="V1807" s="1311"/>
      <c r="W1807" s="1311"/>
      <c r="X1807" s="1311"/>
      <c r="Y1807" s="1311"/>
      <c r="Z1807" s="1311"/>
    </row>
    <row r="1808" spans="1:26" x14ac:dyDescent="0.25">
      <c r="A1808" s="850" t="s">
        <v>1383</v>
      </c>
      <c r="B1808" s="826" t="str">
        <f ca="1">IFERROR(_xlfn.CONCAT("C",MATCH(A1808,INDIRECT("'"&amp;E1808&amp;"'!C"&amp;$O$1188&amp;":C"&amp;$O$1190),0)+$O$1188-1),"")</f>
        <v>C479</v>
      </c>
      <c r="C1808" s="826" t="str">
        <f ca="1">IFERROR(_xlfn.CONCAT("D",MATCH(A1808,INDIRECT("'"&amp;E1808&amp;"'!C"&amp;$O$1188&amp;":C"&amp;$O$1190),0)+$O$1188-1),"")</f>
        <v>D479</v>
      </c>
      <c r="D1808" s="826" t="s">
        <v>1350</v>
      </c>
      <c r="E1808" s="826" t="s">
        <v>1516</v>
      </c>
      <c r="F1808" s="1081" t="s">
        <v>1383</v>
      </c>
      <c r="G1808" s="826" t="str">
        <f>IF(S1808&lt;&gt;"","B","")</f>
        <v/>
      </c>
      <c r="H1808" s="826" t="s">
        <v>1983</v>
      </c>
      <c r="I1808" s="241"/>
      <c r="J1808" s="1311"/>
      <c r="K1808" s="1311"/>
      <c r="L1808" s="1311"/>
      <c r="N1808" s="1311"/>
      <c r="O1808" s="1311"/>
      <c r="P1808" s="1311"/>
      <c r="Q1808" s="1311"/>
      <c r="R1808" s="1314" t="s">
        <v>1099</v>
      </c>
      <c r="S1808" s="1314" t="str">
        <f>IF(Q$1188="Yes",4,"")</f>
        <v/>
      </c>
      <c r="T1808" s="1311"/>
      <c r="U1808" s="1311"/>
      <c r="V1808" s="1311"/>
      <c r="W1808" s="1311"/>
      <c r="X1808" s="1311"/>
      <c r="Y1808" s="1311"/>
      <c r="Z1808" s="1311"/>
    </row>
    <row r="1809" spans="1:26" x14ac:dyDescent="0.25">
      <c r="A1809" s="850" t="s">
        <v>1481</v>
      </c>
      <c r="B1809" s="826" t="str">
        <f ca="1">_xlfn.CONCAT(IFERROR(SUBSTITUTE(ADDRESS(1,MATCH(A1809,INDIRECT("'"&amp;E1809&amp;"'"&amp;"!A" &amp; $O$1188 + 5 &amp; ":Z" &amp; $O$1188 + 5),0),4),1,""),""),$O$1188+ 6)</f>
        <v>J483</v>
      </c>
      <c r="C1809" s="826" t="str">
        <f t="shared" ref="C1809:C1811" ca="1" si="264">IFERROR(SUBSTITUTE(ADDRESS(1,MATCH(A1809,INDIRECT("'"&amp;E1809&amp;"'"&amp;"!A" &amp; $O$1188 + 5 &amp; ":Z" &amp; $O$1188 + 5),0),4),1,""),"")</f>
        <v>J</v>
      </c>
      <c r="D1809" s="826" t="s">
        <v>1357</v>
      </c>
      <c r="E1809" s="826" t="s">
        <v>1516</v>
      </c>
      <c r="F1809" s="1081" t="s">
        <v>1481</v>
      </c>
      <c r="G1809" s="826" t="str">
        <f>IF(S1809&lt;&gt;"","C","")</f>
        <v/>
      </c>
      <c r="H1809" s="826" t="s">
        <v>1983</v>
      </c>
      <c r="I1809" s="241"/>
      <c r="J1809" s="1311"/>
      <c r="K1809" s="1311"/>
      <c r="L1809" s="1311"/>
      <c r="N1809" s="1311"/>
      <c r="O1809" s="1311"/>
      <c r="P1809" s="1311"/>
      <c r="Q1809" s="1311"/>
      <c r="R1809" s="1314" t="s">
        <v>1099</v>
      </c>
      <c r="S1809" s="1314" t="str">
        <f>IF(Q$1188="Yes",4,"")</f>
        <v/>
      </c>
      <c r="T1809" s="1311"/>
      <c r="U1809" s="1311"/>
      <c r="V1809" s="1311"/>
      <c r="W1809" s="1311"/>
      <c r="X1809" s="1311"/>
      <c r="Y1809" s="1311"/>
      <c r="Z1809" s="1311"/>
    </row>
    <row r="1810" spans="1:26" x14ac:dyDescent="0.25">
      <c r="A1810" s="850" t="s">
        <v>727</v>
      </c>
      <c r="B1810" s="826" t="str">
        <f ca="1">_xlfn.CONCAT(IFERROR(SUBSTITUTE(ADDRESS(1,MATCH(A1810,INDIRECT("'"&amp;E1810&amp;"'"&amp;"!A" &amp; $O$1188 + 5 &amp; ":Z" &amp; $O$1188 + 5),0),4),1,""),""),$O$1188+ 6)</f>
        <v>L483</v>
      </c>
      <c r="C1810" s="826" t="str">
        <f t="shared" ca="1" si="264"/>
        <v>L</v>
      </c>
      <c r="D1810" s="826" t="s">
        <v>1357</v>
      </c>
      <c r="E1810" s="826" t="s">
        <v>1516</v>
      </c>
      <c r="F1810" s="1081" t="s">
        <v>727</v>
      </c>
      <c r="G1810" s="826" t="str">
        <f>IF(S1810&lt;&gt;"","E","")</f>
        <v/>
      </c>
      <c r="H1810" s="826" t="s">
        <v>1983</v>
      </c>
      <c r="I1810" s="241"/>
      <c r="J1810" s="1311"/>
      <c r="K1810" s="1311"/>
      <c r="L1810" s="1311"/>
      <c r="N1810" s="1311"/>
      <c r="O1810" s="1311"/>
      <c r="P1810" s="1311"/>
      <c r="Q1810" s="1311"/>
      <c r="R1810" s="1314" t="s">
        <v>1099</v>
      </c>
      <c r="S1810" s="1314" t="str">
        <f>IF(Q$1188="Yes",4,"")</f>
        <v/>
      </c>
      <c r="T1810" s="1311"/>
      <c r="U1810" s="1311"/>
      <c r="V1810" s="1311"/>
      <c r="W1810" s="1311"/>
      <c r="X1810" s="1311"/>
      <c r="Y1810" s="1311"/>
      <c r="Z1810" s="1311"/>
    </row>
    <row r="1811" spans="1:26" x14ac:dyDescent="0.25">
      <c r="A1811" s="850" t="s">
        <v>1621</v>
      </c>
      <c r="B1811" s="826" t="str">
        <f ca="1">_xlfn.CONCAT(IFERROR(SUBSTITUTE(ADDRESS(1,MATCH(A1811,INDIRECT("'"&amp;E1811&amp;"'"&amp;"!A" &amp; $O$1188 + 5 &amp; ":Z" &amp; $O$1188 + 5),0),4),1,""),""),$O$1188+ 6)</f>
        <v>N483</v>
      </c>
      <c r="C1811" s="826" t="str">
        <f t="shared" ca="1" si="264"/>
        <v>N</v>
      </c>
      <c r="D1811" s="826" t="s">
        <v>1357</v>
      </c>
      <c r="E1811" s="826" t="s">
        <v>1516</v>
      </c>
      <c r="F1811" s="1081" t="s">
        <v>1621</v>
      </c>
      <c r="G1811" s="826" t="str">
        <f>IF(S1811&lt;&gt;"","D","")</f>
        <v/>
      </c>
      <c r="H1811" s="826" t="s">
        <v>1983</v>
      </c>
      <c r="I1811" s="241"/>
      <c r="J1811" s="1311"/>
      <c r="K1811" s="1311"/>
      <c r="L1811" s="1311"/>
      <c r="N1811" s="1311"/>
      <c r="O1811" s="1311"/>
      <c r="P1811" s="1311"/>
      <c r="Q1811" s="1311"/>
      <c r="R1811" s="1314" t="s">
        <v>1099</v>
      </c>
      <c r="S1811" s="1314" t="str">
        <f>IF(Q$1188="Yes",4,"")</f>
        <v/>
      </c>
      <c r="T1811" s="1311"/>
      <c r="U1811" s="1311"/>
      <c r="V1811" s="1311"/>
      <c r="W1811" s="1311"/>
      <c r="X1811" s="1311"/>
      <c r="Y1811" s="1311"/>
      <c r="Z1811" s="1311"/>
    </row>
    <row r="1812" spans="1:26" x14ac:dyDescent="0.25">
      <c r="A1812" s="847" t="s">
        <v>1380</v>
      </c>
      <c r="B1812" s="826" t="str">
        <f ca="1">_xlfn.CONCAT(IFERROR(SUBSTITUTE(ADDRESS(1,MATCH(A1812,INDIRECT("'"&amp;E1812&amp;"'"&amp;"!A" &amp; $O$1005 + 2 &amp; ":Z" &amp; $O$1005 + 2),0),4),1,""),""),$O$1005 + 2)</f>
        <v>H325</v>
      </c>
      <c r="C1812" s="826" t="str">
        <f ca="1">_xlfn.CONCAT(IFERROR(SUBSTITUTE(ADDRESS(1,MATCH(A1812,INDIRECT("'"&amp;E1812&amp;"'"&amp;"!A" &amp; $O$1005 + 2 &amp; ":Z" &amp; $O$1005 + 2),0),4),1,""),""),$O$1005 + 3)</f>
        <v>H326</v>
      </c>
      <c r="D1812" s="826" t="s">
        <v>1350</v>
      </c>
      <c r="E1812" s="826" t="s">
        <v>1516</v>
      </c>
      <c r="F1812" s="1314" t="s">
        <v>1991</v>
      </c>
      <c r="G1812" s="1314" t="str">
        <f>IF(T1812&lt;&gt;"","E","")</f>
        <v/>
      </c>
      <c r="H1812" s="1314" t="s">
        <v>1990</v>
      </c>
      <c r="I1812" s="1274"/>
      <c r="J1812" s="1314"/>
      <c r="K1812" s="1314"/>
      <c r="L1812" s="826"/>
      <c r="M1812" s="1329"/>
      <c r="N1812" s="1314"/>
      <c r="O1812" s="1311"/>
      <c r="P1812" s="1311"/>
      <c r="Q1812" s="1311"/>
      <c r="R1812" s="1314" t="s">
        <v>481</v>
      </c>
      <c r="S1812" s="1311"/>
      <c r="T1812" s="1314" t="str">
        <f t="shared" ref="T1812:T1813" si="265">IF(Q$1005="Yes",23,"")</f>
        <v/>
      </c>
      <c r="U1812" s="1311"/>
      <c r="V1812" s="1311"/>
      <c r="W1812" s="1311"/>
      <c r="X1812" s="1311"/>
      <c r="Y1812" s="1311"/>
      <c r="Z1812" s="1311"/>
    </row>
    <row r="1813" spans="1:26" x14ac:dyDescent="0.25">
      <c r="A1813" s="847" t="s">
        <v>1487</v>
      </c>
      <c r="B1813" s="826" t="str">
        <f ca="1">_xlfn.CONCAT(IFERROR(SUBSTITUTE(ADDRESS(1,MATCH(A1813,INDIRECT("'"&amp;E1813&amp;"'"&amp;"!A" &amp; $O$1005 + 2 &amp; ":Z" &amp; $O$1005 + 2),0),4),1,""),""),$O$1005 + 2)</f>
        <v>R325</v>
      </c>
      <c r="C1813" s="826" t="str">
        <f ca="1">_xlfn.CONCAT(IFERROR(SUBSTITUTE(ADDRESS(1,MATCH(A1813,INDIRECT("'"&amp;E1813&amp;"'"&amp;"!A" &amp; $O$1005 + 2 &amp; ":Z" &amp; $O$1005 + 2),0),4),1,""),""),$O$1005 + 3)</f>
        <v>R326</v>
      </c>
      <c r="D1813" s="826" t="s">
        <v>1350</v>
      </c>
      <c r="E1813" s="826" t="s">
        <v>1516</v>
      </c>
      <c r="F1813" s="1314" t="s">
        <v>1995</v>
      </c>
      <c r="G1813" s="1314" t="str">
        <f>IF(T1813&lt;&gt;"","G","")</f>
        <v/>
      </c>
      <c r="H1813" s="1314" t="s">
        <v>1990</v>
      </c>
      <c r="I1813" s="1274"/>
      <c r="J1813" s="1314"/>
      <c r="K1813" s="1314"/>
      <c r="L1813" s="826"/>
      <c r="M1813" s="1329"/>
      <c r="N1813" s="1314"/>
      <c r="O1813" s="1311"/>
      <c r="P1813" s="1311"/>
      <c r="Q1813" s="1311"/>
      <c r="R1813" s="1314" t="s">
        <v>481</v>
      </c>
      <c r="S1813" s="1311"/>
      <c r="T1813" s="1314" t="str">
        <f t="shared" si="265"/>
        <v/>
      </c>
      <c r="U1813" s="1311"/>
      <c r="V1813" s="1311"/>
      <c r="W1813" s="1311"/>
      <c r="X1813" s="1311"/>
      <c r="Y1813" s="1311"/>
      <c r="Z1813" s="1311"/>
    </row>
    <row r="1814" spans="1:26" x14ac:dyDescent="0.25">
      <c r="A1814" s="1011" t="s">
        <v>1380</v>
      </c>
      <c r="B1814" s="826" t="str">
        <f ca="1">_xlfn.CONCAT(IFERROR(SUBSTITUTE(ADDRESS(1,MATCH(A1814,INDIRECT("'"&amp;E1814&amp;"'"&amp;"!A" &amp; $O$1016 + 2 &amp; ":Z" &amp; $O$1016 + 2),0),4),1,""),""),$O$1016 + 2)</f>
        <v>H339</v>
      </c>
      <c r="C1814" s="826" t="str">
        <f ca="1">_xlfn.CONCAT(IFERROR(SUBSTITUTE(ADDRESS(1,MATCH(A1814,INDIRECT("'"&amp;E1814&amp;"'"&amp;"!A" &amp; $O$1016 + 2 &amp; ":Z" &amp; $O$1016 + 2),0),4),1,""),""),$O$1016 + 3)</f>
        <v>H340</v>
      </c>
      <c r="D1814" s="826" t="s">
        <v>1350</v>
      </c>
      <c r="E1814" s="826" t="s">
        <v>1516</v>
      </c>
      <c r="F1814" s="1314" t="s">
        <v>1991</v>
      </c>
      <c r="G1814" s="1314" t="str">
        <f>IF(T1814&lt;&gt;"","E","")</f>
        <v/>
      </c>
      <c r="H1814" s="1314" t="s">
        <v>1990</v>
      </c>
      <c r="I1814" s="1274"/>
      <c r="J1814" s="1314"/>
      <c r="K1814" s="1314"/>
      <c r="L1814" s="826"/>
      <c r="M1814" s="1329"/>
      <c r="N1814" s="1314"/>
      <c r="O1814" s="1311"/>
      <c r="P1814" s="1311"/>
      <c r="Q1814" s="1311"/>
      <c r="R1814" s="1314" t="s">
        <v>481</v>
      </c>
      <c r="S1814" s="1311"/>
      <c r="T1814" s="1314" t="str">
        <f t="shared" ref="T1814:T1815" si="266">IF(Q$1016="Yes",24,"")</f>
        <v/>
      </c>
      <c r="U1814" s="1311"/>
      <c r="V1814" s="1311"/>
      <c r="W1814" s="1311"/>
      <c r="X1814" s="1311"/>
      <c r="Y1814" s="1311"/>
      <c r="Z1814" s="1311"/>
    </row>
    <row r="1815" spans="1:26" x14ac:dyDescent="0.25">
      <c r="A1815" s="1011" t="s">
        <v>1487</v>
      </c>
      <c r="B1815" s="826" t="str">
        <f ca="1">_xlfn.CONCAT(IFERROR(SUBSTITUTE(ADDRESS(1,MATCH(A1815,INDIRECT("'"&amp;E1815&amp;"'"&amp;"!A" &amp; $O$1016 + 2 &amp; ":Z" &amp; $O$1016 + 2),0),4),1,""),""),$O$1016 + 2)</f>
        <v>R339</v>
      </c>
      <c r="C1815" s="826" t="str">
        <f ca="1">_xlfn.CONCAT(IFERROR(SUBSTITUTE(ADDRESS(1,MATCH(A1815,INDIRECT("'"&amp;E1815&amp;"'"&amp;"!A" &amp; $O$1016 + 2 &amp; ":Z" &amp; $O$1016 + 2),0),4),1,""),""),$O$1016 + 3)</f>
        <v>R340</v>
      </c>
      <c r="D1815" s="826" t="s">
        <v>1350</v>
      </c>
      <c r="E1815" s="826" t="s">
        <v>1516</v>
      </c>
      <c r="F1815" s="1314" t="s">
        <v>1995</v>
      </c>
      <c r="G1815" s="1314" t="str">
        <f>IF(T1815&lt;&gt;"","G","")</f>
        <v/>
      </c>
      <c r="H1815" s="1314" t="s">
        <v>1990</v>
      </c>
      <c r="I1815" s="1274"/>
      <c r="J1815" s="1314"/>
      <c r="K1815" s="1314"/>
      <c r="L1815" s="826"/>
      <c r="M1815" s="1329"/>
      <c r="N1815" s="1314"/>
      <c r="O1815" s="1311"/>
      <c r="P1815" s="1311"/>
      <c r="Q1815" s="1311"/>
      <c r="R1815" s="1314" t="s">
        <v>481</v>
      </c>
      <c r="S1815" s="1311"/>
      <c r="T1815" s="1314" t="str">
        <f t="shared" si="266"/>
        <v/>
      </c>
      <c r="U1815" s="1311"/>
      <c r="V1815" s="1311"/>
      <c r="W1815" s="1311"/>
      <c r="X1815" s="1311"/>
      <c r="Y1815" s="1311"/>
      <c r="Z1815" s="1311"/>
    </row>
    <row r="1816" spans="1:26" x14ac:dyDescent="0.25">
      <c r="A1816" s="847" t="s">
        <v>1380</v>
      </c>
      <c r="B1816" s="826" t="str">
        <f ca="1">_xlfn.CONCAT(IFERROR(SUBSTITUTE(ADDRESS(1,MATCH(A1816,INDIRECT("'"&amp;E1816&amp;"'"&amp;"!A" &amp; $O$1027 + 2 &amp; ":Z" &amp; $O$1027 + 2),0),4),1,""),""),$O$1027+ 2)</f>
        <v>H353</v>
      </c>
      <c r="C1816" s="826" t="str">
        <f ca="1">_xlfn.CONCAT(IFERROR(SUBSTITUTE(ADDRESS(1,MATCH(A1816,INDIRECT("'"&amp;E1816&amp;"'"&amp;"!A" &amp; $O$1027 + 2 &amp; ":Z" &amp; $O$1027 + 2),0),4),1,""),""),$O$1027+ 3)</f>
        <v>H354</v>
      </c>
      <c r="D1816" s="826" t="s">
        <v>1350</v>
      </c>
      <c r="E1816" s="826" t="s">
        <v>1516</v>
      </c>
      <c r="F1816" s="1314" t="s">
        <v>1991</v>
      </c>
      <c r="G1816" s="1314" t="str">
        <f>IF(T1816&lt;&gt;"","E","")</f>
        <v/>
      </c>
      <c r="H1816" s="1314" t="s">
        <v>1990</v>
      </c>
      <c r="I1816" s="1274"/>
      <c r="J1816" s="1314"/>
      <c r="K1816" s="1314"/>
      <c r="L1816" s="826"/>
      <c r="M1816" s="1329"/>
      <c r="N1816" s="1314"/>
      <c r="O1816" s="1311"/>
      <c r="P1816" s="1311"/>
      <c r="Q1816" s="1311"/>
      <c r="R1816" s="1314" t="s">
        <v>481</v>
      </c>
      <c r="S1816" s="1311"/>
      <c r="T1816" s="1314" t="str">
        <f>IF(Q$1027="Yes",25,"")</f>
        <v/>
      </c>
      <c r="U1816" s="1311"/>
      <c r="V1816" s="1311"/>
      <c r="W1816" s="1311"/>
      <c r="X1816" s="1311"/>
      <c r="Y1816" s="1311"/>
      <c r="Z1816" s="1311"/>
    </row>
    <row r="1817" spans="1:26" x14ac:dyDescent="0.25">
      <c r="A1817" s="847" t="s">
        <v>1487</v>
      </c>
      <c r="B1817" s="826" t="str">
        <f ca="1">_xlfn.CONCAT(IFERROR(SUBSTITUTE(ADDRESS(1,MATCH(A1817,INDIRECT("'"&amp;E1817&amp;"'"&amp;"!A" &amp; $O$1027 + 2 &amp; ":Z" &amp; $O$1027 + 2),0),4),1,""),""),$O$1027+ 2)</f>
        <v>R353</v>
      </c>
      <c r="C1817" s="826" t="str">
        <f ca="1">_xlfn.CONCAT(IFERROR(SUBSTITUTE(ADDRESS(1,MATCH(A1817,INDIRECT("'"&amp;E1817&amp;"'"&amp;"!A" &amp; $O$1027 + 2 &amp; ":Z" &amp; $O$1027 + 2),0),4),1,""),""),$O$1027+ 3)</f>
        <v>R354</v>
      </c>
      <c r="D1817" s="826" t="s">
        <v>1350</v>
      </c>
      <c r="E1817" s="826" t="s">
        <v>1516</v>
      </c>
      <c r="F1817" s="1314" t="s">
        <v>1995</v>
      </c>
      <c r="G1817" s="1314" t="str">
        <f>IF(T1817&lt;&gt;"","G","")</f>
        <v/>
      </c>
      <c r="H1817" s="1314" t="s">
        <v>1990</v>
      </c>
      <c r="I1817" s="1274"/>
      <c r="J1817" s="1314"/>
      <c r="K1817" s="1314"/>
      <c r="L1817" s="826"/>
      <c r="M1817" s="1329"/>
      <c r="N1817" s="1314"/>
      <c r="O1817" s="1311"/>
      <c r="P1817" s="1311"/>
      <c r="Q1817" s="1311"/>
      <c r="R1817" s="1314" t="s">
        <v>481</v>
      </c>
      <c r="S1817" s="1311"/>
      <c r="T1817" s="1314" t="str">
        <f>IF(Q$1027="Yes",25,"")</f>
        <v/>
      </c>
      <c r="U1817" s="1311"/>
      <c r="V1817" s="1311"/>
      <c r="W1817" s="1311"/>
      <c r="X1817" s="1311"/>
      <c r="Y1817" s="1311"/>
      <c r="Z1817" s="1311"/>
    </row>
    <row r="1818" spans="1:26" x14ac:dyDescent="0.25">
      <c r="A1818" s="1011" t="s">
        <v>1380</v>
      </c>
      <c r="B1818" s="826" t="str">
        <f t="shared" ref="B1818" ca="1" si="267">_xlfn.CONCAT(IFERROR(SUBSTITUTE(ADDRESS(1,MATCH(A1818,INDIRECT("'"&amp;E1818&amp;"'"&amp;"!A" &amp; $O$1038 + 2 &amp; ":Z" &amp; $O$1038 + 2),0),4),1,""),""),$O$1038+ 2)</f>
        <v>H367</v>
      </c>
      <c r="C1818" s="826" t="str">
        <f t="shared" ref="C1818" ca="1" si="268">_xlfn.CONCAT(IFERROR(SUBSTITUTE(ADDRESS(1,MATCH(A1818,INDIRECT("'"&amp;E1818&amp;"'"&amp;"!A" &amp; $O$1038 + 2 &amp; ":Z" &amp; $O$1038 + 2),0),4),1,""),""),$O$1038+ 3)</f>
        <v>H368</v>
      </c>
      <c r="D1818" s="826" t="s">
        <v>1350</v>
      </c>
      <c r="E1818" s="826" t="s">
        <v>1516</v>
      </c>
      <c r="F1818" s="1314" t="s">
        <v>1991</v>
      </c>
      <c r="G1818" s="1314" t="str">
        <f>IF(T1818&lt;&gt;"","E","")</f>
        <v/>
      </c>
      <c r="H1818" s="1314" t="s">
        <v>1990</v>
      </c>
      <c r="I1818" s="1274"/>
      <c r="J1818" s="1314"/>
      <c r="K1818" s="1314"/>
      <c r="L1818" s="826" t="s">
        <v>1380</v>
      </c>
      <c r="M1818" s="1440">
        <v>1205</v>
      </c>
      <c r="N1818" s="1314"/>
      <c r="O1818" s="1311"/>
      <c r="P1818" s="1311"/>
      <c r="Q1818" s="1311"/>
      <c r="R1818" s="1314" t="s">
        <v>1136</v>
      </c>
      <c r="S1818" s="1311"/>
      <c r="T1818" s="1314" t="str">
        <f t="shared" ref="T1818" si="269">IF(Q$1038="Yes",26,"")</f>
        <v/>
      </c>
      <c r="U1818" s="1311"/>
      <c r="V1818" s="1311"/>
      <c r="W1818" s="1311"/>
      <c r="X1818" s="1311"/>
      <c r="Y1818" s="1311"/>
      <c r="Z1818" s="1311"/>
    </row>
    <row r="1819" spans="1:26" x14ac:dyDescent="0.25">
      <c r="A1819" s="847" t="s">
        <v>1397</v>
      </c>
      <c r="B1819" s="826" t="str">
        <f ca="1">_xlfn.CONCAT(IFERROR(SUBSTITUTE(ADDRESS(1,MATCH(A1819,INDIRECT("'"&amp;E1819&amp;"'"&amp;"!A" &amp; $O$1052 + 2 &amp; ":Z" &amp; $O$1052 + 2),0),4),1,""),""),$O$1052+ 2)</f>
        <v>L381</v>
      </c>
      <c r="C1819" s="826" t="str">
        <f ca="1">_xlfn.CONCAT(IFERROR(SUBSTITUTE(ADDRESS(1,MATCH(A1819,INDIRECT("'"&amp;E1819&amp;"'"&amp;"!A" &amp; $O$1052 + 2 &amp; ":Z" &amp; $O$1052 + 2),0),4),1,""),""),$O$1052+ 3)</f>
        <v>L382</v>
      </c>
      <c r="D1819" s="826" t="s">
        <v>1350</v>
      </c>
      <c r="E1819" s="826" t="s">
        <v>1516</v>
      </c>
      <c r="F1819" s="1314" t="s">
        <v>1993</v>
      </c>
      <c r="G1819" s="1314" t="str">
        <f>IF(T1819&lt;&gt;"","H","")</f>
        <v/>
      </c>
      <c r="H1819" s="1314" t="s">
        <v>1990</v>
      </c>
      <c r="I1819" s="1274"/>
      <c r="J1819" s="1314"/>
      <c r="K1819" s="1314"/>
      <c r="L1819" s="826"/>
      <c r="M1819" s="1329"/>
      <c r="N1819" s="1314"/>
      <c r="O1819" s="1311"/>
      <c r="P1819" s="1311"/>
      <c r="Q1819" s="1311"/>
      <c r="R1819" s="1314" t="s">
        <v>1700</v>
      </c>
      <c r="S1819" s="1311"/>
      <c r="T1819" s="1314" t="str">
        <f t="shared" ref="T1819:T1821" si="270">IF(Q$1052="Yes",27,"")</f>
        <v/>
      </c>
      <c r="U1819" s="1311"/>
      <c r="V1819" s="1311"/>
      <c r="W1819" s="1311"/>
      <c r="X1819" s="1311"/>
      <c r="Y1819" s="1311"/>
      <c r="Z1819" s="1311"/>
    </row>
    <row r="1820" spans="1:26" x14ac:dyDescent="0.25">
      <c r="A1820" s="847" t="s">
        <v>1380</v>
      </c>
      <c r="B1820" s="826" t="str">
        <f ca="1">_xlfn.CONCAT(IFERROR(SUBSTITUTE(ADDRESS(1,MATCH(A1820,INDIRECT("'"&amp;E1820&amp;"'"&amp;"!A" &amp; $O$1052 + 2 &amp; ":Z" &amp; $O$1052 + 2),0),4),1,""),""),$O$1052+ 2)</f>
        <v>H381</v>
      </c>
      <c r="C1820" s="826" t="str">
        <f ca="1">_xlfn.CONCAT(IFERROR(SUBSTITUTE(ADDRESS(1,MATCH(A1820,INDIRECT("'"&amp;E1820&amp;"'"&amp;"!A" &amp; $O$1052 + 2 &amp; ":Z" &amp; $O$1052 + 2),0),4),1,""),""),$O$1052+ 3)</f>
        <v>H382</v>
      </c>
      <c r="D1820" s="826" t="s">
        <v>1350</v>
      </c>
      <c r="E1820" s="826" t="s">
        <v>1516</v>
      </c>
      <c r="F1820" s="1314" t="s">
        <v>1991</v>
      </c>
      <c r="G1820" s="1314" t="str">
        <f>IF(T1820&lt;&gt;"","E","")</f>
        <v/>
      </c>
      <c r="H1820" s="1314" t="s">
        <v>1990</v>
      </c>
      <c r="I1820" s="1274"/>
      <c r="J1820" s="1314"/>
      <c r="K1820" s="1314"/>
      <c r="L1820" s="826"/>
      <c r="M1820" s="1329"/>
      <c r="N1820" s="1314"/>
      <c r="O1820" s="1311"/>
      <c r="P1820" s="1311"/>
      <c r="Q1820" s="1311"/>
      <c r="R1820" s="1314" t="s">
        <v>1700</v>
      </c>
      <c r="S1820" s="1311"/>
      <c r="T1820" s="1314" t="str">
        <f t="shared" si="270"/>
        <v/>
      </c>
      <c r="U1820" s="1311"/>
      <c r="V1820" s="1311"/>
      <c r="W1820" s="1311"/>
      <c r="X1820" s="1311"/>
      <c r="Y1820" s="1311"/>
      <c r="Z1820" s="1311"/>
    </row>
    <row r="1821" spans="1:26" x14ac:dyDescent="0.25">
      <c r="A1821" s="847" t="s">
        <v>1487</v>
      </c>
      <c r="B1821" s="826" t="str">
        <f ca="1">_xlfn.CONCAT(IFERROR(SUBSTITUTE(ADDRESS(1,MATCH(A1821,INDIRECT("'"&amp;E1821&amp;"'"&amp;"!A" &amp; $O$1052 + 2 &amp; ":Z" &amp; $O$1052 + 2),0),4),1,""),""),$O$1052+ 2)</f>
        <v>R381</v>
      </c>
      <c r="C1821" s="826" t="str">
        <f ca="1">_xlfn.CONCAT(IFERROR(SUBSTITUTE(ADDRESS(1,MATCH(A1821,INDIRECT("'"&amp;E1821&amp;"'"&amp;"!A" &amp; $O$1052 + 2 &amp; ":Z" &amp; $O$1052 + 2),0),4),1,""),""),$O$1052+ 3)</f>
        <v>R382</v>
      </c>
      <c r="D1821" s="826" t="s">
        <v>1350</v>
      </c>
      <c r="E1821" s="826" t="s">
        <v>1516</v>
      </c>
      <c r="F1821" s="1314" t="s">
        <v>1995</v>
      </c>
      <c r="G1821" s="1314" t="str">
        <f>IF(T1821&lt;&gt;"","G","")</f>
        <v/>
      </c>
      <c r="H1821" s="1314" t="s">
        <v>1990</v>
      </c>
      <c r="I1821" s="1274"/>
      <c r="J1821" s="1314"/>
      <c r="K1821" s="1314"/>
      <c r="L1821" s="826"/>
      <c r="M1821" s="1329"/>
      <c r="N1821" s="1314"/>
      <c r="O1821" s="1311"/>
      <c r="P1821" s="1311"/>
      <c r="Q1821" s="1311"/>
      <c r="R1821" s="1314" t="s">
        <v>1700</v>
      </c>
      <c r="S1821" s="1311"/>
      <c r="T1821" s="1314" t="str">
        <f t="shared" si="270"/>
        <v/>
      </c>
      <c r="U1821" s="1311"/>
      <c r="V1821" s="1311"/>
      <c r="W1821" s="1311"/>
      <c r="X1821" s="1311"/>
      <c r="Y1821" s="1311"/>
      <c r="Z1821" s="1311"/>
    </row>
    <row r="1822" spans="1:26" x14ac:dyDescent="0.25">
      <c r="A1822" s="1011" t="s">
        <v>1397</v>
      </c>
      <c r="B1822" s="826" t="str">
        <f ca="1">_xlfn.CONCAT(IFERROR(SUBSTITUTE(ADDRESS(1,MATCH(A1822,INDIRECT("'"&amp;E1822&amp;"'"&amp;"!A" &amp; $O$1069 + 2 &amp; ":Z" &amp; $O$1069 + 2),0),4),1,""),""),$O$1069+ 2)</f>
        <v>L395</v>
      </c>
      <c r="C1822" s="826" t="str">
        <f ca="1">_xlfn.CONCAT(IFERROR(SUBSTITUTE(ADDRESS(1,MATCH(A1822,INDIRECT("'"&amp;E1822&amp;"'"&amp;"!A" &amp; $O$1069 + 2 &amp; ":Z" &amp; $O$1069 + 2),0),4),1,""),""),$O$1069+ 3)</f>
        <v>L396</v>
      </c>
      <c r="D1822" s="826" t="s">
        <v>1350</v>
      </c>
      <c r="E1822" s="826" t="s">
        <v>1516</v>
      </c>
      <c r="F1822" s="1314" t="s">
        <v>1993</v>
      </c>
      <c r="G1822" s="1314" t="str">
        <f>IF(T1822&lt;&gt;"","H","")</f>
        <v/>
      </c>
      <c r="H1822" s="1314" t="s">
        <v>1990</v>
      </c>
      <c r="I1822" s="1274"/>
      <c r="J1822" s="1314"/>
      <c r="K1822" s="1314"/>
      <c r="L1822" s="826"/>
      <c r="M1822" s="1329"/>
      <c r="N1822" s="1314"/>
      <c r="O1822" s="1311"/>
      <c r="P1822" s="1311"/>
      <c r="Q1822" s="1311"/>
      <c r="R1822" s="1314" t="s">
        <v>1700</v>
      </c>
      <c r="S1822" s="1311"/>
      <c r="T1822" s="1314" t="str">
        <f t="shared" ref="T1822:T1823" si="271">IF(Q$1069="Yes",28,"")</f>
        <v/>
      </c>
      <c r="U1822" s="1311"/>
      <c r="V1822" s="1311"/>
      <c r="W1822" s="1311"/>
      <c r="X1822" s="1311"/>
      <c r="Y1822" s="1311"/>
      <c r="Z1822" s="1311"/>
    </row>
    <row r="1823" spans="1:26" x14ac:dyDescent="0.25">
      <c r="A1823" s="1011" t="s">
        <v>1487</v>
      </c>
      <c r="B1823" s="826" t="str">
        <f ca="1">_xlfn.CONCAT(IFERROR(SUBSTITUTE(ADDRESS(1,MATCH(A1823,INDIRECT("'"&amp;E1823&amp;"'"&amp;"!A" &amp; $O$1069 + 2 &amp; ":Z" &amp; $O$1069 + 2),0),4),1,""),""),$O$1069+ 2)</f>
        <v>R395</v>
      </c>
      <c r="C1823" s="826" t="str">
        <f ca="1">_xlfn.CONCAT(IFERROR(SUBSTITUTE(ADDRESS(1,MATCH(A1823,INDIRECT("'"&amp;E1823&amp;"'"&amp;"!A" &amp; $O$1069 + 2 &amp; ":Z" &amp; $O$1069 + 2),0),4),1,""),""),$O$1069+ 3)</f>
        <v>R396</v>
      </c>
      <c r="D1823" s="826" t="s">
        <v>1350</v>
      </c>
      <c r="E1823" s="826" t="s">
        <v>1516</v>
      </c>
      <c r="F1823" s="1314" t="s">
        <v>1995</v>
      </c>
      <c r="G1823" s="1314" t="str">
        <f>IF(T1823&lt;&gt;"","G","")</f>
        <v/>
      </c>
      <c r="H1823" s="1314" t="s">
        <v>1990</v>
      </c>
      <c r="I1823" s="1274"/>
      <c r="J1823" s="1314"/>
      <c r="K1823" s="1314"/>
      <c r="L1823" s="826"/>
      <c r="M1823" s="1329"/>
      <c r="N1823" s="1314"/>
      <c r="O1823" s="1311"/>
      <c r="P1823" s="1311"/>
      <c r="Q1823" s="1311"/>
      <c r="R1823" s="1314" t="s">
        <v>1700</v>
      </c>
      <c r="S1823" s="1311"/>
      <c r="T1823" s="1314" t="str">
        <f t="shared" si="271"/>
        <v/>
      </c>
      <c r="U1823" s="1311"/>
      <c r="V1823" s="1311"/>
      <c r="W1823" s="1311"/>
      <c r="X1823" s="1311"/>
      <c r="Y1823" s="1311"/>
      <c r="Z1823" s="1311"/>
    </row>
    <row r="1824" spans="1:26" x14ac:dyDescent="0.25">
      <c r="A1824" s="847" t="s">
        <v>1397</v>
      </c>
      <c r="B1824" s="826" t="str">
        <f ca="1">_xlfn.CONCAT(IFERROR(SUBSTITUTE(ADDRESS(1,MATCH(A1824,INDIRECT("'"&amp;E1824&amp;"'"&amp;"!A" &amp; $O$1085 + 2 &amp; ":Z" &amp; $O$1085 + 2),0),4),1,""),""),$O$1085+ 2)</f>
        <v>L409</v>
      </c>
      <c r="C1824" s="826" t="str">
        <f ca="1">_xlfn.CONCAT(IFERROR(SUBSTITUTE(ADDRESS(1,MATCH(A1824,INDIRECT("'"&amp;E1824&amp;"'"&amp;"!A" &amp; $O$1085 + 2 &amp; ":Z" &amp; $O$1085 + 2),0),4),1,""),""),$O$1085+ 3)</f>
        <v>L410</v>
      </c>
      <c r="D1824" s="826" t="s">
        <v>1350</v>
      </c>
      <c r="E1824" s="826" t="s">
        <v>1516</v>
      </c>
      <c r="F1824" s="1314" t="s">
        <v>1993</v>
      </c>
      <c r="G1824" s="1314" t="str">
        <f>IF(T1824&lt;&gt;"","H","")</f>
        <v/>
      </c>
      <c r="H1824" s="1314" t="s">
        <v>1990</v>
      </c>
      <c r="I1824" s="1274"/>
      <c r="J1824" s="1314"/>
      <c r="K1824" s="1314"/>
      <c r="L1824" s="826"/>
      <c r="M1824" s="1329"/>
      <c r="N1824" s="1314"/>
      <c r="O1824" s="1311"/>
      <c r="P1824" s="1311"/>
      <c r="Q1824" s="1311"/>
      <c r="R1824" s="1314" t="s">
        <v>1099</v>
      </c>
      <c r="S1824" s="1311"/>
      <c r="T1824" s="1314" t="str">
        <f t="shared" ref="T1824:T1825" si="272">IF(Q$1085="Yes",29,"")</f>
        <v/>
      </c>
      <c r="U1824" s="1311"/>
      <c r="V1824" s="1311"/>
      <c r="W1824" s="1311"/>
      <c r="X1824" s="1311"/>
      <c r="Y1824" s="1311"/>
      <c r="Z1824" s="1311"/>
    </row>
    <row r="1825" spans="1:26" x14ac:dyDescent="0.25">
      <c r="A1825" s="847" t="s">
        <v>1487</v>
      </c>
      <c r="B1825" s="826" t="str">
        <f ca="1">_xlfn.CONCAT(IFERROR(SUBSTITUTE(ADDRESS(1,MATCH(A1825,INDIRECT("'"&amp;E1825&amp;"'"&amp;"!A" &amp; $O$1085 + 2 &amp; ":Z" &amp; $O$1085 + 2),0),4),1,""),""),$O$1085+ 2)</f>
        <v>R409</v>
      </c>
      <c r="C1825" s="826" t="str">
        <f ca="1">_xlfn.CONCAT(IFERROR(SUBSTITUTE(ADDRESS(1,MATCH(A1825,INDIRECT("'"&amp;E1825&amp;"'"&amp;"!A" &amp; $O$1085 + 2 &amp; ":Z" &amp; $O$1085 + 2),0),4),1,""),""),$O$1085+ 3)</f>
        <v>R410</v>
      </c>
      <c r="D1825" s="826" t="s">
        <v>1350</v>
      </c>
      <c r="E1825" s="826" t="s">
        <v>1516</v>
      </c>
      <c r="F1825" s="1314" t="s">
        <v>1995</v>
      </c>
      <c r="G1825" s="1314" t="str">
        <f>IF(T1825&lt;&gt;"","G","")</f>
        <v/>
      </c>
      <c r="H1825" s="1314" t="s">
        <v>1990</v>
      </c>
      <c r="I1825" s="1274"/>
      <c r="J1825" s="1314"/>
      <c r="K1825" s="1314"/>
      <c r="L1825" s="826"/>
      <c r="M1825" s="1329"/>
      <c r="N1825" s="1314"/>
      <c r="O1825" s="1311"/>
      <c r="P1825" s="1311"/>
      <c r="Q1825" s="1311"/>
      <c r="R1825" s="1314" t="s">
        <v>1099</v>
      </c>
      <c r="S1825" s="1311"/>
      <c r="T1825" s="1314" t="str">
        <f t="shared" si="272"/>
        <v/>
      </c>
      <c r="U1825" s="1311"/>
      <c r="V1825" s="1311"/>
      <c r="W1825" s="1311"/>
      <c r="X1825" s="1311"/>
      <c r="Y1825" s="1311"/>
      <c r="Z1825" s="1311"/>
    </row>
    <row r="1826" spans="1:26" x14ac:dyDescent="0.25">
      <c r="A1826" s="1011" t="s">
        <v>1397</v>
      </c>
      <c r="B1826" s="826" t="str">
        <f ca="1">_xlfn.CONCAT(IFERROR(SUBSTITUTE(ADDRESS(1,MATCH(A1826,INDIRECT("'"&amp;E1826&amp;"'"&amp;"!A" &amp; $O$1095 + 2 &amp; ":Z" &amp; $O$1095 + 2),0),4),1,""),""),$O$1095+ 2)</f>
        <v>L423</v>
      </c>
      <c r="C1826" s="826" t="str">
        <f ca="1">_xlfn.CONCAT(IFERROR(SUBSTITUTE(ADDRESS(1,MATCH(A1826,INDIRECT("'"&amp;E1826&amp;"'"&amp;"!A" &amp; $O$1095 + 2 &amp; ":Z" &amp; $O$1095 + 2),0),4),1,""),""),$O$1095+ 3)</f>
        <v>L424</v>
      </c>
      <c r="D1826" s="826" t="s">
        <v>1350</v>
      </c>
      <c r="E1826" s="826" t="s">
        <v>1516</v>
      </c>
      <c r="F1826" s="1314" t="s">
        <v>1993</v>
      </c>
      <c r="G1826" s="1314" t="str">
        <f>IF(T1826&lt;&gt;"","H","")</f>
        <v/>
      </c>
      <c r="H1826" s="1314" t="s">
        <v>1990</v>
      </c>
      <c r="I1826" s="1274"/>
      <c r="J1826" s="1314"/>
      <c r="K1826" s="1314"/>
      <c r="L1826" s="826"/>
      <c r="M1826" s="1329"/>
      <c r="N1826" s="1314"/>
      <c r="O1826" s="1311"/>
      <c r="P1826" s="1311"/>
      <c r="Q1826" s="1311"/>
      <c r="R1826" s="1314" t="s">
        <v>1099</v>
      </c>
      <c r="S1826" s="1311"/>
      <c r="T1826" s="1314" t="str">
        <f t="shared" ref="T1826:T1827" si="273">IF(Q$1095="Yes",30,"")</f>
        <v/>
      </c>
      <c r="U1826" s="1311"/>
      <c r="V1826" s="1311"/>
      <c r="W1826" s="1311"/>
      <c r="X1826" s="1311"/>
      <c r="Y1826" s="1311"/>
      <c r="Z1826" s="1311"/>
    </row>
    <row r="1827" spans="1:26" x14ac:dyDescent="0.25">
      <c r="A1827" s="1011" t="s">
        <v>1487</v>
      </c>
      <c r="B1827" s="826" t="str">
        <f ca="1">_xlfn.CONCAT(IFERROR(SUBSTITUTE(ADDRESS(1,MATCH(A1827,INDIRECT("'"&amp;E1827&amp;"'"&amp;"!A" &amp; $O$1095 + 2 &amp; ":Z" &amp; $O$1095 + 2),0),4),1,""),""),$O$1095+ 2)</f>
        <v>R423</v>
      </c>
      <c r="C1827" s="826" t="str">
        <f ca="1">_xlfn.CONCAT(IFERROR(SUBSTITUTE(ADDRESS(1,MATCH(A1827,INDIRECT("'"&amp;E1827&amp;"'"&amp;"!A" &amp; $O$1095 + 2 &amp; ":Z" &amp; $O$1095 + 2),0),4),1,""),""),$O$1095+ 3)</f>
        <v>R424</v>
      </c>
      <c r="D1827" s="826" t="s">
        <v>1350</v>
      </c>
      <c r="E1827" s="826" t="s">
        <v>1516</v>
      </c>
      <c r="F1827" s="1314" t="s">
        <v>1995</v>
      </c>
      <c r="G1827" s="1314" t="str">
        <f>IF(T1827&lt;&gt;"","G","")</f>
        <v/>
      </c>
      <c r="H1827" s="1314" t="s">
        <v>1990</v>
      </c>
      <c r="I1827" s="1274"/>
      <c r="J1827" s="1314"/>
      <c r="K1827" s="1314"/>
      <c r="L1827" s="826"/>
      <c r="M1827" s="1329"/>
      <c r="N1827" s="1314"/>
      <c r="O1827" s="1311"/>
      <c r="P1827" s="1311"/>
      <c r="Q1827" s="1311"/>
      <c r="R1827" s="1314" t="s">
        <v>1099</v>
      </c>
      <c r="S1827" s="1311"/>
      <c r="T1827" s="1314" t="str">
        <f t="shared" si="273"/>
        <v/>
      </c>
      <c r="U1827" s="1311"/>
      <c r="V1827" s="1311"/>
      <c r="W1827" s="1311"/>
      <c r="X1827" s="1311"/>
      <c r="Y1827" s="1311"/>
      <c r="Z1827" s="1311"/>
    </row>
    <row r="1828" spans="1:26" x14ac:dyDescent="0.25">
      <c r="A1828" s="847" t="s">
        <v>1397</v>
      </c>
      <c r="B1828" s="826" t="str">
        <f ca="1">_xlfn.CONCAT(IFERROR(SUBSTITUTE(ADDRESS(1,MATCH(A1828,INDIRECT("'"&amp;E1828&amp;"'"&amp;"!A" &amp; $O$1105 + 2 &amp; ":Z" &amp; $O$1105 + 2),0),4),1,""),""),$O$1105+ 2)</f>
        <v>L437</v>
      </c>
      <c r="C1828" s="826" t="str">
        <f ca="1">_xlfn.CONCAT(IFERROR(SUBSTITUTE(ADDRESS(1,MATCH(A1828,INDIRECT("'"&amp;E1828&amp;"'"&amp;"!A" &amp; $O$1105 + 2 &amp; ":Z" &amp; $O$1105 + 2),0),4),1,""),""),$O$1105+ 3)</f>
        <v>L438</v>
      </c>
      <c r="D1828" s="826" t="s">
        <v>1350</v>
      </c>
      <c r="E1828" s="826" t="s">
        <v>1516</v>
      </c>
      <c r="F1828" s="1314" t="s">
        <v>1993</v>
      </c>
      <c r="G1828" s="1314" t="str">
        <f>IF(T1828&lt;&gt;"","H","")</f>
        <v/>
      </c>
      <c r="H1828" s="1314" t="s">
        <v>1990</v>
      </c>
      <c r="I1828" s="1274"/>
      <c r="J1828" s="1314"/>
      <c r="K1828" s="1314"/>
      <c r="L1828" s="826"/>
      <c r="M1828" s="1329"/>
      <c r="N1828" s="1314"/>
      <c r="O1828" s="1311"/>
      <c r="P1828" s="1311"/>
      <c r="Q1828" s="1311"/>
      <c r="R1828" s="1314" t="s">
        <v>1099</v>
      </c>
      <c r="S1828" s="1311"/>
      <c r="T1828" s="1314" t="str">
        <f t="shared" ref="T1828:T1829" si="274">IF(Q$1105="Yes",31,"")</f>
        <v/>
      </c>
      <c r="U1828" s="1311"/>
      <c r="V1828" s="1311"/>
      <c r="W1828" s="1311"/>
      <c r="X1828" s="1311"/>
      <c r="Y1828" s="1311"/>
      <c r="Z1828" s="1311"/>
    </row>
    <row r="1829" spans="1:26" x14ac:dyDescent="0.25">
      <c r="A1829" s="847" t="s">
        <v>1486</v>
      </c>
      <c r="B1829" s="826" t="str">
        <f ca="1">_xlfn.CONCAT(IFERROR(SUBSTITUTE(ADDRESS(1,MATCH(A1829,INDIRECT("'"&amp;E1829&amp;"'"&amp;"!A" &amp; $O$1105 + 2 &amp; ":Z" &amp; $O$1105 + 2),0),4),1,""),""),$O$1105+ 2)</f>
        <v>P437</v>
      </c>
      <c r="C1829" s="826" t="str">
        <f ca="1">_xlfn.CONCAT(IFERROR(SUBSTITUTE(ADDRESS(1,MATCH(A1829,INDIRECT("'"&amp;E1829&amp;"'"&amp;"!A" &amp; $O$1105 + 2 &amp; ":Z" &amp; $O$1105 + 2),0),4),1,""),""),$O$1105+ 3)</f>
        <v>P438</v>
      </c>
      <c r="D1829" s="826" t="s">
        <v>1350</v>
      </c>
      <c r="E1829" s="826" t="s">
        <v>1516</v>
      </c>
      <c r="F1829" s="1314" t="s">
        <v>1994</v>
      </c>
      <c r="G1829" s="1314" t="str">
        <f>IF(T1829&lt;&gt;"","F","")</f>
        <v/>
      </c>
      <c r="H1829" s="1314" t="s">
        <v>1990</v>
      </c>
      <c r="I1829" s="1274" t="str">
        <f t="shared" ref="I1829:I1831" si="275">IF(J1829&lt;&gt;"",A1829,"")</f>
        <v/>
      </c>
      <c r="J1829" s="1314"/>
      <c r="K1829" s="1314" t="str">
        <f t="shared" ref="K1829:K1831" si="276">IF(J1829&lt;&gt;"",E1829,"")</f>
        <v/>
      </c>
      <c r="L1829" s="826"/>
      <c r="M1829" s="1329"/>
      <c r="N1829" s="1314"/>
      <c r="O1829" s="1311"/>
      <c r="P1829" s="1311"/>
      <c r="Q1829" s="1311"/>
      <c r="R1829" s="1314" t="s">
        <v>1099</v>
      </c>
      <c r="S1829" s="1311"/>
      <c r="T1829" s="1314" t="str">
        <f t="shared" si="274"/>
        <v/>
      </c>
      <c r="U1829" s="1311"/>
      <c r="V1829" s="1311"/>
      <c r="W1829" s="1311"/>
      <c r="X1829" s="1311"/>
      <c r="Y1829" s="1311"/>
      <c r="Z1829" s="1311"/>
    </row>
    <row r="1830" spans="1:26" x14ac:dyDescent="0.25">
      <c r="A1830" s="1011" t="s">
        <v>1397</v>
      </c>
      <c r="B1830" s="826" t="str">
        <f ca="1">_xlfn.CONCAT(IFERROR(SUBSTITUTE(ADDRESS(1,MATCH(A1830,INDIRECT("'"&amp;E1830&amp;"'"&amp;"!A" &amp; $O$1134 + 2 &amp; ":Z" &amp; $O$1134 + 2),0),4),1,""),""),$O$1134+ 2)</f>
        <v>L451</v>
      </c>
      <c r="C1830" s="826" t="str">
        <f ca="1">_xlfn.CONCAT(IFERROR(SUBSTITUTE(ADDRESS(1,MATCH(A1830,INDIRECT("'"&amp;E1830&amp;"'"&amp;"!A" &amp; $O$1134 + 2 &amp; ":Z" &amp; $O$1134 + 2),0),4),1,""),""),$O$1134+ 3)</f>
        <v>L452</v>
      </c>
      <c r="D1830" s="826" t="s">
        <v>1350</v>
      </c>
      <c r="E1830" s="826" t="s">
        <v>1516</v>
      </c>
      <c r="F1830" s="1314" t="s">
        <v>1993</v>
      </c>
      <c r="G1830" s="1314" t="str">
        <f>IF(T1830&lt;&gt;"","H","")</f>
        <v/>
      </c>
      <c r="H1830" s="1314" t="s">
        <v>1990</v>
      </c>
      <c r="I1830" s="1274"/>
      <c r="J1830" s="1314"/>
      <c r="K1830" s="1314"/>
      <c r="L1830" s="826"/>
      <c r="M1830" s="1329"/>
      <c r="N1830" s="1314"/>
      <c r="O1830" s="1311"/>
      <c r="P1830" s="1311"/>
      <c r="Q1830" s="1311"/>
      <c r="R1830" s="1314" t="s">
        <v>1099</v>
      </c>
      <c r="S1830" s="1311"/>
      <c r="T1830" s="1314" t="str">
        <f t="shared" ref="T1830:T1831" si="277">IF(Q$1134="Yes",32,"")</f>
        <v/>
      </c>
      <c r="U1830" s="1311"/>
      <c r="V1830" s="1311"/>
      <c r="W1830" s="1311"/>
      <c r="X1830" s="1311"/>
      <c r="Y1830" s="1311"/>
      <c r="Z1830" s="1311"/>
    </row>
    <row r="1831" spans="1:26" x14ac:dyDescent="0.25">
      <c r="A1831" s="850" t="s">
        <v>1486</v>
      </c>
      <c r="B1831" s="826" t="str">
        <f ca="1">_xlfn.CONCAT(IFERROR(SUBSTITUTE(ADDRESS(1,MATCH(A1831,INDIRECT("'"&amp;E1831&amp;"'"&amp;"!A" &amp; $O$1134 + 2 &amp; ":Z" &amp; $O$1134 + 2),0),4),1,""),""),$O$1134+ 2)</f>
        <v>P451</v>
      </c>
      <c r="C1831" s="826" t="str">
        <f ca="1">_xlfn.CONCAT(IFERROR(SUBSTITUTE(ADDRESS(1,MATCH(A1831,INDIRECT("'"&amp;E1831&amp;"'"&amp;"!A" &amp; $O$1134 + 2 &amp; ":Z" &amp; $O$1134 + 2),0),4),1,""),""),$O$1134+ 3)</f>
        <v>P452</v>
      </c>
      <c r="D1831" s="826" t="s">
        <v>1350</v>
      </c>
      <c r="E1831" s="826" t="s">
        <v>1516</v>
      </c>
      <c r="F1831" s="1314" t="s">
        <v>1994</v>
      </c>
      <c r="G1831" s="1314" t="str">
        <f>IF(T1831&lt;&gt;"","F","")</f>
        <v/>
      </c>
      <c r="H1831" s="1314" t="s">
        <v>1990</v>
      </c>
      <c r="I1831" s="1274" t="str">
        <f t="shared" si="275"/>
        <v/>
      </c>
      <c r="J1831" s="1314"/>
      <c r="K1831" s="1314" t="str">
        <f t="shared" si="276"/>
        <v/>
      </c>
      <c r="L1831" s="826"/>
      <c r="M1831" s="1329"/>
      <c r="N1831" s="1314"/>
      <c r="O1831" s="1311"/>
      <c r="P1831" s="1311"/>
      <c r="Q1831" s="1311"/>
      <c r="R1831" s="1314" t="s">
        <v>1099</v>
      </c>
      <c r="S1831" s="1311"/>
      <c r="T1831" s="1314" t="str">
        <f t="shared" si="277"/>
        <v/>
      </c>
      <c r="U1831" s="1311"/>
      <c r="V1831" s="1311"/>
      <c r="W1831" s="1311"/>
      <c r="X1831" s="1311"/>
      <c r="Y1831" s="1311"/>
      <c r="Z1831" s="1311"/>
    </row>
    <row r="1832" spans="1:26" x14ac:dyDescent="0.25">
      <c r="A1832" s="847" t="s">
        <v>1380</v>
      </c>
      <c r="B1832" s="826" t="str">
        <f ca="1">_xlfn.CONCAT(IFERROR(SUBSTITUTE(ADDRESS(1,MATCH(A1832,INDIRECT("'"&amp;E1832&amp;"'"&amp;"!A" &amp; $O$1163 + 2 &amp; ":Z" &amp; $O$1163 + 2),0),4),1,""),""),$O$1163+ 2)</f>
        <v>H465</v>
      </c>
      <c r="C1832" s="826" t="str">
        <f ca="1">_xlfn.CONCAT(IFERROR(SUBSTITUTE(ADDRESS(1,MATCH(A1832,INDIRECT("'"&amp;E1832&amp;"'"&amp;"!A" &amp; $O$1163 + 2 &amp; ":Z" &amp; $O$1163 + 2),0),4),1,""),""),$O$1163+ 3)</f>
        <v>H466</v>
      </c>
      <c r="D1832" s="826" t="s">
        <v>1350</v>
      </c>
      <c r="E1832" s="826" t="s">
        <v>1516</v>
      </c>
      <c r="F1832" s="1314" t="s">
        <v>1991</v>
      </c>
      <c r="G1832" s="1314" t="str">
        <f>IF(T1832&lt;&gt;"","E","")</f>
        <v/>
      </c>
      <c r="H1832" s="1314" t="s">
        <v>1990</v>
      </c>
      <c r="I1832" s="1274"/>
      <c r="J1832" s="1314"/>
      <c r="K1832" s="1314"/>
      <c r="L1832" s="826"/>
      <c r="M1832" s="1329"/>
      <c r="N1832" s="1314"/>
      <c r="O1832" s="1311"/>
      <c r="P1832" s="1311"/>
      <c r="Q1832" s="1311"/>
      <c r="R1832" s="1314" t="s">
        <v>1099</v>
      </c>
      <c r="S1832" s="1311"/>
      <c r="T1832" s="1314" t="str">
        <f t="shared" ref="T1832:T1834" si="278">IF(Q$1163="Yes",33,"")</f>
        <v/>
      </c>
      <c r="U1832" s="1311"/>
      <c r="V1832" s="1311"/>
      <c r="W1832" s="1311"/>
      <c r="X1832" s="1311"/>
      <c r="Y1832" s="1311"/>
      <c r="Z1832" s="1311"/>
    </row>
    <row r="1833" spans="1:26" x14ac:dyDescent="0.25">
      <c r="A1833" s="847" t="s">
        <v>1397</v>
      </c>
      <c r="B1833" s="826" t="str">
        <f ca="1">_xlfn.CONCAT(IFERROR(SUBSTITUTE(ADDRESS(1,MATCH(A1833,INDIRECT("'"&amp;E1833&amp;"'"&amp;"!A" &amp; $O$1163 + 2 &amp; ":Z" &amp; $O$1163 + 2),0),4),1,""),""),$O$1163+ 2)</f>
        <v>L465</v>
      </c>
      <c r="C1833" s="826" t="str">
        <f ca="1">_xlfn.CONCAT(IFERROR(SUBSTITUTE(ADDRESS(1,MATCH(A1833,INDIRECT("'"&amp;E1833&amp;"'"&amp;"!A" &amp; $O$1163 + 2 &amp; ":Z" &amp; $O$1163 + 2),0),4),1,""),""),$O$1163+ 3)</f>
        <v>L466</v>
      </c>
      <c r="D1833" s="826" t="s">
        <v>1350</v>
      </c>
      <c r="E1833" s="826" t="s">
        <v>1516</v>
      </c>
      <c r="F1833" s="1314" t="s">
        <v>1993</v>
      </c>
      <c r="G1833" s="1314" t="str">
        <f>IF(T1833&lt;&gt;"","H","")</f>
        <v/>
      </c>
      <c r="H1833" s="1314" t="s">
        <v>1990</v>
      </c>
      <c r="I1833" s="1274"/>
      <c r="J1833" s="1314"/>
      <c r="K1833" s="1314"/>
      <c r="L1833" s="826"/>
      <c r="M1833" s="1329"/>
      <c r="N1833" s="1314"/>
      <c r="O1833" s="1311"/>
      <c r="P1833" s="1311"/>
      <c r="Q1833" s="1311"/>
      <c r="R1833" s="1314" t="s">
        <v>1099</v>
      </c>
      <c r="S1833" s="1311"/>
      <c r="T1833" s="1314" t="str">
        <f t="shared" si="278"/>
        <v/>
      </c>
      <c r="U1833" s="1311"/>
      <c r="V1833" s="1311"/>
      <c r="W1833" s="1311"/>
      <c r="X1833" s="1311"/>
      <c r="Y1833" s="1311"/>
      <c r="Z1833" s="1311"/>
    </row>
    <row r="1834" spans="1:26" x14ac:dyDescent="0.25">
      <c r="A1834" s="847" t="s">
        <v>1487</v>
      </c>
      <c r="B1834" s="826" t="str">
        <f ca="1">_xlfn.CONCAT(IFERROR(SUBSTITUTE(ADDRESS(1,MATCH(A1834,INDIRECT("'"&amp;E1834&amp;"'"&amp;"!A" &amp; $O$1163 + 2 &amp; ":Z" &amp; $O$1163 + 2),0),4),1,""),""),$O$1163+ 2)</f>
        <v>R465</v>
      </c>
      <c r="C1834" s="826" t="str">
        <f ca="1">_xlfn.CONCAT(IFERROR(SUBSTITUTE(ADDRESS(1,MATCH(A1834,INDIRECT("'"&amp;E1834&amp;"'"&amp;"!A" &amp; $O$1163 + 2 &amp; ":Z" &amp; $O$1163 + 2),0),4),1,""),""),$O$1163+ 3)</f>
        <v>R466</v>
      </c>
      <c r="D1834" s="826" t="s">
        <v>1350</v>
      </c>
      <c r="E1834" s="826" t="s">
        <v>1516</v>
      </c>
      <c r="F1834" s="1314" t="s">
        <v>1995</v>
      </c>
      <c r="G1834" s="1314" t="str">
        <f>IF(T1834&lt;&gt;"","G","")</f>
        <v/>
      </c>
      <c r="H1834" s="1314" t="s">
        <v>1990</v>
      </c>
      <c r="I1834" s="1274"/>
      <c r="J1834" s="1314"/>
      <c r="K1834" s="1314"/>
      <c r="L1834" s="826"/>
      <c r="M1834" s="1329"/>
      <c r="N1834" s="1314"/>
      <c r="O1834" s="1311"/>
      <c r="P1834" s="1311"/>
      <c r="Q1834" s="1311"/>
      <c r="R1834" s="1314" t="s">
        <v>1099</v>
      </c>
      <c r="S1834" s="1311"/>
      <c r="T1834" s="1314" t="str">
        <f t="shared" si="278"/>
        <v/>
      </c>
      <c r="U1834" s="1311"/>
      <c r="V1834" s="1311"/>
      <c r="W1834" s="1311"/>
      <c r="X1834" s="1311"/>
      <c r="Y1834" s="1311"/>
      <c r="Z1834" s="1311"/>
    </row>
    <row r="1835" spans="1:26" x14ac:dyDescent="0.25">
      <c r="A1835" s="1011" t="s">
        <v>1380</v>
      </c>
      <c r="B1835" s="826" t="str">
        <f ca="1">_xlfn.CONCAT(IFERROR(SUBSTITUTE(ADDRESS(1,MATCH(A1835,INDIRECT("'"&amp;E1835&amp;"'"&amp;"!A" &amp; $O$1188 + 2 &amp; ":Z" &amp; $O$1188 + 2),0),4),1,""),""),$O$1188+ 2)</f>
        <v>H479</v>
      </c>
      <c r="C1835" s="826" t="str">
        <f ca="1">_xlfn.CONCAT(IFERROR(SUBSTITUTE(ADDRESS(1,MATCH(A1835,INDIRECT("'"&amp;E1835&amp;"'"&amp;"!A" &amp; $O$1188 + 2 &amp; ":Z" &amp; $O$1188 + 2),0),4),1,""),""),$O$1188+ 3)</f>
        <v>H480</v>
      </c>
      <c r="D1835" s="826" t="s">
        <v>1350</v>
      </c>
      <c r="E1835" s="826" t="s">
        <v>1516</v>
      </c>
      <c r="F1835" s="1314" t="s">
        <v>1991</v>
      </c>
      <c r="G1835" s="1314" t="str">
        <f>IF(T1835&lt;&gt;"","E","")</f>
        <v/>
      </c>
      <c r="H1835" s="1314" t="s">
        <v>1990</v>
      </c>
      <c r="I1835" s="1274"/>
      <c r="J1835" s="1314"/>
      <c r="K1835" s="1314"/>
      <c r="L1835" s="826"/>
      <c r="M1835" s="1329"/>
      <c r="N1835" s="1314"/>
      <c r="O1835" s="1311"/>
      <c r="P1835" s="1311"/>
      <c r="Q1835" s="1311"/>
      <c r="R1835" s="1314" t="s">
        <v>1099</v>
      </c>
      <c r="S1835" s="1311"/>
      <c r="T1835" s="1314" t="str">
        <f t="shared" ref="T1835:T1837" si="279">IF(Q$1188="Yes",34,"")</f>
        <v/>
      </c>
      <c r="U1835" s="1311"/>
      <c r="V1835" s="1311"/>
      <c r="W1835" s="1311"/>
      <c r="X1835" s="1311"/>
      <c r="Y1835" s="1311"/>
      <c r="Z1835" s="1311"/>
    </row>
    <row r="1836" spans="1:26" x14ac:dyDescent="0.25">
      <c r="A1836" s="1011" t="s">
        <v>1397</v>
      </c>
      <c r="B1836" s="826" t="str">
        <f ca="1">_xlfn.CONCAT(IFERROR(SUBSTITUTE(ADDRESS(1,MATCH(A1836,INDIRECT("'"&amp;E1836&amp;"'"&amp;"!A" &amp; $O$1188 + 2 &amp; ":Z" &amp; $O$1188 + 2),0),4),1,""),""),$O$1188+ 2)</f>
        <v>L479</v>
      </c>
      <c r="C1836" s="826" t="str">
        <f ca="1">_xlfn.CONCAT(IFERROR(SUBSTITUTE(ADDRESS(1,MATCH(A1836,INDIRECT("'"&amp;E1836&amp;"'"&amp;"!A" &amp; $O$1188 + 2 &amp; ":Z" &amp; $O$1188 + 2),0),4),1,""),""),$O$1188+ 3)</f>
        <v>L480</v>
      </c>
      <c r="D1836" s="826" t="s">
        <v>1350</v>
      </c>
      <c r="E1836" s="826" t="s">
        <v>1516</v>
      </c>
      <c r="F1836" s="1314" t="s">
        <v>1993</v>
      </c>
      <c r="G1836" s="1314" t="str">
        <f>IF(T1836&lt;&gt;"","H","")</f>
        <v/>
      </c>
      <c r="H1836" s="1314" t="s">
        <v>1990</v>
      </c>
      <c r="I1836" s="1274"/>
      <c r="J1836" s="1314"/>
      <c r="K1836" s="1314"/>
      <c r="L1836" s="826"/>
      <c r="M1836" s="1329"/>
      <c r="N1836" s="1314"/>
      <c r="O1836" s="1311"/>
      <c r="P1836" s="1311"/>
      <c r="Q1836" s="1311"/>
      <c r="R1836" s="1314" t="s">
        <v>1099</v>
      </c>
      <c r="S1836" s="1311"/>
      <c r="T1836" s="1314" t="str">
        <f t="shared" si="279"/>
        <v/>
      </c>
      <c r="U1836" s="1311"/>
      <c r="V1836" s="1311"/>
      <c r="W1836" s="1311"/>
      <c r="X1836" s="1311"/>
      <c r="Y1836" s="1311"/>
      <c r="Z1836" s="1311"/>
    </row>
    <row r="1837" spans="1:26" x14ac:dyDescent="0.25">
      <c r="A1837" s="1011" t="s">
        <v>1487</v>
      </c>
      <c r="B1837" s="826" t="str">
        <f ca="1">_xlfn.CONCAT(IFERROR(SUBSTITUTE(ADDRESS(1,MATCH(A1837,INDIRECT("'"&amp;E1837&amp;"'"&amp;"!A" &amp; $O$1188 + 2 &amp; ":Z" &amp; $O$1188 + 2),0),4),1,""),""),$O$1188+ 2)</f>
        <v>R479</v>
      </c>
      <c r="C1837" s="826" t="str">
        <f ca="1">_xlfn.CONCAT(IFERROR(SUBSTITUTE(ADDRESS(1,MATCH(A1837,INDIRECT("'"&amp;E1837&amp;"'"&amp;"!A" &amp; $O$1188 + 2 &amp; ":Z" &amp; $O$1188 + 2),0),4),1,""),""),$O$1188+ 3)</f>
        <v>R480</v>
      </c>
      <c r="D1837" s="826" t="s">
        <v>1350</v>
      </c>
      <c r="E1837" s="826" t="s">
        <v>1516</v>
      </c>
      <c r="F1837" s="1314" t="s">
        <v>1995</v>
      </c>
      <c r="G1837" s="1314" t="str">
        <f>IF(T1837&lt;&gt;"","G","")</f>
        <v/>
      </c>
      <c r="H1837" s="1314" t="s">
        <v>1990</v>
      </c>
      <c r="I1837" s="1274"/>
      <c r="J1837" s="1314"/>
      <c r="K1837" s="1314"/>
      <c r="L1837" s="826"/>
      <c r="M1837" s="1329"/>
      <c r="N1837" s="1314"/>
      <c r="O1837" s="1311"/>
      <c r="P1837" s="1311"/>
      <c r="Q1837" s="1311"/>
      <c r="R1837" s="1314" t="s">
        <v>1099</v>
      </c>
      <c r="S1837" s="1311"/>
      <c r="T1837" s="1314" t="str">
        <f t="shared" si="279"/>
        <v/>
      </c>
      <c r="U1837" s="1311"/>
      <c r="V1837" s="1311"/>
      <c r="W1837" s="1311"/>
      <c r="X1837" s="1311"/>
      <c r="Y1837" s="1311"/>
      <c r="Z1837" s="1311"/>
    </row>
    <row r="1838" spans="1:26" x14ac:dyDescent="0.25">
      <c r="A1838" s="847" t="s">
        <v>1397</v>
      </c>
      <c r="B1838" s="826" t="str">
        <f ca="1">_xlfn.CONCAT(IFERROR(SUBSTITUTE(ADDRESS(1,MATCH(A1838,INDIRECT("'"&amp;E1838&amp;"'"&amp;"!A" &amp; $O$1213 + 2 &amp; ":Z" &amp; $O$1213 + 2),0),4),1,""),""),$O$1213+ 2)</f>
        <v>L493</v>
      </c>
      <c r="C1838" s="826" t="str">
        <f ca="1">_xlfn.CONCAT(IFERROR(SUBSTITUTE(ADDRESS(1,MATCH(A1838,INDIRECT("'"&amp;E1838&amp;"'"&amp;"!A" &amp; $O$1213 + 2 &amp; ":Z" &amp; $O$1213 + 2),0),4),1,""),""),$O$1213+ 3)</f>
        <v>L494</v>
      </c>
      <c r="D1838" s="826" t="s">
        <v>1350</v>
      </c>
      <c r="E1838" s="826" t="s">
        <v>1516</v>
      </c>
      <c r="F1838" s="1314" t="s">
        <v>1993</v>
      </c>
      <c r="G1838" s="1314" t="str">
        <f>IF(T1838&lt;&gt;"","H","")</f>
        <v/>
      </c>
      <c r="H1838" s="1314" t="s">
        <v>1990</v>
      </c>
      <c r="I1838" s="1274"/>
      <c r="J1838" s="1314"/>
      <c r="K1838" s="1314"/>
      <c r="L1838" s="826"/>
      <c r="M1838" s="1329"/>
      <c r="N1838" s="1314"/>
      <c r="O1838" s="1311"/>
      <c r="P1838" s="1311"/>
      <c r="Q1838" s="1311"/>
      <c r="R1838" s="1314" t="s">
        <v>1155</v>
      </c>
      <c r="S1838" s="1311"/>
      <c r="T1838" s="1314" t="str">
        <f t="shared" ref="T1838" si="280">IF(Q$1213="Yes",35,"")</f>
        <v/>
      </c>
      <c r="U1838" s="1311"/>
      <c r="V1838" s="1311"/>
      <c r="W1838" s="1311"/>
      <c r="X1838" s="1311"/>
      <c r="Y1838" s="1311"/>
      <c r="Z1838" s="1311"/>
    </row>
    <row r="1839" spans="1:26" x14ac:dyDescent="0.25">
      <c r="A1839" s="1011" t="s">
        <v>1380</v>
      </c>
      <c r="B1839" s="826" t="str">
        <f ca="1">_xlfn.CONCAT(IFERROR(SUBSTITUTE(ADDRESS(1,MATCH(A1839,INDIRECT("'"&amp;E1839&amp;"'"&amp;"!A" &amp; $O$1069 + 2 &amp; ":Z" &amp; $O$1069 + 2),0),4),1,""),""),$O$1069+ 2)</f>
        <v>H395</v>
      </c>
      <c r="C1839" s="826" t="str">
        <f ca="1">_xlfn.CONCAT(IFERROR(SUBSTITUTE(ADDRESS(1,MATCH(A1839,INDIRECT("'"&amp;E1839&amp;"'"&amp;"!A" &amp; $O$1069 + 2 &amp; ":Z" &amp; $O$1069 + 2),0),4),1,""),""),$O$1069+ 3)</f>
        <v>H396</v>
      </c>
      <c r="D1839" s="826" t="s">
        <v>1350</v>
      </c>
      <c r="E1839" s="826" t="s">
        <v>1516</v>
      </c>
      <c r="F1839" s="1314" t="s">
        <v>1991</v>
      </c>
      <c r="G1839" s="1314" t="str">
        <f>IF(T1839&lt;&gt;"","E","")</f>
        <v/>
      </c>
      <c r="H1839" s="1314" t="s">
        <v>1990</v>
      </c>
      <c r="I1839" s="1274"/>
      <c r="J1839" s="1314"/>
      <c r="K1839" s="1314"/>
      <c r="L1839" s="826"/>
      <c r="M1839" s="1329"/>
      <c r="N1839" s="1314"/>
      <c r="O1839" s="1311"/>
      <c r="P1839" s="1311"/>
      <c r="Q1839" s="1311"/>
      <c r="R1839" s="1314" t="s">
        <v>1700</v>
      </c>
      <c r="S1839" s="1311"/>
      <c r="T1839" s="1314" t="str">
        <f t="shared" ref="T1839" si="281">IF(Q$1069="Yes",28,"")</f>
        <v/>
      </c>
      <c r="U1839" s="1311"/>
      <c r="V1839" s="1311"/>
      <c r="W1839" s="1311"/>
      <c r="X1839" s="1311"/>
      <c r="Y1839" s="1311"/>
      <c r="Z1839" s="1311"/>
    </row>
    <row r="1840" spans="1:26" x14ac:dyDescent="0.25">
      <c r="A1840" s="847" t="s">
        <v>1524</v>
      </c>
      <c r="B1840" s="826" t="str">
        <f ca="1">_xlfn.CONCAT(IFERROR(SUBSTITUTE(ADDRESS(1,MATCH(A1840,INDIRECT("'"&amp;E1840&amp;"'"&amp;"!A" &amp; $O$670 + 5 &amp; ":Z" &amp; $O$670 + 5),0),4),1,""),""),$O$670 + 5)</f>
        <v>T96</v>
      </c>
      <c r="C1840" s="826" t="str">
        <f ca="1">_xlfn.CONCAT(IFERROR(SUBSTITUTE(ADDRESS(1,MATCH(A1840,INDIRECT("'"&amp;E1840&amp;"'"&amp;"!A" &amp; $O$670 + 5 &amp; ":Z" &amp; $O$670 + 5),0),4),1,""),""),$O$670 + 6)</f>
        <v>T97</v>
      </c>
      <c r="D1840" s="826" t="s">
        <v>1350</v>
      </c>
      <c r="E1840" s="826" t="s">
        <v>1516</v>
      </c>
      <c r="F1840" s="1314" t="s">
        <v>1524</v>
      </c>
      <c r="G1840" s="1314" t="str">
        <f>IF(T1840&lt;&gt;"","M","")</f>
        <v/>
      </c>
      <c r="H1840" s="1314" t="s">
        <v>1990</v>
      </c>
      <c r="I1840" s="1274"/>
      <c r="J1840" s="1314"/>
      <c r="K1840" s="1314" t="str">
        <f t="shared" ref="K1840:K1843" si="282">IF(J1840&lt;&gt;"",E1840,"")</f>
        <v/>
      </c>
      <c r="L1840" s="826"/>
      <c r="M1840" s="1329"/>
      <c r="N1840" s="1314"/>
      <c r="O1840" s="1311"/>
      <c r="P1840" s="1311"/>
      <c r="Q1840" s="1311"/>
      <c r="R1840" s="1314" t="s">
        <v>1525</v>
      </c>
      <c r="S1840" s="1311"/>
      <c r="T1840" s="1314" t="str">
        <f>IF(Q$670="Yes",7,"")</f>
        <v/>
      </c>
      <c r="U1840" s="1311"/>
      <c r="V1840" s="1311"/>
      <c r="W1840" s="1311"/>
      <c r="X1840" s="1311"/>
      <c r="Y1840" s="1311"/>
      <c r="Z1840" s="1311"/>
    </row>
    <row r="1841" spans="1:26" x14ac:dyDescent="0.25">
      <c r="A1841" s="850" t="s">
        <v>1524</v>
      </c>
      <c r="B1841" s="826" t="str">
        <f ca="1">_xlfn.CONCAT(IFERROR(SUBSTITUTE(ADDRESS(1,MATCH(A1841,INDIRECT("'"&amp;E1841&amp;"'"&amp;"!A" &amp; $O$688 + 5 &amp; ":Z" &amp; $O$688 + 5),0),4),1,""),""),$O$688 + 5)</f>
        <v>T110</v>
      </c>
      <c r="C1841" s="826" t="str">
        <f ca="1">_xlfn.CONCAT(IFERROR(SUBSTITUTE(ADDRESS(1,MATCH(A1841,INDIRECT("'"&amp;E1841&amp;"'"&amp;"!A" &amp; $O$688 + 5 &amp; ":Z" &amp; $O$688 + 5),0),4),1,""),""),$O$688 + 6)</f>
        <v>T111</v>
      </c>
      <c r="D1841" s="826" t="s">
        <v>1350</v>
      </c>
      <c r="E1841" s="826" t="s">
        <v>1516</v>
      </c>
      <c r="F1841" s="1314" t="s">
        <v>1524</v>
      </c>
      <c r="G1841" s="1314" t="str">
        <f>IF(T1841&lt;&gt;"","M","")</f>
        <v/>
      </c>
      <c r="H1841" s="1314" t="s">
        <v>1990</v>
      </c>
      <c r="I1841" s="1274" t="str">
        <f t="shared" ref="I1841" si="283">IF(J1841&lt;&gt;"",A1841,"")</f>
        <v/>
      </c>
      <c r="J1841" s="1314"/>
      <c r="K1841" s="1314" t="str">
        <f t="shared" si="282"/>
        <v/>
      </c>
      <c r="L1841" s="826"/>
      <c r="M1841" s="1329"/>
      <c r="N1841" s="1314"/>
      <c r="O1841" s="1311"/>
      <c r="P1841" s="1311"/>
      <c r="Q1841" s="1311"/>
      <c r="R1841" s="1314" t="s">
        <v>1525</v>
      </c>
      <c r="S1841" s="1311"/>
      <c r="T1841" s="1314" t="str">
        <f>IF(Q$688="Yes",8,"")</f>
        <v/>
      </c>
      <c r="U1841" s="1311"/>
      <c r="V1841" s="1311"/>
      <c r="W1841" s="1311"/>
      <c r="X1841" s="1311"/>
      <c r="Y1841" s="1311"/>
      <c r="Z1841" s="1311"/>
    </row>
    <row r="1842" spans="1:26" x14ac:dyDescent="0.25">
      <c r="A1842" s="847" t="s">
        <v>1524</v>
      </c>
      <c r="B1842" s="826" t="str">
        <f ca="1">_xlfn.CONCAT(IFERROR(SUBSTITUTE(ADDRESS(1,MATCH(A1842,INDIRECT("'"&amp;E1842&amp;"'"&amp;"!A" &amp; $O$706 + 5 &amp; ":Z" &amp; $O$706+ 5),0),4),1,""),""),$O$706 + 5)</f>
        <v>T124</v>
      </c>
      <c r="C1842" s="826" t="str">
        <f ca="1">_xlfn.CONCAT(IFERROR(SUBSTITUTE(ADDRESS(1,MATCH(A1842,INDIRECT("'"&amp;E1842&amp;"'"&amp;"!A" &amp; $O$706 + 5 &amp; ":Z" &amp; $O$706+ 5),0),4),1,""),""),$O$706 + 6)</f>
        <v>T125</v>
      </c>
      <c r="D1842" s="826" t="s">
        <v>1350</v>
      </c>
      <c r="E1842" s="826" t="s">
        <v>1516</v>
      </c>
      <c r="F1842" s="1314" t="s">
        <v>1524</v>
      </c>
      <c r="G1842" s="1314" t="str">
        <f>IF(T1842&lt;&gt;"","M","")</f>
        <v/>
      </c>
      <c r="H1842" s="1314" t="s">
        <v>1990</v>
      </c>
      <c r="I1842" s="1274"/>
      <c r="J1842" s="1314"/>
      <c r="K1842" s="1314" t="str">
        <f t="shared" si="282"/>
        <v/>
      </c>
      <c r="L1842" s="826"/>
      <c r="M1842" s="1329"/>
      <c r="N1842" s="1314"/>
      <c r="O1842" s="1311"/>
      <c r="P1842" s="1311"/>
      <c r="Q1842" s="1311"/>
      <c r="R1842" s="1314" t="s">
        <v>1525</v>
      </c>
      <c r="S1842" s="1311"/>
      <c r="T1842" s="1314" t="str">
        <f>IF(Q$706="Yes",9,"")</f>
        <v/>
      </c>
      <c r="U1842" s="1311"/>
      <c r="V1842" s="1311"/>
      <c r="W1842" s="1311"/>
      <c r="X1842" s="1311"/>
      <c r="Y1842" s="1311"/>
      <c r="Z1842" s="1311"/>
    </row>
    <row r="1843" spans="1:26" x14ac:dyDescent="0.25">
      <c r="A1843" s="850" t="s">
        <v>1524</v>
      </c>
      <c r="B1843" s="826" t="str">
        <f ca="1">_xlfn.CONCAT(IFERROR(SUBSTITUTE(ADDRESS(1,MATCH(A1843,INDIRECT("'"&amp;E1843&amp;"'"&amp;"!A" &amp; $O$736 + 5 &amp; ":Z" &amp; $O$736+ 5),0),4),1,""),""),$O$736 + 5)</f>
        <v>T140</v>
      </c>
      <c r="C1843" s="826" t="str">
        <f ca="1">_xlfn.CONCAT(IFERROR(SUBSTITUTE(ADDRESS(1,MATCH(A1843,INDIRECT("'"&amp;E1843&amp;"'"&amp;"!A" &amp; $O$736 + 5 &amp; ":Z" &amp; $O$736+ 5),0),4),1,""),""),$O$736 + 6)</f>
        <v>T141</v>
      </c>
      <c r="D1843" s="826" t="s">
        <v>1350</v>
      </c>
      <c r="E1843" s="826" t="s">
        <v>1516</v>
      </c>
      <c r="F1843" s="1314" t="s">
        <v>1524</v>
      </c>
      <c r="G1843" s="1314" t="str">
        <f>IF(T1843&lt;&gt;"","M","")</f>
        <v/>
      </c>
      <c r="H1843" s="1314" t="s">
        <v>1990</v>
      </c>
      <c r="I1843" s="1274" t="str">
        <f t="shared" ref="I1843" si="284">IF(J1843&lt;&gt;"",A1843,"")</f>
        <v/>
      </c>
      <c r="J1843" s="1314"/>
      <c r="K1843" s="1314" t="str">
        <f t="shared" si="282"/>
        <v/>
      </c>
      <c r="L1843" s="826"/>
      <c r="M1843" s="1329"/>
      <c r="N1843" s="1314"/>
      <c r="O1843" s="1311"/>
      <c r="P1843" s="1311"/>
      <c r="Q1843" s="1311"/>
      <c r="R1843" s="1314" t="s">
        <v>1525</v>
      </c>
      <c r="S1843" s="1311"/>
      <c r="T1843" s="1314" t="str">
        <f>IF(Q$736="Yes",10,"")</f>
        <v/>
      </c>
      <c r="U1843" s="1311"/>
      <c r="V1843" s="1311"/>
      <c r="W1843" s="1311"/>
      <c r="X1843" s="1311"/>
      <c r="Y1843" s="1311"/>
      <c r="Z1843" s="1311"/>
    </row>
    <row r="1844" spans="1:26" x14ac:dyDescent="0.25">
      <c r="A1844" s="846" t="s">
        <v>1493</v>
      </c>
      <c r="B1844" s="826" t="str">
        <f ca="1">_xlfn.CONCAT(IFERROR(SUBSTITUTE(ADDRESS(1,MATCH(A1844,INDIRECT("'"&amp;E1844&amp;"'"&amp;"!A" &amp; $O$539+8 &amp; ":Z"&amp;$O$539+8),0),4),1,""),""),$O$539+8)</f>
        <v>L11</v>
      </c>
      <c r="C1844" s="826" t="str">
        <f ca="1">_xlfn.CONCAT(IFERROR(SUBSTITUTE(ADDRESS(1,MATCH(A1844,INDIRECT("'"&amp;E1844&amp;"'"&amp;"!A" &amp; $O$539+8 &amp; ":Z"&amp;$O$539+8),0),4),1,""),""),$O$539+9)</f>
        <v>L12</v>
      </c>
      <c r="D1844" s="826" t="s">
        <v>1350</v>
      </c>
      <c r="E1844" s="826" t="s">
        <v>1516</v>
      </c>
      <c r="F1844" s="1314" t="s">
        <v>1998</v>
      </c>
      <c r="G1844" s="1314" t="str">
        <f>IF(T1844&lt;&gt;"","N","")</f>
        <v/>
      </c>
      <c r="H1844" s="1314" t="s">
        <v>1990</v>
      </c>
      <c r="I1844" s="1274"/>
      <c r="J1844" s="1314"/>
      <c r="K1844" s="1314"/>
      <c r="L1844" s="826"/>
      <c r="M1844" s="1329"/>
      <c r="N1844" s="1314"/>
      <c r="O1844" s="1311"/>
      <c r="P1844" s="1311"/>
      <c r="Q1844" s="1311"/>
      <c r="R1844" s="1314" t="s">
        <v>851</v>
      </c>
      <c r="S1844" s="1311"/>
      <c r="T1844" s="1314" t="str">
        <f t="shared" ref="T1844" si="285">IF(Q$540="Yes",1,"")</f>
        <v/>
      </c>
      <c r="U1844" s="1311"/>
      <c r="V1844" s="1311"/>
      <c r="W1844" s="1311"/>
      <c r="X1844" s="1311"/>
      <c r="Y1844" s="1311"/>
      <c r="Z1844" s="1311"/>
    </row>
    <row r="1845" spans="1:26" x14ac:dyDescent="0.25">
      <c r="A1845" s="846" t="s">
        <v>1493</v>
      </c>
      <c r="B1845" s="826" t="str">
        <f ca="1">_xlfn.CONCAT(IFERROR(SUBSTITUTE(ADDRESS(1,MATCH(A1845,INDIRECT("'"&amp;E1845&amp;"'"&amp;"!A" &amp; $O$555+8 &amp; ":Z" &amp; $O$555+8),0),4),1,""),""),$O$555+8)</f>
        <v>L25</v>
      </c>
      <c r="C1845" s="826" t="str">
        <f ca="1">_xlfn.CONCAT(IFERROR(SUBSTITUTE(ADDRESS(1,MATCH(A1845,INDIRECT("'"&amp;E1845&amp;"'"&amp;"!A" &amp; $O$555+8 &amp; ":Z" &amp; $O$555+8),0),4),1,""),""),$O$555+9)</f>
        <v>L26</v>
      </c>
      <c r="D1845" s="826" t="s">
        <v>1350</v>
      </c>
      <c r="E1845" s="826" t="s">
        <v>1516</v>
      </c>
      <c r="F1845" s="1314" t="s">
        <v>1998</v>
      </c>
      <c r="G1845" s="1314" t="str">
        <f t="shared" ref="G1845:G1866" si="286">IF(T1845&lt;&gt;"","N","")</f>
        <v/>
      </c>
      <c r="H1845" s="1314" t="s">
        <v>1990</v>
      </c>
      <c r="I1845" s="1274"/>
      <c r="J1845" s="1314"/>
      <c r="K1845" s="1314"/>
      <c r="L1845" s="826"/>
      <c r="M1845" s="1329"/>
      <c r="N1845" s="1314"/>
      <c r="O1845" s="1311"/>
      <c r="P1845" s="1311"/>
      <c r="Q1845" s="1311"/>
      <c r="R1845" s="1314" t="s">
        <v>851</v>
      </c>
      <c r="S1845" s="1311"/>
      <c r="T1845" s="1314" t="str">
        <f t="shared" ref="T1845" si="287">IF(Q$555="Yes",2,"")</f>
        <v/>
      </c>
      <c r="U1845" s="1311"/>
      <c r="V1845" s="1311"/>
      <c r="W1845" s="1311"/>
      <c r="X1845" s="1311"/>
      <c r="Y1845" s="1311"/>
      <c r="Z1845" s="1311"/>
    </row>
    <row r="1846" spans="1:26" x14ac:dyDescent="0.25">
      <c r="A1846" s="846" t="s">
        <v>1493</v>
      </c>
      <c r="B1846" s="826" t="str">
        <f ca="1">_xlfn.CONCAT(IFERROR(SUBSTITUTE(ADDRESS(1,MATCH(A1846,INDIRECT("'"&amp;E1846&amp;"'"&amp;"!A" &amp; $O$570+8 &amp; ":Z" &amp; $O$570+8),0),4),1,""),""),$O$570+8)</f>
        <v>L39</v>
      </c>
      <c r="C1846" s="826" t="str">
        <f ca="1">_xlfn.CONCAT(IFERROR(SUBSTITUTE(ADDRESS(1,MATCH(A1846,INDIRECT("'"&amp;E1846&amp;"'"&amp;"!A" &amp; $O$570+8 &amp; ":Z" &amp; $O$570+8),0),4),1,""),""),$O$570+9)</f>
        <v>L40</v>
      </c>
      <c r="D1846" s="826" t="s">
        <v>1350</v>
      </c>
      <c r="E1846" s="826" t="s">
        <v>1516</v>
      </c>
      <c r="F1846" s="1314" t="s">
        <v>1998</v>
      </c>
      <c r="G1846" s="1314" t="str">
        <f t="shared" si="286"/>
        <v/>
      </c>
      <c r="H1846" s="1314" t="s">
        <v>1990</v>
      </c>
      <c r="I1846" s="1274"/>
      <c r="J1846" s="1314"/>
      <c r="K1846" s="1314"/>
      <c r="L1846" s="826"/>
      <c r="M1846" s="1329"/>
      <c r="N1846" s="1314"/>
      <c r="O1846" s="1311"/>
      <c r="P1846" s="1311"/>
      <c r="Q1846" s="1311"/>
      <c r="R1846" s="1314" t="s">
        <v>851</v>
      </c>
      <c r="S1846" s="1311"/>
      <c r="T1846" s="1314" t="str">
        <f>IF(Q$570="Yes",3,"")</f>
        <v/>
      </c>
      <c r="U1846" s="1311"/>
      <c r="V1846" s="1311"/>
      <c r="W1846" s="1311"/>
      <c r="X1846" s="1311"/>
      <c r="Y1846" s="1311"/>
      <c r="Z1846" s="1311"/>
    </row>
    <row r="1847" spans="1:26" x14ac:dyDescent="0.25">
      <c r="A1847" s="846" t="s">
        <v>1493</v>
      </c>
      <c r="B1847" s="826" t="str">
        <f ca="1">_xlfn.CONCAT(IFERROR(SUBSTITUTE(ADDRESS(1,MATCH(A1847,INDIRECT("'"&amp;E1847&amp;"'"&amp;"!A" &amp; $O$589+8 &amp; ":Z" &amp; $O$589+8),0),4),1,""),""),$O$589+8)</f>
        <v>L53</v>
      </c>
      <c r="C1847" s="826" t="str">
        <f ca="1">_xlfn.CONCAT(IFERROR(SUBSTITUTE(ADDRESS(1,MATCH(A1847,INDIRECT("'"&amp;E1847&amp;"'"&amp;"!A" &amp; $O$589+8 &amp; ":Z" &amp; $O$589+8),0),4),1,""),""),$O$589+9)</f>
        <v>L54</v>
      </c>
      <c r="D1847" s="826" t="s">
        <v>1350</v>
      </c>
      <c r="E1847" s="826" t="s">
        <v>1516</v>
      </c>
      <c r="F1847" s="1314" t="s">
        <v>1998</v>
      </c>
      <c r="G1847" s="1314" t="str">
        <f t="shared" si="286"/>
        <v/>
      </c>
      <c r="H1847" s="1314" t="s">
        <v>1990</v>
      </c>
      <c r="I1847" s="1274"/>
      <c r="J1847" s="1314"/>
      <c r="K1847" s="1314"/>
      <c r="L1847" s="826"/>
      <c r="M1847" s="1329"/>
      <c r="N1847" s="1314"/>
      <c r="O1847" s="1311"/>
      <c r="P1847" s="1311"/>
      <c r="Q1847" s="1311"/>
      <c r="R1847" s="1314" t="s">
        <v>851</v>
      </c>
      <c r="S1847" s="1311"/>
      <c r="T1847" s="1314" t="str">
        <f>IF(Q$589="Yes",4,"")</f>
        <v/>
      </c>
      <c r="U1847" s="1311"/>
      <c r="V1847" s="1311"/>
      <c r="W1847" s="1311"/>
      <c r="X1847" s="1311"/>
      <c r="Y1847" s="1311"/>
      <c r="Z1847" s="1311"/>
    </row>
    <row r="1848" spans="1:26" x14ac:dyDescent="0.25">
      <c r="A1848" s="846" t="s">
        <v>1493</v>
      </c>
      <c r="B1848" s="826" t="str">
        <f ca="1">_xlfn.CONCAT(IFERROR(SUBSTITUTE(ADDRESS(1,MATCH(A1848,INDIRECT("'"&amp;E1848&amp;"'"&amp;"!A" &amp; $O$608 + 12 &amp; ":Z" &amp; $O$608+12),0),4),1,""),""),$O$608+12)</f>
        <v>L71</v>
      </c>
      <c r="C1848" s="826" t="str">
        <f ca="1">_xlfn.CONCAT(IFERROR(SUBSTITUTE(ADDRESS(1,MATCH(A1848,INDIRECT("'"&amp;E1848&amp;"'"&amp;"!A" &amp; $O$608 + 12 &amp; ":Z" &amp; $O$608+12),0),4),1,""),""),$O$608+13)</f>
        <v>L72</v>
      </c>
      <c r="D1848" s="826" t="s">
        <v>1350</v>
      </c>
      <c r="E1848" s="826" t="s">
        <v>1516</v>
      </c>
      <c r="F1848" s="1314" t="s">
        <v>1998</v>
      </c>
      <c r="G1848" s="1314" t="str">
        <f t="shared" si="286"/>
        <v/>
      </c>
      <c r="H1848" s="1314" t="s">
        <v>1990</v>
      </c>
      <c r="I1848" s="1274"/>
      <c r="J1848" s="1314"/>
      <c r="K1848" s="1314"/>
      <c r="L1848" s="826"/>
      <c r="M1848" s="1329"/>
      <c r="N1848" s="1314"/>
      <c r="O1848" s="1311"/>
      <c r="P1848" s="1311"/>
      <c r="Q1848" s="1311"/>
      <c r="R1848" s="1314" t="s">
        <v>851</v>
      </c>
      <c r="S1848" s="1311"/>
      <c r="T1848" s="1314" t="str">
        <f>IF(Q$608="Yes",5,"")</f>
        <v/>
      </c>
      <c r="U1848" s="1311"/>
      <c r="V1848" s="1311"/>
      <c r="W1848" s="1311"/>
      <c r="X1848" s="1311"/>
      <c r="Y1848" s="1311"/>
      <c r="Z1848" s="1311"/>
    </row>
    <row r="1849" spans="1:26" x14ac:dyDescent="0.25">
      <c r="A1849" s="846" t="s">
        <v>1493</v>
      </c>
      <c r="B1849" s="826" t="str">
        <f ca="1">_xlfn.CONCAT(IFERROR(SUBSTITUTE(ADDRESS(1,MATCH(A1849,INDIRECT("'"&amp;E1849&amp;"'"&amp;"!A" &amp; $O$639 + 12 &amp; ":Z" &amp; $O$639 + 12),0),4),1,""),""),$O$639 + 12)</f>
        <v>L87</v>
      </c>
      <c r="C1849" s="826" t="str">
        <f ca="1">_xlfn.CONCAT(IFERROR(SUBSTITUTE(ADDRESS(1,MATCH(A1849,INDIRECT("'"&amp;E1849&amp;"'"&amp;"!A" &amp; $O$639 + 12 &amp; ":Z" &amp; $O$639 + 12),0),4),1,""),""),$O$639 + 13)</f>
        <v>L88</v>
      </c>
      <c r="D1849" s="826" t="s">
        <v>1350</v>
      </c>
      <c r="E1849" s="826" t="s">
        <v>1516</v>
      </c>
      <c r="F1849" s="1314" t="s">
        <v>1998</v>
      </c>
      <c r="G1849" s="1314" t="str">
        <f t="shared" si="286"/>
        <v/>
      </c>
      <c r="H1849" s="1314" t="s">
        <v>1990</v>
      </c>
      <c r="I1849" s="1274"/>
      <c r="J1849" s="1314"/>
      <c r="K1849" s="1314"/>
      <c r="L1849" s="826"/>
      <c r="M1849" s="1329"/>
      <c r="N1849" s="1314"/>
      <c r="O1849" s="1311"/>
      <c r="P1849" s="1311"/>
      <c r="Q1849" s="1311"/>
      <c r="R1849" s="577" t="s">
        <v>851</v>
      </c>
      <c r="S1849" s="1311"/>
      <c r="T1849" s="1314" t="str">
        <f>IF(Q$639="Yes",6,"")</f>
        <v/>
      </c>
      <c r="U1849" s="1311"/>
      <c r="V1849" s="1311"/>
      <c r="W1849" s="1311"/>
      <c r="X1849" s="1311"/>
      <c r="Y1849" s="1311"/>
      <c r="Z1849" s="1311"/>
    </row>
    <row r="1850" spans="1:26" x14ac:dyDescent="0.25">
      <c r="A1850" s="846" t="s">
        <v>1493</v>
      </c>
      <c r="B1850" s="826" t="str">
        <f ca="1">_xlfn.CONCAT(IFERROR(SUBSTITUTE(ADDRESS(1,MATCH(A1850,INDIRECT("'"&amp;E1850&amp;"'"&amp;"!A" &amp; $O$670 + 8 &amp; ":Z" &amp; $O$670 + 8),0),4),1,""),""),$O$670 + 8)</f>
        <v>L99</v>
      </c>
      <c r="C1850" s="826" t="str">
        <f ca="1">_xlfn.CONCAT(IFERROR(SUBSTITUTE(ADDRESS(1,MATCH(A1850,INDIRECT("'"&amp;E1850&amp;"'"&amp;"!A" &amp; $O$670 + 8 &amp; ":Z" &amp; $O$670 + 8),0),4),1,""),""),$O$670 + 9)</f>
        <v>L100</v>
      </c>
      <c r="D1850" s="826" t="s">
        <v>1350</v>
      </c>
      <c r="E1850" s="826" t="s">
        <v>1516</v>
      </c>
      <c r="F1850" s="1314" t="s">
        <v>1998</v>
      </c>
      <c r="G1850" s="1314" t="str">
        <f t="shared" si="286"/>
        <v/>
      </c>
      <c r="H1850" s="1314" t="s">
        <v>1990</v>
      </c>
      <c r="I1850" s="1274"/>
      <c r="J1850" s="1314"/>
      <c r="K1850" s="1314"/>
      <c r="L1850" s="826"/>
      <c r="M1850" s="1329"/>
      <c r="N1850" s="1314"/>
      <c r="O1850" s="1311"/>
      <c r="P1850" s="1311"/>
      <c r="Q1850" s="1311"/>
      <c r="R1850" s="1314" t="s">
        <v>1525</v>
      </c>
      <c r="S1850" s="1311"/>
      <c r="T1850" s="1314" t="str">
        <f>IF(Q$670="Yes",7,"")</f>
        <v/>
      </c>
      <c r="U1850" s="1311"/>
      <c r="V1850" s="1311"/>
      <c r="W1850" s="1311"/>
      <c r="X1850" s="1311"/>
      <c r="Y1850" s="1311"/>
      <c r="Z1850" s="1311"/>
    </row>
    <row r="1851" spans="1:26" x14ac:dyDescent="0.25">
      <c r="A1851" s="846" t="s">
        <v>1493</v>
      </c>
      <c r="B1851" s="826" t="str">
        <f ca="1">_xlfn.CONCAT(IFERROR(SUBSTITUTE(ADDRESS(1,MATCH(A1851,INDIRECT("'"&amp;E1851&amp;"'"&amp;"!A" &amp; $O$688 + 8 &amp; ":Z" &amp; $O$688 + 8),0),4),1,""),""),$O$688 + 8)</f>
        <v>L113</v>
      </c>
      <c r="C1851" s="826" t="str">
        <f ca="1">_xlfn.CONCAT(IFERROR(SUBSTITUTE(ADDRESS(1,MATCH(A1851,INDIRECT("'"&amp;E1851&amp;"'"&amp;"!A" &amp; $O$688 + 8 &amp; ":Z" &amp; $O$688 + 8),0),4),1,""),""),$O$688 + 9)</f>
        <v>L114</v>
      </c>
      <c r="D1851" s="826" t="s">
        <v>1350</v>
      </c>
      <c r="E1851" s="826" t="s">
        <v>1516</v>
      </c>
      <c r="F1851" s="1314" t="s">
        <v>1998</v>
      </c>
      <c r="G1851" s="1314" t="str">
        <f t="shared" si="286"/>
        <v/>
      </c>
      <c r="H1851" s="1314" t="s">
        <v>1990</v>
      </c>
      <c r="I1851" s="1274"/>
      <c r="J1851" s="1314"/>
      <c r="K1851" s="1314"/>
      <c r="L1851" s="826"/>
      <c r="M1851" s="1329"/>
      <c r="N1851" s="1314"/>
      <c r="O1851" s="1311"/>
      <c r="P1851" s="1311"/>
      <c r="Q1851" s="1311"/>
      <c r="R1851" s="1314" t="s">
        <v>1525</v>
      </c>
      <c r="S1851" s="1311"/>
      <c r="T1851" s="1314" t="str">
        <f>IF(Q$688="Yes",8,"")</f>
        <v/>
      </c>
      <c r="U1851" s="1311"/>
      <c r="V1851" s="1311"/>
      <c r="W1851" s="1311"/>
      <c r="X1851" s="1311"/>
      <c r="Y1851" s="1311"/>
      <c r="Z1851" s="1311"/>
    </row>
    <row r="1852" spans="1:26" x14ac:dyDescent="0.25">
      <c r="A1852" s="846" t="s">
        <v>1493</v>
      </c>
      <c r="B1852" s="826" t="str">
        <f ca="1">_xlfn.CONCAT(IFERROR(SUBSTITUTE(ADDRESS(1,MATCH(A1852,INDIRECT("'"&amp;E1852&amp;"'"&amp;"!A" &amp; $O$706 + 12 &amp; ":Z" &amp; $O$706+ 12),0),4),1,""),""),$O$706 + 12)</f>
        <v>L131</v>
      </c>
      <c r="C1852" s="826" t="str">
        <f ca="1">_xlfn.CONCAT(IFERROR(SUBSTITUTE(ADDRESS(1,MATCH(A1852,INDIRECT("'"&amp;E1852&amp;"'"&amp;"!A" &amp; $O$706 + 12 &amp; ":Z" &amp; $O$706+ 12),0),4),1,""),""),$O$706 + 13)</f>
        <v>L132</v>
      </c>
      <c r="D1852" s="826" t="s">
        <v>1350</v>
      </c>
      <c r="E1852" s="826" t="s">
        <v>1516</v>
      </c>
      <c r="F1852" s="1314" t="s">
        <v>1998</v>
      </c>
      <c r="G1852" s="1314" t="str">
        <f t="shared" si="286"/>
        <v/>
      </c>
      <c r="H1852" s="1314" t="s">
        <v>1990</v>
      </c>
      <c r="I1852" s="1274"/>
      <c r="J1852" s="1314"/>
      <c r="K1852" s="1314"/>
      <c r="L1852" s="826"/>
      <c r="M1852" s="1329"/>
      <c r="N1852" s="1314"/>
      <c r="O1852" s="1311"/>
      <c r="P1852" s="1311"/>
      <c r="Q1852" s="1311"/>
      <c r="R1852" s="1314" t="s">
        <v>1525</v>
      </c>
      <c r="S1852" s="1311"/>
      <c r="T1852" s="1314" t="str">
        <f>IF(Q$706="Yes",9,"")</f>
        <v/>
      </c>
      <c r="U1852" s="1311"/>
      <c r="V1852" s="1311"/>
      <c r="W1852" s="1311"/>
      <c r="X1852" s="1311"/>
      <c r="Y1852" s="1311"/>
      <c r="Z1852" s="1311"/>
    </row>
    <row r="1853" spans="1:26" x14ac:dyDescent="0.25">
      <c r="A1853" s="846" t="s">
        <v>1493</v>
      </c>
      <c r="B1853" s="826" t="str">
        <f ca="1">_xlfn.CONCAT(IFERROR(SUBSTITUTE(ADDRESS(1,MATCH(A1853,INDIRECT("'"&amp;E1853&amp;"'"&amp;"!A" &amp; $O$736 + 12 &amp; ":Z" &amp; $O$736+ 12),0),4),1,""),""),$O$736 + 12)</f>
        <v>L147</v>
      </c>
      <c r="C1853" s="826" t="str">
        <f ca="1">_xlfn.CONCAT(IFERROR(SUBSTITUTE(ADDRESS(1,MATCH(A1853,INDIRECT("'"&amp;E1853&amp;"'"&amp;"!A" &amp; $O$736 + 12 &amp; ":Z" &amp; $O$736+ 12),0),4),1,""),""),$O$736 + 13)</f>
        <v>L148</v>
      </c>
      <c r="D1853" s="826" t="s">
        <v>1350</v>
      </c>
      <c r="E1853" s="826" t="s">
        <v>1516</v>
      </c>
      <c r="F1853" s="1314" t="s">
        <v>1998</v>
      </c>
      <c r="G1853" s="1314" t="str">
        <f t="shared" si="286"/>
        <v/>
      </c>
      <c r="H1853" s="1314" t="s">
        <v>1990</v>
      </c>
      <c r="I1853" s="1274"/>
      <c r="J1853" s="1314"/>
      <c r="K1853" s="1314"/>
      <c r="L1853" s="826"/>
      <c r="M1853" s="1329"/>
      <c r="N1853" s="1314"/>
      <c r="O1853" s="1311"/>
      <c r="P1853" s="1311"/>
      <c r="Q1853" s="1311"/>
      <c r="R1853" s="1314" t="s">
        <v>1525</v>
      </c>
      <c r="S1853" s="1311"/>
      <c r="T1853" s="1314" t="str">
        <f>IF(Q$736="Yes",10,"")</f>
        <v/>
      </c>
      <c r="U1853" s="1311"/>
      <c r="V1853" s="1311"/>
      <c r="W1853" s="1311"/>
      <c r="X1853" s="1311"/>
      <c r="Y1853" s="1311"/>
      <c r="Z1853" s="1311"/>
    </row>
    <row r="1854" spans="1:26" x14ac:dyDescent="0.25">
      <c r="A1854" s="846" t="s">
        <v>1493</v>
      </c>
      <c r="B1854" s="826" t="str">
        <f ca="1">_xlfn.CONCAT(IFERROR(SUBSTITUTE(ADDRESS(1,MATCH(A1854,INDIRECT("'"&amp;E1854&amp;"'"&amp;"!A" &amp; $O$766 + 8 &amp; ":Z" &amp; $O$766+ 8),0),4),1,""),""),$O$766 + 8)</f>
        <v>L159</v>
      </c>
      <c r="C1854" s="826" t="str">
        <f ca="1">_xlfn.CONCAT(IFERROR(SUBSTITUTE(ADDRESS(1,MATCH(A1854,INDIRECT("'"&amp;E1854&amp;"'"&amp;"!A" &amp; $O$766 + 8 &amp; ":Z" &amp; $O$766+ 8),0),4),1,""),""),$O$766 + 9)</f>
        <v>L160</v>
      </c>
      <c r="D1854" s="826" t="s">
        <v>1350</v>
      </c>
      <c r="E1854" s="826" t="s">
        <v>1516</v>
      </c>
      <c r="F1854" s="1314" t="s">
        <v>1998</v>
      </c>
      <c r="G1854" s="1314" t="str">
        <f t="shared" si="286"/>
        <v/>
      </c>
      <c r="H1854" s="1314" t="s">
        <v>1990</v>
      </c>
      <c r="I1854" s="1274"/>
      <c r="J1854" s="1314"/>
      <c r="K1854" s="1314"/>
      <c r="L1854" s="826"/>
      <c r="M1854" s="1329"/>
      <c r="N1854" s="1314"/>
      <c r="O1854" s="1311"/>
      <c r="P1854" s="1311"/>
      <c r="Q1854" s="1311"/>
      <c r="R1854" s="1314" t="s">
        <v>1531</v>
      </c>
      <c r="S1854" s="1311"/>
      <c r="T1854" s="1314" t="str">
        <f>IF(Q$766="Yes",11,"")</f>
        <v/>
      </c>
      <c r="U1854" s="1311"/>
      <c r="V1854" s="1311"/>
      <c r="W1854" s="1311"/>
      <c r="X1854" s="1311"/>
      <c r="Y1854" s="1311"/>
      <c r="Z1854" s="1311"/>
    </row>
    <row r="1855" spans="1:26" x14ac:dyDescent="0.25">
      <c r="A1855" s="846" t="s">
        <v>1493</v>
      </c>
      <c r="B1855" s="826" t="str">
        <f ca="1">_xlfn.CONCAT(IFERROR(SUBSTITUTE(ADDRESS(1,MATCH(A1855,INDIRECT("'"&amp;E1855&amp;"'"&amp;"!A" &amp; $O$781 + 8 &amp; ":Z" &amp; $O$781+ 8),0),4),1,""),""),$O$781 + 8)</f>
        <v>L173</v>
      </c>
      <c r="C1855" s="826" t="str">
        <f ca="1">_xlfn.CONCAT(IFERROR(SUBSTITUTE(ADDRESS(1,MATCH(A1855,INDIRECT("'"&amp;E1855&amp;"'"&amp;"!A" &amp; $O$781 + 8 &amp; ":Z" &amp; $O$781+ 8),0),4),1,""),""),$O$781 + 9)</f>
        <v>L174</v>
      </c>
      <c r="D1855" s="826" t="s">
        <v>1350</v>
      </c>
      <c r="E1855" s="826" t="s">
        <v>1516</v>
      </c>
      <c r="F1855" s="1314" t="s">
        <v>1998</v>
      </c>
      <c r="G1855" s="1314" t="str">
        <f t="shared" si="286"/>
        <v/>
      </c>
      <c r="H1855" s="1314" t="s">
        <v>1990</v>
      </c>
      <c r="I1855" s="1274"/>
      <c r="J1855" s="1314"/>
      <c r="K1855" s="1314"/>
      <c r="L1855" s="826"/>
      <c r="M1855" s="1329"/>
      <c r="N1855" s="1314"/>
      <c r="O1855" s="1311"/>
      <c r="P1855" s="1311"/>
      <c r="Q1855" s="1311"/>
      <c r="R1855" s="1314" t="s">
        <v>1531</v>
      </c>
      <c r="S1855" s="1311"/>
      <c r="T1855" s="1314" t="str">
        <f>IF(Q$781="Yes",12,"")</f>
        <v/>
      </c>
      <c r="U1855" s="1311"/>
      <c r="V1855" s="1311"/>
      <c r="W1855" s="1311"/>
      <c r="X1855" s="1311"/>
      <c r="Y1855" s="1311"/>
      <c r="Z1855" s="1311"/>
    </row>
    <row r="1856" spans="1:26" x14ac:dyDescent="0.25">
      <c r="A1856" s="846" t="s">
        <v>1493</v>
      </c>
      <c r="B1856" s="826" t="str">
        <f ca="1">_xlfn.CONCAT(IFERROR(SUBSTITUTE(ADDRESS(1,MATCH(A1856,INDIRECT("'"&amp;E1856&amp;"'"&amp;"!A" &amp; $O$796 + 8 &amp; ":Z" &amp; $O$796+ 8),0),4),1,""),""),$O$796 + 8)</f>
        <v>L187</v>
      </c>
      <c r="C1856" s="826" t="str">
        <f ca="1">_xlfn.CONCAT(IFERROR(SUBSTITUTE(ADDRESS(1,MATCH(A1856,INDIRECT("'"&amp;E1856&amp;"'"&amp;"!A" &amp; $O$796 + 8 &amp; ":Z" &amp; $O$796+ 8),0),4),1,""),""),$O$796 + 9)</f>
        <v>L188</v>
      </c>
      <c r="D1856" s="826" t="s">
        <v>1350</v>
      </c>
      <c r="E1856" s="826" t="s">
        <v>1516</v>
      </c>
      <c r="F1856" s="1314" t="s">
        <v>1998</v>
      </c>
      <c r="G1856" s="1314" t="str">
        <f t="shared" si="286"/>
        <v/>
      </c>
      <c r="H1856" s="1314" t="s">
        <v>1990</v>
      </c>
      <c r="I1856" s="1274"/>
      <c r="J1856" s="1314"/>
      <c r="K1856" s="1314"/>
      <c r="L1856" s="826"/>
      <c r="M1856" s="1329"/>
      <c r="N1856" s="1314"/>
      <c r="O1856" s="1311"/>
      <c r="P1856" s="1311"/>
      <c r="Q1856" s="1311"/>
      <c r="R1856" s="1314" t="s">
        <v>1531</v>
      </c>
      <c r="S1856" s="1311"/>
      <c r="T1856" s="1314" t="str">
        <f>IF(Q$796="Yes",13,"")</f>
        <v/>
      </c>
      <c r="U1856" s="1311"/>
      <c r="V1856" s="1311"/>
      <c r="W1856" s="1311"/>
      <c r="X1856" s="1311"/>
      <c r="Y1856" s="1311"/>
      <c r="Z1856" s="1311"/>
    </row>
    <row r="1857" spans="1:26" x14ac:dyDescent="0.25">
      <c r="A1857" s="846" t="s">
        <v>1493</v>
      </c>
      <c r="B1857" s="826" t="str">
        <f ca="1">_xlfn.CONCAT(IFERROR(SUBSTITUTE(ADDRESS(1,MATCH(A1857,INDIRECT("'"&amp;E1857&amp;"'"&amp;"!A" &amp; $O$814 + 8 &amp; ":Z" &amp; $O$814+ 8),0),4),1,""),""),$O$814 + 8)</f>
        <v>L201</v>
      </c>
      <c r="C1857" s="826" t="str">
        <f ca="1">_xlfn.CONCAT(IFERROR(SUBSTITUTE(ADDRESS(1,MATCH(A1857,INDIRECT("'"&amp;E1857&amp;"'"&amp;"!A" &amp; $O$814 + 8 &amp; ":Z" &amp; $O$814+ 8),0),4),1,""),""),$O$814 + 9)</f>
        <v>L202</v>
      </c>
      <c r="D1857" s="826" t="s">
        <v>1350</v>
      </c>
      <c r="E1857" s="826" t="s">
        <v>1516</v>
      </c>
      <c r="F1857" s="1314" t="s">
        <v>1998</v>
      </c>
      <c r="G1857" s="1314" t="str">
        <f t="shared" si="286"/>
        <v/>
      </c>
      <c r="H1857" s="1314" t="s">
        <v>1990</v>
      </c>
      <c r="I1857" s="1274"/>
      <c r="J1857" s="1314"/>
      <c r="K1857" s="1314"/>
      <c r="L1857" s="826"/>
      <c r="M1857" s="1329"/>
      <c r="N1857" s="1314"/>
      <c r="O1857" s="1311"/>
      <c r="P1857" s="1311"/>
      <c r="Q1857" s="1311"/>
      <c r="R1857" s="1314" t="s">
        <v>1531</v>
      </c>
      <c r="S1857" s="1311"/>
      <c r="T1857" s="1314" t="str">
        <f>IF(Q$814="Yes",14,"")</f>
        <v/>
      </c>
      <c r="U1857" s="1311"/>
      <c r="V1857" s="1311"/>
      <c r="W1857" s="1311"/>
      <c r="X1857" s="1311"/>
      <c r="Y1857" s="1311"/>
      <c r="Z1857" s="1311"/>
    </row>
    <row r="1858" spans="1:26" x14ac:dyDescent="0.25">
      <c r="A1858" s="846" t="s">
        <v>1493</v>
      </c>
      <c r="B1858" s="826" t="str">
        <f ca="1">_xlfn.CONCAT(IFERROR(SUBSTITUTE(ADDRESS(1,MATCH(A1858,INDIRECT("'"&amp;E1858&amp;"'"&amp;"!A" &amp; $O$832 + 12 &amp; ":Z" &amp; $O$832+ 12),0),4),1,""),""),$O$832 + 12)</f>
        <v>L219</v>
      </c>
      <c r="C1858" s="826" t="str">
        <f ca="1">_xlfn.CONCAT(IFERROR(SUBSTITUTE(ADDRESS(1,MATCH(A1858,INDIRECT("'"&amp;E1858&amp;"'"&amp;"!A" &amp; $O$832 + 12 &amp; ":Z" &amp; $O$832+ 12),0),4),1,""),""),$O$832 + 13)</f>
        <v>L220</v>
      </c>
      <c r="D1858" s="826" t="s">
        <v>1350</v>
      </c>
      <c r="E1858" s="826" t="s">
        <v>1516</v>
      </c>
      <c r="F1858" s="1314" t="s">
        <v>1998</v>
      </c>
      <c r="G1858" s="1314" t="str">
        <f t="shared" si="286"/>
        <v/>
      </c>
      <c r="H1858" s="1314" t="s">
        <v>1990</v>
      </c>
      <c r="I1858" s="1274"/>
      <c r="J1858" s="1314"/>
      <c r="K1858" s="1314"/>
      <c r="L1858" s="826"/>
      <c r="M1858" s="1329"/>
      <c r="N1858" s="1314"/>
      <c r="O1858" s="1311"/>
      <c r="P1858" s="1311"/>
      <c r="Q1858" s="1311"/>
      <c r="R1858" s="1314" t="s">
        <v>1531</v>
      </c>
      <c r="S1858" s="1311"/>
      <c r="T1858" s="1314" t="str">
        <f>IF(Q$832="Yes",15,"")</f>
        <v/>
      </c>
      <c r="U1858" s="1311"/>
      <c r="V1858" s="1311"/>
      <c r="W1858" s="1311"/>
      <c r="X1858" s="1311"/>
      <c r="Y1858" s="1311"/>
      <c r="Z1858" s="1311"/>
    </row>
    <row r="1859" spans="1:26" x14ac:dyDescent="0.25">
      <c r="A1859" s="846" t="s">
        <v>1493</v>
      </c>
      <c r="B1859" s="826" t="str">
        <f ca="1">_xlfn.CONCAT(IFERROR(SUBSTITUTE(ADDRESS(1,MATCH(A1859,INDIRECT("'"&amp;E1859&amp;"'"&amp;"!A" &amp; $O$862 + 12 &amp; ":Z" &amp; $O$862+ 12),0),4),1,""),""),$O$862 + 12)</f>
        <v>L235</v>
      </c>
      <c r="C1859" s="826" t="str">
        <f ca="1">_xlfn.CONCAT(IFERROR(SUBSTITUTE(ADDRESS(1,MATCH(A1859,INDIRECT("'"&amp;E1859&amp;"'"&amp;"!A" &amp; $O$862 + 12 &amp; ":Z" &amp; $O$862+ 12),0),4),1,""),""),$O$862 + 13)</f>
        <v>L236</v>
      </c>
      <c r="D1859" s="826" t="s">
        <v>1350</v>
      </c>
      <c r="E1859" s="826" t="s">
        <v>1516</v>
      </c>
      <c r="F1859" s="1314" t="s">
        <v>1998</v>
      </c>
      <c r="G1859" s="1314" t="str">
        <f t="shared" si="286"/>
        <v/>
      </c>
      <c r="H1859" s="1314" t="s">
        <v>1990</v>
      </c>
      <c r="I1859" s="1274"/>
      <c r="J1859" s="1314"/>
      <c r="K1859" s="1314"/>
      <c r="L1859" s="826"/>
      <c r="M1859" s="1329"/>
      <c r="N1859" s="1314"/>
      <c r="O1859" s="1311"/>
      <c r="P1859" s="1311"/>
      <c r="Q1859" s="1311"/>
      <c r="R1859" s="1314" t="s">
        <v>1531</v>
      </c>
      <c r="S1859" s="1311"/>
      <c r="T1859" s="1314" t="str">
        <f>IF(Q$862="Yes",16,"")</f>
        <v/>
      </c>
      <c r="U1859" s="1311"/>
      <c r="V1859" s="1311"/>
      <c r="W1859" s="1311"/>
      <c r="X1859" s="1311"/>
      <c r="Y1859" s="1311"/>
      <c r="Z1859" s="1311"/>
    </row>
    <row r="1860" spans="1:26" x14ac:dyDescent="0.25">
      <c r="A1860" s="846" t="s">
        <v>1493</v>
      </c>
      <c r="B1860" s="826" t="str">
        <f ca="1">_xlfn.CONCAT(IFERROR(SUBSTITUTE(ADDRESS(1,MATCH(A1860,INDIRECT("'"&amp;E1860&amp;"'"&amp;"!A" &amp; $O$892 + 8 &amp; ":Z" &amp; $O$892+ 8),0),4),1,""),""),$O$892 + 8)</f>
        <v>L247</v>
      </c>
      <c r="C1860" s="826" t="str">
        <f ca="1">_xlfn.CONCAT(IFERROR(SUBSTITUTE(ADDRESS(1,MATCH(A1860,INDIRECT("'"&amp;E1860&amp;"'"&amp;"!A" &amp; $O$892 + 8 &amp; ":Z" &amp; $O$892+ 8),0),4),1,""),""),$O$892 + 9)</f>
        <v>L248</v>
      </c>
      <c r="D1860" s="826" t="s">
        <v>1350</v>
      </c>
      <c r="E1860" s="826" t="s">
        <v>1516</v>
      </c>
      <c r="F1860" s="1314" t="s">
        <v>1998</v>
      </c>
      <c r="G1860" s="1314" t="str">
        <f t="shared" si="286"/>
        <v/>
      </c>
      <c r="H1860" s="1314" t="s">
        <v>1990</v>
      </c>
      <c r="I1860" s="1274"/>
      <c r="J1860" s="1314"/>
      <c r="K1860" s="1314"/>
      <c r="L1860" s="826"/>
      <c r="M1860" s="1329"/>
      <c r="N1860" s="1314"/>
      <c r="O1860" s="1311"/>
      <c r="P1860" s="1311"/>
      <c r="Q1860" s="1311"/>
      <c r="R1860" s="1314" t="s">
        <v>395</v>
      </c>
      <c r="S1860" s="1311"/>
      <c r="T1860" s="1314" t="str">
        <f t="shared" ref="T1860" si="288">IF(Q$892="Yes",17,"")</f>
        <v/>
      </c>
      <c r="U1860" s="1311"/>
      <c r="V1860" s="1311"/>
      <c r="W1860" s="1311"/>
      <c r="X1860" s="1311"/>
      <c r="Y1860" s="1311"/>
      <c r="Z1860" s="1311"/>
    </row>
    <row r="1861" spans="1:26" x14ac:dyDescent="0.25">
      <c r="A1861" s="846" t="s">
        <v>1493</v>
      </c>
      <c r="B1861" s="826" t="str">
        <f ca="1">_xlfn.CONCAT(IFERROR(SUBSTITUTE(ADDRESS(1,MATCH(A1861,INDIRECT("'"&amp;E1861&amp;"'"&amp;"!A" &amp; $O$911 + 8 &amp; ":Z" &amp; $O$911 + 8),0),4),1,""),""),$O$911 + 8)</f>
        <v>L261</v>
      </c>
      <c r="C1861" s="826" t="str">
        <f ca="1">_xlfn.CONCAT(IFERROR(SUBSTITUTE(ADDRESS(1,MATCH(A1861,INDIRECT("'"&amp;E1861&amp;"'"&amp;"!A" &amp; $O$911 + 8 &amp; ":Z" &amp; $O$911 + 8),0),4),1,""),""),$O$911 + 9)</f>
        <v>L262</v>
      </c>
      <c r="D1861" s="826" t="s">
        <v>1350</v>
      </c>
      <c r="E1861" s="826" t="s">
        <v>1516</v>
      </c>
      <c r="F1861" s="1314" t="s">
        <v>1998</v>
      </c>
      <c r="G1861" s="1314" t="str">
        <f t="shared" si="286"/>
        <v/>
      </c>
      <c r="H1861" s="1314" t="s">
        <v>1990</v>
      </c>
      <c r="I1861" s="1274"/>
      <c r="J1861" s="1314"/>
      <c r="K1861" s="1314"/>
      <c r="L1861" s="826"/>
      <c r="M1861" s="1329"/>
      <c r="N1861" s="1314"/>
      <c r="O1861" s="1311"/>
      <c r="P1861" s="1311"/>
      <c r="Q1861" s="1311"/>
      <c r="R1861" s="1314" t="s">
        <v>395</v>
      </c>
      <c r="S1861" s="1311"/>
      <c r="T1861" s="1314" t="str">
        <f>IF(Q$911="Yes",18,"")</f>
        <v/>
      </c>
      <c r="U1861" s="1311"/>
      <c r="V1861" s="1311"/>
      <c r="W1861" s="1311"/>
      <c r="X1861" s="1311"/>
      <c r="Y1861" s="1311"/>
      <c r="Z1861" s="1311"/>
    </row>
    <row r="1862" spans="1:26" x14ac:dyDescent="0.25">
      <c r="A1862" s="846" t="s">
        <v>1493</v>
      </c>
      <c r="B1862" s="826" t="str">
        <f ca="1">_xlfn.CONCAT(IFERROR(SUBSTITUTE(ADDRESS(1,MATCH(A1862,INDIRECT("'"&amp;E1862&amp;"'"&amp;"!A" &amp; $O$930 + 8 &amp; ":Z" &amp; $O$930 + 8),0),4),1,""),""),$O$930 + 8)</f>
        <v>L275</v>
      </c>
      <c r="C1862" s="826" t="str">
        <f ca="1">_xlfn.CONCAT(IFERROR(SUBSTITUTE(ADDRESS(1,MATCH(A1862,INDIRECT("'"&amp;E1862&amp;"'"&amp;"!A" &amp; $O$930 + 8 &amp; ":Z" &amp; $O$930 + 8),0),4),1,""),""),$O$930 + 9)</f>
        <v>L276</v>
      </c>
      <c r="D1862" s="826" t="s">
        <v>1350</v>
      </c>
      <c r="E1862" s="826" t="s">
        <v>1516</v>
      </c>
      <c r="F1862" s="1314" t="s">
        <v>1998</v>
      </c>
      <c r="G1862" s="1314" t="str">
        <f t="shared" si="286"/>
        <v/>
      </c>
      <c r="H1862" s="1314" t="s">
        <v>1990</v>
      </c>
      <c r="I1862" s="1274"/>
      <c r="J1862" s="1314"/>
      <c r="K1862" s="1314"/>
      <c r="L1862" s="826"/>
      <c r="M1862" s="1329"/>
      <c r="N1862" s="1314"/>
      <c r="O1862" s="1311"/>
      <c r="P1862" s="1311"/>
      <c r="Q1862" s="1311"/>
      <c r="R1862" s="1314" t="s">
        <v>395</v>
      </c>
      <c r="S1862" s="1311"/>
      <c r="T1862" s="1314" t="str">
        <f>IF(Q$930="Yes",19,"")</f>
        <v/>
      </c>
      <c r="U1862" s="1311"/>
      <c r="V1862" s="1311"/>
      <c r="W1862" s="1311"/>
      <c r="X1862" s="1311"/>
      <c r="Y1862" s="1311"/>
      <c r="Z1862" s="1311"/>
    </row>
    <row r="1863" spans="1:26" x14ac:dyDescent="0.25">
      <c r="A1863" s="846" t="s">
        <v>1493</v>
      </c>
      <c r="B1863" s="826" t="str">
        <f ca="1">_xlfn.CONCAT(IFERROR(SUBSTITUTE(ADDRESS(1,MATCH(A1863,INDIRECT("'"&amp;E1863&amp;"'"&amp;"!A" &amp; $O$949 + 8 &amp; ":Z" &amp; $O$949 + 8),0),4),1,""),""),$O$949 + 8)</f>
        <v>L289</v>
      </c>
      <c r="C1863" s="826" t="str">
        <f ca="1">_xlfn.CONCAT(IFERROR(SUBSTITUTE(ADDRESS(1,MATCH(A1863,INDIRECT("'"&amp;E1863&amp;"'"&amp;"!A" &amp; $O$949 + 8 &amp; ":Z" &amp; $O$949 + 8),0),4),1,""),""),$O$949 + 9)</f>
        <v>L290</v>
      </c>
      <c r="D1863" s="826" t="s">
        <v>1350</v>
      </c>
      <c r="E1863" s="826" t="s">
        <v>1516</v>
      </c>
      <c r="F1863" s="1314" t="s">
        <v>1998</v>
      </c>
      <c r="G1863" s="1314" t="str">
        <f t="shared" si="286"/>
        <v/>
      </c>
      <c r="H1863" s="1314" t="s">
        <v>1990</v>
      </c>
      <c r="I1863" s="1274"/>
      <c r="J1863" s="1314"/>
      <c r="K1863" s="1314"/>
      <c r="L1863" s="826"/>
      <c r="M1863" s="1329"/>
      <c r="N1863" s="1314"/>
      <c r="O1863" s="1311"/>
      <c r="P1863" s="1311"/>
      <c r="Q1863" s="1311"/>
      <c r="R1863" s="1314" t="s">
        <v>395</v>
      </c>
      <c r="S1863" s="1311"/>
      <c r="T1863" s="1314" t="str">
        <f>IF(Q$949="Yes",20,"")</f>
        <v/>
      </c>
      <c r="U1863" s="1311"/>
      <c r="V1863" s="1311"/>
      <c r="W1863" s="1311"/>
      <c r="X1863" s="1311"/>
      <c r="Y1863" s="1311"/>
      <c r="Z1863" s="1311"/>
    </row>
    <row r="1864" spans="1:26" x14ac:dyDescent="0.25">
      <c r="A1864" s="846" t="s">
        <v>1493</v>
      </c>
      <c r="B1864" s="826" t="str">
        <f ca="1">_xlfn.CONCAT(IFERROR(SUBSTITUTE(ADDRESS(1,MATCH(A1864,INDIRECT("'"&amp;E1864&amp;"'"&amp;"!A" &amp; $O$968 + 8 &amp; ":Z" &amp; $O$968 + 8),0),4),1,""),""),$O$968 + 8)</f>
        <v>L303</v>
      </c>
      <c r="C1864" s="826" t="str">
        <f ca="1">_xlfn.CONCAT(IFERROR(SUBSTITUTE(ADDRESS(1,MATCH(A1864,INDIRECT("'"&amp;E1864&amp;"'"&amp;"!A" &amp; $O$968 + 8 &amp; ":Z" &amp; $O$968 + 8),0),4),1,""),""),$O$968 + 9)</f>
        <v>L304</v>
      </c>
      <c r="D1864" s="826" t="s">
        <v>1350</v>
      </c>
      <c r="E1864" s="826" t="s">
        <v>1516</v>
      </c>
      <c r="F1864" s="1314" t="s">
        <v>1998</v>
      </c>
      <c r="G1864" s="1314" t="str">
        <f t="shared" si="286"/>
        <v/>
      </c>
      <c r="H1864" s="1314" t="s">
        <v>1990</v>
      </c>
      <c r="I1864" s="1274"/>
      <c r="J1864" s="1314"/>
      <c r="K1864" s="1314"/>
      <c r="L1864" s="826"/>
      <c r="M1864" s="1329"/>
      <c r="N1864" s="1314"/>
      <c r="O1864" s="1311"/>
      <c r="P1864" s="1311"/>
      <c r="Q1864" s="1311"/>
      <c r="R1864" s="1314" t="s">
        <v>395</v>
      </c>
      <c r="S1864" s="1311"/>
      <c r="T1864" s="1314" t="str">
        <f>IF(Q$968="Yes",21,"")</f>
        <v/>
      </c>
      <c r="U1864" s="1311"/>
      <c r="V1864" s="1311"/>
      <c r="W1864" s="1311"/>
      <c r="X1864" s="1311"/>
      <c r="Y1864" s="1311"/>
      <c r="Z1864" s="1311"/>
    </row>
    <row r="1865" spans="1:26" x14ac:dyDescent="0.25">
      <c r="A1865" s="846" t="s">
        <v>1493</v>
      </c>
      <c r="B1865" s="826" t="str">
        <f ca="1">_xlfn.CONCAT(IFERROR(SUBSTITUTE(ADDRESS(1,MATCH(A1865,INDIRECT("'"&amp;E1865&amp;"'"&amp;"!A" &amp; $O$987 + 8 &amp; ":Z" &amp; $O$987 + 8),0),4),1,""),""),$O$987 + 8)</f>
        <v>L317</v>
      </c>
      <c r="C1865" s="826" t="str">
        <f ca="1">_xlfn.CONCAT(IFERROR(SUBSTITUTE(ADDRESS(1,MATCH(A1865,INDIRECT("'"&amp;E1865&amp;"'"&amp;"!A" &amp; $O$987 + 8 &amp; ":Z" &amp; $O$987 + 8),0),4),1,""),""),$O$987 + 9)</f>
        <v>L318</v>
      </c>
      <c r="D1865" s="826" t="s">
        <v>1350</v>
      </c>
      <c r="E1865" s="826" t="s">
        <v>1516</v>
      </c>
      <c r="F1865" s="1314" t="s">
        <v>1998</v>
      </c>
      <c r="G1865" s="1314" t="str">
        <f t="shared" si="286"/>
        <v/>
      </c>
      <c r="H1865" s="1314" t="s">
        <v>1990</v>
      </c>
      <c r="I1865" s="1274"/>
      <c r="J1865" s="1314"/>
      <c r="K1865" s="1314"/>
      <c r="L1865" s="826"/>
      <c r="M1865" s="1329"/>
      <c r="N1865" s="1314"/>
      <c r="O1865" s="1311"/>
      <c r="P1865" s="1311"/>
      <c r="Q1865" s="1311"/>
      <c r="R1865" s="1314" t="s">
        <v>1696</v>
      </c>
      <c r="S1865" s="1311"/>
      <c r="T1865" s="1314" t="str">
        <f>IF(Q$987="Yes",22,"")</f>
        <v/>
      </c>
      <c r="U1865" s="1311"/>
      <c r="V1865" s="1311"/>
      <c r="W1865" s="1311"/>
      <c r="X1865" s="1311"/>
      <c r="Y1865" s="1311"/>
      <c r="Z1865" s="1311"/>
    </row>
    <row r="1866" spans="1:26" x14ac:dyDescent="0.25">
      <c r="A1866" s="846" t="s">
        <v>1493</v>
      </c>
      <c r="B1866" s="826" t="str">
        <f ca="1">_xlfn.CONCAT(IFERROR(SUBSTITUTE(ADDRESS(1,MATCH(A1866,INDIRECT("'"&amp;E1866&amp;"'"&amp;"!A" &amp; $O$1038 + 8 &amp; ":Z" &amp; $O$1038 + 8),0),4),1,""),""),$O$1038+ 8)</f>
        <v>L373</v>
      </c>
      <c r="C1866" s="826" t="str">
        <f ca="1">_xlfn.CONCAT(IFERROR(SUBSTITUTE(ADDRESS(1,MATCH(A1866,INDIRECT("'"&amp;E1866&amp;"'"&amp;"!A" &amp; $O$1038 + 8 &amp; ":Z" &amp; $O$1038 + 8),0),4),1,""),""),$O$1038+ 9)</f>
        <v>L374</v>
      </c>
      <c r="D1866" s="826" t="s">
        <v>1350</v>
      </c>
      <c r="E1866" s="826" t="s">
        <v>1516</v>
      </c>
      <c r="F1866" s="1314" t="s">
        <v>1998</v>
      </c>
      <c r="G1866" s="1314" t="str">
        <f t="shared" si="286"/>
        <v/>
      </c>
      <c r="H1866" s="1314" t="s">
        <v>1990</v>
      </c>
      <c r="I1866" s="1274"/>
      <c r="J1866" s="1314"/>
      <c r="K1866" s="1314"/>
      <c r="L1866" s="826"/>
      <c r="M1866" s="1329"/>
      <c r="N1866" s="1314"/>
      <c r="O1866" s="1311"/>
      <c r="P1866" s="1311"/>
      <c r="Q1866" s="1311"/>
      <c r="R1866" s="1314" t="s">
        <v>1136</v>
      </c>
      <c r="S1866" s="1311"/>
      <c r="T1866" s="1314" t="str">
        <f t="shared" ref="T1866" si="289">IF(Q$1038="Yes",26,"")</f>
        <v/>
      </c>
      <c r="U1866" s="1311"/>
      <c r="V1866" s="1311"/>
      <c r="W1866" s="1311"/>
      <c r="X1866" s="1311"/>
      <c r="Y1866" s="1311"/>
      <c r="Z1866" s="1311"/>
    </row>
    <row r="1867" spans="1:26" x14ac:dyDescent="0.25">
      <c r="A1867" s="846" t="s">
        <v>1508</v>
      </c>
      <c r="B1867" s="826" t="str">
        <f ca="1">_xlfn.CONCAT(IFERROR(SUBSTITUTE(ADDRESS(1,MATCH(A1867,INDIRECT("'"&amp;E1867&amp;"'"&amp;"!A" &amp; $O$796 + 8 &amp; ":Z" &amp; $O$796+ 8),0),4),1,""),""),$O$796 + 8)</f>
        <v>P187</v>
      </c>
      <c r="C1867" s="826" t="str">
        <f ca="1">_xlfn.CONCAT(IFERROR(SUBSTITUTE(ADDRESS(1,MATCH(A1867,INDIRECT("'"&amp;E1867&amp;"'"&amp;"!A" &amp; $O$796 + 8 &amp; ":Z" &amp; $O$796+ 8),0),4),1,""),""),$O$796 + 9)</f>
        <v>P188</v>
      </c>
      <c r="D1867" s="826" t="s">
        <v>1350</v>
      </c>
      <c r="E1867" s="826" t="s">
        <v>1516</v>
      </c>
      <c r="F1867" s="1314" t="s">
        <v>1508</v>
      </c>
      <c r="G1867" s="1314" t="str">
        <f>IF(T1867&lt;&gt;"","P","")</f>
        <v/>
      </c>
      <c r="H1867" s="1314" t="s">
        <v>1990</v>
      </c>
      <c r="I1867" s="1274"/>
      <c r="J1867" s="1314"/>
      <c r="K1867" s="1314"/>
      <c r="L1867" s="826"/>
      <c r="M1867" s="1329"/>
      <c r="N1867" s="1314"/>
      <c r="O1867" s="1311"/>
      <c r="P1867" s="1311"/>
      <c r="Q1867" s="1311"/>
      <c r="R1867" s="1314" t="s">
        <v>1531</v>
      </c>
      <c r="S1867" s="1311"/>
      <c r="T1867" s="1314" t="str">
        <f>IF(Q$796="Yes",13,"")</f>
        <v/>
      </c>
      <c r="U1867" s="1311"/>
      <c r="V1867" s="1311"/>
      <c r="W1867" s="1311"/>
      <c r="X1867" s="1311"/>
      <c r="Y1867" s="1311"/>
      <c r="Z1867" s="1311"/>
    </row>
    <row r="1868" spans="1:26" x14ac:dyDescent="0.25">
      <c r="A1868" s="846" t="s">
        <v>1508</v>
      </c>
      <c r="B1868" s="826" t="str">
        <f ca="1">_xlfn.CONCAT(IFERROR(SUBSTITUTE(ADDRESS(1,MATCH(A1868,INDIRECT("'"&amp;E1868&amp;"'"&amp;"!A" &amp; $O$814 + 8 &amp; ":Z" &amp; $O$814+ 8),0),4),1,""),""),$O$814 + 8)</f>
        <v>P201</v>
      </c>
      <c r="C1868" s="826" t="str">
        <f ca="1">_xlfn.CONCAT(IFERROR(SUBSTITUTE(ADDRESS(1,MATCH(A1868,INDIRECT("'"&amp;E1868&amp;"'"&amp;"!A" &amp; $O$814 + 8 &amp; ":Z" &amp; $O$814+ 8),0),4),1,""),""),$O$814 + 9)</f>
        <v>P202</v>
      </c>
      <c r="D1868" s="826" t="s">
        <v>1350</v>
      </c>
      <c r="E1868" s="826" t="s">
        <v>1516</v>
      </c>
      <c r="F1868" s="1314" t="s">
        <v>1508</v>
      </c>
      <c r="G1868" s="1314" t="str">
        <f t="shared" ref="G1868:G1871" si="290">IF(T1868&lt;&gt;"","P","")</f>
        <v/>
      </c>
      <c r="H1868" s="1314" t="s">
        <v>1990</v>
      </c>
      <c r="I1868" s="1274"/>
      <c r="J1868" s="1314"/>
      <c r="K1868" s="1314"/>
      <c r="L1868" s="826"/>
      <c r="M1868" s="1329"/>
      <c r="N1868" s="1314"/>
      <c r="O1868" s="1311"/>
      <c r="P1868" s="1311"/>
      <c r="Q1868" s="1311"/>
      <c r="R1868" s="1314" t="s">
        <v>1531</v>
      </c>
      <c r="S1868" s="1311"/>
      <c r="T1868" s="1314" t="str">
        <f>IF(Q$814="Yes",14,"")</f>
        <v/>
      </c>
      <c r="U1868" s="1311"/>
      <c r="V1868" s="1311"/>
      <c r="W1868" s="1311"/>
      <c r="X1868" s="1311"/>
      <c r="Y1868" s="1311"/>
      <c r="Z1868" s="1311"/>
    </row>
    <row r="1869" spans="1:26" x14ac:dyDescent="0.25">
      <c r="A1869" s="846" t="s">
        <v>1508</v>
      </c>
      <c r="B1869" s="826" t="str">
        <f ca="1">_xlfn.CONCAT(IFERROR(SUBSTITUTE(ADDRESS(1,MATCH(A1869,INDIRECT("'"&amp;E1869&amp;"'"&amp;"!A" &amp; $O$832 + 12 &amp; ":Z" &amp; $O$832+ 12),0),4),1,""),""),$O$832 + 12)</f>
        <v>P219</v>
      </c>
      <c r="C1869" s="826" t="str">
        <f ca="1">_xlfn.CONCAT(IFERROR(SUBSTITUTE(ADDRESS(1,MATCH(A1869,INDIRECT("'"&amp;E1869&amp;"'"&amp;"!A" &amp; $O$832 + 12 &amp; ":Z" &amp; $O$832+ 12),0),4),1,""),""),$O$832 + 13)</f>
        <v>P220</v>
      </c>
      <c r="D1869" s="826" t="s">
        <v>1350</v>
      </c>
      <c r="E1869" s="826" t="s">
        <v>1516</v>
      </c>
      <c r="F1869" s="1314" t="s">
        <v>1508</v>
      </c>
      <c r="G1869" s="1314" t="str">
        <f t="shared" si="290"/>
        <v/>
      </c>
      <c r="H1869" s="1314" t="s">
        <v>1990</v>
      </c>
      <c r="I1869" s="1274"/>
      <c r="J1869" s="1314"/>
      <c r="K1869" s="1314"/>
      <c r="L1869" s="826"/>
      <c r="M1869" s="1329"/>
      <c r="N1869" s="1314"/>
      <c r="O1869" s="1311"/>
      <c r="P1869" s="1311"/>
      <c r="Q1869" s="1311"/>
      <c r="R1869" s="1314" t="s">
        <v>1531</v>
      </c>
      <c r="S1869" s="1311"/>
      <c r="T1869" s="1314" t="str">
        <f>IF(Q$832="Yes",15,"")</f>
        <v/>
      </c>
      <c r="U1869" s="1311"/>
      <c r="V1869" s="1311"/>
      <c r="W1869" s="1311"/>
      <c r="X1869" s="1311"/>
      <c r="Y1869" s="1311"/>
      <c r="Z1869" s="1311"/>
    </row>
    <row r="1870" spans="1:26" x14ac:dyDescent="0.25">
      <c r="A1870" s="846" t="s">
        <v>1508</v>
      </c>
      <c r="B1870" s="826" t="str">
        <f ca="1">_xlfn.CONCAT(IFERROR(SUBSTITUTE(ADDRESS(1,MATCH(A1870,INDIRECT("'"&amp;E1870&amp;"'"&amp;"!A" &amp; $O$862 + 12 &amp; ":Z" &amp; $O$862+ 12),0),4),1,""),""),$O$862 + 12)</f>
        <v>P235</v>
      </c>
      <c r="C1870" s="826" t="str">
        <f ca="1">_xlfn.CONCAT(IFERROR(SUBSTITUTE(ADDRESS(1,MATCH(A1870,INDIRECT("'"&amp;E1870&amp;"'"&amp;"!A" &amp; $O$862 + 12 &amp; ":Z" &amp; $O$862+ 12),0),4),1,""),""),$O$862 + 13)</f>
        <v>P236</v>
      </c>
      <c r="D1870" s="826" t="s">
        <v>1350</v>
      </c>
      <c r="E1870" s="826" t="s">
        <v>1516</v>
      </c>
      <c r="F1870" s="1314" t="s">
        <v>1508</v>
      </c>
      <c r="G1870" s="1314" t="str">
        <f t="shared" si="290"/>
        <v/>
      </c>
      <c r="H1870" s="1314" t="s">
        <v>1990</v>
      </c>
      <c r="I1870" s="1274"/>
      <c r="J1870" s="1314"/>
      <c r="K1870" s="1314"/>
      <c r="L1870" s="826"/>
      <c r="M1870" s="1329"/>
      <c r="N1870" s="1314"/>
      <c r="O1870" s="1311"/>
      <c r="P1870" s="1311"/>
      <c r="Q1870" s="1311"/>
      <c r="R1870" s="1314" t="s">
        <v>1531</v>
      </c>
      <c r="S1870" s="1311"/>
      <c r="T1870" s="1314" t="str">
        <f>IF(Q$862="Yes",16,"")</f>
        <v/>
      </c>
      <c r="U1870" s="1311"/>
      <c r="V1870" s="1311"/>
      <c r="W1870" s="1311"/>
      <c r="X1870" s="1311"/>
      <c r="Y1870" s="1311"/>
      <c r="Z1870" s="1311"/>
    </row>
    <row r="1871" spans="1:26" x14ac:dyDescent="0.25">
      <c r="A1871" s="846" t="s">
        <v>1508</v>
      </c>
      <c r="B1871" s="826" t="str">
        <f ca="1">_xlfn.CONCAT(IFERROR(SUBSTITUTE(ADDRESS(1,MATCH(A1871,INDIRECT("'"&amp;E1871&amp;"'"&amp;"!A" &amp; $O$987 + 8 &amp; ":Z" &amp; $O$987 + 8),0),4),1,""),""),$O$987 + 8)</f>
        <v>P317</v>
      </c>
      <c r="C1871" s="826" t="str">
        <f ca="1">_xlfn.CONCAT(IFERROR(SUBSTITUTE(ADDRESS(1,MATCH(A1871,INDIRECT("'"&amp;E1871&amp;"'"&amp;"!A" &amp; $O$987 + 8 &amp; ":Z" &amp; $O$987 + 8),0),4),1,""),""),$O$987 + 9)</f>
        <v>P318</v>
      </c>
      <c r="D1871" s="826" t="s">
        <v>1350</v>
      </c>
      <c r="E1871" s="826" t="s">
        <v>1516</v>
      </c>
      <c r="F1871" s="1314" t="s">
        <v>1508</v>
      </c>
      <c r="G1871" s="1314" t="str">
        <f t="shared" si="290"/>
        <v/>
      </c>
      <c r="H1871" s="1314" t="s">
        <v>1990</v>
      </c>
      <c r="I1871" s="1274"/>
      <c r="J1871" s="1314"/>
      <c r="K1871" s="1314"/>
      <c r="L1871" s="826"/>
      <c r="M1871" s="1329"/>
      <c r="N1871" s="1314"/>
      <c r="O1871" s="1311"/>
      <c r="P1871" s="1311"/>
      <c r="Q1871" s="1311"/>
      <c r="R1871" s="1314" t="s">
        <v>1696</v>
      </c>
      <c r="S1871" s="1311"/>
      <c r="T1871" s="1314" t="str">
        <f>IF(Q$987="Yes",22,"")</f>
        <v/>
      </c>
      <c r="U1871" s="1311"/>
      <c r="V1871" s="1311"/>
      <c r="W1871" s="1311"/>
      <c r="X1871" s="1311"/>
      <c r="Y1871" s="1311"/>
      <c r="Z1871" s="1311"/>
    </row>
    <row r="1872" spans="1:26" x14ac:dyDescent="0.25">
      <c r="A1872" s="846" t="s">
        <v>1507</v>
      </c>
      <c r="B1872" s="826" t="str">
        <f ca="1">_xlfn.CONCAT(IFERROR(SUBSTITUTE(ADDRESS(1,MATCH(A1872,INDIRECT("'"&amp;E1872&amp;"'"&amp;"!A" &amp; $O$570+8 &amp; ":Z" &amp; $O$570+8),0),4),1,""),""),$O$570+8)</f>
        <v>N39</v>
      </c>
      <c r="C1872" s="826" t="str">
        <f ca="1">_xlfn.CONCAT(IFERROR(SUBSTITUTE(ADDRESS(1,MATCH(A1872,INDIRECT("'"&amp;E1872&amp;"'"&amp;"!A" &amp; $O$570+8 &amp; ":Z" &amp; $O$570+8),0),4),1,""),""),$O$570+9)</f>
        <v>N40</v>
      </c>
      <c r="D1872" s="826" t="s">
        <v>1350</v>
      </c>
      <c r="E1872" s="826" t="s">
        <v>1516</v>
      </c>
      <c r="F1872" s="1314" t="s">
        <v>1507</v>
      </c>
      <c r="G1872" s="1314" t="str">
        <f>IF(T1872&lt;&gt;"","Q","")</f>
        <v/>
      </c>
      <c r="H1872" s="1314" t="s">
        <v>1990</v>
      </c>
      <c r="I1872" s="1274" t="str">
        <f t="shared" ref="I1872:I1880" si="291">IF(J1872&lt;&gt;"",A1872,"")</f>
        <v/>
      </c>
      <c r="J1872" s="1314"/>
      <c r="K1872" s="1314" t="str">
        <f t="shared" ref="K1872:K1880" si="292">IF(J1872&lt;&gt;"",E1872,"")</f>
        <v/>
      </c>
      <c r="L1872" s="826"/>
      <c r="M1872" s="1329"/>
      <c r="N1872" s="1314"/>
      <c r="O1872" s="1311"/>
      <c r="P1872" s="1311"/>
      <c r="Q1872" s="1311"/>
      <c r="R1872" s="1314" t="s">
        <v>851</v>
      </c>
      <c r="S1872" s="1311"/>
      <c r="T1872" s="1314" t="str">
        <f>IF(Q$570="Yes",3,"")</f>
        <v/>
      </c>
      <c r="U1872" s="1311"/>
      <c r="V1872" s="1311"/>
      <c r="W1872" s="1311"/>
      <c r="X1872" s="1311"/>
      <c r="Y1872" s="1311"/>
      <c r="Z1872" s="1311"/>
    </row>
    <row r="1873" spans="1:26" x14ac:dyDescent="0.25">
      <c r="A1873" s="846" t="s">
        <v>1507</v>
      </c>
      <c r="B1873" s="826" t="str">
        <f ca="1">_xlfn.CONCAT(IFERROR(SUBSTITUTE(ADDRESS(1,MATCH(A1873,INDIRECT("'"&amp;E1873&amp;"'"&amp;"!A" &amp; $O$589+8 &amp; ":Z" &amp; $O$589+8),0),4),1,""),""),$O$589+8)</f>
        <v>N53</v>
      </c>
      <c r="C1873" s="826" t="str">
        <f ca="1">_xlfn.CONCAT(IFERROR(SUBSTITUTE(ADDRESS(1,MATCH(A1873,INDIRECT("'"&amp;E1873&amp;"'"&amp;"!A" &amp; $O$589+8 &amp; ":Z" &amp; $O$589+8),0),4),1,""),""),$O$589+9)</f>
        <v>N54</v>
      </c>
      <c r="D1873" s="826" t="s">
        <v>1350</v>
      </c>
      <c r="E1873" s="826" t="s">
        <v>1516</v>
      </c>
      <c r="F1873" s="1314" t="s">
        <v>1507</v>
      </c>
      <c r="G1873" s="1314" t="str">
        <f t="shared" ref="G1873:G1885" si="293">IF(T1873&lt;&gt;"","Q","")</f>
        <v/>
      </c>
      <c r="H1873" s="1314" t="s">
        <v>1990</v>
      </c>
      <c r="I1873" s="1274" t="str">
        <f t="shared" si="291"/>
        <v/>
      </c>
      <c r="J1873" s="1314"/>
      <c r="K1873" s="1314" t="str">
        <f t="shared" si="292"/>
        <v/>
      </c>
      <c r="L1873" s="826"/>
      <c r="M1873" s="1329"/>
      <c r="N1873" s="1314"/>
      <c r="O1873" s="1311"/>
      <c r="P1873" s="1311"/>
      <c r="Q1873" s="1311"/>
      <c r="R1873" s="1314" t="s">
        <v>851</v>
      </c>
      <c r="S1873" s="1311"/>
      <c r="T1873" s="1314" t="str">
        <f>IF(Q$589="Yes",4,"")</f>
        <v/>
      </c>
      <c r="U1873" s="1311"/>
      <c r="V1873" s="1311"/>
      <c r="W1873" s="1311"/>
      <c r="X1873" s="1311"/>
      <c r="Y1873" s="1311"/>
      <c r="Z1873" s="1311"/>
    </row>
    <row r="1874" spans="1:26" x14ac:dyDescent="0.25">
      <c r="A1874" s="846" t="s">
        <v>1507</v>
      </c>
      <c r="B1874" s="826" t="str">
        <f ca="1">_xlfn.CONCAT(IFERROR(SUBSTITUTE(ADDRESS(1,MATCH(A1874,INDIRECT("'"&amp;E1874&amp;"'"&amp;"!A" &amp; $O$608 + 12 &amp; ":Z" &amp; $O$608+12),0),4),1,""),""),$O$608+12)</f>
        <v>N71</v>
      </c>
      <c r="C1874" s="826" t="str">
        <f ca="1">_xlfn.CONCAT(IFERROR(SUBSTITUTE(ADDRESS(1,MATCH(A1874,INDIRECT("'"&amp;E1874&amp;"'"&amp;"!A" &amp; $O$608 + 12 &amp; ":Z" &amp; $O$608+12),0),4),1,""),""),$O$608+13)</f>
        <v>N72</v>
      </c>
      <c r="D1874" s="826" t="s">
        <v>1350</v>
      </c>
      <c r="E1874" s="826" t="s">
        <v>1516</v>
      </c>
      <c r="F1874" s="1314" t="s">
        <v>1507</v>
      </c>
      <c r="G1874" s="1314" t="str">
        <f t="shared" si="293"/>
        <v/>
      </c>
      <c r="H1874" s="1314" t="s">
        <v>1990</v>
      </c>
      <c r="I1874" s="1274" t="str">
        <f t="shared" si="291"/>
        <v/>
      </c>
      <c r="J1874" s="1314" t="str">
        <f t="shared" ref="J1874:J1880" si="294">IF(M1874&lt;&gt;"",Q$1&amp;M1874,"")</f>
        <v/>
      </c>
      <c r="K1874" s="1314" t="str">
        <f t="shared" si="292"/>
        <v/>
      </c>
      <c r="L1874" s="826"/>
      <c r="M1874" s="1329"/>
      <c r="N1874" s="1314"/>
      <c r="O1874" s="1311"/>
      <c r="P1874" s="1311"/>
      <c r="Q1874" s="1311"/>
      <c r="R1874" s="577" t="s">
        <v>851</v>
      </c>
      <c r="S1874" s="1311"/>
      <c r="T1874" s="1314" t="str">
        <f>IF(Q$608="Yes",5,"")</f>
        <v/>
      </c>
      <c r="U1874" s="1311"/>
      <c r="V1874" s="1311"/>
      <c r="W1874" s="1311"/>
      <c r="X1874" s="1311"/>
      <c r="Y1874" s="1311"/>
      <c r="Z1874" s="1311"/>
    </row>
    <row r="1875" spans="1:26" x14ac:dyDescent="0.25">
      <c r="A1875" s="846" t="s">
        <v>1507</v>
      </c>
      <c r="B1875" s="826" t="str">
        <f ca="1">_xlfn.CONCAT(IFERROR(SUBSTITUTE(ADDRESS(1,MATCH(A1875,INDIRECT("'"&amp;E1875&amp;"'"&amp;"!A" &amp; $O$639 + 12 &amp; ":Z" &amp; $O$639 + 12),0),4),1,""),""),$O$639 + 12)</f>
        <v>N87</v>
      </c>
      <c r="C1875" s="826" t="str">
        <f ca="1">_xlfn.CONCAT(IFERROR(SUBSTITUTE(ADDRESS(1,MATCH(A1875,INDIRECT("'"&amp;E1875&amp;"'"&amp;"!A" &amp; $O$639 + 12 &amp; ":Z" &amp; $O$639 + 12),0),4),1,""),""),$O$639 + 13)</f>
        <v>N88</v>
      </c>
      <c r="D1875" s="826" t="s">
        <v>1350</v>
      </c>
      <c r="E1875" s="826" t="s">
        <v>1516</v>
      </c>
      <c r="F1875" s="1314" t="s">
        <v>1507</v>
      </c>
      <c r="G1875" s="1314" t="str">
        <f t="shared" si="293"/>
        <v/>
      </c>
      <c r="H1875" s="1314" t="s">
        <v>1990</v>
      </c>
      <c r="I1875" s="1274" t="str">
        <f t="shared" si="291"/>
        <v/>
      </c>
      <c r="J1875" s="1314" t="str">
        <f t="shared" si="294"/>
        <v/>
      </c>
      <c r="K1875" s="1314" t="str">
        <f t="shared" si="292"/>
        <v/>
      </c>
      <c r="L1875" s="826"/>
      <c r="M1875" s="1329"/>
      <c r="N1875" s="1314"/>
      <c r="O1875" s="1311"/>
      <c r="P1875" s="1311"/>
      <c r="Q1875" s="1311"/>
      <c r="R1875" s="577" t="s">
        <v>851</v>
      </c>
      <c r="S1875" s="1311"/>
      <c r="T1875" s="1314" t="str">
        <f>IF(Q$639="Yes",6,"")</f>
        <v/>
      </c>
      <c r="U1875" s="1311"/>
      <c r="V1875" s="1311"/>
      <c r="W1875" s="1311"/>
      <c r="X1875" s="1311"/>
      <c r="Y1875" s="1311"/>
      <c r="Z1875" s="1311"/>
    </row>
    <row r="1876" spans="1:26" x14ac:dyDescent="0.25">
      <c r="A1876" s="846" t="s">
        <v>1507</v>
      </c>
      <c r="B1876" s="826" t="str">
        <f ca="1">_xlfn.CONCAT(IFERROR(SUBSTITUTE(ADDRESS(1,MATCH(A1876,INDIRECT("'"&amp;E1876&amp;"'"&amp;"!A" &amp; $O$892 + 8 &amp; ":Z" &amp; $O$892+ 8),0),4),1,""),""),$O$892 + 8)</f>
        <v>N247</v>
      </c>
      <c r="C1876" s="826" t="str">
        <f ca="1">_xlfn.CONCAT(IFERROR(SUBSTITUTE(ADDRESS(1,MATCH(A1876,INDIRECT("'"&amp;E1876&amp;"'"&amp;"!A" &amp; $O$892 + 8 &amp; ":Z" &amp; $O$892+ 8),0),4),1,""),""),$O$892 + 9)</f>
        <v>N248</v>
      </c>
      <c r="D1876" s="826" t="s">
        <v>1350</v>
      </c>
      <c r="E1876" s="826" t="s">
        <v>1516</v>
      </c>
      <c r="F1876" s="1314" t="s">
        <v>1507</v>
      </c>
      <c r="G1876" s="1314" t="str">
        <f t="shared" si="293"/>
        <v/>
      </c>
      <c r="H1876" s="1314" t="s">
        <v>1990</v>
      </c>
      <c r="I1876" s="1274" t="str">
        <f t="shared" si="291"/>
        <v/>
      </c>
      <c r="J1876" s="1314" t="str">
        <f t="shared" si="294"/>
        <v/>
      </c>
      <c r="K1876" s="1314" t="str">
        <f t="shared" si="292"/>
        <v/>
      </c>
      <c r="L1876" s="826"/>
      <c r="M1876" s="1329"/>
      <c r="N1876" s="1314"/>
      <c r="O1876" s="1311"/>
      <c r="P1876" s="1311"/>
      <c r="Q1876" s="1311"/>
      <c r="R1876" s="1314" t="s">
        <v>395</v>
      </c>
      <c r="S1876" s="1311"/>
      <c r="T1876" s="1314" t="str">
        <f t="shared" ref="T1876" si="295">IF(Q$892="Yes",17,"")</f>
        <v/>
      </c>
      <c r="U1876" s="1311"/>
      <c r="V1876" s="1311"/>
      <c r="W1876" s="1311"/>
      <c r="X1876" s="1311"/>
      <c r="Y1876" s="1311"/>
      <c r="Z1876" s="1311"/>
    </row>
    <row r="1877" spans="1:26" x14ac:dyDescent="0.25">
      <c r="A1877" s="846" t="s">
        <v>1507</v>
      </c>
      <c r="B1877" s="826" t="str">
        <f ca="1">_xlfn.CONCAT(IFERROR(SUBSTITUTE(ADDRESS(1,MATCH(A1877,INDIRECT("'"&amp;E1877&amp;"'"&amp;"!A" &amp; $O$911 + 8 &amp; ":Z" &amp; $O$911 + 8),0),4),1,""),""),$O$911 + 8)</f>
        <v>N261</v>
      </c>
      <c r="C1877" s="826" t="str">
        <f ca="1">_xlfn.CONCAT(IFERROR(SUBSTITUTE(ADDRESS(1,MATCH(A1877,INDIRECT("'"&amp;E1877&amp;"'"&amp;"!A" &amp; $O$911 + 8 &amp; ":Z" &amp; $O$911 + 8),0),4),1,""),""),$O$911 + 9)</f>
        <v>N262</v>
      </c>
      <c r="D1877" s="826" t="s">
        <v>1350</v>
      </c>
      <c r="E1877" s="826" t="s">
        <v>1516</v>
      </c>
      <c r="F1877" s="1314" t="s">
        <v>1507</v>
      </c>
      <c r="G1877" s="1314" t="str">
        <f t="shared" si="293"/>
        <v/>
      </c>
      <c r="H1877" s="1314" t="s">
        <v>1990</v>
      </c>
      <c r="I1877" s="1274" t="str">
        <f t="shared" si="291"/>
        <v/>
      </c>
      <c r="J1877" s="1314" t="str">
        <f t="shared" si="294"/>
        <v/>
      </c>
      <c r="K1877" s="1314" t="str">
        <f t="shared" si="292"/>
        <v/>
      </c>
      <c r="L1877" s="826"/>
      <c r="M1877" s="1329"/>
      <c r="N1877" s="1314"/>
      <c r="O1877" s="1311"/>
      <c r="P1877" s="1311"/>
      <c r="Q1877" s="1311"/>
      <c r="R1877" s="1314" t="s">
        <v>395</v>
      </c>
      <c r="S1877" s="1311"/>
      <c r="T1877" s="1314" t="str">
        <f>IF(Q$911="Yes",18,"")</f>
        <v/>
      </c>
      <c r="U1877" s="1311"/>
      <c r="V1877" s="1311"/>
      <c r="W1877" s="1311"/>
      <c r="X1877" s="1311"/>
      <c r="Y1877" s="1311"/>
      <c r="Z1877" s="1311"/>
    </row>
    <row r="1878" spans="1:26" x14ac:dyDescent="0.25">
      <c r="A1878" s="846" t="s">
        <v>1507</v>
      </c>
      <c r="B1878" s="826" t="str">
        <f ca="1">_xlfn.CONCAT(IFERROR(SUBSTITUTE(ADDRESS(1,MATCH(A1878,INDIRECT("'"&amp;E1878&amp;"'"&amp;"!A" &amp; $O$930 + 8 &amp; ":Z" &amp; $O$930 + 8),0),4),1,""),""),$O$930 + 8)</f>
        <v>N275</v>
      </c>
      <c r="C1878" s="826" t="str">
        <f ca="1">_xlfn.CONCAT(IFERROR(SUBSTITUTE(ADDRESS(1,MATCH(A1878,INDIRECT("'"&amp;E1878&amp;"'"&amp;"!A" &amp; $O$930 + 8 &amp; ":Z" &amp; $O$930 + 8),0),4),1,""),""),$O$930 + 9)</f>
        <v>N276</v>
      </c>
      <c r="D1878" s="826" t="s">
        <v>1350</v>
      </c>
      <c r="E1878" s="826" t="s">
        <v>1516</v>
      </c>
      <c r="F1878" s="1314" t="s">
        <v>1507</v>
      </c>
      <c r="G1878" s="1314" t="str">
        <f t="shared" si="293"/>
        <v/>
      </c>
      <c r="H1878" s="1314" t="s">
        <v>1990</v>
      </c>
      <c r="I1878" s="1274" t="str">
        <f t="shared" si="291"/>
        <v/>
      </c>
      <c r="J1878" s="1314" t="str">
        <f t="shared" si="294"/>
        <v/>
      </c>
      <c r="K1878" s="1314" t="str">
        <f t="shared" si="292"/>
        <v/>
      </c>
      <c r="L1878" s="826"/>
      <c r="M1878" s="1329"/>
      <c r="N1878" s="1314"/>
      <c r="O1878" s="1311"/>
      <c r="P1878" s="1311"/>
      <c r="Q1878" s="1311"/>
      <c r="R1878" s="1314" t="s">
        <v>395</v>
      </c>
      <c r="S1878" s="1311"/>
      <c r="T1878" s="1314" t="str">
        <f>IF(Q$930="Yes",19,"")</f>
        <v/>
      </c>
      <c r="U1878" s="1311"/>
      <c r="V1878" s="1311"/>
      <c r="W1878" s="1311"/>
      <c r="X1878" s="1311"/>
      <c r="Y1878" s="1311"/>
      <c r="Z1878" s="1311"/>
    </row>
    <row r="1879" spans="1:26" x14ac:dyDescent="0.25">
      <c r="A1879" s="846" t="s">
        <v>1507</v>
      </c>
      <c r="B1879" s="826" t="str">
        <f ca="1">_xlfn.CONCAT(IFERROR(SUBSTITUTE(ADDRESS(1,MATCH(A1879,INDIRECT("'"&amp;E1879&amp;"'"&amp;"!A" &amp; $O$949 + 8 &amp; ":Z" &amp; $O$949 + 8),0),4),1,""),""),$O$949 + 8)</f>
        <v>N289</v>
      </c>
      <c r="C1879" s="826" t="str">
        <f ca="1">_xlfn.CONCAT(IFERROR(SUBSTITUTE(ADDRESS(1,MATCH(A1879,INDIRECT("'"&amp;E1879&amp;"'"&amp;"!A" &amp; $O$949 + 8 &amp; ":Z" &amp; $O$949 + 8),0),4),1,""),""),$O$949 + 9)</f>
        <v>N290</v>
      </c>
      <c r="D1879" s="826" t="s">
        <v>1350</v>
      </c>
      <c r="E1879" s="826" t="s">
        <v>1516</v>
      </c>
      <c r="F1879" s="1314" t="s">
        <v>1507</v>
      </c>
      <c r="G1879" s="1314" t="str">
        <f t="shared" si="293"/>
        <v/>
      </c>
      <c r="H1879" s="1314" t="s">
        <v>1990</v>
      </c>
      <c r="I1879" s="1274" t="str">
        <f t="shared" si="291"/>
        <v/>
      </c>
      <c r="J1879" s="1314" t="str">
        <f t="shared" si="294"/>
        <v/>
      </c>
      <c r="K1879" s="1314" t="str">
        <f t="shared" si="292"/>
        <v/>
      </c>
      <c r="L1879" s="826"/>
      <c r="M1879" s="1329"/>
      <c r="N1879" s="1314"/>
      <c r="O1879" s="1311"/>
      <c r="P1879" s="1311"/>
      <c r="Q1879" s="1311"/>
      <c r="R1879" s="1314" t="s">
        <v>395</v>
      </c>
      <c r="S1879" s="1311"/>
      <c r="T1879" s="1314" t="str">
        <f>IF(Q$949="Yes",20,"")</f>
        <v/>
      </c>
      <c r="U1879" s="1311"/>
      <c r="V1879" s="1311"/>
      <c r="W1879" s="1311"/>
      <c r="X1879" s="1311"/>
      <c r="Y1879" s="1311"/>
      <c r="Z1879" s="1311"/>
    </row>
    <row r="1880" spans="1:26" x14ac:dyDescent="0.25">
      <c r="A1880" s="846" t="s">
        <v>1507</v>
      </c>
      <c r="B1880" s="826" t="str">
        <f ca="1">_xlfn.CONCAT(IFERROR(SUBSTITUTE(ADDRESS(1,MATCH(A1880,INDIRECT("'"&amp;E1880&amp;"'"&amp;"!A" &amp; $O$968 + 8 &amp; ":Z" &amp; $O$968 + 8),0),4),1,""),""),$O$968 + 8)</f>
        <v>N303</v>
      </c>
      <c r="C1880" s="826" t="str">
        <f ca="1">_xlfn.CONCAT(IFERROR(SUBSTITUTE(ADDRESS(1,MATCH(A1880,INDIRECT("'"&amp;E1880&amp;"'"&amp;"!A" &amp; $O$968 + 8 &amp; ":Z" &amp; $O$968 + 8),0),4),1,""),""),$O$968 + 9)</f>
        <v>N304</v>
      </c>
      <c r="D1880" s="826" t="s">
        <v>1350</v>
      </c>
      <c r="E1880" s="826" t="s">
        <v>1516</v>
      </c>
      <c r="F1880" s="1314" t="s">
        <v>1507</v>
      </c>
      <c r="G1880" s="1314" t="str">
        <f t="shared" si="293"/>
        <v/>
      </c>
      <c r="H1880" s="1314" t="s">
        <v>1990</v>
      </c>
      <c r="I1880" s="1274" t="str">
        <f t="shared" si="291"/>
        <v/>
      </c>
      <c r="J1880" s="1314" t="str">
        <f t="shared" si="294"/>
        <v/>
      </c>
      <c r="K1880" s="1314" t="str">
        <f t="shared" si="292"/>
        <v/>
      </c>
      <c r="L1880" s="826"/>
      <c r="M1880" s="1329"/>
      <c r="N1880" s="1314"/>
      <c r="O1880" s="1311"/>
      <c r="P1880" s="1311"/>
      <c r="Q1880" s="1311"/>
      <c r="R1880" s="1314" t="s">
        <v>395</v>
      </c>
      <c r="S1880" s="1311"/>
      <c r="T1880" s="1314" t="str">
        <f>IF(Q$968="Yes",21,"")</f>
        <v/>
      </c>
      <c r="U1880" s="1311"/>
      <c r="V1880" s="1311"/>
      <c r="W1880" s="1311"/>
      <c r="X1880" s="1311"/>
      <c r="Y1880" s="1311"/>
      <c r="Z1880" s="1311"/>
    </row>
    <row r="1881" spans="1:26" x14ac:dyDescent="0.25">
      <c r="A1881" s="846" t="s">
        <v>1507</v>
      </c>
      <c r="B1881" s="826" t="str">
        <f ca="1">_xlfn.CONCAT(IFERROR(SUBSTITUTE(ADDRESS(1,MATCH(A1881,INDIRECT("'"&amp;E1881&amp;"'"&amp;"!A" &amp; $O$796 + 8 &amp; ":Z" &amp; $O$796+ 8),0),4),1,""),""),$O$796 + 8)</f>
        <v>N187</v>
      </c>
      <c r="C1881" s="826" t="str">
        <f ca="1">_xlfn.CONCAT(IFERROR(SUBSTITUTE(ADDRESS(1,MATCH(A1881,INDIRECT("'"&amp;E1881&amp;"'"&amp;"!A" &amp; $O$796 + 8 &amp; ":Z" &amp; $O$796+ 8),0),4),1,""),""),$O$796 + 9)</f>
        <v>N188</v>
      </c>
      <c r="D1881" s="826" t="s">
        <v>1350</v>
      </c>
      <c r="E1881" s="826" t="s">
        <v>1516</v>
      </c>
      <c r="F1881" s="1314" t="s">
        <v>1507</v>
      </c>
      <c r="G1881" s="1314" t="str">
        <f t="shared" si="293"/>
        <v/>
      </c>
      <c r="H1881" s="1314" t="s">
        <v>1990</v>
      </c>
      <c r="I1881" s="1274"/>
      <c r="J1881" s="1314"/>
      <c r="K1881" s="1314"/>
      <c r="L1881" s="826"/>
      <c r="M1881" s="1329"/>
      <c r="N1881" s="1314"/>
      <c r="O1881" s="1311"/>
      <c r="P1881" s="1311"/>
      <c r="Q1881" s="1311"/>
      <c r="R1881" s="1314" t="s">
        <v>1531</v>
      </c>
      <c r="S1881" s="1311"/>
      <c r="T1881" s="1314" t="str">
        <f>IF(Q$796="Yes",13,"")</f>
        <v/>
      </c>
      <c r="U1881" s="1311"/>
      <c r="V1881" s="1311"/>
      <c r="W1881" s="1311"/>
      <c r="X1881" s="1311"/>
      <c r="Y1881" s="1311"/>
      <c r="Z1881" s="1311"/>
    </row>
    <row r="1882" spans="1:26" x14ac:dyDescent="0.25">
      <c r="A1882" s="846" t="s">
        <v>1507</v>
      </c>
      <c r="B1882" s="826" t="str">
        <f ca="1">_xlfn.CONCAT(IFERROR(SUBSTITUTE(ADDRESS(1,MATCH(A1882,INDIRECT("'"&amp;E1882&amp;"'"&amp;"!A" &amp; $O$814 + 8 &amp; ":Z" &amp; $O$814+ 8),0),4),1,""),""),$O$814 + 8)</f>
        <v>N201</v>
      </c>
      <c r="C1882" s="826" t="str">
        <f ca="1">_xlfn.CONCAT(IFERROR(SUBSTITUTE(ADDRESS(1,MATCH(A1882,INDIRECT("'"&amp;E1882&amp;"'"&amp;"!A" &amp; $O$814 + 8 &amp; ":Z" &amp; $O$814+ 8),0),4),1,""),""),$O$814 + 9)</f>
        <v>N202</v>
      </c>
      <c r="D1882" s="826" t="s">
        <v>1350</v>
      </c>
      <c r="E1882" s="826" t="s">
        <v>1516</v>
      </c>
      <c r="F1882" s="1314" t="s">
        <v>1507</v>
      </c>
      <c r="G1882" s="1314" t="str">
        <f t="shared" si="293"/>
        <v/>
      </c>
      <c r="H1882" s="1314" t="s">
        <v>1990</v>
      </c>
      <c r="I1882" s="1274"/>
      <c r="J1882" s="1314"/>
      <c r="K1882" s="1314"/>
      <c r="L1882" s="826"/>
      <c r="M1882" s="1329"/>
      <c r="N1882" s="1314"/>
      <c r="O1882" s="1311"/>
      <c r="P1882" s="1311"/>
      <c r="Q1882" s="1311"/>
      <c r="R1882" s="1314" t="s">
        <v>1531</v>
      </c>
      <c r="S1882" s="1311"/>
      <c r="T1882" s="1314" t="str">
        <f>IF(Q$814="Yes",14,"")</f>
        <v/>
      </c>
      <c r="U1882" s="1311"/>
      <c r="V1882" s="1311"/>
      <c r="W1882" s="1311"/>
      <c r="X1882" s="1311"/>
      <c r="Y1882" s="1311"/>
      <c r="Z1882" s="1311"/>
    </row>
    <row r="1883" spans="1:26" x14ac:dyDescent="0.25">
      <c r="A1883" s="846" t="s">
        <v>1507</v>
      </c>
      <c r="B1883" s="826" t="str">
        <f ca="1">_xlfn.CONCAT(IFERROR(SUBSTITUTE(ADDRESS(1,MATCH(A1883,INDIRECT("'"&amp;E1883&amp;"'"&amp;"!A" &amp; $O$832 + 12 &amp; ":Z" &amp; $O$832+ 12),0),4),1,""),""),$O$832 + 12)</f>
        <v>N219</v>
      </c>
      <c r="C1883" s="826" t="str">
        <f ca="1">_xlfn.CONCAT(IFERROR(SUBSTITUTE(ADDRESS(1,MATCH(A1883,INDIRECT("'"&amp;E1883&amp;"'"&amp;"!A" &amp; $O$832 + 12 &amp; ":Z" &amp; $O$832+ 12),0),4),1,""),""),$O$832 + 13)</f>
        <v>N220</v>
      </c>
      <c r="D1883" s="826" t="s">
        <v>1350</v>
      </c>
      <c r="E1883" s="826" t="s">
        <v>1516</v>
      </c>
      <c r="F1883" s="1314" t="s">
        <v>1507</v>
      </c>
      <c r="G1883" s="1314" t="str">
        <f t="shared" si="293"/>
        <v/>
      </c>
      <c r="H1883" s="1314" t="s">
        <v>1990</v>
      </c>
      <c r="I1883" s="1274"/>
      <c r="J1883" s="1314"/>
      <c r="K1883" s="1314"/>
      <c r="L1883" s="826"/>
      <c r="M1883" s="1329"/>
      <c r="N1883" s="1314"/>
      <c r="O1883" s="1311"/>
      <c r="P1883" s="1311"/>
      <c r="Q1883" s="1311"/>
      <c r="R1883" s="1314" t="s">
        <v>1531</v>
      </c>
      <c r="S1883" s="1311"/>
      <c r="T1883" s="1314" t="str">
        <f>IF(Q$832="Yes",15,"")</f>
        <v/>
      </c>
      <c r="U1883" s="1311"/>
      <c r="V1883" s="1311"/>
      <c r="W1883" s="1311"/>
      <c r="X1883" s="1311"/>
      <c r="Y1883" s="1311"/>
      <c r="Z1883" s="1311"/>
    </row>
    <row r="1884" spans="1:26" x14ac:dyDescent="0.25">
      <c r="A1884" s="846" t="s">
        <v>1507</v>
      </c>
      <c r="B1884" s="826" t="str">
        <f ca="1">_xlfn.CONCAT(IFERROR(SUBSTITUTE(ADDRESS(1,MATCH(A1884,INDIRECT("'"&amp;E1884&amp;"'"&amp;"!A" &amp; $O$862 + 12 &amp; ":Z" &amp; $O$862+ 12),0),4),1,""),""),$O$862 + 12)</f>
        <v>N235</v>
      </c>
      <c r="C1884" s="826" t="str">
        <f ca="1">_xlfn.CONCAT(IFERROR(SUBSTITUTE(ADDRESS(1,MATCH(A1884,INDIRECT("'"&amp;E1884&amp;"'"&amp;"!A" &amp; $O$862 + 12 &amp; ":Z" &amp; $O$862+ 12),0),4),1,""),""),$O$862 + 13)</f>
        <v>N236</v>
      </c>
      <c r="D1884" s="826" t="s">
        <v>1350</v>
      </c>
      <c r="E1884" s="826" t="s">
        <v>1516</v>
      </c>
      <c r="F1884" s="1314" t="s">
        <v>1507</v>
      </c>
      <c r="G1884" s="1314" t="str">
        <f t="shared" si="293"/>
        <v/>
      </c>
      <c r="H1884" s="1314" t="s">
        <v>1990</v>
      </c>
      <c r="I1884" s="1274"/>
      <c r="J1884" s="1314"/>
      <c r="K1884" s="1314"/>
      <c r="L1884" s="826"/>
      <c r="M1884" s="1329"/>
      <c r="N1884" s="1314"/>
      <c r="O1884" s="1311"/>
      <c r="P1884" s="1311"/>
      <c r="Q1884" s="1311"/>
      <c r="R1884" s="1314" t="s">
        <v>1531</v>
      </c>
      <c r="S1884" s="1311"/>
      <c r="T1884" s="1314" t="str">
        <f>IF(Q$862="Yes",16,"")</f>
        <v/>
      </c>
      <c r="U1884" s="1311"/>
      <c r="V1884" s="1311"/>
      <c r="W1884" s="1311"/>
      <c r="X1884" s="1311"/>
      <c r="Y1884" s="1311"/>
      <c r="Z1884" s="1311"/>
    </row>
    <row r="1885" spans="1:26" x14ac:dyDescent="0.25">
      <c r="A1885" s="846" t="s">
        <v>1507</v>
      </c>
      <c r="B1885" s="826" t="str">
        <f ca="1">_xlfn.CONCAT(IFERROR(SUBSTITUTE(ADDRESS(1,MATCH(A1885,INDIRECT("'"&amp;E1885&amp;"'"&amp;"!A" &amp; $O$987 + 8 &amp; ":Z" &amp; $O$987 + 8),0),4),1,""),""),$O$987 + 8)</f>
        <v>N317</v>
      </c>
      <c r="C1885" s="826" t="str">
        <f ca="1">_xlfn.CONCAT(IFERROR(SUBSTITUTE(ADDRESS(1,MATCH(A1885,INDIRECT("'"&amp;E1885&amp;"'"&amp;"!A" &amp; $O$987 + 8 &amp; ":Z" &amp; $O$987 + 8),0),4),1,""),""),$O$987 + 9)</f>
        <v>N318</v>
      </c>
      <c r="D1885" s="826" t="s">
        <v>1350</v>
      </c>
      <c r="E1885" s="826" t="s">
        <v>1516</v>
      </c>
      <c r="F1885" s="1314" t="s">
        <v>1507</v>
      </c>
      <c r="G1885" s="1314" t="str">
        <f t="shared" si="293"/>
        <v/>
      </c>
      <c r="H1885" s="1314" t="s">
        <v>1990</v>
      </c>
      <c r="I1885" s="1274"/>
      <c r="J1885" s="1314"/>
      <c r="K1885" s="1314"/>
      <c r="L1885" s="826"/>
      <c r="M1885" s="1329"/>
      <c r="N1885" s="1314"/>
      <c r="O1885" s="1311"/>
      <c r="P1885" s="1311"/>
      <c r="Q1885" s="1311"/>
      <c r="R1885" s="1314" t="s">
        <v>1696</v>
      </c>
      <c r="S1885" s="1311"/>
      <c r="T1885" s="1314" t="str">
        <f>IF(Q$987="Yes",22,"")</f>
        <v/>
      </c>
      <c r="U1885" s="1311"/>
      <c r="V1885" s="1311"/>
      <c r="W1885" s="1311"/>
      <c r="X1885" s="1311"/>
      <c r="Y1885" s="1311"/>
      <c r="Z1885" s="1311"/>
    </row>
    <row r="1886" spans="1:26" x14ac:dyDescent="0.25">
      <c r="A1886" s="846" t="s">
        <v>1503</v>
      </c>
      <c r="B1886" s="826" t="str">
        <f ca="1">_xlfn.CONCAT(IFERROR(SUBSTITUTE(ADDRESS(1,MATCH(A1886,INDIRECT("'"&amp;E1886&amp;"'"&amp;"!A" &amp; $O$570+5 &amp; ":Z" &amp; $O$570+5),0),4),1,""),""),$O$570+5)</f>
        <v>R36</v>
      </c>
      <c r="C1886" s="826" t="str">
        <f ca="1">_xlfn.CONCAT(IFERROR(SUBSTITUTE(ADDRESS(1,MATCH(A1886,INDIRECT("'"&amp;E1886&amp;"'"&amp;"!A" &amp; $O$570+5 &amp; ":Z" &amp; $O$570+5),0),4),1,""),""),$O$570+6)</f>
        <v>R37</v>
      </c>
      <c r="D1886" s="826" t="s">
        <v>1350</v>
      </c>
      <c r="E1886" s="826" t="s">
        <v>1516</v>
      </c>
      <c r="F1886" s="841" t="s">
        <v>1503</v>
      </c>
      <c r="G1886" s="1314" t="str">
        <f>IF(T1886&lt;&gt;"","R","")</f>
        <v/>
      </c>
      <c r="H1886" s="1314" t="s">
        <v>1990</v>
      </c>
      <c r="I1886" s="241"/>
      <c r="J1886" s="1311"/>
      <c r="K1886" s="1311"/>
      <c r="L1886" s="1311"/>
      <c r="N1886" s="1311"/>
      <c r="O1886" s="1311"/>
      <c r="P1886" s="1311"/>
      <c r="Q1886" s="1311"/>
      <c r="R1886" s="1314" t="s">
        <v>851</v>
      </c>
      <c r="S1886" s="1311"/>
      <c r="T1886" s="1314" t="str">
        <f>IF(Q$570="Yes",3,"")</f>
        <v/>
      </c>
      <c r="U1886" s="1311"/>
      <c r="V1886" s="1311"/>
      <c r="W1886" s="1311"/>
      <c r="X1886" s="1311"/>
      <c r="Y1886" s="1311"/>
      <c r="Z1886" s="1311"/>
    </row>
    <row r="1887" spans="1:26" x14ac:dyDescent="0.25">
      <c r="A1887" s="846" t="s">
        <v>1503</v>
      </c>
      <c r="B1887" s="826" t="str">
        <f ca="1">_xlfn.CONCAT(IFERROR(SUBSTITUTE(ADDRESS(1,MATCH(A1887,INDIRECT("'"&amp;E1887&amp;"'"&amp;"!A" &amp; $O$589+5 &amp; ":Z" &amp; $O$589+5),0),4),1,""),""),$O$589+5)</f>
        <v>R50</v>
      </c>
      <c r="C1887" s="826" t="str">
        <f ca="1">_xlfn.CONCAT(IFERROR(SUBSTITUTE(ADDRESS(1,MATCH(A1887,INDIRECT("'"&amp;E1887&amp;"'"&amp;"!A" &amp; $O$589+5 &amp; ":Z" &amp; $O$589+5),0),4),1,""),""),$O$589+6)</f>
        <v>R51</v>
      </c>
      <c r="D1887" s="826" t="s">
        <v>1350</v>
      </c>
      <c r="E1887" s="826" t="s">
        <v>1516</v>
      </c>
      <c r="F1887" s="841" t="s">
        <v>1503</v>
      </c>
      <c r="G1887" s="1314" t="str">
        <f t="shared" ref="G1887:G1899" si="296">IF(T1887&lt;&gt;"","R","")</f>
        <v/>
      </c>
      <c r="H1887" s="1314" t="s">
        <v>1990</v>
      </c>
      <c r="I1887" s="241"/>
      <c r="J1887" s="1311"/>
      <c r="K1887" s="1311"/>
      <c r="L1887" s="1311"/>
      <c r="N1887" s="1311"/>
      <c r="O1887" s="1311"/>
      <c r="P1887" s="1311"/>
      <c r="Q1887" s="1311"/>
      <c r="R1887" s="1314" t="s">
        <v>851</v>
      </c>
      <c r="S1887" s="1311"/>
      <c r="T1887" s="1314" t="str">
        <f>IF(Q$589="Yes",4,"")</f>
        <v/>
      </c>
      <c r="U1887" s="1311"/>
      <c r="V1887" s="1311"/>
      <c r="W1887" s="1311"/>
      <c r="X1887" s="1311"/>
      <c r="Y1887" s="1311"/>
      <c r="Z1887" s="1311"/>
    </row>
    <row r="1888" spans="1:26" x14ac:dyDescent="0.25">
      <c r="A1888" s="846" t="s">
        <v>1503</v>
      </c>
      <c r="B1888" s="826" t="str">
        <f ca="1">_xlfn.CONCAT(IFERROR(SUBSTITUTE(ADDRESS(1,MATCH(A1888,INDIRECT("'"&amp;E1888&amp;"'"&amp;"!A" &amp; $O$608 + 5 &amp; ":Z" &amp; $O$608+5),0),4),1,""),""),$O$608+5)</f>
        <v>R64</v>
      </c>
      <c r="C1888" s="826" t="str">
        <f ca="1">_xlfn.CONCAT(IFERROR(SUBSTITUTE(ADDRESS(1,MATCH(A1888,INDIRECT("'"&amp;E1888&amp;"'"&amp;"!A" &amp; $O$608 + 5 &amp; ":Z" &amp; $O$608+5),0),4),1,""),""),$O$608+6)</f>
        <v>R65</v>
      </c>
      <c r="D1888" s="826" t="s">
        <v>1350</v>
      </c>
      <c r="E1888" s="826" t="s">
        <v>1516</v>
      </c>
      <c r="F1888" s="841" t="s">
        <v>1503</v>
      </c>
      <c r="G1888" s="1314" t="str">
        <f t="shared" si="296"/>
        <v/>
      </c>
      <c r="H1888" s="1314" t="s">
        <v>1990</v>
      </c>
      <c r="I1888" s="241"/>
      <c r="J1888" s="1311"/>
      <c r="K1888" s="1311"/>
      <c r="L1888" s="1311"/>
      <c r="N1888" s="1311"/>
      <c r="O1888" s="1311"/>
      <c r="P1888" s="1311"/>
      <c r="Q1888" s="1311"/>
      <c r="R1888" s="1314" t="s">
        <v>851</v>
      </c>
      <c r="S1888" s="1311"/>
      <c r="T1888" s="1314" t="str">
        <f>IF(Q$608="Yes",5,"")</f>
        <v/>
      </c>
      <c r="U1888" s="1311"/>
      <c r="V1888" s="1311"/>
      <c r="W1888" s="1311"/>
      <c r="X1888" s="1311"/>
      <c r="Y1888" s="1311"/>
      <c r="Z1888" s="1311"/>
    </row>
    <row r="1889" spans="1:26" x14ac:dyDescent="0.25">
      <c r="A1889" s="846" t="s">
        <v>1503</v>
      </c>
      <c r="B1889" s="826" t="str">
        <f ca="1">_xlfn.CONCAT(IFERROR(SUBSTITUTE(ADDRESS(1,MATCH(A1889,INDIRECT("'"&amp;E1889&amp;"'"&amp;"!A" &amp; $O$639 + 5 &amp; ":Z" &amp; $O$639 + 5),0),4),1,""),""),$O$639 + 5)</f>
        <v>R80</v>
      </c>
      <c r="C1889" s="826" t="str">
        <f ca="1">_xlfn.CONCAT(IFERROR(SUBSTITUTE(ADDRESS(1,MATCH(A1889,INDIRECT("'"&amp;E1889&amp;"'"&amp;"!A" &amp; $O$639 + 5 &amp; ":Z" &amp; $O$639 + 5),0),4),1,""),""),$O$639 + 6)</f>
        <v>R81</v>
      </c>
      <c r="D1889" s="826" t="s">
        <v>1350</v>
      </c>
      <c r="E1889" s="826" t="s">
        <v>1516</v>
      </c>
      <c r="F1889" s="841" t="s">
        <v>1503</v>
      </c>
      <c r="G1889" s="1314" t="str">
        <f t="shared" si="296"/>
        <v/>
      </c>
      <c r="H1889" s="1314" t="s">
        <v>1990</v>
      </c>
      <c r="I1889" s="241"/>
      <c r="J1889" s="1311"/>
      <c r="K1889" s="1311"/>
      <c r="L1889" s="1311"/>
      <c r="N1889" s="1311"/>
      <c r="O1889" s="1311"/>
      <c r="P1889" s="1311"/>
      <c r="Q1889" s="1311"/>
      <c r="R1889" s="1314" t="s">
        <v>851</v>
      </c>
      <c r="S1889" s="1311"/>
      <c r="T1889" s="1314" t="str">
        <f>IF(Q$639="Yes",6,"")</f>
        <v/>
      </c>
      <c r="U1889" s="1311"/>
      <c r="V1889" s="1311"/>
      <c r="W1889" s="1311"/>
      <c r="X1889" s="1311"/>
      <c r="Y1889" s="1311"/>
      <c r="Z1889" s="1311"/>
    </row>
    <row r="1890" spans="1:26" x14ac:dyDescent="0.25">
      <c r="A1890" s="846" t="s">
        <v>1503</v>
      </c>
      <c r="B1890" s="826" t="str">
        <f ca="1">_xlfn.CONCAT(IFERROR(SUBSTITUTE(ADDRESS(1,MATCH(A1890,INDIRECT("'"&amp;E1890&amp;"'"&amp;"!A" &amp; $O$796 + 5 &amp; ":Z" &amp; $O$796+ 5),0),4),1,""),""),$O$796 + 5)</f>
        <v>R184</v>
      </c>
      <c r="C1890" s="826" t="str">
        <f ca="1">_xlfn.CONCAT(IFERROR(SUBSTITUTE(ADDRESS(1,MATCH(A1890,INDIRECT("'"&amp;E1890&amp;"'"&amp;"!A" &amp; $O$796 + 5 &amp; ":Z" &amp; $O$796+ 5),0),4),1,""),""),$O$796 + 6)</f>
        <v>R185</v>
      </c>
      <c r="D1890" s="826" t="s">
        <v>1350</v>
      </c>
      <c r="E1890" s="826" t="s">
        <v>1516</v>
      </c>
      <c r="F1890" s="841" t="s">
        <v>1503</v>
      </c>
      <c r="G1890" s="1314" t="str">
        <f t="shared" si="296"/>
        <v/>
      </c>
      <c r="H1890" s="1314" t="s">
        <v>1990</v>
      </c>
      <c r="I1890" s="241"/>
      <c r="J1890" s="1311"/>
      <c r="K1890" s="1311"/>
      <c r="L1890" s="1311"/>
      <c r="N1890" s="1311"/>
      <c r="O1890" s="1311"/>
      <c r="P1890" s="1311"/>
      <c r="Q1890" s="1311"/>
      <c r="R1890" s="1314" t="s">
        <v>1531</v>
      </c>
      <c r="S1890" s="1311"/>
      <c r="T1890" s="1314" t="str">
        <f t="shared" ref="T1890" si="297">IF(Q$892="Yes",17,"")</f>
        <v/>
      </c>
      <c r="U1890" s="1311"/>
      <c r="V1890" s="1311"/>
      <c r="W1890" s="1311"/>
      <c r="X1890" s="1311"/>
      <c r="Y1890" s="1311"/>
      <c r="Z1890" s="1311"/>
    </row>
    <row r="1891" spans="1:26" x14ac:dyDescent="0.25">
      <c r="A1891" s="846" t="s">
        <v>1503</v>
      </c>
      <c r="B1891" s="826" t="str">
        <f ca="1">_xlfn.CONCAT(IFERROR(SUBSTITUTE(ADDRESS(1,MATCH(A1891,INDIRECT("'"&amp;E1891&amp;"'"&amp;"!A" &amp; $O$814 + 5 &amp; ":Z" &amp; $O$814+ 5),0),4),1,""),""),$O$814 + 5)</f>
        <v>R198</v>
      </c>
      <c r="C1891" s="826" t="str">
        <f ca="1">_xlfn.CONCAT(IFERROR(SUBSTITUTE(ADDRESS(1,MATCH(A1891,INDIRECT("'"&amp;E1891&amp;"'"&amp;"!A" &amp; $O$814 + 5 &amp; ":Z" &amp; $O$814+ 5),0),4),1,""),""),$O$814 + 6)</f>
        <v>R199</v>
      </c>
      <c r="D1891" s="826" t="s">
        <v>1350</v>
      </c>
      <c r="E1891" s="826" t="s">
        <v>1516</v>
      </c>
      <c r="F1891" s="841" t="s">
        <v>1503</v>
      </c>
      <c r="G1891" s="1314" t="str">
        <f t="shared" si="296"/>
        <v/>
      </c>
      <c r="H1891" s="1314" t="s">
        <v>1990</v>
      </c>
      <c r="I1891" s="241"/>
      <c r="J1891" s="1311"/>
      <c r="K1891" s="1311"/>
      <c r="L1891" s="1311"/>
      <c r="N1891" s="1311"/>
      <c r="O1891" s="1311"/>
      <c r="P1891" s="1311"/>
      <c r="Q1891" s="1311"/>
      <c r="R1891" s="1314" t="s">
        <v>1531</v>
      </c>
      <c r="S1891" s="1311"/>
      <c r="T1891" s="1314" t="str">
        <f>IF(Q$911="Yes",18,"")</f>
        <v/>
      </c>
      <c r="U1891" s="1311"/>
      <c r="V1891" s="1311"/>
      <c r="W1891" s="1311"/>
      <c r="X1891" s="1311"/>
      <c r="Y1891" s="1311"/>
      <c r="Z1891" s="1311"/>
    </row>
    <row r="1892" spans="1:26" x14ac:dyDescent="0.25">
      <c r="A1892" s="846" t="s">
        <v>1503</v>
      </c>
      <c r="B1892" s="826" t="str">
        <f ca="1">_xlfn.CONCAT(IFERROR(SUBSTITUTE(ADDRESS(1,MATCH(A1892,INDIRECT("'"&amp;E1892&amp;"'"&amp;"!A" &amp; $O$832 + 5 &amp; ":Z" &amp; $O$832+ 5),0),4),1,""),""),$O$832 + 5)</f>
        <v>R212</v>
      </c>
      <c r="C1892" s="826" t="str">
        <f ca="1">_xlfn.CONCAT(IFERROR(SUBSTITUTE(ADDRESS(1,MATCH(A1892,INDIRECT("'"&amp;E1892&amp;"'"&amp;"!A" &amp; $O$832 + 5 &amp; ":Z" &amp; $O$832+ 5),0),4),1,""),""),$O$832 + 6)</f>
        <v>R213</v>
      </c>
      <c r="D1892" s="826" t="s">
        <v>1350</v>
      </c>
      <c r="E1892" s="826" t="s">
        <v>1516</v>
      </c>
      <c r="F1892" s="841" t="s">
        <v>1503</v>
      </c>
      <c r="G1892" s="1314" t="str">
        <f t="shared" si="296"/>
        <v/>
      </c>
      <c r="H1892" s="1314" t="s">
        <v>1990</v>
      </c>
      <c r="I1892" s="241"/>
      <c r="J1892" s="1311"/>
      <c r="K1892" s="1311"/>
      <c r="L1892" s="1311"/>
      <c r="N1892" s="1311"/>
      <c r="O1892" s="1311"/>
      <c r="P1892" s="1311"/>
      <c r="Q1892" s="1311"/>
      <c r="R1892" s="1314" t="s">
        <v>1531</v>
      </c>
      <c r="S1892" s="1311"/>
      <c r="T1892" s="1314" t="str">
        <f>IF(Q$930="Yes",19,"")</f>
        <v/>
      </c>
      <c r="U1892" s="1311"/>
      <c r="V1892" s="1311"/>
      <c r="W1892" s="1311"/>
      <c r="X1892" s="1311"/>
      <c r="Y1892" s="1311"/>
      <c r="Z1892" s="1311"/>
    </row>
    <row r="1893" spans="1:26" x14ac:dyDescent="0.25">
      <c r="A1893" s="846" t="s">
        <v>1503</v>
      </c>
      <c r="B1893" s="826" t="str">
        <f ca="1">_xlfn.CONCAT(IFERROR(SUBSTITUTE(ADDRESS(1,MATCH(A1893,INDIRECT("'"&amp;E1893&amp;"'"&amp;"!A" &amp; $O$862 + 5 &amp; ":Z" &amp; $O$862+ 5),0),4),1,""),""),$O$862 + 5)</f>
        <v>R228</v>
      </c>
      <c r="C1893" s="826" t="str">
        <f ca="1">_xlfn.CONCAT(IFERROR(SUBSTITUTE(ADDRESS(1,MATCH(A1893,INDIRECT("'"&amp;E1893&amp;"'"&amp;"!A" &amp; $O$862 + 5 &amp; ":Z" &amp; $O$862+ 5),0),4),1,""),""),$O$862 + 6)</f>
        <v>R229</v>
      </c>
      <c r="D1893" s="826" t="s">
        <v>1350</v>
      </c>
      <c r="E1893" s="826" t="s">
        <v>1516</v>
      </c>
      <c r="F1893" s="841" t="s">
        <v>1503</v>
      </c>
      <c r="G1893" s="1314" t="str">
        <f t="shared" si="296"/>
        <v/>
      </c>
      <c r="H1893" s="1314" t="s">
        <v>1990</v>
      </c>
      <c r="I1893" s="241"/>
      <c r="J1893" s="1311"/>
      <c r="K1893" s="1311"/>
      <c r="L1893" s="1311"/>
      <c r="N1893" s="1311"/>
      <c r="O1893" s="1311"/>
      <c r="P1893" s="1311"/>
      <c r="Q1893" s="1311"/>
      <c r="R1893" s="1314" t="s">
        <v>1531</v>
      </c>
      <c r="S1893" s="1311"/>
      <c r="T1893" s="1314" t="str">
        <f>IF(Q$949="Yes",20,"")</f>
        <v/>
      </c>
      <c r="U1893" s="1311"/>
      <c r="V1893" s="1311"/>
      <c r="W1893" s="1311"/>
      <c r="X1893" s="1311"/>
      <c r="Y1893" s="1311"/>
      <c r="Z1893" s="1311"/>
    </row>
    <row r="1894" spans="1:26" x14ac:dyDescent="0.25">
      <c r="A1894" s="846" t="s">
        <v>1503</v>
      </c>
      <c r="B1894" s="826" t="str">
        <f ca="1">_xlfn.CONCAT(IFERROR(SUBSTITUTE(ADDRESS(1,MATCH(A1894,INDIRECT("'"&amp;E1894&amp;"'"&amp;"!A" &amp; $O$892 + 5 &amp; ":Z" &amp; $O$892+ 5),0),4),1,""),""),$O$892 + 5)</f>
        <v>R244</v>
      </c>
      <c r="C1894" s="826" t="str">
        <f ca="1">_xlfn.CONCAT(IFERROR(SUBSTITUTE(ADDRESS(1,MATCH(A1894,INDIRECT("'"&amp;E1894&amp;"'"&amp;"!A" &amp; $O$892 + 5 &amp; ":Z" &amp; $O$892+ 5),0),4),1,""),""),$O$892 + 6)</f>
        <v>R245</v>
      </c>
      <c r="D1894" s="826" t="s">
        <v>1350</v>
      </c>
      <c r="E1894" s="826" t="s">
        <v>1516</v>
      </c>
      <c r="F1894" s="841" t="s">
        <v>1503</v>
      </c>
      <c r="G1894" s="1314" t="str">
        <f t="shared" si="296"/>
        <v/>
      </c>
      <c r="H1894" s="1314" t="s">
        <v>1990</v>
      </c>
      <c r="I1894" s="241"/>
      <c r="J1894" s="1311"/>
      <c r="K1894" s="1311"/>
      <c r="L1894" s="1311"/>
      <c r="N1894" s="1311"/>
      <c r="O1894" s="1311"/>
      <c r="P1894" s="1311"/>
      <c r="Q1894" s="1311"/>
      <c r="R1894" s="1314" t="s">
        <v>395</v>
      </c>
      <c r="S1894" s="1311"/>
      <c r="T1894" s="1314" t="str">
        <f>IF(Q$968="Yes",21,"")</f>
        <v/>
      </c>
      <c r="U1894" s="1311"/>
      <c r="V1894" s="1311"/>
      <c r="W1894" s="1311"/>
      <c r="X1894" s="1311"/>
      <c r="Y1894" s="1311"/>
      <c r="Z1894" s="1311"/>
    </row>
    <row r="1895" spans="1:26" x14ac:dyDescent="0.25">
      <c r="A1895" s="846" t="s">
        <v>1503</v>
      </c>
      <c r="B1895" s="826" t="str">
        <f ca="1">_xlfn.CONCAT(IFERROR(SUBSTITUTE(ADDRESS(1,MATCH(A1895,INDIRECT("'"&amp;E1895&amp;"'"&amp;"!A" &amp; $O$911 + 5 &amp; ":Z" &amp; $O$911 + 5),0),4),1,""),""),$O$911 + 5)</f>
        <v>R258</v>
      </c>
      <c r="C1895" s="826" t="str">
        <f ca="1">_xlfn.CONCAT(IFERROR(SUBSTITUTE(ADDRESS(1,MATCH(A1895,INDIRECT("'"&amp;E1895&amp;"'"&amp;"!A" &amp; $O$911 + 5 &amp; ":Z" &amp; $O$911 + 5),0),4),1,""),""),$O$911 + 6)</f>
        <v>R259</v>
      </c>
      <c r="D1895" s="826" t="s">
        <v>1350</v>
      </c>
      <c r="E1895" s="826" t="s">
        <v>1516</v>
      </c>
      <c r="F1895" s="841" t="s">
        <v>1503</v>
      </c>
      <c r="G1895" s="1314" t="str">
        <f t="shared" si="296"/>
        <v/>
      </c>
      <c r="H1895" s="1314" t="s">
        <v>1990</v>
      </c>
      <c r="I1895" s="241"/>
      <c r="J1895" s="1311"/>
      <c r="K1895" s="1311"/>
      <c r="L1895" s="1311"/>
      <c r="N1895" s="1311"/>
      <c r="O1895" s="1311"/>
      <c r="P1895" s="1311"/>
      <c r="Q1895" s="1311"/>
      <c r="R1895" s="1314" t="s">
        <v>395</v>
      </c>
      <c r="S1895" s="1311"/>
      <c r="T1895" s="1314" t="str">
        <f>IF(Q$796="Yes",13,"")</f>
        <v/>
      </c>
      <c r="U1895" s="1311"/>
      <c r="V1895" s="1311"/>
      <c r="W1895" s="1311"/>
      <c r="X1895" s="1311"/>
      <c r="Y1895" s="1311"/>
      <c r="Z1895" s="1311"/>
    </row>
    <row r="1896" spans="1:26" x14ac:dyDescent="0.25">
      <c r="A1896" s="846" t="s">
        <v>1503</v>
      </c>
      <c r="B1896" s="826" t="str">
        <f ca="1">_xlfn.CONCAT(IFERROR(SUBSTITUTE(ADDRESS(1,MATCH(A1896,INDIRECT("'"&amp;E1896&amp;"'"&amp;"!A" &amp; $O$930 + 5 &amp; ":Z" &amp; $O$930 + 5),0),4),1,""),""),$O$930 + 5)</f>
        <v>R272</v>
      </c>
      <c r="C1896" s="826" t="str">
        <f ca="1">_xlfn.CONCAT(IFERROR(SUBSTITUTE(ADDRESS(1,MATCH(A1896,INDIRECT("'"&amp;E1896&amp;"'"&amp;"!A" &amp; $O$930 + 5 &amp; ":Z" &amp; $O$930 + 5),0),4),1,""),""),$O$930 + 6)</f>
        <v>R273</v>
      </c>
      <c r="D1896" s="826" t="s">
        <v>1350</v>
      </c>
      <c r="E1896" s="826" t="s">
        <v>1516</v>
      </c>
      <c r="F1896" s="841" t="s">
        <v>1503</v>
      </c>
      <c r="G1896" s="1314" t="str">
        <f t="shared" si="296"/>
        <v/>
      </c>
      <c r="H1896" s="1314" t="s">
        <v>1990</v>
      </c>
      <c r="I1896" s="241"/>
      <c r="J1896" s="1311"/>
      <c r="K1896" s="1311"/>
      <c r="L1896" s="1311"/>
      <c r="N1896" s="1311"/>
      <c r="O1896" s="1311"/>
      <c r="P1896" s="1311"/>
      <c r="Q1896" s="1311"/>
      <c r="R1896" s="1314" t="s">
        <v>395</v>
      </c>
      <c r="S1896" s="1311"/>
      <c r="T1896" s="1314" t="str">
        <f>IF(Q$814="Yes",14,"")</f>
        <v/>
      </c>
      <c r="U1896" s="1311"/>
      <c r="V1896" s="1311"/>
      <c r="W1896" s="1311"/>
      <c r="X1896" s="1311"/>
      <c r="Y1896" s="1311"/>
      <c r="Z1896" s="1311"/>
    </row>
    <row r="1897" spans="1:26" x14ac:dyDescent="0.25">
      <c r="A1897" s="846" t="s">
        <v>1503</v>
      </c>
      <c r="B1897" s="826" t="str">
        <f ca="1">_xlfn.CONCAT(IFERROR(SUBSTITUTE(ADDRESS(1,MATCH(A1897,INDIRECT("'"&amp;E1897&amp;"'"&amp;"!A" &amp; $O$949 + 5 &amp; ":Z" &amp; $O$949 + 5),0),4),1,""),""),$O$949 + 5)</f>
        <v>R286</v>
      </c>
      <c r="C1897" s="826" t="str">
        <f ca="1">_xlfn.CONCAT(IFERROR(SUBSTITUTE(ADDRESS(1,MATCH(A1897,INDIRECT("'"&amp;E1897&amp;"'"&amp;"!A" &amp; $O$949 + 5 &amp; ":Z" &amp; $O$949 + 5),0),4),1,""),""),$O$949 + 6)</f>
        <v>R287</v>
      </c>
      <c r="D1897" s="826" t="s">
        <v>1350</v>
      </c>
      <c r="E1897" s="826" t="s">
        <v>1516</v>
      </c>
      <c r="F1897" s="841" t="s">
        <v>1503</v>
      </c>
      <c r="G1897" s="1314" t="str">
        <f t="shared" si="296"/>
        <v/>
      </c>
      <c r="H1897" s="1314" t="s">
        <v>1990</v>
      </c>
      <c r="I1897" s="241"/>
      <c r="J1897" s="1311"/>
      <c r="K1897" s="1311"/>
      <c r="L1897" s="1311"/>
      <c r="N1897" s="1311"/>
      <c r="O1897" s="1311"/>
      <c r="P1897" s="1311"/>
      <c r="Q1897" s="1311"/>
      <c r="R1897" s="1314" t="s">
        <v>395</v>
      </c>
      <c r="S1897" s="1311"/>
      <c r="T1897" s="1314" t="str">
        <f>IF(Q$832="Yes",15,"")</f>
        <v/>
      </c>
      <c r="U1897" s="1311"/>
      <c r="V1897" s="1311"/>
      <c r="W1897" s="1311"/>
      <c r="X1897" s="1311"/>
      <c r="Y1897" s="1311"/>
      <c r="Z1897" s="1311"/>
    </row>
    <row r="1898" spans="1:26" x14ac:dyDescent="0.25">
      <c r="A1898" s="846" t="s">
        <v>1503</v>
      </c>
      <c r="B1898" s="826" t="str">
        <f ca="1">_xlfn.CONCAT(IFERROR(SUBSTITUTE(ADDRESS(1,MATCH(A1898,INDIRECT("'"&amp;E1898&amp;"'"&amp;"!A" &amp; $O$968 + 5 &amp; ":Z" &amp; $O$968 + 5),0),4),1,""),""),$O$968 + 5)</f>
        <v>R300</v>
      </c>
      <c r="C1898" s="826" t="str">
        <f ca="1">_xlfn.CONCAT(IFERROR(SUBSTITUTE(ADDRESS(1,MATCH(A1898,INDIRECT("'"&amp;E1898&amp;"'"&amp;"!A" &amp; $O$968 + 5 &amp; ":Z" &amp; $O$968 + 5),0),4),1,""),""),$O$968 + 6)</f>
        <v>R301</v>
      </c>
      <c r="D1898" s="826" t="s">
        <v>1350</v>
      </c>
      <c r="E1898" s="826" t="s">
        <v>1516</v>
      </c>
      <c r="F1898" s="841" t="s">
        <v>1503</v>
      </c>
      <c r="G1898" s="1314" t="str">
        <f t="shared" si="296"/>
        <v/>
      </c>
      <c r="H1898" s="1314" t="s">
        <v>1990</v>
      </c>
      <c r="I1898" s="241"/>
      <c r="J1898" s="1311"/>
      <c r="K1898" s="1311"/>
      <c r="L1898" s="1311"/>
      <c r="N1898" s="1311"/>
      <c r="O1898" s="1311"/>
      <c r="P1898" s="1311"/>
      <c r="Q1898" s="1311"/>
      <c r="R1898" s="1314" t="s">
        <v>395</v>
      </c>
      <c r="S1898" s="1311"/>
      <c r="T1898" s="1314" t="str">
        <f>IF(Q$862="Yes",16,"")</f>
        <v/>
      </c>
      <c r="U1898" s="1311"/>
      <c r="V1898" s="1311"/>
      <c r="W1898" s="1311"/>
      <c r="X1898" s="1311"/>
      <c r="Y1898" s="1311"/>
      <c r="Z1898" s="1311"/>
    </row>
    <row r="1899" spans="1:26" x14ac:dyDescent="0.25">
      <c r="A1899" s="846" t="s">
        <v>1503</v>
      </c>
      <c r="B1899" s="826" t="str">
        <f ca="1">_xlfn.CONCAT(IFERROR(SUBSTITUTE(ADDRESS(1,MATCH(A1899,INDIRECT("'"&amp;E1899&amp;"'"&amp;"!A" &amp; $O$987 + 5 &amp; ":Z" &amp; $O$987 + 5),0),4),1,""),""),$O$987 + 5)</f>
        <v>R314</v>
      </c>
      <c r="C1899" s="826" t="str">
        <f ca="1">_xlfn.CONCAT(IFERROR(SUBSTITUTE(ADDRESS(1,MATCH(A1899,INDIRECT("'"&amp;E1899&amp;"'"&amp;"!A" &amp; $O$987 + 5 &amp; ":Z" &amp; $O$987 + 5),0),4),1,""),""),$O$987 + 6)</f>
        <v>R315</v>
      </c>
      <c r="D1899" s="826" t="s">
        <v>1350</v>
      </c>
      <c r="E1899" s="826" t="s">
        <v>1516</v>
      </c>
      <c r="F1899" s="841" t="s">
        <v>1503</v>
      </c>
      <c r="G1899" s="1314" t="str">
        <f t="shared" si="296"/>
        <v/>
      </c>
      <c r="H1899" s="1314" t="s">
        <v>1990</v>
      </c>
      <c r="I1899" s="241"/>
      <c r="J1899" s="1311"/>
      <c r="K1899" s="1311"/>
      <c r="L1899" s="1311"/>
      <c r="N1899" s="1311"/>
      <c r="O1899" s="1311"/>
      <c r="P1899" s="1311"/>
      <c r="Q1899" s="1311"/>
      <c r="R1899" s="1314" t="s">
        <v>1696</v>
      </c>
      <c r="S1899" s="1311"/>
      <c r="T1899" s="1314" t="str">
        <f>IF(Q$987="Yes",22,"")</f>
        <v/>
      </c>
      <c r="U1899" s="1311"/>
      <c r="V1899" s="1311"/>
      <c r="W1899" s="1311"/>
      <c r="X1899" s="1311"/>
      <c r="Y1899" s="1311"/>
      <c r="Z1899" s="1311"/>
    </row>
    <row r="1900" spans="1:26" x14ac:dyDescent="0.25">
      <c r="A1900" s="1081" t="s">
        <v>1475</v>
      </c>
      <c r="B1900" s="841" t="str">
        <f ca="1">_xlfn.CONCAT(IFERROR(SUBSTITUTE(ADDRESS(1,MATCH(A1900,INDIRECT("'"&amp;E1900&amp;"'"&amp;"!A" &amp; $O$1052 + 5 &amp; ":Z" &amp; $O$1052 + 5),0),4),1,""),""),$O$1052+ 5)</f>
        <v>L384</v>
      </c>
      <c r="C1900" s="841" t="str">
        <f ca="1">_xlfn.CONCAT(IFERROR(SUBSTITUTE(ADDRESS(1,MATCH(A1900,INDIRECT("'"&amp;E1900&amp;"'"&amp;"!A" &amp; $O$1052 + 5 &amp; ":Z" &amp; $O$1052 + 5),0),4),1,""),""),$O$1052+ 6)</f>
        <v>L385</v>
      </c>
      <c r="D1900" s="826" t="s">
        <v>1350</v>
      </c>
      <c r="E1900" s="826" t="s">
        <v>1516</v>
      </c>
      <c r="F1900" s="1081" t="s">
        <v>1475</v>
      </c>
      <c r="G1900" s="1314" t="str">
        <f>IF(T1900&lt;&gt;"","U","")</f>
        <v/>
      </c>
      <c r="H1900" s="1314" t="s">
        <v>1990</v>
      </c>
      <c r="I1900" s="1274" t="str">
        <f t="shared" ref="I1900" si="298">IF(J1900&lt;&gt;"",A1900,"")</f>
        <v/>
      </c>
      <c r="J1900" s="1314"/>
      <c r="K1900" s="1314" t="str">
        <f t="shared" ref="K1900" si="299">IF(J1900&lt;&gt;"",E1900,"")</f>
        <v/>
      </c>
      <c r="L1900" s="826"/>
      <c r="M1900" s="1329"/>
      <c r="N1900" s="1314"/>
      <c r="O1900" s="1311"/>
      <c r="P1900" s="1311"/>
      <c r="Q1900" s="1311"/>
      <c r="R1900" s="1314" t="s">
        <v>1700</v>
      </c>
      <c r="S1900" s="1311"/>
      <c r="T1900" s="1314" t="str">
        <f t="shared" ref="T1900:T1905" si="300">IF(Q$1052="Yes",27,"")</f>
        <v/>
      </c>
      <c r="U1900" s="1311"/>
      <c r="V1900" s="1311"/>
      <c r="W1900" s="1311"/>
      <c r="X1900" s="1311"/>
      <c r="Y1900" s="1311"/>
      <c r="Z1900" s="1311"/>
    </row>
    <row r="1901" spans="1:26" x14ac:dyDescent="0.25">
      <c r="A1901" s="847" t="s">
        <v>1474</v>
      </c>
      <c r="B1901" s="826" t="str">
        <f ca="1">_xlfn.CONCAT(IFERROR(SUBSTITUTE(ADDRESS(1,MATCH(A1901,INDIRECT("'"&amp;E1901&amp;"'"&amp;"!A" &amp; $O$1052 + 5 &amp; ":Z" &amp; $O$1052 + 5),0),4),1,""),""),$O$1052+ 5)</f>
        <v>J384</v>
      </c>
      <c r="C1901" s="826" t="str">
        <f ca="1">_xlfn.CONCAT(IFERROR(SUBSTITUTE(ADDRESS(1,MATCH(A1901,INDIRECT("'"&amp;E1901&amp;"'"&amp;"!A" &amp; $O$1052 + 5 &amp; ":Z" &amp; $O$1052 + 5),0),4),1,""),""),$O$1052+ 6)</f>
        <v>J385</v>
      </c>
      <c r="D1901" s="826" t="s">
        <v>1350</v>
      </c>
      <c r="E1901" s="826" t="s">
        <v>1516</v>
      </c>
      <c r="F1901" s="1314" t="s">
        <v>1474</v>
      </c>
      <c r="G1901" s="1314" t="str">
        <f>IF(T1901&lt;&gt;"","Z","")</f>
        <v/>
      </c>
      <c r="H1901" s="1314" t="s">
        <v>1990</v>
      </c>
      <c r="I1901" s="1274"/>
      <c r="J1901" s="1314"/>
      <c r="K1901" s="1314"/>
      <c r="L1901" s="826"/>
      <c r="M1901" s="1329"/>
      <c r="N1901" s="1314"/>
      <c r="O1901" s="1311"/>
      <c r="P1901" s="1311"/>
      <c r="Q1901" s="1311"/>
      <c r="R1901" s="1314" t="s">
        <v>1700</v>
      </c>
      <c r="S1901" s="1311"/>
      <c r="T1901" s="1314" t="str">
        <f t="shared" si="300"/>
        <v/>
      </c>
      <c r="U1901" s="1311"/>
      <c r="V1901" s="1311"/>
      <c r="W1901" s="1311"/>
      <c r="X1901" s="1311"/>
      <c r="Y1901" s="1311"/>
      <c r="Z1901" s="1311"/>
    </row>
    <row r="1902" spans="1:26" x14ac:dyDescent="0.25">
      <c r="A1902" s="847" t="s">
        <v>1478</v>
      </c>
      <c r="B1902" s="826" t="str">
        <f ca="1">_xlfn.CONCAT(IFERROR(SUBSTITUTE(ADDRESS(1,MATCH(A1902,INDIRECT("'"&amp;E1902&amp;"'"&amp;"!A" &amp; $O$1052 + 8 &amp; ":Z" &amp; $O$1052 + 8),0),4),1,""),""),$O$1052+ 8)</f>
        <v>H387</v>
      </c>
      <c r="C1902" s="826" t="str">
        <f ca="1">_xlfn.CONCAT(IFERROR(SUBSTITUTE(ADDRESS(1,MATCH(A1902,INDIRECT("'"&amp;E1902&amp;"'"&amp;"!A" &amp; $O$1052 + 8 &amp; ":Z" &amp; $O$1052 + 8),0),4),1,""),""),$O$1052+ 9)</f>
        <v>H388</v>
      </c>
      <c r="D1902" s="826" t="s">
        <v>1350</v>
      </c>
      <c r="E1902" s="826" t="s">
        <v>1516</v>
      </c>
      <c r="F1902" s="1314" t="s">
        <v>1478</v>
      </c>
      <c r="G1902" s="1314" t="str">
        <f>IF(T1902&lt;&gt;"","V","")</f>
        <v/>
      </c>
      <c r="H1902" s="1314" t="s">
        <v>1990</v>
      </c>
      <c r="I1902" s="1274"/>
      <c r="J1902" s="1314"/>
      <c r="K1902" s="1314"/>
      <c r="L1902" s="826" t="s">
        <v>1478</v>
      </c>
      <c r="M1902" s="1329">
        <v>1206</v>
      </c>
      <c r="N1902" s="1314"/>
      <c r="O1902" s="1311"/>
      <c r="P1902" s="1311"/>
      <c r="Q1902" s="1311"/>
      <c r="R1902" s="1314" t="s">
        <v>1700</v>
      </c>
      <c r="S1902" s="1311"/>
      <c r="T1902" s="1314" t="str">
        <f t="shared" si="300"/>
        <v/>
      </c>
      <c r="U1902" s="1311"/>
      <c r="V1902" s="1311"/>
      <c r="W1902" s="1311"/>
      <c r="X1902" s="1311"/>
      <c r="Y1902" s="1311"/>
      <c r="Z1902" s="1311"/>
    </row>
    <row r="1903" spans="1:26" x14ac:dyDescent="0.25">
      <c r="A1903" s="847" t="s">
        <v>1135</v>
      </c>
      <c r="B1903" s="826" t="str">
        <f ca="1">_xlfn.CONCAT(IFERROR(SUBSTITUTE(ADDRESS(1,MATCH(A1903,INDIRECT("'"&amp;E1903&amp;"'"&amp;"!A" &amp; $O$1052 + 8 &amp; ":Z" &amp; $O$1052 + 8),0),4),1,""),""),$O$1052+ 8)</f>
        <v>L387</v>
      </c>
      <c r="C1903" s="826" t="str">
        <f ca="1">_xlfn.CONCAT(IFERROR(SUBSTITUTE(ADDRESS(1,MATCH(A1903,INDIRECT("'"&amp;E1903&amp;"'"&amp;"!A" &amp; $O$1052 + 8 &amp; ":Z" &amp; $O$1052 + 8),0),4),1,""),""),$O$1052+ 9)</f>
        <v>L388</v>
      </c>
      <c r="D1903" s="826" t="s">
        <v>1350</v>
      </c>
      <c r="E1903" s="826" t="s">
        <v>1516</v>
      </c>
      <c r="F1903" s="1314" t="s">
        <v>1135</v>
      </c>
      <c r="G1903" s="1314" t="str">
        <f>IF(T1903&lt;&gt;"","W","")</f>
        <v/>
      </c>
      <c r="H1903" s="1314" t="s">
        <v>1990</v>
      </c>
      <c r="I1903" s="1274"/>
      <c r="J1903" s="1314"/>
      <c r="K1903" s="1314"/>
      <c r="L1903" s="826"/>
      <c r="M1903" s="1329"/>
      <c r="N1903" s="1314"/>
      <c r="O1903" s="1311"/>
      <c r="P1903" s="1311"/>
      <c r="Q1903" s="1311"/>
      <c r="R1903" s="1314" t="s">
        <v>1700</v>
      </c>
      <c r="S1903" s="1311"/>
      <c r="T1903" s="1314" t="str">
        <f t="shared" si="300"/>
        <v/>
      </c>
      <c r="U1903" s="1311"/>
      <c r="V1903" s="1311"/>
      <c r="W1903" s="1311"/>
      <c r="X1903" s="1311"/>
      <c r="Y1903" s="1311"/>
      <c r="Z1903" s="1311"/>
    </row>
    <row r="1904" spans="1:26" x14ac:dyDescent="0.25">
      <c r="A1904" s="847" t="s">
        <v>1480</v>
      </c>
      <c r="B1904" s="826" t="str">
        <f ca="1">_xlfn.CONCAT(IFERROR(SUBSTITUTE(ADDRESS(1,MATCH(A1904,INDIRECT("'"&amp;E1904&amp;"'"&amp;"!A" &amp; $O$1052 + 8 &amp; ":Z" &amp; $O$1052 + 8),0),4),1,""),""),$O$1052+ 8)</f>
        <v>N387</v>
      </c>
      <c r="C1904" s="826" t="str">
        <f ca="1">_xlfn.CONCAT(IFERROR(SUBSTITUTE(ADDRESS(1,MATCH(A1904,INDIRECT("'"&amp;E1904&amp;"'"&amp;"!A" &amp; $O$1052 + 8 &amp; ":Z" &amp; $O$1052 + 8),0),4),1,""),""),$O$1052+ 9)</f>
        <v>N388</v>
      </c>
      <c r="D1904" s="826" t="s">
        <v>1350</v>
      </c>
      <c r="E1904" s="826" t="s">
        <v>1516</v>
      </c>
      <c r="F1904" s="1314" t="s">
        <v>1480</v>
      </c>
      <c r="G1904" s="1314" t="str">
        <f>IF(T1904&lt;&gt;"","X","")</f>
        <v/>
      </c>
      <c r="H1904" s="1314" t="s">
        <v>1990</v>
      </c>
      <c r="I1904" s="1274"/>
      <c r="J1904" s="1314"/>
      <c r="K1904" s="1314"/>
      <c r="L1904" s="826"/>
      <c r="M1904" s="1329"/>
      <c r="N1904" s="1314"/>
      <c r="O1904" s="1311"/>
      <c r="P1904" s="1311"/>
      <c r="Q1904" s="1311"/>
      <c r="R1904" s="1314" t="s">
        <v>1700</v>
      </c>
      <c r="S1904" s="1311"/>
      <c r="T1904" s="1314" t="str">
        <f t="shared" si="300"/>
        <v/>
      </c>
      <c r="U1904" s="1311"/>
      <c r="V1904" s="1311"/>
      <c r="W1904" s="1311"/>
      <c r="X1904" s="1311"/>
      <c r="Y1904" s="1311"/>
      <c r="Z1904" s="1311"/>
    </row>
    <row r="1905" spans="1:26" x14ac:dyDescent="0.25">
      <c r="A1905" s="847" t="s">
        <v>1134</v>
      </c>
      <c r="B1905" s="826" t="str">
        <f ca="1">_xlfn.CONCAT(IFERROR(SUBSTITUTE(ADDRESS(1,MATCH(A1905,INDIRECT("'"&amp;E1905&amp;"'"&amp;"!A" &amp; $O$1052 + 8 &amp; ":Z" &amp; $O$1052 + 8),0),4),1,""),""),$O$1052+ 8)</f>
        <v>P387</v>
      </c>
      <c r="C1905" s="826" t="str">
        <f ca="1">_xlfn.CONCAT(IFERROR(SUBSTITUTE(ADDRESS(1,MATCH(A1905,INDIRECT("'"&amp;E1905&amp;"'"&amp;"!A" &amp; $O$1052 + 8 &amp; ":Z" &amp; $O$1052 + 8),0),4),1,""),""),$O$1052+ 9)</f>
        <v>P388</v>
      </c>
      <c r="D1905" s="826" t="s">
        <v>1350</v>
      </c>
      <c r="E1905" s="826" t="s">
        <v>1516</v>
      </c>
      <c r="F1905" s="1314" t="s">
        <v>1134</v>
      </c>
      <c r="G1905" s="1314" t="str">
        <f>IF(T1905&lt;&gt;"","Y","")</f>
        <v/>
      </c>
      <c r="H1905" s="1314" t="s">
        <v>1990</v>
      </c>
      <c r="I1905" s="1274"/>
      <c r="J1905" s="1314"/>
      <c r="K1905" s="1314"/>
      <c r="L1905" s="826"/>
      <c r="M1905" s="1329"/>
      <c r="N1905" s="1314"/>
      <c r="O1905" s="1311"/>
      <c r="P1905" s="1311"/>
      <c r="Q1905" s="1311"/>
      <c r="R1905" s="1314" t="s">
        <v>1700</v>
      </c>
      <c r="S1905" s="1311"/>
      <c r="T1905" s="1314" t="str">
        <f t="shared" si="300"/>
        <v/>
      </c>
      <c r="U1905" s="1311"/>
      <c r="V1905" s="1311"/>
      <c r="W1905" s="1311"/>
      <c r="X1905" s="1311"/>
      <c r="Y1905" s="1311"/>
      <c r="Z1905" s="1311"/>
    </row>
    <row r="1906" spans="1:26" x14ac:dyDescent="0.25">
      <c r="A1906" s="1011" t="s">
        <v>1474</v>
      </c>
      <c r="B1906" s="826" t="str">
        <f ca="1">_xlfn.CONCAT(IFERROR(SUBSTITUTE(ADDRESS(1,MATCH(A1906,INDIRECT("'"&amp;E1906&amp;"'"&amp;"!A" &amp; $O$1069 + 5 &amp; ":Z" &amp; $O$1069 + 5),0),4),1,""),""),$O$1069+ 5)</f>
        <v>J398</v>
      </c>
      <c r="C1906" s="826" t="str">
        <f ca="1">_xlfn.CONCAT(IFERROR(SUBSTITUTE(ADDRESS(1,MATCH(A1906,INDIRECT("'"&amp;E1906&amp;"'"&amp;"!A" &amp; $O$1069 + 5 &amp; ":Z" &amp; $O$1069 + 5),0),4),1,""),""),$O$1069+ 6)</f>
        <v>J399</v>
      </c>
      <c r="D1906" s="826" t="s">
        <v>1350</v>
      </c>
      <c r="E1906" s="826" t="s">
        <v>1516</v>
      </c>
      <c r="F1906" s="1314" t="s">
        <v>1474</v>
      </c>
      <c r="G1906" s="1314" t="str">
        <f>IF(T1906&lt;&gt;"","Z","")</f>
        <v/>
      </c>
      <c r="H1906" s="1314" t="s">
        <v>1990</v>
      </c>
      <c r="I1906" s="1274"/>
      <c r="J1906" s="1314"/>
      <c r="K1906" s="1314"/>
      <c r="L1906" s="826"/>
      <c r="M1906" s="1329"/>
      <c r="N1906" s="1314"/>
      <c r="O1906" s="1311"/>
      <c r="P1906" s="1311"/>
      <c r="Q1906" s="1311"/>
      <c r="R1906" s="1314" t="s">
        <v>1700</v>
      </c>
      <c r="S1906" s="1311"/>
      <c r="T1906" s="1314" t="str">
        <f t="shared" ref="T1906:T1910" si="301">IF(Q$1069="Yes",28,"")</f>
        <v/>
      </c>
      <c r="U1906" s="1311"/>
      <c r="V1906" s="1311"/>
      <c r="W1906" s="1311"/>
      <c r="X1906" s="1311"/>
      <c r="Y1906" s="1311"/>
      <c r="Z1906" s="1311"/>
    </row>
    <row r="1907" spans="1:26" x14ac:dyDescent="0.25">
      <c r="A1907" s="1011" t="s">
        <v>1478</v>
      </c>
      <c r="B1907" s="826" t="str">
        <f ca="1">_xlfn.CONCAT(IFERROR(SUBSTITUTE(ADDRESS(1,MATCH(A1907,INDIRECT("'"&amp;E1907&amp;"'"&amp;"!A" &amp; $O$1069 + 8 &amp; ":Z" &amp; $O$1069 + 8),0),4),1,""),""),$O$1069+ 8)</f>
        <v>H401</v>
      </c>
      <c r="C1907" s="826" t="str">
        <f ca="1">_xlfn.CONCAT(IFERROR(SUBSTITUTE(ADDRESS(1,MATCH(A1907,INDIRECT("'"&amp;E1907&amp;"'"&amp;"!A" &amp; $O$1069 + 8 &amp; ":Z" &amp; $O$1069 + 8),0),4),1,""),""),$O$1069+ 9)</f>
        <v>H402</v>
      </c>
      <c r="D1907" s="826" t="s">
        <v>1350</v>
      </c>
      <c r="E1907" s="826" t="s">
        <v>1516</v>
      </c>
      <c r="F1907" s="1314" t="s">
        <v>1478</v>
      </c>
      <c r="G1907" s="1314" t="str">
        <f>IF(T1907&lt;&gt;"","V","")</f>
        <v/>
      </c>
      <c r="H1907" s="1314" t="s">
        <v>1990</v>
      </c>
      <c r="I1907" s="1274"/>
      <c r="J1907" s="1314"/>
      <c r="K1907" s="1314"/>
      <c r="L1907" s="826" t="s">
        <v>1478</v>
      </c>
      <c r="M1907" s="1329">
        <v>1207</v>
      </c>
      <c r="N1907" s="1314"/>
      <c r="O1907" s="1311"/>
      <c r="P1907" s="1311"/>
      <c r="Q1907" s="1311"/>
      <c r="R1907" s="1314" t="s">
        <v>1700</v>
      </c>
      <c r="S1907" s="1311"/>
      <c r="T1907" s="1314" t="str">
        <f t="shared" si="301"/>
        <v/>
      </c>
      <c r="U1907" s="1311"/>
      <c r="V1907" s="1311"/>
      <c r="W1907" s="1311"/>
      <c r="X1907" s="1311"/>
      <c r="Y1907" s="1311"/>
      <c r="Z1907" s="1311"/>
    </row>
    <row r="1908" spans="1:26" x14ac:dyDescent="0.25">
      <c r="A1908" s="1011" t="s">
        <v>1135</v>
      </c>
      <c r="B1908" s="826" t="str">
        <f ca="1">_xlfn.CONCAT(IFERROR(SUBSTITUTE(ADDRESS(1,MATCH(A1908,INDIRECT("'"&amp;E1908&amp;"'"&amp;"!A" &amp; $O$1069 + 8 &amp; ":Z" &amp; $O$1069 + 8),0),4),1,""),""),$O$1069+ 8)</f>
        <v>L401</v>
      </c>
      <c r="C1908" s="826" t="str">
        <f ca="1">_xlfn.CONCAT(IFERROR(SUBSTITUTE(ADDRESS(1,MATCH(A1908,INDIRECT("'"&amp;E1908&amp;"'"&amp;"!A" &amp; $O$1069 + 8 &amp; ":Z" &amp; $O$1069 + 8),0),4),1,""),""),$O$1069+ 9)</f>
        <v>L402</v>
      </c>
      <c r="D1908" s="826" t="s">
        <v>1350</v>
      </c>
      <c r="E1908" s="826" t="s">
        <v>1516</v>
      </c>
      <c r="F1908" s="1314" t="s">
        <v>1135</v>
      </c>
      <c r="G1908" s="1314" t="str">
        <f>IF(T1908&lt;&gt;"","W","")</f>
        <v/>
      </c>
      <c r="H1908" s="1314" t="s">
        <v>1990</v>
      </c>
      <c r="I1908" s="1274"/>
      <c r="J1908" s="1314"/>
      <c r="K1908" s="1314"/>
      <c r="L1908" s="826"/>
      <c r="M1908" s="1329"/>
      <c r="N1908" s="1314"/>
      <c r="O1908" s="1311"/>
      <c r="P1908" s="1311"/>
      <c r="Q1908" s="1311"/>
      <c r="R1908" s="1314" t="s">
        <v>1700</v>
      </c>
      <c r="S1908" s="1311"/>
      <c r="T1908" s="1314" t="str">
        <f t="shared" si="301"/>
        <v/>
      </c>
      <c r="U1908" s="1311"/>
      <c r="V1908" s="1311"/>
      <c r="W1908" s="1311"/>
      <c r="X1908" s="1311"/>
      <c r="Y1908" s="1311"/>
      <c r="Z1908" s="1311"/>
    </row>
    <row r="1909" spans="1:26" x14ac:dyDescent="0.25">
      <c r="A1909" s="1011" t="s">
        <v>1480</v>
      </c>
      <c r="B1909" s="826" t="str">
        <f ca="1">_xlfn.CONCAT(IFERROR(SUBSTITUTE(ADDRESS(1,MATCH(A1909,INDIRECT("'"&amp;E1909&amp;"'"&amp;"!A" &amp; $O$1069 + 8 &amp; ":Z" &amp; $O$1069 + 8),0),4),1,""),""),$O$1069+ 8)</f>
        <v>N401</v>
      </c>
      <c r="C1909" s="826" t="str">
        <f ca="1">_xlfn.CONCAT(IFERROR(SUBSTITUTE(ADDRESS(1,MATCH(A1909,INDIRECT("'"&amp;E1909&amp;"'"&amp;"!A" &amp; $O$1069 + 8 &amp; ":Z" &amp; $O$1069 + 8),0),4),1,""),""),$O$1069+ 9)</f>
        <v>N402</v>
      </c>
      <c r="D1909" s="826" t="s">
        <v>1350</v>
      </c>
      <c r="E1909" s="826" t="s">
        <v>1516</v>
      </c>
      <c r="F1909" s="1314" t="s">
        <v>1480</v>
      </c>
      <c r="G1909" s="1314" t="str">
        <f>IF(T1909&lt;&gt;"","X","")</f>
        <v/>
      </c>
      <c r="H1909" s="1314" t="s">
        <v>1990</v>
      </c>
      <c r="I1909" s="1274"/>
      <c r="J1909" s="1314"/>
      <c r="K1909" s="1314"/>
      <c r="L1909" s="826"/>
      <c r="M1909" s="1329"/>
      <c r="N1909" s="1314"/>
      <c r="O1909" s="1311"/>
      <c r="P1909" s="1311"/>
      <c r="Q1909" s="1311"/>
      <c r="R1909" s="1314" t="s">
        <v>1700</v>
      </c>
      <c r="S1909" s="1311"/>
      <c r="T1909" s="1314" t="str">
        <f t="shared" si="301"/>
        <v/>
      </c>
      <c r="U1909" s="1311"/>
      <c r="V1909" s="1311"/>
      <c r="W1909" s="1311"/>
      <c r="X1909" s="1311"/>
      <c r="Y1909" s="1311"/>
      <c r="Z1909" s="1311"/>
    </row>
    <row r="1910" spans="1:26" x14ac:dyDescent="0.25">
      <c r="A1910" s="1011" t="s">
        <v>1134</v>
      </c>
      <c r="B1910" s="826" t="str">
        <f ca="1">_xlfn.CONCAT(IFERROR(SUBSTITUTE(ADDRESS(1,MATCH(A1910,INDIRECT("'"&amp;E1910&amp;"'"&amp;"!A" &amp; $O$1069 + 8 &amp; ":Z" &amp; $O$1069 + 8),0),4),1,""),""),$O$1069+ 8)</f>
        <v>P401</v>
      </c>
      <c r="C1910" s="826" t="str">
        <f ca="1">_xlfn.CONCAT(IFERROR(SUBSTITUTE(ADDRESS(1,MATCH(A1910,INDIRECT("'"&amp;E1910&amp;"'"&amp;"!A" &amp; $O$1069 + 8 &amp; ":Z" &amp; $O$1069 + 8),0),4),1,""),""),$O$1069+ 9)</f>
        <v>P402</v>
      </c>
      <c r="D1910" s="826" t="s">
        <v>1350</v>
      </c>
      <c r="E1910" s="826" t="s">
        <v>1516</v>
      </c>
      <c r="F1910" s="1314" t="s">
        <v>1134</v>
      </c>
      <c r="G1910" s="1314" t="str">
        <f>IF(T1910&lt;&gt;"","Y","")</f>
        <v/>
      </c>
      <c r="H1910" s="1314" t="s">
        <v>1990</v>
      </c>
      <c r="I1910" s="1274"/>
      <c r="J1910" s="1314"/>
      <c r="K1910" s="1314"/>
      <c r="L1910" s="826"/>
      <c r="M1910" s="1329"/>
      <c r="N1910" s="1314"/>
      <c r="O1910" s="1311"/>
      <c r="P1910" s="1311"/>
      <c r="Q1910" s="1311"/>
      <c r="R1910" s="1314" t="s">
        <v>1700</v>
      </c>
      <c r="S1910" s="1311"/>
      <c r="T1910" s="1314" t="str">
        <f t="shared" si="301"/>
        <v/>
      </c>
      <c r="U1910" s="1311"/>
      <c r="V1910" s="1311"/>
      <c r="W1910" s="1311"/>
      <c r="X1910" s="1311"/>
      <c r="Y1910" s="1311"/>
      <c r="Z1910" s="1311"/>
    </row>
    <row r="1911" spans="1:26" x14ac:dyDescent="0.25">
      <c r="A1911" s="847" t="s">
        <v>1603</v>
      </c>
      <c r="B1911" s="826" t="str">
        <f ca="1">_xlfn.CONCAT(IFERROR(SUBSTITUTE(ADDRESS(1,MATCH(A1911,INDIRECT("'"&amp;E1911&amp;"'"&amp;"!A" &amp; $O$1005 + 5 &amp; ":Z" &amp; $O$1005 + 5),0),4),1,""),""),$O$1005 + 5)</f>
        <v>R328</v>
      </c>
      <c r="C1911" s="826" t="str">
        <f ca="1">_xlfn.CONCAT(IFERROR(SUBSTITUTE(ADDRESS(1,MATCH(A1911,INDIRECT("'"&amp;E1911&amp;"'"&amp;"!A" &amp; $O$1005 + 5 &amp; ":Z" &amp; $O$1005 + 5),0),4),1,""),""),$O$1005 + 6)</f>
        <v>R329</v>
      </c>
      <c r="D1911" s="826" t="s">
        <v>1350</v>
      </c>
      <c r="E1911" s="826" t="s">
        <v>1516</v>
      </c>
      <c r="F1911" s="1314" t="s">
        <v>1999</v>
      </c>
      <c r="G1911" s="1314" t="str">
        <f>IF(T1911&lt;&gt;"","AB","")</f>
        <v/>
      </c>
      <c r="H1911" s="1314" t="s">
        <v>1990</v>
      </c>
      <c r="I1911" s="1274" t="str">
        <f t="shared" ref="I1911:I1921" si="302">IF(J1911&lt;&gt;"",A1911,"")</f>
        <v/>
      </c>
      <c r="J1911" s="1314"/>
      <c r="K1911" s="1314" t="str">
        <f t="shared" ref="K1911:K1921" si="303">IF(J1911&lt;&gt;"",E1911,"")</f>
        <v/>
      </c>
      <c r="L1911" s="826"/>
      <c r="M1911" s="1329"/>
      <c r="N1911" s="1314"/>
      <c r="O1911" s="1311"/>
      <c r="P1911" s="1311"/>
      <c r="Q1911" s="1311"/>
      <c r="R1911" s="1314" t="s">
        <v>481</v>
      </c>
      <c r="S1911" s="1311"/>
      <c r="T1911" s="1314" t="str">
        <f>IF(Q$1005="Yes",23,"")</f>
        <v/>
      </c>
      <c r="U1911" s="1311"/>
      <c r="V1911" s="1311"/>
      <c r="W1911" s="1311"/>
      <c r="X1911" s="1311"/>
      <c r="Y1911" s="1311"/>
      <c r="Z1911" s="1311"/>
    </row>
    <row r="1912" spans="1:26" x14ac:dyDescent="0.25">
      <c r="A1912" s="850" t="s">
        <v>1603</v>
      </c>
      <c r="B1912" s="826" t="str">
        <f ca="1">_xlfn.CONCAT(IFERROR(SUBSTITUTE(ADDRESS(1,MATCH(A1912,INDIRECT("'"&amp;E1912&amp;"'"&amp;"!A" &amp; $O$1016 + 5 &amp; ":Z" &amp; $O$1016 + 5),0),4),1,""),""),$O$1016 + 5)</f>
        <v>R342</v>
      </c>
      <c r="C1912" s="826" t="str">
        <f ca="1">_xlfn.CONCAT(IFERROR(SUBSTITUTE(ADDRESS(1,MATCH(A1912,INDIRECT("'"&amp;E1912&amp;"'"&amp;"!A" &amp; $O$1016 + 5 &amp; ":Z" &amp; $O$1016 + 5),0),4),1,""),""),$O$1016 + 6)</f>
        <v>R343</v>
      </c>
      <c r="D1912" s="826" t="s">
        <v>1350</v>
      </c>
      <c r="E1912" s="826" t="s">
        <v>1516</v>
      </c>
      <c r="F1912" s="1314" t="s">
        <v>1999</v>
      </c>
      <c r="G1912" s="1314" t="str">
        <f t="shared" ref="G1912:G1921" si="304">IF(T1912&lt;&gt;"","AB","")</f>
        <v/>
      </c>
      <c r="H1912" s="1314" t="s">
        <v>1990</v>
      </c>
      <c r="I1912" s="1274" t="str">
        <f t="shared" si="302"/>
        <v/>
      </c>
      <c r="J1912" s="1314"/>
      <c r="K1912" s="1314" t="str">
        <f t="shared" si="303"/>
        <v/>
      </c>
      <c r="L1912" s="826"/>
      <c r="M1912" s="1329"/>
      <c r="N1912" s="1314"/>
      <c r="O1912" s="1311"/>
      <c r="P1912" s="1311"/>
      <c r="Q1912" s="1311"/>
      <c r="R1912" s="1314" t="s">
        <v>481</v>
      </c>
      <c r="S1912" s="1311"/>
      <c r="T1912" s="1314" t="str">
        <f>IF(Q$1016="Yes",24,"")</f>
        <v/>
      </c>
      <c r="U1912" s="1311"/>
      <c r="V1912" s="1311"/>
      <c r="W1912" s="1311"/>
      <c r="X1912" s="1311"/>
      <c r="Y1912" s="1311"/>
      <c r="Z1912" s="1311"/>
    </row>
    <row r="1913" spans="1:26" x14ac:dyDescent="0.25">
      <c r="A1913" s="847" t="s">
        <v>1603</v>
      </c>
      <c r="B1913" s="826" t="str">
        <f ca="1">_xlfn.CONCAT(IFERROR(SUBSTITUTE(ADDRESS(1,MATCH(A1913,INDIRECT("'"&amp;E1913&amp;"'"&amp;"!A" &amp; $O$1027 + 5 &amp; ":Z" &amp; $O$1027 + 5),0),4),1,""),""),$O$1027+ 5)</f>
        <v>R356</v>
      </c>
      <c r="C1913" s="826" t="str">
        <f ca="1">_xlfn.CONCAT(IFERROR(SUBSTITUTE(ADDRESS(1,MATCH(A1913,INDIRECT("'"&amp;E1913&amp;"'"&amp;"!A" &amp; $O$1027 + 5 &amp; ":Z" &amp; $O$1027 + 5),0),4),1,""),""),$O$1027+ 6)</f>
        <v>R357</v>
      </c>
      <c r="D1913" s="826" t="s">
        <v>1350</v>
      </c>
      <c r="E1913" s="826" t="s">
        <v>1516</v>
      </c>
      <c r="F1913" s="1314" t="s">
        <v>1999</v>
      </c>
      <c r="G1913" s="1314" t="str">
        <f t="shared" si="304"/>
        <v/>
      </c>
      <c r="H1913" s="1314" t="s">
        <v>1990</v>
      </c>
      <c r="I1913" s="1274" t="str">
        <f t="shared" si="302"/>
        <v/>
      </c>
      <c r="J1913" s="1314"/>
      <c r="K1913" s="1314" t="str">
        <f t="shared" si="303"/>
        <v/>
      </c>
      <c r="L1913" s="826"/>
      <c r="M1913" s="1329"/>
      <c r="N1913" s="1314"/>
      <c r="O1913" s="1311"/>
      <c r="P1913" s="1311"/>
      <c r="Q1913" s="1311"/>
      <c r="R1913" s="1314" t="s">
        <v>481</v>
      </c>
      <c r="S1913" s="1311"/>
      <c r="T1913" s="1314" t="str">
        <f>IF(Q$1027="Yes",25,"")</f>
        <v/>
      </c>
      <c r="U1913" s="1311"/>
      <c r="V1913" s="1311"/>
      <c r="W1913" s="1311"/>
      <c r="X1913" s="1311"/>
      <c r="Y1913" s="1311"/>
      <c r="Z1913" s="1311"/>
    </row>
    <row r="1914" spans="1:26" x14ac:dyDescent="0.25">
      <c r="A1914" s="850" t="s">
        <v>1603</v>
      </c>
      <c r="B1914" s="826" t="str">
        <f ca="1">_xlfn.CONCAT(IFERROR(SUBSTITUTE(ADDRESS(1,MATCH(A1914,INDIRECT("'"&amp;E1914&amp;"'"&amp;"!A" &amp; $O$1052 + 5 &amp; ":Z" &amp; $O$1052 + 5),0),4),1,""),""),$O$1052+ 5)</f>
        <v>R384</v>
      </c>
      <c r="C1914" s="826" t="str">
        <f ca="1">_xlfn.CONCAT(IFERROR(SUBSTITUTE(ADDRESS(1,MATCH(A1914,INDIRECT("'"&amp;E1914&amp;"'"&amp;"!A" &amp; $O$1052 + 5 &amp; ":Z" &amp; $O$1052 + 5),0),4),1,""),""),$O$1052+ 6)</f>
        <v>R385</v>
      </c>
      <c r="D1914" s="826" t="s">
        <v>1350</v>
      </c>
      <c r="E1914" s="826" t="s">
        <v>1516</v>
      </c>
      <c r="F1914" s="1314" t="s">
        <v>1999</v>
      </c>
      <c r="G1914" s="1314" t="str">
        <f t="shared" si="304"/>
        <v/>
      </c>
      <c r="H1914" s="1314" t="s">
        <v>1990</v>
      </c>
      <c r="I1914" s="1274" t="str">
        <f t="shared" si="302"/>
        <v/>
      </c>
      <c r="J1914" s="1314"/>
      <c r="K1914" s="1314" t="str">
        <f t="shared" si="303"/>
        <v/>
      </c>
      <c r="L1914" s="826"/>
      <c r="M1914" s="1329"/>
      <c r="N1914" s="1314"/>
      <c r="O1914" s="1311"/>
      <c r="P1914" s="1311"/>
      <c r="Q1914" s="1311"/>
      <c r="R1914" s="1314" t="s">
        <v>1700</v>
      </c>
      <c r="S1914" s="1311"/>
      <c r="T1914" s="1314" t="str">
        <f>IF(Q$1052="Yes",27,"")</f>
        <v/>
      </c>
      <c r="U1914" s="1311"/>
      <c r="V1914" s="1311"/>
      <c r="W1914" s="1311"/>
      <c r="X1914" s="1311"/>
      <c r="Y1914" s="1311"/>
      <c r="Z1914" s="1311"/>
    </row>
    <row r="1915" spans="1:26" x14ac:dyDescent="0.25">
      <c r="A1915" s="847" t="s">
        <v>1603</v>
      </c>
      <c r="B1915" s="826" t="str">
        <f ca="1">_xlfn.CONCAT(IFERROR(SUBSTITUTE(ADDRESS(1,MATCH(A1915,INDIRECT("'"&amp;E1915&amp;"'"&amp;"!A" &amp; $O$1069 + 5 &amp; ":Z" &amp; $O$1069 + 5),0),4),1,""),""),$O$1069+ 5)</f>
        <v>R398</v>
      </c>
      <c r="C1915" s="826" t="str">
        <f ca="1">_xlfn.CONCAT(IFERROR(SUBSTITUTE(ADDRESS(1,MATCH(A1915,INDIRECT("'"&amp;E1915&amp;"'"&amp;"!A" &amp; $O$1069 + 5 &amp; ":Z" &amp; $O$1069 + 5),0),4),1,""),""),$O$1069+ 6)</f>
        <v>R399</v>
      </c>
      <c r="D1915" s="826" t="s">
        <v>1350</v>
      </c>
      <c r="E1915" s="826" t="s">
        <v>1516</v>
      </c>
      <c r="F1915" s="1314" t="s">
        <v>1999</v>
      </c>
      <c r="G1915" s="1314" t="str">
        <f t="shared" si="304"/>
        <v/>
      </c>
      <c r="H1915" s="1314" t="s">
        <v>1990</v>
      </c>
      <c r="I1915" s="1274" t="str">
        <f t="shared" si="302"/>
        <v/>
      </c>
      <c r="J1915" s="1314"/>
      <c r="K1915" s="1314" t="str">
        <f t="shared" si="303"/>
        <v/>
      </c>
      <c r="L1915" s="826"/>
      <c r="M1915" s="1329"/>
      <c r="N1915" s="1314"/>
      <c r="O1915" s="1311"/>
      <c r="P1915" s="1311"/>
      <c r="Q1915" s="1311"/>
      <c r="R1915" s="1314" t="s">
        <v>1700</v>
      </c>
      <c r="S1915" s="1311"/>
      <c r="T1915" s="1314" t="str">
        <f>IF(Q$1069="Yes",28,"")</f>
        <v/>
      </c>
      <c r="U1915" s="1311"/>
      <c r="V1915" s="1311"/>
      <c r="W1915" s="1311"/>
      <c r="X1915" s="1311"/>
      <c r="Y1915" s="1311"/>
      <c r="Z1915" s="1311"/>
    </row>
    <row r="1916" spans="1:26" x14ac:dyDescent="0.25">
      <c r="A1916" s="850" t="s">
        <v>1603</v>
      </c>
      <c r="B1916" s="826" t="str">
        <f ca="1">_xlfn.CONCAT(IFERROR(SUBSTITUTE(ADDRESS(1,MATCH(A1916,INDIRECT("'"&amp;E1916&amp;"'"&amp;"!A" &amp; $O$1085 + 5 &amp; ":Z" &amp; $O$1085 + 5),0),4),1,""),""),$O$1085+ 5)</f>
        <v>R412</v>
      </c>
      <c r="C1916" s="826" t="str">
        <f ca="1">_xlfn.CONCAT(IFERROR(SUBSTITUTE(ADDRESS(1,MATCH(A1916,INDIRECT("'"&amp;E1916&amp;"'"&amp;"!A" &amp; $O$1085 + 5 &amp; ":Z" &amp; $O$1085 + 5),0),4),1,""),""),$O$1085+ 6)</f>
        <v>R413</v>
      </c>
      <c r="D1916" s="826" t="s">
        <v>1350</v>
      </c>
      <c r="E1916" s="826" t="s">
        <v>1516</v>
      </c>
      <c r="F1916" s="1314" t="s">
        <v>1999</v>
      </c>
      <c r="G1916" s="1314" t="str">
        <f t="shared" si="304"/>
        <v/>
      </c>
      <c r="H1916" s="1314" t="s">
        <v>1990</v>
      </c>
      <c r="I1916" s="1274" t="str">
        <f t="shared" si="302"/>
        <v/>
      </c>
      <c r="J1916" s="1314"/>
      <c r="K1916" s="1314" t="str">
        <f t="shared" si="303"/>
        <v/>
      </c>
      <c r="L1916" s="826"/>
      <c r="M1916" s="1329"/>
      <c r="N1916" s="1314"/>
      <c r="O1916" s="1311"/>
      <c r="P1916" s="1311"/>
      <c r="Q1916" s="1311"/>
      <c r="R1916" s="1314" t="s">
        <v>1099</v>
      </c>
      <c r="S1916" s="1311"/>
      <c r="T1916" s="1314" t="str">
        <f>IF(Q$1085="Yes",29,"")</f>
        <v/>
      </c>
      <c r="U1916" s="1311"/>
      <c r="V1916" s="1311"/>
      <c r="W1916" s="1311"/>
      <c r="X1916" s="1311"/>
      <c r="Y1916" s="1311"/>
      <c r="Z1916" s="1311"/>
    </row>
    <row r="1917" spans="1:26" x14ac:dyDescent="0.25">
      <c r="A1917" s="847" t="s">
        <v>1603</v>
      </c>
      <c r="B1917" s="826" t="str">
        <f ca="1">_xlfn.CONCAT(IFERROR(SUBSTITUTE(ADDRESS(1,MATCH(A1917,INDIRECT("'"&amp;E1917&amp;"'"&amp;"!A" &amp; $O$1095 + 5 &amp; ":Z" &amp; $O$1095 + 5 ),0),4),1,""),""),$O$1095+ 5)</f>
        <v>R426</v>
      </c>
      <c r="C1917" s="826" t="str">
        <f ca="1">_xlfn.CONCAT(IFERROR(SUBSTITUTE(ADDRESS(1,MATCH(A1917,INDIRECT("'"&amp;E1917&amp;"'"&amp;"!A" &amp; $O$1095 + 5 &amp; ":Z" &amp; $O$1095 + 5 ),0),4),1,""),""),$O$1095+ 6)</f>
        <v>R427</v>
      </c>
      <c r="D1917" s="826" t="s">
        <v>1350</v>
      </c>
      <c r="E1917" s="826" t="s">
        <v>1516</v>
      </c>
      <c r="F1917" s="1314" t="s">
        <v>1999</v>
      </c>
      <c r="G1917" s="1314" t="str">
        <f t="shared" si="304"/>
        <v/>
      </c>
      <c r="H1917" s="1314" t="s">
        <v>1990</v>
      </c>
      <c r="I1917" s="1274" t="str">
        <f t="shared" si="302"/>
        <v/>
      </c>
      <c r="J1917" s="1314"/>
      <c r="K1917" s="1314" t="str">
        <f t="shared" si="303"/>
        <v/>
      </c>
      <c r="L1917" s="826"/>
      <c r="M1917" s="1329"/>
      <c r="N1917" s="1314"/>
      <c r="O1917" s="1311"/>
      <c r="P1917" s="1311"/>
      <c r="Q1917" s="1311"/>
      <c r="R1917" s="1314" t="s">
        <v>1099</v>
      </c>
      <c r="S1917" s="1311"/>
      <c r="T1917" s="1314" t="str">
        <f>IF(Q$1095="Yes",30,"")</f>
        <v/>
      </c>
      <c r="U1917" s="1311"/>
      <c r="V1917" s="1311"/>
      <c r="W1917" s="1311"/>
      <c r="X1917" s="1311"/>
      <c r="Y1917" s="1311"/>
      <c r="Z1917" s="1311"/>
    </row>
    <row r="1918" spans="1:26" x14ac:dyDescent="0.25">
      <c r="A1918" s="850" t="s">
        <v>1603</v>
      </c>
      <c r="B1918" s="826" t="str">
        <f ca="1">_xlfn.CONCAT(IFERROR(SUBSTITUTE(ADDRESS(1,MATCH(A1918,INDIRECT("'"&amp;E1918&amp;"'"&amp;"!A" &amp; $O$1105 + 5 &amp; ":Z" &amp; $O$1105 + 5),0),4),1,""),""),$O$1105+ 5)</f>
        <v>R440</v>
      </c>
      <c r="C1918" s="826" t="str">
        <f ca="1">_xlfn.CONCAT(IFERROR(SUBSTITUTE(ADDRESS(1,MATCH(A1918,INDIRECT("'"&amp;E1918&amp;"'"&amp;"!A" &amp; $O$1105 + 5 &amp; ":Z" &amp; $O$1105 + 5),0),4),1,""),""),$O$1105+ 6)</f>
        <v>R441</v>
      </c>
      <c r="D1918" s="826" t="s">
        <v>1350</v>
      </c>
      <c r="E1918" s="826" t="s">
        <v>1516</v>
      </c>
      <c r="F1918" s="1314" t="s">
        <v>1999</v>
      </c>
      <c r="G1918" s="1314" t="str">
        <f t="shared" si="304"/>
        <v/>
      </c>
      <c r="H1918" s="1314" t="s">
        <v>1990</v>
      </c>
      <c r="I1918" s="1274" t="str">
        <f t="shared" si="302"/>
        <v/>
      </c>
      <c r="J1918" s="1314"/>
      <c r="K1918" s="1314" t="str">
        <f t="shared" si="303"/>
        <v/>
      </c>
      <c r="L1918" s="826"/>
      <c r="M1918" s="1329"/>
      <c r="N1918" s="1314"/>
      <c r="O1918" s="1311"/>
      <c r="P1918" s="1311"/>
      <c r="Q1918" s="1311"/>
      <c r="R1918" s="1314" t="s">
        <v>1099</v>
      </c>
      <c r="S1918" s="1311"/>
      <c r="T1918" s="1314" t="str">
        <f>IF(Q$1105="Yes",31,"")</f>
        <v/>
      </c>
      <c r="U1918" s="1311"/>
      <c r="V1918" s="1311"/>
      <c r="W1918" s="1311"/>
      <c r="X1918" s="1311"/>
      <c r="Y1918" s="1311"/>
      <c r="Z1918" s="1311"/>
    </row>
    <row r="1919" spans="1:26" x14ac:dyDescent="0.25">
      <c r="A1919" s="847" t="s">
        <v>1603</v>
      </c>
      <c r="B1919" s="826" t="str">
        <f ca="1">_xlfn.CONCAT(IFERROR(SUBSTITUTE(ADDRESS(1,MATCH(A1919,INDIRECT("'"&amp;E1919&amp;"'"&amp;"!A" &amp; $O$1134 + 5 &amp; ":Z" &amp; $O$1134 + 5),0),4),1,""),""),$O$1134+ 5)</f>
        <v>R454</v>
      </c>
      <c r="C1919" s="826" t="str">
        <f ca="1">_xlfn.CONCAT(IFERROR(SUBSTITUTE(ADDRESS(1,MATCH(A1919,INDIRECT("'"&amp;E1919&amp;"'"&amp;"!A" &amp; $O$1134 + 5 &amp; ":Z" &amp; $O$1134 + 5),0),4),1,""),""),$O$1134+ 6)</f>
        <v>R455</v>
      </c>
      <c r="D1919" s="826" t="s">
        <v>1350</v>
      </c>
      <c r="E1919" s="826" t="s">
        <v>1516</v>
      </c>
      <c r="F1919" s="1314" t="s">
        <v>1999</v>
      </c>
      <c r="G1919" s="1314" t="str">
        <f t="shared" si="304"/>
        <v/>
      </c>
      <c r="H1919" s="1314" t="s">
        <v>1990</v>
      </c>
      <c r="I1919" s="1274" t="str">
        <f t="shared" si="302"/>
        <v/>
      </c>
      <c r="J1919" s="1314"/>
      <c r="K1919" s="1314" t="str">
        <f t="shared" si="303"/>
        <v/>
      </c>
      <c r="L1919" s="826"/>
      <c r="M1919" s="1329"/>
      <c r="N1919" s="1314"/>
      <c r="O1919" s="1311"/>
      <c r="P1919" s="1311"/>
      <c r="Q1919" s="1311"/>
      <c r="R1919" s="1314" t="s">
        <v>1099</v>
      </c>
      <c r="S1919" s="1311"/>
      <c r="T1919" s="1314" t="str">
        <f>IF(Q$1134="Yes",32,"")</f>
        <v/>
      </c>
      <c r="U1919" s="1311"/>
      <c r="V1919" s="1311"/>
      <c r="W1919" s="1311"/>
      <c r="X1919" s="1311"/>
      <c r="Y1919" s="1311"/>
      <c r="Z1919" s="1311"/>
    </row>
    <row r="1920" spans="1:26" x14ac:dyDescent="0.25">
      <c r="A1920" s="850" t="s">
        <v>1603</v>
      </c>
      <c r="B1920" s="826" t="str">
        <f ca="1">_xlfn.CONCAT(IFERROR(SUBSTITUTE(ADDRESS(1,MATCH(A1920,INDIRECT("'"&amp;E1920&amp;"'"&amp;"!A" &amp; $O$1163 + 5 &amp; ":Z" &amp; $O$1163 + 5),0),4),1,""),""),$O$1163+ 5)</f>
        <v>R468</v>
      </c>
      <c r="C1920" s="826" t="str">
        <f ca="1">_xlfn.CONCAT(IFERROR(SUBSTITUTE(ADDRESS(1,MATCH(A1920,INDIRECT("'"&amp;E1920&amp;"'"&amp;"!A" &amp; $O$1163 + 5 &amp; ":Z" &amp; $O$1163 + 5),0),4),1,""),""),$O$1163+ 6)</f>
        <v>R469</v>
      </c>
      <c r="D1920" s="826" t="s">
        <v>1350</v>
      </c>
      <c r="E1920" s="826" t="s">
        <v>1516</v>
      </c>
      <c r="F1920" s="1314" t="s">
        <v>1999</v>
      </c>
      <c r="G1920" s="1314" t="str">
        <f t="shared" si="304"/>
        <v/>
      </c>
      <c r="H1920" s="1314" t="s">
        <v>1990</v>
      </c>
      <c r="I1920" s="1274" t="str">
        <f t="shared" si="302"/>
        <v/>
      </c>
      <c r="J1920" s="1314"/>
      <c r="K1920" s="1314" t="str">
        <f t="shared" si="303"/>
        <v/>
      </c>
      <c r="L1920" s="826"/>
      <c r="M1920" s="1329"/>
      <c r="N1920" s="1314"/>
      <c r="O1920" s="1311"/>
      <c r="P1920" s="1311"/>
      <c r="Q1920" s="1311"/>
      <c r="R1920" s="1314" t="s">
        <v>1099</v>
      </c>
      <c r="S1920" s="1311"/>
      <c r="T1920" s="1314" t="str">
        <f>IF(Q$1163="Yes",33,"")</f>
        <v/>
      </c>
      <c r="U1920" s="1311"/>
      <c r="V1920" s="1311"/>
      <c r="W1920" s="1311"/>
      <c r="X1920" s="1311"/>
      <c r="Y1920" s="1311"/>
      <c r="Z1920" s="1311"/>
    </row>
    <row r="1921" spans="1:26" x14ac:dyDescent="0.25">
      <c r="A1921" s="847" t="s">
        <v>1603</v>
      </c>
      <c r="B1921" s="826" t="str">
        <f ca="1">_xlfn.CONCAT(IFERROR(SUBSTITUTE(ADDRESS(1,MATCH(A1921,INDIRECT("'"&amp;E1921&amp;"'"&amp;"!A" &amp; $O$1188 + 5 &amp; ":Z" &amp; $O$1188 + 5),0),4),1,""),""),$O$1188+ 5)</f>
        <v>R482</v>
      </c>
      <c r="C1921" s="826" t="str">
        <f ca="1">_xlfn.CONCAT(IFERROR(SUBSTITUTE(ADDRESS(1,MATCH(A1921,INDIRECT("'"&amp;E1921&amp;"'"&amp;"!A" &amp; $O$1188 + 5 &amp; ":Z" &amp; $O$1188 + 5),0),4),1,""),""),$O$1188+ 6)</f>
        <v>R483</v>
      </c>
      <c r="D1921" s="826" t="s">
        <v>1350</v>
      </c>
      <c r="E1921" s="826" t="s">
        <v>1516</v>
      </c>
      <c r="F1921" s="1314" t="s">
        <v>1999</v>
      </c>
      <c r="G1921" s="1314" t="str">
        <f t="shared" si="304"/>
        <v/>
      </c>
      <c r="H1921" s="1314" t="s">
        <v>1990</v>
      </c>
      <c r="I1921" s="1274" t="str">
        <f t="shared" si="302"/>
        <v/>
      </c>
      <c r="J1921" s="1314"/>
      <c r="K1921" s="1314" t="str">
        <f t="shared" si="303"/>
        <v/>
      </c>
      <c r="L1921" s="826"/>
      <c r="M1921" s="1329"/>
      <c r="N1921" s="1314"/>
      <c r="O1921" s="1311"/>
      <c r="P1921" s="1311"/>
      <c r="Q1921" s="1311"/>
      <c r="R1921" s="1314" t="s">
        <v>1099</v>
      </c>
      <c r="S1921" s="1311"/>
      <c r="T1921" s="1314" t="str">
        <f>IF(Q$1188="Yes",34,"")</f>
        <v/>
      </c>
      <c r="U1921" s="1311"/>
      <c r="V1921" s="1311"/>
      <c r="W1921" s="1311"/>
      <c r="X1921" s="1311"/>
      <c r="Y1921" s="1311"/>
      <c r="Z1921" s="1311"/>
    </row>
    <row r="1922" spans="1:26" x14ac:dyDescent="0.25">
      <c r="A1922" s="846" t="s">
        <v>1501</v>
      </c>
      <c r="B1922" s="826" t="str">
        <f ca="1">_xlfn.CONCAT(IFERROR(SUBSTITUTE(ADDRESS(1,MATCH(A1922,INDIRECT("'"&amp;E1922&amp;"'"&amp;"!A" &amp; $O$570+5 &amp; ":Z" &amp; $O$570+5),0),4),1,""),""),$O$570+5)</f>
        <v>N36</v>
      </c>
      <c r="C1922" s="826" t="str">
        <f ca="1">_xlfn.CONCAT(IFERROR(SUBSTITUTE(ADDRESS(1,MATCH(A1922,INDIRECT("'"&amp;E1922&amp;"'"&amp;"!A" &amp; $O$570+5 &amp; ":Z" &amp; $O$570+5),0),4),1,""),""),$O$570+6)</f>
        <v>N37</v>
      </c>
      <c r="D1922" s="826" t="s">
        <v>1350</v>
      </c>
      <c r="E1922" s="826" t="s">
        <v>1516</v>
      </c>
      <c r="F1922" s="841" t="s">
        <v>1985</v>
      </c>
      <c r="G1922" s="1314" t="str">
        <f>IF(T1922&lt;&gt;"","AJ","")</f>
        <v/>
      </c>
      <c r="H1922" s="1314" t="s">
        <v>1990</v>
      </c>
      <c r="I1922" s="1274"/>
      <c r="J1922" s="1314"/>
      <c r="K1922" s="1314"/>
      <c r="L1922" s="1314"/>
      <c r="M1922" s="1329"/>
      <c r="N1922" s="1314"/>
      <c r="O1922" s="1311"/>
      <c r="P1922" s="1311"/>
      <c r="Q1922" s="1311"/>
      <c r="R1922" s="1314" t="s">
        <v>851</v>
      </c>
      <c r="S1922" s="1311"/>
      <c r="T1922" s="1314" t="str">
        <f t="shared" ref="T1922" si="305">IF(Q$570="Yes",3,"")</f>
        <v/>
      </c>
      <c r="U1922" s="1311"/>
      <c r="V1922" s="1311"/>
      <c r="W1922" s="1311"/>
      <c r="X1922" s="1311"/>
      <c r="Y1922" s="1311"/>
      <c r="Z1922" s="1311"/>
    </row>
    <row r="1923" spans="1:26" x14ac:dyDescent="0.25">
      <c r="A1923" s="849" t="s">
        <v>1501</v>
      </c>
      <c r="B1923" s="826" t="str">
        <f ca="1">_xlfn.CONCAT(IFERROR(SUBSTITUTE(ADDRESS(1,MATCH(A1923,INDIRECT("'"&amp;E1923&amp;"'"&amp;"!A" &amp; $O$589+5 &amp; ":Z" &amp; $O$589+5),0),4),1,""),""),$O$589+5)</f>
        <v>N50</v>
      </c>
      <c r="C1923" s="826" t="str">
        <f ca="1">_xlfn.CONCAT(IFERROR(SUBSTITUTE(ADDRESS(1,MATCH(A1923,INDIRECT("'"&amp;E1923&amp;"'"&amp;"!A" &amp; $O$589+5 &amp; ":Z" &amp; $O$589+5),0),4),1,""),""),$O$589+6)</f>
        <v>N51</v>
      </c>
      <c r="D1923" s="826" t="s">
        <v>1350</v>
      </c>
      <c r="E1923" s="826" t="s">
        <v>1516</v>
      </c>
      <c r="F1923" s="841" t="s">
        <v>1985</v>
      </c>
      <c r="G1923" s="1314" t="str">
        <f t="shared" ref="G1923:G1933" si="306">IF(T1923&lt;&gt;"","AJ","")</f>
        <v/>
      </c>
      <c r="H1923" s="1314" t="s">
        <v>1990</v>
      </c>
      <c r="I1923" s="1274"/>
      <c r="J1923" s="1314"/>
      <c r="K1923" s="1314"/>
      <c r="L1923" s="1314"/>
      <c r="M1923" s="1329"/>
      <c r="N1923" s="1314"/>
      <c r="O1923" s="1311"/>
      <c r="P1923" s="1311"/>
      <c r="Q1923" s="1311"/>
      <c r="R1923" s="1314" t="s">
        <v>851</v>
      </c>
      <c r="S1923" s="1311"/>
      <c r="T1923" s="1314" t="str">
        <f t="shared" ref="T1923" si="307">IF(Q$589="Yes",4,"")</f>
        <v/>
      </c>
      <c r="U1923" s="1311"/>
      <c r="V1923" s="1311"/>
      <c r="W1923" s="1311"/>
      <c r="X1923" s="1311"/>
      <c r="Y1923" s="1311"/>
      <c r="Z1923" s="1311"/>
    </row>
    <row r="1924" spans="1:26" x14ac:dyDescent="0.25">
      <c r="A1924" s="847" t="s">
        <v>1501</v>
      </c>
      <c r="B1924" s="826" t="str">
        <f ca="1">_xlfn.CONCAT(IFERROR(SUBSTITUTE(ADDRESS(1,MATCH(A1924,INDIRECT("'"&amp;E1924&amp;"'"&amp;"!A" &amp; $O$670 + 5 &amp; ":Z" &amp; $O$670 + 5),0),4),1,""),""),$O$670 + 5)</f>
        <v>N96</v>
      </c>
      <c r="C1924" s="826" t="str">
        <f ca="1">_xlfn.CONCAT(IFERROR(SUBSTITUTE(ADDRESS(1,MATCH(A1924,INDIRECT("'"&amp;E1924&amp;"'"&amp;"!A" &amp; $O$670 + 5 &amp; ":Z" &amp; $O$670 + 5),0),4),1,""),""),$O$670 + 6)</f>
        <v>N97</v>
      </c>
      <c r="D1924" s="826" t="s">
        <v>1350</v>
      </c>
      <c r="E1924" s="826" t="s">
        <v>1516</v>
      </c>
      <c r="F1924" s="841" t="s">
        <v>1985</v>
      </c>
      <c r="G1924" s="1314" t="str">
        <f t="shared" si="306"/>
        <v/>
      </c>
      <c r="H1924" s="1314" t="s">
        <v>1990</v>
      </c>
      <c r="I1924" s="1274"/>
      <c r="J1924" s="1314"/>
      <c r="K1924" s="1314"/>
      <c r="L1924" s="1314"/>
      <c r="M1924" s="1329"/>
      <c r="N1924" s="1314"/>
      <c r="O1924" s="1311"/>
      <c r="P1924" s="1311"/>
      <c r="Q1924" s="1311"/>
      <c r="R1924" s="1314" t="s">
        <v>1525</v>
      </c>
      <c r="S1924" s="1311"/>
      <c r="T1924" s="1314" t="str">
        <f t="shared" ref="T1924" si="308">IF(Q$670="Yes",7,"")</f>
        <v/>
      </c>
      <c r="U1924" s="1311"/>
      <c r="V1924" s="1311"/>
      <c r="W1924" s="1311"/>
      <c r="X1924" s="1311"/>
      <c r="Y1924" s="1311"/>
      <c r="Z1924" s="1311"/>
    </row>
    <row r="1925" spans="1:26" x14ac:dyDescent="0.25">
      <c r="A1925" s="850" t="s">
        <v>1501</v>
      </c>
      <c r="B1925" s="826" t="str">
        <f ca="1">_xlfn.CONCAT(IFERROR(SUBSTITUTE(ADDRESS(1,MATCH(A1925,INDIRECT("'"&amp;E1925&amp;"'"&amp;"!A" &amp; $O$688 + 5 &amp; ":Z" &amp; $O$688 + 5),0),4),1,""),""),$O$688 + 5)</f>
        <v>N110</v>
      </c>
      <c r="C1925" s="826" t="str">
        <f ca="1">_xlfn.CONCAT(IFERROR(SUBSTITUTE(ADDRESS(1,MATCH(A1925,INDIRECT("'"&amp;E1925&amp;"'"&amp;"!A" &amp; $O$688 + 5 &amp; ":Z" &amp; $O$688 + 5),0),4),1,""),""),$O$688 + 6)</f>
        <v>N111</v>
      </c>
      <c r="D1925" s="826" t="s">
        <v>1350</v>
      </c>
      <c r="E1925" s="826" t="s">
        <v>1516</v>
      </c>
      <c r="F1925" s="841" t="s">
        <v>1985</v>
      </c>
      <c r="G1925" s="1314" t="str">
        <f t="shared" si="306"/>
        <v/>
      </c>
      <c r="H1925" s="1314" t="s">
        <v>1990</v>
      </c>
      <c r="I1925" s="1274"/>
      <c r="J1925" s="1314"/>
      <c r="K1925" s="1314"/>
      <c r="L1925" s="1314"/>
      <c r="M1925" s="1329"/>
      <c r="N1925" s="1314"/>
      <c r="O1925" s="1311"/>
      <c r="P1925" s="1311"/>
      <c r="Q1925" s="1311"/>
      <c r="R1925" s="1314" t="s">
        <v>1525</v>
      </c>
      <c r="S1925" s="1311"/>
      <c r="T1925" s="1314" t="str">
        <f t="shared" ref="T1925" si="309">IF(Q$688="Yes",8,"")</f>
        <v/>
      </c>
      <c r="U1925" s="1311"/>
      <c r="V1925" s="1311"/>
      <c r="W1925" s="1311"/>
      <c r="X1925" s="1311"/>
      <c r="Y1925" s="1311"/>
      <c r="Z1925" s="1311"/>
    </row>
    <row r="1926" spans="1:26" x14ac:dyDescent="0.25">
      <c r="A1926" s="847" t="s">
        <v>1501</v>
      </c>
      <c r="B1926" s="826" t="str">
        <f ca="1">_xlfn.CONCAT(IFERROR(SUBSTITUTE(ADDRESS(1,MATCH(A1926,INDIRECT("'"&amp;E1926&amp;"'"&amp;"!A" &amp; $O$796 + 5 &amp; ":Z" &amp; $O$796+ 5),0),4),1,""),""),$O$796 + 5)</f>
        <v>N184</v>
      </c>
      <c r="C1926" s="826" t="str">
        <f ca="1">_xlfn.CONCAT(IFERROR(SUBSTITUTE(ADDRESS(1,MATCH(A1926,INDIRECT("'"&amp;E1926&amp;"'"&amp;"!A" &amp; $O$796 + 5 &amp; ":Z" &amp; $O$796+ 5),0),4),1,""),""),$O$796 + 6)</f>
        <v>N185</v>
      </c>
      <c r="D1926" s="826" t="s">
        <v>1350</v>
      </c>
      <c r="E1926" s="826" t="s">
        <v>1516</v>
      </c>
      <c r="F1926" s="841" t="s">
        <v>1985</v>
      </c>
      <c r="G1926" s="1314" t="str">
        <f t="shared" si="306"/>
        <v/>
      </c>
      <c r="H1926" s="1314" t="s">
        <v>1990</v>
      </c>
      <c r="I1926" s="1274"/>
      <c r="J1926" s="1314"/>
      <c r="K1926" s="1314"/>
      <c r="L1926" s="1314"/>
      <c r="M1926" s="1329"/>
      <c r="N1926" s="1314"/>
      <c r="O1926" s="1311"/>
      <c r="P1926" s="1311"/>
      <c r="Q1926" s="1311"/>
      <c r="R1926" s="1314" t="s">
        <v>1531</v>
      </c>
      <c r="S1926" s="1311"/>
      <c r="T1926" s="1314" t="str">
        <f t="shared" ref="T1926" si="310">IF(Q$796="Yes",13,"")</f>
        <v/>
      </c>
      <c r="U1926" s="1311"/>
      <c r="V1926" s="1311"/>
      <c r="W1926" s="1311"/>
      <c r="X1926" s="1311"/>
      <c r="Y1926" s="1311"/>
      <c r="Z1926" s="1311"/>
    </row>
    <row r="1927" spans="1:26" x14ac:dyDescent="0.25">
      <c r="A1927" s="850" t="s">
        <v>1501</v>
      </c>
      <c r="B1927" s="826" t="str">
        <f ca="1">_xlfn.CONCAT(IFERROR(SUBSTITUTE(ADDRESS(1,MATCH(A1927,INDIRECT("'"&amp;E1927&amp;"'"&amp;"!A" &amp; $O$814 + 5 &amp; ":Z" &amp; $O$814+ 5),0),4),1,""),""),$O$814 + 5)</f>
        <v>N198</v>
      </c>
      <c r="C1927" s="826" t="str">
        <f ca="1">_xlfn.CONCAT(IFERROR(SUBSTITUTE(ADDRESS(1,MATCH(A1927,INDIRECT("'"&amp;E1927&amp;"'"&amp;"!A" &amp; $O$814 + 5 &amp; ":Z" &amp; $O$814+ 5),0),4),1,""),""),$O$814 + 6)</f>
        <v>N199</v>
      </c>
      <c r="D1927" s="826" t="s">
        <v>1350</v>
      </c>
      <c r="E1927" s="826" t="s">
        <v>1516</v>
      </c>
      <c r="F1927" s="841" t="s">
        <v>1985</v>
      </c>
      <c r="G1927" s="1314" t="str">
        <f t="shared" si="306"/>
        <v/>
      </c>
      <c r="H1927" s="1314" t="s">
        <v>1990</v>
      </c>
      <c r="I1927" s="1274"/>
      <c r="J1927" s="1314"/>
      <c r="K1927" s="1314"/>
      <c r="L1927" s="1314"/>
      <c r="M1927" s="1329"/>
      <c r="N1927" s="1314"/>
      <c r="O1927" s="1311"/>
      <c r="P1927" s="1311"/>
      <c r="Q1927" s="1311"/>
      <c r="R1927" s="1314" t="s">
        <v>1531</v>
      </c>
      <c r="S1927" s="1311"/>
      <c r="T1927" s="1314" t="str">
        <f t="shared" ref="T1927" si="311">IF(Q$814="Yes",14,"")</f>
        <v/>
      </c>
      <c r="U1927" s="1311"/>
      <c r="V1927" s="1311"/>
      <c r="W1927" s="1311"/>
      <c r="X1927" s="1311"/>
      <c r="Y1927" s="1311"/>
      <c r="Z1927" s="1311"/>
    </row>
    <row r="1928" spans="1:26" x14ac:dyDescent="0.25">
      <c r="A1928" s="847" t="s">
        <v>1501</v>
      </c>
      <c r="B1928" s="826" t="str">
        <f ca="1">_xlfn.CONCAT(IFERROR(SUBSTITUTE(ADDRESS(1,MATCH(A1928,INDIRECT("'"&amp;E1928&amp;"'"&amp;"!A" &amp; $O$892 + 5 &amp; ":Z" &amp; $O$892+ 5),0),4),1,""),""),$O$892 + 5)</f>
        <v>N244</v>
      </c>
      <c r="C1928" s="826" t="str">
        <f ca="1">_xlfn.CONCAT(IFERROR(SUBSTITUTE(ADDRESS(1,MATCH(A1928,INDIRECT("'"&amp;E1928&amp;"'"&amp;"!A" &amp; $O$892 + 5 &amp; ":Z" &amp; $O$892+ 5),0),4),1,""),""),$O$892 + 6)</f>
        <v>N245</v>
      </c>
      <c r="D1928" s="826" t="s">
        <v>1350</v>
      </c>
      <c r="E1928" s="826" t="s">
        <v>1516</v>
      </c>
      <c r="F1928" s="841" t="s">
        <v>1985</v>
      </c>
      <c r="G1928" s="1314" t="str">
        <f t="shared" si="306"/>
        <v/>
      </c>
      <c r="H1928" s="1314" t="s">
        <v>1990</v>
      </c>
      <c r="I1928" s="1274"/>
      <c r="J1928" s="1314"/>
      <c r="K1928" s="1314"/>
      <c r="L1928" s="1314"/>
      <c r="M1928" s="1329"/>
      <c r="N1928" s="1314"/>
      <c r="O1928" s="1311"/>
      <c r="P1928" s="1311"/>
      <c r="Q1928" s="1311"/>
      <c r="R1928" s="1314" t="s">
        <v>395</v>
      </c>
      <c r="S1928" s="1311"/>
      <c r="T1928" s="1314" t="str">
        <f t="shared" ref="T1928" si="312">IF(Q$892="Yes",17,"")</f>
        <v/>
      </c>
      <c r="U1928" s="1311"/>
      <c r="V1928" s="1311"/>
      <c r="W1928" s="1311"/>
      <c r="X1928" s="1311"/>
      <c r="Y1928" s="1311"/>
      <c r="Z1928" s="1311"/>
    </row>
    <row r="1929" spans="1:26" x14ac:dyDescent="0.25">
      <c r="A1929" s="992" t="s">
        <v>1501</v>
      </c>
      <c r="B1929" s="826" t="str">
        <f ca="1">_xlfn.CONCAT(IFERROR(SUBSTITUTE(ADDRESS(1,MATCH(A1929,INDIRECT("'"&amp;E1929&amp;"'"&amp;"!A" &amp; $O$911 + 5 &amp; ":Z" &amp; $O$911 + 5),0),4),1,""),""),$O$911 + 5)</f>
        <v>N258</v>
      </c>
      <c r="C1929" s="826" t="str">
        <f ca="1">_xlfn.CONCAT(IFERROR(SUBSTITUTE(ADDRESS(1,MATCH(A1929,INDIRECT("'"&amp;E1929&amp;"'"&amp;"!A" &amp; $O$911 + 5 &amp; ":Z" &amp; $O$911 + 5),0),4),1,""),""),$O$911 + 6)</f>
        <v>N259</v>
      </c>
      <c r="D1929" s="826" t="s">
        <v>1350</v>
      </c>
      <c r="E1929" s="826" t="s">
        <v>1516</v>
      </c>
      <c r="F1929" s="841" t="s">
        <v>1985</v>
      </c>
      <c r="G1929" s="1314" t="str">
        <f t="shared" si="306"/>
        <v/>
      </c>
      <c r="H1929" s="1314" t="s">
        <v>1990</v>
      </c>
      <c r="I1929" s="1274"/>
      <c r="J1929" s="1314"/>
      <c r="K1929" s="1314"/>
      <c r="L1929" s="1314"/>
      <c r="M1929" s="1329"/>
      <c r="N1929" s="1314"/>
      <c r="O1929" s="1311"/>
      <c r="P1929" s="1311"/>
      <c r="Q1929" s="1311"/>
      <c r="R1929" s="1314" t="s">
        <v>395</v>
      </c>
      <c r="S1929" s="1311"/>
      <c r="T1929" s="1314" t="str">
        <f t="shared" ref="T1929" si="313">IF(Q$911="Yes",18,"")</f>
        <v/>
      </c>
      <c r="U1929" s="1311"/>
      <c r="V1929" s="1311"/>
      <c r="W1929" s="1311"/>
      <c r="X1929" s="1311"/>
      <c r="Y1929" s="1311"/>
      <c r="Z1929" s="1311"/>
    </row>
    <row r="1930" spans="1:26" x14ac:dyDescent="0.25">
      <c r="A1930" s="1011" t="s">
        <v>1501</v>
      </c>
      <c r="B1930" s="826" t="str">
        <f ca="1">_xlfn.CONCAT(IFERROR(SUBSTITUTE(ADDRESS(1,MATCH(A1930,INDIRECT("'"&amp;E1930&amp;"'"&amp;"!A" &amp; $O$930 + 5 &amp; ":Z" &amp; $O$930 + 5),0),4),1,""),""),$O$930 + 5)</f>
        <v>N272</v>
      </c>
      <c r="C1930" s="826" t="str">
        <f ca="1">_xlfn.CONCAT(IFERROR(SUBSTITUTE(ADDRESS(1,MATCH(A1930,INDIRECT("'"&amp;E1930&amp;"'"&amp;"!A" &amp; $O$930 + 5 &amp; ":Z" &amp; $O$930 + 5),0),4),1,""),""),$O$930 + 6)</f>
        <v>N273</v>
      </c>
      <c r="D1930" s="826" t="s">
        <v>1350</v>
      </c>
      <c r="E1930" s="826" t="s">
        <v>1516</v>
      </c>
      <c r="F1930" s="841" t="s">
        <v>1985</v>
      </c>
      <c r="G1930" s="1314" t="str">
        <f t="shared" si="306"/>
        <v/>
      </c>
      <c r="H1930" s="1314" t="s">
        <v>1990</v>
      </c>
      <c r="I1930" s="1274"/>
      <c r="J1930" s="1314"/>
      <c r="K1930" s="1314"/>
      <c r="L1930" s="1314"/>
      <c r="M1930" s="1329"/>
      <c r="N1930" s="1314"/>
      <c r="O1930" s="1311"/>
      <c r="P1930" s="1311"/>
      <c r="Q1930" s="1311"/>
      <c r="R1930" s="1314" t="s">
        <v>395</v>
      </c>
      <c r="S1930" s="1311"/>
      <c r="T1930" s="1314" t="str">
        <f t="shared" ref="T1930" si="314">IF(Q$930="Yes",19,"")</f>
        <v/>
      </c>
      <c r="U1930" s="1311"/>
      <c r="V1930" s="1311"/>
      <c r="W1930" s="1311"/>
      <c r="X1930" s="1311"/>
      <c r="Y1930" s="1311"/>
      <c r="Z1930" s="1311"/>
    </row>
    <row r="1931" spans="1:26" x14ac:dyDescent="0.25">
      <c r="A1931" s="992" t="s">
        <v>1501</v>
      </c>
      <c r="B1931" s="826" t="str">
        <f ca="1">_xlfn.CONCAT(IFERROR(SUBSTITUTE(ADDRESS(1,MATCH(A1931,INDIRECT("'"&amp;E1931&amp;"'"&amp;"!A" &amp; $O$949 + 5 &amp; ":Z" &amp; $O$949 + 5),0),4),1,""),""),$O$949 + 5)</f>
        <v>N286</v>
      </c>
      <c r="C1931" s="826" t="str">
        <f ca="1">_xlfn.CONCAT(IFERROR(SUBSTITUTE(ADDRESS(1,MATCH(A1931,INDIRECT("'"&amp;E1931&amp;"'"&amp;"!A" &amp; $O$949 + 5 &amp; ":Z" &amp; $O$949 + 5),0),4),1,""),""),$O$949 + 6)</f>
        <v>N287</v>
      </c>
      <c r="D1931" s="826" t="s">
        <v>1350</v>
      </c>
      <c r="E1931" s="826" t="s">
        <v>1516</v>
      </c>
      <c r="F1931" s="841" t="s">
        <v>1985</v>
      </c>
      <c r="G1931" s="1314" t="str">
        <f t="shared" si="306"/>
        <v/>
      </c>
      <c r="H1931" s="1314" t="s">
        <v>1990</v>
      </c>
      <c r="I1931" s="1274"/>
      <c r="J1931" s="1314"/>
      <c r="K1931" s="1314"/>
      <c r="L1931" s="1314"/>
      <c r="M1931" s="1329"/>
      <c r="N1931" s="1314"/>
      <c r="O1931" s="1311"/>
      <c r="P1931" s="1311"/>
      <c r="Q1931" s="1311"/>
      <c r="R1931" s="1314" t="s">
        <v>395</v>
      </c>
      <c r="S1931" s="1311"/>
      <c r="T1931" s="1314" t="str">
        <f t="shared" ref="T1931" si="315">IF(Q$949="Yes",20,"")</f>
        <v/>
      </c>
      <c r="U1931" s="1311"/>
      <c r="V1931" s="1311"/>
      <c r="W1931" s="1311"/>
      <c r="X1931" s="1311"/>
      <c r="Y1931" s="1311"/>
      <c r="Z1931" s="1311"/>
    </row>
    <row r="1932" spans="1:26" x14ac:dyDescent="0.25">
      <c r="A1932" s="1013" t="s">
        <v>1501</v>
      </c>
      <c r="B1932" s="826" t="str">
        <f ca="1">_xlfn.CONCAT(IFERROR(SUBSTITUTE(ADDRESS(1,MATCH(A1932,INDIRECT("'"&amp;E1932&amp;"'"&amp;"!A" &amp; $O$968 + 5 &amp; ":Z" &amp; $O$968 + 5),0),4),1,""),""),$O$968 + 5)</f>
        <v>N300</v>
      </c>
      <c r="C1932" s="826" t="str">
        <f ca="1">_xlfn.CONCAT(IFERROR(SUBSTITUTE(ADDRESS(1,MATCH(A1932,INDIRECT("'"&amp;E1932&amp;"'"&amp;"!A" &amp; $O$968 + 5 &amp; ":Z" &amp; $O$968 + 5),0),4),1,""),""),$O$968 + 6)</f>
        <v>N301</v>
      </c>
      <c r="D1932" s="826" t="s">
        <v>1350</v>
      </c>
      <c r="E1932" s="826" t="s">
        <v>1516</v>
      </c>
      <c r="F1932" s="841" t="s">
        <v>1985</v>
      </c>
      <c r="G1932" s="1314" t="str">
        <f t="shared" si="306"/>
        <v/>
      </c>
      <c r="H1932" s="1314" t="s">
        <v>1990</v>
      </c>
      <c r="I1932" s="1274"/>
      <c r="J1932" s="1314"/>
      <c r="K1932" s="1314"/>
      <c r="L1932" s="1314"/>
      <c r="M1932" s="1329"/>
      <c r="N1932" s="1314"/>
      <c r="O1932" s="1311"/>
      <c r="P1932" s="1311"/>
      <c r="Q1932" s="1311"/>
      <c r="R1932" s="1314" t="s">
        <v>395</v>
      </c>
      <c r="S1932" s="1311"/>
      <c r="T1932" s="1314" t="str">
        <f t="shared" ref="T1932" si="316">IF(Q$968="Yes",21,"")</f>
        <v/>
      </c>
      <c r="U1932" s="1311"/>
      <c r="V1932" s="1311"/>
      <c r="W1932" s="1311"/>
      <c r="X1932" s="1311"/>
      <c r="Y1932" s="1311"/>
      <c r="Z1932" s="1311"/>
    </row>
    <row r="1933" spans="1:26" x14ac:dyDescent="0.25">
      <c r="A1933" s="850" t="s">
        <v>1501</v>
      </c>
      <c r="B1933" s="826" t="str">
        <f ca="1">_xlfn.CONCAT(IFERROR(SUBSTITUTE(ADDRESS(1,MATCH(A1933,INDIRECT("'"&amp;E1933&amp;"'"&amp;"!A" &amp; $O$987 + 5 &amp; ":Z" &amp; $O$987 + 5),0),4),1,""),""),$O$987 + 5)</f>
        <v>N314</v>
      </c>
      <c r="C1933" s="826" t="str">
        <f ca="1">_xlfn.CONCAT(IFERROR(SUBSTITUTE(ADDRESS(1,MATCH(A1933,INDIRECT("'"&amp;E1933&amp;"'"&amp;"!A" &amp; $O$987 + 5 &amp; ":Z" &amp; $O$987 + 5),0),4),1,""),""),$O$987 + 6)</f>
        <v>N315</v>
      </c>
      <c r="D1933" s="826" t="s">
        <v>1350</v>
      </c>
      <c r="E1933" s="826" t="s">
        <v>1516</v>
      </c>
      <c r="F1933" s="841" t="s">
        <v>1985</v>
      </c>
      <c r="G1933" s="1314" t="str">
        <f t="shared" si="306"/>
        <v/>
      </c>
      <c r="H1933" s="1314" t="s">
        <v>1990</v>
      </c>
      <c r="I1933" s="1274"/>
      <c r="J1933" s="1314"/>
      <c r="K1933" s="1314"/>
      <c r="L1933" s="1314"/>
      <c r="M1933" s="1329"/>
      <c r="N1933" s="1314"/>
      <c r="O1933" s="1311"/>
      <c r="P1933" s="1311"/>
      <c r="Q1933" s="1311"/>
      <c r="R1933" s="1314" t="s">
        <v>1696</v>
      </c>
      <c r="S1933" s="1311"/>
      <c r="T1933" s="1314" t="str">
        <f t="shared" ref="T1933" si="317">IF(Q$987="Yes",22,"")</f>
        <v/>
      </c>
      <c r="U1933" s="1311"/>
      <c r="V1933" s="1311"/>
      <c r="W1933" s="1311"/>
      <c r="X1933" s="1311"/>
      <c r="Y1933" s="1311"/>
      <c r="Z1933" s="1311"/>
    </row>
    <row r="1934" spans="1:26" x14ac:dyDescent="0.25">
      <c r="A1934" s="1011" t="s">
        <v>1604</v>
      </c>
      <c r="B1934" s="826" t="str">
        <f ca="1">_xlfn.CONCAT(IFERROR(SUBSTITUTE(ADDRESS(1,MATCH(A1934,INDIRECT("'"&amp;E1934&amp;"'"&amp;"!A" &amp; $O$1005 + 5 &amp; ":Z" &amp; $O$1005 + 5),0),4),1,""),""),$O$1005 + 5)</f>
        <v>T328</v>
      </c>
      <c r="C1934" s="826" t="str">
        <f ca="1">_xlfn.CONCAT(IFERROR(SUBSTITUTE(ADDRESS(1,MATCH(A1934,INDIRECT("'"&amp;E1934&amp;"'"&amp;"!A" &amp; $O$1005 + 5 &amp; ":Z" &amp; $O$1005 + 5),0),4),1,""),""),$O$1005 + 6)</f>
        <v>T329</v>
      </c>
      <c r="D1934" s="826" t="s">
        <v>1350</v>
      </c>
      <c r="E1934" s="826" t="s">
        <v>1516</v>
      </c>
      <c r="F1934" s="1314" t="s">
        <v>1604</v>
      </c>
      <c r="G1934" s="1314" t="str">
        <f>IF(T1934&lt;&gt;"","AP","")</f>
        <v/>
      </c>
      <c r="H1934" s="1314" t="s">
        <v>1990</v>
      </c>
      <c r="I1934" s="1274" t="str">
        <f t="shared" ref="I1934:I1944" si="318">IF(J1934&lt;&gt;"",A1934,"")</f>
        <v/>
      </c>
      <c r="J1934" s="1314"/>
      <c r="K1934" s="1314" t="str">
        <f t="shared" ref="K1934:K1944" si="319">IF(J1934&lt;&gt;"",E1934,"")</f>
        <v/>
      </c>
      <c r="L1934" s="826"/>
      <c r="M1934" s="1329"/>
      <c r="N1934" s="1314"/>
      <c r="O1934" s="1311"/>
      <c r="P1934" s="1311"/>
      <c r="Q1934" s="1311"/>
      <c r="R1934" s="1314" t="s">
        <v>481</v>
      </c>
      <c r="S1934" s="1311"/>
      <c r="T1934" s="1314" t="str">
        <f>IF(Q$1005="Yes",23,"")</f>
        <v/>
      </c>
      <c r="U1934" s="1311"/>
      <c r="V1934" s="1311"/>
      <c r="W1934" s="1311"/>
      <c r="X1934" s="1311"/>
      <c r="Y1934" s="1311"/>
      <c r="Z1934" s="1311"/>
    </row>
    <row r="1935" spans="1:26" x14ac:dyDescent="0.25">
      <c r="A1935" s="847" t="s">
        <v>1604</v>
      </c>
      <c r="B1935" s="826" t="str">
        <f ca="1">_xlfn.CONCAT(IFERROR(SUBSTITUTE(ADDRESS(1,MATCH(A1935,INDIRECT("'"&amp;E1935&amp;"'"&amp;"!A" &amp; $O$1016 + 5 &amp; ":Z" &amp; $O$1016 + 5),0),4),1,""),""),$O$1016 + 5)</f>
        <v>T342</v>
      </c>
      <c r="C1935" s="826" t="str">
        <f ca="1">_xlfn.CONCAT(IFERROR(SUBSTITUTE(ADDRESS(1,MATCH(A1935,INDIRECT("'"&amp;E1935&amp;"'"&amp;"!A" &amp; $O$1016 + 5 &amp; ":Z" &amp; $O$1016 + 5),0),4),1,""),""),$O$1016 + 6)</f>
        <v>T343</v>
      </c>
      <c r="D1935" s="826" t="s">
        <v>1350</v>
      </c>
      <c r="E1935" s="826" t="s">
        <v>1516</v>
      </c>
      <c r="F1935" s="1314" t="s">
        <v>1604</v>
      </c>
      <c r="G1935" s="1314" t="str">
        <f t="shared" ref="G1935:G1944" si="320">IF(T1935&lt;&gt;"","AP","")</f>
        <v/>
      </c>
      <c r="H1935" s="1314" t="s">
        <v>1990</v>
      </c>
      <c r="I1935" s="1274" t="str">
        <f t="shared" si="318"/>
        <v/>
      </c>
      <c r="J1935" s="1314"/>
      <c r="K1935" s="1314" t="str">
        <f t="shared" si="319"/>
        <v/>
      </c>
      <c r="L1935" s="826"/>
      <c r="M1935" s="1329"/>
      <c r="N1935" s="1314"/>
      <c r="O1935" s="1311"/>
      <c r="P1935" s="1311"/>
      <c r="Q1935" s="1311"/>
      <c r="R1935" s="1314" t="s">
        <v>481</v>
      </c>
      <c r="S1935" s="1311"/>
      <c r="T1935" s="1314" t="str">
        <f>IF(Q$1016="Yes",24,"")</f>
        <v/>
      </c>
      <c r="U1935" s="1311"/>
      <c r="V1935" s="1311"/>
      <c r="W1935" s="1311"/>
      <c r="X1935" s="1311"/>
      <c r="Y1935" s="1311"/>
      <c r="Z1935" s="1311"/>
    </row>
    <row r="1936" spans="1:26" x14ac:dyDescent="0.25">
      <c r="A1936" s="1011" t="s">
        <v>1604</v>
      </c>
      <c r="B1936" s="826" t="str">
        <f ca="1">_xlfn.CONCAT(IFERROR(SUBSTITUTE(ADDRESS(1,MATCH(A1936,INDIRECT("'"&amp;E1936&amp;"'"&amp;"!A" &amp; $O$1027 + 5 &amp; ":Z" &amp; $O$1027 + 5),0),4),1,""),""),$O$1027+ 5)</f>
        <v>T356</v>
      </c>
      <c r="C1936" s="826" t="str">
        <f ca="1">_xlfn.CONCAT(IFERROR(SUBSTITUTE(ADDRESS(1,MATCH(A1936,INDIRECT("'"&amp;E1936&amp;"'"&amp;"!A" &amp; $O$1027 + 5 &amp; ":Z" &amp; $O$1027 + 5),0),4),1,""),""),$O$1027+ 6)</f>
        <v>T357</v>
      </c>
      <c r="D1936" s="826" t="s">
        <v>1350</v>
      </c>
      <c r="E1936" s="826" t="s">
        <v>1516</v>
      </c>
      <c r="F1936" s="1314" t="s">
        <v>1604</v>
      </c>
      <c r="G1936" s="1314" t="str">
        <f t="shared" si="320"/>
        <v/>
      </c>
      <c r="H1936" s="1314" t="s">
        <v>1990</v>
      </c>
      <c r="I1936" s="1274" t="str">
        <f t="shared" si="318"/>
        <v/>
      </c>
      <c r="J1936" s="1314"/>
      <c r="K1936" s="1314" t="str">
        <f t="shared" si="319"/>
        <v/>
      </c>
      <c r="L1936" s="826"/>
      <c r="M1936" s="1329"/>
      <c r="N1936" s="1314"/>
      <c r="O1936" s="1311"/>
      <c r="P1936" s="1311"/>
      <c r="Q1936" s="1311"/>
      <c r="R1936" s="1314" t="s">
        <v>481</v>
      </c>
      <c r="S1936" s="1311"/>
      <c r="T1936" s="1314" t="str">
        <f>IF(Q$1027="Yes",25,"")</f>
        <v/>
      </c>
      <c r="U1936" s="1311"/>
      <c r="V1936" s="1311"/>
      <c r="W1936" s="1311"/>
      <c r="X1936" s="1311"/>
      <c r="Y1936" s="1311"/>
      <c r="Z1936" s="1311"/>
    </row>
    <row r="1937" spans="1:26" x14ac:dyDescent="0.25">
      <c r="A1937" s="847" t="s">
        <v>1604</v>
      </c>
      <c r="B1937" s="826" t="str">
        <f ca="1">_xlfn.CONCAT(IFERROR(SUBSTITUTE(ADDRESS(1,MATCH(A1937,INDIRECT("'"&amp;E1937&amp;"'"&amp;"!A" &amp; $O$1052 + 5 &amp; ":Z" &amp; $O$1052 + 5),0),4),1,""),""),$O$1052+ 5)</f>
        <v>T384</v>
      </c>
      <c r="C1937" s="826" t="str">
        <f ca="1">_xlfn.CONCAT(IFERROR(SUBSTITUTE(ADDRESS(1,MATCH(A1937,INDIRECT("'"&amp;E1937&amp;"'"&amp;"!A" &amp; $O$1052 + 5 &amp; ":Z" &amp; $O$1052 + 5),0),4),1,""),""),$O$1052+ 6)</f>
        <v>T385</v>
      </c>
      <c r="D1937" s="826" t="s">
        <v>1350</v>
      </c>
      <c r="E1937" s="826" t="s">
        <v>1516</v>
      </c>
      <c r="F1937" s="1314" t="s">
        <v>1604</v>
      </c>
      <c r="G1937" s="1314" t="str">
        <f t="shared" si="320"/>
        <v/>
      </c>
      <c r="H1937" s="1314" t="s">
        <v>1990</v>
      </c>
      <c r="I1937" s="1274" t="str">
        <f t="shared" si="318"/>
        <v/>
      </c>
      <c r="J1937" s="1314"/>
      <c r="K1937" s="1314" t="str">
        <f t="shared" si="319"/>
        <v/>
      </c>
      <c r="L1937" s="826"/>
      <c r="M1937" s="1329"/>
      <c r="N1937" s="1314"/>
      <c r="O1937" s="1311"/>
      <c r="P1937" s="1311"/>
      <c r="Q1937" s="1311"/>
      <c r="R1937" s="1314" t="s">
        <v>1700</v>
      </c>
      <c r="S1937" s="1311"/>
      <c r="T1937" s="1314" t="str">
        <f>IF(Q$1052="Yes",27,"")</f>
        <v/>
      </c>
      <c r="U1937" s="1311"/>
      <c r="V1937" s="1311"/>
      <c r="W1937" s="1311"/>
      <c r="X1937" s="1311"/>
      <c r="Y1937" s="1311"/>
      <c r="Z1937" s="1311"/>
    </row>
    <row r="1938" spans="1:26" x14ac:dyDescent="0.25">
      <c r="A1938" s="1011" t="s">
        <v>1604</v>
      </c>
      <c r="B1938" s="826" t="str">
        <f ca="1">_xlfn.CONCAT(IFERROR(SUBSTITUTE(ADDRESS(1,MATCH(A1938,INDIRECT("'"&amp;E1938&amp;"'"&amp;"!A" &amp; $O$1069 + 5 &amp; ":Z" &amp; $O$1069 + 5),0),4),1,""),""),$O$1069+ 5)</f>
        <v>T398</v>
      </c>
      <c r="C1938" s="826" t="str">
        <f ca="1">_xlfn.CONCAT(IFERROR(SUBSTITUTE(ADDRESS(1,MATCH(A1938,INDIRECT("'"&amp;E1938&amp;"'"&amp;"!A" &amp; $O$1069 + 5 &amp; ":Z" &amp; $O$1069 + 5),0),4),1,""),""),$O$1069+ 6)</f>
        <v>T399</v>
      </c>
      <c r="D1938" s="826" t="s">
        <v>1350</v>
      </c>
      <c r="E1938" s="826" t="s">
        <v>1516</v>
      </c>
      <c r="F1938" s="1314" t="s">
        <v>1604</v>
      </c>
      <c r="G1938" s="1314" t="str">
        <f t="shared" si="320"/>
        <v/>
      </c>
      <c r="H1938" s="1314" t="s">
        <v>1990</v>
      </c>
      <c r="I1938" s="1274" t="str">
        <f t="shared" si="318"/>
        <v/>
      </c>
      <c r="J1938" s="1314"/>
      <c r="K1938" s="1314" t="str">
        <f t="shared" si="319"/>
        <v/>
      </c>
      <c r="L1938" s="826"/>
      <c r="M1938" s="1329"/>
      <c r="N1938" s="1314"/>
      <c r="O1938" s="1311"/>
      <c r="P1938" s="1311"/>
      <c r="Q1938" s="1311"/>
      <c r="R1938" s="1314" t="s">
        <v>1700</v>
      </c>
      <c r="S1938" s="1311"/>
      <c r="T1938" s="1314" t="str">
        <f>IF(Q$1069="Yes",28,"")</f>
        <v/>
      </c>
      <c r="U1938" s="1311"/>
      <c r="V1938" s="1311"/>
      <c r="W1938" s="1311"/>
      <c r="X1938" s="1311"/>
      <c r="Y1938" s="1311"/>
      <c r="Z1938" s="1311"/>
    </row>
    <row r="1939" spans="1:26" x14ac:dyDescent="0.25">
      <c r="A1939" s="847" t="s">
        <v>1604</v>
      </c>
      <c r="B1939" s="826" t="str">
        <f ca="1">_xlfn.CONCAT(IFERROR(SUBSTITUTE(ADDRESS(1,MATCH(A1939,INDIRECT("'"&amp;E1939&amp;"'"&amp;"!A" &amp; $O$1085 + 5 &amp; ":Z" &amp; $O$1085 + 5),0),4),1,""),""),$O$1085+ 5)</f>
        <v>T412</v>
      </c>
      <c r="C1939" s="826" t="str">
        <f ca="1">_xlfn.CONCAT(IFERROR(SUBSTITUTE(ADDRESS(1,MATCH(A1939,INDIRECT("'"&amp;E1939&amp;"'"&amp;"!A" &amp; $O$1085 + 5 &amp; ":Z" &amp; $O$1085 + 5),0),4),1,""),""),$O$1085+ 6)</f>
        <v>T413</v>
      </c>
      <c r="D1939" s="826" t="s">
        <v>1350</v>
      </c>
      <c r="E1939" s="826" t="s">
        <v>1516</v>
      </c>
      <c r="F1939" s="1314" t="s">
        <v>1604</v>
      </c>
      <c r="G1939" s="1314" t="str">
        <f t="shared" si="320"/>
        <v/>
      </c>
      <c r="H1939" s="1314" t="s">
        <v>1990</v>
      </c>
      <c r="I1939" s="1274" t="str">
        <f t="shared" si="318"/>
        <v/>
      </c>
      <c r="J1939" s="1314"/>
      <c r="K1939" s="1314" t="str">
        <f t="shared" si="319"/>
        <v/>
      </c>
      <c r="L1939" s="826"/>
      <c r="M1939" s="1329"/>
      <c r="N1939" s="1314"/>
      <c r="O1939" s="1311"/>
      <c r="P1939" s="1311"/>
      <c r="Q1939" s="1311"/>
      <c r="R1939" s="1314" t="s">
        <v>1099</v>
      </c>
      <c r="S1939" s="1311"/>
      <c r="T1939" s="1314" t="str">
        <f>IF(Q$1085="Yes",29,"")</f>
        <v/>
      </c>
      <c r="U1939" s="1311"/>
      <c r="V1939" s="1311"/>
      <c r="W1939" s="1311"/>
      <c r="X1939" s="1311"/>
      <c r="Y1939" s="1311"/>
      <c r="Z1939" s="1311"/>
    </row>
    <row r="1940" spans="1:26" x14ac:dyDescent="0.25">
      <c r="A1940" s="1011" t="s">
        <v>1604</v>
      </c>
      <c r="B1940" s="826" t="str">
        <f ca="1">_xlfn.CONCAT(IFERROR(SUBSTITUTE(ADDRESS(1,MATCH(A1940,INDIRECT("'"&amp;E1940&amp;"'"&amp;"!A" &amp; $O$1095 + 5 &amp; ":Z" &amp; $O$1095 + 5 ),0),4),1,""),""),$O$1095+ 5)</f>
        <v>T426</v>
      </c>
      <c r="C1940" s="826" t="str">
        <f ca="1">_xlfn.CONCAT(IFERROR(SUBSTITUTE(ADDRESS(1,MATCH(A1940,INDIRECT("'"&amp;E1940&amp;"'"&amp;"!A" &amp; $O$1095 + 5 &amp; ":Z" &amp; $O$1095 + 5 ),0),4),1,""),""),$O$1095+ 6)</f>
        <v>T427</v>
      </c>
      <c r="D1940" s="826" t="s">
        <v>1350</v>
      </c>
      <c r="E1940" s="826" t="s">
        <v>1516</v>
      </c>
      <c r="F1940" s="1314" t="s">
        <v>1604</v>
      </c>
      <c r="G1940" s="1314" t="str">
        <f t="shared" si="320"/>
        <v/>
      </c>
      <c r="H1940" s="1314" t="s">
        <v>1990</v>
      </c>
      <c r="I1940" s="1274" t="str">
        <f t="shared" si="318"/>
        <v/>
      </c>
      <c r="J1940" s="1314"/>
      <c r="K1940" s="1314" t="str">
        <f t="shared" si="319"/>
        <v/>
      </c>
      <c r="L1940" s="826"/>
      <c r="M1940" s="1329"/>
      <c r="N1940" s="1314"/>
      <c r="O1940" s="1311"/>
      <c r="P1940" s="1311"/>
      <c r="Q1940" s="1311"/>
      <c r="R1940" s="1314" t="s">
        <v>1099</v>
      </c>
      <c r="S1940" s="1311"/>
      <c r="T1940" s="1314" t="str">
        <f>IF(Q$1095="Yes",30,"")</f>
        <v/>
      </c>
      <c r="U1940" s="1311"/>
      <c r="V1940" s="1311"/>
      <c r="W1940" s="1311"/>
      <c r="X1940" s="1311"/>
      <c r="Y1940" s="1311"/>
      <c r="Z1940" s="1311"/>
    </row>
    <row r="1941" spans="1:26" x14ac:dyDescent="0.25">
      <c r="A1941" s="847" t="s">
        <v>1604</v>
      </c>
      <c r="B1941" s="826" t="str">
        <f ca="1">_xlfn.CONCAT(IFERROR(SUBSTITUTE(ADDRESS(1,MATCH(A1941,INDIRECT("'"&amp;E1941&amp;"'"&amp;"!A" &amp; $O$1105 + 5 &amp; ":Z" &amp; $O$1105 + 5),0),4),1,""),""),$O$1105+ 5)</f>
        <v>T440</v>
      </c>
      <c r="C1941" s="826" t="str">
        <f ca="1">_xlfn.CONCAT(IFERROR(SUBSTITUTE(ADDRESS(1,MATCH(A1941,INDIRECT("'"&amp;E1941&amp;"'"&amp;"!A" &amp; $O$1105 + 5 &amp; ":Z" &amp; $O$1105 + 5),0),4),1,""),""),$O$1105+ 6)</f>
        <v>T441</v>
      </c>
      <c r="D1941" s="826" t="s">
        <v>1350</v>
      </c>
      <c r="E1941" s="826" t="s">
        <v>1516</v>
      </c>
      <c r="F1941" s="1314" t="s">
        <v>1604</v>
      </c>
      <c r="G1941" s="1314" t="str">
        <f t="shared" si="320"/>
        <v/>
      </c>
      <c r="H1941" s="1314" t="s">
        <v>1990</v>
      </c>
      <c r="I1941" s="1274" t="str">
        <f t="shared" si="318"/>
        <v/>
      </c>
      <c r="J1941" s="1314"/>
      <c r="K1941" s="1314" t="str">
        <f t="shared" si="319"/>
        <v/>
      </c>
      <c r="L1941" s="826"/>
      <c r="M1941" s="1329"/>
      <c r="N1941" s="1314"/>
      <c r="O1941" s="1311"/>
      <c r="P1941" s="1311"/>
      <c r="Q1941" s="1311"/>
      <c r="R1941" s="1314" t="s">
        <v>1099</v>
      </c>
      <c r="S1941" s="1311"/>
      <c r="T1941" s="1314" t="str">
        <f>IF(Q$1105="Yes",31,"")</f>
        <v/>
      </c>
      <c r="U1941" s="1311"/>
      <c r="V1941" s="1311"/>
      <c r="W1941" s="1311"/>
      <c r="X1941" s="1311"/>
      <c r="Y1941" s="1311"/>
      <c r="Z1941" s="1311"/>
    </row>
    <row r="1942" spans="1:26" x14ac:dyDescent="0.25">
      <c r="A1942" s="1011" t="s">
        <v>1604</v>
      </c>
      <c r="B1942" s="826" t="str">
        <f ca="1">_xlfn.CONCAT(IFERROR(SUBSTITUTE(ADDRESS(1,MATCH(A1942,INDIRECT("'"&amp;E1942&amp;"'"&amp;"!A" &amp; $O$1134 + 5 &amp; ":Z" &amp; $O$1134 + 5),0),4),1,""),""),$O$1134+ 5)</f>
        <v>T454</v>
      </c>
      <c r="C1942" s="826" t="str">
        <f ca="1">_xlfn.CONCAT(IFERROR(SUBSTITUTE(ADDRESS(1,MATCH(A1942,INDIRECT("'"&amp;E1942&amp;"'"&amp;"!A" &amp; $O$1134 + 5 &amp; ":Z" &amp; $O$1134 + 5),0),4),1,""),""),$O$1134+ 6)</f>
        <v>T455</v>
      </c>
      <c r="D1942" s="826" t="s">
        <v>1350</v>
      </c>
      <c r="E1942" s="826" t="s">
        <v>1516</v>
      </c>
      <c r="F1942" s="1314" t="s">
        <v>1604</v>
      </c>
      <c r="G1942" s="1314" t="str">
        <f t="shared" si="320"/>
        <v/>
      </c>
      <c r="H1942" s="1314" t="s">
        <v>1990</v>
      </c>
      <c r="I1942" s="1274" t="str">
        <f t="shared" si="318"/>
        <v/>
      </c>
      <c r="J1942" s="1314"/>
      <c r="K1942" s="1314" t="str">
        <f t="shared" si="319"/>
        <v/>
      </c>
      <c r="L1942" s="826"/>
      <c r="M1942" s="1329"/>
      <c r="N1942" s="1314"/>
      <c r="O1942" s="1311"/>
      <c r="P1942" s="1311"/>
      <c r="Q1942" s="1311"/>
      <c r="R1942" s="1314" t="s">
        <v>1099</v>
      </c>
      <c r="S1942" s="1311"/>
      <c r="T1942" s="1314" t="str">
        <f>IF(Q$1134="Yes",32,"")</f>
        <v/>
      </c>
      <c r="U1942" s="1311"/>
      <c r="V1942" s="1311"/>
      <c r="W1942" s="1311"/>
      <c r="X1942" s="1311"/>
      <c r="Y1942" s="1311"/>
      <c r="Z1942" s="1311"/>
    </row>
    <row r="1943" spans="1:26" x14ac:dyDescent="0.25">
      <c r="A1943" s="847" t="s">
        <v>1604</v>
      </c>
      <c r="B1943" s="826" t="str">
        <f ca="1">_xlfn.CONCAT(IFERROR(SUBSTITUTE(ADDRESS(1,MATCH(A1943,INDIRECT("'"&amp;E1943&amp;"'"&amp;"!A" &amp; $O$1163 + 5 &amp; ":Z" &amp; $O$1163 + 5),0),4),1,""),""),$O$1163+ 5)</f>
        <v>T468</v>
      </c>
      <c r="C1943" s="826" t="str">
        <f ca="1">_xlfn.CONCAT(IFERROR(SUBSTITUTE(ADDRESS(1,MATCH(A1943,INDIRECT("'"&amp;E1943&amp;"'"&amp;"!A" &amp; $O$1163 + 5 &amp; ":Z" &amp; $O$1163 + 5),0),4),1,""),""),$O$1163+ 6)</f>
        <v>T469</v>
      </c>
      <c r="D1943" s="826" t="s">
        <v>1350</v>
      </c>
      <c r="E1943" s="826" t="s">
        <v>1516</v>
      </c>
      <c r="F1943" s="1314" t="s">
        <v>1604</v>
      </c>
      <c r="G1943" s="1314" t="str">
        <f t="shared" si="320"/>
        <v/>
      </c>
      <c r="H1943" s="1314" t="s">
        <v>1990</v>
      </c>
      <c r="I1943" s="1274" t="str">
        <f t="shared" si="318"/>
        <v/>
      </c>
      <c r="J1943" s="1314"/>
      <c r="K1943" s="1314" t="str">
        <f t="shared" si="319"/>
        <v/>
      </c>
      <c r="L1943" s="826"/>
      <c r="M1943" s="1329"/>
      <c r="N1943" s="1314"/>
      <c r="O1943" s="1311"/>
      <c r="P1943" s="1311"/>
      <c r="Q1943" s="1311"/>
      <c r="R1943" s="1314" t="s">
        <v>1099</v>
      </c>
      <c r="S1943" s="1311"/>
      <c r="T1943" s="1314" t="str">
        <f>IF(Q$1163="Yes",33,"")</f>
        <v/>
      </c>
      <c r="U1943" s="1311"/>
      <c r="V1943" s="1311"/>
      <c r="W1943" s="1311"/>
      <c r="X1943" s="1311"/>
      <c r="Y1943" s="1311"/>
      <c r="Z1943" s="1311"/>
    </row>
    <row r="1944" spans="1:26" x14ac:dyDescent="0.25">
      <c r="A1944" s="1011" t="s">
        <v>1604</v>
      </c>
      <c r="B1944" s="826" t="str">
        <f ca="1">_xlfn.CONCAT(IFERROR(SUBSTITUTE(ADDRESS(1,MATCH(A1944,INDIRECT("'"&amp;E1944&amp;"'"&amp;"!A" &amp; $O$1188 + 5 &amp; ":Z" &amp; $O$1188 + 5),0),4),1,""),""),$O$1188+ 5)</f>
        <v>T482</v>
      </c>
      <c r="C1944" s="826" t="str">
        <f ca="1">_xlfn.CONCAT(IFERROR(SUBSTITUTE(ADDRESS(1,MATCH(A1944,INDIRECT("'"&amp;E1944&amp;"'"&amp;"!A" &amp; $O$1188 + 5 &amp; ":Z" &amp; $O$1188 + 5),0),4),1,""),""),$O$1188+ 6)</f>
        <v>T483</v>
      </c>
      <c r="D1944" s="826" t="s">
        <v>1350</v>
      </c>
      <c r="E1944" s="826" t="s">
        <v>1516</v>
      </c>
      <c r="F1944" s="1314" t="s">
        <v>1604</v>
      </c>
      <c r="G1944" s="1314" t="str">
        <f t="shared" si="320"/>
        <v/>
      </c>
      <c r="H1944" s="1314" t="s">
        <v>1990</v>
      </c>
      <c r="I1944" s="1274" t="str">
        <f t="shared" si="318"/>
        <v/>
      </c>
      <c r="J1944" s="1314"/>
      <c r="K1944" s="1314" t="str">
        <f t="shared" si="319"/>
        <v/>
      </c>
      <c r="L1944" s="826"/>
      <c r="M1944" s="1329"/>
      <c r="N1944" s="1314"/>
      <c r="O1944" s="1311"/>
      <c r="P1944" s="1311"/>
      <c r="Q1944" s="1311"/>
      <c r="R1944" s="1314" t="s">
        <v>1099</v>
      </c>
      <c r="S1944" s="1311"/>
      <c r="T1944" s="1314" t="str">
        <f>IF(Q$1188="Yes",34,"")</f>
        <v/>
      </c>
      <c r="U1944" s="1311"/>
      <c r="V1944" s="1311"/>
      <c r="W1944" s="1311"/>
      <c r="X1944" s="1311"/>
      <c r="Y1944" s="1311"/>
      <c r="Z1944" s="1311"/>
    </row>
    <row r="1945" spans="1:26" x14ac:dyDescent="0.25">
      <c r="A1945" s="846" t="s">
        <v>1509</v>
      </c>
      <c r="B1945" s="826" t="str">
        <f ca="1">_xlfn.CONCAT(IFERROR(SUBSTITUTE(ADDRESS(1,MATCH(A1945,INDIRECT("'"&amp;E1945&amp;"'"&amp;"!A" &amp; $O$570+8 &amp; ":Z" &amp; $O$570+8),0),4),1,""),""),$O$570+8)</f>
        <v>R39</v>
      </c>
      <c r="C1945" s="826" t="str">
        <f ca="1">_xlfn.CONCAT(IFERROR(SUBSTITUTE(ADDRESS(1,MATCH(A1945,INDIRECT("'"&amp;E1945&amp;"'"&amp;"!A" &amp; $O$570+8 &amp; ":Z" &amp; $O$570+8),0),4),1,""),""),$O$570+9)</f>
        <v>R40</v>
      </c>
      <c r="D1945" s="826" t="s">
        <v>1350</v>
      </c>
      <c r="E1945" s="826" t="s">
        <v>1516</v>
      </c>
      <c r="F1945" s="1314" t="s">
        <v>1509</v>
      </c>
      <c r="G1945" s="1314" t="str">
        <f>IF(T1945&lt;&gt;"","AR","")</f>
        <v/>
      </c>
      <c r="H1945" s="1314" t="s">
        <v>1990</v>
      </c>
      <c r="I1945" s="1274"/>
      <c r="J1945" s="1314"/>
      <c r="K1945" s="1314"/>
      <c r="L1945" s="826"/>
      <c r="M1945" s="1329"/>
      <c r="N1945" s="1314"/>
      <c r="O1945" s="1311"/>
      <c r="P1945" s="1311"/>
      <c r="Q1945" s="1311"/>
      <c r="R1945" s="1314" t="s">
        <v>851</v>
      </c>
      <c r="S1945" s="1311"/>
      <c r="T1945" s="1314" t="str">
        <f>IF(Q$570="Yes",3,"")</f>
        <v/>
      </c>
      <c r="U1945" s="1311"/>
      <c r="V1945" s="1311"/>
      <c r="W1945" s="1311"/>
      <c r="X1945" s="1311"/>
      <c r="Y1945" s="1311"/>
      <c r="Z1945" s="1311"/>
    </row>
    <row r="1946" spans="1:26" x14ac:dyDescent="0.25">
      <c r="A1946" s="849" t="s">
        <v>1509</v>
      </c>
      <c r="B1946" s="826" t="str">
        <f ca="1">_xlfn.CONCAT(IFERROR(SUBSTITUTE(ADDRESS(1,MATCH(A1946,INDIRECT("'"&amp;E1946&amp;"'"&amp;"!A" &amp; $O$589+8 &amp; ":Z" &amp; $O$589+8),0),4),1,""),""),$O$589+8)</f>
        <v>R53</v>
      </c>
      <c r="C1946" s="826" t="str">
        <f ca="1">_xlfn.CONCAT(IFERROR(SUBSTITUTE(ADDRESS(1,MATCH(A1946,INDIRECT("'"&amp;E1946&amp;"'"&amp;"!A" &amp; $O$589+8 &amp; ":Z" &amp; $O$589+8),0),4),1,""),""),$O$589+9)</f>
        <v>R54</v>
      </c>
      <c r="D1946" s="826" t="s">
        <v>1350</v>
      </c>
      <c r="E1946" s="826" t="s">
        <v>1516</v>
      </c>
      <c r="F1946" s="1314" t="s">
        <v>1509</v>
      </c>
      <c r="G1946" s="1314" t="str">
        <f t="shared" ref="G1946:G1953" si="321">IF(T1946&lt;&gt;"","AR","")</f>
        <v/>
      </c>
      <c r="H1946" s="1314" t="s">
        <v>1990</v>
      </c>
      <c r="I1946" s="1274"/>
      <c r="J1946" s="1314"/>
      <c r="K1946" s="1314"/>
      <c r="L1946" s="826"/>
      <c r="M1946" s="1329"/>
      <c r="N1946" s="1314"/>
      <c r="O1946" s="1311"/>
      <c r="P1946" s="1311"/>
      <c r="Q1946" s="1311"/>
      <c r="R1946" s="1314" t="s">
        <v>851</v>
      </c>
      <c r="S1946" s="1311"/>
      <c r="T1946" s="1314" t="str">
        <f>IF(Q$589="Yes",4,"")</f>
        <v/>
      </c>
      <c r="U1946" s="1311"/>
      <c r="V1946" s="1311"/>
      <c r="W1946" s="1311"/>
      <c r="X1946" s="1311"/>
      <c r="Y1946" s="1311"/>
      <c r="Z1946" s="1311"/>
    </row>
    <row r="1947" spans="1:26" x14ac:dyDescent="0.25">
      <c r="A1947" s="846" t="s">
        <v>1509</v>
      </c>
      <c r="B1947" s="826" t="str">
        <f ca="1">_xlfn.CONCAT(IFERROR(SUBSTITUTE(ADDRESS(1,MATCH(A1947,INDIRECT("'"&amp;E1947&amp;"'"&amp;"!A" &amp; $O$608 + 12 &amp; ":Z" &amp; $O$608+12),0),4),1,""),""),$O$608+12)</f>
        <v>R71</v>
      </c>
      <c r="C1947" s="826" t="str">
        <f ca="1">_xlfn.CONCAT(IFERROR(SUBSTITUTE(ADDRESS(1,MATCH(A1947,INDIRECT("'"&amp;E1947&amp;"'"&amp;"!A" &amp; $O$608 + 12 &amp; ":Z" &amp; $O$608+12),0),4),1,""),""),$O$608+13)</f>
        <v>R72</v>
      </c>
      <c r="D1947" s="826" t="s">
        <v>1350</v>
      </c>
      <c r="E1947" s="826" t="s">
        <v>1516</v>
      </c>
      <c r="F1947" s="1314" t="s">
        <v>1509</v>
      </c>
      <c r="G1947" s="1314" t="str">
        <f t="shared" si="321"/>
        <v/>
      </c>
      <c r="H1947" s="1314" t="s">
        <v>1990</v>
      </c>
      <c r="I1947" s="1274"/>
      <c r="J1947" s="1314"/>
      <c r="K1947" s="1314"/>
      <c r="L1947" s="826"/>
      <c r="M1947" s="1329"/>
      <c r="N1947" s="1314"/>
      <c r="O1947" s="1311"/>
      <c r="P1947" s="1311"/>
      <c r="Q1947" s="1311"/>
      <c r="R1947" s="577" t="s">
        <v>851</v>
      </c>
      <c r="S1947" s="1311"/>
      <c r="T1947" s="1314" t="str">
        <f t="shared" ref="T1947" si="322">IF(Q$608="Yes",5,"")</f>
        <v/>
      </c>
      <c r="U1947" s="1311"/>
      <c r="V1947" s="1311"/>
      <c r="W1947" s="1311"/>
      <c r="X1947" s="1311"/>
      <c r="Y1947" s="1311"/>
      <c r="Z1947" s="1311"/>
    </row>
    <row r="1948" spans="1:26" x14ac:dyDescent="0.25">
      <c r="A1948" s="849" t="s">
        <v>1509</v>
      </c>
      <c r="B1948" s="826" t="str">
        <f ca="1">_xlfn.CONCAT(IFERROR(SUBSTITUTE(ADDRESS(1,MATCH(A1948,INDIRECT("'"&amp;E1948&amp;"'"&amp;"!A" &amp; $O$639 + 12 &amp; ":Z" &amp; $O$639 + 12),0),4),1,""),""),$O$639 + 12)</f>
        <v>R87</v>
      </c>
      <c r="C1948" s="826" t="str">
        <f ca="1">_xlfn.CONCAT(IFERROR(SUBSTITUTE(ADDRESS(1,MATCH(A1948,INDIRECT("'"&amp;E1948&amp;"'"&amp;"!A" &amp; $O$639 + 12 &amp; ":Z" &amp; $O$639 + 12),0),4),1,""),""),$O$639 + 13)</f>
        <v>R88</v>
      </c>
      <c r="D1948" s="826" t="s">
        <v>1350</v>
      </c>
      <c r="E1948" s="826" t="s">
        <v>1516</v>
      </c>
      <c r="F1948" s="1314" t="s">
        <v>1509</v>
      </c>
      <c r="G1948" s="1314" t="str">
        <f t="shared" si="321"/>
        <v/>
      </c>
      <c r="H1948" s="1314" t="s">
        <v>1990</v>
      </c>
      <c r="I1948" s="1274"/>
      <c r="J1948" s="1314"/>
      <c r="K1948" s="1314"/>
      <c r="L1948" s="826"/>
      <c r="M1948" s="1329"/>
      <c r="N1948" s="1314"/>
      <c r="O1948" s="1311"/>
      <c r="P1948" s="1311"/>
      <c r="Q1948" s="1311"/>
      <c r="R1948" s="577" t="s">
        <v>851</v>
      </c>
      <c r="S1948" s="1311"/>
      <c r="T1948" s="1314" t="str">
        <f>IF(Q$639="Yes",6,"")</f>
        <v/>
      </c>
      <c r="U1948" s="1311"/>
      <c r="V1948" s="1311"/>
      <c r="W1948" s="1311"/>
      <c r="X1948" s="1311"/>
      <c r="Y1948" s="1311"/>
      <c r="Z1948" s="1311"/>
    </row>
    <row r="1949" spans="1:26" x14ac:dyDescent="0.25">
      <c r="A1949" s="846" t="s">
        <v>1509</v>
      </c>
      <c r="B1949" s="826" t="str">
        <f ca="1">_xlfn.CONCAT(IFERROR(SUBSTITUTE(ADDRESS(1,MATCH(A1949,INDIRECT("'"&amp;E1949&amp;"'"&amp;"!A" &amp; $O$892 + 8 &amp; ":Z" &amp; $O$892+ 8),0),4),1,""),""),$O$892 + 8)</f>
        <v>R247</v>
      </c>
      <c r="C1949" s="826" t="str">
        <f ca="1">_xlfn.CONCAT(IFERROR(SUBSTITUTE(ADDRESS(1,MATCH(A1949,INDIRECT("'"&amp;E1949&amp;"'"&amp;"!A" &amp; $O$892 + 8 &amp; ":Z" &amp; $O$892+ 8),0),4),1,""),""),$O$892 + 9)</f>
        <v>R248</v>
      </c>
      <c r="D1949" s="826" t="s">
        <v>1350</v>
      </c>
      <c r="E1949" s="826" t="s">
        <v>1516</v>
      </c>
      <c r="F1949" s="1314" t="s">
        <v>1509</v>
      </c>
      <c r="G1949" s="1314" t="str">
        <f t="shared" si="321"/>
        <v/>
      </c>
      <c r="H1949" s="1314" t="s">
        <v>1990</v>
      </c>
      <c r="I1949" s="1274"/>
      <c r="J1949" s="1314"/>
      <c r="K1949" s="1314"/>
      <c r="L1949" s="826"/>
      <c r="M1949" s="1329"/>
      <c r="N1949" s="1314"/>
      <c r="O1949" s="1311"/>
      <c r="P1949" s="1311"/>
      <c r="Q1949" s="1311"/>
      <c r="R1949" s="1314" t="s">
        <v>395</v>
      </c>
      <c r="S1949" s="1311"/>
      <c r="T1949" s="1314" t="str">
        <f t="shared" ref="T1949" si="323">IF(Q$892="Yes",17,"")</f>
        <v/>
      </c>
      <c r="U1949" s="1311"/>
      <c r="V1949" s="1311"/>
      <c r="W1949" s="1311"/>
      <c r="X1949" s="1311"/>
      <c r="Y1949" s="1311"/>
      <c r="Z1949" s="1311"/>
    </row>
    <row r="1950" spans="1:26" x14ac:dyDescent="0.25">
      <c r="A1950" s="849" t="s">
        <v>1509</v>
      </c>
      <c r="B1950" s="826" t="str">
        <f ca="1">_xlfn.CONCAT(IFERROR(SUBSTITUTE(ADDRESS(1,MATCH(A1950,INDIRECT("'"&amp;E1950&amp;"'"&amp;"!A" &amp; $O$911 + 8 &amp; ":Z" &amp; $O$911 + 8),0),4),1,""),""),$O$911 + 8)</f>
        <v>R261</v>
      </c>
      <c r="C1950" s="826" t="str">
        <f ca="1">_xlfn.CONCAT(IFERROR(SUBSTITUTE(ADDRESS(1,MATCH(A1950,INDIRECT("'"&amp;E1950&amp;"'"&amp;"!A" &amp; $O$911 + 8 &amp; ":Z" &amp; $O$911 + 8),0),4),1,""),""),$O$911 + 9)</f>
        <v>R262</v>
      </c>
      <c r="D1950" s="826" t="s">
        <v>1350</v>
      </c>
      <c r="E1950" s="826" t="s">
        <v>1516</v>
      </c>
      <c r="F1950" s="1314" t="s">
        <v>1509</v>
      </c>
      <c r="G1950" s="1314" t="str">
        <f t="shared" si="321"/>
        <v/>
      </c>
      <c r="H1950" s="1314" t="s">
        <v>1990</v>
      </c>
      <c r="I1950" s="1274"/>
      <c r="J1950" s="1314"/>
      <c r="K1950" s="1314"/>
      <c r="L1950" s="826"/>
      <c r="M1950" s="1329"/>
      <c r="N1950" s="1314"/>
      <c r="O1950" s="1311"/>
      <c r="P1950" s="1311"/>
      <c r="Q1950" s="1311"/>
      <c r="R1950" s="1314" t="s">
        <v>395</v>
      </c>
      <c r="S1950" s="1311"/>
      <c r="T1950" s="1314" t="str">
        <f>IF(Q$911="Yes",18,"")</f>
        <v/>
      </c>
      <c r="U1950" s="1311"/>
      <c r="V1950" s="1311"/>
      <c r="W1950" s="1311"/>
      <c r="X1950" s="1311"/>
      <c r="Y1950" s="1311"/>
      <c r="Z1950" s="1311"/>
    </row>
    <row r="1951" spans="1:26" x14ac:dyDescent="0.25">
      <c r="A1951" s="846" t="s">
        <v>1509</v>
      </c>
      <c r="B1951" s="826" t="str">
        <f ca="1">_xlfn.CONCAT(IFERROR(SUBSTITUTE(ADDRESS(1,MATCH(A1951,INDIRECT("'"&amp;E1951&amp;"'"&amp;"!A" &amp; $O$930 + 8 &amp; ":Z" &amp; $O$930 + 8),0),4),1,""),""),$O$930 + 8)</f>
        <v>R275</v>
      </c>
      <c r="C1951" s="826" t="str">
        <f ca="1">_xlfn.CONCAT(IFERROR(SUBSTITUTE(ADDRESS(1,MATCH(A1951,INDIRECT("'"&amp;E1951&amp;"'"&amp;"!A" &amp; $O$930 + 8 &amp; ":Z" &amp; $O$930 + 8),0),4),1,""),""),$O$930 + 9)</f>
        <v>R276</v>
      </c>
      <c r="D1951" s="826" t="s">
        <v>1350</v>
      </c>
      <c r="E1951" s="826" t="s">
        <v>1516</v>
      </c>
      <c r="F1951" s="1314" t="s">
        <v>1509</v>
      </c>
      <c r="G1951" s="1314" t="str">
        <f t="shared" si="321"/>
        <v/>
      </c>
      <c r="H1951" s="1314" t="s">
        <v>1990</v>
      </c>
      <c r="I1951" s="1274"/>
      <c r="J1951" s="1314"/>
      <c r="K1951" s="1314"/>
      <c r="L1951" s="826"/>
      <c r="M1951" s="1329"/>
      <c r="N1951" s="1314"/>
      <c r="O1951" s="1311"/>
      <c r="P1951" s="1311"/>
      <c r="Q1951" s="1311"/>
      <c r="R1951" s="1314" t="s">
        <v>395</v>
      </c>
      <c r="S1951" s="1311"/>
      <c r="T1951" s="1314" t="str">
        <f>IF(Q$930="Yes",19,"")</f>
        <v/>
      </c>
      <c r="U1951" s="1311"/>
      <c r="V1951" s="1311"/>
      <c r="W1951" s="1311"/>
      <c r="X1951" s="1311"/>
      <c r="Y1951" s="1311"/>
      <c r="Z1951" s="1311"/>
    </row>
    <row r="1952" spans="1:26" x14ac:dyDescent="0.25">
      <c r="A1952" s="849" t="s">
        <v>1509</v>
      </c>
      <c r="B1952" s="826" t="str">
        <f ca="1">_xlfn.CONCAT(IFERROR(SUBSTITUTE(ADDRESS(1,MATCH(A1952,INDIRECT("'"&amp;E1952&amp;"'"&amp;"!A" &amp; $O$949 + 8 &amp; ":Z" &amp; $O$949 + 8),0),4),1,""),""),$O$949 + 8)</f>
        <v>R289</v>
      </c>
      <c r="C1952" s="826" t="str">
        <f ca="1">_xlfn.CONCAT(IFERROR(SUBSTITUTE(ADDRESS(1,MATCH(A1952,INDIRECT("'"&amp;E1952&amp;"'"&amp;"!A" &amp; $O$949 + 8 &amp; ":Z" &amp; $O$949 + 8),0),4),1,""),""),$O$949 + 9)</f>
        <v>R290</v>
      </c>
      <c r="D1952" s="826" t="s">
        <v>1350</v>
      </c>
      <c r="E1952" s="826" t="s">
        <v>1516</v>
      </c>
      <c r="F1952" s="1314" t="s">
        <v>1509</v>
      </c>
      <c r="G1952" s="1314" t="str">
        <f t="shared" si="321"/>
        <v/>
      </c>
      <c r="H1952" s="1314" t="s">
        <v>1990</v>
      </c>
      <c r="I1952" s="1274"/>
      <c r="J1952" s="1314"/>
      <c r="K1952" s="1314"/>
      <c r="L1952" s="826"/>
      <c r="M1952" s="1329"/>
      <c r="N1952" s="1314"/>
      <c r="O1952" s="1311"/>
      <c r="P1952" s="1311"/>
      <c r="Q1952" s="1311"/>
      <c r="R1952" s="1314" t="s">
        <v>395</v>
      </c>
      <c r="S1952" s="1311"/>
      <c r="T1952" s="1314" t="str">
        <f>IF(Q$949="Yes",20,"")</f>
        <v/>
      </c>
      <c r="U1952" s="1311"/>
      <c r="V1952" s="1311"/>
      <c r="W1952" s="1311"/>
      <c r="X1952" s="1311"/>
      <c r="Y1952" s="1311"/>
      <c r="Z1952" s="1311"/>
    </row>
    <row r="1953" spans="1:26" x14ac:dyDescent="0.25">
      <c r="A1953" s="846" t="s">
        <v>1509</v>
      </c>
      <c r="B1953" s="826" t="str">
        <f ca="1">_xlfn.CONCAT(IFERROR(SUBSTITUTE(ADDRESS(1,MATCH(A1953,INDIRECT("'"&amp;E1953&amp;"'"&amp;"!A" &amp; $O$968 + 8 &amp; ":Z" &amp; $O$968 + 8),0),4),1,""),""),$O$968 + 8)</f>
        <v>R303</v>
      </c>
      <c r="C1953" s="826" t="str">
        <f ca="1">_xlfn.CONCAT(IFERROR(SUBSTITUTE(ADDRESS(1,MATCH(A1953,INDIRECT("'"&amp;E1953&amp;"'"&amp;"!A" &amp; $O$968 + 8 &amp; ":Z" &amp; $O$968 + 8),0),4),1,""),""),$O$968 + 9)</f>
        <v>R304</v>
      </c>
      <c r="D1953" s="826" t="s">
        <v>1350</v>
      </c>
      <c r="E1953" s="826" t="s">
        <v>1516</v>
      </c>
      <c r="F1953" s="1314" t="s">
        <v>1509</v>
      </c>
      <c r="G1953" s="1314" t="str">
        <f t="shared" si="321"/>
        <v/>
      </c>
      <c r="H1953" s="1314" t="s">
        <v>1990</v>
      </c>
      <c r="I1953" s="1274"/>
      <c r="J1953" s="1314"/>
      <c r="K1953" s="1314"/>
      <c r="L1953" s="826"/>
      <c r="M1953" s="1329"/>
      <c r="N1953" s="1314"/>
      <c r="O1953" s="1311"/>
      <c r="P1953" s="1311"/>
      <c r="Q1953" s="1311"/>
      <c r="R1953" s="1314" t="s">
        <v>395</v>
      </c>
      <c r="S1953" s="1311"/>
      <c r="T1953" s="1314" t="str">
        <f>IF(Q$968="Yes",21,"")</f>
        <v/>
      </c>
      <c r="U1953" s="1311"/>
      <c r="V1953" s="1311"/>
      <c r="W1953" s="1311"/>
      <c r="X1953" s="1311"/>
      <c r="Y1953" s="1311"/>
      <c r="Z1953" s="1311"/>
    </row>
    <row r="1954" spans="1:26" x14ac:dyDescent="0.25">
      <c r="A1954" s="846" t="s">
        <v>1496</v>
      </c>
      <c r="B1954" s="826" t="str">
        <f ca="1">IFERROR(_xlfn.CONCAT("C",MATCH(A1954,INDIRECT("'"&amp;E1954&amp;"'!C"&amp;$O$539&amp;":C"&amp;$O$541),0)+$O$539-1),"")</f>
        <v>C15</v>
      </c>
      <c r="C1954" s="826" t="str">
        <f ca="1">IFERROR(_xlfn.CONCAT("D",MATCH(A1954,INDIRECT("'"&amp;E1954&amp;"'!C"&amp;$O$539&amp;":C"&amp;$O$541),0)+$O$539-1),"")</f>
        <v>D15</v>
      </c>
      <c r="D1954" s="826" t="s">
        <v>1350</v>
      </c>
      <c r="E1954" s="826" t="s">
        <v>1516</v>
      </c>
      <c r="F1954" s="1314" t="s">
        <v>1496</v>
      </c>
      <c r="G1954" s="1314" t="str">
        <f>IF(T1954&lt;&gt;"","AS","")</f>
        <v/>
      </c>
      <c r="H1954" s="1314" t="s">
        <v>1990</v>
      </c>
      <c r="I1954" s="1274" t="str">
        <f t="shared" ref="I1954:I1987" si="324">IF(J1954&lt;&gt;"",A1954,"")</f>
        <v/>
      </c>
      <c r="J1954" s="1314"/>
      <c r="K1954" s="1314" t="str">
        <f t="shared" ref="K1954:K1988" si="325">IF(J1954&lt;&gt;"",E1954,"")</f>
        <v/>
      </c>
      <c r="L1954" s="826"/>
      <c r="M1954" s="1329"/>
      <c r="N1954" s="1314"/>
      <c r="O1954" s="1311"/>
      <c r="P1954" s="1311"/>
      <c r="Q1954" s="1311"/>
      <c r="R1954" s="1314" t="s">
        <v>851</v>
      </c>
      <c r="S1954" s="1311"/>
      <c r="T1954" s="1314" t="str">
        <f>IF(Q$540="Yes",1,"")</f>
        <v/>
      </c>
      <c r="U1954" s="1311"/>
      <c r="V1954" s="1311"/>
      <c r="W1954" s="1311"/>
      <c r="X1954" s="1311"/>
      <c r="Y1954" s="1311"/>
      <c r="Z1954" s="1311"/>
    </row>
    <row r="1955" spans="1:26" x14ac:dyDescent="0.25">
      <c r="A1955" s="849" t="s">
        <v>1496</v>
      </c>
      <c r="B1955" s="826" t="str">
        <f ca="1">IFERROR(_xlfn.CONCAT("C",MATCH(A1955,INDIRECT("'"&amp;E1955&amp;"'!C"&amp;$O$555&amp;":C"&amp;$O$557),0)+$O$555-1),"")</f>
        <v>C29</v>
      </c>
      <c r="C1955" s="826" t="str">
        <f ca="1">IFERROR(_xlfn.CONCAT("D",MATCH(A1955,INDIRECT("'"&amp;E1955&amp;"'!C"&amp;$O$555&amp;":C"&amp;$O$557),0)+$O$555-1),"")</f>
        <v>D29</v>
      </c>
      <c r="D1955" s="826" t="s">
        <v>1350</v>
      </c>
      <c r="E1955" s="826" t="s">
        <v>1516</v>
      </c>
      <c r="F1955" s="1314" t="s">
        <v>1496</v>
      </c>
      <c r="G1955" s="1314" t="str">
        <f t="shared" ref="G1955:G1987" si="326">IF(T1955&lt;&gt;"","AS","")</f>
        <v/>
      </c>
      <c r="H1955" s="1314" t="s">
        <v>1990</v>
      </c>
      <c r="I1955" s="1274" t="str">
        <f t="shared" si="324"/>
        <v/>
      </c>
      <c r="J1955" s="1314"/>
      <c r="K1955" s="1314" t="str">
        <f t="shared" si="325"/>
        <v/>
      </c>
      <c r="L1955" s="826"/>
      <c r="M1955" s="1329"/>
      <c r="N1955" s="1314"/>
      <c r="O1955" s="1311"/>
      <c r="P1955" s="1311"/>
      <c r="Q1955" s="1311"/>
      <c r="R1955" s="1314" t="s">
        <v>851</v>
      </c>
      <c r="S1955" s="1311"/>
      <c r="T1955" s="1314" t="str">
        <f>IF(Q$555="Yes",2,"")</f>
        <v/>
      </c>
      <c r="U1955" s="1311"/>
      <c r="V1955" s="1311"/>
      <c r="W1955" s="1311"/>
      <c r="X1955" s="1311"/>
      <c r="Y1955" s="1311"/>
      <c r="Z1955" s="1311"/>
    </row>
    <row r="1956" spans="1:26" x14ac:dyDescent="0.25">
      <c r="A1956" s="846" t="s">
        <v>1496</v>
      </c>
      <c r="B1956" s="826" t="str">
        <f ca="1">IFERROR(_xlfn.CONCAT("C",MATCH(A1956,INDIRECT("'"&amp;E1956&amp;"'!C"&amp;$O$570&amp;":C"&amp;$O$572),0)+$O$570-1),"")</f>
        <v>C43</v>
      </c>
      <c r="C1956" s="826" t="str">
        <f ca="1">IFERROR(_xlfn.CONCAT("D",MATCH(A1956,INDIRECT("'"&amp;E1956&amp;"'!C"&amp;$O$570&amp;":C"&amp;$O$572),0)+$O$570-1),"")</f>
        <v>D43</v>
      </c>
      <c r="D1956" s="826" t="s">
        <v>1350</v>
      </c>
      <c r="E1956" s="826" t="s">
        <v>1516</v>
      </c>
      <c r="F1956" s="1314" t="s">
        <v>1496</v>
      </c>
      <c r="G1956" s="1314" t="str">
        <f t="shared" si="326"/>
        <v/>
      </c>
      <c r="H1956" s="1314" t="s">
        <v>1990</v>
      </c>
      <c r="I1956" s="1274" t="str">
        <f t="shared" si="324"/>
        <v/>
      </c>
      <c r="J1956" s="1314"/>
      <c r="K1956" s="1314" t="str">
        <f t="shared" si="325"/>
        <v/>
      </c>
      <c r="L1956" s="826"/>
      <c r="M1956" s="1329"/>
      <c r="N1956" s="1314"/>
      <c r="O1956" s="1311"/>
      <c r="P1956" s="1311"/>
      <c r="Q1956" s="1311"/>
      <c r="R1956" s="1314" t="s">
        <v>851</v>
      </c>
      <c r="S1956" s="1311"/>
      <c r="T1956" s="1314" t="str">
        <f>IF(Q$570="Yes",3,"")</f>
        <v/>
      </c>
      <c r="U1956" s="1311"/>
      <c r="V1956" s="1311"/>
      <c r="W1956" s="1311"/>
      <c r="X1956" s="1311"/>
      <c r="Y1956" s="1311"/>
      <c r="Z1956" s="1311"/>
    </row>
    <row r="1957" spans="1:26" x14ac:dyDescent="0.25">
      <c r="A1957" s="849" t="s">
        <v>1496</v>
      </c>
      <c r="B1957" s="826" t="str">
        <f ca="1">IFERROR(_xlfn.CONCAT("C",MATCH(A1957,INDIRECT("'"&amp;E1957&amp;"'!C"&amp;$O$589&amp;":C"&amp;$O$591),0)+$O$589-1),"")</f>
        <v>C57</v>
      </c>
      <c r="C1957" s="826" t="str">
        <f ca="1">IFERROR(_xlfn.CONCAT("D",MATCH(A1957,INDIRECT("'"&amp;E1957&amp;"'!C"&amp;$O$589&amp;":C"&amp;$O$591),0)+$O$589-1),"")</f>
        <v>D57</v>
      </c>
      <c r="D1957" s="826" t="s">
        <v>1350</v>
      </c>
      <c r="E1957" s="826" t="s">
        <v>1516</v>
      </c>
      <c r="F1957" s="1314" t="s">
        <v>1496</v>
      </c>
      <c r="G1957" s="1314" t="str">
        <f t="shared" si="326"/>
        <v/>
      </c>
      <c r="H1957" s="1314" t="s">
        <v>1990</v>
      </c>
      <c r="I1957" s="1274" t="str">
        <f t="shared" si="324"/>
        <v/>
      </c>
      <c r="J1957" s="1314"/>
      <c r="K1957" s="1314" t="str">
        <f t="shared" si="325"/>
        <v/>
      </c>
      <c r="L1957" s="826"/>
      <c r="M1957" s="1329"/>
      <c r="N1957" s="1314"/>
      <c r="O1957" s="1311"/>
      <c r="P1957" s="1311"/>
      <c r="Q1957" s="1311"/>
      <c r="R1957" s="1314" t="s">
        <v>851</v>
      </c>
      <c r="S1957" s="1311"/>
      <c r="T1957" s="1314" t="str">
        <f>IF(Q$589="Yes",4,"")</f>
        <v/>
      </c>
      <c r="U1957" s="1311"/>
      <c r="V1957" s="1311"/>
      <c r="W1957" s="1311"/>
      <c r="X1957" s="1311"/>
      <c r="Y1957" s="1311"/>
      <c r="Z1957" s="1311"/>
    </row>
    <row r="1958" spans="1:26" x14ac:dyDescent="0.25">
      <c r="A1958" s="846" t="s">
        <v>1496</v>
      </c>
      <c r="B1958" s="826" t="str">
        <f ca="1">IFERROR(_xlfn.CONCAT("C",MATCH(A1958,INDIRECT("'"&amp;E1958&amp;"'!C"&amp;$O$608&amp;":C"&amp;$O$610),0)+$O$608-1),"")</f>
        <v>C73</v>
      </c>
      <c r="C1958" s="826" t="str">
        <f ca="1">IFERROR(_xlfn.CONCAT("D",MATCH(A1958,INDIRECT("'"&amp;E1958&amp;"'!C"&amp;$O$608&amp;":C"&amp;$O$610),0)+$O$608-1),"")</f>
        <v>D73</v>
      </c>
      <c r="D1958" s="826" t="s">
        <v>1350</v>
      </c>
      <c r="E1958" s="826" t="s">
        <v>1516</v>
      </c>
      <c r="F1958" s="1314" t="s">
        <v>1496</v>
      </c>
      <c r="G1958" s="1314" t="str">
        <f t="shared" si="326"/>
        <v/>
      </c>
      <c r="H1958" s="1314" t="s">
        <v>1990</v>
      </c>
      <c r="I1958" s="1274" t="str">
        <f t="shared" si="324"/>
        <v/>
      </c>
      <c r="J1958" s="1314"/>
      <c r="K1958" s="1314" t="str">
        <f t="shared" si="325"/>
        <v/>
      </c>
      <c r="L1958" s="826"/>
      <c r="M1958" s="1329"/>
      <c r="N1958" s="1314"/>
      <c r="O1958" s="1311"/>
      <c r="P1958" s="1311"/>
      <c r="Q1958" s="1311"/>
      <c r="R1958" s="1314" t="s">
        <v>851</v>
      </c>
      <c r="S1958" s="1311"/>
      <c r="T1958" s="1314" t="str">
        <f>IF(Q$608="Yes",5,"")</f>
        <v/>
      </c>
      <c r="U1958" s="1311"/>
      <c r="V1958" s="1311"/>
      <c r="W1958" s="1311"/>
      <c r="X1958" s="1311"/>
      <c r="Y1958" s="1311"/>
      <c r="Z1958" s="1311"/>
    </row>
    <row r="1959" spans="1:26" x14ac:dyDescent="0.25">
      <c r="A1959" s="849" t="s">
        <v>1496</v>
      </c>
      <c r="B1959" s="826" t="str">
        <f ca="1">IFERROR(_xlfn.CONCAT("C",MATCH(A1959,INDIRECT("'"&amp;E1959&amp;"'!C"&amp;$O$639&amp;":C"&amp;$O$641),0)+$O$639-1),"")</f>
        <v>C89</v>
      </c>
      <c r="C1959" s="826" t="str">
        <f ca="1">IFERROR(_xlfn.CONCAT("D",MATCH(A1959,INDIRECT("'"&amp;E1959&amp;"'!C"&amp;$O$639&amp;":C"&amp;$O$641),0)+$O$639-1),"")</f>
        <v>D89</v>
      </c>
      <c r="D1959" s="826" t="s">
        <v>1350</v>
      </c>
      <c r="E1959" s="826" t="s">
        <v>1516</v>
      </c>
      <c r="F1959" s="1314" t="s">
        <v>1496</v>
      </c>
      <c r="G1959" s="1314" t="str">
        <f t="shared" si="326"/>
        <v/>
      </c>
      <c r="H1959" s="1314" t="s">
        <v>1990</v>
      </c>
      <c r="I1959" s="1274" t="str">
        <f t="shared" si="324"/>
        <v/>
      </c>
      <c r="J1959" s="1314"/>
      <c r="K1959" s="1314" t="str">
        <f t="shared" si="325"/>
        <v/>
      </c>
      <c r="L1959" s="826"/>
      <c r="M1959" s="1329"/>
      <c r="N1959" s="1314"/>
      <c r="O1959" s="1311"/>
      <c r="P1959" s="1311"/>
      <c r="Q1959" s="1311"/>
      <c r="R1959" s="1314" t="s">
        <v>851</v>
      </c>
      <c r="S1959" s="1311"/>
      <c r="T1959" s="1314" t="str">
        <f>IF(Q$639="Yes",6,"")</f>
        <v/>
      </c>
      <c r="U1959" s="1311"/>
      <c r="V1959" s="1311"/>
      <c r="W1959" s="1311"/>
      <c r="X1959" s="1311"/>
      <c r="Y1959" s="1311"/>
      <c r="Z1959" s="1311"/>
    </row>
    <row r="1960" spans="1:26" x14ac:dyDescent="0.25">
      <c r="A1960" s="846" t="s">
        <v>1496</v>
      </c>
      <c r="B1960" s="826" t="str">
        <f ca="1">IFERROR(_xlfn.CONCAT("C",MATCH(A1960,INDIRECT("'"&amp;E1960&amp;"'!C"&amp;$O$670&amp;":C"&amp;$O$672),0)+$O$670-1),"")</f>
        <v>C103</v>
      </c>
      <c r="C1960" s="826" t="str">
        <f ca="1">IFERROR(_xlfn.CONCAT("D",MATCH(A1960,INDIRECT("'"&amp;E1960&amp;"'!C"&amp;$O$670&amp;":C"&amp;$O$672),0)+$O$670-1),"")</f>
        <v>D103</v>
      </c>
      <c r="D1960" s="826" t="s">
        <v>1350</v>
      </c>
      <c r="E1960" s="826" t="s">
        <v>1516</v>
      </c>
      <c r="F1960" s="1314" t="s">
        <v>1496</v>
      </c>
      <c r="G1960" s="1314" t="str">
        <f t="shared" si="326"/>
        <v/>
      </c>
      <c r="H1960" s="1314" t="s">
        <v>1990</v>
      </c>
      <c r="I1960" s="1274" t="str">
        <f t="shared" si="324"/>
        <v/>
      </c>
      <c r="J1960" s="1314"/>
      <c r="K1960" s="1314" t="str">
        <f t="shared" si="325"/>
        <v/>
      </c>
      <c r="L1960" s="826"/>
      <c r="M1960" s="1329"/>
      <c r="N1960" s="1314"/>
      <c r="O1960" s="1311"/>
      <c r="P1960" s="1311"/>
      <c r="Q1960" s="1311"/>
      <c r="R1960" s="1314" t="s">
        <v>1525</v>
      </c>
      <c r="S1960" s="1311"/>
      <c r="T1960" s="1314" t="str">
        <f>IF(Q$670="Yes",7,"")</f>
        <v/>
      </c>
      <c r="U1960" s="1311"/>
      <c r="V1960" s="1311"/>
      <c r="W1960" s="1311"/>
      <c r="X1960" s="1311"/>
      <c r="Y1960" s="1311"/>
      <c r="Z1960" s="1311"/>
    </row>
    <row r="1961" spans="1:26" x14ac:dyDescent="0.25">
      <c r="A1961" s="849" t="s">
        <v>1496</v>
      </c>
      <c r="B1961" s="826" t="str">
        <f ca="1">IFERROR(_xlfn.CONCAT("C",MATCH(A1961,INDIRECT("'"&amp;E1961&amp;"'!C"&amp;$O$688&amp;":C"&amp;$O$690),0)+$O$688-1),"")</f>
        <v>C117</v>
      </c>
      <c r="C1961" s="826" t="str">
        <f ca="1">IFERROR(_xlfn.CONCAT("D",MATCH(A1961,INDIRECT("'"&amp;E1961&amp;"'!C"&amp;$O$688&amp;":C"&amp;$O$690),0)+$O$688-1),"")</f>
        <v>D117</v>
      </c>
      <c r="D1961" s="826" t="s">
        <v>1350</v>
      </c>
      <c r="E1961" s="826" t="s">
        <v>1516</v>
      </c>
      <c r="F1961" s="1314" t="s">
        <v>1496</v>
      </c>
      <c r="G1961" s="1314" t="str">
        <f t="shared" si="326"/>
        <v/>
      </c>
      <c r="H1961" s="1314" t="s">
        <v>1990</v>
      </c>
      <c r="I1961" s="1274" t="str">
        <f t="shared" si="324"/>
        <v/>
      </c>
      <c r="J1961" s="1314"/>
      <c r="K1961" s="1314" t="str">
        <f t="shared" si="325"/>
        <v/>
      </c>
      <c r="L1961" s="826"/>
      <c r="M1961" s="1329"/>
      <c r="N1961" s="1314"/>
      <c r="O1961" s="1311"/>
      <c r="P1961" s="1311"/>
      <c r="Q1961" s="1311"/>
      <c r="R1961" s="1314" t="s">
        <v>1525</v>
      </c>
      <c r="S1961" s="1311"/>
      <c r="T1961" s="1314" t="str">
        <f>IF(Q$688="Yes",8,"")</f>
        <v/>
      </c>
      <c r="U1961" s="1311"/>
      <c r="V1961" s="1311"/>
      <c r="W1961" s="1311"/>
      <c r="X1961" s="1311"/>
      <c r="Y1961" s="1311"/>
      <c r="Z1961" s="1311"/>
    </row>
    <row r="1962" spans="1:26" x14ac:dyDescent="0.25">
      <c r="A1962" s="846" t="s">
        <v>1496</v>
      </c>
      <c r="B1962" s="826" t="str">
        <f ca="1">IFERROR(_xlfn.CONCAT("C",MATCH(A1962,INDIRECT("'"&amp;E1962&amp;"'!C"&amp;$O$706&amp;":C"&amp;$O$708),0)+$O$706-1),"")</f>
        <v>C133</v>
      </c>
      <c r="C1962" s="826" t="str">
        <f ca="1">IFERROR(_xlfn.CONCAT("D",MATCH(A1962,INDIRECT("'"&amp;E1962&amp;"'!C"&amp;$O$706&amp;":C"&amp;$O$708),0)+$O$706-1),"")</f>
        <v>D133</v>
      </c>
      <c r="D1962" s="826" t="s">
        <v>1350</v>
      </c>
      <c r="E1962" s="826" t="s">
        <v>1516</v>
      </c>
      <c r="F1962" s="1314" t="s">
        <v>1496</v>
      </c>
      <c r="G1962" s="1314" t="str">
        <f t="shared" si="326"/>
        <v/>
      </c>
      <c r="H1962" s="1314" t="s">
        <v>1990</v>
      </c>
      <c r="I1962" s="1274" t="str">
        <f t="shared" si="324"/>
        <v/>
      </c>
      <c r="J1962" s="1314"/>
      <c r="K1962" s="1314" t="str">
        <f t="shared" si="325"/>
        <v/>
      </c>
      <c r="L1962" s="826"/>
      <c r="M1962" s="1329"/>
      <c r="N1962" s="1314"/>
      <c r="O1962" s="1311"/>
      <c r="P1962" s="1311"/>
      <c r="Q1962" s="1311"/>
      <c r="R1962" s="1314" t="s">
        <v>1525</v>
      </c>
      <c r="S1962" s="1311"/>
      <c r="T1962" s="1314" t="str">
        <f>IF(Q$706="Yes",9,"")</f>
        <v/>
      </c>
      <c r="U1962" s="1311"/>
      <c r="V1962" s="1311"/>
      <c r="W1962" s="1311"/>
      <c r="X1962" s="1311"/>
      <c r="Y1962" s="1311"/>
      <c r="Z1962" s="1311"/>
    </row>
    <row r="1963" spans="1:26" x14ac:dyDescent="0.25">
      <c r="A1963" s="849" t="s">
        <v>1496</v>
      </c>
      <c r="B1963" s="826" t="str">
        <f ca="1">IFERROR(_xlfn.CONCAT("C",MATCH(A1963,INDIRECT("'"&amp;E1963&amp;"'!C"&amp;$O$736&amp;":C"&amp;$O$738),0)+$O$736-1),"")</f>
        <v>C149</v>
      </c>
      <c r="C1963" s="826" t="str">
        <f ca="1">IFERROR(_xlfn.CONCAT("D",MATCH(A1963,INDIRECT("'"&amp;E1963&amp;"'!C"&amp;$O$736&amp;":C"&amp;$O$738),0)+$O$736-1),"")</f>
        <v>D149</v>
      </c>
      <c r="D1963" s="826" t="s">
        <v>1350</v>
      </c>
      <c r="E1963" s="826" t="s">
        <v>1516</v>
      </c>
      <c r="F1963" s="1314" t="s">
        <v>1496</v>
      </c>
      <c r="G1963" s="1314" t="str">
        <f t="shared" si="326"/>
        <v/>
      </c>
      <c r="H1963" s="1314" t="s">
        <v>1990</v>
      </c>
      <c r="I1963" s="1274" t="str">
        <f t="shared" si="324"/>
        <v/>
      </c>
      <c r="J1963" s="1314"/>
      <c r="K1963" s="1314" t="str">
        <f t="shared" si="325"/>
        <v/>
      </c>
      <c r="L1963" s="826"/>
      <c r="M1963" s="1329"/>
      <c r="N1963" s="1314"/>
      <c r="O1963" s="1311"/>
      <c r="P1963" s="1311"/>
      <c r="Q1963" s="1311"/>
      <c r="R1963" s="1314" t="s">
        <v>1525</v>
      </c>
      <c r="S1963" s="1311"/>
      <c r="T1963" s="1314" t="str">
        <f>IF(Q$736="Yes",10,"")</f>
        <v/>
      </c>
      <c r="U1963" s="1311"/>
      <c r="V1963" s="1311"/>
      <c r="W1963" s="1311"/>
      <c r="X1963" s="1311"/>
      <c r="Y1963" s="1311"/>
      <c r="Z1963" s="1311"/>
    </row>
    <row r="1964" spans="1:26" x14ac:dyDescent="0.25">
      <c r="A1964" s="846" t="s">
        <v>1496</v>
      </c>
      <c r="B1964" s="826" t="str">
        <f ca="1">IFERROR(_xlfn.CONCAT("C",MATCH(A1964,INDIRECT("'"&amp;E1964&amp;"'!C"&amp;$O$766&amp;":C"&amp;$O$768),0)+$O$766-1),"")</f>
        <v>C163</v>
      </c>
      <c r="C1964" s="826" t="str">
        <f ca="1">IFERROR(_xlfn.CONCAT("D",MATCH(A1964,INDIRECT("'"&amp;E1964&amp;"'!C"&amp;$O$766&amp;":C"&amp;$O$768),0)+$O$766-1),"")</f>
        <v>D163</v>
      </c>
      <c r="D1964" s="826" t="s">
        <v>1350</v>
      </c>
      <c r="E1964" s="826" t="s">
        <v>1516</v>
      </c>
      <c r="F1964" s="1314" t="s">
        <v>1496</v>
      </c>
      <c r="G1964" s="1314" t="str">
        <f t="shared" si="326"/>
        <v/>
      </c>
      <c r="H1964" s="1314" t="s">
        <v>1990</v>
      </c>
      <c r="I1964" s="1274" t="str">
        <f t="shared" si="324"/>
        <v/>
      </c>
      <c r="J1964" s="1314"/>
      <c r="K1964" s="1314" t="str">
        <f t="shared" si="325"/>
        <v/>
      </c>
      <c r="L1964" s="826"/>
      <c r="M1964" s="1329"/>
      <c r="N1964" s="1314"/>
      <c r="O1964" s="1311"/>
      <c r="P1964" s="1311"/>
      <c r="Q1964" s="1311"/>
      <c r="R1964" s="1314" t="s">
        <v>1531</v>
      </c>
      <c r="S1964" s="1311"/>
      <c r="T1964" s="1314" t="str">
        <f>IF(Q$766="Yes",11,"")</f>
        <v/>
      </c>
      <c r="U1964" s="1311"/>
      <c r="V1964" s="1311"/>
      <c r="W1964" s="1311"/>
      <c r="X1964" s="1311"/>
      <c r="Y1964" s="1311"/>
      <c r="Z1964" s="1311"/>
    </row>
    <row r="1965" spans="1:26" x14ac:dyDescent="0.25">
      <c r="A1965" s="849" t="s">
        <v>1496</v>
      </c>
      <c r="B1965" s="826" t="str">
        <f ca="1">IFERROR(_xlfn.CONCAT("C",MATCH(A1965,INDIRECT("'"&amp;E1965&amp;"'!C"&amp;$O$781&amp;":C"&amp;$O$783),0)+$O$781-1),"")</f>
        <v>C177</v>
      </c>
      <c r="C1965" s="826" t="str">
        <f ca="1">IFERROR(_xlfn.CONCAT("D",MATCH(A1965,INDIRECT("'"&amp;E1965&amp;"'!C"&amp;$O$781&amp;":C"&amp;$O$783),0)+$O$781-1),"")</f>
        <v>D177</v>
      </c>
      <c r="D1965" s="826" t="s">
        <v>1350</v>
      </c>
      <c r="E1965" s="826" t="s">
        <v>1516</v>
      </c>
      <c r="F1965" s="1314" t="s">
        <v>1496</v>
      </c>
      <c r="G1965" s="1314" t="str">
        <f t="shared" si="326"/>
        <v/>
      </c>
      <c r="H1965" s="1314" t="s">
        <v>1990</v>
      </c>
      <c r="I1965" s="1274" t="str">
        <f t="shared" si="324"/>
        <v/>
      </c>
      <c r="J1965" s="1314"/>
      <c r="K1965" s="1314" t="str">
        <f t="shared" si="325"/>
        <v/>
      </c>
      <c r="L1965" s="826"/>
      <c r="M1965" s="1329"/>
      <c r="N1965" s="1314"/>
      <c r="O1965" s="1311"/>
      <c r="P1965" s="1311"/>
      <c r="Q1965" s="1311"/>
      <c r="R1965" s="1314" t="s">
        <v>1531</v>
      </c>
      <c r="S1965" s="1311"/>
      <c r="T1965" s="1314" t="str">
        <f>IF(Q$781="Yes",12,"")</f>
        <v/>
      </c>
      <c r="U1965" s="1311"/>
      <c r="V1965" s="1311"/>
      <c r="W1965" s="1311"/>
      <c r="X1965" s="1311"/>
      <c r="Y1965" s="1311"/>
      <c r="Z1965" s="1311"/>
    </row>
    <row r="1966" spans="1:26" x14ac:dyDescent="0.25">
      <c r="A1966" s="846" t="s">
        <v>1496</v>
      </c>
      <c r="B1966" s="826" t="str">
        <f ca="1">IFERROR(_xlfn.CONCAT("C",MATCH(A1966,INDIRECT("'"&amp;E1966&amp;"'!C"&amp;$O$796&amp;":C"&amp;$O$798),0)+$O$796-1),"")</f>
        <v>C191</v>
      </c>
      <c r="C1966" s="826" t="str">
        <f ca="1">IFERROR(_xlfn.CONCAT("D",MATCH(A1966,INDIRECT("'"&amp;E1966&amp;"'!C"&amp;$O$796&amp;":C"&amp;$O$798),0)+$O$796-1),"")</f>
        <v>D191</v>
      </c>
      <c r="D1966" s="826" t="s">
        <v>1350</v>
      </c>
      <c r="E1966" s="826" t="s">
        <v>1516</v>
      </c>
      <c r="F1966" s="1314" t="s">
        <v>1496</v>
      </c>
      <c r="G1966" s="1314" t="str">
        <f t="shared" si="326"/>
        <v/>
      </c>
      <c r="H1966" s="1314" t="s">
        <v>1990</v>
      </c>
      <c r="I1966" s="1274" t="str">
        <f t="shared" si="324"/>
        <v/>
      </c>
      <c r="J1966" s="1314"/>
      <c r="K1966" s="1314" t="str">
        <f t="shared" si="325"/>
        <v/>
      </c>
      <c r="L1966" s="826"/>
      <c r="M1966" s="1329"/>
      <c r="N1966" s="1314"/>
      <c r="O1966" s="1311"/>
      <c r="P1966" s="1311"/>
      <c r="Q1966" s="1311"/>
      <c r="R1966" s="1314" t="s">
        <v>1531</v>
      </c>
      <c r="S1966" s="1311"/>
      <c r="T1966" s="1314" t="str">
        <f>IF(Q$796="Yes",13,"")</f>
        <v/>
      </c>
      <c r="U1966" s="1311"/>
      <c r="V1966" s="1311"/>
      <c r="W1966" s="1311"/>
      <c r="X1966" s="1311"/>
      <c r="Y1966" s="1311"/>
      <c r="Z1966" s="1311"/>
    </row>
    <row r="1967" spans="1:26" x14ac:dyDescent="0.25">
      <c r="A1967" s="849" t="s">
        <v>1496</v>
      </c>
      <c r="B1967" s="826" t="str">
        <f ca="1">IFERROR(_xlfn.CONCAT("C",MATCH(A1967,INDIRECT("'"&amp;E1967&amp;"'!C"&amp;$O$814&amp;":C"&amp;$O$816),0)+$O$814-1),"")</f>
        <v>C205</v>
      </c>
      <c r="C1967" s="826" t="str">
        <f ca="1">IFERROR(_xlfn.CONCAT("D",MATCH(A1967,INDIRECT("'"&amp;E1967&amp;"'!C"&amp;$O$814&amp;":C"&amp;$O$816),0)+$O$814-1),"")</f>
        <v>D205</v>
      </c>
      <c r="D1967" s="826" t="s">
        <v>1350</v>
      </c>
      <c r="E1967" s="826" t="s">
        <v>1516</v>
      </c>
      <c r="F1967" s="1314" t="s">
        <v>1496</v>
      </c>
      <c r="G1967" s="1314" t="str">
        <f t="shared" si="326"/>
        <v/>
      </c>
      <c r="H1967" s="1314" t="s">
        <v>1990</v>
      </c>
      <c r="I1967" s="1274" t="str">
        <f t="shared" si="324"/>
        <v/>
      </c>
      <c r="J1967" s="1314"/>
      <c r="K1967" s="1314" t="str">
        <f t="shared" si="325"/>
        <v/>
      </c>
      <c r="L1967" s="826"/>
      <c r="M1967" s="1329"/>
      <c r="N1967" s="1314"/>
      <c r="O1967" s="1311"/>
      <c r="P1967" s="1311"/>
      <c r="Q1967" s="1311"/>
      <c r="R1967" s="1314" t="s">
        <v>1531</v>
      </c>
      <c r="S1967" s="1311"/>
      <c r="T1967" s="1314" t="str">
        <f>IF(Q$814="Yes",14,"")</f>
        <v/>
      </c>
      <c r="U1967" s="1311"/>
      <c r="V1967" s="1311"/>
      <c r="W1967" s="1311"/>
      <c r="X1967" s="1311"/>
      <c r="Y1967" s="1311"/>
      <c r="Z1967" s="1311"/>
    </row>
    <row r="1968" spans="1:26" x14ac:dyDescent="0.25">
      <c r="A1968" s="846" t="s">
        <v>1496</v>
      </c>
      <c r="B1968" s="826" t="str">
        <f ca="1">IFERROR(_xlfn.CONCAT("C",MATCH(A1968,INDIRECT("'"&amp;E1968&amp;"'!C"&amp;$O$832&amp;":C"&amp;$O$834),0)+$O$832-1),"")</f>
        <v>C221</v>
      </c>
      <c r="C1968" s="826" t="str">
        <f ca="1">IFERROR(_xlfn.CONCAT("D",MATCH(A1968,INDIRECT("'"&amp;E1968&amp;"'!C"&amp;$O$832&amp;":C"&amp;$O$834),0)+$O$832-1),"")</f>
        <v>D221</v>
      </c>
      <c r="D1968" s="826" t="s">
        <v>1350</v>
      </c>
      <c r="E1968" s="826" t="s">
        <v>1516</v>
      </c>
      <c r="F1968" s="1314" t="s">
        <v>1496</v>
      </c>
      <c r="G1968" s="1314" t="str">
        <f t="shared" si="326"/>
        <v/>
      </c>
      <c r="H1968" s="1314" t="s">
        <v>1990</v>
      </c>
      <c r="I1968" s="1274" t="str">
        <f t="shared" si="324"/>
        <v/>
      </c>
      <c r="J1968" s="1314"/>
      <c r="K1968" s="1314" t="str">
        <f t="shared" si="325"/>
        <v/>
      </c>
      <c r="L1968" s="826"/>
      <c r="M1968" s="1329"/>
      <c r="N1968" s="1314"/>
      <c r="O1968" s="1311"/>
      <c r="P1968" s="1311"/>
      <c r="Q1968" s="1311"/>
      <c r="R1968" s="1314" t="s">
        <v>1531</v>
      </c>
      <c r="S1968" s="1311"/>
      <c r="T1968" s="1314" t="str">
        <f>IF(Q$832="Yes",15,"")</f>
        <v/>
      </c>
      <c r="U1968" s="1311"/>
      <c r="V1968" s="1311"/>
      <c r="W1968" s="1311"/>
      <c r="X1968" s="1311"/>
      <c r="Y1968" s="1311"/>
      <c r="Z1968" s="1311"/>
    </row>
    <row r="1969" spans="1:26" x14ac:dyDescent="0.25">
      <c r="A1969" s="849" t="s">
        <v>1496</v>
      </c>
      <c r="B1969" s="826" t="str">
        <f ca="1">IFERROR(_xlfn.CONCAT("C",MATCH(A1969,INDIRECT("'"&amp;E1969&amp;"'!C"&amp;$O$862&amp;":C"&amp;$O$864),0)+$O$862-1),"")</f>
        <v>C237</v>
      </c>
      <c r="C1969" s="826" t="str">
        <f ca="1">IFERROR(_xlfn.CONCAT("D",MATCH(A1969,INDIRECT("'"&amp;E1969&amp;"'!C"&amp;$O$862&amp;":C"&amp;$O$864),0)+$O$862-1),"")</f>
        <v>D237</v>
      </c>
      <c r="D1969" s="826" t="s">
        <v>1350</v>
      </c>
      <c r="E1969" s="826" t="s">
        <v>1516</v>
      </c>
      <c r="F1969" s="1314" t="s">
        <v>1496</v>
      </c>
      <c r="G1969" s="1314" t="str">
        <f t="shared" si="326"/>
        <v/>
      </c>
      <c r="H1969" s="1314" t="s">
        <v>1990</v>
      </c>
      <c r="I1969" s="1274" t="str">
        <f t="shared" si="324"/>
        <v/>
      </c>
      <c r="J1969" s="1314"/>
      <c r="K1969" s="1314" t="str">
        <f t="shared" si="325"/>
        <v/>
      </c>
      <c r="L1969" s="826"/>
      <c r="M1969" s="1329"/>
      <c r="N1969" s="1314"/>
      <c r="O1969" s="1311"/>
      <c r="P1969" s="1311"/>
      <c r="Q1969" s="1311"/>
      <c r="R1969" s="1314" t="s">
        <v>1531</v>
      </c>
      <c r="S1969" s="1311"/>
      <c r="T1969" s="1314" t="str">
        <f>IF(Q$862="Yes",16,"")</f>
        <v/>
      </c>
      <c r="U1969" s="1311"/>
      <c r="V1969" s="1311"/>
      <c r="W1969" s="1311"/>
      <c r="X1969" s="1311"/>
      <c r="Y1969" s="1311"/>
      <c r="Z1969" s="1311"/>
    </row>
    <row r="1970" spans="1:26" x14ac:dyDescent="0.25">
      <c r="A1970" s="846" t="s">
        <v>1496</v>
      </c>
      <c r="B1970" s="826" t="str">
        <f ca="1">IFERROR(_xlfn.CONCAT("C",MATCH(A1970,INDIRECT("'"&amp;E1970&amp;"'!C"&amp;$O$892&amp;":C"&amp;$O$894),0)+$O$892-1),"")</f>
        <v>C251</v>
      </c>
      <c r="C1970" s="826" t="str">
        <f ca="1">IFERROR(_xlfn.CONCAT("D",MATCH(A1970,INDIRECT("'"&amp;E1970&amp;"'!C"&amp;$O$892&amp;":C"&amp;$O$894),0)+$O$892-1),"")</f>
        <v>D251</v>
      </c>
      <c r="D1970" s="826" t="s">
        <v>1350</v>
      </c>
      <c r="E1970" s="826" t="s">
        <v>1516</v>
      </c>
      <c r="F1970" s="1314" t="s">
        <v>1496</v>
      </c>
      <c r="G1970" s="1314" t="str">
        <f t="shared" si="326"/>
        <v/>
      </c>
      <c r="H1970" s="1314" t="s">
        <v>1990</v>
      </c>
      <c r="I1970" s="1274" t="str">
        <f t="shared" si="324"/>
        <v/>
      </c>
      <c r="J1970" s="1314"/>
      <c r="K1970" s="1314" t="str">
        <f t="shared" si="325"/>
        <v/>
      </c>
      <c r="L1970" s="826"/>
      <c r="M1970" s="1329"/>
      <c r="N1970" s="1314"/>
      <c r="O1970" s="1311"/>
      <c r="P1970" s="1311"/>
      <c r="Q1970" s="1311"/>
      <c r="R1970" s="1314" t="s">
        <v>395</v>
      </c>
      <c r="S1970" s="1311"/>
      <c r="T1970" s="1314" t="str">
        <f>IF(Q$892="Yes",17,"")</f>
        <v/>
      </c>
      <c r="U1970" s="1311"/>
      <c r="V1970" s="1311"/>
      <c r="W1970" s="1311"/>
      <c r="X1970" s="1311"/>
      <c r="Y1970" s="1311"/>
      <c r="Z1970" s="1311"/>
    </row>
    <row r="1971" spans="1:26" x14ac:dyDescent="0.25">
      <c r="A1971" s="849" t="s">
        <v>1496</v>
      </c>
      <c r="B1971" s="826" t="str">
        <f ca="1">IFERROR(_xlfn.CONCAT("C",MATCH(A1971,INDIRECT("'"&amp;E1971&amp;"'!C"&amp;$O$911&amp;":C"&amp;$O$913),0)+$O$911-1),"")</f>
        <v>C265</v>
      </c>
      <c r="C1971" s="826" t="str">
        <f ca="1">IFERROR(_xlfn.CONCAT("D",MATCH(A1971,INDIRECT("'"&amp;E1971&amp;"'!C"&amp;$O$911&amp;":C"&amp;$O$913),0)+$O$911-1),"")</f>
        <v>D265</v>
      </c>
      <c r="D1971" s="826" t="s">
        <v>1350</v>
      </c>
      <c r="E1971" s="826" t="s">
        <v>1516</v>
      </c>
      <c r="F1971" s="1314" t="s">
        <v>1496</v>
      </c>
      <c r="G1971" s="1314" t="str">
        <f t="shared" si="326"/>
        <v/>
      </c>
      <c r="H1971" s="1314" t="s">
        <v>1990</v>
      </c>
      <c r="I1971" s="1274" t="str">
        <f t="shared" si="324"/>
        <v/>
      </c>
      <c r="J1971" s="1314"/>
      <c r="K1971" s="1314" t="str">
        <f t="shared" si="325"/>
        <v/>
      </c>
      <c r="L1971" s="826"/>
      <c r="M1971" s="1329"/>
      <c r="N1971" s="1314"/>
      <c r="O1971" s="1311"/>
      <c r="P1971" s="1311"/>
      <c r="Q1971" s="1311"/>
      <c r="R1971" s="1314" t="s">
        <v>395</v>
      </c>
      <c r="S1971" s="1311"/>
      <c r="T1971" s="1314" t="str">
        <f>IF(Q$911="Yes",18,"")</f>
        <v/>
      </c>
      <c r="U1971" s="1311"/>
      <c r="V1971" s="1311"/>
      <c r="W1971" s="1311"/>
      <c r="X1971" s="1311"/>
      <c r="Y1971" s="1311"/>
      <c r="Z1971" s="1311"/>
    </row>
    <row r="1972" spans="1:26" x14ac:dyDescent="0.25">
      <c r="A1972" s="846" t="s">
        <v>1496</v>
      </c>
      <c r="B1972" s="826" t="str">
        <f ca="1">IFERROR(_xlfn.CONCAT("C",MATCH(A1972,INDIRECT("'"&amp;E1972&amp;"'!C"&amp;$O$930&amp;":C"&amp;$O$932),0)+$O$930-1),"")</f>
        <v>C279</v>
      </c>
      <c r="C1972" s="826" t="str">
        <f ca="1">IFERROR(_xlfn.CONCAT("D",MATCH(A1972,INDIRECT("'"&amp;E1972&amp;"'!C"&amp;$O$930&amp;":C"&amp;$O$932),0)+$O$930-1),"")</f>
        <v>D279</v>
      </c>
      <c r="D1972" s="826" t="s">
        <v>1350</v>
      </c>
      <c r="E1972" s="826" t="s">
        <v>1516</v>
      </c>
      <c r="F1972" s="1314" t="s">
        <v>1496</v>
      </c>
      <c r="G1972" s="1314" t="str">
        <f t="shared" si="326"/>
        <v/>
      </c>
      <c r="H1972" s="1314" t="s">
        <v>1990</v>
      </c>
      <c r="I1972" s="1274" t="str">
        <f t="shared" si="324"/>
        <v/>
      </c>
      <c r="J1972" s="1314"/>
      <c r="K1972" s="1314" t="str">
        <f t="shared" si="325"/>
        <v/>
      </c>
      <c r="L1972" s="826"/>
      <c r="M1972" s="1329"/>
      <c r="N1972" s="1314"/>
      <c r="O1972" s="1311"/>
      <c r="P1972" s="1311"/>
      <c r="Q1972" s="1311"/>
      <c r="R1972" s="1314" t="s">
        <v>395</v>
      </c>
      <c r="S1972" s="1311"/>
      <c r="T1972" s="1314" t="str">
        <f>IF(Q$930="Yes",19,"")</f>
        <v/>
      </c>
      <c r="U1972" s="1311"/>
      <c r="V1972" s="1311"/>
      <c r="W1972" s="1311"/>
      <c r="X1972" s="1311"/>
      <c r="Y1972" s="1311"/>
      <c r="Z1972" s="1311"/>
    </row>
    <row r="1973" spans="1:26" x14ac:dyDescent="0.25">
      <c r="A1973" s="849" t="s">
        <v>1496</v>
      </c>
      <c r="B1973" s="826" t="str">
        <f ca="1">IFERROR(_xlfn.CONCAT("C",MATCH(A1973,INDIRECT("'"&amp;E1973&amp;"'!C"&amp;$O$949&amp;":C"&amp;$O$951),0)+$O$949-1),"")</f>
        <v>C293</v>
      </c>
      <c r="C1973" s="826" t="str">
        <f ca="1">IFERROR(_xlfn.CONCAT("D",MATCH(A1973,INDIRECT("'"&amp;E1973&amp;"'!C"&amp;$O$949&amp;":C"&amp;$O$951),0)+$O$949-1),"")</f>
        <v>D293</v>
      </c>
      <c r="D1973" s="826" t="s">
        <v>1350</v>
      </c>
      <c r="E1973" s="826" t="s">
        <v>1516</v>
      </c>
      <c r="F1973" s="1314" t="s">
        <v>1496</v>
      </c>
      <c r="G1973" s="1314" t="str">
        <f t="shared" si="326"/>
        <v/>
      </c>
      <c r="H1973" s="1314" t="s">
        <v>1990</v>
      </c>
      <c r="I1973" s="1274" t="str">
        <f t="shared" si="324"/>
        <v/>
      </c>
      <c r="J1973" s="1314"/>
      <c r="K1973" s="1314" t="str">
        <f t="shared" si="325"/>
        <v/>
      </c>
      <c r="L1973" s="826"/>
      <c r="M1973" s="1329"/>
      <c r="N1973" s="1314"/>
      <c r="O1973" s="1311"/>
      <c r="P1973" s="1311"/>
      <c r="Q1973" s="1311"/>
      <c r="R1973" s="1314" t="s">
        <v>395</v>
      </c>
      <c r="S1973" s="1311"/>
      <c r="T1973" s="1314" t="str">
        <f>IF(Q$949="Yes",20,"")</f>
        <v/>
      </c>
      <c r="U1973" s="1311"/>
      <c r="V1973" s="1311"/>
      <c r="W1973" s="1311"/>
      <c r="X1973" s="1311"/>
      <c r="Y1973" s="1311"/>
      <c r="Z1973" s="1311"/>
    </row>
    <row r="1974" spans="1:26" x14ac:dyDescent="0.25">
      <c r="A1974" s="846" t="s">
        <v>1496</v>
      </c>
      <c r="B1974" s="826" t="str">
        <f ca="1">IFERROR(_xlfn.CONCAT("C",MATCH(A1974,INDIRECT("'"&amp;E1974&amp;"'!C"&amp;$O$968&amp;":C"&amp;$O$970),0)+$O$968-1),"")</f>
        <v>C307</v>
      </c>
      <c r="C1974" s="826" t="str">
        <f ca="1">IFERROR(_xlfn.CONCAT("D",MATCH(A1974,INDIRECT("'"&amp;E1974&amp;"'!C"&amp;$O$968&amp;":C"&amp;$O$970),0)+$O$968-1),"")</f>
        <v>D307</v>
      </c>
      <c r="D1974" s="826" t="s">
        <v>1350</v>
      </c>
      <c r="E1974" s="826" t="s">
        <v>1516</v>
      </c>
      <c r="F1974" s="1314" t="s">
        <v>1496</v>
      </c>
      <c r="G1974" s="1314" t="str">
        <f t="shared" si="326"/>
        <v/>
      </c>
      <c r="H1974" s="1314" t="s">
        <v>1990</v>
      </c>
      <c r="I1974" s="1274" t="str">
        <f t="shared" si="324"/>
        <v/>
      </c>
      <c r="J1974" s="1314"/>
      <c r="K1974" s="1314" t="str">
        <f t="shared" si="325"/>
        <v/>
      </c>
      <c r="L1974" s="826"/>
      <c r="M1974" s="1329"/>
      <c r="N1974" s="1314"/>
      <c r="O1974" s="1311"/>
      <c r="P1974" s="1311"/>
      <c r="Q1974" s="1311"/>
      <c r="R1974" s="1314" t="s">
        <v>395</v>
      </c>
      <c r="S1974" s="1311"/>
      <c r="T1974" s="1314" t="str">
        <f>IF(Q$968="Yes",21,"")</f>
        <v/>
      </c>
      <c r="U1974" s="1311"/>
      <c r="V1974" s="1311"/>
      <c r="W1974" s="1311"/>
      <c r="X1974" s="1311"/>
      <c r="Y1974" s="1311"/>
      <c r="Z1974" s="1311"/>
    </row>
    <row r="1975" spans="1:26" x14ac:dyDescent="0.25">
      <c r="A1975" s="849" t="s">
        <v>1496</v>
      </c>
      <c r="B1975" s="826" t="str">
        <f ca="1">IFERROR(_xlfn.CONCAT("C",MATCH(A1975,INDIRECT("'"&amp;E1975&amp;"'!C"&amp;$O$987&amp;":C"&amp;$O$989),0)+$O$987-1),"")</f>
        <v>C321</v>
      </c>
      <c r="C1975" s="826" t="str">
        <f ca="1">IFERROR(_xlfn.CONCAT("D",MATCH(A1975,INDIRECT("'"&amp;E1975&amp;"'!C"&amp;$O$987&amp;":C"&amp;$O$989),0)+$O$987-1),"")</f>
        <v>D321</v>
      </c>
      <c r="D1975" s="826" t="s">
        <v>1350</v>
      </c>
      <c r="E1975" s="826" t="s">
        <v>1516</v>
      </c>
      <c r="F1975" s="1314" t="s">
        <v>1496</v>
      </c>
      <c r="G1975" s="1314" t="str">
        <f t="shared" si="326"/>
        <v/>
      </c>
      <c r="H1975" s="1314" t="s">
        <v>1990</v>
      </c>
      <c r="I1975" s="1274" t="str">
        <f t="shared" si="324"/>
        <v/>
      </c>
      <c r="J1975" s="1314"/>
      <c r="K1975" s="1314" t="str">
        <f t="shared" si="325"/>
        <v/>
      </c>
      <c r="L1975" s="826"/>
      <c r="M1975" s="1329"/>
      <c r="N1975" s="1314"/>
      <c r="O1975" s="1311"/>
      <c r="P1975" s="1311"/>
      <c r="Q1975" s="1311"/>
      <c r="R1975" s="1314" t="s">
        <v>1696</v>
      </c>
      <c r="S1975" s="1311"/>
      <c r="T1975" s="1314" t="str">
        <f>IF(Q$987="Yes",22,"")</f>
        <v/>
      </c>
      <c r="U1975" s="1311"/>
      <c r="V1975" s="1311"/>
      <c r="W1975" s="1311"/>
      <c r="X1975" s="1311"/>
      <c r="Y1975" s="1311"/>
      <c r="Z1975" s="1311"/>
    </row>
    <row r="1976" spans="1:26" x14ac:dyDescent="0.25">
      <c r="A1976" s="846" t="s">
        <v>1496</v>
      </c>
      <c r="B1976" s="826" t="str">
        <f ca="1">IFERROR(_xlfn.CONCAT("C",MATCH(A1976,INDIRECT("'"&amp;E1976&amp;"'!C"&amp;$O$1005&amp;":C"&amp;$O$1007),0)+$O$1005-1),"")</f>
        <v>C335</v>
      </c>
      <c r="C1976" s="826" t="str">
        <f ca="1">IFERROR(_xlfn.CONCAT("D",MATCH(A1976,INDIRECT("'"&amp;E1976&amp;"'!C"&amp;$O$1005&amp;":C"&amp;$O$1007),0)+$O$1005-1),"")</f>
        <v>D335</v>
      </c>
      <c r="D1976" s="826" t="s">
        <v>1350</v>
      </c>
      <c r="E1976" s="826" t="s">
        <v>1516</v>
      </c>
      <c r="F1976" s="1314" t="s">
        <v>1496</v>
      </c>
      <c r="G1976" s="1314" t="str">
        <f t="shared" si="326"/>
        <v/>
      </c>
      <c r="H1976" s="1314" t="s">
        <v>1990</v>
      </c>
      <c r="I1976" s="1274" t="str">
        <f t="shared" si="324"/>
        <v/>
      </c>
      <c r="J1976" s="1314"/>
      <c r="K1976" s="1314" t="str">
        <f t="shared" si="325"/>
        <v/>
      </c>
      <c r="L1976" s="826"/>
      <c r="M1976" s="1329"/>
      <c r="N1976" s="1314"/>
      <c r="O1976" s="1311"/>
      <c r="P1976" s="1311"/>
      <c r="Q1976" s="1311"/>
      <c r="R1976" s="1314" t="s">
        <v>481</v>
      </c>
      <c r="S1976" s="1311"/>
      <c r="T1976" s="1314" t="str">
        <f>IF(Q$1005="Yes",23,"")</f>
        <v/>
      </c>
      <c r="U1976" s="1311"/>
      <c r="V1976" s="1311"/>
      <c r="W1976" s="1311"/>
      <c r="X1976" s="1311"/>
      <c r="Y1976" s="1311"/>
      <c r="Z1976" s="1311"/>
    </row>
    <row r="1977" spans="1:26" x14ac:dyDescent="0.25">
      <c r="A1977" s="849" t="s">
        <v>1496</v>
      </c>
      <c r="B1977" s="826" t="str">
        <f ca="1">IFERROR(_xlfn.CONCAT("C",MATCH(A1977,INDIRECT("'"&amp;E1977&amp;"'!C"&amp;$O$1016&amp;":C"&amp;$O$1018),0)+$O$1016-1),"")</f>
        <v>C349</v>
      </c>
      <c r="C1977" s="826" t="str">
        <f ca="1">IFERROR(_xlfn.CONCAT("D",MATCH(A1977,INDIRECT("'"&amp;E1977&amp;"'!C"&amp;$O$1016&amp;":C"&amp;$O$1018),0)+$O$1016-1),"")</f>
        <v>D349</v>
      </c>
      <c r="D1977" s="826" t="s">
        <v>1350</v>
      </c>
      <c r="E1977" s="826" t="s">
        <v>1516</v>
      </c>
      <c r="F1977" s="1314" t="s">
        <v>1496</v>
      </c>
      <c r="G1977" s="1314" t="str">
        <f t="shared" si="326"/>
        <v/>
      </c>
      <c r="H1977" s="1314" t="s">
        <v>1990</v>
      </c>
      <c r="I1977" s="1274" t="str">
        <f t="shared" si="324"/>
        <v/>
      </c>
      <c r="J1977" s="1314"/>
      <c r="K1977" s="1314" t="str">
        <f t="shared" si="325"/>
        <v/>
      </c>
      <c r="L1977" s="826"/>
      <c r="M1977" s="1329"/>
      <c r="N1977" s="1314"/>
      <c r="O1977" s="1311"/>
      <c r="P1977" s="1311"/>
      <c r="Q1977" s="1311"/>
      <c r="R1977" s="1314" t="s">
        <v>481</v>
      </c>
      <c r="S1977" s="1311"/>
      <c r="T1977" s="1314" t="str">
        <f>IF(Q$1016="Yes",24,"")</f>
        <v/>
      </c>
      <c r="U1977" s="1311"/>
      <c r="V1977" s="1311"/>
      <c r="W1977" s="1311"/>
      <c r="X1977" s="1311"/>
      <c r="Y1977" s="1311"/>
      <c r="Z1977" s="1311"/>
    </row>
    <row r="1978" spans="1:26" x14ac:dyDescent="0.25">
      <c r="A1978" s="846" t="s">
        <v>1496</v>
      </c>
      <c r="B1978" s="826" t="str">
        <f ca="1">IFERROR(_xlfn.CONCAT("C",MATCH(A1978,INDIRECT("'"&amp;E1978&amp;"'!C"&amp;$O$1027&amp;":C"&amp;$O$1029),0)+$O$1027-1),"")</f>
        <v>C363</v>
      </c>
      <c r="C1978" s="826" t="str">
        <f ca="1">IFERROR(_xlfn.CONCAT("D",MATCH(A1978,INDIRECT("'"&amp;E1978&amp;"'!C"&amp;$O$1027&amp;":C"&amp;$O$1029),0)+$O$1027-1),"")</f>
        <v>D363</v>
      </c>
      <c r="D1978" s="826" t="s">
        <v>1350</v>
      </c>
      <c r="E1978" s="826" t="s">
        <v>1516</v>
      </c>
      <c r="F1978" s="1314" t="s">
        <v>1496</v>
      </c>
      <c r="G1978" s="1314" t="str">
        <f t="shared" si="326"/>
        <v/>
      </c>
      <c r="H1978" s="1314" t="s">
        <v>1990</v>
      </c>
      <c r="I1978" s="1274" t="str">
        <f t="shared" si="324"/>
        <v/>
      </c>
      <c r="J1978" s="1314"/>
      <c r="K1978" s="1314" t="str">
        <f t="shared" si="325"/>
        <v/>
      </c>
      <c r="L1978" s="826"/>
      <c r="M1978" s="1329"/>
      <c r="N1978" s="1314"/>
      <c r="O1978" s="1311"/>
      <c r="P1978" s="1311"/>
      <c r="Q1978" s="1311"/>
      <c r="R1978" s="1314" t="s">
        <v>481</v>
      </c>
      <c r="S1978" s="1311"/>
      <c r="T1978" s="1314" t="str">
        <f>IF(Q$1027="Yes",25,"")</f>
        <v/>
      </c>
      <c r="U1978" s="1311"/>
      <c r="V1978" s="1311"/>
      <c r="W1978" s="1311"/>
      <c r="X1978" s="1311"/>
      <c r="Y1978" s="1311"/>
      <c r="Z1978" s="1311"/>
    </row>
    <row r="1979" spans="1:26" x14ac:dyDescent="0.25">
      <c r="A1979" s="849" t="s">
        <v>1496</v>
      </c>
      <c r="B1979" s="826" t="str">
        <f ca="1">IFERROR(_xlfn.CONCAT("C",MATCH(A1979,INDIRECT("'"&amp;E1979&amp;"'!C"&amp;$O$1038&amp;":C"&amp;$O$1040),0)+$O$1038-1),"")</f>
        <v>C377</v>
      </c>
      <c r="C1979" s="826" t="str">
        <f ca="1">IFERROR(_xlfn.CONCAT("D",MATCH(A1979,INDIRECT("'"&amp;E1979&amp;"'!C"&amp;$O$1038&amp;":C"&amp;$O$1040),0)+$O$1038-1),"")</f>
        <v>D377</v>
      </c>
      <c r="D1979" s="826" t="s">
        <v>1350</v>
      </c>
      <c r="E1979" s="826" t="s">
        <v>1516</v>
      </c>
      <c r="F1979" s="1314" t="s">
        <v>1496</v>
      </c>
      <c r="G1979" s="1314" t="str">
        <f t="shared" si="326"/>
        <v/>
      </c>
      <c r="H1979" s="1314" t="s">
        <v>1990</v>
      </c>
      <c r="I1979" s="1274" t="str">
        <f t="shared" si="324"/>
        <v/>
      </c>
      <c r="J1979" s="1314"/>
      <c r="K1979" s="1314" t="str">
        <f t="shared" si="325"/>
        <v/>
      </c>
      <c r="L1979" s="826"/>
      <c r="M1979" s="1329"/>
      <c r="N1979" s="1314"/>
      <c r="O1979" s="1311"/>
      <c r="P1979" s="1311"/>
      <c r="Q1979" s="1311"/>
      <c r="R1979" s="1314" t="s">
        <v>1136</v>
      </c>
      <c r="S1979" s="1311"/>
      <c r="T1979" s="1314" t="str">
        <f>IF(Q$1038="Yes",26,"")</f>
        <v/>
      </c>
      <c r="U1979" s="1311"/>
      <c r="V1979" s="1311"/>
      <c r="W1979" s="1311"/>
      <c r="X1979" s="1311"/>
      <c r="Y1979" s="1311"/>
      <c r="Z1979" s="1311"/>
    </row>
    <row r="1980" spans="1:26" x14ac:dyDescent="0.25">
      <c r="A1980" s="846" t="s">
        <v>1496</v>
      </c>
      <c r="B1980" s="826" t="str">
        <f ca="1">IFERROR(_xlfn.CONCAT("C",MATCH(A1980,INDIRECT("'"&amp;E1980&amp;"'!C"&amp;$O$1052&amp;":C"&amp;$O$1054),0)+$O$1052-1),"")</f>
        <v>C391</v>
      </c>
      <c r="C1980" s="826" t="str">
        <f ca="1">IFERROR(_xlfn.CONCAT("D",MATCH(A1980,INDIRECT("'"&amp;E1980&amp;"'!C"&amp;$O$1052&amp;":C"&amp;$O$1054),0)+$O$1052-1),"")</f>
        <v>D391</v>
      </c>
      <c r="D1980" s="826" t="s">
        <v>1350</v>
      </c>
      <c r="E1980" s="826" t="s">
        <v>1516</v>
      </c>
      <c r="F1980" s="1314" t="s">
        <v>1496</v>
      </c>
      <c r="G1980" s="1314" t="str">
        <f t="shared" si="326"/>
        <v/>
      </c>
      <c r="H1980" s="1314" t="s">
        <v>1990</v>
      </c>
      <c r="I1980" s="1274" t="str">
        <f t="shared" si="324"/>
        <v/>
      </c>
      <c r="J1980" s="1314"/>
      <c r="K1980" s="1314" t="str">
        <f t="shared" si="325"/>
        <v/>
      </c>
      <c r="L1980" s="826"/>
      <c r="M1980" s="1329"/>
      <c r="N1980" s="1314"/>
      <c r="O1980" s="1311"/>
      <c r="P1980" s="1311"/>
      <c r="Q1980" s="1311"/>
      <c r="R1980" s="1314" t="s">
        <v>1700</v>
      </c>
      <c r="S1980" s="1311"/>
      <c r="T1980" s="1314" t="str">
        <f>IF(Q$1052="Yes",27,"")</f>
        <v/>
      </c>
      <c r="U1980" s="1311"/>
      <c r="V1980" s="1311"/>
      <c r="W1980" s="1311"/>
      <c r="X1980" s="1311"/>
      <c r="Y1980" s="1311"/>
      <c r="Z1980" s="1311"/>
    </row>
    <row r="1981" spans="1:26" x14ac:dyDescent="0.25">
      <c r="A1981" s="849" t="s">
        <v>1496</v>
      </c>
      <c r="B1981" s="826" t="str">
        <f ca="1">IFERROR(_xlfn.CONCAT("C",MATCH(A1981,INDIRECT("'"&amp;E1981&amp;"'!C"&amp;$O$1069&amp;":C"&amp;$O$1071),0)+$O$1069-1),"")</f>
        <v>C405</v>
      </c>
      <c r="C1981" s="826" t="str">
        <f ca="1">IFERROR(_xlfn.CONCAT("D",MATCH(A1981,INDIRECT("'"&amp;E1981&amp;"'!C"&amp;$O$1069&amp;":C"&amp;$O$1071),0)+$O$1069-1),"")</f>
        <v>D405</v>
      </c>
      <c r="D1981" s="826" t="s">
        <v>1350</v>
      </c>
      <c r="E1981" s="826" t="s">
        <v>1516</v>
      </c>
      <c r="F1981" s="1314" t="s">
        <v>1496</v>
      </c>
      <c r="G1981" s="1314" t="str">
        <f t="shared" si="326"/>
        <v/>
      </c>
      <c r="H1981" s="1314" t="s">
        <v>1990</v>
      </c>
      <c r="I1981" s="1274" t="str">
        <f t="shared" si="324"/>
        <v/>
      </c>
      <c r="J1981" s="1314"/>
      <c r="K1981" s="1314" t="str">
        <f t="shared" si="325"/>
        <v/>
      </c>
      <c r="L1981" s="826"/>
      <c r="M1981" s="1329"/>
      <c r="N1981" s="1314"/>
      <c r="O1981" s="1311"/>
      <c r="P1981" s="1311"/>
      <c r="Q1981" s="1311"/>
      <c r="R1981" s="1314" t="s">
        <v>1700</v>
      </c>
      <c r="S1981" s="1311"/>
      <c r="T1981" s="1314" t="str">
        <f>IF(Q$1069="Yes",28,"")</f>
        <v/>
      </c>
      <c r="U1981" s="1311"/>
      <c r="V1981" s="1311"/>
      <c r="W1981" s="1311"/>
      <c r="X1981" s="1311"/>
      <c r="Y1981" s="1311"/>
      <c r="Z1981" s="1311"/>
    </row>
    <row r="1982" spans="1:26" x14ac:dyDescent="0.25">
      <c r="A1982" s="846" t="s">
        <v>1496</v>
      </c>
      <c r="B1982" s="826" t="str">
        <f ca="1">IFERROR(_xlfn.CONCAT("C",MATCH(A1982,INDIRECT("'"&amp;E1982&amp;"'!C"&amp;$O$1085&amp;":C"&amp;$O$1087),0)+$O$1085-1),"")</f>
        <v>C419</v>
      </c>
      <c r="C1982" s="826" t="str">
        <f ca="1">IFERROR(_xlfn.CONCAT("D",MATCH(A1982,INDIRECT("'"&amp;E1982&amp;"'!C"&amp;$O$1085&amp;":C"&amp;$O$1087),0)+$O$1085-1),"")</f>
        <v>D419</v>
      </c>
      <c r="D1982" s="826" t="s">
        <v>1350</v>
      </c>
      <c r="E1982" s="826" t="s">
        <v>1516</v>
      </c>
      <c r="F1982" s="1314" t="s">
        <v>1496</v>
      </c>
      <c r="G1982" s="1314" t="str">
        <f t="shared" si="326"/>
        <v/>
      </c>
      <c r="H1982" s="1314" t="s">
        <v>1990</v>
      </c>
      <c r="I1982" s="1274" t="str">
        <f t="shared" si="324"/>
        <v/>
      </c>
      <c r="J1982" s="1314"/>
      <c r="K1982" s="1314" t="str">
        <f t="shared" si="325"/>
        <v/>
      </c>
      <c r="L1982" s="826"/>
      <c r="M1982" s="1329"/>
      <c r="N1982" s="1314"/>
      <c r="O1982" s="1311"/>
      <c r="P1982" s="1311"/>
      <c r="Q1982" s="1311"/>
      <c r="R1982" s="1314" t="s">
        <v>1099</v>
      </c>
      <c r="S1982" s="1311"/>
      <c r="T1982" s="1314" t="str">
        <f>IF(Q$1085="Yes",29,"")</f>
        <v/>
      </c>
      <c r="U1982" s="1311"/>
      <c r="V1982" s="1311"/>
      <c r="W1982" s="1311"/>
      <c r="X1982" s="1311"/>
      <c r="Y1982" s="1311"/>
      <c r="Z1982" s="1311"/>
    </row>
    <row r="1983" spans="1:26" x14ac:dyDescent="0.25">
      <c r="A1983" s="849" t="s">
        <v>1496</v>
      </c>
      <c r="B1983" s="826" t="str">
        <f ca="1">IFERROR(_xlfn.CONCAT("C",MATCH(A1983,INDIRECT("'"&amp;E1983&amp;"'!C"&amp;$O$1095&amp;":C"&amp;$O$1097),0)+$O$1095-1),"")</f>
        <v>C433</v>
      </c>
      <c r="C1983" s="826" t="str">
        <f ca="1">IFERROR(_xlfn.CONCAT("D",MATCH(A1983,INDIRECT("'"&amp;E1983&amp;"'!C"&amp;$O$1095&amp;":C"&amp;$O$1097),0)+$O$1095-1),"")</f>
        <v>D433</v>
      </c>
      <c r="D1983" s="826" t="s">
        <v>1350</v>
      </c>
      <c r="E1983" s="826" t="s">
        <v>1516</v>
      </c>
      <c r="F1983" s="1314" t="s">
        <v>1496</v>
      </c>
      <c r="G1983" s="1314" t="str">
        <f t="shared" si="326"/>
        <v/>
      </c>
      <c r="H1983" s="1314" t="s">
        <v>1990</v>
      </c>
      <c r="I1983" s="1274" t="str">
        <f t="shared" si="324"/>
        <v/>
      </c>
      <c r="J1983" s="1314"/>
      <c r="K1983" s="1314" t="str">
        <f t="shared" si="325"/>
        <v/>
      </c>
      <c r="L1983" s="826"/>
      <c r="M1983" s="1329"/>
      <c r="N1983" s="1314"/>
      <c r="O1983" s="1311"/>
      <c r="P1983" s="1311"/>
      <c r="Q1983" s="1311"/>
      <c r="R1983" s="1314" t="s">
        <v>1099</v>
      </c>
      <c r="S1983" s="1311"/>
      <c r="T1983" s="1314" t="str">
        <f>IF(Q$1095="Yes",30,"")</f>
        <v/>
      </c>
      <c r="U1983" s="1311"/>
      <c r="V1983" s="1311"/>
      <c r="W1983" s="1311"/>
      <c r="X1983" s="1311"/>
      <c r="Y1983" s="1311"/>
      <c r="Z1983" s="1311"/>
    </row>
    <row r="1984" spans="1:26" x14ac:dyDescent="0.25">
      <c r="A1984" s="846" t="s">
        <v>1496</v>
      </c>
      <c r="B1984" s="826" t="str">
        <f ca="1">IFERROR(_xlfn.CONCAT("C",MATCH(A1984,INDIRECT("'"&amp;E1984&amp;"'!C"&amp;$O$1105&amp;":C"&amp;$O$1107),0)+$O$1105-1),"")</f>
        <v>C447</v>
      </c>
      <c r="C1984" s="826" t="str">
        <f ca="1">IFERROR(_xlfn.CONCAT("D",MATCH(A1984,INDIRECT("'"&amp;E1984&amp;"'!C"&amp;$O$1105&amp;":C"&amp;$O$1107),0)+$O$1105-1),"")</f>
        <v>D447</v>
      </c>
      <c r="D1984" s="826" t="s">
        <v>1350</v>
      </c>
      <c r="E1984" s="826" t="s">
        <v>1516</v>
      </c>
      <c r="F1984" s="1314" t="s">
        <v>1496</v>
      </c>
      <c r="G1984" s="1314" t="str">
        <f t="shared" si="326"/>
        <v/>
      </c>
      <c r="H1984" s="1314" t="s">
        <v>1990</v>
      </c>
      <c r="I1984" s="1274" t="str">
        <f t="shared" si="324"/>
        <v/>
      </c>
      <c r="J1984" s="1314"/>
      <c r="K1984" s="1314" t="str">
        <f t="shared" si="325"/>
        <v/>
      </c>
      <c r="L1984" s="826"/>
      <c r="M1984" s="1329"/>
      <c r="N1984" s="1314"/>
      <c r="O1984" s="1311"/>
      <c r="P1984" s="1311"/>
      <c r="Q1984" s="1311"/>
      <c r="R1984" s="1314" t="s">
        <v>1099</v>
      </c>
      <c r="S1984" s="1311"/>
      <c r="T1984" s="1314" t="str">
        <f>IF(Q$1105="Yes",31,"")</f>
        <v/>
      </c>
      <c r="U1984" s="1311"/>
      <c r="V1984" s="1311"/>
      <c r="W1984" s="1311"/>
      <c r="X1984" s="1311"/>
      <c r="Y1984" s="1311"/>
      <c r="Z1984" s="1311"/>
    </row>
    <row r="1985" spans="1:26" x14ac:dyDescent="0.25">
      <c r="A1985" s="849" t="s">
        <v>1496</v>
      </c>
      <c r="B1985" s="826" t="str">
        <f ca="1">IFERROR(_xlfn.CONCAT("C",MATCH(A1985,INDIRECT("'"&amp;E1985&amp;"'!C"&amp;$O$1134&amp;":C"&amp;$O$1136),0)+$O$1134-1),"")</f>
        <v>C461</v>
      </c>
      <c r="C1985" s="826" t="str">
        <f ca="1">IFERROR(_xlfn.CONCAT("D",MATCH(A1985,INDIRECT("'"&amp;E1985&amp;"'!C"&amp;$O$1134&amp;":C"&amp;$O$1136),0)+$O$1134-1),"")</f>
        <v>D461</v>
      </c>
      <c r="D1985" s="826" t="s">
        <v>1350</v>
      </c>
      <c r="E1985" s="826" t="s">
        <v>1516</v>
      </c>
      <c r="F1985" s="1314" t="s">
        <v>1496</v>
      </c>
      <c r="G1985" s="1314" t="str">
        <f t="shared" si="326"/>
        <v/>
      </c>
      <c r="H1985" s="1314" t="s">
        <v>1990</v>
      </c>
      <c r="I1985" s="1274" t="str">
        <f t="shared" si="324"/>
        <v/>
      </c>
      <c r="J1985" s="1314"/>
      <c r="K1985" s="1314" t="str">
        <f t="shared" si="325"/>
        <v/>
      </c>
      <c r="L1985" s="826"/>
      <c r="M1985" s="1329"/>
      <c r="N1985" s="1314"/>
      <c r="O1985" s="1311"/>
      <c r="P1985" s="1311"/>
      <c r="Q1985" s="1311"/>
      <c r="R1985" s="1314" t="s">
        <v>1099</v>
      </c>
      <c r="S1985" s="1311"/>
      <c r="T1985" s="1314" t="str">
        <f>IF(Q$1134="Yes",32,"")</f>
        <v/>
      </c>
      <c r="U1985" s="1311"/>
      <c r="V1985" s="1311"/>
      <c r="W1985" s="1311"/>
      <c r="X1985" s="1311"/>
      <c r="Y1985" s="1311"/>
      <c r="Z1985" s="1311"/>
    </row>
    <row r="1986" spans="1:26" x14ac:dyDescent="0.25">
      <c r="A1986" s="846" t="s">
        <v>1496</v>
      </c>
      <c r="B1986" s="826" t="str">
        <f ca="1">IFERROR(_xlfn.CONCAT("C",MATCH(A1986,INDIRECT("'"&amp;E1986&amp;"'!C"&amp;$O$1163&amp;":C"&amp;$O$1165),0)+$O$1163-1),"")</f>
        <v>C475</v>
      </c>
      <c r="C1986" s="826" t="str">
        <f ca="1">IFERROR(_xlfn.CONCAT("D",MATCH(A1986,INDIRECT("'"&amp;E1986&amp;"'!C"&amp;$O$1163&amp;":C"&amp;$O$1165),0)+$O$1163-1),"")</f>
        <v>D475</v>
      </c>
      <c r="D1986" s="826" t="s">
        <v>1350</v>
      </c>
      <c r="E1986" s="826" t="s">
        <v>1516</v>
      </c>
      <c r="F1986" s="1314" t="s">
        <v>1496</v>
      </c>
      <c r="G1986" s="1314" t="str">
        <f t="shared" si="326"/>
        <v/>
      </c>
      <c r="H1986" s="1314" t="s">
        <v>1990</v>
      </c>
      <c r="I1986" s="1274" t="str">
        <f t="shared" si="324"/>
        <v/>
      </c>
      <c r="J1986" s="1314"/>
      <c r="K1986" s="1314" t="str">
        <f t="shared" si="325"/>
        <v/>
      </c>
      <c r="L1986" s="826"/>
      <c r="M1986" s="1329"/>
      <c r="N1986" s="1314"/>
      <c r="O1986" s="1311"/>
      <c r="P1986" s="1311"/>
      <c r="Q1986" s="1311"/>
      <c r="R1986" s="1314" t="s">
        <v>1099</v>
      </c>
      <c r="S1986" s="1311"/>
      <c r="T1986" s="1314" t="str">
        <f>IF(Q$1163="Yes",33,"")</f>
        <v/>
      </c>
      <c r="U1986" s="1311"/>
      <c r="V1986" s="1311"/>
      <c r="W1986" s="1311"/>
      <c r="X1986" s="1311"/>
      <c r="Y1986" s="1311"/>
      <c r="Z1986" s="1311"/>
    </row>
    <row r="1987" spans="1:26" x14ac:dyDescent="0.25">
      <c r="A1987" s="849" t="s">
        <v>1496</v>
      </c>
      <c r="B1987" s="826" t="str">
        <f ca="1">IFERROR(_xlfn.CONCAT("C",MATCH(A1987,INDIRECT("'"&amp;E1987&amp;"'!C"&amp;$O$1188&amp;":C"&amp;$O$1190),0)+$O$1188-1),"")</f>
        <v>C489</v>
      </c>
      <c r="C1987" s="826" t="str">
        <f ca="1">IFERROR(_xlfn.CONCAT("D",MATCH(A1987,INDIRECT("'"&amp;E1987&amp;"'!C"&amp;$O$1188&amp;":C"&amp;$O$1190),0)+$O$1188-1),"")</f>
        <v>D489</v>
      </c>
      <c r="D1987" s="826" t="s">
        <v>1350</v>
      </c>
      <c r="E1987" s="826" t="s">
        <v>1516</v>
      </c>
      <c r="F1987" s="1314" t="s">
        <v>1496</v>
      </c>
      <c r="G1987" s="1314" t="str">
        <f t="shared" si="326"/>
        <v/>
      </c>
      <c r="H1987" s="1314" t="s">
        <v>1990</v>
      </c>
      <c r="I1987" s="1274" t="str">
        <f t="shared" si="324"/>
        <v/>
      </c>
      <c r="J1987" s="1314"/>
      <c r="K1987" s="1314" t="str">
        <f t="shared" si="325"/>
        <v/>
      </c>
      <c r="L1987" s="826"/>
      <c r="M1987" s="1329"/>
      <c r="N1987" s="1314"/>
      <c r="O1987" s="1311"/>
      <c r="P1987" s="1311"/>
      <c r="Q1987" s="1311"/>
      <c r="R1987" s="1314" t="s">
        <v>1099</v>
      </c>
      <c r="S1987" s="1311"/>
      <c r="T1987" s="1314" t="str">
        <f>IF(Q$1188="Yes",34,"")</f>
        <v/>
      </c>
      <c r="U1987" s="1311"/>
      <c r="V1987" s="1311"/>
      <c r="W1987" s="1311"/>
      <c r="X1987" s="1311"/>
      <c r="Y1987" s="1311"/>
      <c r="Z1987" s="1311"/>
    </row>
    <row r="1988" spans="1:26" ht="30" x14ac:dyDescent="0.25">
      <c r="A1988" s="1314" t="s">
        <v>1845</v>
      </c>
      <c r="B1988" s="791" t="str">
        <f ca="1">_xlfn.CONCAT(IFERROR(SUBSTITUTE(ADDRESS(1,MATCH(A1988,INDIRECT("'"&amp;E1988&amp;"'"&amp;"!A5:Z5"),0),4),1,""),""),5)</f>
        <v>D5</v>
      </c>
      <c r="C1988" s="791" t="str">
        <f ca="1">_xlfn.CONCAT(IFERROR(SUBSTITUTE(ADDRESS(1,MATCH(A1988,INDIRECT("'"&amp;E1988&amp;"'"&amp;"!A5:Z5"),0),4),1,""),""),6)</f>
        <v>D6</v>
      </c>
      <c r="D1988" s="791" t="s">
        <v>1350</v>
      </c>
      <c r="E1988" s="791" t="s">
        <v>2001</v>
      </c>
      <c r="F1988" s="1314" t="s">
        <v>2002</v>
      </c>
      <c r="G1988" s="791" t="s">
        <v>1353</v>
      </c>
      <c r="H1988" s="791" t="s">
        <v>2078</v>
      </c>
      <c r="I1988" s="1274"/>
      <c r="J1988" s="1314"/>
      <c r="K1988" s="1314" t="str">
        <f t="shared" si="325"/>
        <v/>
      </c>
      <c r="L1988" s="1314"/>
      <c r="M1988" s="1314"/>
      <c r="N1988" s="1314"/>
      <c r="O1988" s="1311"/>
      <c r="P1988" s="1311"/>
      <c r="Q1988" s="1311"/>
      <c r="R1988" s="1311"/>
      <c r="S1988" s="1311"/>
      <c r="T1988" s="1311"/>
      <c r="U1988" s="1311"/>
      <c r="V1988" s="1311"/>
      <c r="W1988" s="1311"/>
      <c r="X1988" s="1311"/>
      <c r="Y1988" s="1311"/>
      <c r="Z1988" s="1311"/>
    </row>
    <row r="1989" spans="1:26" x14ac:dyDescent="0.25">
      <c r="A1989" s="1097" t="s">
        <v>1287</v>
      </c>
      <c r="B1989" s="791" t="str">
        <f ca="1">IF('Pricing Schedule'!$K$5="No",_xlfn.CONCAT(IFERROR(SUBSTITUTE(ADDRESS(1,MATCH(A1989,INDIRECT("'"&amp;E1989&amp;"'"&amp;"!A10:Z10"),0),4),1,""),""),11),_xlfn.CONCAT(IFERROR(SUBSTITUTE(ADDRESS(1,MATCH(A1989,INDIRECT("'"&amp;E1989&amp;"'"&amp;"!A10:Z10"),0),4),1,""),""),35))</f>
        <v>K11</v>
      </c>
      <c r="C1989" s="791" t="str">
        <f ca="1">IF('Pricing Schedule'!$K$5="No",IFERROR(SUBSTITUTE(ADDRESS(1,MATCH(A1989,INDIRECT("'"&amp;E1989&amp;"'"&amp;"!A10:Z10"),0),4),1,""),""),IFERROR(SUBSTITUTE(ADDRESS(1,MATCH(A1989,INDIRECT("'"&amp;E1989&amp;"'"&amp;"!A10:Z10"),0),4),1,""),""))</f>
        <v>K</v>
      </c>
      <c r="D1989" s="791" t="s">
        <v>1357</v>
      </c>
      <c r="E1989" s="791" t="s">
        <v>1279</v>
      </c>
      <c r="F1989" s="1266" t="s">
        <v>1287</v>
      </c>
      <c r="G1989" s="52" t="s">
        <v>1360</v>
      </c>
      <c r="H1989" s="52" t="s">
        <v>1291</v>
      </c>
      <c r="I1989" s="241"/>
      <c r="J1989" s="1311"/>
      <c r="K1989" s="1311"/>
      <c r="L1989" s="1311"/>
      <c r="M1989" s="1311"/>
      <c r="N1989" s="1311"/>
      <c r="O1989" s="1311"/>
      <c r="P1989" s="1311"/>
      <c r="Q1989" s="1311"/>
      <c r="R1989" s="1311"/>
      <c r="S1989" s="1311"/>
      <c r="T1989" s="1311"/>
      <c r="U1989" s="1311"/>
      <c r="V1989" s="1311"/>
      <c r="W1989" s="1311"/>
      <c r="X1989" s="1311"/>
      <c r="Y1989" s="1311"/>
      <c r="Z1989" s="1311"/>
    </row>
    <row r="1990" spans="1:26" s="1348" customFormat="1" x14ac:dyDescent="0.25">
      <c r="A1990" s="846" t="s">
        <v>1491</v>
      </c>
      <c r="B1990" s="826" t="str">
        <f ca="1">IFERROR(_xlfn.CONCAT("C",MATCH(A1990,INDIRECT("'"&amp;E1990&amp;"'!C"&amp;$O$1991&amp;":C"&amp;$O$1993),0)+$O$1991-1),"")</f>
        <v>C507</v>
      </c>
      <c r="C1990" s="826" t="str">
        <f ca="1">IFERROR(_xlfn.CONCAT("D",MATCH(A1990,INDIRECT("'"&amp;E1990&amp;"'!C"&amp;$O$1991&amp;":C"&amp;$O$1993),0)+$O$1991-1),"")</f>
        <v>D507</v>
      </c>
      <c r="D1990" s="826" t="s">
        <v>1350</v>
      </c>
      <c r="E1990" s="826" t="s">
        <v>1516</v>
      </c>
      <c r="F1990" s="826" t="s">
        <v>1491</v>
      </c>
      <c r="G1990" s="1353" t="str">
        <f>IF(T1990&lt;&gt;"","A","")</f>
        <v/>
      </c>
      <c r="H1990" s="1353" t="s">
        <v>1990</v>
      </c>
      <c r="I1990" s="826"/>
      <c r="J1990" s="826"/>
      <c r="K1990" s="826"/>
      <c r="L1990" s="826" t="s">
        <v>1491</v>
      </c>
      <c r="M1990" s="1332">
        <v>1209</v>
      </c>
      <c r="N1990" s="826"/>
      <c r="O1990" s="1669" t="s">
        <v>725</v>
      </c>
      <c r="R1990" s="1350" t="s">
        <v>2043</v>
      </c>
      <c r="T1990" s="1353" t="str">
        <f>IF(Q$1991="Yes",36,"")</f>
        <v/>
      </c>
    </row>
    <row r="1991" spans="1:26" s="1348" customFormat="1" x14ac:dyDescent="0.25">
      <c r="A1991" s="846" t="s">
        <v>1705</v>
      </c>
      <c r="B1991" s="826" t="str">
        <f ca="1">_xlfn.CONCAT(IFERROR(SUBSTITUTE(ADDRESS(1,MATCH(A1991,INDIRECT("'"&amp;E1991&amp;"'"&amp;"!A" &amp; $O$1991+ 11 &amp; ":Z" &amp; $O$1991 + 11),0),4),1,""),""),$O$1991+ 11)</f>
        <v>T514</v>
      </c>
      <c r="C1991" s="826" t="str">
        <f ca="1">_xlfn.CONCAT(IFERROR(SUBSTITUTE(ADDRESS(1,MATCH(A1991,INDIRECT("'"&amp;E1991&amp;"'"&amp;"!A" &amp; $O$1991+ 11 &amp; ":Z" &amp; $O$1991 + 11),0),4),1,""),""),$O$1991+ 12)</f>
        <v>T515</v>
      </c>
      <c r="D1991" s="826" t="s">
        <v>1350</v>
      </c>
      <c r="E1991" s="826" t="s">
        <v>1516</v>
      </c>
      <c r="F1991" s="826"/>
      <c r="G1991" s="1353"/>
      <c r="H1991" s="1353"/>
      <c r="I1991" s="826"/>
      <c r="J1991" s="826"/>
      <c r="K1991" s="826"/>
      <c r="L1991" s="826" t="s">
        <v>1705</v>
      </c>
      <c r="M1991" s="1332">
        <v>1210</v>
      </c>
      <c r="N1991" s="826"/>
      <c r="O1991" s="1669">
        <f>'Configurable Tab'!H38</f>
        <v>503</v>
      </c>
      <c r="P1991" s="18" t="str">
        <f>'Configurable Tab'!J38</f>
        <v>No</v>
      </c>
      <c r="Q1991" s="1348" t="s">
        <v>648</v>
      </c>
      <c r="R1991" s="1350" t="s">
        <v>2043</v>
      </c>
      <c r="T1991" s="1353" t="str">
        <f t="shared" ref="T1991:T2000" si="327">IF(Q$1991="Yes",36,"")</f>
        <v/>
      </c>
    </row>
    <row r="1992" spans="1:26" s="1348" customFormat="1" x14ac:dyDescent="0.25">
      <c r="A1992" s="846" t="s">
        <v>1383</v>
      </c>
      <c r="B1992" s="826" t="str">
        <f ca="1">IFERROR(_xlfn.CONCAT("C",MATCH(A1992,INDIRECT("'"&amp;E1992&amp;"'!C"&amp;$O$1991&amp;":C"&amp;$O$1993),0)+$O$1991-1),"")</f>
        <v>C505</v>
      </c>
      <c r="C1992" s="826" t="str">
        <f ca="1">IFERROR(_xlfn.CONCAT("D",MATCH(A1992,INDIRECT("'"&amp;E1992&amp;"'!C"&amp;$O$1991&amp;":C"&amp;$O$1993),0)+$O$1991-1),"")</f>
        <v>D505</v>
      </c>
      <c r="D1992" s="826" t="s">
        <v>1350</v>
      </c>
      <c r="E1992" s="826" t="s">
        <v>1516</v>
      </c>
      <c r="F1992" s="826" t="s">
        <v>1383</v>
      </c>
      <c r="G1992" s="1353" t="str">
        <f>IF(T1992&lt;&gt;"","B","")</f>
        <v/>
      </c>
      <c r="H1992" s="1353" t="s">
        <v>1990</v>
      </c>
      <c r="I1992" s="826"/>
      <c r="J1992" s="826"/>
      <c r="K1992" s="826"/>
      <c r="L1992" s="826" t="s">
        <v>1383</v>
      </c>
      <c r="M1992" s="1332">
        <v>1211</v>
      </c>
      <c r="N1992" s="826"/>
      <c r="O1992" s="1669" t="s">
        <v>726</v>
      </c>
      <c r="R1992" s="1350" t="s">
        <v>2043</v>
      </c>
      <c r="T1992" s="1353" t="str">
        <f t="shared" si="327"/>
        <v/>
      </c>
    </row>
    <row r="1993" spans="1:26" s="1348" customFormat="1" x14ac:dyDescent="0.25">
      <c r="A1993" s="846" t="s">
        <v>1381</v>
      </c>
      <c r="B1993" s="826" t="str">
        <f ca="1">_xlfn.CONCAT(IFERROR(SUBSTITUTE(ADDRESS(1,MATCH(A1993,INDIRECT("'"&amp;E1993&amp;"'"&amp;"!A" &amp; $O$1991+ 2 &amp; ":Z" &amp; $O$1991 + 2),0),4),1,""),""),$O$1991+ 2)</f>
        <v>J505</v>
      </c>
      <c r="C1993" s="826" t="str">
        <f ca="1">_xlfn.CONCAT(IFERROR(SUBSTITUTE(ADDRESS(1,MATCH(A1993,INDIRECT("'"&amp;E1993&amp;"'"&amp;"!A" &amp; $O$1991+ 2 &amp; ":Z" &amp; $O$1991 + 2),0),4),1,""),""),$O$1991+ 3)</f>
        <v>J506</v>
      </c>
      <c r="D1993" s="826" t="s">
        <v>1350</v>
      </c>
      <c r="E1993" s="826" t="s">
        <v>1516</v>
      </c>
      <c r="F1993" s="826" t="s">
        <v>1992</v>
      </c>
      <c r="G1993" s="1353" t="str">
        <f>IF(T1993&lt;&gt;"","I","")</f>
        <v/>
      </c>
      <c r="H1993" s="1353" t="s">
        <v>1990</v>
      </c>
      <c r="I1993" s="826"/>
      <c r="J1993" s="826"/>
      <c r="K1993" s="826"/>
      <c r="L1993" s="826" t="s">
        <v>1381</v>
      </c>
      <c r="M1993" s="1332">
        <v>1212</v>
      </c>
      <c r="N1993" s="826"/>
      <c r="O1993" s="1669">
        <f>'Configurable Tab'!I38</f>
        <v>516</v>
      </c>
      <c r="R1993" s="1350" t="s">
        <v>2043</v>
      </c>
      <c r="T1993" s="1353" t="str">
        <f t="shared" si="327"/>
        <v/>
      </c>
    </row>
    <row r="1994" spans="1:26" s="1348" customFormat="1" x14ac:dyDescent="0.25">
      <c r="A1994" s="846" t="s">
        <v>1382</v>
      </c>
      <c r="B1994" s="826" t="str">
        <f ca="1">_xlfn.CONCAT(IFERROR(SUBSTITUTE(ADDRESS(1,MATCH(A1994,INDIRECT("'"&amp;E1994&amp;"'"&amp;"!A" &amp; $O$1991+ 2 &amp; ":Z" &amp; $O$1991 + 2),0),4),1,""),""),$O$1991+ 2)</f>
        <v>N505</v>
      </c>
      <c r="C1994" s="826" t="str">
        <f ca="1">_xlfn.CONCAT(IFERROR(SUBSTITUTE(ADDRESS(1,MATCH(A1994,INDIRECT("'"&amp;E1994&amp;"'"&amp;"!A" &amp; $O$1991+ 2 &amp; ":Z" &amp; $O$1991 + 2),0),4),1,""),""),$O$1991+ 3)</f>
        <v>N506</v>
      </c>
      <c r="D1994" s="826" t="s">
        <v>1350</v>
      </c>
      <c r="E1994" s="826" t="s">
        <v>1516</v>
      </c>
      <c r="F1994" s="826" t="s">
        <v>1382</v>
      </c>
      <c r="G1994" s="1353" t="str">
        <f>IF(T1994&lt;&gt;"",IF(Q1993="Credit Memo","J",IF(Q1993="Check","K","")),"")</f>
        <v/>
      </c>
      <c r="H1994" s="1353" t="s">
        <v>1990</v>
      </c>
      <c r="I1994" s="826"/>
      <c r="J1994" s="826"/>
      <c r="K1994" s="826"/>
      <c r="L1994" s="826" t="s">
        <v>1382</v>
      </c>
      <c r="M1994" s="1332">
        <v>1213</v>
      </c>
      <c r="N1994" s="826"/>
      <c r="O1994" s="1348" t="s">
        <v>2026</v>
      </c>
      <c r="R1994" s="1350" t="s">
        <v>2043</v>
      </c>
      <c r="T1994" s="1353" t="str">
        <f t="shared" si="327"/>
        <v/>
      </c>
    </row>
    <row r="1995" spans="1:26" s="1348" customFormat="1" x14ac:dyDescent="0.25">
      <c r="A1995" s="846" t="s">
        <v>1385</v>
      </c>
      <c r="B1995" s="826" t="str">
        <f ca="1">IFERROR(_xlfn.CONCAT("C",MATCH(A1995,INDIRECT("'"&amp;E1995&amp;"'!C"&amp;$O$1991&amp;":C"&amp;$O$1993),0)+$O$1991-1),"")</f>
        <v>C509</v>
      </c>
      <c r="C1995" s="826" t="str">
        <f ca="1">IFERROR(_xlfn.CONCAT("D",MATCH(A1995,INDIRECT("'"&amp;E1995&amp;"'!C"&amp;$O$1991&amp;":C"&amp;$O$1993),0)+$O$1991-1),"")</f>
        <v>D509</v>
      </c>
      <c r="D1995" s="826" t="s">
        <v>1350</v>
      </c>
      <c r="E1995" s="826" t="s">
        <v>1516</v>
      </c>
      <c r="F1995" s="826" t="s">
        <v>1385</v>
      </c>
      <c r="G1995" s="1353" t="str">
        <f>IF(T1995&lt;&gt;"","C","")</f>
        <v/>
      </c>
      <c r="H1995" s="1353" t="s">
        <v>1990</v>
      </c>
      <c r="I1995" s="826"/>
      <c r="J1995" s="826"/>
      <c r="K1995" s="826"/>
      <c r="L1995" s="826" t="s">
        <v>1385</v>
      </c>
      <c r="M1995" s="1332">
        <v>1214</v>
      </c>
      <c r="N1995" s="826"/>
      <c r="R1995" s="1350" t="s">
        <v>2043</v>
      </c>
      <c r="T1995" s="1353" t="str">
        <f t="shared" si="327"/>
        <v/>
      </c>
    </row>
    <row r="1996" spans="1:26" s="1348" customFormat="1" x14ac:dyDescent="0.25">
      <c r="A1996" s="846" t="s">
        <v>1386</v>
      </c>
      <c r="B1996" s="826" t="str">
        <f ca="1">IFERROR(_xlfn.CONCAT("C",MATCH(A1996,INDIRECT("'"&amp;E1996&amp;"'!C"&amp;$O$1991&amp;":C"&amp;$O$1993),0)+$O$1991-1),"")</f>
        <v>C511</v>
      </c>
      <c r="C1996" s="826" t="str">
        <f ca="1">IFERROR(_xlfn.CONCAT("D",MATCH(A1996,INDIRECT("'"&amp;E1996&amp;"'!C"&amp;$O$1991&amp;":C"&amp;$O$1993),0)+$O$1991-1),"")</f>
        <v>D511</v>
      </c>
      <c r="D1996" s="826" t="s">
        <v>1350</v>
      </c>
      <c r="E1996" s="826" t="s">
        <v>1516</v>
      </c>
      <c r="F1996" s="826" t="s">
        <v>1386</v>
      </c>
      <c r="G1996" s="1353" t="str">
        <f>IF(T1996&lt;&gt;"","D","")</f>
        <v/>
      </c>
      <c r="H1996" s="1353" t="s">
        <v>1990</v>
      </c>
      <c r="I1996" s="826"/>
      <c r="J1996" s="826"/>
      <c r="K1996" s="826"/>
      <c r="L1996" s="826" t="s">
        <v>1386</v>
      </c>
      <c r="M1996" s="1332">
        <v>1215</v>
      </c>
      <c r="N1996" s="826"/>
      <c r="R1996" s="1350" t="s">
        <v>2043</v>
      </c>
      <c r="T1996" s="1353" t="str">
        <f t="shared" si="327"/>
        <v/>
      </c>
    </row>
    <row r="1997" spans="1:26" s="1348" customFormat="1" x14ac:dyDescent="0.25">
      <c r="A1997" s="846" t="s">
        <v>1396</v>
      </c>
      <c r="B1997" s="826" t="str">
        <f ca="1">_xlfn.CONCAT(IFERROR(SUBSTITUTE(ADDRESS(1,MATCH(A1997,INDIRECT("'"&amp;E1997&amp;"'"&amp;"!A" &amp; $O$1991+ 5 &amp; ":Z" &amp; $O$1991 + 5),0),4),1,""),""),$O$1991+ 5)</f>
        <v>H508</v>
      </c>
      <c r="C1997" s="826" t="str">
        <f ca="1">_xlfn.CONCAT(IFERROR(SUBSTITUTE(ADDRESS(1,MATCH(A1997,INDIRECT("'"&amp;E1997&amp;"'"&amp;"!A" &amp; $O$1991+ 5 &amp; ":Z" &amp; $O$1991 + 5),0),4),1,""),""),$O$1991+ 6)</f>
        <v>H509</v>
      </c>
      <c r="D1997" s="826" t="s">
        <v>1350</v>
      </c>
      <c r="E1997" s="826" t="s">
        <v>1516</v>
      </c>
      <c r="F1997" s="1354" t="s">
        <v>1396</v>
      </c>
      <c r="G1997" s="1354" t="str">
        <f>IF(T1997&lt;&gt;"","S","")</f>
        <v/>
      </c>
      <c r="H1997" s="1354" t="s">
        <v>1990</v>
      </c>
      <c r="I1997" s="826"/>
      <c r="J1997" s="826"/>
      <c r="K1997" s="826"/>
      <c r="L1997" s="826" t="s">
        <v>1396</v>
      </c>
      <c r="M1997" s="1332">
        <v>1216</v>
      </c>
      <c r="N1997" s="826"/>
      <c r="R1997" s="1350" t="s">
        <v>2043</v>
      </c>
      <c r="T1997" s="1353" t="str">
        <f t="shared" si="327"/>
        <v/>
      </c>
    </row>
    <row r="1998" spans="1:26" s="1348" customFormat="1" x14ac:dyDescent="0.25">
      <c r="A1998" s="846" t="s">
        <v>2005</v>
      </c>
      <c r="B1998" s="826" t="str">
        <f ca="1">_xlfn.CONCAT(IFERROR(SUBSTITUTE(ADDRESS(1,MATCH(A1998,INDIRECT("'"&amp;E1998&amp;"'"&amp;"!A" &amp; $O$1991+ 8 &amp; ":Z" &amp; $O$1991 + 8),0),4),1,""),""),$O$1991 + 8)</f>
        <v>J511</v>
      </c>
      <c r="C1998" s="826" t="str">
        <f ca="1">_xlfn.CONCAT(IFERROR(SUBSTITUTE(ADDRESS(1,MATCH(A1998,INDIRECT("'"&amp;E1998&amp;"'"&amp;"!A" &amp; $O$1991+ 8 &amp; ":Z" &amp; $O$1991 + 8),0),4),1,""),""),$O$1991 + 9)</f>
        <v>J512</v>
      </c>
      <c r="D1998" s="826" t="s">
        <v>1350</v>
      </c>
      <c r="E1998" s="826" t="s">
        <v>1516</v>
      </c>
      <c r="F1998" s="826" t="s">
        <v>2005</v>
      </c>
      <c r="G1998" s="1353" t="str">
        <f>IF(T1998&lt;&gt;"","AQ","")</f>
        <v/>
      </c>
      <c r="H1998" s="1353" t="s">
        <v>1990</v>
      </c>
      <c r="I1998" s="826"/>
      <c r="J1998" s="826"/>
      <c r="K1998" s="826"/>
      <c r="L1998" s="826" t="s">
        <v>2005</v>
      </c>
      <c r="M1998" s="1332">
        <v>1217</v>
      </c>
      <c r="N1998" s="826"/>
      <c r="R1998" s="1350" t="s">
        <v>2043</v>
      </c>
      <c r="T1998" s="1353" t="str">
        <f t="shared" si="327"/>
        <v/>
      </c>
    </row>
    <row r="1999" spans="1:26" s="1348" customFormat="1" x14ac:dyDescent="0.25">
      <c r="A1999" s="846" t="s">
        <v>1482</v>
      </c>
      <c r="B1999" s="826" t="str">
        <f ca="1">_xlfn.CONCAT(IFERROR(SUBSTITUTE(ADDRESS(1,MATCH(A1999,INDIRECT("'"&amp;E1999&amp;"'"&amp;"!A" &amp; $O$1991+ 8 &amp; ":Z" &amp; $O$1991 + 8),0),4),1,""),""),$O$1991 + 8)</f>
        <v>N511</v>
      </c>
      <c r="C1999" s="826" t="str">
        <f ca="1">_xlfn.CONCAT(IFERROR(SUBSTITUTE(ADDRESS(1,MATCH(A1999,INDIRECT("'"&amp;E1999&amp;"'"&amp;"!A" &amp; $O$1991+ 8 &amp; ":Z" &amp; $O$1991 + 8),0),4),1,""),""),$O$1991 + 9)</f>
        <v>N512</v>
      </c>
      <c r="D1999" s="826" t="s">
        <v>1350</v>
      </c>
      <c r="E1999" s="826" t="s">
        <v>1516</v>
      </c>
      <c r="F1999" s="826" t="s">
        <v>2054</v>
      </c>
      <c r="G1999" s="1353" t="str">
        <f>IF(T1999&lt;&gt;"","AA","")</f>
        <v/>
      </c>
      <c r="H1999" s="1353" t="s">
        <v>1990</v>
      </c>
      <c r="I1999" s="826"/>
      <c r="J1999" s="826"/>
      <c r="K1999" s="826"/>
      <c r="L1999" s="826" t="s">
        <v>2006</v>
      </c>
      <c r="M1999" s="1332">
        <v>1218</v>
      </c>
      <c r="N1999" s="826"/>
      <c r="R1999" s="1350" t="s">
        <v>2043</v>
      </c>
      <c r="T1999" s="1353" t="str">
        <f t="shared" si="327"/>
        <v/>
      </c>
    </row>
    <row r="2000" spans="1:26" s="1348" customFormat="1" x14ac:dyDescent="0.25">
      <c r="A2000" s="846" t="s">
        <v>1397</v>
      </c>
      <c r="B2000" s="826" t="str">
        <f ca="1">_xlfn.CONCAT(IFERROR(SUBSTITUTE(ADDRESS(1,MATCH(A2000,INDIRECT("'"&amp;E2000&amp;"'"&amp;"!A" &amp; $O$1991+ 2 &amp; ":Z" &amp; $O$1991 + 2),0),4),1,""),""),$O$1991 + 2)</f>
        <v>L505</v>
      </c>
      <c r="C2000" s="826" t="str">
        <f ca="1">_xlfn.CONCAT(IFERROR(SUBSTITUTE(ADDRESS(1,MATCH(A2000,INDIRECT("'"&amp;E2000&amp;"'"&amp;"!A" &amp; $O$1991+ 2 &amp; ":Z" &amp; $O$1991 + 2),0),4),1,""),""),$O$1991 + 3)</f>
        <v>L506</v>
      </c>
      <c r="D2000" s="826" t="s">
        <v>1350</v>
      </c>
      <c r="E2000" s="826" t="s">
        <v>1516</v>
      </c>
      <c r="F2000" s="826" t="s">
        <v>1993</v>
      </c>
      <c r="G2000" s="1353" t="str">
        <f>IF(T2000&lt;&gt;"","H","")</f>
        <v/>
      </c>
      <c r="H2000" s="1353" t="s">
        <v>1990</v>
      </c>
      <c r="I2000" s="826"/>
      <c r="J2000" s="826"/>
      <c r="K2000" s="826"/>
      <c r="L2000" s="826" t="s">
        <v>1397</v>
      </c>
      <c r="M2000" s="1332">
        <v>1219</v>
      </c>
      <c r="N2000" s="826"/>
      <c r="R2000" s="1350" t="s">
        <v>2043</v>
      </c>
      <c r="T2000" s="1353" t="str">
        <f t="shared" si="327"/>
        <v/>
      </c>
    </row>
    <row r="2001" spans="1:20" s="1348" customFormat="1" x14ac:dyDescent="0.25">
      <c r="A2001" s="849" t="s">
        <v>1491</v>
      </c>
      <c r="B2001" s="826" t="str">
        <f ca="1">IFERROR(_xlfn.CONCAT("C",MATCH(A2001,INDIRECT("'"&amp;E2001&amp;"'!C"&amp;$O$2002&amp;":C"&amp;$O$2004),0)+$O$2002-1),"")</f>
        <v>C521</v>
      </c>
      <c r="C2001" s="826" t="str">
        <f ca="1">IFERROR(_xlfn.CONCAT("D",MATCH(A2001,INDIRECT("'"&amp;E2001&amp;"'!C"&amp;$O$2002&amp;":C"&amp;$O$2004),0)+$O$2002-1),"")</f>
        <v>D521</v>
      </c>
      <c r="D2001" s="826" t="s">
        <v>1350</v>
      </c>
      <c r="E2001" s="826" t="s">
        <v>1516</v>
      </c>
      <c r="F2001" s="826" t="s">
        <v>1491</v>
      </c>
      <c r="G2001" s="1353" t="str">
        <f>IF(T2001&lt;&gt;"","A","")</f>
        <v/>
      </c>
      <c r="H2001" s="1353" t="s">
        <v>1990</v>
      </c>
      <c r="I2001" s="826"/>
      <c r="J2001" s="826"/>
      <c r="K2001" s="826"/>
      <c r="L2001" s="826" t="s">
        <v>1491</v>
      </c>
      <c r="M2001" s="1332">
        <v>1220</v>
      </c>
      <c r="N2001" s="826"/>
      <c r="O2001" s="1669" t="s">
        <v>725</v>
      </c>
      <c r="R2001" s="1350" t="s">
        <v>2044</v>
      </c>
      <c r="T2001" s="1353" t="str">
        <f>IF(Q$2002="Yes",37,"")</f>
        <v/>
      </c>
    </row>
    <row r="2002" spans="1:20" s="1348" customFormat="1" x14ac:dyDescent="0.25">
      <c r="A2002" s="849" t="s">
        <v>1705</v>
      </c>
      <c r="B2002" s="826" t="str">
        <f ca="1">_xlfn.CONCAT(IFERROR(SUBSTITUTE(ADDRESS(1,MATCH(A2002,INDIRECT("'"&amp;E2002&amp;"'"&amp;"!A" &amp; $O$2002+ 11 &amp; ":Z" &amp; $O$2002 + 11),0),4),1,""),""),$O$2002+ 11)</f>
        <v>T528</v>
      </c>
      <c r="C2002" s="826" t="str">
        <f ca="1">_xlfn.CONCAT(IFERROR(SUBSTITUTE(ADDRESS(1,MATCH(A2002,INDIRECT("'"&amp;E2002&amp;"'"&amp;"!A" &amp; $O$2002+ 11 &amp; ":Z" &amp; $O$2002 + 11),0),4),1,""),""),$O$2002+ 12)</f>
        <v>T529</v>
      </c>
      <c r="D2002" s="826" t="s">
        <v>1350</v>
      </c>
      <c r="E2002" s="826" t="s">
        <v>1516</v>
      </c>
      <c r="F2002" s="826"/>
      <c r="G2002" s="1353"/>
      <c r="H2002" s="1353"/>
      <c r="I2002" s="826"/>
      <c r="J2002" s="826"/>
      <c r="K2002" s="826"/>
      <c r="L2002" s="826" t="s">
        <v>1705</v>
      </c>
      <c r="M2002" s="1332">
        <v>1221</v>
      </c>
      <c r="N2002" s="826"/>
      <c r="O2002" s="1669">
        <f>'Configurable Tab'!H39</f>
        <v>517</v>
      </c>
      <c r="P2002" s="18" t="str">
        <f>'Configurable Tab'!J39</f>
        <v>No</v>
      </c>
      <c r="Q2002" s="1351" t="s">
        <v>648</v>
      </c>
      <c r="R2002" s="1350" t="s">
        <v>2044</v>
      </c>
      <c r="T2002" s="1353" t="str">
        <f t="shared" ref="T2002:T2011" si="328">IF(Q$2002="Yes",37,"")</f>
        <v/>
      </c>
    </row>
    <row r="2003" spans="1:20" s="1348" customFormat="1" x14ac:dyDescent="0.25">
      <c r="A2003" s="849" t="s">
        <v>1383</v>
      </c>
      <c r="B2003" s="826" t="str">
        <f ca="1">IFERROR(_xlfn.CONCAT("C",MATCH(A2003,INDIRECT("'"&amp;E2003&amp;"'!C"&amp;$O$2002&amp;":C"&amp;$O$2004),0)+$O$2002-1),"")</f>
        <v>C519</v>
      </c>
      <c r="C2003" s="826" t="str">
        <f ca="1">IFERROR(_xlfn.CONCAT("D",MATCH(A2003,INDIRECT("'"&amp;E2003&amp;"'!C"&amp;$O$2002&amp;":C"&amp;$O$2004),0)+$O$2002-1),"")</f>
        <v>D519</v>
      </c>
      <c r="D2003" s="826" t="s">
        <v>1350</v>
      </c>
      <c r="E2003" s="826" t="s">
        <v>1516</v>
      </c>
      <c r="F2003" s="826" t="s">
        <v>1383</v>
      </c>
      <c r="G2003" s="1353" t="str">
        <f>IF(T2003&lt;&gt;"","B","")</f>
        <v/>
      </c>
      <c r="H2003" s="1353" t="s">
        <v>1990</v>
      </c>
      <c r="I2003" s="826"/>
      <c r="J2003" s="826"/>
      <c r="K2003" s="826"/>
      <c r="L2003" s="826" t="s">
        <v>1383</v>
      </c>
      <c r="M2003" s="1332">
        <v>1222</v>
      </c>
      <c r="N2003" s="826"/>
      <c r="O2003" s="1669" t="s">
        <v>726</v>
      </c>
      <c r="R2003" s="1350" t="s">
        <v>2044</v>
      </c>
      <c r="T2003" s="1559" t="str">
        <f t="shared" si="328"/>
        <v/>
      </c>
    </row>
    <row r="2004" spans="1:20" s="1348" customFormat="1" x14ac:dyDescent="0.25">
      <c r="A2004" s="849" t="s">
        <v>1381</v>
      </c>
      <c r="B2004" s="826" t="str">
        <f ca="1">_xlfn.CONCAT(IFERROR(SUBSTITUTE(ADDRESS(1,MATCH(A2004,INDIRECT("'"&amp;E2004&amp;"'"&amp;"!A" &amp; $O$2002+ 2 &amp; ":Z" &amp; $O$2002 + 2),0),4),1,""),""),$O$2002+ 2)</f>
        <v>J519</v>
      </c>
      <c r="C2004" s="826" t="str">
        <f ca="1">_xlfn.CONCAT(IFERROR(SUBSTITUTE(ADDRESS(1,MATCH(A2004,INDIRECT("'"&amp;E2004&amp;"'"&amp;"!A" &amp; $O$2002+ 2 &amp; ":Z" &amp; $O$2002 + 2),0),4),1,""),""),$O$2002+ 3)</f>
        <v>J520</v>
      </c>
      <c r="D2004" s="826" t="s">
        <v>1350</v>
      </c>
      <c r="E2004" s="826" t="s">
        <v>1516</v>
      </c>
      <c r="F2004" s="826" t="s">
        <v>1992</v>
      </c>
      <c r="G2004" s="1353" t="str">
        <f>IF(T2004&lt;&gt;"","I","")</f>
        <v/>
      </c>
      <c r="H2004" s="1353" t="s">
        <v>1990</v>
      </c>
      <c r="I2004" s="826"/>
      <c r="J2004" s="826"/>
      <c r="K2004" s="826"/>
      <c r="L2004" s="826" t="s">
        <v>1381</v>
      </c>
      <c r="M2004" s="1332">
        <v>1223</v>
      </c>
      <c r="N2004" s="826"/>
      <c r="O2004" s="1669">
        <f>'Configurable Tab'!I39</f>
        <v>530</v>
      </c>
      <c r="R2004" s="1350" t="s">
        <v>2044</v>
      </c>
      <c r="T2004" s="1559" t="str">
        <f t="shared" si="328"/>
        <v/>
      </c>
    </row>
    <row r="2005" spans="1:20" s="1348" customFormat="1" x14ac:dyDescent="0.25">
      <c r="A2005" s="849" t="s">
        <v>1382</v>
      </c>
      <c r="B2005" s="826" t="str">
        <f ca="1">_xlfn.CONCAT(IFERROR(SUBSTITUTE(ADDRESS(1,MATCH(A2005,INDIRECT("'"&amp;E2005&amp;"'"&amp;"!A" &amp; $O$2002+ 2 &amp; ":Z" &amp; $O$2002 + 2),0),4),1,""),""),$O$2002+ 2)</f>
        <v>N519</v>
      </c>
      <c r="C2005" s="826" t="str">
        <f ca="1">_xlfn.CONCAT(IFERROR(SUBSTITUTE(ADDRESS(1,MATCH(A2005,INDIRECT("'"&amp;E2005&amp;"'"&amp;"!A" &amp; $O$2002+ 2 &amp; ":Z" &amp; $O$2002 + 2),0),4),1,""),""),$O$2002+ 3)</f>
        <v>N520</v>
      </c>
      <c r="D2005" s="826" t="s">
        <v>1350</v>
      </c>
      <c r="E2005" s="826" t="s">
        <v>1516</v>
      </c>
      <c r="F2005" s="826" t="s">
        <v>1382</v>
      </c>
      <c r="G2005" s="1353" t="str">
        <f>IF(T2005&lt;&gt;"",IF(Q2004="Credit Memo","J",IF(Q2004="Check","K","")),"")</f>
        <v/>
      </c>
      <c r="H2005" s="1353" t="s">
        <v>1990</v>
      </c>
      <c r="I2005" s="826"/>
      <c r="J2005" s="826"/>
      <c r="K2005" s="826"/>
      <c r="L2005" s="826" t="s">
        <v>1382</v>
      </c>
      <c r="M2005" s="1332">
        <v>1224</v>
      </c>
      <c r="N2005" s="826"/>
      <c r="O2005" s="1348" t="s">
        <v>2027</v>
      </c>
      <c r="R2005" s="1350" t="s">
        <v>2044</v>
      </c>
      <c r="T2005" s="1559" t="str">
        <f t="shared" si="328"/>
        <v/>
      </c>
    </row>
    <row r="2006" spans="1:20" s="1348" customFormat="1" x14ac:dyDescent="0.25">
      <c r="A2006" s="849" t="s">
        <v>1385</v>
      </c>
      <c r="B2006" s="826" t="str">
        <f ca="1">IFERROR(_xlfn.CONCAT("C",MATCH(A2006,INDIRECT("'"&amp;E2006&amp;"'!C"&amp;$O$2002&amp;":C"&amp;$O$2004),0)+$O$2002-1),"")</f>
        <v>C523</v>
      </c>
      <c r="C2006" s="826" t="str">
        <f ca="1">IFERROR(_xlfn.CONCAT("D",MATCH(A2006,INDIRECT("'"&amp;E2006&amp;"'!C"&amp;$O$2002&amp;":C"&amp;$O$2004),0)+$O$2002-1),"")</f>
        <v>D523</v>
      </c>
      <c r="D2006" s="826" t="s">
        <v>1350</v>
      </c>
      <c r="E2006" s="826" t="s">
        <v>1516</v>
      </c>
      <c r="F2006" s="826" t="s">
        <v>1385</v>
      </c>
      <c r="G2006" s="1353" t="str">
        <f>IF(T2006&lt;&gt;"","C","")</f>
        <v/>
      </c>
      <c r="H2006" s="1353" t="s">
        <v>1990</v>
      </c>
      <c r="I2006" s="826"/>
      <c r="J2006" s="826"/>
      <c r="K2006" s="826"/>
      <c r="L2006" s="826" t="s">
        <v>1385</v>
      </c>
      <c r="M2006" s="1332">
        <v>1225</v>
      </c>
      <c r="N2006" s="826"/>
      <c r="R2006" s="1350" t="s">
        <v>2044</v>
      </c>
      <c r="T2006" s="1559" t="str">
        <f t="shared" si="328"/>
        <v/>
      </c>
    </row>
    <row r="2007" spans="1:20" s="1348" customFormat="1" x14ac:dyDescent="0.25">
      <c r="A2007" s="849" t="s">
        <v>1386</v>
      </c>
      <c r="B2007" s="826" t="str">
        <f ca="1">IFERROR(_xlfn.CONCAT("C",MATCH(A2007,INDIRECT("'"&amp;E2007&amp;"'!C"&amp;$O$2002&amp;":C"&amp;$O$2004),0)+$O$2002-1),"")</f>
        <v>C525</v>
      </c>
      <c r="C2007" s="826" t="str">
        <f ca="1">IFERROR(_xlfn.CONCAT("D",MATCH(A2007,INDIRECT("'"&amp;E2007&amp;"'!C"&amp;$O$2002&amp;":C"&amp;$O$2004),0)+$O$2002-1),"")</f>
        <v>D525</v>
      </c>
      <c r="D2007" s="826" t="s">
        <v>1350</v>
      </c>
      <c r="E2007" s="826" t="s">
        <v>1516</v>
      </c>
      <c r="F2007" s="826" t="s">
        <v>1386</v>
      </c>
      <c r="G2007" s="1353" t="str">
        <f>IF(T2007&lt;&gt;"","D","")</f>
        <v/>
      </c>
      <c r="H2007" s="1353" t="s">
        <v>1990</v>
      </c>
      <c r="I2007" s="826"/>
      <c r="J2007" s="826"/>
      <c r="K2007" s="826"/>
      <c r="L2007" s="826" t="s">
        <v>1386</v>
      </c>
      <c r="M2007" s="1332">
        <v>1226</v>
      </c>
      <c r="N2007" s="826"/>
      <c r="R2007" s="1350" t="s">
        <v>2044</v>
      </c>
      <c r="T2007" s="1559" t="str">
        <f t="shared" si="328"/>
        <v/>
      </c>
    </row>
    <row r="2008" spans="1:20" s="1348" customFormat="1" x14ac:dyDescent="0.25">
      <c r="A2008" s="849" t="s">
        <v>1396</v>
      </c>
      <c r="B2008" s="826" t="str">
        <f ca="1">_xlfn.CONCAT(IFERROR(SUBSTITUTE(ADDRESS(1,MATCH(A2008,INDIRECT("'"&amp;E2008&amp;"'"&amp;"!A" &amp; $O$2002+ 5 &amp; ":Z" &amp; $O$2002 + 5),0),4),1,""),""),$O$2002+ 5)</f>
        <v>H522</v>
      </c>
      <c r="C2008" s="826" t="str">
        <f ca="1">_xlfn.CONCAT(IFERROR(SUBSTITUTE(ADDRESS(1,MATCH(A2008,INDIRECT("'"&amp;E2008&amp;"'"&amp;"!A" &amp; $O$2002+ 5 &amp; ":Z" &amp; $O$2002 + 5),0),4),1,""),""),$O$2002+ 6)</f>
        <v>H523</v>
      </c>
      <c r="D2008" s="826" t="s">
        <v>1350</v>
      </c>
      <c r="E2008" s="826" t="s">
        <v>1516</v>
      </c>
      <c r="F2008" s="1353" t="s">
        <v>1396</v>
      </c>
      <c r="G2008" s="1353" t="str">
        <f t="shared" ref="G2008:G2052" si="329">IF(T2008&lt;&gt;"","S","")</f>
        <v/>
      </c>
      <c r="H2008" s="1353" t="s">
        <v>1990</v>
      </c>
      <c r="I2008" s="826"/>
      <c r="J2008" s="826"/>
      <c r="K2008" s="826"/>
      <c r="L2008" s="826" t="s">
        <v>1396</v>
      </c>
      <c r="M2008" s="1332">
        <v>1227</v>
      </c>
      <c r="N2008" s="826"/>
      <c r="R2008" s="1350" t="s">
        <v>2044</v>
      </c>
      <c r="T2008" s="1559" t="str">
        <f t="shared" si="328"/>
        <v/>
      </c>
    </row>
    <row r="2009" spans="1:20" s="1348" customFormat="1" x14ac:dyDescent="0.25">
      <c r="A2009" s="849" t="s">
        <v>2005</v>
      </c>
      <c r="B2009" s="826" t="str">
        <f ca="1">_xlfn.CONCAT(IFERROR(SUBSTITUTE(ADDRESS(1,MATCH(A2009,INDIRECT("'"&amp;E2009&amp;"'"&amp;"!A" &amp; $O$2002+ 8 &amp; ":Z" &amp; $O$2002 + 8),0),4),1,""),""),$O$2002+ 8)</f>
        <v>J525</v>
      </c>
      <c r="C2009" s="826" t="str">
        <f ca="1">_xlfn.CONCAT(IFERROR(SUBSTITUTE(ADDRESS(1,MATCH(A2009,INDIRECT("'"&amp;E2009&amp;"'"&amp;"!A" &amp; $O$2002+ 8 &amp; ":Z" &amp; $O$2002 + 8),0),4),1,""),""),$O$2002+ 9)</f>
        <v>J526</v>
      </c>
      <c r="D2009" s="826" t="s">
        <v>1350</v>
      </c>
      <c r="E2009" s="826" t="s">
        <v>1516</v>
      </c>
      <c r="F2009" s="826" t="s">
        <v>2005</v>
      </c>
      <c r="G2009" s="1353" t="str">
        <f>IF(T2009&lt;&gt;"","AQ","")</f>
        <v/>
      </c>
      <c r="H2009" s="1353" t="s">
        <v>1990</v>
      </c>
      <c r="I2009" s="826"/>
      <c r="J2009" s="826"/>
      <c r="K2009" s="826"/>
      <c r="L2009" s="826" t="s">
        <v>2005</v>
      </c>
      <c r="M2009" s="1332">
        <v>1228</v>
      </c>
      <c r="N2009" s="826"/>
      <c r="R2009" s="1350" t="s">
        <v>2044</v>
      </c>
      <c r="T2009" s="1559" t="str">
        <f t="shared" si="328"/>
        <v/>
      </c>
    </row>
    <row r="2010" spans="1:20" s="1348" customFormat="1" x14ac:dyDescent="0.25">
      <c r="A2010" s="849" t="s">
        <v>1482</v>
      </c>
      <c r="B2010" s="826" t="str">
        <f ca="1">_xlfn.CONCAT(IFERROR(SUBSTITUTE(ADDRESS(1,MATCH(A2010,INDIRECT("'"&amp;E2010&amp;"'"&amp;"!A" &amp; $O$2002+ 8 &amp; ":Z" &amp; $O$2002 + 8),0),4),1,""),""),$O$2002+ 8)</f>
        <v>N525</v>
      </c>
      <c r="C2010" s="826" t="str">
        <f ca="1">_xlfn.CONCAT(IFERROR(SUBSTITUTE(ADDRESS(1,MATCH(A2010,INDIRECT("'"&amp;E2009&amp;"'"&amp;"!A" &amp; $O$2002+ 8 &amp; ":Z" &amp; $O$2002 + 8),0),4),1,""),""),$O$2002+ 9)</f>
        <v>N526</v>
      </c>
      <c r="D2010" s="826" t="s">
        <v>1350</v>
      </c>
      <c r="E2010" s="826" t="s">
        <v>1516</v>
      </c>
      <c r="F2010" s="826" t="s">
        <v>2054</v>
      </c>
      <c r="G2010" s="1353" t="str">
        <f>IF(T2010&lt;&gt;"","AA","")</f>
        <v/>
      </c>
      <c r="H2010" s="1353" t="s">
        <v>1990</v>
      </c>
      <c r="I2010" s="826"/>
      <c r="J2010" s="826"/>
      <c r="K2010" s="826"/>
      <c r="L2010" s="826" t="s">
        <v>2006</v>
      </c>
      <c r="M2010" s="1332">
        <v>1229</v>
      </c>
      <c r="N2010" s="826"/>
      <c r="R2010" s="1350" t="s">
        <v>2044</v>
      </c>
      <c r="T2010" s="1559" t="str">
        <f t="shared" si="328"/>
        <v/>
      </c>
    </row>
    <row r="2011" spans="1:20" s="1348" customFormat="1" x14ac:dyDescent="0.25">
      <c r="A2011" s="849" t="s">
        <v>1397</v>
      </c>
      <c r="B2011" s="826" t="str">
        <f ca="1">_xlfn.CONCAT(IFERROR(SUBSTITUTE(ADDRESS(1,MATCH(A2011,INDIRECT("'"&amp;E2011&amp;"'"&amp;"!A" &amp; $O$2002+ 2 &amp; ":Z" &amp; $O$2002 + 2),0),4),1,""),""),$O$2002+ 2)</f>
        <v>L519</v>
      </c>
      <c r="C2011" s="826" t="str">
        <f ca="1">_xlfn.CONCAT(IFERROR(SUBSTITUTE(ADDRESS(1,MATCH(A2011,INDIRECT("'"&amp;E2011&amp;"'"&amp;"!A" &amp; $O$2002+ 2 &amp; ":Z" &amp; $O$2002 + 2),0),4),1,""),""),$O$2002+ 3)</f>
        <v>L520</v>
      </c>
      <c r="D2011" s="826" t="s">
        <v>1350</v>
      </c>
      <c r="E2011" s="826" t="s">
        <v>1516</v>
      </c>
      <c r="F2011" s="826" t="s">
        <v>1993</v>
      </c>
      <c r="G2011" s="1353" t="str">
        <f>IF(T2011&lt;&gt;"","H","")</f>
        <v/>
      </c>
      <c r="H2011" s="1353" t="s">
        <v>1990</v>
      </c>
      <c r="I2011" s="826"/>
      <c r="J2011" s="826"/>
      <c r="K2011" s="826"/>
      <c r="L2011" s="826" t="s">
        <v>1397</v>
      </c>
      <c r="M2011" s="1332">
        <v>1230</v>
      </c>
      <c r="N2011" s="826"/>
      <c r="R2011" s="1350" t="s">
        <v>2044</v>
      </c>
      <c r="T2011" s="1559" t="str">
        <f t="shared" si="328"/>
        <v/>
      </c>
    </row>
    <row r="2012" spans="1:20" s="1348" customFormat="1" x14ac:dyDescent="0.25">
      <c r="A2012" s="846" t="s">
        <v>1491</v>
      </c>
      <c r="B2012" s="826" t="str">
        <f ca="1">IFERROR(_xlfn.CONCAT("C",MATCH(A2012,INDIRECT("'"&amp;E2012&amp;"'!C"&amp;$O$2013&amp;":C"&amp;$O$2015),0)+$O$2013-1),"")</f>
        <v>C535</v>
      </c>
      <c r="C2012" s="826" t="str">
        <f ca="1">IFERROR(_xlfn.CONCAT("D",MATCH(A2012,INDIRECT("'"&amp;E2012&amp;"'!C"&amp;$O$2013&amp;":C"&amp;$O$2015),0)+$O$2013-1),"")</f>
        <v>D535</v>
      </c>
      <c r="D2012" s="826" t="s">
        <v>1350</v>
      </c>
      <c r="E2012" s="826" t="s">
        <v>1516</v>
      </c>
      <c r="F2012" s="826" t="s">
        <v>1491</v>
      </c>
      <c r="G2012" s="1353" t="str">
        <f>IF(T2012&lt;&gt;"","A","")</f>
        <v/>
      </c>
      <c r="H2012" s="1353" t="s">
        <v>1990</v>
      </c>
      <c r="I2012" s="826"/>
      <c r="J2012" s="826"/>
      <c r="K2012" s="826"/>
      <c r="L2012" s="826" t="s">
        <v>1491</v>
      </c>
      <c r="M2012" s="1332">
        <v>1231</v>
      </c>
      <c r="N2012" s="826"/>
      <c r="O2012" s="1669" t="s">
        <v>725</v>
      </c>
      <c r="R2012" s="1350" t="s">
        <v>2045</v>
      </c>
      <c r="T2012" s="1353" t="str">
        <f>IF(Q$2013="Yes",38,"")</f>
        <v/>
      </c>
    </row>
    <row r="2013" spans="1:20" s="1348" customFormat="1" x14ac:dyDescent="0.25">
      <c r="A2013" s="846" t="s">
        <v>1705</v>
      </c>
      <c r="B2013" s="826" t="str">
        <f ca="1">_xlfn.CONCAT(IFERROR(SUBSTITUTE(ADDRESS(1,MATCH(A2013,INDIRECT("'"&amp;E2013&amp;"'"&amp;"!A" &amp; $O$2013+ 11 &amp; ":Z" &amp; $O$2013 + 11),0),4),1,""),""),$O$2013+ 11)</f>
        <v>T542</v>
      </c>
      <c r="C2013" s="826" t="str">
        <f ca="1">_xlfn.CONCAT(IFERROR(SUBSTITUTE(ADDRESS(1,MATCH(A2013,INDIRECT("'"&amp;E2013&amp;"'"&amp;"!A" &amp; $O$2013+ 11 &amp; ":Z" &amp; $O$2013 + 11),0),4),1,""),""),$O$2013+ 12)</f>
        <v>T543</v>
      </c>
      <c r="D2013" s="826" t="s">
        <v>1350</v>
      </c>
      <c r="E2013" s="826" t="s">
        <v>1516</v>
      </c>
      <c r="F2013" s="826"/>
      <c r="G2013" s="1353"/>
      <c r="H2013" s="1353"/>
      <c r="I2013" s="826"/>
      <c r="J2013" s="826"/>
      <c r="K2013" s="826"/>
      <c r="L2013" s="826" t="s">
        <v>1705</v>
      </c>
      <c r="M2013" s="1332">
        <v>1232</v>
      </c>
      <c r="N2013" s="826"/>
      <c r="O2013" s="1669">
        <f>'Configurable Tab'!H40</f>
        <v>531</v>
      </c>
      <c r="P2013" s="18" t="str">
        <f>'Configurable Tab'!J40</f>
        <v>No</v>
      </c>
      <c r="Q2013" s="1351" t="s">
        <v>648</v>
      </c>
      <c r="R2013" s="1350" t="s">
        <v>2045</v>
      </c>
      <c r="T2013" s="1353" t="str">
        <f t="shared" ref="T2013:T2022" si="330">IF(Q$2013="Yes",38,"")</f>
        <v/>
      </c>
    </row>
    <row r="2014" spans="1:20" s="1348" customFormat="1" x14ac:dyDescent="0.25">
      <c r="A2014" s="846" t="s">
        <v>1383</v>
      </c>
      <c r="B2014" s="826" t="str">
        <f ca="1">IFERROR(_xlfn.CONCAT("C",MATCH(A2014,INDIRECT("'"&amp;E2014&amp;"'!C"&amp;$O$2013&amp;":C"&amp;$O$2015),0)+$O$2013-1),"")</f>
        <v>C533</v>
      </c>
      <c r="C2014" s="826" t="str">
        <f ca="1">IFERROR(_xlfn.CONCAT("D",MATCH(A2014,INDIRECT("'"&amp;E2014&amp;"'!C"&amp;$O$2013&amp;":C"&amp;$O$2015),0)+$O$2013-1),"")</f>
        <v>D533</v>
      </c>
      <c r="D2014" s="826" t="s">
        <v>1350</v>
      </c>
      <c r="E2014" s="826" t="s">
        <v>1516</v>
      </c>
      <c r="F2014" s="826" t="s">
        <v>1383</v>
      </c>
      <c r="G2014" s="1353" t="str">
        <f>IF(T2014&lt;&gt;"","B","")</f>
        <v/>
      </c>
      <c r="H2014" s="1353" t="s">
        <v>1990</v>
      </c>
      <c r="I2014" s="826"/>
      <c r="J2014" s="826"/>
      <c r="K2014" s="826"/>
      <c r="L2014" s="826" t="s">
        <v>1383</v>
      </c>
      <c r="M2014" s="1332">
        <v>1233</v>
      </c>
      <c r="N2014" s="826"/>
      <c r="O2014" s="1669" t="s">
        <v>726</v>
      </c>
      <c r="R2014" s="1350" t="s">
        <v>2045</v>
      </c>
      <c r="T2014" s="1559" t="str">
        <f t="shared" si="330"/>
        <v/>
      </c>
    </row>
    <row r="2015" spans="1:20" s="1348" customFormat="1" x14ac:dyDescent="0.25">
      <c r="A2015" s="846" t="s">
        <v>1381</v>
      </c>
      <c r="B2015" s="826" t="str">
        <f ca="1">_xlfn.CONCAT(IFERROR(SUBSTITUTE(ADDRESS(1,MATCH(A2015,INDIRECT("'"&amp;E2015&amp;"'"&amp;"!A" &amp; $O$2013+ 2 &amp; ":Z" &amp; $O$2013 + 2),0),4),1,""),""),$O$2013+ 2)</f>
        <v>J533</v>
      </c>
      <c r="C2015" s="826" t="str">
        <f ca="1">_xlfn.CONCAT(IFERROR(SUBSTITUTE(ADDRESS(1,MATCH(A2015,INDIRECT("'"&amp;E2015&amp;"'"&amp;"!A" &amp; $O$2013+ 2 &amp; ":Z" &amp; $O$2013 + 2),0),4),1,""),""),$O$2013+ 3)</f>
        <v>J534</v>
      </c>
      <c r="D2015" s="826" t="s">
        <v>1350</v>
      </c>
      <c r="E2015" s="826" t="s">
        <v>1516</v>
      </c>
      <c r="F2015" s="826" t="s">
        <v>1992</v>
      </c>
      <c r="G2015" s="1353" t="str">
        <f>IF(T2015&lt;&gt;"","I","")</f>
        <v/>
      </c>
      <c r="H2015" s="1353" t="s">
        <v>1990</v>
      </c>
      <c r="I2015" s="826"/>
      <c r="J2015" s="826"/>
      <c r="K2015" s="826"/>
      <c r="L2015" s="826" t="s">
        <v>1381</v>
      </c>
      <c r="M2015" s="1332">
        <v>1234</v>
      </c>
      <c r="N2015" s="826"/>
      <c r="O2015" s="1669">
        <f>'Configurable Tab'!I40</f>
        <v>544</v>
      </c>
      <c r="R2015" s="1350" t="s">
        <v>2045</v>
      </c>
      <c r="T2015" s="1559" t="str">
        <f t="shared" si="330"/>
        <v/>
      </c>
    </row>
    <row r="2016" spans="1:20" s="1348" customFormat="1" x14ac:dyDescent="0.25">
      <c r="A2016" s="846" t="s">
        <v>1382</v>
      </c>
      <c r="B2016" s="826" t="str">
        <f ca="1">_xlfn.CONCAT(IFERROR(SUBSTITUTE(ADDRESS(1,MATCH(A2016,INDIRECT("'"&amp;E2016&amp;"'"&amp;"!A" &amp; $O$2013+ 2 &amp; ":Z" &amp; $O$2013 + 2),0),4),1,""),""),$O$2013+ 2)</f>
        <v>N533</v>
      </c>
      <c r="C2016" s="826" t="str">
        <f ca="1">_xlfn.CONCAT(IFERROR(SUBSTITUTE(ADDRESS(1,MATCH(A2016,INDIRECT("'"&amp;E2016&amp;"'"&amp;"!A" &amp; $O$2013+ 2 &amp; ":Z" &amp; $O$2013 + 2),0),4),1,""),""),$O$2013+ 3)</f>
        <v>N534</v>
      </c>
      <c r="D2016" s="826" t="s">
        <v>1350</v>
      </c>
      <c r="E2016" s="826" t="s">
        <v>1516</v>
      </c>
      <c r="F2016" s="826" t="s">
        <v>1382</v>
      </c>
      <c r="G2016" s="1353" t="str">
        <f>IF(T2016&lt;&gt;"",IF(Q2015="Credit Memo","J",IF(Q2015="Check","K","")),"")</f>
        <v/>
      </c>
      <c r="H2016" s="1353" t="s">
        <v>1990</v>
      </c>
      <c r="I2016" s="826"/>
      <c r="J2016" s="826"/>
      <c r="K2016" s="826"/>
      <c r="L2016" s="826" t="s">
        <v>1382</v>
      </c>
      <c r="M2016" s="1332">
        <v>1235</v>
      </c>
      <c r="N2016" s="826"/>
      <c r="O2016" s="1348" t="s">
        <v>2028</v>
      </c>
      <c r="R2016" s="1350" t="s">
        <v>2045</v>
      </c>
      <c r="T2016" s="1559" t="str">
        <f t="shared" si="330"/>
        <v/>
      </c>
    </row>
    <row r="2017" spans="1:20" s="1348" customFormat="1" x14ac:dyDescent="0.25">
      <c r="A2017" s="846" t="s">
        <v>1385</v>
      </c>
      <c r="B2017" s="826" t="str">
        <f ca="1">IFERROR(_xlfn.CONCAT("C",MATCH(A2017,INDIRECT("'"&amp;E2017&amp;"'!C"&amp;$O$2013&amp;":C"&amp;$O$2015),0)+$O$2013-1),"")</f>
        <v>C537</v>
      </c>
      <c r="C2017" s="826" t="str">
        <f ca="1">IFERROR(_xlfn.CONCAT("D",MATCH(A2017,INDIRECT("'"&amp;E2017&amp;"'!C"&amp;$O$2013&amp;":C"&amp;$O$2015),0)+$O$2013-1),"")</f>
        <v>D537</v>
      </c>
      <c r="D2017" s="826" t="s">
        <v>1350</v>
      </c>
      <c r="E2017" s="826" t="s">
        <v>1516</v>
      </c>
      <c r="F2017" s="826" t="s">
        <v>1385</v>
      </c>
      <c r="G2017" s="1353" t="str">
        <f>IF(T2017&lt;&gt;"","C","")</f>
        <v/>
      </c>
      <c r="H2017" s="1353" t="s">
        <v>1990</v>
      </c>
      <c r="I2017" s="826"/>
      <c r="J2017" s="826"/>
      <c r="K2017" s="826"/>
      <c r="L2017" s="826" t="s">
        <v>1385</v>
      </c>
      <c r="M2017" s="1332">
        <v>1236</v>
      </c>
      <c r="N2017" s="826"/>
      <c r="R2017" s="1350" t="s">
        <v>2045</v>
      </c>
      <c r="T2017" s="1559" t="str">
        <f t="shared" si="330"/>
        <v/>
      </c>
    </row>
    <row r="2018" spans="1:20" s="1348" customFormat="1" ht="17.25" customHeight="1" x14ac:dyDescent="0.25">
      <c r="A2018" s="846" t="s">
        <v>1386</v>
      </c>
      <c r="B2018" s="826" t="str">
        <f ca="1">IFERROR(_xlfn.CONCAT("C",MATCH(A2018,INDIRECT("'"&amp;E2018&amp;"'!C"&amp;$O$2013&amp;":C"&amp;$O$2015),0)+$O$2013-1),"")</f>
        <v>C539</v>
      </c>
      <c r="C2018" s="826" t="str">
        <f ca="1">IFERROR(_xlfn.CONCAT("D",MATCH(A2018,INDIRECT("'"&amp;E2018&amp;"'!C"&amp;$O$2013&amp;":C"&amp;$O$2015),0)+$O$2013-1),"")</f>
        <v>D539</v>
      </c>
      <c r="D2018" s="826" t="s">
        <v>1350</v>
      </c>
      <c r="E2018" s="826" t="s">
        <v>1516</v>
      </c>
      <c r="F2018" s="826" t="s">
        <v>1386</v>
      </c>
      <c r="G2018" s="1353" t="str">
        <f>IF(T2018&lt;&gt;"","D","")</f>
        <v/>
      </c>
      <c r="H2018" s="1353" t="s">
        <v>1990</v>
      </c>
      <c r="I2018" s="826"/>
      <c r="J2018" s="826"/>
      <c r="K2018" s="826"/>
      <c r="L2018" s="826" t="s">
        <v>1386</v>
      </c>
      <c r="M2018" s="1332">
        <v>1237</v>
      </c>
      <c r="N2018" s="826"/>
      <c r="R2018" s="1350" t="s">
        <v>2045</v>
      </c>
      <c r="T2018" s="1559" t="str">
        <f t="shared" si="330"/>
        <v/>
      </c>
    </row>
    <row r="2019" spans="1:20" s="1348" customFormat="1" x14ac:dyDescent="0.25">
      <c r="A2019" s="846" t="s">
        <v>1396</v>
      </c>
      <c r="B2019" s="826" t="str">
        <f ca="1">_xlfn.CONCAT(IFERROR(SUBSTITUTE(ADDRESS(1,MATCH(A2019,INDIRECT("'"&amp;E2019&amp;"'"&amp;"!A" &amp; $O$2013+ 5 &amp; ":Z" &amp; $O$2013 + 5),0),4),1,""),""),$O$2013+ 5)</f>
        <v>H536</v>
      </c>
      <c r="C2019" s="826" t="str">
        <f ca="1">_xlfn.CONCAT(IFERROR(SUBSTITUTE(ADDRESS(1,MATCH(A2019,INDIRECT("'"&amp;E2019&amp;"'"&amp;"!A" &amp; $O$2013+ 5 &amp; ":Z" &amp; $O$2013 + 5),0),4),1,""),""),$O$2013+ 6)</f>
        <v>H537</v>
      </c>
      <c r="D2019" s="826" t="s">
        <v>1350</v>
      </c>
      <c r="E2019" s="826" t="s">
        <v>1516</v>
      </c>
      <c r="F2019" s="1353" t="s">
        <v>1396</v>
      </c>
      <c r="G2019" s="1353" t="str">
        <f t="shared" si="329"/>
        <v/>
      </c>
      <c r="H2019" s="1353" t="s">
        <v>1990</v>
      </c>
      <c r="I2019" s="826"/>
      <c r="J2019" s="826"/>
      <c r="K2019" s="826"/>
      <c r="L2019" s="826" t="s">
        <v>1396</v>
      </c>
      <c r="M2019" s="1332">
        <v>1238</v>
      </c>
      <c r="N2019" s="826"/>
      <c r="R2019" s="1350" t="s">
        <v>2045</v>
      </c>
      <c r="T2019" s="1559" t="str">
        <f t="shared" si="330"/>
        <v/>
      </c>
    </row>
    <row r="2020" spans="1:20" s="1348" customFormat="1" x14ac:dyDescent="0.25">
      <c r="A2020" s="846" t="s">
        <v>2005</v>
      </c>
      <c r="B2020" s="826" t="str">
        <f ca="1">_xlfn.CONCAT(IFERROR(SUBSTITUTE(ADDRESS(1,MATCH(A2020,INDIRECT("'"&amp;E2020&amp;"'"&amp;"!A" &amp; $O$2013+ 8 &amp; ":Z" &amp; $O$2013 + 8),0),4),1,""),""),$O$2013+ 8)</f>
        <v>J539</v>
      </c>
      <c r="C2020" s="826" t="str">
        <f ca="1">_xlfn.CONCAT(IFERROR(SUBSTITUTE(ADDRESS(1,MATCH(A2020,INDIRECT("'"&amp;E2020&amp;"'"&amp;"!A" &amp; $O$2013+ 8 &amp; ":Z" &amp; $O$2013 + 8),0),4),1,""),""),$O$2013+ 9)</f>
        <v>J540</v>
      </c>
      <c r="D2020" s="826" t="s">
        <v>1350</v>
      </c>
      <c r="E2020" s="826" t="s">
        <v>1516</v>
      </c>
      <c r="F2020" s="826" t="s">
        <v>2005</v>
      </c>
      <c r="G2020" s="1353" t="str">
        <f>IF(T2020&lt;&gt;"","AQ","")</f>
        <v/>
      </c>
      <c r="H2020" s="1353" t="s">
        <v>1990</v>
      </c>
      <c r="I2020" s="826"/>
      <c r="J2020" s="826"/>
      <c r="K2020" s="826"/>
      <c r="L2020" s="826" t="s">
        <v>2005</v>
      </c>
      <c r="M2020" s="1332">
        <v>1239</v>
      </c>
      <c r="N2020" s="826"/>
      <c r="R2020" s="1350" t="s">
        <v>2045</v>
      </c>
      <c r="T2020" s="1559" t="str">
        <f t="shared" si="330"/>
        <v/>
      </c>
    </row>
    <row r="2021" spans="1:20" s="1348" customFormat="1" x14ac:dyDescent="0.25">
      <c r="A2021" s="846" t="s">
        <v>1482</v>
      </c>
      <c r="B2021" s="826" t="str">
        <f ca="1">_xlfn.CONCAT(IFERROR(SUBSTITUTE(ADDRESS(1,MATCH(A2021,INDIRECT("'"&amp;E2021&amp;"'"&amp;"!A" &amp; $O$2013+ 8 &amp; ":Z" &amp; $O$2013 + 8),0),4),1,""),""),$O$2013+ 8)</f>
        <v>N539</v>
      </c>
      <c r="C2021" s="826" t="str">
        <f ca="1">_xlfn.CONCAT(IFERROR(SUBSTITUTE(ADDRESS(1,MATCH(A2021,INDIRECT("'"&amp;E2021&amp;"'"&amp;"!A" &amp; $O$2013+ 8 &amp; ":Z" &amp; $O$2013 + 8),0),4),1,""),""),$O$2013+ 9)</f>
        <v>N540</v>
      </c>
      <c r="D2021" s="826" t="s">
        <v>1350</v>
      </c>
      <c r="E2021" s="826" t="s">
        <v>1516</v>
      </c>
      <c r="F2021" s="826" t="s">
        <v>2054</v>
      </c>
      <c r="G2021" s="1353" t="str">
        <f>IF(T2021&lt;&gt;"","AA","")</f>
        <v/>
      </c>
      <c r="H2021" s="1353" t="s">
        <v>1990</v>
      </c>
      <c r="I2021" s="826"/>
      <c r="J2021" s="826"/>
      <c r="K2021" s="826"/>
      <c r="L2021" s="826" t="s">
        <v>2006</v>
      </c>
      <c r="M2021" s="1332">
        <v>1240</v>
      </c>
      <c r="N2021" s="826"/>
      <c r="R2021" s="1350" t="s">
        <v>2045</v>
      </c>
      <c r="T2021" s="1559" t="str">
        <f t="shared" si="330"/>
        <v/>
      </c>
    </row>
    <row r="2022" spans="1:20" s="1348" customFormat="1" x14ac:dyDescent="0.25">
      <c r="A2022" s="846" t="s">
        <v>1397</v>
      </c>
      <c r="B2022" s="826" t="str">
        <f ca="1">_xlfn.CONCAT(IFERROR(SUBSTITUTE(ADDRESS(1,MATCH(A2022,INDIRECT("'"&amp;E2022&amp;"'"&amp;"!A" &amp; $O$2013+ 2 &amp; ":Z" &amp; $O$2013 + 2),0),4),1,""),""),$O$2013+ 2)</f>
        <v>L533</v>
      </c>
      <c r="C2022" s="826" t="str">
        <f ca="1">_xlfn.CONCAT(IFERROR(SUBSTITUTE(ADDRESS(1,MATCH(A2022,INDIRECT("'"&amp;E2022&amp;"'"&amp;"!A" &amp; $O$2013+ 2 &amp; ":Z" &amp; $O$2013 + 2),0),4),1,""),""),$O$2013+ 3)</f>
        <v>L534</v>
      </c>
      <c r="D2022" s="826" t="s">
        <v>1350</v>
      </c>
      <c r="E2022" s="826" t="s">
        <v>1516</v>
      </c>
      <c r="F2022" s="826" t="s">
        <v>1993</v>
      </c>
      <c r="G2022" s="1353" t="str">
        <f>IF(T2022&lt;&gt;"","H","")</f>
        <v/>
      </c>
      <c r="H2022" s="1353" t="s">
        <v>1990</v>
      </c>
      <c r="I2022" s="826"/>
      <c r="J2022" s="826"/>
      <c r="K2022" s="826"/>
      <c r="L2022" s="826" t="s">
        <v>1397</v>
      </c>
      <c r="M2022" s="1332">
        <v>1241</v>
      </c>
      <c r="N2022" s="826"/>
      <c r="R2022" s="1350" t="s">
        <v>2045</v>
      </c>
      <c r="T2022" s="1559" t="str">
        <f t="shared" si="330"/>
        <v/>
      </c>
    </row>
    <row r="2023" spans="1:20" s="1348" customFormat="1" x14ac:dyDescent="0.25">
      <c r="A2023" s="849" t="s">
        <v>1491</v>
      </c>
      <c r="B2023" s="826" t="str">
        <f ca="1">IFERROR(_xlfn.CONCAT("C",MATCH(A2023,INDIRECT("'"&amp;E2023&amp;"'!C"&amp;$O$2024&amp;":C"&amp;$O$2026),0)+$O$2024-1),"")</f>
        <v>C549</v>
      </c>
      <c r="C2023" s="826" t="str">
        <f ca="1">IFERROR(_xlfn.CONCAT("D",MATCH(A2023,INDIRECT("'"&amp;E2023&amp;"'!C"&amp;$O$2024&amp;":C"&amp;$O$2026),0)+$O$2024-1),"")</f>
        <v>D549</v>
      </c>
      <c r="D2023" s="826" t="s">
        <v>1350</v>
      </c>
      <c r="E2023" s="826" t="s">
        <v>1516</v>
      </c>
      <c r="F2023" s="826" t="s">
        <v>1491</v>
      </c>
      <c r="G2023" s="1353" t="str">
        <f>IF(T2023&lt;&gt;"","A","")</f>
        <v/>
      </c>
      <c r="H2023" s="1353" t="s">
        <v>1990</v>
      </c>
      <c r="I2023" s="826"/>
      <c r="J2023" s="826"/>
      <c r="K2023" s="826"/>
      <c r="L2023" s="826" t="s">
        <v>1491</v>
      </c>
      <c r="M2023" s="1332">
        <v>1242</v>
      </c>
      <c r="N2023" s="826"/>
      <c r="O2023" s="1669" t="s">
        <v>725</v>
      </c>
      <c r="R2023" s="1350" t="s">
        <v>2046</v>
      </c>
      <c r="T2023" s="1353" t="str">
        <f>IF(Q$2024="Yes",39,"")</f>
        <v/>
      </c>
    </row>
    <row r="2024" spans="1:20" s="1348" customFormat="1" x14ac:dyDescent="0.25">
      <c r="A2024" s="849" t="s">
        <v>1705</v>
      </c>
      <c r="B2024" s="826" t="str">
        <f ca="1">_xlfn.CONCAT(IFERROR(SUBSTITUTE(ADDRESS(1,MATCH(A2024,INDIRECT("'"&amp;E2024&amp;"'"&amp;"!A" &amp; $O$2024+11 &amp; ":Z" &amp; $O$2024 + 11),0),4),1,""),""),$O$2024+ 11)</f>
        <v>T556</v>
      </c>
      <c r="C2024" s="826" t="str">
        <f ca="1">_xlfn.CONCAT(IFERROR(SUBSTITUTE(ADDRESS(1,MATCH(A2024,INDIRECT("'"&amp;E2024&amp;"'"&amp;"!A" &amp; $O$2024+11 &amp; ":Z" &amp; $O$2024 + 11),0),4),1,""),""),$O$2024+ 12)</f>
        <v>T557</v>
      </c>
      <c r="D2024" s="826" t="s">
        <v>1350</v>
      </c>
      <c r="E2024" s="826" t="s">
        <v>1516</v>
      </c>
      <c r="F2024" s="826"/>
      <c r="G2024" s="1353"/>
      <c r="H2024" s="1353"/>
      <c r="I2024" s="826"/>
      <c r="J2024" s="826"/>
      <c r="K2024" s="826"/>
      <c r="L2024" s="826" t="s">
        <v>1705</v>
      </c>
      <c r="M2024" s="1332">
        <v>1243</v>
      </c>
      <c r="N2024" s="826"/>
      <c r="O2024" s="1669">
        <f>'Configurable Tab'!H41</f>
        <v>545</v>
      </c>
      <c r="P2024" s="18" t="str">
        <f>'Configurable Tab'!J41</f>
        <v>No</v>
      </c>
      <c r="Q2024" s="1351" t="s">
        <v>648</v>
      </c>
      <c r="R2024" s="1350" t="s">
        <v>2046</v>
      </c>
      <c r="T2024" s="1353" t="str">
        <f t="shared" ref="T2024:T2033" si="331">IF(Q$2024="Yes",39,"")</f>
        <v/>
      </c>
    </row>
    <row r="2025" spans="1:20" s="1348" customFormat="1" x14ac:dyDescent="0.25">
      <c r="A2025" s="849" t="s">
        <v>1383</v>
      </c>
      <c r="B2025" s="826" t="str">
        <f ca="1">IFERROR(_xlfn.CONCAT("C",MATCH(A2025,INDIRECT("'"&amp;E2025&amp;"'!C"&amp;$O$2024&amp;":C"&amp;$O$2026),0)+$O$2024-1),"")</f>
        <v>C547</v>
      </c>
      <c r="C2025" s="826" t="str">
        <f ca="1">IFERROR(_xlfn.CONCAT("D",MATCH(A2025,INDIRECT("'"&amp;E2025&amp;"'!C"&amp;$O$2024&amp;":C"&amp;$O$2026),0)+$O$2024-1),"")</f>
        <v>D547</v>
      </c>
      <c r="D2025" s="826" t="s">
        <v>1350</v>
      </c>
      <c r="E2025" s="826" t="s">
        <v>1516</v>
      </c>
      <c r="F2025" s="826" t="s">
        <v>1383</v>
      </c>
      <c r="G2025" s="1353" t="str">
        <f>IF(T2025&lt;&gt;"","B","")</f>
        <v/>
      </c>
      <c r="H2025" s="1353" t="s">
        <v>1990</v>
      </c>
      <c r="I2025" s="826"/>
      <c r="J2025" s="826"/>
      <c r="K2025" s="826"/>
      <c r="L2025" s="826" t="s">
        <v>1383</v>
      </c>
      <c r="M2025" s="1332">
        <v>1244</v>
      </c>
      <c r="N2025" s="826"/>
      <c r="O2025" s="1669" t="s">
        <v>726</v>
      </c>
      <c r="R2025" s="1350" t="s">
        <v>2046</v>
      </c>
      <c r="T2025" s="1559" t="str">
        <f t="shared" si="331"/>
        <v/>
      </c>
    </row>
    <row r="2026" spans="1:20" s="1348" customFormat="1" x14ac:dyDescent="0.25">
      <c r="A2026" s="849" t="s">
        <v>1381</v>
      </c>
      <c r="B2026" s="826" t="str">
        <f ca="1">_xlfn.CONCAT(IFERROR(SUBSTITUTE(ADDRESS(1,MATCH(A2026,INDIRECT("'"&amp;E2026&amp;"'"&amp;"!A" &amp; $O$2024+ 2 &amp; ":Z" &amp; $O$2024 + 2),0),4),1,""),""),$O$2024+ 2)</f>
        <v>J547</v>
      </c>
      <c r="C2026" s="826" t="str">
        <f ca="1">_xlfn.CONCAT(IFERROR(SUBSTITUTE(ADDRESS(1,MATCH(A2026,INDIRECT("'"&amp;E2026&amp;"'"&amp;"!A" &amp; $O$2024+ 2 &amp; ":Z" &amp; $O$2024 + 2),0),4),1,""),""),$O$2024+ 3)</f>
        <v>J548</v>
      </c>
      <c r="D2026" s="826" t="s">
        <v>1350</v>
      </c>
      <c r="E2026" s="826" t="s">
        <v>1516</v>
      </c>
      <c r="F2026" s="826" t="s">
        <v>1992</v>
      </c>
      <c r="G2026" s="1353" t="str">
        <f>IF(T2026&lt;&gt;"","I","")</f>
        <v/>
      </c>
      <c r="H2026" s="1353" t="s">
        <v>1990</v>
      </c>
      <c r="I2026" s="826"/>
      <c r="J2026" s="826"/>
      <c r="K2026" s="826"/>
      <c r="L2026" s="826" t="s">
        <v>1381</v>
      </c>
      <c r="M2026" s="1332">
        <v>1245</v>
      </c>
      <c r="N2026" s="826"/>
      <c r="O2026" s="1669">
        <f>'Configurable Tab'!I41</f>
        <v>558</v>
      </c>
      <c r="R2026" s="1350" t="s">
        <v>2046</v>
      </c>
      <c r="T2026" s="1559" t="str">
        <f t="shared" si="331"/>
        <v/>
      </c>
    </row>
    <row r="2027" spans="1:20" s="1348" customFormat="1" x14ac:dyDescent="0.25">
      <c r="A2027" s="849" t="s">
        <v>1382</v>
      </c>
      <c r="B2027" s="826" t="str">
        <f ca="1">_xlfn.CONCAT(IFERROR(SUBSTITUTE(ADDRESS(1,MATCH(A2027,INDIRECT("'"&amp;E2027&amp;"'"&amp;"!A" &amp; $O$2024+ 2 &amp; ":Z" &amp; $O$2024 + 2),0),4),1,""),""),$O$2024+ 2)</f>
        <v>N547</v>
      </c>
      <c r="C2027" s="826" t="str">
        <f ca="1">_xlfn.CONCAT(IFERROR(SUBSTITUTE(ADDRESS(1,MATCH(A2027,INDIRECT("'"&amp;E2027&amp;"'"&amp;"!A" &amp; $O$2024+ 2 &amp; ":Z" &amp; $O$2024 + 2),0),4),1,""),""),$O$2024+ 3)</f>
        <v>N548</v>
      </c>
      <c r="D2027" s="826" t="s">
        <v>1350</v>
      </c>
      <c r="E2027" s="826" t="s">
        <v>1516</v>
      </c>
      <c r="F2027" s="826" t="s">
        <v>1382</v>
      </c>
      <c r="G2027" s="1353" t="str">
        <f>IF(T2027&lt;&gt;"",IF(Q2026="Credit Memo","J",IF(Q2026="Check","K","")),"")</f>
        <v/>
      </c>
      <c r="H2027" s="1353" t="s">
        <v>1990</v>
      </c>
      <c r="I2027" s="826"/>
      <c r="J2027" s="826"/>
      <c r="K2027" s="826"/>
      <c r="L2027" s="826" t="s">
        <v>1382</v>
      </c>
      <c r="M2027" s="1332">
        <v>1246</v>
      </c>
      <c r="N2027" s="826"/>
      <c r="O2027" s="1348" t="s">
        <v>2029</v>
      </c>
      <c r="R2027" s="1350" t="s">
        <v>2046</v>
      </c>
      <c r="T2027" s="1559" t="str">
        <f t="shared" si="331"/>
        <v/>
      </c>
    </row>
    <row r="2028" spans="1:20" s="1348" customFormat="1" x14ac:dyDescent="0.25">
      <c r="A2028" s="849" t="s">
        <v>1385</v>
      </c>
      <c r="B2028" s="826" t="str">
        <f ca="1">IFERROR(_xlfn.CONCAT("C",MATCH(A2028,INDIRECT("'"&amp;E2028&amp;"'!C"&amp;$O$2024&amp;":C"&amp;$O$2026),0)+$O$2024-1),"")</f>
        <v>C551</v>
      </c>
      <c r="C2028" s="826" t="str">
        <f ca="1">IFERROR(_xlfn.CONCAT("D",MATCH(A2028,INDIRECT("'"&amp;E2028&amp;"'!C"&amp;$O$2024&amp;":C"&amp;$O$2026),0)+$O$2024-1),"")</f>
        <v>D551</v>
      </c>
      <c r="D2028" s="826" t="s">
        <v>1350</v>
      </c>
      <c r="E2028" s="826" t="s">
        <v>1516</v>
      </c>
      <c r="F2028" s="826" t="s">
        <v>1385</v>
      </c>
      <c r="G2028" s="1353" t="str">
        <f>IF(T2028&lt;&gt;"","C","")</f>
        <v/>
      </c>
      <c r="H2028" s="1353" t="s">
        <v>1990</v>
      </c>
      <c r="I2028" s="826"/>
      <c r="J2028" s="826"/>
      <c r="K2028" s="826"/>
      <c r="L2028" s="826" t="s">
        <v>1385</v>
      </c>
      <c r="M2028" s="1332">
        <v>1247</v>
      </c>
      <c r="N2028" s="826"/>
      <c r="R2028" s="1350" t="s">
        <v>2046</v>
      </c>
      <c r="T2028" s="1559" t="str">
        <f t="shared" si="331"/>
        <v/>
      </c>
    </row>
    <row r="2029" spans="1:20" s="1348" customFormat="1" x14ac:dyDescent="0.25">
      <c r="A2029" s="849" t="s">
        <v>1386</v>
      </c>
      <c r="B2029" s="826" t="str">
        <f ca="1">IFERROR(_xlfn.CONCAT("C",MATCH(A2029,INDIRECT("'"&amp;E2029&amp;"'!C"&amp;$O$2024&amp;":C"&amp;$O$2026),0)+$O$2024-1),"")</f>
        <v>C553</v>
      </c>
      <c r="C2029" s="826" t="str">
        <f ca="1">IFERROR(_xlfn.CONCAT("D",MATCH(A2029,INDIRECT("'"&amp;E2029&amp;"'!C"&amp;$O$2024&amp;":C"&amp;$O$2026),0)+$O$2024-1),"")</f>
        <v>D553</v>
      </c>
      <c r="D2029" s="826" t="s">
        <v>1350</v>
      </c>
      <c r="E2029" s="826" t="s">
        <v>1516</v>
      </c>
      <c r="F2029" s="826" t="s">
        <v>1386</v>
      </c>
      <c r="G2029" s="1353" t="str">
        <f>IF(T2029&lt;&gt;"","D","")</f>
        <v/>
      </c>
      <c r="H2029" s="1353" t="s">
        <v>1990</v>
      </c>
      <c r="I2029" s="826"/>
      <c r="J2029" s="826"/>
      <c r="K2029" s="826"/>
      <c r="L2029" s="826" t="s">
        <v>1386</v>
      </c>
      <c r="M2029" s="1332">
        <v>1248</v>
      </c>
      <c r="N2029" s="826"/>
      <c r="R2029" s="1350" t="s">
        <v>2046</v>
      </c>
      <c r="T2029" s="1559" t="str">
        <f t="shared" si="331"/>
        <v/>
      </c>
    </row>
    <row r="2030" spans="1:20" s="1348" customFormat="1" x14ac:dyDescent="0.25">
      <c r="A2030" s="849" t="s">
        <v>1396</v>
      </c>
      <c r="B2030" s="826" t="str">
        <f ca="1">_xlfn.CONCAT(IFERROR(SUBSTITUTE(ADDRESS(1,MATCH(A2030,INDIRECT("'"&amp;E2030&amp;"'"&amp;"!A" &amp; $O$2024+5 &amp; ":Z" &amp; $O$2024 + 5),0),4),1,""),""),$O$2024+ 5)</f>
        <v>H550</v>
      </c>
      <c r="C2030" s="826" t="str">
        <f ca="1">_xlfn.CONCAT(IFERROR(SUBSTITUTE(ADDRESS(1,MATCH(A2030,INDIRECT("'"&amp;E2030&amp;"'"&amp;"!A" &amp; $O$2024+5 &amp; ":Z" &amp; $O$2024 + 5),0),4),1,""),""),$O$2024+ 6)</f>
        <v>H551</v>
      </c>
      <c r="D2030" s="826" t="s">
        <v>1350</v>
      </c>
      <c r="E2030" s="826" t="s">
        <v>1516</v>
      </c>
      <c r="F2030" s="1353" t="s">
        <v>1396</v>
      </c>
      <c r="G2030" s="1353" t="str">
        <f t="shared" si="329"/>
        <v/>
      </c>
      <c r="H2030" s="1353" t="s">
        <v>1990</v>
      </c>
      <c r="I2030" s="826"/>
      <c r="J2030" s="826"/>
      <c r="K2030" s="826"/>
      <c r="L2030" s="826" t="s">
        <v>1396</v>
      </c>
      <c r="M2030" s="1332">
        <v>1249</v>
      </c>
      <c r="N2030" s="826"/>
      <c r="R2030" s="1350" t="s">
        <v>2046</v>
      </c>
      <c r="T2030" s="1559" t="str">
        <f t="shared" si="331"/>
        <v/>
      </c>
    </row>
    <row r="2031" spans="1:20" s="1348" customFormat="1" x14ac:dyDescent="0.25">
      <c r="A2031" s="849" t="s">
        <v>2005</v>
      </c>
      <c r="B2031" s="826" t="str">
        <f ca="1">_xlfn.CONCAT(IFERROR(SUBSTITUTE(ADDRESS(1,MATCH(A2031,INDIRECT("'"&amp;E2031&amp;"'"&amp;"!A" &amp; $O$2024+8 &amp; ":Z" &amp; $O$2024 + 8),0),4),1,""),""),$O$2024+ 8)</f>
        <v>J553</v>
      </c>
      <c r="C2031" s="826" t="str">
        <f ca="1">_xlfn.CONCAT(IFERROR(SUBSTITUTE(ADDRESS(1,MATCH(A2031,INDIRECT("'"&amp;E2031&amp;"'"&amp;"!A" &amp; $O$2024+8 &amp; ":Z" &amp; $O$2024 + 8),0),4),1,""),""),$O$2024+ 9)</f>
        <v>J554</v>
      </c>
      <c r="D2031" s="826" t="s">
        <v>1350</v>
      </c>
      <c r="E2031" s="826" t="s">
        <v>1516</v>
      </c>
      <c r="F2031" s="826" t="s">
        <v>2005</v>
      </c>
      <c r="G2031" s="1353" t="str">
        <f>IF(T2031&lt;&gt;"","AQ","")</f>
        <v/>
      </c>
      <c r="H2031" s="1353" t="s">
        <v>1990</v>
      </c>
      <c r="I2031" s="826"/>
      <c r="J2031" s="826"/>
      <c r="K2031" s="826"/>
      <c r="L2031" s="826" t="s">
        <v>2005</v>
      </c>
      <c r="M2031" s="1332">
        <v>1250</v>
      </c>
      <c r="N2031" s="826"/>
      <c r="R2031" s="1350" t="s">
        <v>2046</v>
      </c>
      <c r="T2031" s="1559" t="str">
        <f t="shared" si="331"/>
        <v/>
      </c>
    </row>
    <row r="2032" spans="1:20" s="1348" customFormat="1" x14ac:dyDescent="0.25">
      <c r="A2032" s="849" t="s">
        <v>1482</v>
      </c>
      <c r="B2032" s="826" t="str">
        <f ca="1">_xlfn.CONCAT(IFERROR(SUBSTITUTE(ADDRESS(1,MATCH(A2032,INDIRECT("'"&amp;E2032&amp;"'"&amp;"!A" &amp; $O$2024+8 &amp; ":Z" &amp; $O$2024 + 8),0),4),1,""),""),$O$2024+ 8)</f>
        <v>N553</v>
      </c>
      <c r="C2032" s="826" t="str">
        <f ca="1">_xlfn.CONCAT(IFERROR(SUBSTITUTE(ADDRESS(1,MATCH(A2032,INDIRECT("'"&amp;E2032&amp;"'"&amp;"!A" &amp; $O$2024+8 &amp; ":Z" &amp; $O$2024 + 8),0),4),1,""),""),$O$2024+ 9)</f>
        <v>N554</v>
      </c>
      <c r="D2032" s="826" t="s">
        <v>1350</v>
      </c>
      <c r="E2032" s="826" t="s">
        <v>1516</v>
      </c>
      <c r="F2032" s="826" t="s">
        <v>2054</v>
      </c>
      <c r="G2032" s="1353" t="str">
        <f>IF(T2032&lt;&gt;"","AA","")</f>
        <v/>
      </c>
      <c r="H2032" s="1353" t="s">
        <v>1990</v>
      </c>
      <c r="I2032" s="826"/>
      <c r="J2032" s="826"/>
      <c r="K2032" s="826"/>
      <c r="L2032" s="826" t="s">
        <v>2006</v>
      </c>
      <c r="M2032" s="1332">
        <v>1251</v>
      </c>
      <c r="N2032" s="826"/>
      <c r="R2032" s="1350" t="s">
        <v>2046</v>
      </c>
      <c r="T2032" s="1559" t="str">
        <f t="shared" si="331"/>
        <v/>
      </c>
    </row>
    <row r="2033" spans="1:20" s="1348" customFormat="1" x14ac:dyDescent="0.25">
      <c r="A2033" s="849" t="s">
        <v>1397</v>
      </c>
      <c r="B2033" s="826" t="str">
        <f ca="1">_xlfn.CONCAT(IFERROR(SUBSTITUTE(ADDRESS(1,MATCH(A2033,INDIRECT("'"&amp;E2033&amp;"'"&amp;"!A" &amp; $O$2024+ 2 &amp; ":Z" &amp; $O$2024 + 2),0),4),1,""),""),$O$2024+ 2)</f>
        <v>L547</v>
      </c>
      <c r="C2033" s="826" t="str">
        <f ca="1">_xlfn.CONCAT(IFERROR(SUBSTITUTE(ADDRESS(1,MATCH(A2033,INDIRECT("'"&amp;E2033&amp;"'"&amp;"!A" &amp; $O$2024+ 2 &amp; ":Z" &amp; $O$2024 + 2),0),4),1,""),""),$O$2024+ 3)</f>
        <v>L548</v>
      </c>
      <c r="D2033" s="826" t="s">
        <v>1350</v>
      </c>
      <c r="E2033" s="826" t="s">
        <v>1516</v>
      </c>
      <c r="F2033" s="826" t="s">
        <v>1993</v>
      </c>
      <c r="G2033" s="1353" t="str">
        <f>IF(T2033&lt;&gt;"","H","")</f>
        <v/>
      </c>
      <c r="H2033" s="1353" t="s">
        <v>1990</v>
      </c>
      <c r="I2033" s="826"/>
      <c r="J2033" s="826"/>
      <c r="K2033" s="826"/>
      <c r="L2033" s="826" t="s">
        <v>1397</v>
      </c>
      <c r="M2033" s="1332">
        <v>1252</v>
      </c>
      <c r="N2033" s="826"/>
      <c r="R2033" s="1350" t="s">
        <v>2046</v>
      </c>
      <c r="T2033" s="1559" t="str">
        <f t="shared" si="331"/>
        <v/>
      </c>
    </row>
    <row r="2034" spans="1:20" s="1348" customFormat="1" x14ac:dyDescent="0.25">
      <c r="A2034" s="846" t="s">
        <v>1491</v>
      </c>
      <c r="B2034" s="826" t="str">
        <f ca="1">IFERROR(_xlfn.CONCAT("C",MATCH(A2034,INDIRECT("'"&amp;E2034&amp;"'!C"&amp;$O$2035&amp;":C"&amp;$O$2037),0)+$O$2035-1),"")</f>
        <v>C563</v>
      </c>
      <c r="C2034" s="826" t="str">
        <f ca="1">IFERROR(_xlfn.CONCAT("D",MATCH(A2034,INDIRECT("'"&amp;E2034&amp;"'!C"&amp;$O$2035&amp;":C"&amp;$O$2037),0)+$O$2035-1),"")</f>
        <v>D563</v>
      </c>
      <c r="D2034" s="826" t="s">
        <v>1350</v>
      </c>
      <c r="E2034" s="826" t="s">
        <v>1516</v>
      </c>
      <c r="F2034" s="826" t="s">
        <v>1491</v>
      </c>
      <c r="G2034" s="1353" t="str">
        <f>IF(T2034&lt;&gt;"","A","")</f>
        <v/>
      </c>
      <c r="H2034" s="1353" t="s">
        <v>1990</v>
      </c>
      <c r="I2034" s="826"/>
      <c r="J2034" s="826"/>
      <c r="K2034" s="826"/>
      <c r="L2034" s="826" t="s">
        <v>1491</v>
      </c>
      <c r="M2034" s="1332">
        <v>1253</v>
      </c>
      <c r="N2034" s="826"/>
      <c r="O2034" s="1669" t="s">
        <v>725</v>
      </c>
      <c r="R2034" s="1350" t="s">
        <v>2047</v>
      </c>
      <c r="T2034" s="1353" t="str">
        <f>IF(Q$2035="Yes",40,"")</f>
        <v/>
      </c>
    </row>
    <row r="2035" spans="1:20" s="1348" customFormat="1" x14ac:dyDescent="0.25">
      <c r="A2035" s="846" t="s">
        <v>1705</v>
      </c>
      <c r="B2035" s="826" t="str">
        <f ca="1">_xlfn.CONCAT(IFERROR(SUBSTITUTE(ADDRESS(1,MATCH(A2035,INDIRECT("'"&amp;E2035&amp;"'"&amp;"!A" &amp; $O$2035+ 11 &amp; ":Z" &amp; $O$2035 + 11),0),4),1,""),""),$O$2035+ 11)</f>
        <v>T570</v>
      </c>
      <c r="C2035" s="826" t="str">
        <f ca="1">_xlfn.CONCAT(IFERROR(SUBSTITUTE(ADDRESS(1,MATCH(A2035,INDIRECT("'"&amp;E2035&amp;"'"&amp;"!A" &amp; $O$2035+ 11 &amp; ":Z" &amp; $O$2035 + 11),0),4),1,""),""),$O$2035+ 12)</f>
        <v>T571</v>
      </c>
      <c r="D2035" s="826" t="s">
        <v>1350</v>
      </c>
      <c r="E2035" s="826" t="s">
        <v>1516</v>
      </c>
      <c r="F2035" s="826"/>
      <c r="G2035" s="1353"/>
      <c r="H2035" s="1353"/>
      <c r="I2035" s="826"/>
      <c r="J2035" s="826"/>
      <c r="K2035" s="826"/>
      <c r="L2035" s="826" t="s">
        <v>1705</v>
      </c>
      <c r="M2035" s="1332">
        <v>1254</v>
      </c>
      <c r="N2035" s="826"/>
      <c r="O2035" s="1669">
        <f>'Configurable Tab'!H42</f>
        <v>559</v>
      </c>
      <c r="P2035" s="18" t="str">
        <f>'Configurable Tab'!J42</f>
        <v>No</v>
      </c>
      <c r="Q2035" s="1351" t="s">
        <v>648</v>
      </c>
      <c r="R2035" s="1350" t="s">
        <v>2047</v>
      </c>
      <c r="T2035" s="1353" t="str">
        <f t="shared" ref="T2035:T2044" si="332">IF(Q$2035="Yes",40,"")</f>
        <v/>
      </c>
    </row>
    <row r="2036" spans="1:20" s="1348" customFormat="1" x14ac:dyDescent="0.25">
      <c r="A2036" s="846" t="s">
        <v>1383</v>
      </c>
      <c r="B2036" s="826" t="str">
        <f ca="1">IFERROR(_xlfn.CONCAT("C",MATCH(A2036,INDIRECT("'"&amp;E2036&amp;"'!C"&amp;$O$2035&amp;":C"&amp;$O$2037),0)+$O$2035-1),"")</f>
        <v>C561</v>
      </c>
      <c r="C2036" s="826" t="str">
        <f ca="1">IFERROR(_xlfn.CONCAT("D",MATCH(A2036,INDIRECT("'"&amp;E2036&amp;"'!C"&amp;$O$2035&amp;":C"&amp;$O$2037),0)+$O$2035-1),"")</f>
        <v>D561</v>
      </c>
      <c r="D2036" s="826" t="s">
        <v>1350</v>
      </c>
      <c r="E2036" s="826" t="s">
        <v>1516</v>
      </c>
      <c r="F2036" s="826" t="s">
        <v>1383</v>
      </c>
      <c r="G2036" s="1353" t="str">
        <f>IF(T2036&lt;&gt;"","B","")</f>
        <v/>
      </c>
      <c r="H2036" s="1353" t="s">
        <v>1990</v>
      </c>
      <c r="I2036" s="826"/>
      <c r="J2036" s="826"/>
      <c r="K2036" s="826"/>
      <c r="L2036" s="826" t="s">
        <v>1383</v>
      </c>
      <c r="M2036" s="1332">
        <v>1255</v>
      </c>
      <c r="N2036" s="826"/>
      <c r="O2036" s="1669" t="s">
        <v>726</v>
      </c>
      <c r="R2036" s="1350" t="s">
        <v>2047</v>
      </c>
      <c r="T2036" s="1559" t="str">
        <f t="shared" si="332"/>
        <v/>
      </c>
    </row>
    <row r="2037" spans="1:20" s="1348" customFormat="1" x14ac:dyDescent="0.25">
      <c r="A2037" s="846" t="s">
        <v>1381</v>
      </c>
      <c r="B2037" s="826" t="str">
        <f ca="1">_xlfn.CONCAT(IFERROR(SUBSTITUTE(ADDRESS(1,MATCH(A2037,INDIRECT("'"&amp;E2037&amp;"'"&amp;"!A" &amp; $O$2035+ 2 &amp; ":Z" &amp; $O$2035 + 2),0),4),1,""),""),$O$2035+ 2)</f>
        <v>J561</v>
      </c>
      <c r="C2037" s="826" t="str">
        <f ca="1">_xlfn.CONCAT(IFERROR(SUBSTITUTE(ADDRESS(1,MATCH(A2037,INDIRECT("'"&amp;E2037&amp;"'"&amp;"!A" &amp; $O$2035+ 2 &amp; ":Z" &amp; $O$2035 + 2),0),4),1,""),""),$O$2035+ 3)</f>
        <v>J562</v>
      </c>
      <c r="D2037" s="826" t="s">
        <v>1350</v>
      </c>
      <c r="E2037" s="826" t="s">
        <v>1516</v>
      </c>
      <c r="F2037" s="826" t="s">
        <v>1992</v>
      </c>
      <c r="G2037" s="1353" t="str">
        <f>IF(T2037&lt;&gt;"","I","")</f>
        <v/>
      </c>
      <c r="H2037" s="1353" t="s">
        <v>1990</v>
      </c>
      <c r="I2037" s="826"/>
      <c r="J2037" s="826"/>
      <c r="K2037" s="826"/>
      <c r="L2037" s="826" t="s">
        <v>1381</v>
      </c>
      <c r="M2037" s="1332">
        <v>1256</v>
      </c>
      <c r="N2037" s="826"/>
      <c r="O2037" s="1669">
        <f>'Configurable Tab'!I42</f>
        <v>572</v>
      </c>
      <c r="R2037" s="1350" t="s">
        <v>2047</v>
      </c>
      <c r="T2037" s="1559" t="str">
        <f t="shared" si="332"/>
        <v/>
      </c>
    </row>
    <row r="2038" spans="1:20" s="1348" customFormat="1" x14ac:dyDescent="0.25">
      <c r="A2038" s="846" t="s">
        <v>1382</v>
      </c>
      <c r="B2038" s="826" t="str">
        <f ca="1">_xlfn.CONCAT(IFERROR(SUBSTITUTE(ADDRESS(1,MATCH(A2038,INDIRECT("'"&amp;E2038&amp;"'"&amp;"!A" &amp; $O$2035+ 2 &amp; ":Z" &amp; $O$2035 + 2),0),4),1,""),""),$O$2035+ 2)</f>
        <v>N561</v>
      </c>
      <c r="C2038" s="826" t="str">
        <f ca="1">_xlfn.CONCAT(IFERROR(SUBSTITUTE(ADDRESS(1,MATCH(A2038,INDIRECT("'"&amp;E2038&amp;"'"&amp;"!A" &amp; $O$2035+ 2 &amp; ":Z" &amp; $O$2035 + 2),0),4),1,""),""),$O$2035+ 3)</f>
        <v>N562</v>
      </c>
      <c r="D2038" s="826" t="s">
        <v>1350</v>
      </c>
      <c r="E2038" s="826" t="s">
        <v>1516</v>
      </c>
      <c r="F2038" s="826" t="s">
        <v>1382</v>
      </c>
      <c r="G2038" s="1353" t="str">
        <f>IF(T2038&lt;&gt;"",IF(Q2037="Credit Memo","J",IF(Q2037="Check","K","")),"")</f>
        <v/>
      </c>
      <c r="H2038" s="1353" t="s">
        <v>1990</v>
      </c>
      <c r="I2038" s="826"/>
      <c r="J2038" s="826"/>
      <c r="K2038" s="826"/>
      <c r="L2038" s="826" t="s">
        <v>1382</v>
      </c>
      <c r="M2038" s="1332">
        <v>1257</v>
      </c>
      <c r="N2038" s="826"/>
      <c r="O2038" s="1348" t="s">
        <v>2030</v>
      </c>
      <c r="R2038" s="1350" t="s">
        <v>2047</v>
      </c>
      <c r="T2038" s="1559" t="str">
        <f t="shared" si="332"/>
        <v/>
      </c>
    </row>
    <row r="2039" spans="1:20" s="1348" customFormat="1" x14ac:dyDescent="0.25">
      <c r="A2039" s="846" t="s">
        <v>1385</v>
      </c>
      <c r="B2039" s="826" t="str">
        <f ca="1">IFERROR(_xlfn.CONCAT("C",MATCH(A2039,INDIRECT("'"&amp;E2039&amp;"'!C"&amp;$O$2035&amp;":C"&amp;$O$2037),0)+$O$2035-1),"")</f>
        <v>C565</v>
      </c>
      <c r="C2039" s="826" t="str">
        <f ca="1">IFERROR(_xlfn.CONCAT("D",MATCH(A2039,INDIRECT("'"&amp;E2039&amp;"'!C"&amp;$O$2035&amp;":C"&amp;$O$2037),0)+$O$2035-1),"")</f>
        <v>D565</v>
      </c>
      <c r="D2039" s="826" t="s">
        <v>1350</v>
      </c>
      <c r="E2039" s="826" t="s">
        <v>1516</v>
      </c>
      <c r="F2039" s="826" t="s">
        <v>1385</v>
      </c>
      <c r="G2039" s="1353" t="str">
        <f>IF(T2039&lt;&gt;"","C","")</f>
        <v/>
      </c>
      <c r="H2039" s="1353" t="s">
        <v>1990</v>
      </c>
      <c r="I2039" s="826"/>
      <c r="J2039" s="826"/>
      <c r="K2039" s="826"/>
      <c r="L2039" s="826" t="s">
        <v>1385</v>
      </c>
      <c r="M2039" s="1332">
        <v>1258</v>
      </c>
      <c r="N2039" s="826"/>
      <c r="R2039" s="1350" t="s">
        <v>2047</v>
      </c>
      <c r="T2039" s="1559" t="str">
        <f t="shared" si="332"/>
        <v/>
      </c>
    </row>
    <row r="2040" spans="1:20" s="1348" customFormat="1" x14ac:dyDescent="0.25">
      <c r="A2040" s="846" t="s">
        <v>1386</v>
      </c>
      <c r="B2040" s="826" t="str">
        <f ca="1">IFERROR(_xlfn.CONCAT("C",MATCH(A2040,INDIRECT("'"&amp;E2040&amp;"'!C"&amp;$O$2035&amp;":C"&amp;$O$2037),0)+$O$2035-1),"")</f>
        <v>C567</v>
      </c>
      <c r="C2040" s="826" t="str">
        <f ca="1">IFERROR(_xlfn.CONCAT("D",MATCH(A2040,INDIRECT("'"&amp;E2040&amp;"'!C"&amp;$O$2035&amp;":C"&amp;$O$2037),0)+$O$2035-1),"")</f>
        <v>D567</v>
      </c>
      <c r="D2040" s="826" t="s">
        <v>1350</v>
      </c>
      <c r="E2040" s="826" t="s">
        <v>1516</v>
      </c>
      <c r="F2040" s="826" t="s">
        <v>1386</v>
      </c>
      <c r="G2040" s="1353" t="str">
        <f>IF(T2040&lt;&gt;"","D","")</f>
        <v/>
      </c>
      <c r="H2040" s="1353" t="s">
        <v>1990</v>
      </c>
      <c r="I2040" s="826"/>
      <c r="J2040" s="826"/>
      <c r="K2040" s="826"/>
      <c r="L2040" s="826" t="s">
        <v>1386</v>
      </c>
      <c r="M2040" s="1332">
        <v>1259</v>
      </c>
      <c r="N2040" s="826"/>
      <c r="R2040" s="1350" t="s">
        <v>2047</v>
      </c>
      <c r="T2040" s="1559" t="str">
        <f t="shared" si="332"/>
        <v/>
      </c>
    </row>
    <row r="2041" spans="1:20" s="1348" customFormat="1" x14ac:dyDescent="0.25">
      <c r="A2041" s="846" t="s">
        <v>1396</v>
      </c>
      <c r="B2041" s="826" t="str">
        <f ca="1">_xlfn.CONCAT(IFERROR(SUBSTITUTE(ADDRESS(1,MATCH(A2041,INDIRECT("'"&amp;E2041&amp;"'"&amp;"!A" &amp; $O$2035+ 5 &amp; ":Z" &amp; $O$2035 + 5),0),4),1,""),""),$O$2035+ 5)</f>
        <v>H564</v>
      </c>
      <c r="C2041" s="826" t="str">
        <f ca="1">_xlfn.CONCAT(IFERROR(SUBSTITUTE(ADDRESS(1,MATCH(A2041,INDIRECT("'"&amp;E2041&amp;"'"&amp;"!A" &amp; $O$2035+ 5 &amp; ":Z" &amp; $O$2035 + 5),0),4),1,""),""),$O$2035+ 6)</f>
        <v>H565</v>
      </c>
      <c r="D2041" s="826" t="s">
        <v>1350</v>
      </c>
      <c r="E2041" s="826" t="s">
        <v>1516</v>
      </c>
      <c r="F2041" s="1353" t="s">
        <v>1396</v>
      </c>
      <c r="G2041" s="1353" t="str">
        <f t="shared" si="329"/>
        <v/>
      </c>
      <c r="H2041" s="1353" t="s">
        <v>1990</v>
      </c>
      <c r="I2041" s="826"/>
      <c r="J2041" s="826"/>
      <c r="K2041" s="826"/>
      <c r="L2041" s="826" t="s">
        <v>1396</v>
      </c>
      <c r="M2041" s="1332">
        <v>1260</v>
      </c>
      <c r="N2041" s="826"/>
      <c r="R2041" s="1350" t="s">
        <v>2047</v>
      </c>
      <c r="T2041" s="1559" t="str">
        <f t="shared" si="332"/>
        <v/>
      </c>
    </row>
    <row r="2042" spans="1:20" s="1348" customFormat="1" x14ac:dyDescent="0.25">
      <c r="A2042" s="846" t="s">
        <v>2005</v>
      </c>
      <c r="B2042" s="826" t="str">
        <f ca="1">_xlfn.CONCAT(IFERROR(SUBSTITUTE(ADDRESS(1,MATCH(A2042,INDIRECT("'"&amp;E2042&amp;"'"&amp;"!A" &amp; $O$2035+ 8 &amp; ":Z" &amp; $O$2035 + 8),0),4),1,""),""),$O$2035+ 8)</f>
        <v>J567</v>
      </c>
      <c r="C2042" s="826" t="str">
        <f ca="1">_xlfn.CONCAT(IFERROR(SUBSTITUTE(ADDRESS(1,MATCH(A2042,INDIRECT("'"&amp;E2042&amp;"'"&amp;"!A" &amp; $O$2035+ 8 &amp; ":Z" &amp; $O$2035 + 8),0),4),1,""),""),$O$2035+ 9)</f>
        <v>J568</v>
      </c>
      <c r="D2042" s="826" t="s">
        <v>1350</v>
      </c>
      <c r="E2042" s="826" t="s">
        <v>1516</v>
      </c>
      <c r="F2042" s="826" t="s">
        <v>2005</v>
      </c>
      <c r="G2042" s="1353" t="str">
        <f>IF(T2042&lt;&gt;"","AQ","")</f>
        <v/>
      </c>
      <c r="H2042" s="1353" t="s">
        <v>1990</v>
      </c>
      <c r="I2042" s="826"/>
      <c r="J2042" s="826"/>
      <c r="K2042" s="826"/>
      <c r="L2042" s="826" t="s">
        <v>2005</v>
      </c>
      <c r="M2042" s="1332">
        <v>1261</v>
      </c>
      <c r="N2042" s="826"/>
      <c r="R2042" s="1350" t="s">
        <v>2047</v>
      </c>
      <c r="T2042" s="1559" t="str">
        <f t="shared" si="332"/>
        <v/>
      </c>
    </row>
    <row r="2043" spans="1:20" s="1348" customFormat="1" x14ac:dyDescent="0.25">
      <c r="A2043" s="846" t="s">
        <v>1482</v>
      </c>
      <c r="B2043" s="826" t="str">
        <f ca="1">_xlfn.CONCAT(IFERROR(SUBSTITUTE(ADDRESS(1,MATCH(A2043,INDIRECT("'"&amp;E2043&amp;"'"&amp;"!A" &amp; $O$2035+ 8 &amp; ":Z" &amp; $O$2035 + 8),0),4),1,""),""),$O$2035+ 8)</f>
        <v>N567</v>
      </c>
      <c r="C2043" s="826" t="str">
        <f ca="1">_xlfn.CONCAT(IFERROR(SUBSTITUTE(ADDRESS(1,MATCH(A2043,INDIRECT("'"&amp;E2043&amp;"'"&amp;"!A" &amp; $O$2035+ 8 &amp; ":Z" &amp; $O$2035 + 8),0),4),1,""),""),$O$2035+ 9)</f>
        <v>N568</v>
      </c>
      <c r="D2043" s="826" t="s">
        <v>1350</v>
      </c>
      <c r="E2043" s="826" t="s">
        <v>1516</v>
      </c>
      <c r="F2043" s="826" t="s">
        <v>2054</v>
      </c>
      <c r="G2043" s="1353" t="str">
        <f>IF(T2043&lt;&gt;"","AA","")</f>
        <v/>
      </c>
      <c r="H2043" s="1353" t="s">
        <v>1990</v>
      </c>
      <c r="I2043" s="826"/>
      <c r="J2043" s="826"/>
      <c r="K2043" s="826"/>
      <c r="L2043" s="826" t="s">
        <v>2006</v>
      </c>
      <c r="M2043" s="1332">
        <v>1262</v>
      </c>
      <c r="N2043" s="826"/>
      <c r="R2043" s="1350" t="s">
        <v>2047</v>
      </c>
      <c r="T2043" s="1559" t="str">
        <f t="shared" si="332"/>
        <v/>
      </c>
    </row>
    <row r="2044" spans="1:20" s="1348" customFormat="1" x14ac:dyDescent="0.25">
      <c r="A2044" s="846" t="s">
        <v>1397</v>
      </c>
      <c r="B2044" s="826" t="str">
        <f ca="1">_xlfn.CONCAT(IFERROR(SUBSTITUTE(ADDRESS(1,MATCH(A2044,INDIRECT("'"&amp;E2044&amp;"'"&amp;"!A" &amp; $O$2035+ 2 &amp; ":Z" &amp; $O$2035 + 2),0),4),1,""),""),$O$2035+ 2)</f>
        <v>L561</v>
      </c>
      <c r="C2044" s="826" t="str">
        <f ca="1">_xlfn.CONCAT(IFERROR(SUBSTITUTE(ADDRESS(1,MATCH(A2044,INDIRECT("'"&amp;E2044&amp;"'"&amp;"!A" &amp; $O$2035+ 2 &amp; ":Z" &amp; $O$2035 + 2),0),4),1,""),""),$O$2035+ 3)</f>
        <v>L562</v>
      </c>
      <c r="D2044" s="826" t="s">
        <v>1350</v>
      </c>
      <c r="E2044" s="826" t="s">
        <v>1516</v>
      </c>
      <c r="F2044" s="826" t="s">
        <v>1993</v>
      </c>
      <c r="G2044" s="1353" t="str">
        <f>IF(T2044&lt;&gt;"","H","")</f>
        <v/>
      </c>
      <c r="H2044" s="1353" t="s">
        <v>1990</v>
      </c>
      <c r="I2044" s="826"/>
      <c r="J2044" s="826"/>
      <c r="K2044" s="826"/>
      <c r="L2044" s="826" t="s">
        <v>1397</v>
      </c>
      <c r="M2044" s="1332">
        <v>1263</v>
      </c>
      <c r="N2044" s="826"/>
      <c r="R2044" s="1350" t="s">
        <v>2047</v>
      </c>
      <c r="T2044" s="1559" t="str">
        <f t="shared" si="332"/>
        <v/>
      </c>
    </row>
    <row r="2045" spans="1:20" s="1348" customFormat="1" x14ac:dyDescent="0.25">
      <c r="A2045" s="849" t="s">
        <v>1491</v>
      </c>
      <c r="B2045" s="826" t="str">
        <f ca="1">IFERROR(_xlfn.CONCAT("C",MATCH(A2045,INDIRECT("'"&amp;E2045&amp;"'!C"&amp;$O$2046&amp;":C"&amp;$O$2048),0)+$O$2046-1),"")</f>
        <v>C577</v>
      </c>
      <c r="C2045" s="826" t="str">
        <f ca="1">IFERROR(_xlfn.CONCAT("D",MATCH(A2045,INDIRECT("'"&amp;E2045&amp;"'!C"&amp;$O$2046&amp;":C"&amp;$O$2048),0)+$O$2046-1),"")</f>
        <v>D577</v>
      </c>
      <c r="D2045" s="826" t="s">
        <v>1350</v>
      </c>
      <c r="E2045" s="826" t="s">
        <v>1516</v>
      </c>
      <c r="F2045" s="826" t="s">
        <v>1491</v>
      </c>
      <c r="G2045" s="1353" t="str">
        <f>IF(T2045&lt;&gt;"","A","")</f>
        <v/>
      </c>
      <c r="H2045" s="1353" t="s">
        <v>1990</v>
      </c>
      <c r="I2045" s="826"/>
      <c r="J2045" s="826"/>
      <c r="K2045" s="826"/>
      <c r="L2045" s="826" t="s">
        <v>1491</v>
      </c>
      <c r="M2045" s="1332">
        <v>1264</v>
      </c>
      <c r="N2045" s="826"/>
      <c r="O2045" s="1669" t="s">
        <v>725</v>
      </c>
      <c r="R2045" s="1350" t="s">
        <v>2048</v>
      </c>
      <c r="T2045" s="1353" t="str">
        <f>IF(Q$2046="Yes",41,"")</f>
        <v/>
      </c>
    </row>
    <row r="2046" spans="1:20" s="1348" customFormat="1" x14ac:dyDescent="0.25">
      <c r="A2046" s="849" t="s">
        <v>1705</v>
      </c>
      <c r="B2046" s="826" t="str">
        <f ca="1">_xlfn.CONCAT(IFERROR(SUBSTITUTE(ADDRESS(1,MATCH(A2046,INDIRECT("'"&amp;E2046&amp;"'"&amp;"!A" &amp; $O$2046+ 11 &amp; ":Z" &amp; $O$2046+ 11),0),4),1,""),""),$O$2046+11)</f>
        <v>T584</v>
      </c>
      <c r="C2046" s="826" t="str">
        <f ca="1">_xlfn.CONCAT(IFERROR(SUBSTITUTE(ADDRESS(1,MATCH(A2046,INDIRECT("'"&amp;E2046&amp;"'"&amp;"!A" &amp; $O$2046+ 11 &amp; ":Z" &amp; $O$2046+ 11),0),4),1,""),""),$O$2046+12)</f>
        <v>T585</v>
      </c>
      <c r="D2046" s="826" t="s">
        <v>1350</v>
      </c>
      <c r="E2046" s="826" t="s">
        <v>1516</v>
      </c>
      <c r="F2046" s="826"/>
      <c r="G2046" s="1353"/>
      <c r="H2046" s="1353"/>
      <c r="I2046" s="826"/>
      <c r="J2046" s="826"/>
      <c r="K2046" s="826"/>
      <c r="L2046" s="826" t="s">
        <v>1705</v>
      </c>
      <c r="M2046" s="1332">
        <v>1265</v>
      </c>
      <c r="N2046" s="826"/>
      <c r="O2046" s="1669">
        <f>'Configurable Tab'!H43</f>
        <v>573</v>
      </c>
      <c r="P2046" s="18" t="str">
        <f>'Configurable Tab'!J43</f>
        <v>No</v>
      </c>
      <c r="Q2046" s="1351" t="s">
        <v>648</v>
      </c>
      <c r="R2046" s="1350" t="s">
        <v>2048</v>
      </c>
      <c r="T2046" s="1353" t="str">
        <f t="shared" ref="T2046:T2055" si="333">IF(Q$2046="Yes",41,"")</f>
        <v/>
      </c>
    </row>
    <row r="2047" spans="1:20" s="1348" customFormat="1" x14ac:dyDescent="0.25">
      <c r="A2047" s="849" t="s">
        <v>1383</v>
      </c>
      <c r="B2047" s="826" t="str">
        <f ca="1">IFERROR(_xlfn.CONCAT("C",MATCH(A2047,INDIRECT("'"&amp;E2047&amp;"'!C"&amp;$O$2046&amp;":C"&amp;$O$2048),0)+$O$2046-1),"")</f>
        <v>C575</v>
      </c>
      <c r="C2047" s="826" t="str">
        <f ca="1">IFERROR(_xlfn.CONCAT("D",MATCH(A2047,INDIRECT("'"&amp;E2047&amp;"'!C"&amp;$O$2046&amp;":C"&amp;$O$2048),0)+$O$2046-1),"")</f>
        <v>D575</v>
      </c>
      <c r="D2047" s="826" t="s">
        <v>1350</v>
      </c>
      <c r="E2047" s="826" t="s">
        <v>1516</v>
      </c>
      <c r="F2047" s="826" t="s">
        <v>1383</v>
      </c>
      <c r="G2047" s="1353" t="str">
        <f>IF(T2047&lt;&gt;"","B","")</f>
        <v/>
      </c>
      <c r="H2047" s="1353" t="s">
        <v>1990</v>
      </c>
      <c r="I2047" s="826"/>
      <c r="J2047" s="826"/>
      <c r="K2047" s="826"/>
      <c r="L2047" s="826" t="s">
        <v>1383</v>
      </c>
      <c r="M2047" s="1332">
        <v>1266</v>
      </c>
      <c r="N2047" s="826"/>
      <c r="O2047" s="1669" t="s">
        <v>726</v>
      </c>
      <c r="R2047" s="1350" t="s">
        <v>2048</v>
      </c>
      <c r="T2047" s="1559" t="str">
        <f t="shared" si="333"/>
        <v/>
      </c>
    </row>
    <row r="2048" spans="1:20" s="1348" customFormat="1" x14ac:dyDescent="0.25">
      <c r="A2048" s="849" t="s">
        <v>1381</v>
      </c>
      <c r="B2048" s="826" t="str">
        <f ca="1">_xlfn.CONCAT(IFERROR(SUBSTITUTE(ADDRESS(1,MATCH(A2048,INDIRECT("'"&amp;E2048&amp;"'"&amp;"!A" &amp; $O$2046+ 2 &amp; ":Z" &amp; $O$2046+ 2),0),4),1,""),""),$O$2046+2)</f>
        <v>J575</v>
      </c>
      <c r="C2048" s="826" t="str">
        <f ca="1">_xlfn.CONCAT(IFERROR(SUBSTITUTE(ADDRESS(1,MATCH(A2048,INDIRECT("'"&amp;E2048&amp;"'"&amp;"!A" &amp; $O$2046+ 2 &amp; ":Z" &amp; $O$2046+ 2),0),4),1,""),""),$O$2046+3)</f>
        <v>J576</v>
      </c>
      <c r="D2048" s="826" t="s">
        <v>1350</v>
      </c>
      <c r="E2048" s="826" t="s">
        <v>1516</v>
      </c>
      <c r="F2048" s="826" t="s">
        <v>1992</v>
      </c>
      <c r="G2048" s="1353" t="str">
        <f>IF(T2048&lt;&gt;"","I","")</f>
        <v/>
      </c>
      <c r="H2048" s="1353" t="s">
        <v>1990</v>
      </c>
      <c r="I2048" s="826"/>
      <c r="J2048" s="826"/>
      <c r="K2048" s="826"/>
      <c r="L2048" s="826" t="s">
        <v>1381</v>
      </c>
      <c r="M2048" s="1332">
        <v>1267</v>
      </c>
      <c r="N2048" s="826"/>
      <c r="O2048" s="1669">
        <f>'Configurable Tab'!I43</f>
        <v>586</v>
      </c>
      <c r="R2048" s="1350" t="s">
        <v>2048</v>
      </c>
      <c r="T2048" s="1559" t="str">
        <f t="shared" si="333"/>
        <v/>
      </c>
    </row>
    <row r="2049" spans="1:20" s="1348" customFormat="1" x14ac:dyDescent="0.25">
      <c r="A2049" s="849" t="s">
        <v>1382</v>
      </c>
      <c r="B2049" s="826" t="str">
        <f ca="1">_xlfn.CONCAT(IFERROR(SUBSTITUTE(ADDRESS(1,MATCH(A2049,INDIRECT("'"&amp;E2049&amp;"'"&amp;"!A" &amp; $O$2046+ 2 &amp; ":Z" &amp; $O$2046+ 2),0),4),1,""),""),$O$2046+2)</f>
        <v>N575</v>
      </c>
      <c r="C2049" s="826" t="str">
        <f ca="1">_xlfn.CONCAT(IFERROR(SUBSTITUTE(ADDRESS(1,MATCH(A2049,INDIRECT("'"&amp;E2049&amp;"'"&amp;"!A" &amp; $O$2046+ 2 &amp; ":Z" &amp; $O$2046+ 2),0),4),1,""),""),$O$2046+3)</f>
        <v>N576</v>
      </c>
      <c r="D2049" s="826" t="s">
        <v>1350</v>
      </c>
      <c r="E2049" s="826" t="s">
        <v>1516</v>
      </c>
      <c r="F2049" s="826" t="s">
        <v>1382</v>
      </c>
      <c r="G2049" s="1353" t="str">
        <f>IF(T2049&lt;&gt;"",IF(Q2048="Credit Memo","J",IF(Q2048="Check","K","")),"")</f>
        <v/>
      </c>
      <c r="H2049" s="1353" t="s">
        <v>1990</v>
      </c>
      <c r="I2049" s="826"/>
      <c r="J2049" s="826"/>
      <c r="K2049" s="826"/>
      <c r="L2049" s="826" t="s">
        <v>1382</v>
      </c>
      <c r="M2049" s="1332">
        <v>1268</v>
      </c>
      <c r="N2049" s="826"/>
      <c r="O2049" s="1348" t="s">
        <v>2031</v>
      </c>
      <c r="R2049" s="1350" t="s">
        <v>2048</v>
      </c>
      <c r="T2049" s="1559" t="str">
        <f t="shared" si="333"/>
        <v/>
      </c>
    </row>
    <row r="2050" spans="1:20" s="1348" customFormat="1" x14ac:dyDescent="0.25">
      <c r="A2050" s="849" t="s">
        <v>1385</v>
      </c>
      <c r="B2050" s="826" t="str">
        <f ca="1">IFERROR(_xlfn.CONCAT("C",MATCH(A2050,INDIRECT("'"&amp;E2050&amp;"'!C"&amp;$O$2046&amp;":C"&amp;$O$2048),0)+$O$2046-1),"")</f>
        <v>C579</v>
      </c>
      <c r="C2050" s="826" t="str">
        <f ca="1">IFERROR(_xlfn.CONCAT("D",MATCH(A2050,INDIRECT("'"&amp;E2050&amp;"'!C"&amp;$O$2046&amp;":C"&amp;$O$2048),0)+$O$2046-1),"")</f>
        <v>D579</v>
      </c>
      <c r="D2050" s="826" t="s">
        <v>1350</v>
      </c>
      <c r="E2050" s="826" t="s">
        <v>1516</v>
      </c>
      <c r="F2050" s="826" t="s">
        <v>1385</v>
      </c>
      <c r="G2050" s="1353" t="str">
        <f>IF(T2050&lt;&gt;"","C","")</f>
        <v/>
      </c>
      <c r="H2050" s="1353" t="s">
        <v>1990</v>
      </c>
      <c r="I2050" s="826"/>
      <c r="J2050" s="826"/>
      <c r="K2050" s="826"/>
      <c r="L2050" s="826" t="s">
        <v>1385</v>
      </c>
      <c r="M2050" s="1332">
        <v>1269</v>
      </c>
      <c r="N2050" s="826"/>
      <c r="R2050" s="1350" t="s">
        <v>2048</v>
      </c>
      <c r="T2050" s="1559" t="str">
        <f t="shared" si="333"/>
        <v/>
      </c>
    </row>
    <row r="2051" spans="1:20" s="1348" customFormat="1" x14ac:dyDescent="0.25">
      <c r="A2051" s="849" t="s">
        <v>1386</v>
      </c>
      <c r="B2051" s="826" t="str">
        <f ca="1">IFERROR(_xlfn.CONCAT("C",MATCH(A2051,INDIRECT("'"&amp;E2051&amp;"'!C"&amp;$O$2046&amp;":C"&amp;$O$2048),0)+$O$2046-1),"")</f>
        <v>C581</v>
      </c>
      <c r="C2051" s="826" t="str">
        <f ca="1">IFERROR(_xlfn.CONCAT("D",MATCH(A2051,INDIRECT("'"&amp;E2051&amp;"'!C"&amp;$O$2046&amp;":C"&amp;$O$2048),0)+$O$2046-1),"")</f>
        <v>D581</v>
      </c>
      <c r="D2051" s="826" t="s">
        <v>1350</v>
      </c>
      <c r="E2051" s="826" t="s">
        <v>1516</v>
      </c>
      <c r="F2051" s="826" t="s">
        <v>1386</v>
      </c>
      <c r="G2051" s="1353" t="str">
        <f>IF(T2051&lt;&gt;"","D","")</f>
        <v/>
      </c>
      <c r="H2051" s="1353" t="s">
        <v>1990</v>
      </c>
      <c r="I2051" s="826"/>
      <c r="J2051" s="826"/>
      <c r="K2051" s="826"/>
      <c r="L2051" s="826" t="s">
        <v>1386</v>
      </c>
      <c r="M2051" s="1332">
        <v>1270</v>
      </c>
      <c r="N2051" s="826"/>
      <c r="R2051" s="1350" t="s">
        <v>2048</v>
      </c>
      <c r="T2051" s="1559" t="str">
        <f t="shared" si="333"/>
        <v/>
      </c>
    </row>
    <row r="2052" spans="1:20" s="1348" customFormat="1" x14ac:dyDescent="0.25">
      <c r="A2052" s="849" t="s">
        <v>1396</v>
      </c>
      <c r="B2052" s="826" t="str">
        <f ca="1">_xlfn.CONCAT(IFERROR(SUBSTITUTE(ADDRESS(1,MATCH(A2052,INDIRECT("'"&amp;E2052&amp;"'"&amp;"!A" &amp; $O$2046+ 5 &amp; ":Z" &amp; $O$2046+ 5),0),4),1,""),""),$O$2046+5)</f>
        <v>H578</v>
      </c>
      <c r="C2052" s="826" t="str">
        <f ca="1">_xlfn.CONCAT(IFERROR(SUBSTITUTE(ADDRESS(1,MATCH(A2052,INDIRECT("'"&amp;E2052&amp;"'"&amp;"!A" &amp; $O$2046+ 5 &amp; ":Z" &amp; $O$2046+ 5),0),4),1,""),""),$O$2046+6)</f>
        <v>H579</v>
      </c>
      <c r="D2052" s="826" t="s">
        <v>1350</v>
      </c>
      <c r="E2052" s="826" t="s">
        <v>1516</v>
      </c>
      <c r="F2052" s="1353" t="s">
        <v>1396</v>
      </c>
      <c r="G2052" s="1353" t="str">
        <f t="shared" si="329"/>
        <v/>
      </c>
      <c r="H2052" s="1353" t="s">
        <v>1990</v>
      </c>
      <c r="I2052" s="826"/>
      <c r="J2052" s="826"/>
      <c r="K2052" s="826"/>
      <c r="L2052" s="826" t="s">
        <v>1396</v>
      </c>
      <c r="M2052" s="1332">
        <v>1271</v>
      </c>
      <c r="N2052" s="826"/>
      <c r="R2052" s="1350" t="s">
        <v>2048</v>
      </c>
      <c r="T2052" s="1559" t="str">
        <f t="shared" si="333"/>
        <v/>
      </c>
    </row>
    <row r="2053" spans="1:20" s="1348" customFormat="1" x14ac:dyDescent="0.25">
      <c r="A2053" s="849" t="s">
        <v>2005</v>
      </c>
      <c r="B2053" s="826" t="str">
        <f ca="1">_xlfn.CONCAT(IFERROR(SUBSTITUTE(ADDRESS(1,MATCH(A2053,INDIRECT("'"&amp;E2053&amp;"'"&amp;"!A" &amp; $O$2046+ 8 &amp; ":Z" &amp; $O$2046+8),0),4),1,""),""),$O$2046+8)</f>
        <v>J581</v>
      </c>
      <c r="C2053" s="826" t="str">
        <f ca="1">_xlfn.CONCAT(IFERROR(SUBSTITUTE(ADDRESS(1,MATCH(A2053,INDIRECT("'"&amp;E2053&amp;"'"&amp;"!A" &amp; $O$2046+ 8 &amp; ":Z" &amp; $O$2046+8),0),4),1,""),""),$O$2046+9)</f>
        <v>J582</v>
      </c>
      <c r="D2053" s="826" t="s">
        <v>1350</v>
      </c>
      <c r="E2053" s="826" t="s">
        <v>1516</v>
      </c>
      <c r="F2053" s="826" t="s">
        <v>2005</v>
      </c>
      <c r="G2053" s="1353" t="str">
        <f>IF(T2053&lt;&gt;"","AQ","")</f>
        <v/>
      </c>
      <c r="H2053" s="1353" t="s">
        <v>1990</v>
      </c>
      <c r="I2053" s="826"/>
      <c r="J2053" s="826"/>
      <c r="K2053" s="826"/>
      <c r="L2053" s="826" t="s">
        <v>2005</v>
      </c>
      <c r="M2053" s="1332">
        <v>1272</v>
      </c>
      <c r="N2053" s="826"/>
      <c r="R2053" s="1350" t="s">
        <v>2048</v>
      </c>
      <c r="T2053" s="1559" t="str">
        <f t="shared" si="333"/>
        <v/>
      </c>
    </row>
    <row r="2054" spans="1:20" s="1348" customFormat="1" x14ac:dyDescent="0.25">
      <c r="A2054" s="849" t="s">
        <v>1482</v>
      </c>
      <c r="B2054" s="826" t="str">
        <f ca="1">_xlfn.CONCAT(IFERROR(SUBSTITUTE(ADDRESS(1,MATCH(A2054,INDIRECT("'"&amp;E2054&amp;"'"&amp;"!A" &amp; $O$2046+ 8 &amp; ":Z" &amp; $O$2046+8),0),4),1,""),""),$O$2046+8)</f>
        <v>N581</v>
      </c>
      <c r="C2054" s="826" t="str">
        <f ca="1">_xlfn.CONCAT(IFERROR(SUBSTITUTE(ADDRESS(1,MATCH(A2054,INDIRECT("'"&amp;E2054&amp;"'"&amp;"!A" &amp; $O$2046+ 8 &amp; ":Z" &amp; $O$2046+8),0),4),1,""),""),$O$2046+9)</f>
        <v>N582</v>
      </c>
      <c r="D2054" s="826" t="s">
        <v>1350</v>
      </c>
      <c r="E2054" s="826" t="s">
        <v>1516</v>
      </c>
      <c r="F2054" s="826" t="s">
        <v>2054</v>
      </c>
      <c r="G2054" s="1353" t="str">
        <f>IF(T2054&lt;&gt;"","AA","")</f>
        <v/>
      </c>
      <c r="H2054" s="1353" t="s">
        <v>1990</v>
      </c>
      <c r="I2054" s="826"/>
      <c r="J2054" s="826"/>
      <c r="K2054" s="826"/>
      <c r="L2054" s="826" t="s">
        <v>2006</v>
      </c>
      <c r="M2054" s="1332">
        <v>1273</v>
      </c>
      <c r="N2054" s="826"/>
      <c r="R2054" s="1350" t="s">
        <v>2048</v>
      </c>
      <c r="T2054" s="1559" t="str">
        <f t="shared" si="333"/>
        <v/>
      </c>
    </row>
    <row r="2055" spans="1:20" s="1348" customFormat="1" x14ac:dyDescent="0.25">
      <c r="A2055" s="849" t="s">
        <v>1397</v>
      </c>
      <c r="B2055" s="826" t="str">
        <f ca="1">_xlfn.CONCAT(IFERROR(SUBSTITUTE(ADDRESS(1,MATCH(A2055,INDIRECT("'"&amp;E2055&amp;"'"&amp;"!A" &amp; $O$2046+ 2 &amp; ":Z" &amp; $O$2046+ 2),0),4),1,""),""),$O$2046+2)</f>
        <v>L575</v>
      </c>
      <c r="C2055" s="826" t="str">
        <f ca="1">_xlfn.CONCAT(IFERROR(SUBSTITUTE(ADDRESS(1,MATCH(A2055,INDIRECT("'"&amp;E2055&amp;"'"&amp;"!A" &amp; $O$2046+ 2 &amp; ":Z" &amp; $O$2046+ 2),0),4),1,""),""),$O$2046+3)</f>
        <v>L576</v>
      </c>
      <c r="D2055" s="826" t="s">
        <v>1350</v>
      </c>
      <c r="E2055" s="826" t="s">
        <v>1516</v>
      </c>
      <c r="F2055" s="826" t="s">
        <v>1993</v>
      </c>
      <c r="G2055" s="1353" t="str">
        <f>IF(T2055&lt;&gt;"","H","")</f>
        <v/>
      </c>
      <c r="H2055" s="1353" t="s">
        <v>1990</v>
      </c>
      <c r="I2055" s="826"/>
      <c r="J2055" s="826"/>
      <c r="K2055" s="826"/>
      <c r="L2055" s="826" t="s">
        <v>1397</v>
      </c>
      <c r="M2055" s="1332">
        <v>1274</v>
      </c>
      <c r="N2055" s="826"/>
      <c r="R2055" s="1350" t="s">
        <v>2048</v>
      </c>
      <c r="T2055" s="1559" t="str">
        <f t="shared" si="333"/>
        <v/>
      </c>
    </row>
    <row r="2056" spans="1:20" s="1348" customFormat="1" x14ac:dyDescent="0.25">
      <c r="A2056" s="846" t="s">
        <v>1491</v>
      </c>
      <c r="B2056" s="826" t="str">
        <f ca="1">IFERROR(_xlfn.CONCAT("C",MATCH(A2056,INDIRECT("'"&amp;E2056&amp;"'!C"&amp;$O$2057&amp;":C"&amp;$O$2059),0)+$O$2057-1),"")</f>
        <v>C591</v>
      </c>
      <c r="C2056" s="826" t="str">
        <f ca="1">IFERROR(_xlfn.CONCAT("D",MATCH(A2056,INDIRECT("'"&amp;E2056&amp;"'!C"&amp;$O$2057&amp;":C"&amp;$O$2059),0)+$O$2057-1),"")</f>
        <v>D591</v>
      </c>
      <c r="D2056" s="826" t="s">
        <v>1350</v>
      </c>
      <c r="E2056" s="826" t="s">
        <v>1516</v>
      </c>
      <c r="F2056" s="826" t="s">
        <v>1491</v>
      </c>
      <c r="G2056" s="1353" t="str">
        <f>IF(T2056&lt;&gt;"","A","")</f>
        <v/>
      </c>
      <c r="H2056" s="1353" t="s">
        <v>1990</v>
      </c>
      <c r="I2056" s="826"/>
      <c r="J2056" s="826"/>
      <c r="K2056" s="826"/>
      <c r="L2056" s="826" t="s">
        <v>1491</v>
      </c>
      <c r="M2056" s="1332">
        <v>1275</v>
      </c>
      <c r="N2056" s="826"/>
      <c r="O2056" s="1669" t="s">
        <v>725</v>
      </c>
      <c r="R2056" s="1350" t="s">
        <v>2049</v>
      </c>
      <c r="T2056" s="1353" t="str">
        <f>IF(Q$2057="Yes",42,"")</f>
        <v/>
      </c>
    </row>
    <row r="2057" spans="1:20" s="1348" customFormat="1" x14ac:dyDescent="0.25">
      <c r="A2057" s="846" t="s">
        <v>1705</v>
      </c>
      <c r="B2057" s="826" t="str">
        <f ca="1">_xlfn.CONCAT(IFERROR(SUBSTITUTE(ADDRESS(1,MATCH(A2057,INDIRECT("'"&amp;E2057&amp;"'"&amp;"!A" &amp; $O$2057+ 11 &amp; ":Z" &amp; $O$2057+ 11),0),4),1,""),""),$O$2057+11)</f>
        <v>T598</v>
      </c>
      <c r="C2057" s="826" t="str">
        <f ca="1">_xlfn.CONCAT(IFERROR(SUBSTITUTE(ADDRESS(1,MATCH(A2057,INDIRECT("'"&amp;E2057&amp;"'"&amp;"!A" &amp; $O$2057+ 11 &amp; ":Z" &amp; $O$2057+ 11),0),4),1,""),""),$O$2057+12)</f>
        <v>T599</v>
      </c>
      <c r="D2057" s="826" t="s">
        <v>1350</v>
      </c>
      <c r="E2057" s="826" t="s">
        <v>1516</v>
      </c>
      <c r="F2057" s="826"/>
      <c r="G2057" s="1353"/>
      <c r="H2057" s="1353"/>
      <c r="I2057" s="826"/>
      <c r="J2057" s="826"/>
      <c r="K2057" s="826"/>
      <c r="L2057" s="826" t="s">
        <v>1705</v>
      </c>
      <c r="M2057" s="1332">
        <v>1276</v>
      </c>
      <c r="N2057" s="826"/>
      <c r="O2057" s="1669">
        <f>'Configurable Tab'!H44</f>
        <v>587</v>
      </c>
      <c r="P2057" s="18" t="str">
        <f>'Configurable Tab'!J44</f>
        <v>No</v>
      </c>
      <c r="Q2057" s="1351" t="s">
        <v>648</v>
      </c>
      <c r="R2057" s="1350" t="s">
        <v>2049</v>
      </c>
      <c r="T2057" s="1353" t="str">
        <f t="shared" ref="T2057:T2066" si="334">IF(Q$2057="Yes",42,"")</f>
        <v/>
      </c>
    </row>
    <row r="2058" spans="1:20" s="1348" customFormat="1" x14ac:dyDescent="0.25">
      <c r="A2058" s="846" t="s">
        <v>1383</v>
      </c>
      <c r="B2058" s="826" t="str">
        <f ca="1">IFERROR(_xlfn.CONCAT("C",MATCH(A2058,INDIRECT("'"&amp;E2058&amp;"'!C"&amp;$O$2057&amp;":C"&amp;$O$2059),0)+$O$2057-1),"")</f>
        <v>C589</v>
      </c>
      <c r="C2058" s="826" t="str">
        <f ca="1">IFERROR(_xlfn.CONCAT("D",MATCH(A2058,INDIRECT("'"&amp;E2058&amp;"'!C"&amp;$O$2057&amp;":C"&amp;$O$2059),0)+$O$2057-1),"")</f>
        <v>D589</v>
      </c>
      <c r="D2058" s="826" t="s">
        <v>1350</v>
      </c>
      <c r="E2058" s="826" t="s">
        <v>1516</v>
      </c>
      <c r="F2058" s="826" t="s">
        <v>1383</v>
      </c>
      <c r="G2058" s="1353" t="str">
        <f>IF(T2058&lt;&gt;"","B","")</f>
        <v/>
      </c>
      <c r="H2058" s="1353" t="s">
        <v>1990</v>
      </c>
      <c r="I2058" s="826"/>
      <c r="J2058" s="826"/>
      <c r="K2058" s="826"/>
      <c r="L2058" s="826" t="s">
        <v>1383</v>
      </c>
      <c r="M2058" s="1332">
        <v>1277</v>
      </c>
      <c r="N2058" s="826"/>
      <c r="O2058" s="1669" t="s">
        <v>726</v>
      </c>
      <c r="R2058" s="1350" t="s">
        <v>2049</v>
      </c>
      <c r="T2058" s="1559" t="str">
        <f t="shared" si="334"/>
        <v/>
      </c>
    </row>
    <row r="2059" spans="1:20" s="1348" customFormat="1" x14ac:dyDescent="0.25">
      <c r="A2059" s="846" t="s">
        <v>1381</v>
      </c>
      <c r="B2059" s="826" t="str">
        <f ca="1">_xlfn.CONCAT(IFERROR(SUBSTITUTE(ADDRESS(1,MATCH(A2059,INDIRECT("'"&amp;E2059&amp;"'"&amp;"!A" &amp; $O$2057+ 2 &amp; ":Z" &amp; $O$2057+ 2),0),4),1,""),""),$O$2057+2)</f>
        <v>J589</v>
      </c>
      <c r="C2059" s="826" t="str">
        <f ca="1">_xlfn.CONCAT(IFERROR(SUBSTITUTE(ADDRESS(1,MATCH(A2059,INDIRECT("'"&amp;E2059&amp;"'"&amp;"!A" &amp; $O$2057+ 2 &amp; ":Z" &amp; $O$2057+ 2),0),4),1,""),""),$O$2057+3)</f>
        <v>J590</v>
      </c>
      <c r="D2059" s="826" t="s">
        <v>1350</v>
      </c>
      <c r="E2059" s="826" t="s">
        <v>1516</v>
      </c>
      <c r="F2059" s="826" t="s">
        <v>1992</v>
      </c>
      <c r="G2059" s="1353" t="str">
        <f>IF(T2059&lt;&gt;"","I","")</f>
        <v/>
      </c>
      <c r="H2059" s="1353" t="s">
        <v>1990</v>
      </c>
      <c r="I2059" s="826"/>
      <c r="J2059" s="826"/>
      <c r="K2059" s="826"/>
      <c r="L2059" s="826" t="s">
        <v>1381</v>
      </c>
      <c r="M2059" s="1332">
        <v>1278</v>
      </c>
      <c r="N2059" s="826"/>
      <c r="O2059" s="1669">
        <f>'Configurable Tab'!I44</f>
        <v>600</v>
      </c>
      <c r="R2059" s="1350" t="s">
        <v>2049</v>
      </c>
      <c r="T2059" s="1559" t="str">
        <f t="shared" si="334"/>
        <v/>
      </c>
    </row>
    <row r="2060" spans="1:20" s="1348" customFormat="1" x14ac:dyDescent="0.25">
      <c r="A2060" s="846" t="s">
        <v>1382</v>
      </c>
      <c r="B2060" s="826" t="str">
        <f ca="1">_xlfn.CONCAT(IFERROR(SUBSTITUTE(ADDRESS(1,MATCH(A2060,INDIRECT("'"&amp;E2060&amp;"'"&amp;"!A" &amp; $O$2057+ 2 &amp; ":Z" &amp; $O$2057+ 2),0),4),1,""),""),$O$2057+2)</f>
        <v>N589</v>
      </c>
      <c r="C2060" s="826" t="str">
        <f ca="1">_xlfn.CONCAT(IFERROR(SUBSTITUTE(ADDRESS(1,MATCH(A2060,INDIRECT("'"&amp;E2060&amp;"'"&amp;"!A" &amp; $O$2057+ 2 &amp; ":Z" &amp; $O$2057+ 2),0),4),1,""),""),$O$2057+3)</f>
        <v>N590</v>
      </c>
      <c r="D2060" s="826" t="s">
        <v>1350</v>
      </c>
      <c r="E2060" s="826" t="s">
        <v>1516</v>
      </c>
      <c r="F2060" s="826" t="s">
        <v>1382</v>
      </c>
      <c r="G2060" s="1353" t="str">
        <f>IF(T2060&lt;&gt;"",IF(Q2059="Credit Memo","J",IF(Q2059="Check","K","")),"")</f>
        <v/>
      </c>
      <c r="H2060" s="1353" t="s">
        <v>1990</v>
      </c>
      <c r="I2060" s="826"/>
      <c r="J2060" s="826"/>
      <c r="K2060" s="826"/>
      <c r="L2060" s="826" t="s">
        <v>1382</v>
      </c>
      <c r="M2060" s="1332">
        <v>1279</v>
      </c>
      <c r="N2060" s="826"/>
      <c r="O2060" s="1348" t="s">
        <v>2032</v>
      </c>
      <c r="R2060" s="1350" t="s">
        <v>2049</v>
      </c>
      <c r="T2060" s="1559" t="str">
        <f t="shared" si="334"/>
        <v/>
      </c>
    </row>
    <row r="2061" spans="1:20" s="1348" customFormat="1" x14ac:dyDescent="0.25">
      <c r="A2061" s="846" t="s">
        <v>1385</v>
      </c>
      <c r="B2061" s="826" t="str">
        <f ca="1">IFERROR(_xlfn.CONCAT("C",MATCH(A2061,INDIRECT("'"&amp;E2061&amp;"'!C"&amp;$O$2057&amp;":C"&amp;$O$2059),0)+$O$2057-1),"")</f>
        <v>C593</v>
      </c>
      <c r="C2061" s="826" t="str">
        <f ca="1">IFERROR(_xlfn.CONCAT("D",MATCH(A2061,INDIRECT("'"&amp;E2061&amp;"'!C"&amp;$O$2057&amp;":C"&amp;$O$2059),0)+$O$2057-1),"")</f>
        <v>D593</v>
      </c>
      <c r="D2061" s="826" t="s">
        <v>1350</v>
      </c>
      <c r="E2061" s="826" t="s">
        <v>1516</v>
      </c>
      <c r="F2061" s="826" t="s">
        <v>1385</v>
      </c>
      <c r="G2061" s="1353" t="str">
        <f>IF(T2061&lt;&gt;"","C","")</f>
        <v/>
      </c>
      <c r="H2061" s="1353" t="s">
        <v>1990</v>
      </c>
      <c r="I2061" s="826"/>
      <c r="J2061" s="826"/>
      <c r="K2061" s="826"/>
      <c r="L2061" s="826" t="s">
        <v>1385</v>
      </c>
      <c r="M2061" s="1332">
        <v>1280</v>
      </c>
      <c r="N2061" s="826"/>
      <c r="R2061" s="1350" t="s">
        <v>2049</v>
      </c>
      <c r="T2061" s="1559" t="str">
        <f t="shared" si="334"/>
        <v/>
      </c>
    </row>
    <row r="2062" spans="1:20" s="1348" customFormat="1" x14ac:dyDescent="0.25">
      <c r="A2062" s="846" t="s">
        <v>1386</v>
      </c>
      <c r="B2062" s="826" t="str">
        <f ca="1">IFERROR(_xlfn.CONCAT("C",MATCH(A2062,INDIRECT("'"&amp;E2062&amp;"'!C"&amp;$O$2057&amp;":C"&amp;$O$2059),0)+$O$2057-1),"")</f>
        <v>C595</v>
      </c>
      <c r="C2062" s="826" t="str">
        <f ca="1">IFERROR(_xlfn.CONCAT("D",MATCH(A2062,INDIRECT("'"&amp;E2062&amp;"'!C"&amp;$O$2057&amp;":C"&amp;$O$2059),0)+$O$2057-1),"")</f>
        <v>D595</v>
      </c>
      <c r="D2062" s="826" t="s">
        <v>1350</v>
      </c>
      <c r="E2062" s="826" t="s">
        <v>1516</v>
      </c>
      <c r="F2062" s="826" t="s">
        <v>1386</v>
      </c>
      <c r="G2062" s="1353" t="str">
        <f>IF(T2062&lt;&gt;"","D","")</f>
        <v/>
      </c>
      <c r="H2062" s="1353" t="s">
        <v>1990</v>
      </c>
      <c r="I2062" s="826"/>
      <c r="J2062" s="826"/>
      <c r="K2062" s="826"/>
      <c r="L2062" s="826" t="s">
        <v>1386</v>
      </c>
      <c r="M2062" s="1332">
        <v>1281</v>
      </c>
      <c r="N2062" s="826"/>
      <c r="R2062" s="1350" t="s">
        <v>2049</v>
      </c>
      <c r="T2062" s="1559" t="str">
        <f t="shared" si="334"/>
        <v/>
      </c>
    </row>
    <row r="2063" spans="1:20" s="1348" customFormat="1" x14ac:dyDescent="0.25">
      <c r="A2063" s="846" t="s">
        <v>1396</v>
      </c>
      <c r="B2063" s="826" t="str">
        <f ca="1">_xlfn.CONCAT(IFERROR(SUBSTITUTE(ADDRESS(1,MATCH(A2063,INDIRECT("'"&amp;E2063&amp;"'"&amp;"!A" &amp; $O$2057+ 5 &amp; ":Z" &amp; $O$2057+ 5),0),4),1,""),""),$O$2057+5)</f>
        <v>H592</v>
      </c>
      <c r="C2063" s="826" t="str">
        <f ca="1">_xlfn.CONCAT(IFERROR(SUBSTITUTE(ADDRESS(1,MATCH(A2063,INDIRECT("'"&amp;E2063&amp;"'"&amp;"!A" &amp; $O$2057+ 5 &amp; ":Z" &amp; $O$2057+ 5),0),4),1,""),""),$O$2057+6)</f>
        <v>H593</v>
      </c>
      <c r="D2063" s="826" t="s">
        <v>1350</v>
      </c>
      <c r="E2063" s="826" t="s">
        <v>1516</v>
      </c>
      <c r="F2063" s="1353" t="s">
        <v>1396</v>
      </c>
      <c r="G2063" s="1353" t="str">
        <f t="shared" ref="G2063:G2085" si="335">IF(T2063&lt;&gt;"","S","")</f>
        <v/>
      </c>
      <c r="H2063" s="1353" t="s">
        <v>1990</v>
      </c>
      <c r="I2063" s="826"/>
      <c r="J2063" s="826"/>
      <c r="K2063" s="826"/>
      <c r="L2063" s="826" t="s">
        <v>1396</v>
      </c>
      <c r="M2063" s="1332">
        <v>1282</v>
      </c>
      <c r="N2063" s="826"/>
      <c r="R2063" s="1350" t="s">
        <v>2049</v>
      </c>
      <c r="T2063" s="1559" t="str">
        <f t="shared" si="334"/>
        <v/>
      </c>
    </row>
    <row r="2064" spans="1:20" s="1348" customFormat="1" x14ac:dyDescent="0.25">
      <c r="A2064" s="846" t="s">
        <v>2005</v>
      </c>
      <c r="B2064" s="826" t="str">
        <f ca="1">_xlfn.CONCAT(IFERROR(SUBSTITUTE(ADDRESS(1,MATCH(A2064,INDIRECT("'"&amp;E2064&amp;"'"&amp;"!A" &amp; $O$2057+ 8 &amp; ":Z" &amp; $O$2057+ 8),0),4),1,""),""),$O$2057+8)</f>
        <v>J595</v>
      </c>
      <c r="C2064" s="826" t="str">
        <f ca="1">_xlfn.CONCAT(IFERROR(SUBSTITUTE(ADDRESS(1,MATCH(A2064,INDIRECT("'"&amp;E2064&amp;"'"&amp;"!A" &amp; $O$2057+ 8 &amp; ":Z" &amp; $O$2057+ 8),0),4),1,""),""),$O$2057+9)</f>
        <v>J596</v>
      </c>
      <c r="D2064" s="826" t="s">
        <v>1350</v>
      </c>
      <c r="E2064" s="826" t="s">
        <v>1516</v>
      </c>
      <c r="F2064" s="826" t="s">
        <v>2005</v>
      </c>
      <c r="G2064" s="1353" t="str">
        <f>IF(T2064&lt;&gt;"","AQ","")</f>
        <v/>
      </c>
      <c r="H2064" s="1353" t="s">
        <v>1990</v>
      </c>
      <c r="I2064" s="826"/>
      <c r="J2064" s="826"/>
      <c r="K2064" s="826"/>
      <c r="L2064" s="826" t="s">
        <v>2005</v>
      </c>
      <c r="M2064" s="1332">
        <v>1283</v>
      </c>
      <c r="N2064" s="826"/>
      <c r="R2064" s="1350" t="s">
        <v>2049</v>
      </c>
      <c r="T2064" s="1559" t="str">
        <f t="shared" si="334"/>
        <v/>
      </c>
    </row>
    <row r="2065" spans="1:20" s="1348" customFormat="1" x14ac:dyDescent="0.25">
      <c r="A2065" s="846" t="s">
        <v>1482</v>
      </c>
      <c r="B2065" s="826" t="str">
        <f ca="1">_xlfn.CONCAT(IFERROR(SUBSTITUTE(ADDRESS(1,MATCH(A2065,INDIRECT("'"&amp;E2065&amp;"'"&amp;"!A" &amp; $O$2057+ 8 &amp; ":Z" &amp; $O$2057+ 8),0),4),1,""),""),$O$2057+8)</f>
        <v>N595</v>
      </c>
      <c r="C2065" s="826" t="str">
        <f ca="1">_xlfn.CONCAT(IFERROR(SUBSTITUTE(ADDRESS(1,MATCH(A2065,INDIRECT("'"&amp;E2065&amp;"'"&amp;"!A" &amp; $O$2057+ 8 &amp; ":Z" &amp; $O$2057+ 8),0),4),1,""),""),$O$2057+9)</f>
        <v>N596</v>
      </c>
      <c r="D2065" s="826" t="s">
        <v>1350</v>
      </c>
      <c r="E2065" s="826" t="s">
        <v>1516</v>
      </c>
      <c r="F2065" s="826" t="s">
        <v>2054</v>
      </c>
      <c r="G2065" s="1353" t="str">
        <f>IF(T2065&lt;&gt;"","AA","")</f>
        <v/>
      </c>
      <c r="H2065" s="1353" t="s">
        <v>1990</v>
      </c>
      <c r="I2065" s="826"/>
      <c r="J2065" s="826"/>
      <c r="K2065" s="826"/>
      <c r="L2065" s="826" t="s">
        <v>2006</v>
      </c>
      <c r="M2065" s="1332">
        <v>1284</v>
      </c>
      <c r="N2065" s="826"/>
      <c r="R2065" s="1350" t="s">
        <v>2049</v>
      </c>
      <c r="T2065" s="1559" t="str">
        <f t="shared" si="334"/>
        <v/>
      </c>
    </row>
    <row r="2066" spans="1:20" s="1348" customFormat="1" x14ac:dyDescent="0.25">
      <c r="A2066" s="846" t="s">
        <v>1397</v>
      </c>
      <c r="B2066" s="826" t="str">
        <f ca="1">_xlfn.CONCAT(IFERROR(SUBSTITUTE(ADDRESS(1,MATCH(A2066,INDIRECT("'"&amp;E2066&amp;"'"&amp;"!A" &amp; $O$2057+ 2 &amp; ":Z" &amp; $O$2057+ 2),0),4),1,""),""),$O$2057+2)</f>
        <v>L589</v>
      </c>
      <c r="C2066" s="826" t="str">
        <f ca="1">_xlfn.CONCAT(IFERROR(SUBSTITUTE(ADDRESS(1,MATCH(A2066,INDIRECT("'"&amp;E2066&amp;"'"&amp;"!A" &amp; $O$2057+ 2 &amp; ":Z" &amp; $O$2057+ 2),0),4),1,""),""),$O$2057+3)</f>
        <v>L590</v>
      </c>
      <c r="D2066" s="826" t="s">
        <v>1350</v>
      </c>
      <c r="E2066" s="826" t="s">
        <v>1516</v>
      </c>
      <c r="F2066" s="826" t="s">
        <v>1993</v>
      </c>
      <c r="G2066" s="1353" t="str">
        <f>IF(T2066&lt;&gt;"","H","")</f>
        <v/>
      </c>
      <c r="H2066" s="1353" t="s">
        <v>1990</v>
      </c>
      <c r="I2066" s="826"/>
      <c r="J2066" s="826"/>
      <c r="K2066" s="826"/>
      <c r="L2066" s="826" t="s">
        <v>1397</v>
      </c>
      <c r="M2066" s="1332">
        <v>1285</v>
      </c>
      <c r="N2066" s="826"/>
      <c r="R2066" s="1350" t="s">
        <v>2049</v>
      </c>
      <c r="T2066" s="1559" t="str">
        <f t="shared" si="334"/>
        <v/>
      </c>
    </row>
    <row r="2067" spans="1:20" s="1348" customFormat="1" x14ac:dyDescent="0.25">
      <c r="A2067" s="849" t="s">
        <v>1491</v>
      </c>
      <c r="B2067" s="826" t="str">
        <f ca="1">IFERROR(_xlfn.CONCAT("C",MATCH(A2067,INDIRECT("'"&amp;E2067&amp;"'!C"&amp;$O$2068&amp;":C"&amp;$O$2070),0)+$O$2068-1),"")</f>
        <v>C605</v>
      </c>
      <c r="C2067" s="826" t="str">
        <f ca="1">IFERROR(_xlfn.CONCAT("D",MATCH(A2067,INDIRECT("'"&amp;E2067&amp;"'!C"&amp;$O$2068&amp;":C"&amp;$O$2070),0)+$O$2068-1),"")</f>
        <v>D605</v>
      </c>
      <c r="D2067" s="826" t="s">
        <v>1350</v>
      </c>
      <c r="E2067" s="826" t="s">
        <v>1516</v>
      </c>
      <c r="F2067" s="826" t="s">
        <v>1491</v>
      </c>
      <c r="G2067" s="1353" t="str">
        <f>IF(T2067&lt;&gt;"","A","")</f>
        <v/>
      </c>
      <c r="H2067" s="1353" t="s">
        <v>1990</v>
      </c>
      <c r="I2067" s="826"/>
      <c r="J2067" s="826"/>
      <c r="K2067" s="826"/>
      <c r="L2067" s="826" t="s">
        <v>1491</v>
      </c>
      <c r="M2067" s="1332">
        <v>1286</v>
      </c>
      <c r="N2067" s="826"/>
      <c r="O2067" s="1669" t="s">
        <v>725</v>
      </c>
      <c r="R2067" s="1350" t="s">
        <v>2050</v>
      </c>
      <c r="T2067" s="1353" t="str">
        <f>IF(Q$2068="Yes",43,"")</f>
        <v/>
      </c>
    </row>
    <row r="2068" spans="1:20" s="1348" customFormat="1" x14ac:dyDescent="0.25">
      <c r="A2068" s="849" t="s">
        <v>1705</v>
      </c>
      <c r="B2068" s="826" t="str">
        <f ca="1">_xlfn.CONCAT(IFERROR(SUBSTITUTE(ADDRESS(1,MATCH(A2068,INDIRECT("'"&amp;E2068&amp;"'"&amp;"!A" &amp; $O$2068+ 11 &amp; ":Z" &amp; $O$2068+ 11),0),4),1,""),""),$O$2068+11)</f>
        <v>T612</v>
      </c>
      <c r="C2068" s="826" t="str">
        <f ca="1">_xlfn.CONCAT(IFERROR(SUBSTITUTE(ADDRESS(1,MATCH(A2068,INDIRECT("'"&amp;E2068&amp;"'"&amp;"!A" &amp; $O$2068+ 11 &amp; ":Z" &amp; $O$2068+ 11),0),4),1,""),""),$O$2068+12)</f>
        <v>T613</v>
      </c>
      <c r="D2068" s="826" t="s">
        <v>1350</v>
      </c>
      <c r="E2068" s="826" t="s">
        <v>1516</v>
      </c>
      <c r="F2068" s="826"/>
      <c r="G2068" s="1353"/>
      <c r="H2068" s="1353"/>
      <c r="I2068" s="826"/>
      <c r="J2068" s="826"/>
      <c r="K2068" s="826"/>
      <c r="L2068" s="826" t="s">
        <v>1705</v>
      </c>
      <c r="M2068" s="1332">
        <v>1287</v>
      </c>
      <c r="N2068" s="826"/>
      <c r="O2068" s="1669">
        <f>'Configurable Tab'!H45</f>
        <v>601</v>
      </c>
      <c r="P2068" s="18" t="str">
        <f>'Configurable Tab'!J45</f>
        <v>No</v>
      </c>
      <c r="Q2068" s="1351" t="s">
        <v>648</v>
      </c>
      <c r="R2068" s="1350" t="s">
        <v>2050</v>
      </c>
      <c r="T2068" s="1353" t="str">
        <f t="shared" ref="T2068:T2077" si="336">IF(Q$2068="Yes",43,"")</f>
        <v/>
      </c>
    </row>
    <row r="2069" spans="1:20" s="1348" customFormat="1" x14ac:dyDescent="0.25">
      <c r="A2069" s="849" t="s">
        <v>1383</v>
      </c>
      <c r="B2069" s="826" t="str">
        <f ca="1">IFERROR(_xlfn.CONCAT("C",MATCH(A2069,INDIRECT("'"&amp;E2069&amp;"'!C"&amp;$O$2068&amp;":C"&amp;$O$2070),0)+$O$2068-1),"")</f>
        <v>C603</v>
      </c>
      <c r="C2069" s="826" t="str">
        <f ca="1">IFERROR(_xlfn.CONCAT("D",MATCH(A2069,INDIRECT("'"&amp;E2069&amp;"'!C"&amp;$O$2068&amp;":C"&amp;$O$2070),0)+$O$2068-1),"")</f>
        <v>D603</v>
      </c>
      <c r="D2069" s="826" t="s">
        <v>1350</v>
      </c>
      <c r="E2069" s="826" t="s">
        <v>1516</v>
      </c>
      <c r="F2069" s="826" t="s">
        <v>1383</v>
      </c>
      <c r="G2069" s="1353" t="str">
        <f>IF(T2069&lt;&gt;"","B","")</f>
        <v/>
      </c>
      <c r="H2069" s="1353" t="s">
        <v>1990</v>
      </c>
      <c r="I2069" s="826"/>
      <c r="J2069" s="826"/>
      <c r="K2069" s="826"/>
      <c r="L2069" s="826" t="s">
        <v>1383</v>
      </c>
      <c r="M2069" s="1332">
        <v>1288</v>
      </c>
      <c r="N2069" s="826"/>
      <c r="O2069" s="1669" t="s">
        <v>726</v>
      </c>
      <c r="R2069" s="1350" t="s">
        <v>2050</v>
      </c>
      <c r="T2069" s="1559" t="str">
        <f t="shared" si="336"/>
        <v/>
      </c>
    </row>
    <row r="2070" spans="1:20" s="1348" customFormat="1" x14ac:dyDescent="0.25">
      <c r="A2070" s="849" t="s">
        <v>1381</v>
      </c>
      <c r="B2070" s="826" t="str">
        <f ca="1">_xlfn.CONCAT(IFERROR(SUBSTITUTE(ADDRESS(1,MATCH(A2070,INDIRECT("'"&amp;E2070&amp;"'"&amp;"!A" &amp; $O$2068+ 2 &amp; ":Z" &amp; $O$2068+ 2),0),4),1,""),""),$O$2068+2)</f>
        <v>J603</v>
      </c>
      <c r="C2070" s="826" t="str">
        <f ca="1">_xlfn.CONCAT(IFERROR(SUBSTITUTE(ADDRESS(1,MATCH(A2070,INDIRECT("'"&amp;E2070&amp;"'"&amp;"!A" &amp; $O$2068+ 2 &amp; ":Z" &amp; $O$2068+ 2),0),4),1,""),""),$O$2068+3)</f>
        <v>J604</v>
      </c>
      <c r="D2070" s="826" t="s">
        <v>1350</v>
      </c>
      <c r="E2070" s="826" t="s">
        <v>1516</v>
      </c>
      <c r="F2070" s="826" t="s">
        <v>1992</v>
      </c>
      <c r="G2070" s="1353" t="str">
        <f>IF(T2070&lt;&gt;"","I","")</f>
        <v/>
      </c>
      <c r="H2070" s="1353" t="s">
        <v>1990</v>
      </c>
      <c r="I2070" s="826"/>
      <c r="J2070" s="826"/>
      <c r="K2070" s="826"/>
      <c r="L2070" s="826" t="s">
        <v>1381</v>
      </c>
      <c r="M2070" s="1332">
        <v>1289</v>
      </c>
      <c r="N2070" s="826"/>
      <c r="O2070" s="1669">
        <f>'Configurable Tab'!I45</f>
        <v>614</v>
      </c>
      <c r="R2070" s="1350" t="s">
        <v>2050</v>
      </c>
      <c r="T2070" s="1559" t="str">
        <f t="shared" si="336"/>
        <v/>
      </c>
    </row>
    <row r="2071" spans="1:20" s="1348" customFormat="1" x14ac:dyDescent="0.25">
      <c r="A2071" s="849" t="s">
        <v>1382</v>
      </c>
      <c r="B2071" s="826" t="str">
        <f ca="1">_xlfn.CONCAT(IFERROR(SUBSTITUTE(ADDRESS(1,MATCH(A2071,INDIRECT("'"&amp;E2071&amp;"'"&amp;"!A" &amp; $O$2068+ 2 &amp; ":Z" &amp; $O$2068+ 2),0),4),1,""),""),$O$2068+2)</f>
        <v>N603</v>
      </c>
      <c r="C2071" s="826" t="str">
        <f ca="1">_xlfn.CONCAT(IFERROR(SUBSTITUTE(ADDRESS(1,MATCH(A2071,INDIRECT("'"&amp;E2071&amp;"'"&amp;"!A" &amp; $O$2068+ 2 &amp; ":Z" &amp; $O$2068+ 2),0),4),1,""),""),$O$2068+3)</f>
        <v>N604</v>
      </c>
      <c r="D2071" s="826" t="s">
        <v>1350</v>
      </c>
      <c r="E2071" s="826" t="s">
        <v>1516</v>
      </c>
      <c r="F2071" s="826" t="s">
        <v>1382</v>
      </c>
      <c r="G2071" s="1353" t="str">
        <f>IF(T2071&lt;&gt;"",IF(Q2070="Credit Memo","J",IF(Q2070="Check","K","")),"")</f>
        <v/>
      </c>
      <c r="H2071" s="1353" t="s">
        <v>1990</v>
      </c>
      <c r="I2071" s="826"/>
      <c r="J2071" s="826"/>
      <c r="K2071" s="826"/>
      <c r="L2071" s="826" t="s">
        <v>1382</v>
      </c>
      <c r="M2071" s="1332">
        <v>1290</v>
      </c>
      <c r="N2071" s="826"/>
      <c r="O2071" s="1348" t="s">
        <v>2033</v>
      </c>
      <c r="R2071" s="1350" t="s">
        <v>2050</v>
      </c>
      <c r="T2071" s="1559" t="str">
        <f t="shared" si="336"/>
        <v/>
      </c>
    </row>
    <row r="2072" spans="1:20" s="1348" customFormat="1" x14ac:dyDescent="0.25">
      <c r="A2072" s="849" t="s">
        <v>1385</v>
      </c>
      <c r="B2072" s="826" t="str">
        <f ca="1">IFERROR(_xlfn.CONCAT("C",MATCH(A2072,INDIRECT("'"&amp;E2072&amp;"'!C"&amp;$O$2068&amp;":C"&amp;$O$2070),0)+$O$2068-1),"")</f>
        <v>C607</v>
      </c>
      <c r="C2072" s="826" t="str">
        <f ca="1">IFERROR(_xlfn.CONCAT("D",MATCH(A2072,INDIRECT("'"&amp;E2072&amp;"'!C"&amp;$O$2068&amp;":C"&amp;$O$2070),0)+$O$2068-1),"")</f>
        <v>D607</v>
      </c>
      <c r="D2072" s="826" t="s">
        <v>1350</v>
      </c>
      <c r="E2072" s="826" t="s">
        <v>1516</v>
      </c>
      <c r="F2072" s="826" t="s">
        <v>1385</v>
      </c>
      <c r="G2072" s="1353" t="str">
        <f>IF(T2072&lt;&gt;"","C","")</f>
        <v/>
      </c>
      <c r="H2072" s="1353" t="s">
        <v>1990</v>
      </c>
      <c r="I2072" s="826"/>
      <c r="J2072" s="826"/>
      <c r="K2072" s="826"/>
      <c r="L2072" s="826" t="s">
        <v>1385</v>
      </c>
      <c r="M2072" s="1332">
        <v>1291</v>
      </c>
      <c r="N2072" s="826"/>
      <c r="R2072" s="1350" t="s">
        <v>2050</v>
      </c>
      <c r="T2072" s="1559" t="str">
        <f t="shared" si="336"/>
        <v/>
      </c>
    </row>
    <row r="2073" spans="1:20" s="1348" customFormat="1" x14ac:dyDescent="0.25">
      <c r="A2073" s="849" t="s">
        <v>1386</v>
      </c>
      <c r="B2073" s="826" t="str">
        <f ca="1">IFERROR(_xlfn.CONCAT("C",MATCH(A2073,INDIRECT("'"&amp;E2073&amp;"'!C"&amp;$O$2068&amp;":C"&amp;$O$2070),0)+$O$2068-1),"")</f>
        <v>C609</v>
      </c>
      <c r="C2073" s="826" t="str">
        <f ca="1">IFERROR(_xlfn.CONCAT("D",MATCH(A2073,INDIRECT("'"&amp;E2073&amp;"'!C"&amp;$O$2068&amp;":C"&amp;$O$2070),0)+$O$2068-1),"")</f>
        <v>D609</v>
      </c>
      <c r="D2073" s="826" t="s">
        <v>1350</v>
      </c>
      <c r="E2073" s="826" t="s">
        <v>1516</v>
      </c>
      <c r="F2073" s="826" t="s">
        <v>1386</v>
      </c>
      <c r="G2073" s="1353" t="str">
        <f>IF(T2073&lt;&gt;"","D","")</f>
        <v/>
      </c>
      <c r="H2073" s="1353" t="s">
        <v>1990</v>
      </c>
      <c r="I2073" s="826"/>
      <c r="J2073" s="826"/>
      <c r="K2073" s="826"/>
      <c r="L2073" s="826" t="s">
        <v>1386</v>
      </c>
      <c r="M2073" s="1332">
        <v>1292</v>
      </c>
      <c r="N2073" s="826"/>
      <c r="R2073" s="1350" t="s">
        <v>2050</v>
      </c>
      <c r="T2073" s="1559" t="str">
        <f t="shared" si="336"/>
        <v/>
      </c>
    </row>
    <row r="2074" spans="1:20" s="1348" customFormat="1" x14ac:dyDescent="0.25">
      <c r="A2074" s="849" t="s">
        <v>1396</v>
      </c>
      <c r="B2074" s="826" t="str">
        <f ca="1">_xlfn.CONCAT(IFERROR(SUBSTITUTE(ADDRESS(1,MATCH(A2074,INDIRECT("'"&amp;E2074&amp;"'"&amp;"!A" &amp; $O$2068+ 5 &amp; ":Z" &amp; $O$2068+ 5),0),4),1,""),""),$O$2068+5)</f>
        <v>H606</v>
      </c>
      <c r="C2074" s="826" t="str">
        <f ca="1">_xlfn.CONCAT(IFERROR(SUBSTITUTE(ADDRESS(1,MATCH(A2074,INDIRECT("'"&amp;E2074&amp;"'"&amp;"!A" &amp; $O$2068+ 5 &amp; ":Z" &amp; $O$2068+ 5),0),4),1,""),""),$O$2068+6)</f>
        <v>H607</v>
      </c>
      <c r="D2074" s="826" t="s">
        <v>1350</v>
      </c>
      <c r="E2074" s="826" t="s">
        <v>1516</v>
      </c>
      <c r="F2074" s="1353" t="s">
        <v>1396</v>
      </c>
      <c r="G2074" s="1353" t="str">
        <f t="shared" si="335"/>
        <v/>
      </c>
      <c r="H2074" s="1353" t="s">
        <v>1990</v>
      </c>
      <c r="I2074" s="826"/>
      <c r="J2074" s="826"/>
      <c r="K2074" s="826"/>
      <c r="L2074" s="826" t="s">
        <v>1396</v>
      </c>
      <c r="M2074" s="1332">
        <v>1293</v>
      </c>
      <c r="N2074" s="826"/>
      <c r="R2074" s="1350" t="s">
        <v>2050</v>
      </c>
      <c r="T2074" s="1559" t="str">
        <f t="shared" si="336"/>
        <v/>
      </c>
    </row>
    <row r="2075" spans="1:20" s="1348" customFormat="1" x14ac:dyDescent="0.25">
      <c r="A2075" s="849" t="s">
        <v>2005</v>
      </c>
      <c r="B2075" s="826" t="str">
        <f ca="1">_xlfn.CONCAT(IFERROR(SUBSTITUTE(ADDRESS(1,MATCH(A2075,INDIRECT("'"&amp;E2075&amp;"'"&amp;"!A" &amp; $O$2068+ 8 &amp; ":Z" &amp; $O$2068+ 8),0),4),1,""),""),$O$2068+8)</f>
        <v>J609</v>
      </c>
      <c r="C2075" s="826" t="str">
        <f ca="1">_xlfn.CONCAT(IFERROR(SUBSTITUTE(ADDRESS(1,MATCH(A2075,INDIRECT("'"&amp;E2075&amp;"'"&amp;"!A" &amp; $O$2068+ 8 &amp; ":Z" &amp; $O$2068+ 8),0),4),1,""),""),$O$2068+9)</f>
        <v>J610</v>
      </c>
      <c r="D2075" s="826" t="s">
        <v>1350</v>
      </c>
      <c r="E2075" s="826" t="s">
        <v>1516</v>
      </c>
      <c r="F2075" s="826" t="s">
        <v>2005</v>
      </c>
      <c r="G2075" s="1353" t="str">
        <f>IF(T2075&lt;&gt;"","AQ","")</f>
        <v/>
      </c>
      <c r="H2075" s="1353" t="s">
        <v>1990</v>
      </c>
      <c r="I2075" s="826"/>
      <c r="J2075" s="826"/>
      <c r="K2075" s="826"/>
      <c r="L2075" s="826" t="s">
        <v>2005</v>
      </c>
      <c r="M2075" s="1332">
        <v>1294</v>
      </c>
      <c r="N2075" s="826"/>
      <c r="R2075" s="1350" t="s">
        <v>2050</v>
      </c>
      <c r="T2075" s="1559" t="str">
        <f t="shared" si="336"/>
        <v/>
      </c>
    </row>
    <row r="2076" spans="1:20" s="1348" customFormat="1" x14ac:dyDescent="0.25">
      <c r="A2076" s="849" t="s">
        <v>1482</v>
      </c>
      <c r="B2076" s="826" t="str">
        <f ca="1">_xlfn.CONCAT(IFERROR(SUBSTITUTE(ADDRESS(1,MATCH(A2076,INDIRECT("'"&amp;E2076&amp;"'"&amp;"!A" &amp; $O$2068+ 8 &amp; ":Z" &amp; $O$2068+ 8),0),4),1,""),""),$O$2068+8)</f>
        <v>N609</v>
      </c>
      <c r="C2076" s="826" t="str">
        <f ca="1">_xlfn.CONCAT(IFERROR(SUBSTITUTE(ADDRESS(1,MATCH(A2076,INDIRECT("'"&amp;E2076&amp;"'"&amp;"!A" &amp; $O$2068+ 8 &amp; ":Z" &amp; $O$2068+ 8),0),4),1,""),""),$O$2068+9)</f>
        <v>N610</v>
      </c>
      <c r="D2076" s="826" t="s">
        <v>1350</v>
      </c>
      <c r="E2076" s="826" t="s">
        <v>1516</v>
      </c>
      <c r="F2076" s="826" t="s">
        <v>2054</v>
      </c>
      <c r="G2076" s="1353" t="str">
        <f>IF(T2076&lt;&gt;"","AA","")</f>
        <v/>
      </c>
      <c r="H2076" s="1353" t="s">
        <v>1990</v>
      </c>
      <c r="I2076" s="826"/>
      <c r="J2076" s="826"/>
      <c r="K2076" s="826"/>
      <c r="L2076" s="826" t="s">
        <v>2006</v>
      </c>
      <c r="M2076" s="1332">
        <v>1295</v>
      </c>
      <c r="N2076" s="826"/>
      <c r="R2076" s="1350" t="s">
        <v>2050</v>
      </c>
      <c r="T2076" s="1559" t="str">
        <f t="shared" si="336"/>
        <v/>
      </c>
    </row>
    <row r="2077" spans="1:20" s="1348" customFormat="1" x14ac:dyDescent="0.25">
      <c r="A2077" s="849" t="s">
        <v>1397</v>
      </c>
      <c r="B2077" s="826" t="str">
        <f ca="1">_xlfn.CONCAT(IFERROR(SUBSTITUTE(ADDRESS(1,MATCH(A2077,INDIRECT("'"&amp;E2077&amp;"'"&amp;"!A" &amp; $O$2068+ 2 &amp; ":Z" &amp; $O$2068+ 2),0),4),1,""),""),$O$2068+2)</f>
        <v>L603</v>
      </c>
      <c r="C2077" s="826" t="str">
        <f ca="1">_xlfn.CONCAT(IFERROR(SUBSTITUTE(ADDRESS(1,MATCH(A2077,INDIRECT("'"&amp;E2077&amp;"'"&amp;"!A" &amp; $O$2068+ 2 &amp; ":Z" &amp; $O$2068+ 2),0),4),1,""),""),$O$2068+3)</f>
        <v>L604</v>
      </c>
      <c r="D2077" s="826" t="s">
        <v>1350</v>
      </c>
      <c r="E2077" s="826" t="s">
        <v>1516</v>
      </c>
      <c r="F2077" s="826" t="s">
        <v>1993</v>
      </c>
      <c r="G2077" s="1353" t="str">
        <f>IF(T2077&lt;&gt;"","H","")</f>
        <v/>
      </c>
      <c r="H2077" s="1353" t="s">
        <v>1990</v>
      </c>
      <c r="I2077" s="826"/>
      <c r="J2077" s="826"/>
      <c r="K2077" s="826"/>
      <c r="L2077" s="826" t="s">
        <v>1397</v>
      </c>
      <c r="M2077" s="1332">
        <v>1296</v>
      </c>
      <c r="N2077" s="826"/>
      <c r="R2077" s="1350" t="s">
        <v>2050</v>
      </c>
      <c r="T2077" s="1559" t="str">
        <f t="shared" si="336"/>
        <v/>
      </c>
    </row>
    <row r="2078" spans="1:20" s="1348" customFormat="1" x14ac:dyDescent="0.25">
      <c r="A2078" s="846" t="s">
        <v>1491</v>
      </c>
      <c r="B2078" s="826" t="str">
        <f ca="1">IFERROR(_xlfn.CONCAT("C",MATCH(A2078,INDIRECT("'"&amp;E2078&amp;"'!C"&amp;$O$2079&amp;":C"&amp;$O$2081),0)+$O$2079-1),"")</f>
        <v>C619</v>
      </c>
      <c r="C2078" s="826" t="str">
        <f ca="1">IFERROR(_xlfn.CONCAT("D",MATCH(A2078,INDIRECT("'"&amp;E2078&amp;"'!C"&amp;$O$2079&amp;":C"&amp;$O$2081),0)+$O$2079-1),"")</f>
        <v>D619</v>
      </c>
      <c r="D2078" s="826" t="s">
        <v>1350</v>
      </c>
      <c r="E2078" s="826" t="s">
        <v>1516</v>
      </c>
      <c r="F2078" s="826" t="s">
        <v>1491</v>
      </c>
      <c r="G2078" s="1353" t="str">
        <f>IF(T2078&lt;&gt;"","A","")</f>
        <v/>
      </c>
      <c r="H2078" s="1353" t="s">
        <v>1990</v>
      </c>
      <c r="I2078" s="826"/>
      <c r="J2078" s="826"/>
      <c r="K2078" s="826"/>
      <c r="L2078" s="826" t="s">
        <v>1491</v>
      </c>
      <c r="M2078" s="1332">
        <v>1297</v>
      </c>
      <c r="N2078" s="826"/>
      <c r="O2078" s="1669" t="s">
        <v>725</v>
      </c>
      <c r="R2078" s="1350" t="s">
        <v>2051</v>
      </c>
      <c r="T2078" s="1353" t="str">
        <f>IF(Q$2079="Yes",44,"")</f>
        <v/>
      </c>
    </row>
    <row r="2079" spans="1:20" s="1348" customFormat="1" x14ac:dyDescent="0.25">
      <c r="A2079" s="846" t="s">
        <v>1705</v>
      </c>
      <c r="B2079" s="826" t="str">
        <f ca="1">_xlfn.CONCAT(IFERROR(SUBSTITUTE(ADDRESS(1,MATCH(A2079,INDIRECT("'"&amp;E2079&amp;"'"&amp;"!A" &amp; $O$2079+ 11 &amp; ":Z" &amp; $O$2079+ 11),0),4),1,""),""),$O$2079+11)</f>
        <v>T626</v>
      </c>
      <c r="C2079" s="826" t="str">
        <f ca="1">_xlfn.CONCAT(IFERROR(SUBSTITUTE(ADDRESS(1,MATCH(A2079,INDIRECT("'"&amp;E2079&amp;"'"&amp;"!A" &amp; $O$2079+ 11 &amp; ":Z" &amp; $O$2079+ 11),0),4),1,""),""),$O$2079+12)</f>
        <v>T627</v>
      </c>
      <c r="D2079" s="826" t="s">
        <v>1350</v>
      </c>
      <c r="E2079" s="826" t="s">
        <v>1516</v>
      </c>
      <c r="F2079" s="826"/>
      <c r="G2079" s="1353"/>
      <c r="H2079" s="1353"/>
      <c r="I2079" s="826"/>
      <c r="J2079" s="826"/>
      <c r="K2079" s="826"/>
      <c r="L2079" s="826" t="s">
        <v>1705</v>
      </c>
      <c r="M2079" s="1332">
        <v>1298</v>
      </c>
      <c r="N2079" s="826"/>
      <c r="O2079" s="1669">
        <f>'Configurable Tab'!H46</f>
        <v>615</v>
      </c>
      <c r="P2079" s="18" t="str">
        <f>'Configurable Tab'!J46</f>
        <v>No</v>
      </c>
      <c r="Q2079" s="1351" t="s">
        <v>648</v>
      </c>
      <c r="R2079" s="1350" t="s">
        <v>2051</v>
      </c>
      <c r="T2079" s="1353" t="str">
        <f t="shared" ref="T2079:T2088" si="337">IF(Q$2079="Yes",44,"")</f>
        <v/>
      </c>
    </row>
    <row r="2080" spans="1:20" s="1348" customFormat="1" x14ac:dyDescent="0.25">
      <c r="A2080" s="846" t="s">
        <v>1383</v>
      </c>
      <c r="B2080" s="826" t="str">
        <f ca="1">IFERROR(_xlfn.CONCAT("C",MATCH(A2080,INDIRECT("'"&amp;E2080&amp;"'!C"&amp;$O$2079&amp;":C"&amp;$O$2081),0)+$O$2079-1),"")</f>
        <v>C617</v>
      </c>
      <c r="C2080" s="826" t="str">
        <f ca="1">IFERROR(_xlfn.CONCAT("D",MATCH(A2080,INDIRECT("'"&amp;E2080&amp;"'!C"&amp;$O$2079&amp;":C"&amp;$O$2081),0)+$O$2079-1),"")</f>
        <v>D617</v>
      </c>
      <c r="D2080" s="826" t="s">
        <v>1350</v>
      </c>
      <c r="E2080" s="826" t="s">
        <v>1516</v>
      </c>
      <c r="F2080" s="826" t="s">
        <v>1383</v>
      </c>
      <c r="G2080" s="1353" t="str">
        <f>IF(T2080&lt;&gt;"","B","")</f>
        <v/>
      </c>
      <c r="H2080" s="1353" t="s">
        <v>1990</v>
      </c>
      <c r="I2080" s="826"/>
      <c r="J2080" s="826"/>
      <c r="K2080" s="826"/>
      <c r="L2080" s="826" t="s">
        <v>1383</v>
      </c>
      <c r="M2080" s="1332">
        <v>1299</v>
      </c>
      <c r="N2080" s="826"/>
      <c r="O2080" s="1669" t="s">
        <v>726</v>
      </c>
      <c r="R2080" s="1350" t="s">
        <v>2051</v>
      </c>
      <c r="T2080" s="1559" t="str">
        <f t="shared" si="337"/>
        <v/>
      </c>
    </row>
    <row r="2081" spans="1:20" s="1348" customFormat="1" x14ac:dyDescent="0.25">
      <c r="A2081" s="846" t="s">
        <v>1381</v>
      </c>
      <c r="B2081" s="826" t="str">
        <f ca="1">_xlfn.CONCAT(IFERROR(SUBSTITUTE(ADDRESS(1,MATCH(A2081,INDIRECT("'"&amp;E2081&amp;"'"&amp;"!A" &amp; $O$2079+ 2 &amp; ":Z" &amp; $O$2079+ 2),0),4),1,""),""),$O$2079+2)</f>
        <v>J617</v>
      </c>
      <c r="C2081" s="826" t="str">
        <f ca="1">_xlfn.CONCAT(IFERROR(SUBSTITUTE(ADDRESS(1,MATCH(A2081,INDIRECT("'"&amp;E2081&amp;"'"&amp;"!A" &amp; $O$2079+ 2 &amp; ":Z" &amp; $O$2079+ 2),0),4),1,""),""),$O$2079+3)</f>
        <v>J618</v>
      </c>
      <c r="D2081" s="826" t="s">
        <v>1350</v>
      </c>
      <c r="E2081" s="826" t="s">
        <v>1516</v>
      </c>
      <c r="F2081" s="826" t="s">
        <v>1992</v>
      </c>
      <c r="G2081" s="1353" t="str">
        <f>IF(T2081&lt;&gt;"","I","")</f>
        <v/>
      </c>
      <c r="H2081" s="1353" t="s">
        <v>1990</v>
      </c>
      <c r="I2081" s="826"/>
      <c r="J2081" s="826"/>
      <c r="K2081" s="826"/>
      <c r="L2081" s="826" t="s">
        <v>1381</v>
      </c>
      <c r="M2081" s="1332">
        <v>1300</v>
      </c>
      <c r="N2081" s="826"/>
      <c r="O2081" s="1669">
        <f>'Configurable Tab'!I46</f>
        <v>628</v>
      </c>
      <c r="R2081" s="1350" t="s">
        <v>2051</v>
      </c>
      <c r="T2081" s="1559" t="str">
        <f t="shared" si="337"/>
        <v/>
      </c>
    </row>
    <row r="2082" spans="1:20" s="1348" customFormat="1" x14ac:dyDescent="0.25">
      <c r="A2082" s="846" t="s">
        <v>1382</v>
      </c>
      <c r="B2082" s="826" t="str">
        <f ca="1">_xlfn.CONCAT(IFERROR(SUBSTITUTE(ADDRESS(1,MATCH(A2082,INDIRECT("'"&amp;E2082&amp;"'"&amp;"!A" &amp; $O$2079+ 2 &amp; ":Z" &amp; $O$2079+ 2),0),4),1,""),""),$O$2079+2)</f>
        <v>N617</v>
      </c>
      <c r="C2082" s="826" t="str">
        <f ca="1">_xlfn.CONCAT(IFERROR(SUBSTITUTE(ADDRESS(1,MATCH(A2082,INDIRECT("'"&amp;E2082&amp;"'"&amp;"!A" &amp; $O$2079+ 2 &amp; ":Z" &amp; $O$2079+ 2),0),4),1,""),""),$O$2079+3)</f>
        <v>N618</v>
      </c>
      <c r="D2082" s="826" t="s">
        <v>1350</v>
      </c>
      <c r="E2082" s="826" t="s">
        <v>1516</v>
      </c>
      <c r="F2082" s="826" t="s">
        <v>1382</v>
      </c>
      <c r="G2082" s="1353" t="str">
        <f>IF(T2082&lt;&gt;"",IF(Q2081="Credit Memo","J",IF(Q2081="Check","K","")),"")</f>
        <v/>
      </c>
      <c r="H2082" s="1353" t="s">
        <v>1990</v>
      </c>
      <c r="I2082" s="826"/>
      <c r="J2082" s="826"/>
      <c r="K2082" s="826"/>
      <c r="L2082" s="826" t="s">
        <v>1382</v>
      </c>
      <c r="M2082" s="1332">
        <v>1301</v>
      </c>
      <c r="N2082" s="826"/>
      <c r="O2082" s="1348" t="s">
        <v>2034</v>
      </c>
      <c r="R2082" s="1350" t="s">
        <v>2051</v>
      </c>
      <c r="T2082" s="1559" t="str">
        <f t="shared" si="337"/>
        <v/>
      </c>
    </row>
    <row r="2083" spans="1:20" s="1348" customFormat="1" x14ac:dyDescent="0.25">
      <c r="A2083" s="846" t="s">
        <v>1385</v>
      </c>
      <c r="B2083" s="826" t="str">
        <f ca="1">IFERROR(_xlfn.CONCAT("C",MATCH(A2083,INDIRECT("'"&amp;E2083&amp;"'!C"&amp;$O$2079&amp;":C"&amp;$O$2081),0)+$O$2079-1),"")</f>
        <v>C621</v>
      </c>
      <c r="C2083" s="826" t="str">
        <f ca="1">IFERROR(_xlfn.CONCAT("D",MATCH(A2083,INDIRECT("'"&amp;E2083&amp;"'!C"&amp;$O$2079&amp;":C"&amp;$O$2081),0)+$O$2079-1),"")</f>
        <v>D621</v>
      </c>
      <c r="D2083" s="826" t="s">
        <v>1350</v>
      </c>
      <c r="E2083" s="826" t="s">
        <v>1516</v>
      </c>
      <c r="F2083" s="826" t="s">
        <v>1385</v>
      </c>
      <c r="G2083" s="1353" t="str">
        <f>IF(T2083&lt;&gt;"","C","")</f>
        <v/>
      </c>
      <c r="H2083" s="1353" t="s">
        <v>1990</v>
      </c>
      <c r="I2083" s="826"/>
      <c r="J2083" s="826"/>
      <c r="K2083" s="826"/>
      <c r="L2083" s="826" t="s">
        <v>1385</v>
      </c>
      <c r="M2083" s="1332">
        <v>1302</v>
      </c>
      <c r="N2083" s="826"/>
      <c r="R2083" s="1350" t="s">
        <v>2051</v>
      </c>
      <c r="T2083" s="1559" t="str">
        <f t="shared" si="337"/>
        <v/>
      </c>
    </row>
    <row r="2084" spans="1:20" s="1348" customFormat="1" x14ac:dyDescent="0.25">
      <c r="A2084" s="846" t="s">
        <v>1386</v>
      </c>
      <c r="B2084" s="826" t="str">
        <f ca="1">IFERROR(_xlfn.CONCAT("C",MATCH(A2084,INDIRECT("'"&amp;E2084&amp;"'!C"&amp;$O$2079&amp;":C"&amp;$O$2081),0)+$O$2079-1),"")</f>
        <v>C623</v>
      </c>
      <c r="C2084" s="826" t="str">
        <f ca="1">IFERROR(_xlfn.CONCAT("D",MATCH(A2084,INDIRECT("'"&amp;E2084&amp;"'!C"&amp;$O$2079&amp;":C"&amp;$O$2081),0)+$O$2079-1),"")</f>
        <v>D623</v>
      </c>
      <c r="D2084" s="826" t="s">
        <v>1350</v>
      </c>
      <c r="E2084" s="826" t="s">
        <v>1516</v>
      </c>
      <c r="F2084" s="826" t="s">
        <v>1386</v>
      </c>
      <c r="G2084" s="1353" t="str">
        <f>IF(T2084&lt;&gt;"","D","")</f>
        <v/>
      </c>
      <c r="H2084" s="1353" t="s">
        <v>1990</v>
      </c>
      <c r="I2084" s="826"/>
      <c r="J2084" s="826"/>
      <c r="K2084" s="826"/>
      <c r="L2084" s="826" t="s">
        <v>1386</v>
      </c>
      <c r="M2084" s="1332">
        <v>1303</v>
      </c>
      <c r="N2084" s="826"/>
      <c r="R2084" s="1350" t="s">
        <v>2051</v>
      </c>
      <c r="T2084" s="1559" t="str">
        <f t="shared" si="337"/>
        <v/>
      </c>
    </row>
    <row r="2085" spans="1:20" s="1348" customFormat="1" x14ac:dyDescent="0.25">
      <c r="A2085" s="846" t="s">
        <v>1396</v>
      </c>
      <c r="B2085" s="826" t="str">
        <f ca="1">_xlfn.CONCAT(IFERROR(SUBSTITUTE(ADDRESS(1,MATCH(A2085,INDIRECT("'"&amp;E2085&amp;"'"&amp;"!A" &amp; $O$2079+ 5 &amp; ":Z" &amp; $O$2079+ 5),0),4),1,""),""),$O$2079+5)</f>
        <v>H620</v>
      </c>
      <c r="C2085" s="826" t="str">
        <f ca="1">_xlfn.CONCAT(IFERROR(SUBSTITUTE(ADDRESS(1,MATCH(A2085,INDIRECT("'"&amp;E2085&amp;"'"&amp;"!A" &amp; $O$2079+ 5 &amp; ":Z" &amp; $O$2079+ 5),0),4),1,""),""),$O$2079+6)</f>
        <v>H621</v>
      </c>
      <c r="D2085" s="826" t="s">
        <v>1350</v>
      </c>
      <c r="E2085" s="826" t="s">
        <v>1516</v>
      </c>
      <c r="F2085" s="1353" t="s">
        <v>1396</v>
      </c>
      <c r="G2085" s="1353" t="str">
        <f t="shared" si="335"/>
        <v/>
      </c>
      <c r="H2085" s="1353" t="s">
        <v>1990</v>
      </c>
      <c r="I2085" s="826"/>
      <c r="J2085" s="826"/>
      <c r="K2085" s="826"/>
      <c r="L2085" s="826" t="s">
        <v>1396</v>
      </c>
      <c r="M2085" s="1332">
        <v>1304</v>
      </c>
      <c r="N2085" s="826"/>
      <c r="R2085" s="1350" t="s">
        <v>2051</v>
      </c>
      <c r="T2085" s="1559" t="str">
        <f t="shared" si="337"/>
        <v/>
      </c>
    </row>
    <row r="2086" spans="1:20" s="1348" customFormat="1" x14ac:dyDescent="0.25">
      <c r="A2086" s="846" t="s">
        <v>2005</v>
      </c>
      <c r="B2086" s="826" t="str">
        <f ca="1">_xlfn.CONCAT(IFERROR(SUBSTITUTE(ADDRESS(1,MATCH(A2086,INDIRECT("'"&amp;E2086&amp;"'"&amp;"!A" &amp; $O$2079+ 8 &amp; ":Z" &amp; $O$2079+ 8),0),4),1,""),""),$O$2079+8)</f>
        <v>J623</v>
      </c>
      <c r="C2086" s="826" t="str">
        <f ca="1">_xlfn.CONCAT(IFERROR(SUBSTITUTE(ADDRESS(1,MATCH(A2086,INDIRECT("'"&amp;E2086&amp;"'"&amp;"!A" &amp; $O$2079+ 8 &amp; ":Z" &amp; $O$2079+ 8),0),4),1,""),""),$O$2079+9)</f>
        <v>J624</v>
      </c>
      <c r="D2086" s="826" t="s">
        <v>1350</v>
      </c>
      <c r="E2086" s="826" t="s">
        <v>1516</v>
      </c>
      <c r="F2086" s="826" t="s">
        <v>2005</v>
      </c>
      <c r="G2086" s="1353" t="str">
        <f>IF(T2086&lt;&gt;"","AQ","")</f>
        <v/>
      </c>
      <c r="H2086" s="1353" t="s">
        <v>1990</v>
      </c>
      <c r="I2086" s="826"/>
      <c r="J2086" s="826"/>
      <c r="K2086" s="826"/>
      <c r="L2086" s="826" t="s">
        <v>2005</v>
      </c>
      <c r="M2086" s="1332">
        <v>1305</v>
      </c>
      <c r="N2086" s="826"/>
      <c r="R2086" s="1350" t="s">
        <v>2051</v>
      </c>
      <c r="T2086" s="1559" t="str">
        <f t="shared" si="337"/>
        <v/>
      </c>
    </row>
    <row r="2087" spans="1:20" s="1348" customFormat="1" x14ac:dyDescent="0.25">
      <c r="A2087" s="846" t="s">
        <v>1482</v>
      </c>
      <c r="B2087" s="826" t="str">
        <f ca="1">_xlfn.CONCAT(IFERROR(SUBSTITUTE(ADDRESS(1,MATCH(A2087,INDIRECT("'"&amp;E2087&amp;"'"&amp;"!A" &amp; $O$2079+ 8 &amp; ":Z" &amp; $O$2079+ 8),0),4),1,""),""),$O$2079+8)</f>
        <v>N623</v>
      </c>
      <c r="C2087" s="826" t="str">
        <f ca="1">_xlfn.CONCAT(IFERROR(SUBSTITUTE(ADDRESS(1,MATCH(A2087,INDIRECT("'"&amp;E2087&amp;"'"&amp;"!A" &amp; $O$2079+ 8 &amp; ":Z" &amp; $O$2079+ 8),0),4),1,""),""),$O$2079+9)</f>
        <v>N624</v>
      </c>
      <c r="D2087" s="826" t="s">
        <v>1350</v>
      </c>
      <c r="E2087" s="826" t="s">
        <v>1516</v>
      </c>
      <c r="F2087" s="826" t="s">
        <v>2054</v>
      </c>
      <c r="G2087" s="1353" t="str">
        <f>IF(T2087&lt;&gt;"","AA","")</f>
        <v/>
      </c>
      <c r="H2087" s="1353" t="s">
        <v>1990</v>
      </c>
      <c r="I2087" s="826"/>
      <c r="J2087" s="826"/>
      <c r="K2087" s="826"/>
      <c r="L2087" s="826" t="s">
        <v>2006</v>
      </c>
      <c r="M2087" s="1332">
        <v>1306</v>
      </c>
      <c r="N2087" s="826"/>
      <c r="R2087" s="1350" t="s">
        <v>2051</v>
      </c>
      <c r="T2087" s="1559" t="str">
        <f t="shared" si="337"/>
        <v/>
      </c>
    </row>
    <row r="2088" spans="1:20" s="1348" customFormat="1" x14ac:dyDescent="0.25">
      <c r="A2088" s="846" t="s">
        <v>1397</v>
      </c>
      <c r="B2088" s="826" t="str">
        <f ca="1">_xlfn.CONCAT(IFERROR(SUBSTITUTE(ADDRESS(1,MATCH(A2088,INDIRECT("'"&amp;E2088&amp;"'"&amp;"!A" &amp; $O$2079+ 2 &amp; ":Z" &amp; $O$2079+ 2),0),4),1,""),""),$O$2079+2)</f>
        <v>L617</v>
      </c>
      <c r="C2088" s="826" t="str">
        <f ca="1">_xlfn.CONCAT(IFERROR(SUBSTITUTE(ADDRESS(1,MATCH(A2088,INDIRECT("'"&amp;E2088&amp;"'"&amp;"!A" &amp; $O$2079+ 2 &amp; ":Z" &amp; $O$2079+ 2),0),4),1,""),""),$O$2079+3)</f>
        <v>L618</v>
      </c>
      <c r="D2088" s="826" t="s">
        <v>1350</v>
      </c>
      <c r="E2088" s="826" t="s">
        <v>1516</v>
      </c>
      <c r="F2088" s="826" t="s">
        <v>1993</v>
      </c>
      <c r="G2088" s="1353" t="str">
        <f>IF(T2088&lt;&gt;"","H","")</f>
        <v/>
      </c>
      <c r="H2088" s="1353" t="s">
        <v>1990</v>
      </c>
      <c r="I2088" s="826"/>
      <c r="J2088" s="826"/>
      <c r="K2088" s="826"/>
      <c r="L2088" s="826" t="s">
        <v>1397</v>
      </c>
      <c r="M2088" s="1332">
        <v>1307</v>
      </c>
      <c r="N2088" s="826"/>
      <c r="R2088" s="1350" t="s">
        <v>2051</v>
      </c>
      <c r="T2088" s="1559" t="str">
        <f t="shared" si="337"/>
        <v/>
      </c>
    </row>
    <row r="2089" spans="1:20" s="1348" customFormat="1" x14ac:dyDescent="0.25">
      <c r="A2089" s="846" t="s">
        <v>1705</v>
      </c>
      <c r="B2089" s="1274" t="str">
        <f>IFERROR(_xlfn.CONCAT("D",('Configurable Tab'!$C$23+1)),"")</f>
        <v>D226</v>
      </c>
      <c r="C2089" s="1274" t="str">
        <f>IFERROR(_xlfn.CONCAT("E",('Configurable Tab'!$C$23+1)),"")</f>
        <v>E226</v>
      </c>
      <c r="D2089" s="826" t="s">
        <v>1350</v>
      </c>
      <c r="E2089" s="826" t="s">
        <v>1742</v>
      </c>
      <c r="F2089" s="1350"/>
      <c r="G2089" s="1350"/>
      <c r="H2089" s="1350"/>
      <c r="I2089" s="1274" t="str">
        <f t="shared" ref="I2089:I2152" si="338">IF(J2089&lt;&gt;"",A2089,"")</f>
        <v/>
      </c>
      <c r="J2089" s="1350" t="str">
        <f>IFERROR(IF($Q$1991="Yes",Q$1&amp;M1991,""),"")</f>
        <v/>
      </c>
      <c r="K2089" s="1350" t="str">
        <f t="shared" ref="K2089:K2152" si="339">IF(J2089&lt;&gt;"",E2089,"")</f>
        <v/>
      </c>
      <c r="M2089" s="1349"/>
      <c r="Q2089" s="1274" t="str">
        <f>IFERROR(_xlfn.CONCAT("C",('Configurable Tab'!$C23+1)),"")</f>
        <v>C226</v>
      </c>
      <c r="R2089" s="1350" t="s">
        <v>2043</v>
      </c>
    </row>
    <row r="2090" spans="1:20" s="1348" customFormat="1" x14ac:dyDescent="0.25">
      <c r="A2090" s="846" t="s">
        <v>1383</v>
      </c>
      <c r="B2090" s="1274" t="str">
        <f>IFERROR(_xlfn.CONCAT("D",('Configurable Tab'!$C$23+2)),"")</f>
        <v>D227</v>
      </c>
      <c r="C2090" s="1274" t="str">
        <f>IFERROR(_xlfn.CONCAT("E",('Configurable Tab'!$C$23+2)),"")</f>
        <v>E227</v>
      </c>
      <c r="D2090" s="826" t="s">
        <v>1350</v>
      </c>
      <c r="E2090" s="826" t="s">
        <v>1742</v>
      </c>
      <c r="F2090" s="1350"/>
      <c r="G2090" s="1350"/>
      <c r="H2090" s="1350"/>
      <c r="I2090" s="1274" t="str">
        <f t="shared" si="338"/>
        <v/>
      </c>
      <c r="J2090" s="1350" t="str">
        <f>IF($Q$1991="Yes",Q$1&amp;M1992,"")</f>
        <v/>
      </c>
      <c r="K2090" s="1350" t="str">
        <f t="shared" si="339"/>
        <v/>
      </c>
      <c r="M2090" s="1349"/>
      <c r="R2090" s="1350" t="s">
        <v>2043</v>
      </c>
    </row>
    <row r="2091" spans="1:20" s="1348" customFormat="1" x14ac:dyDescent="0.25">
      <c r="A2091" s="846" t="s">
        <v>1381</v>
      </c>
      <c r="B2091" s="1274" t="str">
        <f>IFERROR(_xlfn.CONCAT("I",('Configurable Tab'!$C$23+1)),"")</f>
        <v>I226</v>
      </c>
      <c r="C2091" s="1274" t="str">
        <f>IFERROR(_xlfn.CONCAT("I",('Configurable Tab'!$C$23+2)),"")</f>
        <v>I227</v>
      </c>
      <c r="D2091" s="826" t="s">
        <v>1350</v>
      </c>
      <c r="E2091" s="826" t="s">
        <v>1742</v>
      </c>
      <c r="F2091" s="1350"/>
      <c r="G2091" s="1350"/>
      <c r="H2091" s="1350"/>
      <c r="I2091" s="1274" t="str">
        <f t="shared" si="338"/>
        <v/>
      </c>
      <c r="J2091" s="1350" t="str">
        <f t="shared" ref="J2091:J2098" si="340">IF($Q$1991="Yes",Q$1&amp;M1993,"")</f>
        <v/>
      </c>
      <c r="K2091" s="1350" t="str">
        <f t="shared" si="339"/>
        <v/>
      </c>
      <c r="M2091" s="1349"/>
      <c r="R2091" s="1350" t="s">
        <v>2043</v>
      </c>
    </row>
    <row r="2092" spans="1:20" s="1348" customFormat="1" x14ac:dyDescent="0.25">
      <c r="A2092" s="846" t="s">
        <v>1382</v>
      </c>
      <c r="B2092" s="1274" t="str">
        <f>IFERROR(_xlfn.CONCAT("M",('Configurable Tab'!$C$23+1)),"")</f>
        <v>M226</v>
      </c>
      <c r="C2092" s="1274" t="str">
        <f>IFERROR(_xlfn.CONCAT("M",('Configurable Tab'!$C$23+2)),"")</f>
        <v>M227</v>
      </c>
      <c r="D2092" s="826" t="s">
        <v>1350</v>
      </c>
      <c r="E2092" s="826" t="s">
        <v>1742</v>
      </c>
      <c r="F2092" s="1350"/>
      <c r="G2092" s="1350"/>
      <c r="H2092" s="1350"/>
      <c r="I2092" s="1274" t="str">
        <f t="shared" si="338"/>
        <v/>
      </c>
      <c r="J2092" s="1350" t="str">
        <f t="shared" si="340"/>
        <v/>
      </c>
      <c r="K2092" s="1350" t="str">
        <f t="shared" si="339"/>
        <v/>
      </c>
      <c r="M2092" s="1349"/>
      <c r="R2092" s="1350" t="s">
        <v>2043</v>
      </c>
    </row>
    <row r="2093" spans="1:20" s="1348" customFormat="1" x14ac:dyDescent="0.25">
      <c r="A2093" s="846" t="s">
        <v>1385</v>
      </c>
      <c r="B2093" s="1274" t="str">
        <f>IFERROR(_xlfn.CONCAT("D",('Configurable Tab'!$C$23+4)),"")</f>
        <v>D229</v>
      </c>
      <c r="C2093" s="1274" t="str">
        <f>IFERROR(_xlfn.CONCAT("E",('Configurable Tab'!$C$23+4)),"")</f>
        <v>E229</v>
      </c>
      <c r="D2093" s="826" t="s">
        <v>1350</v>
      </c>
      <c r="E2093" s="826" t="s">
        <v>1742</v>
      </c>
      <c r="F2093" s="1350"/>
      <c r="G2093" s="1350"/>
      <c r="H2093" s="1350"/>
      <c r="I2093" s="1274" t="str">
        <f t="shared" si="338"/>
        <v/>
      </c>
      <c r="J2093" s="1350" t="str">
        <f t="shared" si="340"/>
        <v/>
      </c>
      <c r="K2093" s="1350" t="str">
        <f t="shared" si="339"/>
        <v/>
      </c>
      <c r="M2093" s="1349"/>
      <c r="R2093" s="1350" t="s">
        <v>2043</v>
      </c>
    </row>
    <row r="2094" spans="1:20" s="1348" customFormat="1" x14ac:dyDescent="0.25">
      <c r="A2094" s="846" t="s">
        <v>1386</v>
      </c>
      <c r="B2094" s="1274" t="str">
        <f>IFERROR(_xlfn.CONCAT("D",('Configurable Tab'!$C$23+5)),"")</f>
        <v>D230</v>
      </c>
      <c r="C2094" s="1274" t="str">
        <f>IFERROR(_xlfn.CONCAT("E",('Configurable Tab'!$C$23+5)),"")</f>
        <v>E230</v>
      </c>
      <c r="D2094" s="826" t="s">
        <v>1350</v>
      </c>
      <c r="E2094" s="826" t="s">
        <v>1742</v>
      </c>
      <c r="F2094" s="1350"/>
      <c r="G2094" s="1350"/>
      <c r="H2094" s="1350"/>
      <c r="I2094" s="1274" t="str">
        <f t="shared" si="338"/>
        <v/>
      </c>
      <c r="J2094" s="1350" t="str">
        <f t="shared" si="340"/>
        <v/>
      </c>
      <c r="K2094" s="1350" t="str">
        <f t="shared" si="339"/>
        <v/>
      </c>
      <c r="M2094" s="1349"/>
      <c r="R2094" s="1350" t="s">
        <v>2043</v>
      </c>
    </row>
    <row r="2095" spans="1:20" s="1348" customFormat="1" x14ac:dyDescent="0.25">
      <c r="A2095" s="846" t="s">
        <v>1396</v>
      </c>
      <c r="B2095" s="1274" t="str">
        <f>IFERROR(_xlfn.CONCAT("G",('Configurable Tab'!$C$23+4)),"")</f>
        <v>G229</v>
      </c>
      <c r="C2095" s="1274" t="str">
        <f>IFERROR(_xlfn.CONCAT("G",('Configurable Tab'!$C$23+5)),"")</f>
        <v>G230</v>
      </c>
      <c r="D2095" s="826" t="s">
        <v>1350</v>
      </c>
      <c r="E2095" s="826" t="s">
        <v>1742</v>
      </c>
      <c r="F2095" s="1350"/>
      <c r="G2095" s="1350"/>
      <c r="H2095" s="1350"/>
      <c r="I2095" s="1274" t="str">
        <f t="shared" si="338"/>
        <v/>
      </c>
      <c r="J2095" s="1350" t="str">
        <f t="shared" si="340"/>
        <v/>
      </c>
      <c r="K2095" s="1350" t="str">
        <f t="shared" si="339"/>
        <v/>
      </c>
      <c r="M2095" s="1349"/>
      <c r="R2095" s="1350" t="s">
        <v>2043</v>
      </c>
    </row>
    <row r="2096" spans="1:20" s="1348" customFormat="1" x14ac:dyDescent="0.25">
      <c r="A2096" s="846" t="s">
        <v>2005</v>
      </c>
      <c r="B2096" s="1274" t="str">
        <f>IFERROR(_xlfn.CONCAT("G",('Configurable Tab'!$C$23+7)),"")</f>
        <v>G232</v>
      </c>
      <c r="C2096" s="1274" t="str">
        <f>IFERROR(_xlfn.CONCAT("G",('Configurable Tab'!$C$23+8)),"")</f>
        <v>G233</v>
      </c>
      <c r="D2096" s="826" t="s">
        <v>1350</v>
      </c>
      <c r="E2096" s="826" t="s">
        <v>1742</v>
      </c>
      <c r="F2096" s="1350"/>
      <c r="G2096" s="1350"/>
      <c r="H2096" s="1350"/>
      <c r="I2096" s="1274" t="str">
        <f t="shared" si="338"/>
        <v/>
      </c>
      <c r="J2096" s="1350" t="str">
        <f t="shared" si="340"/>
        <v/>
      </c>
      <c r="K2096" s="1350" t="str">
        <f t="shared" si="339"/>
        <v/>
      </c>
      <c r="M2096" s="1349"/>
      <c r="R2096" s="1350" t="s">
        <v>2043</v>
      </c>
    </row>
    <row r="2097" spans="1:18" s="1348" customFormat="1" x14ac:dyDescent="0.25">
      <c r="A2097" s="846" t="s">
        <v>1482</v>
      </c>
      <c r="B2097" s="1274" t="str">
        <f>IFERROR(_xlfn.CONCAT("K",('Configurable Tab'!$C$23+7)),"")</f>
        <v>K232</v>
      </c>
      <c r="C2097" s="1274" t="str">
        <f>IFERROR(_xlfn.CONCAT("K",('Configurable Tab'!$C$23+8)),"")</f>
        <v>K233</v>
      </c>
      <c r="D2097" s="826" t="s">
        <v>1350</v>
      </c>
      <c r="E2097" s="826" t="s">
        <v>1742</v>
      </c>
      <c r="F2097" s="1350"/>
      <c r="G2097" s="1350"/>
      <c r="H2097" s="1350"/>
      <c r="I2097" s="1274" t="str">
        <f t="shared" si="338"/>
        <v/>
      </c>
      <c r="J2097" s="1350" t="str">
        <f t="shared" si="340"/>
        <v/>
      </c>
      <c r="K2097" s="1350" t="str">
        <f t="shared" si="339"/>
        <v/>
      </c>
      <c r="M2097" s="1349"/>
      <c r="R2097" s="1350" t="s">
        <v>2043</v>
      </c>
    </row>
    <row r="2098" spans="1:18" s="1348" customFormat="1" x14ac:dyDescent="0.25">
      <c r="A2098" s="846" t="s">
        <v>1397</v>
      </c>
      <c r="B2098" s="1274" t="str">
        <f>IFERROR(_xlfn.CONCAT("K",('Configurable Tab'!$C$23+1)),"")</f>
        <v>K226</v>
      </c>
      <c r="C2098" s="1274" t="str">
        <f>IFERROR(_xlfn.CONCAT("K",('Configurable Tab'!$C$23+2)),"")</f>
        <v>K227</v>
      </c>
      <c r="D2098" s="826" t="s">
        <v>1350</v>
      </c>
      <c r="E2098" s="826" t="s">
        <v>1742</v>
      </c>
      <c r="F2098" s="1350"/>
      <c r="G2098" s="1350"/>
      <c r="H2098" s="1350"/>
      <c r="I2098" s="1274" t="str">
        <f t="shared" si="338"/>
        <v/>
      </c>
      <c r="J2098" s="1350" t="str">
        <f t="shared" si="340"/>
        <v/>
      </c>
      <c r="K2098" s="1350" t="str">
        <f t="shared" si="339"/>
        <v/>
      </c>
      <c r="M2098" s="1349"/>
      <c r="R2098" s="1350" t="s">
        <v>2043</v>
      </c>
    </row>
    <row r="2099" spans="1:18" s="1348" customFormat="1" x14ac:dyDescent="0.25">
      <c r="A2099" s="849" t="s">
        <v>1705</v>
      </c>
      <c r="B2099" s="1274" t="str">
        <f>IFERROR(_xlfn.CONCAT("D",('Configurable Tab'!$C$24+1)),"")</f>
        <v>D237</v>
      </c>
      <c r="C2099" s="1274" t="str">
        <f>IFERROR(_xlfn.CONCAT("E",('Configurable Tab'!$C$24+1)),"")</f>
        <v>E237</v>
      </c>
      <c r="D2099" s="826" t="s">
        <v>1350</v>
      </c>
      <c r="E2099" s="826" t="s">
        <v>1742</v>
      </c>
      <c r="F2099" s="1350"/>
      <c r="G2099" s="1350"/>
      <c r="H2099" s="1350"/>
      <c r="I2099" s="1274" t="str">
        <f t="shared" si="338"/>
        <v/>
      </c>
      <c r="J2099" s="1350" t="str">
        <f>IF($Q$2002="Yes",Q$1&amp;M2002,"")</f>
        <v/>
      </c>
      <c r="K2099" s="1350" t="str">
        <f t="shared" si="339"/>
        <v/>
      </c>
      <c r="M2099" s="1349"/>
      <c r="Q2099" s="1274" t="str">
        <f>IFERROR(_xlfn.CONCAT("C",('Configurable Tab'!$C24+1)),"")</f>
        <v>C237</v>
      </c>
      <c r="R2099" s="1350" t="s">
        <v>2044</v>
      </c>
    </row>
    <row r="2100" spans="1:18" s="1348" customFormat="1" x14ac:dyDescent="0.25">
      <c r="A2100" s="849" t="s">
        <v>1383</v>
      </c>
      <c r="B2100" s="1274" t="str">
        <f>IFERROR(_xlfn.CONCAT("D",('Configurable Tab'!$C$24+2)),"")</f>
        <v>D238</v>
      </c>
      <c r="C2100" s="1274" t="str">
        <f>IFERROR(_xlfn.CONCAT("E",('Configurable Tab'!$C$24+2)),"")</f>
        <v>E238</v>
      </c>
      <c r="D2100" s="826" t="s">
        <v>1350</v>
      </c>
      <c r="E2100" s="826" t="s">
        <v>1742</v>
      </c>
      <c r="F2100" s="1350"/>
      <c r="G2100" s="1350"/>
      <c r="H2100" s="1350"/>
      <c r="I2100" s="1274" t="str">
        <f t="shared" si="338"/>
        <v/>
      </c>
      <c r="J2100" s="1350" t="str">
        <f t="shared" ref="J2100:J2108" si="341">IF($Q$2002="Yes",Q$1&amp;M2003,"")</f>
        <v/>
      </c>
      <c r="K2100" s="1350" t="str">
        <f t="shared" si="339"/>
        <v/>
      </c>
      <c r="M2100" s="1349"/>
      <c r="R2100" s="1350" t="s">
        <v>2044</v>
      </c>
    </row>
    <row r="2101" spans="1:18" s="1348" customFormat="1" x14ac:dyDescent="0.25">
      <c r="A2101" s="849" t="s">
        <v>1381</v>
      </c>
      <c r="B2101" s="1274" t="str">
        <f>IFERROR(_xlfn.CONCAT("I",('Configurable Tab'!$C$24+1)),"")</f>
        <v>I237</v>
      </c>
      <c r="C2101" s="1274" t="str">
        <f>IFERROR(_xlfn.CONCAT("I",('Configurable Tab'!$C$24+2)),"")</f>
        <v>I238</v>
      </c>
      <c r="D2101" s="826" t="s">
        <v>1350</v>
      </c>
      <c r="E2101" s="826" t="s">
        <v>1742</v>
      </c>
      <c r="F2101" s="1350"/>
      <c r="G2101" s="1350"/>
      <c r="H2101" s="1350"/>
      <c r="I2101" s="1274" t="str">
        <f t="shared" si="338"/>
        <v/>
      </c>
      <c r="J2101" s="1350" t="str">
        <f t="shared" si="341"/>
        <v/>
      </c>
      <c r="K2101" s="1350" t="str">
        <f t="shared" si="339"/>
        <v/>
      </c>
      <c r="M2101" s="1349"/>
      <c r="R2101" s="1350" t="s">
        <v>2044</v>
      </c>
    </row>
    <row r="2102" spans="1:18" s="1348" customFormat="1" x14ac:dyDescent="0.25">
      <c r="A2102" s="849" t="s">
        <v>1382</v>
      </c>
      <c r="B2102" s="1274" t="str">
        <f>IFERROR(_xlfn.CONCAT("M",('Configurable Tab'!$C$24+1)),"")</f>
        <v>M237</v>
      </c>
      <c r="C2102" s="1274" t="str">
        <f>IFERROR(_xlfn.CONCAT("M",('Configurable Tab'!$C$24+2)),"")</f>
        <v>M238</v>
      </c>
      <c r="D2102" s="826" t="s">
        <v>1350</v>
      </c>
      <c r="E2102" s="826" t="s">
        <v>1742</v>
      </c>
      <c r="F2102" s="1350"/>
      <c r="G2102" s="1350"/>
      <c r="H2102" s="1350"/>
      <c r="I2102" s="1274" t="str">
        <f t="shared" si="338"/>
        <v/>
      </c>
      <c r="J2102" s="1350" t="str">
        <f t="shared" si="341"/>
        <v/>
      </c>
      <c r="K2102" s="1350" t="str">
        <f t="shared" si="339"/>
        <v/>
      </c>
      <c r="M2102" s="1349"/>
      <c r="R2102" s="1350" t="s">
        <v>2044</v>
      </c>
    </row>
    <row r="2103" spans="1:18" s="1348" customFormat="1" x14ac:dyDescent="0.25">
      <c r="A2103" s="849" t="s">
        <v>1385</v>
      </c>
      <c r="B2103" s="1274" t="str">
        <f>IFERROR(_xlfn.CONCAT("D",('Configurable Tab'!$C$24+4)),"")</f>
        <v>D240</v>
      </c>
      <c r="C2103" s="1274" t="str">
        <f>IFERROR(_xlfn.CONCAT("E",('Configurable Tab'!$C$24+4)),"")</f>
        <v>E240</v>
      </c>
      <c r="D2103" s="826" t="s">
        <v>1350</v>
      </c>
      <c r="E2103" s="826" t="s">
        <v>1742</v>
      </c>
      <c r="F2103" s="1350"/>
      <c r="G2103" s="1350"/>
      <c r="H2103" s="1350"/>
      <c r="I2103" s="1274" t="str">
        <f t="shared" si="338"/>
        <v/>
      </c>
      <c r="J2103" s="1350" t="str">
        <f t="shared" si="341"/>
        <v/>
      </c>
      <c r="K2103" s="1350" t="str">
        <f t="shared" si="339"/>
        <v/>
      </c>
      <c r="M2103" s="1349"/>
      <c r="R2103" s="1350" t="s">
        <v>2044</v>
      </c>
    </row>
    <row r="2104" spans="1:18" s="1348" customFormat="1" x14ac:dyDescent="0.25">
      <c r="A2104" s="849" t="s">
        <v>1386</v>
      </c>
      <c r="B2104" s="1274" t="str">
        <f>IFERROR(_xlfn.CONCAT("D",('Configurable Tab'!$C$24+5)),"")</f>
        <v>D241</v>
      </c>
      <c r="C2104" s="1274" t="str">
        <f>IFERROR(_xlfn.CONCAT("E",('Configurable Tab'!$C$24+5)),"")</f>
        <v>E241</v>
      </c>
      <c r="D2104" s="826" t="s">
        <v>1350</v>
      </c>
      <c r="E2104" s="826" t="s">
        <v>1742</v>
      </c>
      <c r="F2104" s="1350"/>
      <c r="G2104" s="1350"/>
      <c r="H2104" s="1350"/>
      <c r="I2104" s="1274" t="str">
        <f t="shared" si="338"/>
        <v/>
      </c>
      <c r="J2104" s="1350" t="str">
        <f t="shared" si="341"/>
        <v/>
      </c>
      <c r="K2104" s="1350" t="str">
        <f t="shared" si="339"/>
        <v/>
      </c>
      <c r="M2104" s="1349"/>
      <c r="R2104" s="1350" t="s">
        <v>2044</v>
      </c>
    </row>
    <row r="2105" spans="1:18" s="1348" customFormat="1" x14ac:dyDescent="0.25">
      <c r="A2105" s="849" t="s">
        <v>1396</v>
      </c>
      <c r="B2105" s="1274" t="str">
        <f>IFERROR(_xlfn.CONCAT("G",('Configurable Tab'!$C$24+4)),"")</f>
        <v>G240</v>
      </c>
      <c r="C2105" s="1274" t="str">
        <f>IFERROR(_xlfn.CONCAT("G",('Configurable Tab'!$C$24+5)),"")</f>
        <v>G241</v>
      </c>
      <c r="D2105" s="826" t="s">
        <v>1350</v>
      </c>
      <c r="E2105" s="826" t="s">
        <v>1742</v>
      </c>
      <c r="F2105" s="1350"/>
      <c r="G2105" s="1350"/>
      <c r="H2105" s="1350"/>
      <c r="I2105" s="1274" t="str">
        <f t="shared" si="338"/>
        <v/>
      </c>
      <c r="J2105" s="1350" t="str">
        <f t="shared" si="341"/>
        <v/>
      </c>
      <c r="K2105" s="1350" t="str">
        <f t="shared" si="339"/>
        <v/>
      </c>
      <c r="M2105" s="1349"/>
      <c r="R2105" s="1350" t="s">
        <v>2044</v>
      </c>
    </row>
    <row r="2106" spans="1:18" s="1348" customFormat="1" x14ac:dyDescent="0.25">
      <c r="A2106" s="849" t="s">
        <v>2005</v>
      </c>
      <c r="B2106" s="1274" t="str">
        <f>IFERROR(_xlfn.CONCAT("G",('Configurable Tab'!$C$24+7)),"")</f>
        <v>G243</v>
      </c>
      <c r="C2106" s="1274" t="str">
        <f>IFERROR(_xlfn.CONCAT("G",('Configurable Tab'!$C$24+8)),"")</f>
        <v>G244</v>
      </c>
      <c r="D2106" s="826" t="s">
        <v>1350</v>
      </c>
      <c r="E2106" s="826" t="s">
        <v>1742</v>
      </c>
      <c r="F2106" s="1350"/>
      <c r="G2106" s="1350"/>
      <c r="H2106" s="1350"/>
      <c r="I2106" s="1274" t="str">
        <f t="shared" si="338"/>
        <v/>
      </c>
      <c r="J2106" s="1350" t="str">
        <f t="shared" si="341"/>
        <v/>
      </c>
      <c r="K2106" s="1350" t="str">
        <f t="shared" si="339"/>
        <v/>
      </c>
      <c r="M2106" s="1349"/>
      <c r="R2106" s="1350" t="s">
        <v>2044</v>
      </c>
    </row>
    <row r="2107" spans="1:18" s="1348" customFormat="1" x14ac:dyDescent="0.25">
      <c r="A2107" s="849" t="s">
        <v>1482</v>
      </c>
      <c r="B2107" s="1274" t="str">
        <f>IFERROR(_xlfn.CONCAT("K",('Configurable Tab'!$C$24+7)),"")</f>
        <v>K243</v>
      </c>
      <c r="C2107" s="1274" t="str">
        <f>IFERROR(_xlfn.CONCAT("K",('Configurable Tab'!$C$24+8)),"")</f>
        <v>K244</v>
      </c>
      <c r="D2107" s="826" t="s">
        <v>1350</v>
      </c>
      <c r="E2107" s="826" t="s">
        <v>1742</v>
      </c>
      <c r="F2107" s="1350"/>
      <c r="G2107" s="1350"/>
      <c r="H2107" s="1350"/>
      <c r="I2107" s="1274" t="str">
        <f t="shared" si="338"/>
        <v/>
      </c>
      <c r="J2107" s="1350" t="str">
        <f t="shared" si="341"/>
        <v/>
      </c>
      <c r="K2107" s="1350" t="str">
        <f t="shared" si="339"/>
        <v/>
      </c>
      <c r="M2107" s="1349"/>
      <c r="R2107" s="1350" t="s">
        <v>2044</v>
      </c>
    </row>
    <row r="2108" spans="1:18" s="1348" customFormat="1" x14ac:dyDescent="0.25">
      <c r="A2108" s="849" t="s">
        <v>1397</v>
      </c>
      <c r="B2108" s="1274" t="str">
        <f>IFERROR(_xlfn.CONCAT("K",('Configurable Tab'!$C$24+1)),"")</f>
        <v>K237</v>
      </c>
      <c r="C2108" s="1274" t="str">
        <f>IFERROR(_xlfn.CONCAT("K",('Configurable Tab'!$C$24+2)),"")</f>
        <v>K238</v>
      </c>
      <c r="D2108" s="826" t="s">
        <v>1350</v>
      </c>
      <c r="E2108" s="826" t="s">
        <v>1742</v>
      </c>
      <c r="F2108" s="1350"/>
      <c r="G2108" s="1350"/>
      <c r="H2108" s="1350"/>
      <c r="I2108" s="1274" t="str">
        <f t="shared" si="338"/>
        <v/>
      </c>
      <c r="J2108" s="1350" t="str">
        <f t="shared" si="341"/>
        <v/>
      </c>
      <c r="K2108" s="1350" t="str">
        <f t="shared" si="339"/>
        <v/>
      </c>
      <c r="M2108" s="1349"/>
      <c r="R2108" s="1350" t="s">
        <v>2044</v>
      </c>
    </row>
    <row r="2109" spans="1:18" s="1348" customFormat="1" x14ac:dyDescent="0.25">
      <c r="A2109" s="846" t="s">
        <v>1705</v>
      </c>
      <c r="B2109" s="1274" t="str">
        <f>IFERROR(_xlfn.CONCAT("D",('Configurable Tab'!$C$25+1)),"")</f>
        <v>D248</v>
      </c>
      <c r="C2109" s="1274" t="str">
        <f>IFERROR(_xlfn.CONCAT("E",('Configurable Tab'!$C$25+1)),"")</f>
        <v>E248</v>
      </c>
      <c r="D2109" s="826" t="s">
        <v>1350</v>
      </c>
      <c r="E2109" s="826" t="s">
        <v>1742</v>
      </c>
      <c r="F2109" s="1350"/>
      <c r="G2109" s="1350"/>
      <c r="H2109" s="1350"/>
      <c r="I2109" s="1274" t="str">
        <f t="shared" si="338"/>
        <v/>
      </c>
      <c r="J2109" s="1350" t="str">
        <f>IF($Q$2013="Yes",Q$1&amp;M2013,"")</f>
        <v/>
      </c>
      <c r="K2109" s="1350" t="str">
        <f t="shared" si="339"/>
        <v/>
      </c>
      <c r="M2109" s="1349"/>
      <c r="Q2109" s="1274" t="str">
        <f>IFERROR(_xlfn.CONCAT("C",('Configurable Tab'!$C25+1)),"")</f>
        <v>C248</v>
      </c>
      <c r="R2109" s="1350" t="s">
        <v>2045</v>
      </c>
    </row>
    <row r="2110" spans="1:18" s="1348" customFormat="1" x14ac:dyDescent="0.25">
      <c r="A2110" s="846" t="s">
        <v>1383</v>
      </c>
      <c r="B2110" s="1274" t="str">
        <f>IFERROR(_xlfn.CONCAT("D",('Configurable Tab'!$C$25+2)),"")</f>
        <v>D249</v>
      </c>
      <c r="C2110" s="1274" t="str">
        <f>IFERROR(_xlfn.CONCAT("E",('Configurable Tab'!$C$25+2)),"")</f>
        <v>E249</v>
      </c>
      <c r="D2110" s="826" t="s">
        <v>1350</v>
      </c>
      <c r="E2110" s="826" t="s">
        <v>1742</v>
      </c>
      <c r="F2110" s="1350"/>
      <c r="G2110" s="1350"/>
      <c r="H2110" s="1350"/>
      <c r="I2110" s="1274" t="str">
        <f t="shared" si="338"/>
        <v/>
      </c>
      <c r="J2110" s="1350" t="str">
        <f t="shared" ref="J2110:J2118" si="342">IF($Q$2013="Yes",Q$1&amp;M2014,"")</f>
        <v/>
      </c>
      <c r="K2110" s="1350" t="str">
        <f t="shared" si="339"/>
        <v/>
      </c>
      <c r="M2110" s="1349"/>
      <c r="R2110" s="1350" t="s">
        <v>2045</v>
      </c>
    </row>
    <row r="2111" spans="1:18" s="1348" customFormat="1" x14ac:dyDescent="0.25">
      <c r="A2111" s="846" t="s">
        <v>1381</v>
      </c>
      <c r="B2111" s="1274" t="str">
        <f>IFERROR(_xlfn.CONCAT("I",('Configurable Tab'!$C$25+1)),"")</f>
        <v>I248</v>
      </c>
      <c r="C2111" s="1274" t="str">
        <f>IFERROR(_xlfn.CONCAT("I",('Configurable Tab'!$C$25+2)),"")</f>
        <v>I249</v>
      </c>
      <c r="D2111" s="826" t="s">
        <v>1350</v>
      </c>
      <c r="E2111" s="826" t="s">
        <v>1742</v>
      </c>
      <c r="F2111" s="1350"/>
      <c r="G2111" s="1350"/>
      <c r="H2111" s="1350"/>
      <c r="I2111" s="1274" t="str">
        <f t="shared" si="338"/>
        <v/>
      </c>
      <c r="J2111" s="1350" t="str">
        <f t="shared" si="342"/>
        <v/>
      </c>
      <c r="K2111" s="1350" t="str">
        <f t="shared" si="339"/>
        <v/>
      </c>
      <c r="M2111" s="1349"/>
      <c r="R2111" s="1350" t="s">
        <v>2045</v>
      </c>
    </row>
    <row r="2112" spans="1:18" s="1348" customFormat="1" x14ac:dyDescent="0.25">
      <c r="A2112" s="846" t="s">
        <v>1382</v>
      </c>
      <c r="B2112" s="1274" t="str">
        <f>IFERROR(_xlfn.CONCAT("M",('Configurable Tab'!$C$25+1)),"")</f>
        <v>M248</v>
      </c>
      <c r="C2112" s="1274" t="str">
        <f>IFERROR(_xlfn.CONCAT("M",('Configurable Tab'!$C$25+2)),"")</f>
        <v>M249</v>
      </c>
      <c r="D2112" s="826" t="s">
        <v>1350</v>
      </c>
      <c r="E2112" s="826" t="s">
        <v>1742</v>
      </c>
      <c r="F2112" s="1350"/>
      <c r="G2112" s="1350"/>
      <c r="H2112" s="1350"/>
      <c r="I2112" s="1274" t="str">
        <f t="shared" si="338"/>
        <v/>
      </c>
      <c r="J2112" s="1350" t="str">
        <f t="shared" si="342"/>
        <v/>
      </c>
      <c r="K2112" s="1350" t="str">
        <f t="shared" si="339"/>
        <v/>
      </c>
      <c r="M2112" s="1349"/>
      <c r="R2112" s="1350" t="s">
        <v>2045</v>
      </c>
    </row>
    <row r="2113" spans="1:18" s="1348" customFormat="1" x14ac:dyDescent="0.25">
      <c r="A2113" s="846" t="s">
        <v>1385</v>
      </c>
      <c r="B2113" s="1274" t="str">
        <f>IFERROR(_xlfn.CONCAT("D",('Configurable Tab'!$C$25+4)),"")</f>
        <v>D251</v>
      </c>
      <c r="C2113" s="1274" t="str">
        <f>IFERROR(_xlfn.CONCAT("E",('Configurable Tab'!$C$25+4)),"")</f>
        <v>E251</v>
      </c>
      <c r="D2113" s="826" t="s">
        <v>1350</v>
      </c>
      <c r="E2113" s="826" t="s">
        <v>1742</v>
      </c>
      <c r="F2113" s="1350"/>
      <c r="G2113" s="1350"/>
      <c r="H2113" s="1350"/>
      <c r="I2113" s="1274" t="str">
        <f t="shared" si="338"/>
        <v/>
      </c>
      <c r="J2113" s="1350" t="str">
        <f t="shared" si="342"/>
        <v/>
      </c>
      <c r="K2113" s="1350" t="str">
        <f t="shared" si="339"/>
        <v/>
      </c>
      <c r="M2113" s="1349"/>
      <c r="R2113" s="1350" t="s">
        <v>2045</v>
      </c>
    </row>
    <row r="2114" spans="1:18" s="1348" customFormat="1" x14ac:dyDescent="0.25">
      <c r="A2114" s="846" t="s">
        <v>1386</v>
      </c>
      <c r="B2114" s="1274" t="str">
        <f>IFERROR(_xlfn.CONCAT("D",('Configurable Tab'!$C$25+5)),"")</f>
        <v>D252</v>
      </c>
      <c r="C2114" s="1274" t="str">
        <f>IFERROR(_xlfn.CONCAT("E",('Configurable Tab'!$C$25+5)),"")</f>
        <v>E252</v>
      </c>
      <c r="D2114" s="826" t="s">
        <v>1350</v>
      </c>
      <c r="E2114" s="826" t="s">
        <v>1742</v>
      </c>
      <c r="F2114" s="1350"/>
      <c r="G2114" s="1350"/>
      <c r="H2114" s="1350"/>
      <c r="I2114" s="1274" t="str">
        <f t="shared" si="338"/>
        <v/>
      </c>
      <c r="J2114" s="1350" t="str">
        <f t="shared" si="342"/>
        <v/>
      </c>
      <c r="K2114" s="1350" t="str">
        <f t="shared" si="339"/>
        <v/>
      </c>
      <c r="M2114" s="1349"/>
      <c r="R2114" s="1350" t="s">
        <v>2045</v>
      </c>
    </row>
    <row r="2115" spans="1:18" s="1348" customFormat="1" x14ac:dyDescent="0.25">
      <c r="A2115" s="846" t="s">
        <v>1396</v>
      </c>
      <c r="B2115" s="1274" t="str">
        <f>IFERROR(_xlfn.CONCAT("G",('Configurable Tab'!$C$25+4)),"")</f>
        <v>G251</v>
      </c>
      <c r="C2115" s="1274" t="str">
        <f>IFERROR(_xlfn.CONCAT("G",('Configurable Tab'!$C$25+5)),"")</f>
        <v>G252</v>
      </c>
      <c r="D2115" s="826" t="s">
        <v>1350</v>
      </c>
      <c r="E2115" s="826" t="s">
        <v>1742</v>
      </c>
      <c r="F2115" s="1350"/>
      <c r="G2115" s="1350"/>
      <c r="H2115" s="1350"/>
      <c r="I2115" s="1274" t="str">
        <f t="shared" si="338"/>
        <v/>
      </c>
      <c r="J2115" s="1350" t="str">
        <f t="shared" si="342"/>
        <v/>
      </c>
      <c r="K2115" s="1350" t="str">
        <f t="shared" si="339"/>
        <v/>
      </c>
      <c r="M2115" s="1349"/>
      <c r="R2115" s="1350" t="s">
        <v>2045</v>
      </c>
    </row>
    <row r="2116" spans="1:18" s="1348" customFormat="1" x14ac:dyDescent="0.25">
      <c r="A2116" s="846" t="s">
        <v>2005</v>
      </c>
      <c r="B2116" s="1274" t="str">
        <f>IFERROR(_xlfn.CONCAT("G",('Configurable Tab'!$C$25+7)),"")</f>
        <v>G254</v>
      </c>
      <c r="C2116" s="1274" t="str">
        <f>IFERROR(_xlfn.CONCAT("G",('Configurable Tab'!$C$25+8)),"")</f>
        <v>G255</v>
      </c>
      <c r="D2116" s="826" t="s">
        <v>1350</v>
      </c>
      <c r="E2116" s="826" t="s">
        <v>1742</v>
      </c>
      <c r="F2116" s="1350"/>
      <c r="G2116" s="1350"/>
      <c r="H2116" s="1350"/>
      <c r="I2116" s="1274" t="str">
        <f t="shared" si="338"/>
        <v/>
      </c>
      <c r="J2116" s="1350" t="str">
        <f t="shared" si="342"/>
        <v/>
      </c>
      <c r="K2116" s="1350" t="str">
        <f t="shared" si="339"/>
        <v/>
      </c>
      <c r="M2116" s="1349"/>
      <c r="R2116" s="1350" t="s">
        <v>2045</v>
      </c>
    </row>
    <row r="2117" spans="1:18" s="1348" customFormat="1" x14ac:dyDescent="0.25">
      <c r="A2117" s="846" t="s">
        <v>1482</v>
      </c>
      <c r="B2117" s="1274" t="str">
        <f>IFERROR(_xlfn.CONCAT("K",('Configurable Tab'!$C$25+7)),"")</f>
        <v>K254</v>
      </c>
      <c r="C2117" s="1274" t="str">
        <f>IFERROR(_xlfn.CONCAT("K",('Configurable Tab'!$C$25+8)),"")</f>
        <v>K255</v>
      </c>
      <c r="D2117" s="826" t="s">
        <v>1350</v>
      </c>
      <c r="E2117" s="826" t="s">
        <v>1742</v>
      </c>
      <c r="F2117" s="1350"/>
      <c r="G2117" s="1350"/>
      <c r="H2117" s="1350"/>
      <c r="I2117" s="1274" t="str">
        <f t="shared" si="338"/>
        <v/>
      </c>
      <c r="J2117" s="1350" t="str">
        <f t="shared" si="342"/>
        <v/>
      </c>
      <c r="K2117" s="1350" t="str">
        <f t="shared" si="339"/>
        <v/>
      </c>
      <c r="M2117" s="1349"/>
      <c r="R2117" s="1350" t="s">
        <v>2045</v>
      </c>
    </row>
    <row r="2118" spans="1:18" s="1348" customFormat="1" x14ac:dyDescent="0.25">
      <c r="A2118" s="846" t="s">
        <v>1397</v>
      </c>
      <c r="B2118" s="1274" t="str">
        <f>IFERROR(_xlfn.CONCAT("K",('Configurable Tab'!$C$25+1)),"")</f>
        <v>K248</v>
      </c>
      <c r="C2118" s="1274" t="str">
        <f>IFERROR(_xlfn.CONCAT("K",('Configurable Tab'!$C$25+2)),"")</f>
        <v>K249</v>
      </c>
      <c r="D2118" s="826" t="s">
        <v>1350</v>
      </c>
      <c r="E2118" s="826" t="s">
        <v>1742</v>
      </c>
      <c r="F2118" s="1350"/>
      <c r="G2118" s="1350"/>
      <c r="H2118" s="1350"/>
      <c r="I2118" s="1274" t="str">
        <f t="shared" si="338"/>
        <v/>
      </c>
      <c r="J2118" s="1350" t="str">
        <f t="shared" si="342"/>
        <v/>
      </c>
      <c r="K2118" s="1350" t="str">
        <f t="shared" si="339"/>
        <v/>
      </c>
      <c r="M2118" s="1349"/>
      <c r="R2118" s="1350" t="s">
        <v>2045</v>
      </c>
    </row>
    <row r="2119" spans="1:18" s="1348" customFormat="1" x14ac:dyDescent="0.25">
      <c r="A2119" s="849" t="s">
        <v>1705</v>
      </c>
      <c r="B2119" s="1274" t="str">
        <f>IFERROR(_xlfn.CONCAT("D",('Configurable Tab'!$C$26+1)),"")</f>
        <v>D259</v>
      </c>
      <c r="C2119" s="1274" t="str">
        <f>IFERROR(_xlfn.CONCAT("E",('Configurable Tab'!$C$26+1)),"")</f>
        <v>E259</v>
      </c>
      <c r="D2119" s="826" t="s">
        <v>1350</v>
      </c>
      <c r="E2119" s="826" t="s">
        <v>1742</v>
      </c>
      <c r="F2119" s="1350"/>
      <c r="G2119" s="1350"/>
      <c r="H2119" s="1350"/>
      <c r="I2119" s="1274" t="str">
        <f t="shared" si="338"/>
        <v/>
      </c>
      <c r="J2119" s="1350" t="str">
        <f>IF($Q$2024="Yes",Q$1&amp;M2024,"")</f>
        <v/>
      </c>
      <c r="K2119" s="1350" t="str">
        <f t="shared" si="339"/>
        <v/>
      </c>
      <c r="M2119" s="1349"/>
      <c r="Q2119" s="1274" t="str">
        <f>IFERROR(_xlfn.CONCAT("C",('Configurable Tab'!$C26+1)),"")</f>
        <v>C259</v>
      </c>
      <c r="R2119" s="1350" t="s">
        <v>2046</v>
      </c>
    </row>
    <row r="2120" spans="1:18" s="1348" customFormat="1" x14ac:dyDescent="0.25">
      <c r="A2120" s="849" t="s">
        <v>1383</v>
      </c>
      <c r="B2120" s="1274" t="str">
        <f>IFERROR(_xlfn.CONCAT("D",('Configurable Tab'!$C$26+2)),"")</f>
        <v>D260</v>
      </c>
      <c r="C2120" s="1274" t="str">
        <f>IFERROR(_xlfn.CONCAT("E",('Configurable Tab'!$C$26+2)),"")</f>
        <v>E260</v>
      </c>
      <c r="D2120" s="826" t="s">
        <v>1350</v>
      </c>
      <c r="E2120" s="826" t="s">
        <v>1742</v>
      </c>
      <c r="F2120" s="1350"/>
      <c r="G2120" s="1350"/>
      <c r="H2120" s="1350"/>
      <c r="I2120" s="1274" t="str">
        <f t="shared" si="338"/>
        <v/>
      </c>
      <c r="J2120" s="1350" t="str">
        <f t="shared" ref="J2120:J2128" si="343">IF($Q$2024="Yes",Q$1&amp;M2025,"")</f>
        <v/>
      </c>
      <c r="K2120" s="1350" t="str">
        <f t="shared" si="339"/>
        <v/>
      </c>
      <c r="M2120" s="1349"/>
      <c r="R2120" s="1350" t="s">
        <v>2046</v>
      </c>
    </row>
    <row r="2121" spans="1:18" s="1348" customFormat="1" x14ac:dyDescent="0.25">
      <c r="A2121" s="849" t="s">
        <v>1381</v>
      </c>
      <c r="B2121" s="1274" t="str">
        <f>IFERROR(_xlfn.CONCAT("I",('Configurable Tab'!$C$26+1)),"")</f>
        <v>I259</v>
      </c>
      <c r="C2121" s="1274" t="str">
        <f>IFERROR(_xlfn.CONCAT("I",('Configurable Tab'!$C$26+2)),"")</f>
        <v>I260</v>
      </c>
      <c r="D2121" s="826" t="s">
        <v>1350</v>
      </c>
      <c r="E2121" s="826" t="s">
        <v>1742</v>
      </c>
      <c r="F2121" s="1350"/>
      <c r="G2121" s="1350"/>
      <c r="H2121" s="1350"/>
      <c r="I2121" s="1274" t="str">
        <f t="shared" si="338"/>
        <v/>
      </c>
      <c r="J2121" s="1350" t="str">
        <f t="shared" si="343"/>
        <v/>
      </c>
      <c r="K2121" s="1350" t="str">
        <f t="shared" si="339"/>
        <v/>
      </c>
      <c r="M2121" s="1349"/>
      <c r="R2121" s="1350" t="s">
        <v>2046</v>
      </c>
    </row>
    <row r="2122" spans="1:18" s="1348" customFormat="1" x14ac:dyDescent="0.25">
      <c r="A2122" s="849" t="s">
        <v>1382</v>
      </c>
      <c r="B2122" s="1274" t="str">
        <f>IFERROR(_xlfn.CONCAT("M",('Configurable Tab'!$C$26+1)),"")</f>
        <v>M259</v>
      </c>
      <c r="C2122" s="1274" t="str">
        <f>IFERROR(_xlfn.CONCAT("M",('Configurable Tab'!$C$26+2)),"")</f>
        <v>M260</v>
      </c>
      <c r="D2122" s="826" t="s">
        <v>1350</v>
      </c>
      <c r="E2122" s="826" t="s">
        <v>1742</v>
      </c>
      <c r="F2122" s="1350"/>
      <c r="G2122" s="1350"/>
      <c r="H2122" s="1350"/>
      <c r="I2122" s="1274" t="str">
        <f t="shared" si="338"/>
        <v/>
      </c>
      <c r="J2122" s="1350" t="str">
        <f t="shared" si="343"/>
        <v/>
      </c>
      <c r="K2122" s="1350" t="str">
        <f t="shared" si="339"/>
        <v/>
      </c>
      <c r="M2122" s="1349"/>
      <c r="R2122" s="1350" t="s">
        <v>2046</v>
      </c>
    </row>
    <row r="2123" spans="1:18" s="1348" customFormat="1" x14ac:dyDescent="0.25">
      <c r="A2123" s="849" t="s">
        <v>1385</v>
      </c>
      <c r="B2123" s="1274" t="str">
        <f>IFERROR(_xlfn.CONCAT("D",('Configurable Tab'!$C$26+4)),"")</f>
        <v>D262</v>
      </c>
      <c r="C2123" s="1274" t="str">
        <f>IFERROR(_xlfn.CONCAT("E",('Configurable Tab'!$C$26+4)),"")</f>
        <v>E262</v>
      </c>
      <c r="D2123" s="826" t="s">
        <v>1350</v>
      </c>
      <c r="E2123" s="826" t="s">
        <v>1742</v>
      </c>
      <c r="F2123" s="1350"/>
      <c r="G2123" s="1350"/>
      <c r="H2123" s="1350"/>
      <c r="I2123" s="1274" t="str">
        <f t="shared" si="338"/>
        <v/>
      </c>
      <c r="J2123" s="1350" t="str">
        <f t="shared" si="343"/>
        <v/>
      </c>
      <c r="K2123" s="1350" t="str">
        <f t="shared" si="339"/>
        <v/>
      </c>
      <c r="M2123" s="1349"/>
      <c r="R2123" s="1350" t="s">
        <v>2046</v>
      </c>
    </row>
    <row r="2124" spans="1:18" s="1348" customFormat="1" x14ac:dyDescent="0.25">
      <c r="A2124" s="849" t="s">
        <v>1386</v>
      </c>
      <c r="B2124" s="1274" t="str">
        <f>IFERROR(_xlfn.CONCAT("D",('Configurable Tab'!$C$26+5)),"")</f>
        <v>D263</v>
      </c>
      <c r="C2124" s="1274" t="str">
        <f>IFERROR(_xlfn.CONCAT("E",('Configurable Tab'!$C$26+5)),"")</f>
        <v>E263</v>
      </c>
      <c r="D2124" s="826" t="s">
        <v>1350</v>
      </c>
      <c r="E2124" s="826" t="s">
        <v>1742</v>
      </c>
      <c r="F2124" s="1350"/>
      <c r="G2124" s="1350"/>
      <c r="H2124" s="1350"/>
      <c r="I2124" s="1274" t="str">
        <f t="shared" si="338"/>
        <v/>
      </c>
      <c r="J2124" s="1350" t="str">
        <f t="shared" si="343"/>
        <v/>
      </c>
      <c r="K2124" s="1350" t="str">
        <f t="shared" si="339"/>
        <v/>
      </c>
      <c r="M2124" s="1349"/>
      <c r="R2124" s="1350" t="s">
        <v>2046</v>
      </c>
    </row>
    <row r="2125" spans="1:18" s="1348" customFormat="1" x14ac:dyDescent="0.25">
      <c r="A2125" s="849" t="s">
        <v>1396</v>
      </c>
      <c r="B2125" s="1274" t="str">
        <f>IFERROR(_xlfn.CONCAT("G",('Configurable Tab'!$C$26+4)),"")</f>
        <v>G262</v>
      </c>
      <c r="C2125" s="1274" t="str">
        <f>IFERROR(_xlfn.CONCAT("G",('Configurable Tab'!$C$26+5)),"")</f>
        <v>G263</v>
      </c>
      <c r="D2125" s="826" t="s">
        <v>1350</v>
      </c>
      <c r="E2125" s="826" t="s">
        <v>1742</v>
      </c>
      <c r="F2125" s="1350"/>
      <c r="G2125" s="1350"/>
      <c r="H2125" s="1350"/>
      <c r="I2125" s="1274" t="str">
        <f t="shared" si="338"/>
        <v/>
      </c>
      <c r="J2125" s="1350" t="str">
        <f t="shared" si="343"/>
        <v/>
      </c>
      <c r="K2125" s="1350" t="str">
        <f t="shared" si="339"/>
        <v/>
      </c>
      <c r="M2125" s="1349"/>
      <c r="R2125" s="1350" t="s">
        <v>2046</v>
      </c>
    </row>
    <row r="2126" spans="1:18" s="1348" customFormat="1" x14ac:dyDescent="0.25">
      <c r="A2126" s="849" t="s">
        <v>2005</v>
      </c>
      <c r="B2126" s="1274" t="str">
        <f>IFERROR(_xlfn.CONCAT("G",('Configurable Tab'!$C$26+7)),"")</f>
        <v>G265</v>
      </c>
      <c r="C2126" s="1274" t="str">
        <f>IFERROR(_xlfn.CONCAT("G",('Configurable Tab'!$C$26+8)),"")</f>
        <v>G266</v>
      </c>
      <c r="D2126" s="826" t="s">
        <v>1350</v>
      </c>
      <c r="E2126" s="826" t="s">
        <v>1742</v>
      </c>
      <c r="F2126" s="1350"/>
      <c r="G2126" s="1350"/>
      <c r="H2126" s="1350"/>
      <c r="I2126" s="1274" t="str">
        <f t="shared" si="338"/>
        <v/>
      </c>
      <c r="J2126" s="1350" t="str">
        <f t="shared" si="343"/>
        <v/>
      </c>
      <c r="K2126" s="1350" t="str">
        <f t="shared" si="339"/>
        <v/>
      </c>
      <c r="M2126" s="1349"/>
      <c r="R2126" s="1350" t="s">
        <v>2046</v>
      </c>
    </row>
    <row r="2127" spans="1:18" s="1348" customFormat="1" x14ac:dyDescent="0.25">
      <c r="A2127" s="849" t="s">
        <v>1482</v>
      </c>
      <c r="B2127" s="1274" t="str">
        <f>IFERROR(_xlfn.CONCAT("K",('Configurable Tab'!$C$26+7)),"")</f>
        <v>K265</v>
      </c>
      <c r="C2127" s="1274" t="str">
        <f>IFERROR(_xlfn.CONCAT("K",('Configurable Tab'!$C$26+8)),"")</f>
        <v>K266</v>
      </c>
      <c r="D2127" s="826" t="s">
        <v>1350</v>
      </c>
      <c r="E2127" s="826" t="s">
        <v>1742</v>
      </c>
      <c r="F2127" s="1350"/>
      <c r="G2127" s="1350"/>
      <c r="H2127" s="1350"/>
      <c r="I2127" s="1274" t="str">
        <f t="shared" si="338"/>
        <v/>
      </c>
      <c r="J2127" s="1350" t="str">
        <f t="shared" si="343"/>
        <v/>
      </c>
      <c r="K2127" s="1350" t="str">
        <f t="shared" si="339"/>
        <v/>
      </c>
      <c r="M2127" s="1349"/>
      <c r="R2127" s="1350" t="s">
        <v>2046</v>
      </c>
    </row>
    <row r="2128" spans="1:18" s="1348" customFormat="1" x14ac:dyDescent="0.25">
      <c r="A2128" s="849" t="s">
        <v>1397</v>
      </c>
      <c r="B2128" s="1274" t="str">
        <f>IFERROR(_xlfn.CONCAT("K",('Configurable Tab'!$C$26+1)),"")</f>
        <v>K259</v>
      </c>
      <c r="C2128" s="1274" t="str">
        <f>IFERROR(_xlfn.CONCAT("K",('Configurable Tab'!$C$26+2)),"")</f>
        <v>K260</v>
      </c>
      <c r="D2128" s="826" t="s">
        <v>1350</v>
      </c>
      <c r="E2128" s="826" t="s">
        <v>1742</v>
      </c>
      <c r="F2128" s="1350"/>
      <c r="G2128" s="1350"/>
      <c r="H2128" s="1350"/>
      <c r="I2128" s="1274" t="str">
        <f t="shared" si="338"/>
        <v/>
      </c>
      <c r="J2128" s="1350" t="str">
        <f t="shared" si="343"/>
        <v/>
      </c>
      <c r="K2128" s="1350" t="str">
        <f t="shared" si="339"/>
        <v/>
      </c>
      <c r="M2128" s="1349"/>
      <c r="R2128" s="1350" t="s">
        <v>2046</v>
      </c>
    </row>
    <row r="2129" spans="1:18" s="1348" customFormat="1" x14ac:dyDescent="0.25">
      <c r="A2129" s="846" t="s">
        <v>1705</v>
      </c>
      <c r="B2129" s="1274" t="str">
        <f>IFERROR(_xlfn.CONCAT("D",('Configurable Tab'!$C$27+1)),"")</f>
        <v>D270</v>
      </c>
      <c r="C2129" s="1274" t="str">
        <f>IFERROR(_xlfn.CONCAT("E",('Configurable Tab'!$C$27+1)),"")</f>
        <v>E270</v>
      </c>
      <c r="D2129" s="826" t="s">
        <v>1350</v>
      </c>
      <c r="E2129" s="826" t="s">
        <v>1742</v>
      </c>
      <c r="F2129" s="1350"/>
      <c r="G2129" s="1350"/>
      <c r="H2129" s="1350"/>
      <c r="I2129" s="1274" t="str">
        <f t="shared" si="338"/>
        <v/>
      </c>
      <c r="J2129" s="1350" t="str">
        <f>IF($Q$2035="Yes",Q$1&amp;M2035,"")</f>
        <v/>
      </c>
      <c r="K2129" s="1350" t="str">
        <f t="shared" si="339"/>
        <v/>
      </c>
      <c r="M2129" s="1349"/>
      <c r="Q2129" s="1274" t="str">
        <f>IFERROR(_xlfn.CONCAT("C",('Configurable Tab'!$C27+1)),"")</f>
        <v>C270</v>
      </c>
      <c r="R2129" s="1350" t="s">
        <v>2047</v>
      </c>
    </row>
    <row r="2130" spans="1:18" s="1348" customFormat="1" x14ac:dyDescent="0.25">
      <c r="A2130" s="846" t="s">
        <v>1383</v>
      </c>
      <c r="B2130" s="1274" t="str">
        <f>IFERROR(_xlfn.CONCAT("D",('Configurable Tab'!$C$27+2)),"")</f>
        <v>D271</v>
      </c>
      <c r="C2130" s="1274" t="str">
        <f>IFERROR(_xlfn.CONCAT("E",('Configurable Tab'!$C$27+2)),"")</f>
        <v>E271</v>
      </c>
      <c r="D2130" s="826" t="s">
        <v>1350</v>
      </c>
      <c r="E2130" s="826" t="s">
        <v>1742</v>
      </c>
      <c r="F2130" s="1350"/>
      <c r="G2130" s="1350"/>
      <c r="H2130" s="1350"/>
      <c r="I2130" s="1274" t="str">
        <f t="shared" si="338"/>
        <v/>
      </c>
      <c r="J2130" s="1350" t="str">
        <f t="shared" ref="J2130:J2138" si="344">IF($Q$2035="Yes",Q$1&amp;M2036,"")</f>
        <v/>
      </c>
      <c r="K2130" s="1350" t="str">
        <f t="shared" si="339"/>
        <v/>
      </c>
      <c r="M2130" s="1349"/>
      <c r="R2130" s="1350" t="s">
        <v>2047</v>
      </c>
    </row>
    <row r="2131" spans="1:18" s="1348" customFormat="1" x14ac:dyDescent="0.25">
      <c r="A2131" s="846" t="s">
        <v>1381</v>
      </c>
      <c r="B2131" s="1274" t="str">
        <f>IFERROR(_xlfn.CONCAT("I",('Configurable Tab'!$C$27+1)),"")</f>
        <v>I270</v>
      </c>
      <c r="C2131" s="1274" t="str">
        <f>IFERROR(_xlfn.CONCAT("I",('Configurable Tab'!$C$27+2)),"")</f>
        <v>I271</v>
      </c>
      <c r="D2131" s="826" t="s">
        <v>1350</v>
      </c>
      <c r="E2131" s="826" t="s">
        <v>1742</v>
      </c>
      <c r="F2131" s="1350"/>
      <c r="G2131" s="1350"/>
      <c r="H2131" s="1350"/>
      <c r="I2131" s="1274" t="str">
        <f t="shared" si="338"/>
        <v/>
      </c>
      <c r="J2131" s="1350" t="str">
        <f t="shared" si="344"/>
        <v/>
      </c>
      <c r="K2131" s="1350" t="str">
        <f t="shared" si="339"/>
        <v/>
      </c>
      <c r="M2131" s="1349"/>
      <c r="R2131" s="1350" t="s">
        <v>2047</v>
      </c>
    </row>
    <row r="2132" spans="1:18" s="1348" customFormat="1" x14ac:dyDescent="0.25">
      <c r="A2132" s="846" t="s">
        <v>1382</v>
      </c>
      <c r="B2132" s="1274" t="str">
        <f>IFERROR(_xlfn.CONCAT("M",('Configurable Tab'!$C$27+1)),"")</f>
        <v>M270</v>
      </c>
      <c r="C2132" s="1274" t="str">
        <f>IFERROR(_xlfn.CONCAT("M",('Configurable Tab'!$C$27+2)),"")</f>
        <v>M271</v>
      </c>
      <c r="D2132" s="826" t="s">
        <v>1350</v>
      </c>
      <c r="E2132" s="826" t="s">
        <v>1742</v>
      </c>
      <c r="F2132" s="1350"/>
      <c r="G2132" s="1350"/>
      <c r="H2132" s="1350"/>
      <c r="I2132" s="1274" t="str">
        <f t="shared" si="338"/>
        <v/>
      </c>
      <c r="J2132" s="1350" t="str">
        <f t="shared" si="344"/>
        <v/>
      </c>
      <c r="K2132" s="1350" t="str">
        <f t="shared" si="339"/>
        <v/>
      </c>
      <c r="M2132" s="1349"/>
      <c r="R2132" s="1350" t="s">
        <v>2047</v>
      </c>
    </row>
    <row r="2133" spans="1:18" s="1348" customFormat="1" x14ac:dyDescent="0.25">
      <c r="A2133" s="846" t="s">
        <v>1385</v>
      </c>
      <c r="B2133" s="1274" t="str">
        <f>IFERROR(_xlfn.CONCAT("D",('Configurable Tab'!$C$27+4)),"")</f>
        <v>D273</v>
      </c>
      <c r="C2133" s="1274" t="str">
        <f>IFERROR(_xlfn.CONCAT("E",('Configurable Tab'!$C$27+4)),"")</f>
        <v>E273</v>
      </c>
      <c r="D2133" s="826" t="s">
        <v>1350</v>
      </c>
      <c r="E2133" s="826" t="s">
        <v>1742</v>
      </c>
      <c r="F2133" s="1350"/>
      <c r="G2133" s="1350"/>
      <c r="H2133" s="1350"/>
      <c r="I2133" s="1274" t="str">
        <f t="shared" si="338"/>
        <v/>
      </c>
      <c r="J2133" s="1350" t="str">
        <f t="shared" si="344"/>
        <v/>
      </c>
      <c r="K2133" s="1350" t="str">
        <f t="shared" si="339"/>
        <v/>
      </c>
      <c r="M2133" s="1349"/>
      <c r="R2133" s="1350" t="s">
        <v>2047</v>
      </c>
    </row>
    <row r="2134" spans="1:18" s="1348" customFormat="1" x14ac:dyDescent="0.25">
      <c r="A2134" s="846" t="s">
        <v>1386</v>
      </c>
      <c r="B2134" s="1274" t="str">
        <f>IFERROR(_xlfn.CONCAT("D",('Configurable Tab'!$C$27+5)),"")</f>
        <v>D274</v>
      </c>
      <c r="C2134" s="1274" t="str">
        <f>IFERROR(_xlfn.CONCAT("E",('Configurable Tab'!$C$27+5)),"")</f>
        <v>E274</v>
      </c>
      <c r="D2134" s="826" t="s">
        <v>1350</v>
      </c>
      <c r="E2134" s="826" t="s">
        <v>1742</v>
      </c>
      <c r="F2134" s="1350"/>
      <c r="G2134" s="1350"/>
      <c r="H2134" s="1350"/>
      <c r="I2134" s="1274" t="str">
        <f t="shared" si="338"/>
        <v/>
      </c>
      <c r="J2134" s="1350" t="str">
        <f t="shared" si="344"/>
        <v/>
      </c>
      <c r="K2134" s="1350" t="str">
        <f t="shared" si="339"/>
        <v/>
      </c>
      <c r="M2134" s="1349"/>
      <c r="R2134" s="1350" t="s">
        <v>2047</v>
      </c>
    </row>
    <row r="2135" spans="1:18" s="1348" customFormat="1" x14ac:dyDescent="0.25">
      <c r="A2135" s="846" t="s">
        <v>1396</v>
      </c>
      <c r="B2135" s="1274" t="str">
        <f>IFERROR(_xlfn.CONCAT("G",('Configurable Tab'!$C$27+4)),"")</f>
        <v>G273</v>
      </c>
      <c r="C2135" s="1274" t="str">
        <f>IFERROR(_xlfn.CONCAT("G",('Configurable Tab'!$C$27+5)),"")</f>
        <v>G274</v>
      </c>
      <c r="D2135" s="826" t="s">
        <v>1350</v>
      </c>
      <c r="E2135" s="826" t="s">
        <v>1742</v>
      </c>
      <c r="F2135" s="1350"/>
      <c r="G2135" s="1350"/>
      <c r="H2135" s="1350"/>
      <c r="I2135" s="1274" t="str">
        <f t="shared" si="338"/>
        <v/>
      </c>
      <c r="J2135" s="1350" t="str">
        <f t="shared" si="344"/>
        <v/>
      </c>
      <c r="K2135" s="1350" t="str">
        <f t="shared" si="339"/>
        <v/>
      </c>
      <c r="M2135" s="1349"/>
      <c r="R2135" s="1350" t="s">
        <v>2047</v>
      </c>
    </row>
    <row r="2136" spans="1:18" s="1348" customFormat="1" x14ac:dyDescent="0.25">
      <c r="A2136" s="846" t="s">
        <v>2005</v>
      </c>
      <c r="B2136" s="1274" t="str">
        <f>IFERROR(_xlfn.CONCAT("G",('Configurable Tab'!$C$27+7)),"")</f>
        <v>G276</v>
      </c>
      <c r="C2136" s="1274" t="str">
        <f>IFERROR(_xlfn.CONCAT("G",('Configurable Tab'!$C$27+8)),"")</f>
        <v>G277</v>
      </c>
      <c r="D2136" s="826" t="s">
        <v>1350</v>
      </c>
      <c r="E2136" s="826" t="s">
        <v>1742</v>
      </c>
      <c r="F2136" s="1350"/>
      <c r="G2136" s="1350"/>
      <c r="H2136" s="1350"/>
      <c r="I2136" s="1274" t="str">
        <f t="shared" si="338"/>
        <v/>
      </c>
      <c r="J2136" s="1350" t="str">
        <f t="shared" si="344"/>
        <v/>
      </c>
      <c r="K2136" s="1350" t="str">
        <f t="shared" si="339"/>
        <v/>
      </c>
      <c r="M2136" s="1349"/>
      <c r="R2136" s="1350" t="s">
        <v>2047</v>
      </c>
    </row>
    <row r="2137" spans="1:18" s="1348" customFormat="1" x14ac:dyDescent="0.25">
      <c r="A2137" s="846" t="s">
        <v>1482</v>
      </c>
      <c r="B2137" s="1274" t="str">
        <f>IFERROR(_xlfn.CONCAT("K",('Configurable Tab'!$C$27+7)),"")</f>
        <v>K276</v>
      </c>
      <c r="C2137" s="1274" t="str">
        <f>IFERROR(_xlfn.CONCAT("K",('Configurable Tab'!$C$27+8)),"")</f>
        <v>K277</v>
      </c>
      <c r="D2137" s="826" t="s">
        <v>1350</v>
      </c>
      <c r="E2137" s="826" t="s">
        <v>1742</v>
      </c>
      <c r="F2137" s="1350"/>
      <c r="G2137" s="1350"/>
      <c r="H2137" s="1350"/>
      <c r="I2137" s="1274" t="str">
        <f t="shared" si="338"/>
        <v/>
      </c>
      <c r="J2137" s="1350" t="str">
        <f t="shared" si="344"/>
        <v/>
      </c>
      <c r="K2137" s="1350" t="str">
        <f t="shared" si="339"/>
        <v/>
      </c>
      <c r="M2137" s="1349"/>
      <c r="R2137" s="1350" t="s">
        <v>2047</v>
      </c>
    </row>
    <row r="2138" spans="1:18" s="1348" customFormat="1" x14ac:dyDescent="0.25">
      <c r="A2138" s="846" t="s">
        <v>1397</v>
      </c>
      <c r="B2138" s="1274" t="str">
        <f>IFERROR(_xlfn.CONCAT("K",('Configurable Tab'!$C$27+1)),"")</f>
        <v>K270</v>
      </c>
      <c r="C2138" s="1274" t="str">
        <f>IFERROR(_xlfn.CONCAT("K",('Configurable Tab'!$C$27+2)),"")</f>
        <v>K271</v>
      </c>
      <c r="D2138" s="826" t="s">
        <v>1350</v>
      </c>
      <c r="E2138" s="826" t="s">
        <v>1742</v>
      </c>
      <c r="F2138" s="1350"/>
      <c r="G2138" s="1350"/>
      <c r="H2138" s="1350"/>
      <c r="I2138" s="1274" t="str">
        <f t="shared" si="338"/>
        <v/>
      </c>
      <c r="J2138" s="1350" t="str">
        <f t="shared" si="344"/>
        <v/>
      </c>
      <c r="K2138" s="1350" t="str">
        <f t="shared" si="339"/>
        <v/>
      </c>
      <c r="M2138" s="1349"/>
      <c r="R2138" s="1350" t="s">
        <v>2047</v>
      </c>
    </row>
    <row r="2139" spans="1:18" s="1348" customFormat="1" x14ac:dyDescent="0.25">
      <c r="A2139" s="849" t="s">
        <v>1705</v>
      </c>
      <c r="B2139" s="1274" t="str">
        <f>IFERROR(_xlfn.CONCAT("D",('Configurable Tab'!$C$28+1)),"")</f>
        <v>D281</v>
      </c>
      <c r="C2139" s="1274" t="str">
        <f>IFERROR(_xlfn.CONCAT("E",('Configurable Tab'!$C$28+1)),"")</f>
        <v>E281</v>
      </c>
      <c r="D2139" s="826" t="s">
        <v>1350</v>
      </c>
      <c r="E2139" s="826" t="s">
        <v>1742</v>
      </c>
      <c r="F2139" s="1350"/>
      <c r="G2139" s="1350"/>
      <c r="H2139" s="1350"/>
      <c r="I2139" s="1274" t="str">
        <f t="shared" si="338"/>
        <v/>
      </c>
      <c r="J2139" s="1350" t="str">
        <f>IF($Q$2046="Yes",Q$1&amp;M2046,"")</f>
        <v/>
      </c>
      <c r="K2139" s="1350" t="str">
        <f t="shared" si="339"/>
        <v/>
      </c>
      <c r="M2139" s="1349"/>
      <c r="Q2139" s="1274" t="str">
        <f>IFERROR(_xlfn.CONCAT("C",('Configurable Tab'!$C28+1)),"")</f>
        <v>C281</v>
      </c>
      <c r="R2139" s="1350" t="s">
        <v>2048</v>
      </c>
    </row>
    <row r="2140" spans="1:18" s="1348" customFormat="1" x14ac:dyDescent="0.25">
      <c r="A2140" s="849" t="s">
        <v>1383</v>
      </c>
      <c r="B2140" s="1274" t="str">
        <f>IFERROR(_xlfn.CONCAT("D",('Configurable Tab'!$C$28+2)),"")</f>
        <v>D282</v>
      </c>
      <c r="C2140" s="1274" t="str">
        <f>IFERROR(_xlfn.CONCAT("E",('Configurable Tab'!$C$28+2)),"")</f>
        <v>E282</v>
      </c>
      <c r="D2140" s="826" t="s">
        <v>1350</v>
      </c>
      <c r="E2140" s="826" t="s">
        <v>1742</v>
      </c>
      <c r="F2140" s="1350"/>
      <c r="G2140" s="1350"/>
      <c r="H2140" s="1350"/>
      <c r="I2140" s="1274" t="str">
        <f t="shared" si="338"/>
        <v/>
      </c>
      <c r="J2140" s="1350" t="str">
        <f t="shared" ref="J2140:J2148" si="345">IF($Q$2046="Yes",Q$1&amp;M2047,"")</f>
        <v/>
      </c>
      <c r="K2140" s="1350" t="str">
        <f t="shared" si="339"/>
        <v/>
      </c>
      <c r="M2140" s="1349"/>
      <c r="R2140" s="1350" t="s">
        <v>2048</v>
      </c>
    </row>
    <row r="2141" spans="1:18" s="1348" customFormat="1" x14ac:dyDescent="0.25">
      <c r="A2141" s="849" t="s">
        <v>1381</v>
      </c>
      <c r="B2141" s="1274" t="str">
        <f>IFERROR(_xlfn.CONCAT("I",('Configurable Tab'!$C$28+1)),"")</f>
        <v>I281</v>
      </c>
      <c r="C2141" s="1274" t="str">
        <f>IFERROR(_xlfn.CONCAT("I",('Configurable Tab'!$C$28+2)),"")</f>
        <v>I282</v>
      </c>
      <c r="D2141" s="826" t="s">
        <v>1350</v>
      </c>
      <c r="E2141" s="826" t="s">
        <v>1742</v>
      </c>
      <c r="F2141" s="1350"/>
      <c r="G2141" s="1350"/>
      <c r="H2141" s="1350"/>
      <c r="I2141" s="1274" t="str">
        <f t="shared" si="338"/>
        <v/>
      </c>
      <c r="J2141" s="1350" t="str">
        <f t="shared" si="345"/>
        <v/>
      </c>
      <c r="K2141" s="1350" t="str">
        <f t="shared" si="339"/>
        <v/>
      </c>
      <c r="M2141" s="1349"/>
      <c r="R2141" s="1350" t="s">
        <v>2048</v>
      </c>
    </row>
    <row r="2142" spans="1:18" s="1348" customFormat="1" x14ac:dyDescent="0.25">
      <c r="A2142" s="849" t="s">
        <v>1382</v>
      </c>
      <c r="B2142" s="1274" t="str">
        <f>IFERROR(_xlfn.CONCAT("M",('Configurable Tab'!$C$28+1)),"")</f>
        <v>M281</v>
      </c>
      <c r="C2142" s="1274" t="str">
        <f>IFERROR(_xlfn.CONCAT("M",('Configurable Tab'!$C$28+2)),"")</f>
        <v>M282</v>
      </c>
      <c r="D2142" s="826" t="s">
        <v>1350</v>
      </c>
      <c r="E2142" s="826" t="s">
        <v>1742</v>
      </c>
      <c r="F2142" s="1350"/>
      <c r="G2142" s="1350"/>
      <c r="H2142" s="1350"/>
      <c r="I2142" s="1274" t="str">
        <f t="shared" si="338"/>
        <v/>
      </c>
      <c r="J2142" s="1350" t="str">
        <f t="shared" si="345"/>
        <v/>
      </c>
      <c r="K2142" s="1350" t="str">
        <f t="shared" si="339"/>
        <v/>
      </c>
      <c r="M2142" s="1349"/>
      <c r="R2142" s="1350" t="s">
        <v>2048</v>
      </c>
    </row>
    <row r="2143" spans="1:18" s="1348" customFormat="1" x14ac:dyDescent="0.25">
      <c r="A2143" s="849" t="s">
        <v>1385</v>
      </c>
      <c r="B2143" s="1274" t="str">
        <f>IFERROR(_xlfn.CONCAT("D",('Configurable Tab'!$C$28+4)),"")</f>
        <v>D284</v>
      </c>
      <c r="C2143" s="1274" t="str">
        <f>IFERROR(_xlfn.CONCAT("E",('Configurable Tab'!$C$28+4)),"")</f>
        <v>E284</v>
      </c>
      <c r="D2143" s="826" t="s">
        <v>1350</v>
      </c>
      <c r="E2143" s="826" t="s">
        <v>1742</v>
      </c>
      <c r="F2143" s="1350"/>
      <c r="G2143" s="1350"/>
      <c r="H2143" s="1350"/>
      <c r="I2143" s="1274" t="str">
        <f t="shared" si="338"/>
        <v/>
      </c>
      <c r="J2143" s="1350" t="str">
        <f t="shared" si="345"/>
        <v/>
      </c>
      <c r="K2143" s="1350" t="str">
        <f t="shared" si="339"/>
        <v/>
      </c>
      <c r="M2143" s="1349"/>
      <c r="R2143" s="1350" t="s">
        <v>2048</v>
      </c>
    </row>
    <row r="2144" spans="1:18" s="1348" customFormat="1" x14ac:dyDescent="0.25">
      <c r="A2144" s="849" t="s">
        <v>1386</v>
      </c>
      <c r="B2144" s="1274" t="str">
        <f>IFERROR(_xlfn.CONCAT("D",('Configurable Tab'!$C$28+5)),"")</f>
        <v>D285</v>
      </c>
      <c r="C2144" s="1274" t="str">
        <f>IFERROR(_xlfn.CONCAT("E",('Configurable Tab'!$C$28+5)),"")</f>
        <v>E285</v>
      </c>
      <c r="D2144" s="826" t="s">
        <v>1350</v>
      </c>
      <c r="E2144" s="826" t="s">
        <v>1742</v>
      </c>
      <c r="F2144" s="1350"/>
      <c r="G2144" s="1350"/>
      <c r="H2144" s="1350"/>
      <c r="I2144" s="1274" t="str">
        <f t="shared" si="338"/>
        <v/>
      </c>
      <c r="J2144" s="1350" t="str">
        <f t="shared" si="345"/>
        <v/>
      </c>
      <c r="K2144" s="1350" t="str">
        <f t="shared" si="339"/>
        <v/>
      </c>
      <c r="M2144" s="1349"/>
      <c r="R2144" s="1350" t="s">
        <v>2048</v>
      </c>
    </row>
    <row r="2145" spans="1:18" s="1348" customFormat="1" x14ac:dyDescent="0.25">
      <c r="A2145" s="849" t="s">
        <v>1396</v>
      </c>
      <c r="B2145" s="1274" t="str">
        <f>IFERROR(_xlfn.CONCAT("G",('Configurable Tab'!$C$28+4)),"")</f>
        <v>G284</v>
      </c>
      <c r="C2145" s="1274" t="str">
        <f>IFERROR(_xlfn.CONCAT("G",('Configurable Tab'!$C$28+5)),"")</f>
        <v>G285</v>
      </c>
      <c r="D2145" s="826" t="s">
        <v>1350</v>
      </c>
      <c r="E2145" s="826" t="s">
        <v>1742</v>
      </c>
      <c r="F2145" s="1350"/>
      <c r="G2145" s="1350"/>
      <c r="H2145" s="1350"/>
      <c r="I2145" s="1274" t="str">
        <f t="shared" si="338"/>
        <v/>
      </c>
      <c r="J2145" s="1350" t="str">
        <f t="shared" si="345"/>
        <v/>
      </c>
      <c r="K2145" s="1350" t="str">
        <f t="shared" si="339"/>
        <v/>
      </c>
      <c r="M2145" s="1349"/>
      <c r="R2145" s="1350" t="s">
        <v>2048</v>
      </c>
    </row>
    <row r="2146" spans="1:18" s="1348" customFormat="1" x14ac:dyDescent="0.25">
      <c r="A2146" s="849" t="s">
        <v>2005</v>
      </c>
      <c r="B2146" s="1274" t="str">
        <f>IFERROR(_xlfn.CONCAT("G",('Configurable Tab'!$C$28+7)),"")</f>
        <v>G287</v>
      </c>
      <c r="C2146" s="1274" t="str">
        <f>IFERROR(_xlfn.CONCAT("G",('Configurable Tab'!$C$28+8)),"")</f>
        <v>G288</v>
      </c>
      <c r="D2146" s="826" t="s">
        <v>1350</v>
      </c>
      <c r="E2146" s="826" t="s">
        <v>1742</v>
      </c>
      <c r="F2146" s="1350"/>
      <c r="G2146" s="1350"/>
      <c r="H2146" s="1350"/>
      <c r="I2146" s="1274" t="str">
        <f t="shared" si="338"/>
        <v/>
      </c>
      <c r="J2146" s="1350" t="str">
        <f t="shared" si="345"/>
        <v/>
      </c>
      <c r="K2146" s="1350" t="str">
        <f t="shared" si="339"/>
        <v/>
      </c>
      <c r="M2146" s="1349"/>
      <c r="R2146" s="1350" t="s">
        <v>2048</v>
      </c>
    </row>
    <row r="2147" spans="1:18" s="1348" customFormat="1" x14ac:dyDescent="0.25">
      <c r="A2147" s="849" t="s">
        <v>1482</v>
      </c>
      <c r="B2147" s="1274" t="str">
        <f>IFERROR(_xlfn.CONCAT("K",('Configurable Tab'!$C$28+7)),"")</f>
        <v>K287</v>
      </c>
      <c r="C2147" s="1274" t="str">
        <f>IFERROR(_xlfn.CONCAT("K",('Configurable Tab'!$C$28+8)),"")</f>
        <v>K288</v>
      </c>
      <c r="D2147" s="826" t="s">
        <v>1350</v>
      </c>
      <c r="E2147" s="826" t="s">
        <v>1742</v>
      </c>
      <c r="F2147" s="1350"/>
      <c r="G2147" s="1350"/>
      <c r="H2147" s="1350"/>
      <c r="I2147" s="1274" t="str">
        <f t="shared" si="338"/>
        <v/>
      </c>
      <c r="J2147" s="1350" t="str">
        <f t="shared" si="345"/>
        <v/>
      </c>
      <c r="K2147" s="1350" t="str">
        <f t="shared" si="339"/>
        <v/>
      </c>
      <c r="M2147" s="1349"/>
      <c r="R2147" s="1350" t="s">
        <v>2048</v>
      </c>
    </row>
    <row r="2148" spans="1:18" s="1348" customFormat="1" x14ac:dyDescent="0.25">
      <c r="A2148" s="849" t="s">
        <v>1397</v>
      </c>
      <c r="B2148" s="1274" t="str">
        <f>IFERROR(_xlfn.CONCAT("K",('Configurable Tab'!$C$28+1)),"")</f>
        <v>K281</v>
      </c>
      <c r="C2148" s="1274" t="str">
        <f>IFERROR(_xlfn.CONCAT("K",('Configurable Tab'!$C$28+2)),"")</f>
        <v>K282</v>
      </c>
      <c r="D2148" s="826" t="s">
        <v>1350</v>
      </c>
      <c r="E2148" s="826" t="s">
        <v>1742</v>
      </c>
      <c r="F2148" s="1350"/>
      <c r="G2148" s="1350"/>
      <c r="H2148" s="1350"/>
      <c r="I2148" s="1274" t="str">
        <f t="shared" si="338"/>
        <v/>
      </c>
      <c r="J2148" s="1350" t="str">
        <f t="shared" si="345"/>
        <v/>
      </c>
      <c r="K2148" s="1350" t="str">
        <f t="shared" si="339"/>
        <v/>
      </c>
      <c r="M2148" s="1349"/>
      <c r="R2148" s="1350" t="s">
        <v>2048</v>
      </c>
    </row>
    <row r="2149" spans="1:18" s="1348" customFormat="1" x14ac:dyDescent="0.25">
      <c r="A2149" s="846" t="s">
        <v>1705</v>
      </c>
      <c r="B2149" s="1274" t="str">
        <f>IFERROR(_xlfn.CONCAT("D",('Configurable Tab'!$C$29+1)),"")</f>
        <v>D292</v>
      </c>
      <c r="C2149" s="1274" t="str">
        <f>IFERROR(_xlfn.CONCAT("E",('Configurable Tab'!$C$29+1)),"")</f>
        <v>E292</v>
      </c>
      <c r="D2149" s="826" t="s">
        <v>1350</v>
      </c>
      <c r="E2149" s="826" t="s">
        <v>1742</v>
      </c>
      <c r="F2149" s="1350"/>
      <c r="G2149" s="1350"/>
      <c r="H2149" s="1350"/>
      <c r="I2149" s="1274" t="str">
        <f t="shared" si="338"/>
        <v/>
      </c>
      <c r="J2149" s="1350" t="str">
        <f>IF($Q$2057="Yes",Q$1&amp;M2057,"")</f>
        <v/>
      </c>
      <c r="K2149" s="1350" t="str">
        <f t="shared" si="339"/>
        <v/>
      </c>
      <c r="M2149" s="1349"/>
      <c r="Q2149" s="1274" t="str">
        <f>IFERROR(_xlfn.CONCAT("C",('Configurable Tab'!$C29+1)),"")</f>
        <v>C292</v>
      </c>
      <c r="R2149" s="1350" t="s">
        <v>2049</v>
      </c>
    </row>
    <row r="2150" spans="1:18" s="1348" customFormat="1" x14ac:dyDescent="0.25">
      <c r="A2150" s="846" t="s">
        <v>1383</v>
      </c>
      <c r="B2150" s="1274" t="str">
        <f>IFERROR(_xlfn.CONCAT("D",('Configurable Tab'!$C$29+2)),"")</f>
        <v>D293</v>
      </c>
      <c r="C2150" s="1274" t="str">
        <f>IFERROR(_xlfn.CONCAT("E",('Configurable Tab'!$C$29+2)),"")</f>
        <v>E293</v>
      </c>
      <c r="D2150" s="826" t="s">
        <v>1350</v>
      </c>
      <c r="E2150" s="826" t="s">
        <v>1742</v>
      </c>
      <c r="F2150" s="1350"/>
      <c r="G2150" s="1350"/>
      <c r="H2150" s="1350"/>
      <c r="I2150" s="1274" t="str">
        <f t="shared" si="338"/>
        <v/>
      </c>
      <c r="J2150" s="1350" t="str">
        <f t="shared" ref="J2150:J2158" si="346">IF($Q$2057="Yes",Q$1&amp;M2058,"")</f>
        <v/>
      </c>
      <c r="K2150" s="1350" t="str">
        <f t="shared" si="339"/>
        <v/>
      </c>
      <c r="M2150" s="1349"/>
      <c r="R2150" s="1350" t="s">
        <v>2049</v>
      </c>
    </row>
    <row r="2151" spans="1:18" s="1348" customFormat="1" x14ac:dyDescent="0.25">
      <c r="A2151" s="846" t="s">
        <v>1381</v>
      </c>
      <c r="B2151" s="1274" t="str">
        <f>IFERROR(_xlfn.CONCAT("I",('Configurable Tab'!$C$29+1)),"")</f>
        <v>I292</v>
      </c>
      <c r="C2151" s="1274" t="str">
        <f>IFERROR(_xlfn.CONCAT("I",('Configurable Tab'!$C$29+2)),"")</f>
        <v>I293</v>
      </c>
      <c r="D2151" s="826" t="s">
        <v>1350</v>
      </c>
      <c r="E2151" s="826" t="s">
        <v>1742</v>
      </c>
      <c r="F2151" s="1350"/>
      <c r="G2151" s="1350"/>
      <c r="H2151" s="1350"/>
      <c r="I2151" s="1274" t="str">
        <f t="shared" si="338"/>
        <v/>
      </c>
      <c r="J2151" s="1350" t="str">
        <f t="shared" si="346"/>
        <v/>
      </c>
      <c r="K2151" s="1350" t="str">
        <f t="shared" si="339"/>
        <v/>
      </c>
      <c r="M2151" s="1349"/>
      <c r="R2151" s="1350" t="s">
        <v>2049</v>
      </c>
    </row>
    <row r="2152" spans="1:18" s="1348" customFormat="1" x14ac:dyDescent="0.25">
      <c r="A2152" s="846" t="s">
        <v>1382</v>
      </c>
      <c r="B2152" s="1274" t="str">
        <f>IFERROR(_xlfn.CONCAT("M",('Configurable Tab'!$C$29+1)),"")</f>
        <v>M292</v>
      </c>
      <c r="C2152" s="1274" t="str">
        <f>IFERROR(_xlfn.CONCAT("M",('Configurable Tab'!$C$29+2)),"")</f>
        <v>M293</v>
      </c>
      <c r="D2152" s="826" t="s">
        <v>1350</v>
      </c>
      <c r="E2152" s="826" t="s">
        <v>1742</v>
      </c>
      <c r="F2152" s="1350"/>
      <c r="G2152" s="1350"/>
      <c r="H2152" s="1350"/>
      <c r="I2152" s="1274" t="str">
        <f t="shared" si="338"/>
        <v/>
      </c>
      <c r="J2152" s="1350" t="str">
        <f t="shared" si="346"/>
        <v/>
      </c>
      <c r="K2152" s="1350" t="str">
        <f t="shared" si="339"/>
        <v/>
      </c>
      <c r="M2152" s="1349"/>
      <c r="R2152" s="1350" t="s">
        <v>2049</v>
      </c>
    </row>
    <row r="2153" spans="1:18" s="1348" customFormat="1" x14ac:dyDescent="0.25">
      <c r="A2153" s="846" t="s">
        <v>1385</v>
      </c>
      <c r="B2153" s="1274" t="str">
        <f>IFERROR(_xlfn.CONCAT("D",('Configurable Tab'!$C$29+4)),"")</f>
        <v>D295</v>
      </c>
      <c r="C2153" s="1274" t="str">
        <f>IFERROR(_xlfn.CONCAT("E",('Configurable Tab'!$C$29+4)),"")</f>
        <v>E295</v>
      </c>
      <c r="D2153" s="826" t="s">
        <v>1350</v>
      </c>
      <c r="E2153" s="826" t="s">
        <v>1742</v>
      </c>
      <c r="F2153" s="1350"/>
      <c r="G2153" s="1350"/>
      <c r="H2153" s="1350"/>
      <c r="I2153" s="1274" t="str">
        <f t="shared" ref="I2153:I2178" si="347">IF(J2153&lt;&gt;"",A2153,"")</f>
        <v/>
      </c>
      <c r="J2153" s="1350" t="str">
        <f t="shared" si="346"/>
        <v/>
      </c>
      <c r="K2153" s="1350" t="str">
        <f t="shared" ref="K2153:K2178" si="348">IF(J2153&lt;&gt;"",E2153,"")</f>
        <v/>
      </c>
      <c r="M2153" s="1349"/>
      <c r="R2153" s="1350" t="s">
        <v>2049</v>
      </c>
    </row>
    <row r="2154" spans="1:18" s="1348" customFormat="1" x14ac:dyDescent="0.25">
      <c r="A2154" s="846" t="s">
        <v>1386</v>
      </c>
      <c r="B2154" s="1274" t="str">
        <f>IFERROR(_xlfn.CONCAT("D",('Configurable Tab'!$C$29+5)),"")</f>
        <v>D296</v>
      </c>
      <c r="C2154" s="1274" t="str">
        <f>IFERROR(_xlfn.CONCAT("E",('Configurable Tab'!$C$29+5)),"")</f>
        <v>E296</v>
      </c>
      <c r="D2154" s="826" t="s">
        <v>1350</v>
      </c>
      <c r="E2154" s="826" t="s">
        <v>1742</v>
      </c>
      <c r="F2154" s="1350"/>
      <c r="G2154" s="1350"/>
      <c r="H2154" s="1350"/>
      <c r="I2154" s="1274" t="str">
        <f t="shared" si="347"/>
        <v/>
      </c>
      <c r="J2154" s="1350" t="str">
        <f t="shared" si="346"/>
        <v/>
      </c>
      <c r="K2154" s="1350" t="str">
        <f t="shared" si="348"/>
        <v/>
      </c>
      <c r="M2154" s="1349"/>
      <c r="R2154" s="1350" t="s">
        <v>2049</v>
      </c>
    </row>
    <row r="2155" spans="1:18" s="1348" customFormat="1" x14ac:dyDescent="0.25">
      <c r="A2155" s="846" t="s">
        <v>1396</v>
      </c>
      <c r="B2155" s="1274" t="str">
        <f>IFERROR(_xlfn.CONCAT("G",('Configurable Tab'!$C$29+4)),"")</f>
        <v>G295</v>
      </c>
      <c r="C2155" s="1274" t="str">
        <f>IFERROR(_xlfn.CONCAT("G",('Configurable Tab'!$C$29+5)),"")</f>
        <v>G296</v>
      </c>
      <c r="D2155" s="826" t="s">
        <v>1350</v>
      </c>
      <c r="E2155" s="826" t="s">
        <v>1742</v>
      </c>
      <c r="F2155" s="1350"/>
      <c r="G2155" s="1350"/>
      <c r="H2155" s="1350"/>
      <c r="I2155" s="1274" t="str">
        <f t="shared" si="347"/>
        <v/>
      </c>
      <c r="J2155" s="1350" t="str">
        <f t="shared" si="346"/>
        <v/>
      </c>
      <c r="K2155" s="1350" t="str">
        <f t="shared" si="348"/>
        <v/>
      </c>
      <c r="M2155" s="1349"/>
      <c r="R2155" s="1350" t="s">
        <v>2049</v>
      </c>
    </row>
    <row r="2156" spans="1:18" s="1348" customFormat="1" x14ac:dyDescent="0.25">
      <c r="A2156" s="846" t="s">
        <v>2005</v>
      </c>
      <c r="B2156" s="1274" t="str">
        <f>IFERROR(_xlfn.CONCAT("G",('Configurable Tab'!$C$29+7)),"")</f>
        <v>G298</v>
      </c>
      <c r="C2156" s="1274" t="str">
        <f>IFERROR(_xlfn.CONCAT("G",('Configurable Tab'!$C$29+8)),"")</f>
        <v>G299</v>
      </c>
      <c r="D2156" s="826" t="s">
        <v>1350</v>
      </c>
      <c r="E2156" s="826" t="s">
        <v>1742</v>
      </c>
      <c r="F2156" s="1350"/>
      <c r="G2156" s="1350"/>
      <c r="H2156" s="1350"/>
      <c r="I2156" s="1274" t="str">
        <f t="shared" si="347"/>
        <v/>
      </c>
      <c r="J2156" s="1350" t="str">
        <f t="shared" si="346"/>
        <v/>
      </c>
      <c r="K2156" s="1350" t="str">
        <f t="shared" si="348"/>
        <v/>
      </c>
      <c r="M2156" s="1349"/>
      <c r="R2156" s="1350" t="s">
        <v>2049</v>
      </c>
    </row>
    <row r="2157" spans="1:18" s="1348" customFormat="1" x14ac:dyDescent="0.25">
      <c r="A2157" s="846" t="s">
        <v>1482</v>
      </c>
      <c r="B2157" s="1274" t="str">
        <f>IFERROR(_xlfn.CONCAT("K",('Configurable Tab'!$C$29+7)),"")</f>
        <v>K298</v>
      </c>
      <c r="C2157" s="1274" t="str">
        <f>IFERROR(_xlfn.CONCAT("K",('Configurable Tab'!$C$29+8)),"")</f>
        <v>K299</v>
      </c>
      <c r="D2157" s="826" t="s">
        <v>1350</v>
      </c>
      <c r="E2157" s="826" t="s">
        <v>1742</v>
      </c>
      <c r="F2157" s="1350"/>
      <c r="G2157" s="1350"/>
      <c r="H2157" s="1350"/>
      <c r="I2157" s="1274" t="str">
        <f t="shared" si="347"/>
        <v/>
      </c>
      <c r="J2157" s="1350" t="str">
        <f t="shared" si="346"/>
        <v/>
      </c>
      <c r="K2157" s="1350" t="str">
        <f t="shared" si="348"/>
        <v/>
      </c>
      <c r="M2157" s="1349"/>
      <c r="R2157" s="1350" t="s">
        <v>2049</v>
      </c>
    </row>
    <row r="2158" spans="1:18" s="1348" customFormat="1" x14ac:dyDescent="0.25">
      <c r="A2158" s="846" t="s">
        <v>1397</v>
      </c>
      <c r="B2158" s="1274" t="str">
        <f>IFERROR(_xlfn.CONCAT("K",('Configurable Tab'!$C$29+1)),"")</f>
        <v>K292</v>
      </c>
      <c r="C2158" s="1274" t="str">
        <f>IFERROR(_xlfn.CONCAT("K",('Configurable Tab'!$C$29+2)),"")</f>
        <v>K293</v>
      </c>
      <c r="D2158" s="826" t="s">
        <v>1350</v>
      </c>
      <c r="E2158" s="826" t="s">
        <v>1742</v>
      </c>
      <c r="F2158" s="1350"/>
      <c r="G2158" s="1350"/>
      <c r="H2158" s="1350"/>
      <c r="I2158" s="1274" t="str">
        <f t="shared" si="347"/>
        <v/>
      </c>
      <c r="J2158" s="1350" t="str">
        <f t="shared" si="346"/>
        <v/>
      </c>
      <c r="K2158" s="1350" t="str">
        <f t="shared" si="348"/>
        <v/>
      </c>
      <c r="M2158" s="1349"/>
      <c r="R2158" s="1350" t="s">
        <v>2049</v>
      </c>
    </row>
    <row r="2159" spans="1:18" s="1348" customFormat="1" x14ac:dyDescent="0.25">
      <c r="A2159" s="849" t="s">
        <v>1705</v>
      </c>
      <c r="B2159" s="1274" t="str">
        <f>IFERROR(_xlfn.CONCAT("D",('Configurable Tab'!$C$30+1)),"")</f>
        <v>D303</v>
      </c>
      <c r="C2159" s="1274" t="str">
        <f>IFERROR(_xlfn.CONCAT("E",('Configurable Tab'!$C$30+1)),"")</f>
        <v>E303</v>
      </c>
      <c r="D2159" s="826" t="s">
        <v>1350</v>
      </c>
      <c r="E2159" s="826" t="s">
        <v>1742</v>
      </c>
      <c r="F2159" s="1350"/>
      <c r="G2159" s="1350"/>
      <c r="H2159" s="1350"/>
      <c r="I2159" s="1274" t="str">
        <f t="shared" si="347"/>
        <v/>
      </c>
      <c r="J2159" s="1350" t="str">
        <f>IF($Q$2068="Yes",Q$1&amp;M2068,"")</f>
        <v/>
      </c>
      <c r="K2159" s="1350" t="str">
        <f t="shared" si="348"/>
        <v/>
      </c>
      <c r="M2159" s="1349"/>
      <c r="Q2159" s="1274" t="str">
        <f>IFERROR(_xlfn.CONCAT("C",('Configurable Tab'!$C30+1)),"")</f>
        <v>C303</v>
      </c>
      <c r="R2159" s="1350" t="s">
        <v>2050</v>
      </c>
    </row>
    <row r="2160" spans="1:18" s="1348" customFormat="1" x14ac:dyDescent="0.25">
      <c r="A2160" s="849" t="s">
        <v>1383</v>
      </c>
      <c r="B2160" s="1274" t="str">
        <f>IFERROR(_xlfn.CONCAT("D",('Configurable Tab'!$C$30+2)),"")</f>
        <v>D304</v>
      </c>
      <c r="C2160" s="1274" t="str">
        <f>IFERROR(_xlfn.CONCAT("E",('Configurable Tab'!$C$30+2)),"")</f>
        <v>E304</v>
      </c>
      <c r="D2160" s="826" t="s">
        <v>1350</v>
      </c>
      <c r="E2160" s="826" t="s">
        <v>1742</v>
      </c>
      <c r="F2160" s="1350"/>
      <c r="G2160" s="1350"/>
      <c r="H2160" s="1350"/>
      <c r="I2160" s="1274" t="str">
        <f t="shared" si="347"/>
        <v/>
      </c>
      <c r="J2160" s="1350" t="str">
        <f t="shared" ref="J2160:J2168" si="349">IF($Q$2068="Yes",Q$1&amp;M2069,"")</f>
        <v/>
      </c>
      <c r="K2160" s="1350" t="str">
        <f t="shared" si="348"/>
        <v/>
      </c>
      <c r="M2160" s="1349"/>
      <c r="R2160" s="1350" t="s">
        <v>2050</v>
      </c>
    </row>
    <row r="2161" spans="1:18" s="1348" customFormat="1" x14ac:dyDescent="0.25">
      <c r="A2161" s="849" t="s">
        <v>1381</v>
      </c>
      <c r="B2161" s="1274" t="str">
        <f>IFERROR(_xlfn.CONCAT("I",('Configurable Tab'!$C$30+1)),"")</f>
        <v>I303</v>
      </c>
      <c r="C2161" s="1274" t="str">
        <f>IFERROR(_xlfn.CONCAT("I",('Configurable Tab'!$C$30+2)),"")</f>
        <v>I304</v>
      </c>
      <c r="D2161" s="826" t="s">
        <v>1350</v>
      </c>
      <c r="E2161" s="826" t="s">
        <v>1742</v>
      </c>
      <c r="F2161" s="1350"/>
      <c r="G2161" s="1350"/>
      <c r="H2161" s="1350"/>
      <c r="I2161" s="1274" t="str">
        <f t="shared" si="347"/>
        <v/>
      </c>
      <c r="J2161" s="1350" t="str">
        <f t="shared" si="349"/>
        <v/>
      </c>
      <c r="K2161" s="1350" t="str">
        <f t="shared" si="348"/>
        <v/>
      </c>
      <c r="M2161" s="1349"/>
      <c r="R2161" s="1350" t="s">
        <v>2050</v>
      </c>
    </row>
    <row r="2162" spans="1:18" s="1348" customFormat="1" x14ac:dyDescent="0.25">
      <c r="A2162" s="849" t="s">
        <v>1382</v>
      </c>
      <c r="B2162" s="1274" t="str">
        <f>IFERROR(_xlfn.CONCAT("M",('Configurable Tab'!$C$30+1)),"")</f>
        <v>M303</v>
      </c>
      <c r="C2162" s="1274" t="str">
        <f>IFERROR(_xlfn.CONCAT("M",('Configurable Tab'!$C$30+2)),"")</f>
        <v>M304</v>
      </c>
      <c r="D2162" s="826" t="s">
        <v>1350</v>
      </c>
      <c r="E2162" s="826" t="s">
        <v>1742</v>
      </c>
      <c r="F2162" s="1350"/>
      <c r="G2162" s="1350"/>
      <c r="H2162" s="1350"/>
      <c r="I2162" s="1274" t="str">
        <f t="shared" si="347"/>
        <v/>
      </c>
      <c r="J2162" s="1350" t="str">
        <f t="shared" si="349"/>
        <v/>
      </c>
      <c r="K2162" s="1350" t="str">
        <f t="shared" si="348"/>
        <v/>
      </c>
      <c r="M2162" s="1349"/>
      <c r="R2162" s="1350" t="s">
        <v>2050</v>
      </c>
    </row>
    <row r="2163" spans="1:18" s="1348" customFormat="1" x14ac:dyDescent="0.25">
      <c r="A2163" s="849" t="s">
        <v>1385</v>
      </c>
      <c r="B2163" s="1274" t="str">
        <f>IFERROR(_xlfn.CONCAT("D",('Configurable Tab'!$C$30+4)),"")</f>
        <v>D306</v>
      </c>
      <c r="C2163" s="1274" t="str">
        <f>IFERROR(_xlfn.CONCAT("E",('Configurable Tab'!$C$30+4)),"")</f>
        <v>E306</v>
      </c>
      <c r="D2163" s="826" t="s">
        <v>1350</v>
      </c>
      <c r="E2163" s="826" t="s">
        <v>1742</v>
      </c>
      <c r="F2163" s="1350"/>
      <c r="G2163" s="1350"/>
      <c r="H2163" s="1350"/>
      <c r="I2163" s="1274" t="str">
        <f t="shared" si="347"/>
        <v/>
      </c>
      <c r="J2163" s="1350" t="str">
        <f t="shared" si="349"/>
        <v/>
      </c>
      <c r="K2163" s="1350" t="str">
        <f t="shared" si="348"/>
        <v/>
      </c>
      <c r="M2163" s="1349"/>
      <c r="R2163" s="1350" t="s">
        <v>2050</v>
      </c>
    </row>
    <row r="2164" spans="1:18" s="1348" customFormat="1" x14ac:dyDescent="0.25">
      <c r="A2164" s="849" t="s">
        <v>1386</v>
      </c>
      <c r="B2164" s="1274" t="str">
        <f>IFERROR(_xlfn.CONCAT("D",('Configurable Tab'!$C$30+5)),"")</f>
        <v>D307</v>
      </c>
      <c r="C2164" s="1274" t="str">
        <f>IFERROR(_xlfn.CONCAT("E",('Configurable Tab'!$C$30+5)),"")</f>
        <v>E307</v>
      </c>
      <c r="D2164" s="826" t="s">
        <v>1350</v>
      </c>
      <c r="E2164" s="826" t="s">
        <v>1742</v>
      </c>
      <c r="F2164" s="1350"/>
      <c r="G2164" s="1350"/>
      <c r="H2164" s="1350"/>
      <c r="I2164" s="1274" t="str">
        <f t="shared" si="347"/>
        <v/>
      </c>
      <c r="J2164" s="1350" t="str">
        <f t="shared" si="349"/>
        <v/>
      </c>
      <c r="K2164" s="1350" t="str">
        <f t="shared" si="348"/>
        <v/>
      </c>
      <c r="M2164" s="1349"/>
      <c r="R2164" s="1350" t="s">
        <v>2050</v>
      </c>
    </row>
    <row r="2165" spans="1:18" s="1348" customFormat="1" x14ac:dyDescent="0.25">
      <c r="A2165" s="849" t="s">
        <v>1396</v>
      </c>
      <c r="B2165" s="1274" t="str">
        <f>IFERROR(_xlfn.CONCAT("G",('Configurable Tab'!$C$30+4)),"")</f>
        <v>G306</v>
      </c>
      <c r="C2165" s="1274" t="str">
        <f>IFERROR(_xlfn.CONCAT("G",('Configurable Tab'!$C$30+5)),"")</f>
        <v>G307</v>
      </c>
      <c r="D2165" s="826" t="s">
        <v>1350</v>
      </c>
      <c r="E2165" s="826" t="s">
        <v>1742</v>
      </c>
      <c r="F2165" s="1350"/>
      <c r="G2165" s="1350"/>
      <c r="H2165" s="1350"/>
      <c r="I2165" s="1274" t="str">
        <f t="shared" si="347"/>
        <v/>
      </c>
      <c r="J2165" s="1350" t="str">
        <f t="shared" si="349"/>
        <v/>
      </c>
      <c r="K2165" s="1350" t="str">
        <f t="shared" si="348"/>
        <v/>
      </c>
      <c r="M2165" s="1349"/>
      <c r="R2165" s="1350" t="s">
        <v>2050</v>
      </c>
    </row>
    <row r="2166" spans="1:18" s="1348" customFormat="1" x14ac:dyDescent="0.25">
      <c r="A2166" s="849" t="s">
        <v>2005</v>
      </c>
      <c r="B2166" s="1274" t="str">
        <f>IFERROR(_xlfn.CONCAT("G",('Configurable Tab'!$C$30+7)),"")</f>
        <v>G309</v>
      </c>
      <c r="C2166" s="1274" t="str">
        <f>IFERROR(_xlfn.CONCAT("G",('Configurable Tab'!$C$30+8)),"")</f>
        <v>G310</v>
      </c>
      <c r="D2166" s="826" t="s">
        <v>1350</v>
      </c>
      <c r="E2166" s="826" t="s">
        <v>1742</v>
      </c>
      <c r="F2166" s="1350"/>
      <c r="G2166" s="1350"/>
      <c r="H2166" s="1350"/>
      <c r="I2166" s="1274" t="str">
        <f t="shared" si="347"/>
        <v/>
      </c>
      <c r="J2166" s="1350" t="str">
        <f t="shared" si="349"/>
        <v/>
      </c>
      <c r="K2166" s="1350" t="str">
        <f t="shared" si="348"/>
        <v/>
      </c>
      <c r="M2166" s="1349"/>
      <c r="R2166" s="1350" t="s">
        <v>2050</v>
      </c>
    </row>
    <row r="2167" spans="1:18" s="1348" customFormat="1" x14ac:dyDescent="0.25">
      <c r="A2167" s="849" t="s">
        <v>1482</v>
      </c>
      <c r="B2167" s="1274" t="str">
        <f>IFERROR(_xlfn.CONCAT("K",('Configurable Tab'!$C$30+7)),"")</f>
        <v>K309</v>
      </c>
      <c r="C2167" s="1274" t="str">
        <f>IFERROR(_xlfn.CONCAT("K",('Configurable Tab'!$C$30+8)),"")</f>
        <v>K310</v>
      </c>
      <c r="D2167" s="826" t="s">
        <v>1350</v>
      </c>
      <c r="E2167" s="826" t="s">
        <v>1742</v>
      </c>
      <c r="F2167" s="1350"/>
      <c r="G2167" s="1350"/>
      <c r="H2167" s="1350"/>
      <c r="I2167" s="1274" t="str">
        <f t="shared" si="347"/>
        <v/>
      </c>
      <c r="J2167" s="1350" t="str">
        <f t="shared" si="349"/>
        <v/>
      </c>
      <c r="K2167" s="1350" t="str">
        <f t="shared" si="348"/>
        <v/>
      </c>
      <c r="M2167" s="1349"/>
      <c r="R2167" s="1350" t="s">
        <v>2050</v>
      </c>
    </row>
    <row r="2168" spans="1:18" s="1348" customFormat="1" x14ac:dyDescent="0.25">
      <c r="A2168" s="849" t="s">
        <v>1397</v>
      </c>
      <c r="B2168" s="1274" t="str">
        <f>IFERROR(_xlfn.CONCAT("K",('Configurable Tab'!$C$30+1)),"")</f>
        <v>K303</v>
      </c>
      <c r="C2168" s="1274" t="str">
        <f>IFERROR(_xlfn.CONCAT("K",('Configurable Tab'!$C$30+2)),"")</f>
        <v>K304</v>
      </c>
      <c r="D2168" s="826" t="s">
        <v>1350</v>
      </c>
      <c r="E2168" s="826" t="s">
        <v>1742</v>
      </c>
      <c r="F2168" s="1350"/>
      <c r="G2168" s="1350"/>
      <c r="H2168" s="1350"/>
      <c r="I2168" s="1274" t="str">
        <f t="shared" si="347"/>
        <v/>
      </c>
      <c r="J2168" s="1350" t="str">
        <f t="shared" si="349"/>
        <v/>
      </c>
      <c r="K2168" s="1350" t="str">
        <f t="shared" si="348"/>
        <v/>
      </c>
      <c r="M2168" s="1349"/>
      <c r="R2168" s="1350" t="s">
        <v>2050</v>
      </c>
    </row>
    <row r="2169" spans="1:18" s="1348" customFormat="1" x14ac:dyDescent="0.25">
      <c r="A2169" s="846" t="s">
        <v>1705</v>
      </c>
      <c r="B2169" s="1274" t="str">
        <f>IFERROR(_xlfn.CONCAT("D",('Configurable Tab'!$C$31+1)),"")</f>
        <v>D314</v>
      </c>
      <c r="C2169" s="1274" t="str">
        <f>IFERROR(_xlfn.CONCAT("E",('Configurable Tab'!$C$31+1)),"")</f>
        <v>E314</v>
      </c>
      <c r="D2169" s="826" t="s">
        <v>1350</v>
      </c>
      <c r="E2169" s="826" t="s">
        <v>1742</v>
      </c>
      <c r="F2169" s="1350"/>
      <c r="G2169" s="1350"/>
      <c r="H2169" s="1350"/>
      <c r="I2169" s="1274" t="str">
        <f t="shared" si="347"/>
        <v/>
      </c>
      <c r="J2169" s="1350" t="str">
        <f>IF($Q$2079="Yes",Q$1&amp;M2079,"")</f>
        <v/>
      </c>
      <c r="K2169" s="1350" t="str">
        <f t="shared" si="348"/>
        <v/>
      </c>
      <c r="M2169" s="1349"/>
      <c r="Q2169" s="1274" t="str">
        <f>IFERROR(_xlfn.CONCAT("C",('Configurable Tab'!$C31+1)),"")</f>
        <v>C314</v>
      </c>
      <c r="R2169" s="1350" t="s">
        <v>2051</v>
      </c>
    </row>
    <row r="2170" spans="1:18" s="1348" customFormat="1" x14ac:dyDescent="0.25">
      <c r="A2170" s="846" t="s">
        <v>1383</v>
      </c>
      <c r="B2170" s="1274" t="str">
        <f>IFERROR(_xlfn.CONCAT("D",('Configurable Tab'!$C$31+2)),"")</f>
        <v>D315</v>
      </c>
      <c r="C2170" s="1274" t="str">
        <f>IFERROR(_xlfn.CONCAT("E",('Configurable Tab'!$C$31+2)),"")</f>
        <v>E315</v>
      </c>
      <c r="D2170" s="826" t="s">
        <v>1350</v>
      </c>
      <c r="E2170" s="826" t="s">
        <v>1742</v>
      </c>
      <c r="F2170" s="1350"/>
      <c r="G2170" s="1350"/>
      <c r="H2170" s="1350"/>
      <c r="I2170" s="1274" t="str">
        <f t="shared" si="347"/>
        <v/>
      </c>
      <c r="J2170" s="1350" t="str">
        <f t="shared" ref="J2170:J2178" si="350">IF($Q$2079="Yes",Q$1&amp;M2080,"")</f>
        <v/>
      </c>
      <c r="K2170" s="1350" t="str">
        <f t="shared" si="348"/>
        <v/>
      </c>
      <c r="M2170" s="1349"/>
      <c r="R2170" s="1350" t="s">
        <v>2051</v>
      </c>
    </row>
    <row r="2171" spans="1:18" s="1348" customFormat="1" x14ac:dyDescent="0.25">
      <c r="A2171" s="846" t="s">
        <v>1381</v>
      </c>
      <c r="B2171" s="1274" t="str">
        <f>IFERROR(_xlfn.CONCAT("I",('Configurable Tab'!$C$31+1)),"")</f>
        <v>I314</v>
      </c>
      <c r="C2171" s="1274" t="str">
        <f>IFERROR(_xlfn.CONCAT("I",('Configurable Tab'!$C$31+2)),"")</f>
        <v>I315</v>
      </c>
      <c r="D2171" s="826" t="s">
        <v>1350</v>
      </c>
      <c r="E2171" s="826" t="s">
        <v>1742</v>
      </c>
      <c r="F2171" s="1350"/>
      <c r="G2171" s="1350"/>
      <c r="H2171" s="1350"/>
      <c r="I2171" s="1274" t="str">
        <f t="shared" si="347"/>
        <v/>
      </c>
      <c r="J2171" s="1350" t="str">
        <f t="shared" si="350"/>
        <v/>
      </c>
      <c r="K2171" s="1350" t="str">
        <f t="shared" si="348"/>
        <v/>
      </c>
      <c r="M2171" s="1349"/>
      <c r="R2171" s="1350" t="s">
        <v>2051</v>
      </c>
    </row>
    <row r="2172" spans="1:18" s="1348" customFormat="1" x14ac:dyDescent="0.25">
      <c r="A2172" s="846" t="s">
        <v>1382</v>
      </c>
      <c r="B2172" s="1274" t="str">
        <f>IFERROR(_xlfn.CONCAT("M",('Configurable Tab'!$C$31+1)),"")</f>
        <v>M314</v>
      </c>
      <c r="C2172" s="1274" t="str">
        <f>IFERROR(_xlfn.CONCAT("M",('Configurable Tab'!$C$31+2)),"")</f>
        <v>M315</v>
      </c>
      <c r="D2172" s="826" t="s">
        <v>1350</v>
      </c>
      <c r="E2172" s="826" t="s">
        <v>1742</v>
      </c>
      <c r="F2172" s="1350"/>
      <c r="G2172" s="1350"/>
      <c r="H2172" s="1350"/>
      <c r="I2172" s="1274" t="str">
        <f t="shared" si="347"/>
        <v/>
      </c>
      <c r="J2172" s="1350" t="str">
        <f t="shared" si="350"/>
        <v/>
      </c>
      <c r="K2172" s="1350" t="str">
        <f t="shared" si="348"/>
        <v/>
      </c>
      <c r="M2172" s="1349"/>
      <c r="R2172" s="1350" t="s">
        <v>2051</v>
      </c>
    </row>
    <row r="2173" spans="1:18" s="1348" customFormat="1" x14ac:dyDescent="0.25">
      <c r="A2173" s="846" t="s">
        <v>1385</v>
      </c>
      <c r="B2173" s="1274" t="str">
        <f>IFERROR(_xlfn.CONCAT("D",('Configurable Tab'!$C$31+4)),"")</f>
        <v>D317</v>
      </c>
      <c r="C2173" s="1274" t="str">
        <f>IFERROR(_xlfn.CONCAT("E",('Configurable Tab'!$C$31+4)),"")</f>
        <v>E317</v>
      </c>
      <c r="D2173" s="826" t="s">
        <v>1350</v>
      </c>
      <c r="E2173" s="826" t="s">
        <v>1742</v>
      </c>
      <c r="F2173" s="1350"/>
      <c r="G2173" s="1350"/>
      <c r="H2173" s="1350"/>
      <c r="I2173" s="1274" t="str">
        <f t="shared" si="347"/>
        <v/>
      </c>
      <c r="J2173" s="1350" t="str">
        <f t="shared" si="350"/>
        <v/>
      </c>
      <c r="K2173" s="1350" t="str">
        <f t="shared" si="348"/>
        <v/>
      </c>
      <c r="M2173" s="1349"/>
      <c r="R2173" s="1350" t="s">
        <v>2051</v>
      </c>
    </row>
    <row r="2174" spans="1:18" s="1348" customFormat="1" x14ac:dyDescent="0.25">
      <c r="A2174" s="846" t="s">
        <v>1386</v>
      </c>
      <c r="B2174" s="1274" t="str">
        <f>IFERROR(_xlfn.CONCAT("D",('Configurable Tab'!$C$31+5)),"")</f>
        <v>D318</v>
      </c>
      <c r="C2174" s="1274" t="str">
        <f>IFERROR(_xlfn.CONCAT("E",('Configurable Tab'!$C$31+5)),"")</f>
        <v>E318</v>
      </c>
      <c r="D2174" s="826" t="s">
        <v>1350</v>
      </c>
      <c r="E2174" s="826" t="s">
        <v>1742</v>
      </c>
      <c r="F2174" s="1350"/>
      <c r="G2174" s="1350"/>
      <c r="H2174" s="1350"/>
      <c r="I2174" s="1274" t="str">
        <f t="shared" si="347"/>
        <v/>
      </c>
      <c r="J2174" s="1350" t="str">
        <f t="shared" si="350"/>
        <v/>
      </c>
      <c r="K2174" s="1350" t="str">
        <f t="shared" si="348"/>
        <v/>
      </c>
      <c r="M2174" s="1349"/>
      <c r="R2174" s="1350" t="s">
        <v>2051</v>
      </c>
    </row>
    <row r="2175" spans="1:18" s="1348" customFormat="1" x14ac:dyDescent="0.25">
      <c r="A2175" s="846" t="s">
        <v>1396</v>
      </c>
      <c r="B2175" s="1274" t="str">
        <f>IFERROR(_xlfn.CONCAT("G",('Configurable Tab'!$C$31+4)),"")</f>
        <v>G317</v>
      </c>
      <c r="C2175" s="1274" t="str">
        <f>IFERROR(_xlfn.CONCAT("G",('Configurable Tab'!$C$31+5)),"")</f>
        <v>G318</v>
      </c>
      <c r="D2175" s="826" t="s">
        <v>1350</v>
      </c>
      <c r="E2175" s="826" t="s">
        <v>1742</v>
      </c>
      <c r="F2175" s="1350"/>
      <c r="G2175" s="1350"/>
      <c r="H2175" s="1350"/>
      <c r="I2175" s="1274" t="str">
        <f t="shared" si="347"/>
        <v/>
      </c>
      <c r="J2175" s="1350" t="str">
        <f t="shared" si="350"/>
        <v/>
      </c>
      <c r="K2175" s="1350" t="str">
        <f t="shared" si="348"/>
        <v/>
      </c>
      <c r="M2175" s="1349"/>
      <c r="R2175" s="1350" t="s">
        <v>2051</v>
      </c>
    </row>
    <row r="2176" spans="1:18" s="1348" customFormat="1" x14ac:dyDescent="0.25">
      <c r="A2176" s="846" t="s">
        <v>2005</v>
      </c>
      <c r="B2176" s="1274" t="str">
        <f>IFERROR(_xlfn.CONCAT("G",('Configurable Tab'!$C$31+7)),"")</f>
        <v>G320</v>
      </c>
      <c r="C2176" s="1274" t="str">
        <f>IFERROR(_xlfn.CONCAT("G",('Configurable Tab'!$C$31+8)),"")</f>
        <v>G321</v>
      </c>
      <c r="D2176" s="826" t="s">
        <v>1350</v>
      </c>
      <c r="E2176" s="826" t="s">
        <v>1742</v>
      </c>
      <c r="F2176" s="1350"/>
      <c r="G2176" s="1350"/>
      <c r="H2176" s="1350"/>
      <c r="I2176" s="1274" t="str">
        <f t="shared" si="347"/>
        <v/>
      </c>
      <c r="J2176" s="1350" t="str">
        <f t="shared" si="350"/>
        <v/>
      </c>
      <c r="K2176" s="1350" t="str">
        <f t="shared" si="348"/>
        <v/>
      </c>
      <c r="M2176" s="1349"/>
      <c r="R2176" s="1350" t="s">
        <v>2051</v>
      </c>
    </row>
    <row r="2177" spans="1:20" s="1348" customFormat="1" x14ac:dyDescent="0.25">
      <c r="A2177" s="846" t="s">
        <v>1482</v>
      </c>
      <c r="B2177" s="1274" t="str">
        <f>IFERROR(_xlfn.CONCAT("K",('Configurable Tab'!$C$31+7)),"")</f>
        <v>K320</v>
      </c>
      <c r="C2177" s="1274" t="str">
        <f>IFERROR(_xlfn.CONCAT("K",('Configurable Tab'!$C$31+8)),"")</f>
        <v>K321</v>
      </c>
      <c r="D2177" s="826" t="s">
        <v>1350</v>
      </c>
      <c r="E2177" s="826" t="s">
        <v>1742</v>
      </c>
      <c r="F2177" s="1350"/>
      <c r="G2177" s="1350"/>
      <c r="H2177" s="1350"/>
      <c r="I2177" s="1274" t="str">
        <f t="shared" si="347"/>
        <v/>
      </c>
      <c r="J2177" s="1350" t="str">
        <f t="shared" si="350"/>
        <v/>
      </c>
      <c r="K2177" s="1350" t="str">
        <f t="shared" si="348"/>
        <v/>
      </c>
      <c r="M2177" s="1349"/>
      <c r="R2177" s="1350" t="s">
        <v>2051</v>
      </c>
    </row>
    <row r="2178" spans="1:20" s="1348" customFormat="1" x14ac:dyDescent="0.25">
      <c r="A2178" s="846" t="s">
        <v>1397</v>
      </c>
      <c r="B2178" s="1274" t="str">
        <f>IFERROR(_xlfn.CONCAT("K",('Configurable Tab'!$C$31+1)),"")</f>
        <v>K314</v>
      </c>
      <c r="C2178" s="1274" t="str">
        <f>IFERROR(_xlfn.CONCAT("K",('Configurable Tab'!$C$31+2)),"")</f>
        <v>K315</v>
      </c>
      <c r="D2178" s="826" t="s">
        <v>1350</v>
      </c>
      <c r="E2178" s="826" t="s">
        <v>1742</v>
      </c>
      <c r="F2178" s="1350"/>
      <c r="G2178" s="1350"/>
      <c r="H2178" s="1350"/>
      <c r="I2178" s="1274" t="str">
        <f t="shared" si="347"/>
        <v/>
      </c>
      <c r="J2178" s="1350" t="str">
        <f t="shared" si="350"/>
        <v/>
      </c>
      <c r="K2178" s="1350" t="str">
        <f t="shared" si="348"/>
        <v/>
      </c>
      <c r="M2178" s="1349"/>
      <c r="R2178" s="1350" t="s">
        <v>2051</v>
      </c>
    </row>
    <row r="2179" spans="1:20" x14ac:dyDescent="0.25">
      <c r="A2179" s="791" t="s">
        <v>1161</v>
      </c>
      <c r="B2179" s="791" t="str">
        <f ca="1">_xlfn.CONCAT(IFERROR(SUBSTITUTE(ADDRESS(1,MATCH(A2179,INDIRECT("'"&amp;E2179&amp;"'"&amp;"!A33:Z33"),0),4),1,""),""),33)</f>
        <v>B33</v>
      </c>
      <c r="C2179" s="791" t="str">
        <f ca="1">_xlfn.CONCAT(IFERROR(SUBSTITUTE(ADDRESS(1,MATCH(A2179,INDIRECT("'"&amp;E2179&amp;"'"&amp;"!A33:Z33"),0),4),1,""),""),34)</f>
        <v>B34</v>
      </c>
      <c r="D2179" s="791" t="s">
        <v>1350</v>
      </c>
      <c r="E2179" s="791" t="s">
        <v>1374</v>
      </c>
      <c r="F2179" s="791" t="str">
        <f>IF(G2179&lt;&gt;"","Amendment Recap","")</f>
        <v/>
      </c>
      <c r="G2179" s="791" t="str">
        <f>IF(Welcome!D$6="Amendment","P","")</f>
        <v/>
      </c>
      <c r="H2179" s="52" t="str">
        <f>IF(G2179&lt;&gt;"","General","")</f>
        <v/>
      </c>
    </row>
    <row r="2180" spans="1:20" s="1389" customFormat="1" x14ac:dyDescent="0.25">
      <c r="A2180" s="847" t="s">
        <v>1488</v>
      </c>
      <c r="B2180" s="826" t="str">
        <f ca="1">_xlfn.CONCAT(IFERROR(SUBSTITUTE(ADDRESS(1,MATCH(A2180,INDIRECT("'"&amp;E2180&amp;"'"&amp;"!A" &amp; $O$1005 + 2 &amp; ":Z" &amp; $O$1005 + 2),0),4),1,""),""),$O$1005 + 2)</f>
        <v>T325</v>
      </c>
      <c r="C2180" s="826" t="str">
        <f ca="1">_xlfn.CONCAT(IFERROR(SUBSTITUTE(ADDRESS(1,MATCH(A2180,INDIRECT("'"&amp;E2180&amp;"'"&amp;"!A" &amp; $O$1005 + 2 &amp; ":Z" &amp; $O$1005 + 2),0),4),1,""),""),$O$1005 + 3)</f>
        <v>T326</v>
      </c>
      <c r="D2180" s="826" t="s">
        <v>1350</v>
      </c>
      <c r="E2180" s="826" t="s">
        <v>1516</v>
      </c>
      <c r="F2180" s="1390" t="s">
        <v>1488</v>
      </c>
      <c r="G2180" s="1390" t="str">
        <f>IF(T2180&lt;&gt;"","AW","")</f>
        <v/>
      </c>
      <c r="H2180" s="1390" t="s">
        <v>1990</v>
      </c>
      <c r="I2180" s="1274"/>
      <c r="J2180" s="1390"/>
      <c r="K2180" s="1390"/>
      <c r="L2180" s="826"/>
      <c r="M2180" s="1391"/>
      <c r="N2180" s="1390"/>
      <c r="R2180" s="1390" t="s">
        <v>481</v>
      </c>
      <c r="T2180" s="1390" t="str">
        <f t="shared" ref="T2180" si="351">IF(Q$1005="Yes",23,"")</f>
        <v/>
      </c>
    </row>
    <row r="2181" spans="1:20" s="1389" customFormat="1" x14ac:dyDescent="0.25">
      <c r="A2181" s="1011" t="s">
        <v>1488</v>
      </c>
      <c r="B2181" s="826" t="str">
        <f ca="1">_xlfn.CONCAT(IFERROR(SUBSTITUTE(ADDRESS(1,MATCH(A2181,INDIRECT("'"&amp;E2181&amp;"'"&amp;"!A" &amp; $O$1016 + 2 &amp; ":Z" &amp; $O$1016 + 2),0),4),1,""),""),$O$1016 + 2)</f>
        <v>T339</v>
      </c>
      <c r="C2181" s="826" t="str">
        <f ca="1">_xlfn.CONCAT(IFERROR(SUBSTITUTE(ADDRESS(1,MATCH(A2181,INDIRECT("'"&amp;E2181&amp;"'"&amp;"!A" &amp; $O$1016 + 2 &amp; ":Z" &amp; $O$1016 + 2),0),4),1,""),""),$O$1016 + 3)</f>
        <v>T340</v>
      </c>
      <c r="D2181" s="826" t="s">
        <v>1350</v>
      </c>
      <c r="E2181" s="826" t="s">
        <v>1516</v>
      </c>
      <c r="F2181" s="1390" t="s">
        <v>1488</v>
      </c>
      <c r="G2181" s="1390" t="str">
        <f t="shared" ref="G2181:G2184" si="352">IF(T2181&lt;&gt;"","AW","")</f>
        <v/>
      </c>
      <c r="H2181" s="1390" t="s">
        <v>1990</v>
      </c>
      <c r="I2181" s="1274"/>
      <c r="J2181" s="1390"/>
      <c r="K2181" s="1390"/>
      <c r="L2181" s="826"/>
      <c r="M2181" s="1391"/>
      <c r="N2181" s="1390"/>
      <c r="R2181" s="1390" t="s">
        <v>481</v>
      </c>
      <c r="T2181" s="1390" t="str">
        <f t="shared" ref="T2181" si="353">IF(Q$1016="Yes",24,"")</f>
        <v/>
      </c>
    </row>
    <row r="2182" spans="1:20" s="1389" customFormat="1" x14ac:dyDescent="0.25">
      <c r="A2182" s="847" t="s">
        <v>1488</v>
      </c>
      <c r="B2182" s="826" t="str">
        <f ca="1">_xlfn.CONCAT(IFERROR(SUBSTITUTE(ADDRESS(1,MATCH(A2182,INDIRECT("'"&amp;E2182&amp;"'"&amp;"!A" &amp; $O$1027 + 2 &amp; ":Z" &amp; $O$1027 + 2),0),4),1,""),""),$O$1027+ 2)</f>
        <v>T353</v>
      </c>
      <c r="C2182" s="826" t="str">
        <f ca="1">_xlfn.CONCAT(IFERROR(SUBSTITUTE(ADDRESS(1,MATCH(A2182,INDIRECT("'"&amp;E2182&amp;"'"&amp;"!A" &amp; $O$1027 + 2 &amp; ":Z" &amp; $O$1027 + 2),0),4),1,""),""),$O$1027+ 3)</f>
        <v>T354</v>
      </c>
      <c r="D2182" s="826" t="s">
        <v>1350</v>
      </c>
      <c r="E2182" s="826" t="s">
        <v>1516</v>
      </c>
      <c r="F2182" s="1390" t="s">
        <v>1488</v>
      </c>
      <c r="G2182" s="1390" t="str">
        <f t="shared" si="352"/>
        <v/>
      </c>
      <c r="H2182" s="1390" t="s">
        <v>1990</v>
      </c>
      <c r="I2182" s="1274"/>
      <c r="J2182" s="1390"/>
      <c r="K2182" s="1390"/>
      <c r="L2182" s="826"/>
      <c r="M2182" s="1391"/>
      <c r="N2182" s="1390"/>
      <c r="R2182" s="1390" t="s">
        <v>481</v>
      </c>
      <c r="T2182" s="1390" t="str">
        <f>IF(Q$1027="Yes",25,"")</f>
        <v/>
      </c>
    </row>
    <row r="2183" spans="1:20" s="1389" customFormat="1" x14ac:dyDescent="0.25">
      <c r="A2183" s="847" t="s">
        <v>1488</v>
      </c>
      <c r="B2183" s="826" t="str">
        <f ca="1">_xlfn.CONCAT(IFERROR(SUBSTITUTE(ADDRESS(1,MATCH(A2183,INDIRECT("'"&amp;E2183&amp;"'"&amp;"!A" &amp; $O$1052 + 2 &amp; ":Z" &amp; $O$1052 + 2),0),4),1,""),""),$O$1052+ 2)</f>
        <v>T381</v>
      </c>
      <c r="C2183" s="826" t="str">
        <f ca="1">_xlfn.CONCAT(IFERROR(SUBSTITUTE(ADDRESS(1,MATCH(A2183,INDIRECT("'"&amp;E2183&amp;"'"&amp;"!A" &amp; $O$1052 + 2 &amp; ":Z" &amp; $O$1052 + 2),0),4),1,""),""),$O$1052+ 3)</f>
        <v>T382</v>
      </c>
      <c r="D2183" s="826" t="s">
        <v>1350</v>
      </c>
      <c r="E2183" s="826" t="s">
        <v>1516</v>
      </c>
      <c r="F2183" s="1390" t="s">
        <v>1488</v>
      </c>
      <c r="G2183" s="1390" t="str">
        <f t="shared" si="352"/>
        <v/>
      </c>
      <c r="H2183" s="1390" t="s">
        <v>1990</v>
      </c>
      <c r="I2183" s="1274"/>
      <c r="J2183" s="1390"/>
      <c r="K2183" s="1390"/>
      <c r="L2183" s="826"/>
      <c r="M2183" s="1391"/>
      <c r="N2183" s="1390"/>
      <c r="R2183" s="1390" t="s">
        <v>1700</v>
      </c>
      <c r="T2183" s="1390" t="str">
        <f t="shared" ref="T2183" si="354">IF(Q$1052="Yes",27,"")</f>
        <v/>
      </c>
    </row>
    <row r="2184" spans="1:20" s="1389" customFormat="1" x14ac:dyDescent="0.25">
      <c r="A2184" s="1011" t="s">
        <v>1488</v>
      </c>
      <c r="B2184" s="826" t="str">
        <f ca="1">_xlfn.CONCAT(IFERROR(SUBSTITUTE(ADDRESS(1,MATCH(A2184,INDIRECT("'"&amp;E2184&amp;"'"&amp;"!A" &amp; $O$1069 + 2 &amp; ":Z" &amp; $O$1069 + 2),0),4),1,""),""),$O$1069+ 2)</f>
        <v>T395</v>
      </c>
      <c r="C2184" s="826" t="str">
        <f ca="1">_xlfn.CONCAT(IFERROR(SUBSTITUTE(ADDRESS(1,MATCH(A2184,INDIRECT("'"&amp;E2184&amp;"'"&amp;"!A" &amp; $O$1069 + 2 &amp; ":Z" &amp; $O$1069 + 2),0),4),1,""),""),$O$1069+ 3)</f>
        <v>T396</v>
      </c>
      <c r="D2184" s="826" t="s">
        <v>1350</v>
      </c>
      <c r="E2184" s="826" t="s">
        <v>1516</v>
      </c>
      <c r="F2184" s="1390" t="s">
        <v>1488</v>
      </c>
      <c r="G2184" s="1390" t="str">
        <f t="shared" si="352"/>
        <v/>
      </c>
      <c r="H2184" s="1390" t="s">
        <v>1990</v>
      </c>
      <c r="I2184" s="1274"/>
      <c r="J2184" s="1390"/>
      <c r="K2184" s="1390"/>
      <c r="L2184" s="826"/>
      <c r="M2184" s="1391"/>
      <c r="N2184" s="1390"/>
      <c r="R2184" s="1390" t="s">
        <v>1700</v>
      </c>
      <c r="T2184" s="1390" t="str">
        <f t="shared" ref="T2184" si="355">IF(Q$1069="Yes",28,"")</f>
        <v/>
      </c>
    </row>
    <row r="2185" spans="1:20" x14ac:dyDescent="0.25">
      <c r="A2185" s="1400" t="s">
        <v>2072</v>
      </c>
      <c r="B2185" s="791"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4)</f>
        <v>K4</v>
      </c>
      <c r="C2185" s="791"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5)</f>
        <v>K5</v>
      </c>
      <c r="D2185" s="791" t="s">
        <v>1350</v>
      </c>
      <c r="E2185" s="791" t="s">
        <v>1351</v>
      </c>
      <c r="F2185" s="1400"/>
      <c r="G2185" s="1400"/>
      <c r="H2185" s="1400"/>
      <c r="I2185" s="1274" t="str">
        <f t="shared" ref="I2185" si="356">IF(J2185&lt;&gt;"",A2185,"")</f>
        <v>Initial Terms Expiration Date</v>
      </c>
      <c r="J2185" s="1400" t="str">
        <f t="shared" ref="J2185" si="357">IF(M2185&lt;&gt;"",Q$1&amp;M2185,"")</f>
        <v>F1208</v>
      </c>
      <c r="K2185" s="1400" t="str">
        <f t="shared" ref="K2185" si="358">IF(J2185&lt;&gt;"",E2185,"")</f>
        <v>Agreement Worksheet</v>
      </c>
      <c r="L2185" s="1400" t="s">
        <v>2072</v>
      </c>
      <c r="M2185" s="1401">
        <v>1208</v>
      </c>
      <c r="N2185" s="1402"/>
    </row>
    <row r="2186" spans="1:20" x14ac:dyDescent="0.25">
      <c r="A2186" s="1433" t="s">
        <v>2071</v>
      </c>
      <c r="B2186" s="52" t="str">
        <f>IFERROR(_xlfn.CONCAT("D",MATCH(A2186,'Tracking &amp; Profitability'!D$1:D$62,0)),"")</f>
        <v>D31</v>
      </c>
      <c r="C2186" s="52" t="str">
        <f>IFERROR(_xlfn.CONCAT("E",MATCH(A2186,'Tracking &amp; Profitability'!D$1:D$62,0)),"")</f>
        <v>E31</v>
      </c>
      <c r="D2186" s="791" t="s">
        <v>1350</v>
      </c>
      <c r="E2186" s="52" t="s">
        <v>129</v>
      </c>
      <c r="F2186" s="1435" t="s">
        <v>2073</v>
      </c>
      <c r="G2186" s="1435" t="s">
        <v>2074</v>
      </c>
      <c r="H2186" s="1097" t="s">
        <v>1927</v>
      </c>
      <c r="I2186" s="1433"/>
      <c r="J2186" s="1433"/>
      <c r="K2186" s="1433"/>
      <c r="L2186" s="1433"/>
      <c r="M2186" s="1434"/>
      <c r="N2186" s="1433"/>
    </row>
    <row r="2187" spans="1:20" s="1527" customFormat="1" x14ac:dyDescent="0.25">
      <c r="A2187" s="847" t="s">
        <v>1380</v>
      </c>
      <c r="B2187" s="826" t="str">
        <f ca="1">_xlfn.CONCAT(IFERROR(SUBSTITUTE(ADDRESS(1,MATCH(A2187,INDIRECT("'"&amp;E2187&amp;"'"&amp;"!A" &amp; $O$1085 + 2 &amp; ":Z" &amp; $O$1085 + 2),0),4),1,""),""),$O$1085+ 2)</f>
        <v>H409</v>
      </c>
      <c r="C2187" s="826" t="str">
        <f ca="1">_xlfn.CONCAT(IFERROR(SUBSTITUTE(ADDRESS(1,MATCH(A2187,INDIRECT("'"&amp;E2187&amp;"'"&amp;"!A" &amp; $O$1085 + 2 &amp; ":Z" &amp; $O$1085 + 2),0),4),1,""),""),$O$1085+ 3)</f>
        <v>H410</v>
      </c>
      <c r="D2187" s="826" t="s">
        <v>1350</v>
      </c>
      <c r="E2187" s="826" t="s">
        <v>1516</v>
      </c>
      <c r="F2187" s="1528" t="s">
        <v>1991</v>
      </c>
      <c r="G2187" s="1528" t="str">
        <f>IF(T2187&lt;&gt;"","E","")</f>
        <v/>
      </c>
      <c r="H2187" s="1528" t="s">
        <v>1990</v>
      </c>
      <c r="I2187" s="1274"/>
      <c r="J2187" s="1528"/>
      <c r="K2187" s="1528"/>
      <c r="L2187" s="826"/>
      <c r="M2187" s="1529"/>
      <c r="N2187" s="1528"/>
      <c r="O2187" s="1527" t="s">
        <v>1656</v>
      </c>
      <c r="R2187" s="1528" t="s">
        <v>1099</v>
      </c>
      <c r="T2187" s="1528" t="str">
        <f t="shared" ref="T2187" si="359">IF(Q$1085="Yes",29,"")</f>
        <v/>
      </c>
    </row>
    <row r="2188" spans="1:20" s="1527" customFormat="1" x14ac:dyDescent="0.25">
      <c r="A2188" s="1011" t="s">
        <v>1380</v>
      </c>
      <c r="B2188" s="826" t="str">
        <f ca="1">_xlfn.CONCAT(IFERROR(SUBSTITUTE(ADDRESS(1,MATCH(A2188,INDIRECT("'"&amp;E2188&amp;"'"&amp;"!A" &amp; $O$1095 + 2 &amp; ":Z" &amp; $O$1095 + 2),0),4),1,""),""),$O$1095+ 2)</f>
        <v>H423</v>
      </c>
      <c r="C2188" s="826" t="str">
        <f ca="1">_xlfn.CONCAT(IFERROR(SUBSTITUTE(ADDRESS(1,MATCH(A2188,INDIRECT("'"&amp;E2188&amp;"'"&amp;"!A" &amp; $O$1095 + 2 &amp; ":Z" &amp; $O$1095 + 2),0),4),1,""),""),$O$1095+ 3)</f>
        <v>H424</v>
      </c>
      <c r="D2188" s="826" t="s">
        <v>1350</v>
      </c>
      <c r="E2188" s="826" t="s">
        <v>1516</v>
      </c>
      <c r="F2188" s="1528" t="s">
        <v>1991</v>
      </c>
      <c r="G2188" s="1528" t="str">
        <f>IF(T2188&lt;&gt;"","E","")</f>
        <v/>
      </c>
      <c r="H2188" s="1528" t="s">
        <v>1990</v>
      </c>
      <c r="I2188" s="1274"/>
      <c r="J2188" s="1528"/>
      <c r="K2188" s="1528"/>
      <c r="L2188" s="826"/>
      <c r="M2188" s="1529"/>
      <c r="N2188" s="1528"/>
      <c r="O2188" s="1527" t="s">
        <v>1657</v>
      </c>
      <c r="R2188" s="1528" t="s">
        <v>1099</v>
      </c>
      <c r="T2188" s="1528" t="str">
        <f t="shared" ref="T2188" si="360">IF(Q$1095="Yes",30,"")</f>
        <v/>
      </c>
    </row>
    <row r="2189" spans="1:20" x14ac:dyDescent="0.25">
      <c r="A2189" s="1542" t="s">
        <v>2102</v>
      </c>
      <c r="B2189" s="1543" t="str">
        <f ca="1">_xlfn.CONCAT(IFERROR(SUBSTITUTE(ADDRESS(1,MATCH(A2189,INDIRECT("'"&amp;E2189&amp;"'"&amp;"!A" &amp; $O$539+11 &amp; ":Z" &amp; $O$539+11 ),0),4),1,""),""),$O$539+11)</f>
        <v>R14</v>
      </c>
      <c r="C2189" s="1543" t="str">
        <f ca="1">_xlfn.CONCAT(IFERROR(SUBSTITUTE(ADDRESS(1,MATCH(A2189,INDIRECT("'"&amp;E2189&amp;"'"&amp;"!A" &amp; $O$539+11 &amp; ":Z" &amp; $O$539+11 ),0),4),1,""),""),$O$539+12)</f>
        <v>R15</v>
      </c>
      <c r="D2189" s="1543" t="s">
        <v>1350</v>
      </c>
      <c r="E2189" s="1549" t="s">
        <v>1516</v>
      </c>
      <c r="F2189" s="1543" t="s">
        <v>2102</v>
      </c>
      <c r="G2189" s="1545" t="str">
        <f>IF(T2189&lt;&gt;"","AM","")</f>
        <v/>
      </c>
      <c r="H2189" s="1545" t="s">
        <v>1990</v>
      </c>
      <c r="I2189" s="1543"/>
      <c r="J2189" s="1543" t="str">
        <f t="shared" ref="J2189:J2212" si="361">IF(M2189&lt;&gt;"",Q$1&amp;M2189,"")</f>
        <v>F1309</v>
      </c>
      <c r="K2189" s="1543"/>
      <c r="L2189" s="1543"/>
      <c r="M2189" s="1544">
        <v>1309</v>
      </c>
      <c r="N2189" s="1543"/>
      <c r="R2189" s="1543" t="s">
        <v>851</v>
      </c>
      <c r="T2189" s="1545" t="str">
        <f t="shared" ref="T2189" si="362">IF(Q$540="Yes",1,"")</f>
        <v/>
      </c>
    </row>
    <row r="2190" spans="1:20" x14ac:dyDescent="0.25">
      <c r="A2190" s="1542" t="s">
        <v>2102</v>
      </c>
      <c r="B2190" s="1543" t="str">
        <f ca="1">_xlfn.CONCAT(IFERROR(SUBSTITUTE(ADDRESS(1,MATCH(A2190,INDIRECT("'"&amp;E2190&amp;"'"&amp;"!A" &amp; $O$555+11 &amp; ":Z" &amp; $O$555+11),0),4),1,""),""),$O$555+11)</f>
        <v>R28</v>
      </c>
      <c r="C2190" s="1543" t="str">
        <f ca="1">_xlfn.CONCAT(IFERROR(SUBSTITUTE(ADDRESS(1,MATCH(A2190,INDIRECT("'"&amp;E2190&amp;"'"&amp;"!A" &amp; $O$555+11 &amp; ":Z" &amp; $O$555+11),0),4),1,""),""),$O$555+12)</f>
        <v>R29</v>
      </c>
      <c r="D2190" s="1543" t="s">
        <v>1350</v>
      </c>
      <c r="E2190" s="1549" t="s">
        <v>1516</v>
      </c>
      <c r="F2190" s="1545" t="s">
        <v>2102</v>
      </c>
      <c r="G2190" s="1545" t="str">
        <f t="shared" ref="G2190:G2212" si="363">IF(T2190&lt;&gt;"","AM","")</f>
        <v/>
      </c>
      <c r="H2190" s="1545" t="s">
        <v>1990</v>
      </c>
      <c r="I2190" s="1543"/>
      <c r="J2190" s="1543" t="str">
        <f t="shared" si="361"/>
        <v>F1310</v>
      </c>
      <c r="K2190" s="1543"/>
      <c r="L2190" s="1543"/>
      <c r="M2190" s="1544">
        <v>1310</v>
      </c>
      <c r="N2190" s="1543"/>
      <c r="R2190" s="1543" t="s">
        <v>851</v>
      </c>
      <c r="T2190" s="1545" t="str">
        <f t="shared" ref="T2190" si="364">IF(Q$555="Yes",2,"")</f>
        <v/>
      </c>
    </row>
    <row r="2191" spans="1:20" x14ac:dyDescent="0.25">
      <c r="A2191" s="1542" t="s">
        <v>2102</v>
      </c>
      <c r="B2191" s="1543" t="str">
        <f ca="1">_xlfn.CONCAT(IFERROR(SUBSTITUTE(ADDRESS(1,MATCH(A2191,INDIRECT("'"&amp;E2191&amp;"'"&amp;"!A" &amp; $O$570+11 &amp; ":Z" &amp; $O$570+11),0),4),1,""),""),$O$570+11)</f>
        <v>R42</v>
      </c>
      <c r="C2191" s="1543" t="str">
        <f ca="1">_xlfn.CONCAT(IFERROR(SUBSTITUTE(ADDRESS(1,MATCH(A2191,INDIRECT("'"&amp;E2191&amp;"'"&amp;"!A" &amp; $O$570+11 &amp; ":Z" &amp; $O$570+11),0),4),1,""),""),$O$570+12)</f>
        <v>R43</v>
      </c>
      <c r="D2191" s="1543" t="s">
        <v>1350</v>
      </c>
      <c r="E2191" s="1549" t="s">
        <v>1516</v>
      </c>
      <c r="F2191" s="1545" t="s">
        <v>2102</v>
      </c>
      <c r="G2191" s="1545" t="str">
        <f t="shared" si="363"/>
        <v/>
      </c>
      <c r="H2191" s="1545" t="s">
        <v>1990</v>
      </c>
      <c r="I2191" s="1543"/>
      <c r="J2191" s="1543" t="str">
        <f t="shared" si="361"/>
        <v>F1311</v>
      </c>
      <c r="K2191" s="1543"/>
      <c r="L2191" s="1543"/>
      <c r="M2191" s="1544">
        <v>1311</v>
      </c>
      <c r="N2191" s="1543"/>
      <c r="R2191" s="1543" t="s">
        <v>851</v>
      </c>
      <c r="T2191" s="1545" t="str">
        <f t="shared" ref="T2191" si="365">IF(Q$570="Yes",3,"")</f>
        <v/>
      </c>
    </row>
    <row r="2192" spans="1:20" x14ac:dyDescent="0.25">
      <c r="A2192" s="1542" t="s">
        <v>2102</v>
      </c>
      <c r="B2192" s="1543" t="str">
        <f ca="1">_xlfn.CONCAT(IFERROR(SUBSTITUTE(ADDRESS(1,MATCH(A2192,INDIRECT("'"&amp;E2192&amp;"'"&amp;"!A" &amp; $O$589+11 &amp; ":Z" &amp; $O$589+11),0),4),1,""),""),$O$589+11)</f>
        <v>R56</v>
      </c>
      <c r="C2192" s="1543" t="str">
        <f ca="1">_xlfn.CONCAT(IFERROR(SUBSTITUTE(ADDRESS(1,MATCH(A2192,INDIRECT("'"&amp;E2192&amp;"'"&amp;"!A" &amp; $O$589+11 &amp; ":Z" &amp; $O$589+11),0),4),1,""),""),$O$589+12)</f>
        <v>R57</v>
      </c>
      <c r="D2192" s="1543" t="s">
        <v>1350</v>
      </c>
      <c r="E2192" s="1549" t="s">
        <v>1516</v>
      </c>
      <c r="F2192" s="1545" t="s">
        <v>2102</v>
      </c>
      <c r="G2192" s="1545" t="str">
        <f t="shared" si="363"/>
        <v/>
      </c>
      <c r="H2192" s="1545" t="s">
        <v>1990</v>
      </c>
      <c r="I2192" s="1543"/>
      <c r="J2192" s="1543" t="str">
        <f t="shared" si="361"/>
        <v>F1312</v>
      </c>
      <c r="K2192" s="1543"/>
      <c r="L2192" s="1543"/>
      <c r="M2192" s="1544">
        <v>1312</v>
      </c>
      <c r="N2192" s="1543"/>
      <c r="R2192" s="1543" t="s">
        <v>851</v>
      </c>
      <c r="T2192" s="1545" t="str">
        <f t="shared" ref="T2192" si="366">IF(Q$589="Yes",4,"")</f>
        <v/>
      </c>
    </row>
    <row r="2193" spans="1:20" x14ac:dyDescent="0.25">
      <c r="A2193" s="1542" t="s">
        <v>2102</v>
      </c>
      <c r="B2193" s="1543" t="str">
        <f ca="1">_xlfn.CONCAT(IFERROR(SUBSTITUTE(ADDRESS(1,MATCH(A2193,INDIRECT("'"&amp;E2193&amp;"'"&amp;"!A" &amp; $O$608 + 8 &amp; ":Z" &amp; $O$608+8),0),4),1,""),""),$O$608+8)</f>
        <v>R67</v>
      </c>
      <c r="C2193" s="1543" t="str">
        <f ca="1">_xlfn.CONCAT(IFERROR(SUBSTITUTE(ADDRESS(1,MATCH(A2193,INDIRECT("'"&amp;E2193&amp;"'"&amp;"!A" &amp; $O$608 + 8 &amp; ":Z" &amp; $O$608+8),0),4),1,""),""),$O$608+9)</f>
        <v>R68</v>
      </c>
      <c r="D2193" s="1543" t="s">
        <v>1350</v>
      </c>
      <c r="E2193" s="1549" t="s">
        <v>1516</v>
      </c>
      <c r="F2193" s="1545" t="s">
        <v>2102</v>
      </c>
      <c r="G2193" s="1545" t="str">
        <f t="shared" si="363"/>
        <v/>
      </c>
      <c r="H2193" s="1545" t="s">
        <v>1990</v>
      </c>
      <c r="I2193" s="1543"/>
      <c r="J2193" s="1543" t="str">
        <f t="shared" si="361"/>
        <v>F1313</v>
      </c>
      <c r="K2193" s="1543"/>
      <c r="L2193" s="1543"/>
      <c r="M2193" s="1544">
        <v>1313</v>
      </c>
      <c r="N2193" s="1543"/>
      <c r="R2193" s="1543" t="s">
        <v>851</v>
      </c>
      <c r="T2193" s="1545" t="str">
        <f t="shared" ref="T2193" si="367">IF(Q$608="Yes",5,"")</f>
        <v/>
      </c>
    </row>
    <row r="2194" spans="1:20" x14ac:dyDescent="0.25">
      <c r="A2194" s="1542" t="s">
        <v>2102</v>
      </c>
      <c r="B2194" s="1543" t="str">
        <f ca="1">_xlfn.CONCAT(IFERROR(SUBSTITUTE(ADDRESS(1,MATCH(A2194,INDIRECT("'"&amp;E2194&amp;"'"&amp;"!A" &amp; $O$639 + 8 &amp; ":Z" &amp; $O$639 + 8),0),4),1,""),""),$O$639 + 8)</f>
        <v>R83</v>
      </c>
      <c r="C2194" s="1543" t="str">
        <f ca="1">_xlfn.CONCAT(IFERROR(SUBSTITUTE(ADDRESS(1,MATCH(A2194,INDIRECT("'"&amp;E2194&amp;"'"&amp;"!A" &amp; $O$639 + 8 &amp; ":Z" &amp; $O$639 + 8),0),4),1,""),""),$O$639 + 9)</f>
        <v>R84</v>
      </c>
      <c r="D2194" s="1543" t="s">
        <v>1350</v>
      </c>
      <c r="E2194" s="1549" t="s">
        <v>1516</v>
      </c>
      <c r="F2194" s="1545" t="s">
        <v>2102</v>
      </c>
      <c r="G2194" s="1545" t="str">
        <f t="shared" si="363"/>
        <v/>
      </c>
      <c r="H2194" s="1545" t="s">
        <v>1990</v>
      </c>
      <c r="I2194" s="1543"/>
      <c r="J2194" s="1543" t="str">
        <f t="shared" si="361"/>
        <v>F1314</v>
      </c>
      <c r="K2194" s="1543"/>
      <c r="L2194" s="1543"/>
      <c r="M2194" s="1544">
        <v>1314</v>
      </c>
      <c r="N2194" s="1543"/>
      <c r="R2194" s="577" t="s">
        <v>851</v>
      </c>
      <c r="T2194" s="1545" t="str">
        <f t="shared" ref="T2194" si="368">IF(Q$639="Yes",6,"")</f>
        <v/>
      </c>
    </row>
    <row r="2195" spans="1:20" x14ac:dyDescent="0.25">
      <c r="A2195" s="1542" t="s">
        <v>2102</v>
      </c>
      <c r="B2195" s="1543" t="str">
        <f ca="1">_xlfn.CONCAT(IFERROR(SUBSTITUTE(ADDRESS(1,MATCH(A2195,INDIRECT("'"&amp;E2195&amp;"'"&amp;"!A" &amp; $O$670 + 11 &amp; ":Z" &amp; $O$670 + 11),0),4),1,""),""),$O$670 + 11)</f>
        <v>R102</v>
      </c>
      <c r="C2195" s="1543" t="str">
        <f ca="1">_xlfn.CONCAT(IFERROR(SUBSTITUTE(ADDRESS(1,MATCH(A2195,INDIRECT("'"&amp;E2195&amp;"'"&amp;"!A" &amp; $O$670 + 11 &amp; ":Z" &amp; $O$670 + 11),0),4),1,""),""),$O$670 + 12)</f>
        <v>R103</v>
      </c>
      <c r="D2195" s="1543" t="s">
        <v>1350</v>
      </c>
      <c r="E2195" s="1549" t="s">
        <v>1516</v>
      </c>
      <c r="F2195" s="1545" t="s">
        <v>2102</v>
      </c>
      <c r="G2195" s="1545" t="str">
        <f t="shared" si="363"/>
        <v/>
      </c>
      <c r="H2195" s="1545" t="s">
        <v>1990</v>
      </c>
      <c r="I2195" s="1543"/>
      <c r="J2195" s="1543" t="str">
        <f t="shared" si="361"/>
        <v>F1315</v>
      </c>
      <c r="K2195" s="1543"/>
      <c r="L2195" s="1543"/>
      <c r="M2195" s="1544">
        <v>1315</v>
      </c>
      <c r="N2195" s="1543"/>
      <c r="R2195" s="1543" t="s">
        <v>1525</v>
      </c>
      <c r="T2195" s="1545" t="str">
        <f t="shared" ref="T2195" si="369">IF(Q$670="Yes",7,"")</f>
        <v/>
      </c>
    </row>
    <row r="2196" spans="1:20" x14ac:dyDescent="0.25">
      <c r="A2196" s="1542" t="s">
        <v>2102</v>
      </c>
      <c r="B2196" s="1543" t="str">
        <f ca="1">_xlfn.CONCAT(IFERROR(SUBSTITUTE(ADDRESS(1,MATCH(A2196,INDIRECT("'"&amp;E2196&amp;"'"&amp;"!A" &amp; $O$688 + 11 &amp; ":Z" &amp; $O$688 + 11),0),4),1,""),""),$O$688 + 11)</f>
        <v>R116</v>
      </c>
      <c r="C2196" s="1543" t="str">
        <f ca="1">_xlfn.CONCAT(IFERROR(SUBSTITUTE(ADDRESS(1,MATCH(A2196,INDIRECT("'"&amp;E2196&amp;"'"&amp;"!A" &amp; $O$688 + 11 &amp; ":Z" &amp; $O$688 + 11),0),4),1,""),""),$O$688 + 12)</f>
        <v>R117</v>
      </c>
      <c r="D2196" s="1543" t="s">
        <v>1350</v>
      </c>
      <c r="E2196" s="1549" t="s">
        <v>1516</v>
      </c>
      <c r="F2196" s="1545" t="s">
        <v>2102</v>
      </c>
      <c r="G2196" s="1545" t="str">
        <f t="shared" si="363"/>
        <v/>
      </c>
      <c r="H2196" s="1545" t="s">
        <v>1990</v>
      </c>
      <c r="I2196" s="1543"/>
      <c r="J2196" s="1543" t="str">
        <f t="shared" si="361"/>
        <v>F1316</v>
      </c>
      <c r="K2196" s="1543"/>
      <c r="L2196" s="1543"/>
      <c r="M2196" s="1544">
        <v>1316</v>
      </c>
      <c r="N2196" s="1543"/>
      <c r="R2196" s="1543" t="s">
        <v>1525</v>
      </c>
      <c r="T2196" s="1545" t="str">
        <f t="shared" ref="T2196" si="370">IF(Q$688="Yes",8,"")</f>
        <v/>
      </c>
    </row>
    <row r="2197" spans="1:20" x14ac:dyDescent="0.25">
      <c r="A2197" s="1542" t="s">
        <v>2102</v>
      </c>
      <c r="B2197" s="1543" t="str">
        <f ca="1">_xlfn.CONCAT(IFERROR(SUBSTITUTE(ADDRESS(1,MATCH(A2197,INDIRECT("'"&amp;E2197&amp;"'"&amp;"!A" &amp; $O$706 + 12 &amp; ":Z" &amp; $O$706+ 12),0),4),1,""),""),$O$706 + 12)</f>
        <v>R131</v>
      </c>
      <c r="C2197" s="1543" t="str">
        <f ca="1">_xlfn.CONCAT(IFERROR(SUBSTITUTE(ADDRESS(1,MATCH(A2197,INDIRECT("'"&amp;E2197&amp;"'"&amp;"!A" &amp; $O$706 + 12 &amp; ":Z" &amp; $O$706+ 12),0),4),1,""),""),$O$706 + 13)</f>
        <v>R132</v>
      </c>
      <c r="D2197" s="1543" t="s">
        <v>1350</v>
      </c>
      <c r="E2197" s="1549" t="s">
        <v>1516</v>
      </c>
      <c r="F2197" s="1545" t="s">
        <v>2102</v>
      </c>
      <c r="G2197" s="1545" t="str">
        <f t="shared" si="363"/>
        <v/>
      </c>
      <c r="H2197" s="1545" t="s">
        <v>1990</v>
      </c>
      <c r="I2197" s="1543"/>
      <c r="J2197" s="1543" t="str">
        <f t="shared" si="361"/>
        <v>F1317</v>
      </c>
      <c r="K2197" s="1543"/>
      <c r="L2197" s="1543"/>
      <c r="M2197" s="1544">
        <v>1317</v>
      </c>
      <c r="N2197" s="1543"/>
      <c r="R2197" s="1543" t="s">
        <v>1525</v>
      </c>
      <c r="T2197" s="1545" t="str">
        <f t="shared" ref="T2197" si="371">IF(Q$706="Yes",9,"")</f>
        <v/>
      </c>
    </row>
    <row r="2198" spans="1:20" x14ac:dyDescent="0.25">
      <c r="A2198" s="1542" t="s">
        <v>2102</v>
      </c>
      <c r="B2198" s="1543" t="str">
        <f ca="1">_xlfn.CONCAT(IFERROR(SUBSTITUTE(ADDRESS(1,MATCH(A2198,INDIRECT("'"&amp;E2198&amp;"'"&amp;"!A" &amp; $O$736 + 12 &amp; ":Z" &amp; $O$736+ 12),0),4),1,""),""),$O$736 + 12)</f>
        <v>R147</v>
      </c>
      <c r="C2198" s="1543" t="str">
        <f ca="1">_xlfn.CONCAT(IFERROR(SUBSTITUTE(ADDRESS(1,MATCH(A2198,INDIRECT("'"&amp;E2198&amp;"'"&amp;"!A" &amp; $O$736 + 12 &amp; ":Z" &amp; $O$736+ 12),0),4),1,""),""),$O$736 + 13)</f>
        <v>R148</v>
      </c>
      <c r="D2198" s="1543" t="s">
        <v>1350</v>
      </c>
      <c r="E2198" s="1549" t="s">
        <v>1516</v>
      </c>
      <c r="F2198" s="1545" t="s">
        <v>2102</v>
      </c>
      <c r="G2198" s="1545" t="str">
        <f t="shared" si="363"/>
        <v/>
      </c>
      <c r="H2198" s="1545" t="s">
        <v>1990</v>
      </c>
      <c r="I2198" s="1543"/>
      <c r="J2198" s="1543" t="str">
        <f t="shared" si="361"/>
        <v>F1318</v>
      </c>
      <c r="K2198" s="1543"/>
      <c r="L2198" s="1543"/>
      <c r="M2198" s="1544">
        <v>1318</v>
      </c>
      <c r="N2198" s="1543"/>
      <c r="R2198" s="1543" t="s">
        <v>1525</v>
      </c>
      <c r="T2198" s="1545" t="str">
        <f t="shared" ref="T2198" si="372">IF(Q$736="Yes",10,"")</f>
        <v/>
      </c>
    </row>
    <row r="2199" spans="1:20" x14ac:dyDescent="0.25">
      <c r="A2199" s="1542" t="s">
        <v>2102</v>
      </c>
      <c r="B2199" s="1543" t="str">
        <f ca="1">_xlfn.CONCAT(IFERROR(SUBSTITUTE(ADDRESS(1,MATCH(A2199,INDIRECT("'"&amp;E2199&amp;"'"&amp;"!A" &amp; $O$766 + 11 &amp; ":Z" &amp; $O$766+ 11),0),4),1,""),""),$O$766 + 11)</f>
        <v>R162</v>
      </c>
      <c r="C2199" s="1543" t="str">
        <f ca="1">_xlfn.CONCAT(IFERROR(SUBSTITUTE(ADDRESS(1,MATCH(A2199,INDIRECT("'"&amp;E2199&amp;"'"&amp;"!A" &amp; $O$766 + 11 &amp; ":Z" &amp; $O$766+ 11),0),4),1,""),""),$O$766 + 12)</f>
        <v>R163</v>
      </c>
      <c r="D2199" s="1543" t="s">
        <v>1350</v>
      </c>
      <c r="E2199" s="1549" t="s">
        <v>1516</v>
      </c>
      <c r="F2199" s="1545" t="s">
        <v>2102</v>
      </c>
      <c r="G2199" s="1545" t="str">
        <f t="shared" si="363"/>
        <v/>
      </c>
      <c r="H2199" s="1545" t="s">
        <v>1990</v>
      </c>
      <c r="I2199" s="1543"/>
      <c r="J2199" s="1543" t="str">
        <f t="shared" si="361"/>
        <v>F1319</v>
      </c>
      <c r="K2199" s="1543"/>
      <c r="L2199" s="1543"/>
      <c r="M2199" s="1544">
        <v>1319</v>
      </c>
      <c r="N2199" s="1543"/>
      <c r="R2199" s="1543" t="s">
        <v>1531</v>
      </c>
      <c r="T2199" s="1545" t="str">
        <f t="shared" ref="T2199" si="373">IF(Q$766="Yes",11,"")</f>
        <v/>
      </c>
    </row>
    <row r="2200" spans="1:20" x14ac:dyDescent="0.25">
      <c r="A2200" s="1542" t="s">
        <v>2102</v>
      </c>
      <c r="B2200" s="1543" t="str">
        <f ca="1">_xlfn.CONCAT(IFERROR(SUBSTITUTE(ADDRESS(1,MATCH(A2200,INDIRECT("'"&amp;E2200&amp;"'"&amp;"!A" &amp; $O$781 + 11 &amp; ":Z" &amp; $O$781+ 11),0),4),1,""),""),$O$781 + 11)</f>
        <v>R176</v>
      </c>
      <c r="C2200" s="1543" t="str">
        <f ca="1">_xlfn.CONCAT(IFERROR(SUBSTITUTE(ADDRESS(1,MATCH(A2200,INDIRECT("'"&amp;E2200&amp;"'"&amp;"!A" &amp; $O$781 + 11 &amp; ":Z" &amp; $O$781+ 11),0),4),1,""),""),$O$781 + 12)</f>
        <v>R177</v>
      </c>
      <c r="D2200" s="1543" t="s">
        <v>1350</v>
      </c>
      <c r="E2200" s="1549" t="s">
        <v>1516</v>
      </c>
      <c r="F2200" s="1545" t="s">
        <v>2102</v>
      </c>
      <c r="G2200" s="1545" t="str">
        <f t="shared" si="363"/>
        <v/>
      </c>
      <c r="H2200" s="1545" t="s">
        <v>1990</v>
      </c>
      <c r="I2200" s="1543"/>
      <c r="J2200" s="1543" t="str">
        <f t="shared" si="361"/>
        <v>F1320</v>
      </c>
      <c r="K2200" s="1543"/>
      <c r="L2200" s="1543"/>
      <c r="M2200" s="1544">
        <v>1320</v>
      </c>
      <c r="N2200" s="1543"/>
      <c r="R2200" s="1543" t="s">
        <v>1531</v>
      </c>
      <c r="T2200" s="1545" t="str">
        <f t="shared" ref="T2200" si="374">IF(Q$781="Yes",12,"")</f>
        <v/>
      </c>
    </row>
    <row r="2201" spans="1:20" x14ac:dyDescent="0.25">
      <c r="A2201" s="1542" t="s">
        <v>2102</v>
      </c>
      <c r="B2201" s="1543" t="str">
        <f ca="1">_xlfn.CONCAT(IFERROR(SUBSTITUTE(ADDRESS(1,MATCH(A2201,INDIRECT("'"&amp;E2201&amp;"'"&amp;"!A" &amp; $O$796 + 11 &amp; ":Z" &amp; $O$796+ 11),0),4),1,""),""),$O$796 + 11)</f>
        <v>R190</v>
      </c>
      <c r="C2201" s="1543" t="str">
        <f ca="1">_xlfn.CONCAT(IFERROR(SUBSTITUTE(ADDRESS(1,MATCH(A2201,INDIRECT("'"&amp;E2201&amp;"'"&amp;"!A" &amp; $O$796 + 11 &amp; ":Z" &amp; $O$796+ 11),0),4),1,""),""),$O$796 + 12)</f>
        <v>R191</v>
      </c>
      <c r="D2201" s="1543" t="s">
        <v>1350</v>
      </c>
      <c r="E2201" s="1549" t="s">
        <v>1516</v>
      </c>
      <c r="F2201" s="1545" t="s">
        <v>2102</v>
      </c>
      <c r="G2201" s="1545" t="str">
        <f t="shared" si="363"/>
        <v/>
      </c>
      <c r="H2201" s="1545" t="s">
        <v>1990</v>
      </c>
      <c r="I2201" s="1543"/>
      <c r="J2201" s="1543" t="str">
        <f t="shared" si="361"/>
        <v>F1321</v>
      </c>
      <c r="K2201" s="1543"/>
      <c r="L2201" s="1543"/>
      <c r="M2201" s="1544">
        <v>1321</v>
      </c>
      <c r="N2201" s="1543"/>
      <c r="R2201" s="1543" t="s">
        <v>1531</v>
      </c>
      <c r="T2201" s="1545" t="str">
        <f t="shared" ref="T2201" si="375">IF(Q$796="Yes",13,"")</f>
        <v/>
      </c>
    </row>
    <row r="2202" spans="1:20" x14ac:dyDescent="0.25">
      <c r="A2202" s="1542" t="s">
        <v>2102</v>
      </c>
      <c r="B2202" s="1543" t="str">
        <f ca="1">_xlfn.CONCAT(IFERROR(SUBSTITUTE(ADDRESS(1,MATCH(A2202,INDIRECT("'"&amp;E2202&amp;"'"&amp;"!A" &amp; $O$814 + 11 &amp; ":Z" &amp; $O$814+ 11),0),4),1,""),""),$O$814 + 11)</f>
        <v>R204</v>
      </c>
      <c r="C2202" s="1543" t="str">
        <f ca="1">_xlfn.CONCAT(IFERROR(SUBSTITUTE(ADDRESS(1,MATCH(A2202,INDIRECT("'"&amp;E2202&amp;"'"&amp;"!A" &amp; $O$814 + 11 &amp; ":Z" &amp; $O$814+ 11),0),4),1,""),""),$O$814 + 12)</f>
        <v>R205</v>
      </c>
      <c r="D2202" s="1543" t="s">
        <v>1350</v>
      </c>
      <c r="E2202" s="1549" t="s">
        <v>1516</v>
      </c>
      <c r="F2202" s="1545" t="s">
        <v>2102</v>
      </c>
      <c r="G2202" s="1545" t="str">
        <f t="shared" si="363"/>
        <v/>
      </c>
      <c r="H2202" s="1545" t="s">
        <v>1990</v>
      </c>
      <c r="I2202" s="1543"/>
      <c r="J2202" s="1543" t="str">
        <f t="shared" si="361"/>
        <v>F1322</v>
      </c>
      <c r="K2202" s="1543"/>
      <c r="L2202" s="1543"/>
      <c r="M2202" s="1544">
        <v>1322</v>
      </c>
      <c r="N2202" s="1543"/>
      <c r="R2202" s="1543" t="s">
        <v>1531</v>
      </c>
      <c r="T2202" s="1545" t="str">
        <f t="shared" ref="T2202" si="376">IF(Q$814="Yes",14,"")</f>
        <v/>
      </c>
    </row>
    <row r="2203" spans="1:20" x14ac:dyDescent="0.25">
      <c r="A2203" s="1542" t="s">
        <v>2102</v>
      </c>
      <c r="B2203" s="1543" t="str">
        <f ca="1">_xlfn.CONCAT(IFERROR(SUBSTITUTE(ADDRESS(1,MATCH(A2203,INDIRECT("'"&amp;E2203&amp;"'"&amp;"!A" &amp; $O$832 + 12 &amp; ":Z" &amp; $O$832+ 12),0),4),1,""),""),$O$832 + 12)</f>
        <v>R219</v>
      </c>
      <c r="C2203" s="1543" t="str">
        <f ca="1">_xlfn.CONCAT(IFERROR(SUBSTITUTE(ADDRESS(1,MATCH(A2203,INDIRECT("'"&amp;E2203&amp;"'"&amp;"!A" &amp; $O$832 + 12 &amp; ":Z" &amp; $O$832+ 12),0),4),1,""),""),$O$832 + 13)</f>
        <v>R220</v>
      </c>
      <c r="D2203" s="1543" t="s">
        <v>1350</v>
      </c>
      <c r="E2203" s="1549" t="s">
        <v>1516</v>
      </c>
      <c r="F2203" s="1545" t="s">
        <v>2102</v>
      </c>
      <c r="G2203" s="1545" t="str">
        <f t="shared" si="363"/>
        <v/>
      </c>
      <c r="H2203" s="1545" t="s">
        <v>1990</v>
      </c>
      <c r="I2203" s="1543"/>
      <c r="J2203" s="1543" t="str">
        <f t="shared" si="361"/>
        <v>F1323</v>
      </c>
      <c r="K2203" s="1543"/>
      <c r="L2203" s="1543"/>
      <c r="M2203" s="1544">
        <v>1323</v>
      </c>
      <c r="N2203" s="1543"/>
      <c r="R2203" s="1543" t="s">
        <v>1531</v>
      </c>
      <c r="T2203" s="1545" t="str">
        <f t="shared" ref="T2203" si="377">IF(Q$832="Yes",15,"")</f>
        <v/>
      </c>
    </row>
    <row r="2204" spans="1:20" x14ac:dyDescent="0.25">
      <c r="A2204" s="1542" t="s">
        <v>2102</v>
      </c>
      <c r="B2204" s="1543" t="str">
        <f ca="1">_xlfn.CONCAT(IFERROR(SUBSTITUTE(ADDRESS(1,MATCH(A2204,INDIRECT("'"&amp;E2204&amp;"'"&amp;"!A" &amp; $O$862 + 12 &amp; ":Z" &amp; $O$862+ 12),0),4),1,""),""),$O$862 + 12)</f>
        <v>R235</v>
      </c>
      <c r="C2204" s="1543" t="str">
        <f ca="1">_xlfn.CONCAT(IFERROR(SUBSTITUTE(ADDRESS(1,MATCH(A2204,INDIRECT("'"&amp;E2204&amp;"'"&amp;"!A" &amp; $O$862 + 12 &amp; ":Z" &amp; $O$862+ 12),0),4),1,""),""),$O$862 + 13)</f>
        <v>R236</v>
      </c>
      <c r="D2204" s="1543" t="s">
        <v>1350</v>
      </c>
      <c r="E2204" s="1549" t="s">
        <v>1516</v>
      </c>
      <c r="F2204" s="1545" t="s">
        <v>2102</v>
      </c>
      <c r="G2204" s="1545" t="str">
        <f t="shared" si="363"/>
        <v/>
      </c>
      <c r="H2204" s="1545" t="s">
        <v>1990</v>
      </c>
      <c r="I2204" s="1543"/>
      <c r="J2204" s="1543" t="str">
        <f t="shared" si="361"/>
        <v>F1324</v>
      </c>
      <c r="K2204" s="1543"/>
      <c r="L2204" s="1543"/>
      <c r="M2204" s="1544">
        <v>1324</v>
      </c>
      <c r="N2204" s="1543"/>
      <c r="R2204" s="1543" t="s">
        <v>1531</v>
      </c>
      <c r="T2204" s="1545" t="str">
        <f t="shared" ref="T2204" si="378">IF(Q$862="Yes",16,"")</f>
        <v/>
      </c>
    </row>
    <row r="2205" spans="1:20" x14ac:dyDescent="0.25">
      <c r="A2205" s="1542" t="s">
        <v>2102</v>
      </c>
      <c r="B2205" s="1543" t="str">
        <f ca="1">_xlfn.CONCAT(IFERROR(SUBSTITUTE(ADDRESS(1,MATCH(A2205,INDIRECT("'"&amp;E2205&amp;"'"&amp;"!A" &amp; $O$892 + 11 &amp; ":Z" &amp; $O$892+ 11),0),4),1,""),""),$O$892 + 11)</f>
        <v>R250</v>
      </c>
      <c r="C2205" s="1543" t="str">
        <f ca="1">_xlfn.CONCAT(IFERROR(SUBSTITUTE(ADDRESS(1,MATCH(A2205,INDIRECT("'"&amp;E2205&amp;"'"&amp;"!A" &amp; $O$892 + 11 &amp; ":Z" &amp; $O$892+ 11),0),4),1,""),""),$O$892 + 12)</f>
        <v>R251</v>
      </c>
      <c r="D2205" s="1543" t="s">
        <v>1350</v>
      </c>
      <c r="E2205" s="1549" t="s">
        <v>1516</v>
      </c>
      <c r="F2205" s="1545" t="s">
        <v>2102</v>
      </c>
      <c r="G2205" s="1545" t="str">
        <f t="shared" si="363"/>
        <v/>
      </c>
      <c r="H2205" s="1545" t="s">
        <v>1990</v>
      </c>
      <c r="I2205" s="1543"/>
      <c r="J2205" s="1543" t="str">
        <f t="shared" si="361"/>
        <v>F1325</v>
      </c>
      <c r="K2205" s="1543"/>
      <c r="L2205" s="1543"/>
      <c r="M2205" s="1544">
        <v>1325</v>
      </c>
      <c r="N2205" s="1543"/>
      <c r="R2205" s="1543" t="s">
        <v>395</v>
      </c>
      <c r="T2205" s="1545" t="str">
        <f t="shared" ref="T2205" si="379">IF(Q$892="Yes",17,"")</f>
        <v/>
      </c>
    </row>
    <row r="2206" spans="1:20" x14ac:dyDescent="0.25">
      <c r="A2206" s="1542" t="s">
        <v>2102</v>
      </c>
      <c r="B2206" s="1543" t="str">
        <f ca="1">_xlfn.CONCAT(IFERROR(SUBSTITUTE(ADDRESS(1,MATCH(A2206,INDIRECT("'"&amp;E2206&amp;"'"&amp;"!A" &amp; $O$911 + 11 &amp; ":Z" &amp; $O$911 + 11),0),4),1,""),""),$O$911 + 11)</f>
        <v>R264</v>
      </c>
      <c r="C2206" s="1543" t="str">
        <f ca="1">_xlfn.CONCAT(IFERROR(SUBSTITUTE(ADDRESS(1,MATCH(A2206,INDIRECT("'"&amp;E2206&amp;"'"&amp;"!A" &amp; $O$911 + 11 &amp; ":Z" &amp; $O$911 + 11),0),4),1,""),""),$O$911 + 12)</f>
        <v>R265</v>
      </c>
      <c r="D2206" s="1543" t="s">
        <v>1350</v>
      </c>
      <c r="E2206" s="1549" t="s">
        <v>1516</v>
      </c>
      <c r="F2206" s="1545" t="s">
        <v>2102</v>
      </c>
      <c r="G2206" s="1545" t="str">
        <f t="shared" si="363"/>
        <v/>
      </c>
      <c r="H2206" s="1545" t="s">
        <v>1990</v>
      </c>
      <c r="I2206" s="1543"/>
      <c r="J2206" s="1543" t="str">
        <f t="shared" si="361"/>
        <v>F1326</v>
      </c>
      <c r="K2206" s="1543"/>
      <c r="L2206" s="1543"/>
      <c r="M2206" s="1544">
        <v>1326</v>
      </c>
      <c r="N2206" s="1543"/>
      <c r="R2206" s="1543" t="s">
        <v>395</v>
      </c>
      <c r="T2206" s="1545" t="str">
        <f t="shared" ref="T2206" si="380">IF(Q$911="Yes",18,"")</f>
        <v/>
      </c>
    </row>
    <row r="2207" spans="1:20" x14ac:dyDescent="0.25">
      <c r="A2207" s="1542" t="s">
        <v>2102</v>
      </c>
      <c r="B2207" s="1543" t="str">
        <f ca="1">_xlfn.CONCAT(IFERROR(SUBSTITUTE(ADDRESS(1,MATCH(A2207,INDIRECT("'"&amp;E2207&amp;"'"&amp;"!A" &amp; $O$930 + 11 &amp; ":Z" &amp; $O$930 + 11),0),4),1,""),""),$O$930 + 11)</f>
        <v>R278</v>
      </c>
      <c r="C2207" s="1543" t="str">
        <f ca="1">_xlfn.CONCAT(IFERROR(SUBSTITUTE(ADDRESS(1,MATCH(A2207,INDIRECT("'"&amp;E2207&amp;"'"&amp;"!A" &amp; $O$930 + 11 &amp; ":Z" &amp; $O$930 + 11),0),4),1,""),""),$O$930 + 12)</f>
        <v>R279</v>
      </c>
      <c r="D2207" s="1543" t="s">
        <v>1350</v>
      </c>
      <c r="E2207" s="1549" t="s">
        <v>1516</v>
      </c>
      <c r="F2207" s="1545" t="s">
        <v>2102</v>
      </c>
      <c r="G2207" s="1545" t="str">
        <f t="shared" si="363"/>
        <v/>
      </c>
      <c r="H2207" s="1545" t="s">
        <v>1990</v>
      </c>
      <c r="I2207" s="1543"/>
      <c r="J2207" s="1543" t="str">
        <f t="shared" si="361"/>
        <v>F1327</v>
      </c>
      <c r="K2207" s="1543"/>
      <c r="L2207" s="1543"/>
      <c r="M2207" s="1544">
        <v>1327</v>
      </c>
      <c r="N2207" s="1543"/>
      <c r="R2207" s="1543" t="s">
        <v>395</v>
      </c>
      <c r="T2207" s="1545" t="str">
        <f t="shared" ref="T2207" si="381">IF(Q$930="Yes",19,"")</f>
        <v/>
      </c>
    </row>
    <row r="2208" spans="1:20" x14ac:dyDescent="0.25">
      <c r="A2208" s="1542" t="s">
        <v>2102</v>
      </c>
      <c r="B2208" s="1543" t="str">
        <f ca="1">_xlfn.CONCAT(IFERROR(SUBSTITUTE(ADDRESS(1,MATCH(A2208,INDIRECT("'"&amp;E2208&amp;"'"&amp;"!A" &amp; $O$949 + 11 &amp; ":Z" &amp; $O$949 + 11),0),4),1,""),""),$O$949 + 11)</f>
        <v>R292</v>
      </c>
      <c r="C2208" s="1543" t="str">
        <f ca="1">_xlfn.CONCAT(IFERROR(SUBSTITUTE(ADDRESS(1,MATCH(A2208,INDIRECT("'"&amp;E2208&amp;"'"&amp;"!A" &amp; $O$949 + 11 &amp; ":Z" &amp; $O$949 + 11),0),4),1,""),""),$O$949 + 12)</f>
        <v>R293</v>
      </c>
      <c r="D2208" s="1543" t="s">
        <v>1350</v>
      </c>
      <c r="E2208" s="1549" t="s">
        <v>1516</v>
      </c>
      <c r="F2208" s="1545" t="s">
        <v>2102</v>
      </c>
      <c r="G2208" s="1545" t="str">
        <f t="shared" si="363"/>
        <v/>
      </c>
      <c r="H2208" s="1545" t="s">
        <v>1990</v>
      </c>
      <c r="I2208" s="1543"/>
      <c r="J2208" s="1543" t="str">
        <f t="shared" si="361"/>
        <v>F1328</v>
      </c>
      <c r="K2208" s="1543"/>
      <c r="L2208" s="1543"/>
      <c r="M2208" s="1544">
        <v>1328</v>
      </c>
      <c r="N2208" s="1543"/>
      <c r="R2208" s="1543" t="s">
        <v>395</v>
      </c>
      <c r="T2208" s="1545" t="str">
        <f t="shared" ref="T2208" si="382">IF(Q$949="Yes",20,"")</f>
        <v/>
      </c>
    </row>
    <row r="2209" spans="1:20" x14ac:dyDescent="0.25">
      <c r="A2209" s="1542" t="s">
        <v>2102</v>
      </c>
      <c r="B2209" s="1543" t="str">
        <f ca="1">_xlfn.CONCAT(IFERROR(SUBSTITUTE(ADDRESS(1,MATCH(A2209,INDIRECT("'"&amp;E2209&amp;"'"&amp;"!A" &amp; $O$968 + 11 &amp; ":Z" &amp; $O$968 + 11),0),4),1,""),""),$O$968 + 11)</f>
        <v>R306</v>
      </c>
      <c r="C2209" s="1543" t="str">
        <f ca="1">_xlfn.CONCAT(IFERROR(SUBSTITUTE(ADDRESS(1,MATCH(A2209,INDIRECT("'"&amp;E2209&amp;"'"&amp;"!A" &amp; $O$968 + 11 &amp; ":Z" &amp; $O$968 + 11),0),4),1,""),""),$O$968 + 12)</f>
        <v>R307</v>
      </c>
      <c r="D2209" s="1543" t="s">
        <v>1350</v>
      </c>
      <c r="E2209" s="1549" t="s">
        <v>1516</v>
      </c>
      <c r="F2209" s="1545" t="s">
        <v>2102</v>
      </c>
      <c r="G2209" s="1545" t="str">
        <f t="shared" si="363"/>
        <v/>
      </c>
      <c r="H2209" s="1545" t="s">
        <v>1990</v>
      </c>
      <c r="I2209" s="1543"/>
      <c r="J2209" s="1543" t="str">
        <f t="shared" si="361"/>
        <v>F1329</v>
      </c>
      <c r="K2209" s="1543"/>
      <c r="L2209" s="1543"/>
      <c r="M2209" s="1544">
        <v>1329</v>
      </c>
      <c r="N2209" s="1543"/>
      <c r="R2209" s="1543" t="s">
        <v>395</v>
      </c>
      <c r="T2209" s="1545" t="str">
        <f t="shared" ref="T2209" si="383">IF(Q$968="Yes",21,"")</f>
        <v/>
      </c>
    </row>
    <row r="2210" spans="1:20" x14ac:dyDescent="0.25">
      <c r="A2210" s="1542" t="s">
        <v>2102</v>
      </c>
      <c r="B2210" s="1543" t="str">
        <f ca="1">_xlfn.CONCAT(IFERROR(SUBSTITUTE(ADDRESS(1,MATCH(A2210,INDIRECT("'"&amp;E2210&amp;"'"&amp;"!A" &amp; $O$987 + 11 &amp; ":Z" &amp; $O$987 + 11),0),4),1,""),""),$O$987 + 11)</f>
        <v>R320</v>
      </c>
      <c r="C2210" s="1543" t="str">
        <f ca="1">_xlfn.CONCAT(IFERROR(SUBSTITUTE(ADDRESS(1,MATCH(A2210,INDIRECT("'"&amp;E2210&amp;"'"&amp;"!A" &amp; $O$987 + 11 &amp; ":Z" &amp; $O$987 + 11),0),4),1,""),""),$O$987 + 12)</f>
        <v>R321</v>
      </c>
      <c r="D2210" s="1543" t="s">
        <v>1350</v>
      </c>
      <c r="E2210" s="1549" t="s">
        <v>1516</v>
      </c>
      <c r="F2210" s="1545" t="s">
        <v>2102</v>
      </c>
      <c r="G2210" s="1545" t="str">
        <f t="shared" si="363"/>
        <v/>
      </c>
      <c r="H2210" s="1545" t="s">
        <v>1990</v>
      </c>
      <c r="I2210" s="1543"/>
      <c r="J2210" s="1543" t="str">
        <f t="shared" si="361"/>
        <v>F1330</v>
      </c>
      <c r="K2210" s="1543"/>
      <c r="L2210" s="1543"/>
      <c r="M2210" s="1544">
        <v>1330</v>
      </c>
      <c r="N2210" s="1543"/>
      <c r="R2210" s="1543" t="s">
        <v>1696</v>
      </c>
      <c r="T2210" s="1545" t="str">
        <f t="shared" ref="T2210" si="384">IF(Q$987="Yes",22,"")</f>
        <v/>
      </c>
    </row>
    <row r="2211" spans="1:20" x14ac:dyDescent="0.25">
      <c r="A2211" s="1542" t="s">
        <v>2102</v>
      </c>
      <c r="B2211" s="1543" t="str">
        <f ca="1">_xlfn.CONCAT(IFERROR(SUBSTITUTE(ADDRESS(1,MATCH(A2211,INDIRECT("'"&amp;E2211&amp;"'"&amp;"!A" &amp; $O$1105 + 11 &amp; ":Z" &amp; $O$1105 + 11),0),4),1,""),""),$O$1105+ 11)</f>
        <v>R446</v>
      </c>
      <c r="C2211" s="1543" t="str">
        <f ca="1">_xlfn.CONCAT(IFERROR(SUBSTITUTE(ADDRESS(1,MATCH(A2211,INDIRECT("'"&amp;E2211&amp;"'"&amp;"!A" &amp; $O$1105 + 11 &amp; ":Z" &amp; $O$1105 + 11),0),4),1,""),""),$O$1105+ 12)</f>
        <v>R447</v>
      </c>
      <c r="D2211" s="1543" t="s">
        <v>1350</v>
      </c>
      <c r="E2211" s="1549" t="s">
        <v>1516</v>
      </c>
      <c r="F2211" s="1545" t="s">
        <v>2102</v>
      </c>
      <c r="G2211" s="1545" t="str">
        <f t="shared" si="363"/>
        <v/>
      </c>
      <c r="H2211" s="1545" t="s">
        <v>1990</v>
      </c>
      <c r="I2211" s="1543"/>
      <c r="J2211" s="1543" t="str">
        <f t="shared" si="361"/>
        <v>F1331</v>
      </c>
      <c r="K2211" s="1543"/>
      <c r="L2211" s="1543"/>
      <c r="M2211" s="1544">
        <v>1331</v>
      </c>
      <c r="N2211" s="1543"/>
      <c r="R2211" s="1543" t="s">
        <v>1099</v>
      </c>
      <c r="T2211" s="1545" t="str">
        <f t="shared" ref="T2211" si="385">IF(Q$1163="Yes",33,"")</f>
        <v/>
      </c>
    </row>
    <row r="2212" spans="1:20" x14ac:dyDescent="0.25">
      <c r="A2212" s="1542" t="s">
        <v>2102</v>
      </c>
      <c r="B2212" s="1543" t="str">
        <f ca="1">_xlfn.CONCAT(IFERROR(SUBSTITUTE(ADDRESS(1,MATCH(A2212,INDIRECT("'"&amp;E2212&amp;"'"&amp;"!A" &amp; $O$1134 + 11 &amp; ":Z" &amp; $O$1134 + 11),0),4),1,""),""),$O$1134+ 11)</f>
        <v>R460</v>
      </c>
      <c r="C2212" s="1543" t="str">
        <f ca="1">_xlfn.CONCAT(IFERROR(SUBSTITUTE(ADDRESS(1,MATCH(A2212,INDIRECT("'"&amp;E2212&amp;"'"&amp;"!A" &amp; $O$1134 + 11 &amp; ":Z" &amp; $O$1134 + 11),0),4),1,""),""),$O$1134+ 12)</f>
        <v>R461</v>
      </c>
      <c r="D2212" s="1543" t="s">
        <v>1350</v>
      </c>
      <c r="E2212" s="1549" t="s">
        <v>1516</v>
      </c>
      <c r="F2212" s="1545" t="s">
        <v>2102</v>
      </c>
      <c r="G2212" s="1545" t="str">
        <f t="shared" si="363"/>
        <v/>
      </c>
      <c r="H2212" s="1545" t="s">
        <v>1990</v>
      </c>
      <c r="I2212" s="1543"/>
      <c r="J2212" s="1543" t="str">
        <f t="shared" si="361"/>
        <v>F1332</v>
      </c>
      <c r="K2212" s="1543"/>
      <c r="L2212" s="1543"/>
      <c r="M2212" s="1544">
        <v>1332</v>
      </c>
      <c r="N2212" s="1543"/>
      <c r="R2212" s="1543" t="s">
        <v>1099</v>
      </c>
      <c r="T2212" s="1545" t="str">
        <f t="shared" ref="T2212" si="386">IF(Q$1188="Yes",34,"")</f>
        <v/>
      </c>
    </row>
    <row r="2213" spans="1:20" s="1554" customFormat="1" x14ac:dyDescent="0.25">
      <c r="A2213" s="846" t="s">
        <v>1496</v>
      </c>
      <c r="B2213" s="826" t="str">
        <f ca="1">IFERROR(_xlfn.CONCAT("C",MATCH(A2213,INDIRECT("'"&amp;E2213&amp;"'!C"&amp;$O$1991&amp;":C"&amp;$O$1993),0)+$O$1991-1),"")</f>
        <v>C515</v>
      </c>
      <c r="C2213" s="826" t="str">
        <f ca="1">IFERROR(_xlfn.CONCAT("D",MATCH(A2213,INDIRECT("'"&amp;E2213&amp;"'!C"&amp;$O$1991&amp;":C"&amp;$O$1993),0)+$O$1991-1),"")</f>
        <v>D515</v>
      </c>
      <c r="D2213" s="826" t="s">
        <v>1350</v>
      </c>
      <c r="E2213" s="826" t="s">
        <v>1516</v>
      </c>
      <c r="F2213" s="1555" t="s">
        <v>1496</v>
      </c>
      <c r="G2213" s="1555" t="str">
        <f t="shared" ref="G2213:G2221" si="387">IF(T2213&lt;&gt;"","AS","")</f>
        <v/>
      </c>
      <c r="H2213" s="1555" t="s">
        <v>1990</v>
      </c>
      <c r="I2213" s="1274" t="str">
        <f t="shared" ref="I2213:I2221" si="388">IF(J2213&lt;&gt;"",A2213,"")</f>
        <v/>
      </c>
      <c r="J2213" s="1555"/>
      <c r="K2213" s="1555" t="str">
        <f t="shared" ref="K2213:K2221" si="389">IF(J2213&lt;&gt;"",E2213,"")</f>
        <v/>
      </c>
      <c r="L2213" s="826"/>
      <c r="M2213" s="1556"/>
      <c r="N2213" s="1559"/>
      <c r="R2213" s="1559" t="s">
        <v>2043</v>
      </c>
      <c r="T2213" s="1557" t="str">
        <f t="shared" ref="T2213" si="390">IF(Q$1991="Yes",36,"")</f>
        <v/>
      </c>
    </row>
    <row r="2214" spans="1:20" s="1554" customFormat="1" x14ac:dyDescent="0.25">
      <c r="A2214" s="849" t="s">
        <v>1496</v>
      </c>
      <c r="B2214" s="826" t="str">
        <f ca="1">IFERROR(_xlfn.CONCAT("C",MATCH(A2214,INDIRECT("'"&amp;E2214&amp;"'!C"&amp;$O$2002&amp;":C"&amp;$O$2004),0)+$O$2002-1),"")</f>
        <v>C529</v>
      </c>
      <c r="C2214" s="826" t="str">
        <f ca="1">IFERROR(_xlfn.CONCAT("D",MATCH(A2214,INDIRECT("'"&amp;E2214&amp;"'!C"&amp;$O$2002&amp;":C"&amp;$O$2004),0)+$O$2002-1),"")</f>
        <v>D529</v>
      </c>
      <c r="D2214" s="826" t="s">
        <v>1350</v>
      </c>
      <c r="E2214" s="826" t="s">
        <v>1516</v>
      </c>
      <c r="F2214" s="1555" t="s">
        <v>1496</v>
      </c>
      <c r="G2214" s="1555" t="str">
        <f t="shared" si="387"/>
        <v/>
      </c>
      <c r="H2214" s="1555" t="s">
        <v>1990</v>
      </c>
      <c r="I2214" s="1274" t="str">
        <f t="shared" si="388"/>
        <v/>
      </c>
      <c r="J2214" s="1555"/>
      <c r="K2214" s="1555" t="str">
        <f t="shared" si="389"/>
        <v/>
      </c>
      <c r="L2214" s="826"/>
      <c r="M2214" s="1556"/>
      <c r="N2214" s="1555"/>
      <c r="R2214" s="1555" t="s">
        <v>2044</v>
      </c>
      <c r="T2214" s="1559" t="str">
        <f>IF(Q$2002="Yes",37,"")</f>
        <v/>
      </c>
    </row>
    <row r="2215" spans="1:20" s="1554" customFormat="1" x14ac:dyDescent="0.25">
      <c r="A2215" s="846" t="s">
        <v>1496</v>
      </c>
      <c r="B2215" s="826" t="str">
        <f ca="1">IFERROR(_xlfn.CONCAT("C",MATCH(A2215,INDIRECT("'"&amp;E2215&amp;"'!C"&amp;$O$2013&amp;":C"&amp;$O$2015),0)+$O$2013-1),"")</f>
        <v>C543</v>
      </c>
      <c r="C2215" s="826" t="str">
        <f ca="1">IFERROR(_xlfn.CONCAT("D",MATCH(A2215,INDIRECT("'"&amp;E2215&amp;"'!C"&amp;$O$2013&amp;":C"&amp;$O$2015),0)+$O$2013-1),"")</f>
        <v>D543</v>
      </c>
      <c r="D2215" s="826" t="s">
        <v>1350</v>
      </c>
      <c r="E2215" s="826" t="s">
        <v>1516</v>
      </c>
      <c r="F2215" s="1555" t="s">
        <v>1496</v>
      </c>
      <c r="G2215" s="1555" t="str">
        <f t="shared" si="387"/>
        <v/>
      </c>
      <c r="H2215" s="1555" t="s">
        <v>1990</v>
      </c>
      <c r="I2215" s="1274" t="str">
        <f t="shared" si="388"/>
        <v/>
      </c>
      <c r="J2215" s="1555"/>
      <c r="K2215" s="1555" t="str">
        <f t="shared" si="389"/>
        <v/>
      </c>
      <c r="L2215" s="826"/>
      <c r="M2215" s="1556"/>
      <c r="N2215" s="1555"/>
      <c r="R2215" s="1555" t="s">
        <v>2045</v>
      </c>
      <c r="T2215" s="1559" t="str">
        <f>IF(Q$2013="Yes",38,"")</f>
        <v/>
      </c>
    </row>
    <row r="2216" spans="1:20" s="1554" customFormat="1" x14ac:dyDescent="0.25">
      <c r="A2216" s="849" t="s">
        <v>1496</v>
      </c>
      <c r="B2216" s="826" t="str">
        <f ca="1">IFERROR(_xlfn.CONCAT("C",MATCH(A2216,INDIRECT("'"&amp;E2216&amp;"'!C"&amp;$O$2024&amp;":C"&amp;$O$2026),0)+$O$2024-1),"")</f>
        <v>C557</v>
      </c>
      <c r="C2216" s="826" t="str">
        <f ca="1">IFERROR(_xlfn.CONCAT("D",MATCH(A2216,INDIRECT("'"&amp;E2216&amp;"'!C"&amp;$O$2024&amp;":C"&amp;$O$2026),0)+$O$2024-1),"")</f>
        <v>D557</v>
      </c>
      <c r="D2216" s="826" t="s">
        <v>1350</v>
      </c>
      <c r="E2216" s="826" t="s">
        <v>1516</v>
      </c>
      <c r="F2216" s="1555" t="s">
        <v>1496</v>
      </c>
      <c r="G2216" s="1555" t="str">
        <f t="shared" si="387"/>
        <v/>
      </c>
      <c r="H2216" s="1555" t="s">
        <v>1990</v>
      </c>
      <c r="I2216" s="1274" t="str">
        <f t="shared" si="388"/>
        <v/>
      </c>
      <c r="J2216" s="1555"/>
      <c r="K2216" s="1555" t="str">
        <f t="shared" si="389"/>
        <v/>
      </c>
      <c r="L2216" s="826"/>
      <c r="M2216" s="1556"/>
      <c r="N2216" s="1555"/>
      <c r="R2216" s="1555" t="s">
        <v>2046</v>
      </c>
      <c r="T2216" s="1559" t="str">
        <f>IF(Q$2024="Yes",39,"")</f>
        <v/>
      </c>
    </row>
    <row r="2217" spans="1:20" s="1554" customFormat="1" x14ac:dyDescent="0.25">
      <c r="A2217" s="846" t="s">
        <v>1496</v>
      </c>
      <c r="B2217" s="826" t="str">
        <f ca="1">IFERROR(_xlfn.CONCAT("C",MATCH(A2217,INDIRECT("'"&amp;E2217&amp;"'!C"&amp;$O$2035&amp;":C"&amp;$O$2037),0)+$O$2035-1),"")</f>
        <v>C571</v>
      </c>
      <c r="C2217" s="826" t="str">
        <f ca="1">IFERROR(_xlfn.CONCAT("D",MATCH(A2217,INDIRECT("'"&amp;E2217&amp;"'!C"&amp;$O$2035&amp;":C"&amp;$O$2037),0)+$O$2035-1),"")</f>
        <v>D571</v>
      </c>
      <c r="D2217" s="826" t="s">
        <v>1350</v>
      </c>
      <c r="E2217" s="826" t="s">
        <v>1516</v>
      </c>
      <c r="F2217" s="1555" t="s">
        <v>1496</v>
      </c>
      <c r="G2217" s="1555" t="str">
        <f t="shared" si="387"/>
        <v/>
      </c>
      <c r="H2217" s="1555" t="s">
        <v>1990</v>
      </c>
      <c r="I2217" s="1274" t="str">
        <f t="shared" si="388"/>
        <v/>
      </c>
      <c r="J2217" s="1555"/>
      <c r="K2217" s="1555" t="str">
        <f t="shared" si="389"/>
        <v/>
      </c>
      <c r="L2217" s="826"/>
      <c r="M2217" s="1556"/>
      <c r="N2217" s="1555"/>
      <c r="R2217" s="1555" t="s">
        <v>2047</v>
      </c>
      <c r="T2217" s="1559" t="str">
        <f>IF(Q$2035="Yes",40,"")</f>
        <v/>
      </c>
    </row>
    <row r="2218" spans="1:20" s="1554" customFormat="1" x14ac:dyDescent="0.25">
      <c r="A2218" s="849" t="s">
        <v>1496</v>
      </c>
      <c r="B2218" s="826" t="str">
        <f ca="1">IFERROR(_xlfn.CONCAT("C",MATCH(A2218,INDIRECT("'"&amp;E2218&amp;"'!C"&amp;$O$2046&amp;":C"&amp;$O$2048),0)+$O$2046-1),"")</f>
        <v>C585</v>
      </c>
      <c r="C2218" s="826" t="str">
        <f ca="1">IFERROR(_xlfn.CONCAT("D",MATCH(A2218,INDIRECT("'"&amp;E2218&amp;"'!C"&amp;$O$2046&amp;":C"&amp;$O$2048),0)+$O$2046-1),"")</f>
        <v>D585</v>
      </c>
      <c r="D2218" s="826" t="s">
        <v>1350</v>
      </c>
      <c r="E2218" s="826" t="s">
        <v>1516</v>
      </c>
      <c r="F2218" s="1555" t="s">
        <v>1496</v>
      </c>
      <c r="G2218" s="1555" t="str">
        <f t="shared" si="387"/>
        <v/>
      </c>
      <c r="H2218" s="1555" t="s">
        <v>1990</v>
      </c>
      <c r="I2218" s="1274" t="str">
        <f t="shared" si="388"/>
        <v/>
      </c>
      <c r="J2218" s="1555"/>
      <c r="K2218" s="1555" t="str">
        <f t="shared" si="389"/>
        <v/>
      </c>
      <c r="L2218" s="826"/>
      <c r="M2218" s="1556"/>
      <c r="N2218" s="1555"/>
      <c r="R2218" s="1555" t="s">
        <v>2048</v>
      </c>
      <c r="T2218" s="1559" t="str">
        <f>IF(Q$2046="Yes",41,"")</f>
        <v/>
      </c>
    </row>
    <row r="2219" spans="1:20" s="1554" customFormat="1" x14ac:dyDescent="0.25">
      <c r="A2219" s="846" t="s">
        <v>1496</v>
      </c>
      <c r="B2219" s="826" t="str">
        <f ca="1">IFERROR(_xlfn.CONCAT("C",MATCH(A2219,INDIRECT("'"&amp;E2219&amp;"'!C"&amp;$O$2057&amp;":C"&amp;$O$2059),0)+$O$2057-1),"")</f>
        <v>C599</v>
      </c>
      <c r="C2219" s="826" t="str">
        <f ca="1">IFERROR(_xlfn.CONCAT("D",MATCH(A2219,INDIRECT("'"&amp;E2219&amp;"'!C"&amp;$O$2057&amp;":C"&amp;$O$2059),0)+$O$2057-1),"")</f>
        <v>D599</v>
      </c>
      <c r="D2219" s="826" t="s">
        <v>1350</v>
      </c>
      <c r="E2219" s="826" t="s">
        <v>1516</v>
      </c>
      <c r="F2219" s="1555" t="s">
        <v>1496</v>
      </c>
      <c r="G2219" s="1555" t="str">
        <f t="shared" si="387"/>
        <v/>
      </c>
      <c r="H2219" s="1555" t="s">
        <v>1990</v>
      </c>
      <c r="I2219" s="1274" t="str">
        <f t="shared" si="388"/>
        <v/>
      </c>
      <c r="J2219" s="1555"/>
      <c r="K2219" s="1555" t="str">
        <f t="shared" si="389"/>
        <v/>
      </c>
      <c r="L2219" s="826"/>
      <c r="M2219" s="1556"/>
      <c r="N2219" s="1555"/>
      <c r="R2219" s="1555" t="s">
        <v>2049</v>
      </c>
      <c r="T2219" s="1559" t="str">
        <f>IF(Q$2057="Yes",42,"")</f>
        <v/>
      </c>
    </row>
    <row r="2220" spans="1:20" s="1554" customFormat="1" x14ac:dyDescent="0.25">
      <c r="A2220" s="849" t="s">
        <v>1496</v>
      </c>
      <c r="B2220" s="826" t="str">
        <f ca="1">IFERROR(_xlfn.CONCAT("C",MATCH(A2220,INDIRECT("'"&amp;E2220&amp;"'!C"&amp;$O$2068&amp;":C"&amp;$O$2070),0)+$O$2068-1),"")</f>
        <v>C613</v>
      </c>
      <c r="C2220" s="826" t="str">
        <f ca="1">IFERROR(_xlfn.CONCAT("D",MATCH(A2220,INDIRECT("'"&amp;E2220&amp;"'!C"&amp;$O$2068&amp;":C"&amp;$O$2070),0)+$O$2068-1),"")</f>
        <v>D613</v>
      </c>
      <c r="D2220" s="826" t="s">
        <v>1350</v>
      </c>
      <c r="E2220" s="826" t="s">
        <v>1516</v>
      </c>
      <c r="F2220" s="1555" t="s">
        <v>1496</v>
      </c>
      <c r="G2220" s="1555" t="str">
        <f t="shared" si="387"/>
        <v/>
      </c>
      <c r="H2220" s="1555" t="s">
        <v>1990</v>
      </c>
      <c r="I2220" s="1274" t="str">
        <f t="shared" si="388"/>
        <v/>
      </c>
      <c r="J2220" s="1555"/>
      <c r="K2220" s="1555" t="str">
        <f t="shared" si="389"/>
        <v/>
      </c>
      <c r="L2220" s="826"/>
      <c r="M2220" s="1556"/>
      <c r="N2220" s="1555"/>
      <c r="R2220" s="1555" t="s">
        <v>2050</v>
      </c>
      <c r="T2220" s="1559" t="str">
        <f>IF(Q$2068="Yes",43,"")</f>
        <v/>
      </c>
    </row>
    <row r="2221" spans="1:20" s="1554" customFormat="1" x14ac:dyDescent="0.25">
      <c r="A2221" s="846" t="s">
        <v>1496</v>
      </c>
      <c r="B2221" s="826" t="str">
        <f ca="1">IFERROR(_xlfn.CONCAT("C",MATCH(A2221,INDIRECT("'"&amp;E2221&amp;"'!C"&amp;$O$2079&amp;":C"&amp;$O$2081),0)+$O$2079-1),"")</f>
        <v>C627</v>
      </c>
      <c r="C2221" s="826" t="str">
        <f ca="1">IFERROR(_xlfn.CONCAT("D",MATCH(A2221,INDIRECT("'"&amp;E2221&amp;"'!C"&amp;$O$2079&amp;":C"&amp;$O$2081),0)+$O$2079-1),"")</f>
        <v>D627</v>
      </c>
      <c r="D2221" s="826" t="s">
        <v>1350</v>
      </c>
      <c r="E2221" s="826" t="s">
        <v>1516</v>
      </c>
      <c r="F2221" s="1555" t="s">
        <v>1496</v>
      </c>
      <c r="G2221" s="1555" t="str">
        <f t="shared" si="387"/>
        <v/>
      </c>
      <c r="H2221" s="1555" t="s">
        <v>1990</v>
      </c>
      <c r="I2221" s="1274" t="str">
        <f t="shared" si="388"/>
        <v/>
      </c>
      <c r="J2221" s="1555"/>
      <c r="K2221" s="1555" t="str">
        <f t="shared" si="389"/>
        <v/>
      </c>
      <c r="L2221" s="826"/>
      <c r="M2221" s="1556"/>
      <c r="N2221" s="1555"/>
      <c r="R2221" s="1555" t="s">
        <v>2051</v>
      </c>
      <c r="T2221" s="1559" t="str">
        <f>IF(Q$2079="Yes",44,"")</f>
        <v/>
      </c>
    </row>
    <row r="2222" spans="1:20" s="1558" customFormat="1" x14ac:dyDescent="0.25">
      <c r="A2222" s="847" t="s">
        <v>1495</v>
      </c>
      <c r="B2222" s="826" t="str">
        <f ca="1">IFERROR(_xlfn.CONCAT("C",MATCH(A2222,INDIRECT("'"&amp;E2222&amp;"'!C"&amp;$O$1991&amp;":C"&amp;$O$1993),0)+$O$1991-1),"")</f>
        <v>C513</v>
      </c>
      <c r="C2222" s="826" t="str">
        <f ca="1">IFERROR(_xlfn.CONCAT("D",MATCH(A2222,INDIRECT("'"&amp;E2222&amp;"'!C"&amp;$O$1991&amp;":C"&amp;$O$1993),0)+$O$1991-1),"")</f>
        <v>D513</v>
      </c>
      <c r="D2222" s="826" t="s">
        <v>1350</v>
      </c>
      <c r="E2222" s="826" t="s">
        <v>1516</v>
      </c>
      <c r="F2222" s="1559" t="s">
        <v>1495</v>
      </c>
      <c r="G2222" s="1559" t="str">
        <f>IF(T2222&lt;&gt;"","AN","")</f>
        <v/>
      </c>
      <c r="H2222" s="1559" t="s">
        <v>1990</v>
      </c>
      <c r="I2222" s="1274"/>
      <c r="J2222" s="1559"/>
      <c r="K2222" s="1559"/>
      <c r="L2222" s="826"/>
      <c r="M2222" s="1560"/>
      <c r="N2222" s="1559"/>
      <c r="O2222" s="1561"/>
      <c r="P2222" s="603"/>
      <c r="Q2222" s="603"/>
      <c r="R2222" s="1559" t="s">
        <v>2043</v>
      </c>
      <c r="T2222" s="1559" t="str">
        <f t="shared" ref="T2222:T2228" si="391">IF(Q$1991="Yes",36,"")</f>
        <v/>
      </c>
    </row>
    <row r="2223" spans="1:20" s="1558" customFormat="1" x14ac:dyDescent="0.25">
      <c r="A2223" s="847" t="s">
        <v>1492</v>
      </c>
      <c r="B2223" s="826" t="str">
        <f ca="1">_xlfn.CONCAT(IFERROR(SUBSTITUTE(ADDRESS(1,MATCH(A2223,INDIRECT("'"&amp;E2223&amp;"'"&amp;"!A" &amp; $O$1991+ 8 &amp; ":Z" &amp; $O$1991 + 8),0),4),1,""),""),$O$1991 + 8)</f>
        <v>H511</v>
      </c>
      <c r="C2223" s="826" t="str">
        <f ca="1">_xlfn.CONCAT(IFERROR(SUBSTITUTE(ADDRESS(1,MATCH(A2223,INDIRECT("'"&amp;E2223&amp;"'"&amp;"!A" &amp; $O$1991+ 8 &amp; ":Z" &amp; $O$1991 + 8),0),4),1,""),""),$O$1991 + 9)</f>
        <v>H512</v>
      </c>
      <c r="D2223" s="826" t="s">
        <v>1350</v>
      </c>
      <c r="E2223" s="826" t="s">
        <v>1516</v>
      </c>
      <c r="F2223" s="1559" t="s">
        <v>1492</v>
      </c>
      <c r="G2223" s="1559" t="str">
        <f>IF(T2223&lt;&gt;"","AL","")</f>
        <v/>
      </c>
      <c r="H2223" s="1559" t="s">
        <v>1990</v>
      </c>
      <c r="I2223" s="1274"/>
      <c r="J2223" s="1559"/>
      <c r="K2223" s="1559"/>
      <c r="L2223" s="826"/>
      <c r="M2223" s="1560"/>
      <c r="N2223" s="1559"/>
      <c r="O2223" s="603"/>
      <c r="P2223" s="603"/>
      <c r="Q2223" s="603"/>
      <c r="R2223" s="1559" t="s">
        <v>2043</v>
      </c>
      <c r="T2223" s="1559" t="str">
        <f t="shared" si="391"/>
        <v/>
      </c>
    </row>
    <row r="2224" spans="1:20" s="1558" customFormat="1" x14ac:dyDescent="0.25">
      <c r="A2224" s="847" t="s">
        <v>1380</v>
      </c>
      <c r="B2224" s="826" t="str">
        <f ca="1">_xlfn.CONCAT(IFERROR(SUBSTITUTE(ADDRESS(1,MATCH(A2224,INDIRECT("'"&amp;E2224&amp;"'"&amp;"!A" &amp; $O$1991+ 2 &amp; ":Z" &amp; $O$1991 + 2),0),4),1,""),""),$O$1991+ 2)</f>
        <v>H505</v>
      </c>
      <c r="C2224" s="826" t="str">
        <f ca="1">_xlfn.CONCAT(IFERROR(SUBSTITUTE(ADDRESS(1,MATCH(A2224,INDIRECT("'"&amp;E2224&amp;"'"&amp;"!A" &amp; $O$1991+ 2 &amp; ":Z" &amp; $O$1991 + 2),0),4),1,""),""),$O$1991+ 3)</f>
        <v>H506</v>
      </c>
      <c r="D2224" s="826" t="s">
        <v>1350</v>
      </c>
      <c r="E2224" s="826" t="s">
        <v>1516</v>
      </c>
      <c r="F2224" s="1559" t="s">
        <v>1991</v>
      </c>
      <c r="G2224" s="1559" t="str">
        <f>IF(T2224&lt;&gt;"","E","")</f>
        <v/>
      </c>
      <c r="H2224" s="1559" t="s">
        <v>1990</v>
      </c>
      <c r="I2224" s="1274"/>
      <c r="J2224" s="1559"/>
      <c r="K2224" s="1559"/>
      <c r="L2224" s="826"/>
      <c r="M2224" s="1560"/>
      <c r="N2224" s="1559"/>
      <c r="O2224" s="603"/>
      <c r="P2224" s="603"/>
      <c r="Q2224" s="603"/>
      <c r="R2224" s="1559" t="s">
        <v>2043</v>
      </c>
      <c r="T2224" s="1559" t="str">
        <f t="shared" si="391"/>
        <v/>
      </c>
    </row>
    <row r="2225" spans="1:20" s="1558" customFormat="1" x14ac:dyDescent="0.25">
      <c r="A2225" s="847" t="s">
        <v>1487</v>
      </c>
      <c r="B2225" s="826" t="str">
        <f ca="1">_xlfn.CONCAT(IFERROR(SUBSTITUTE(ADDRESS(1,MATCH(A2225,INDIRECT("'"&amp;E2225&amp;"'"&amp;"!A" &amp; $O$1991+ 2 &amp; ":Z" &amp; $O$1991 + 2),0),4),1,""),""),$O$1991+ 2)</f>
        <v>R505</v>
      </c>
      <c r="C2225" s="826" t="str">
        <f ca="1">_xlfn.CONCAT(IFERROR(SUBSTITUTE(ADDRESS(1,MATCH(A2225,INDIRECT("'"&amp;E2225&amp;"'"&amp;"!A" &amp; $O$1991+ 2 &amp; ":Z" &amp; $O$1991 + 2),0),4),1,""),""),$O$1991+ 3)</f>
        <v>R506</v>
      </c>
      <c r="D2225" s="826" t="s">
        <v>1350</v>
      </c>
      <c r="E2225" s="826" t="s">
        <v>1516</v>
      </c>
      <c r="F2225" s="1559" t="s">
        <v>1995</v>
      </c>
      <c r="G2225" s="1559" t="str">
        <f>IF(T2225&lt;&gt;"","G","")</f>
        <v/>
      </c>
      <c r="H2225" s="1559" t="s">
        <v>1990</v>
      </c>
      <c r="I2225" s="1274"/>
      <c r="J2225" s="1559"/>
      <c r="K2225" s="1559"/>
      <c r="L2225" s="826"/>
      <c r="M2225" s="1560"/>
      <c r="N2225" s="1559"/>
      <c r="O2225" s="603"/>
      <c r="P2225" s="603"/>
      <c r="Q2225" s="603"/>
      <c r="R2225" s="1559" t="s">
        <v>2043</v>
      </c>
      <c r="T2225" s="1559" t="str">
        <f t="shared" si="391"/>
        <v/>
      </c>
    </row>
    <row r="2226" spans="1:20" s="1558" customFormat="1" x14ac:dyDescent="0.25">
      <c r="A2226" s="847" t="s">
        <v>1488</v>
      </c>
      <c r="B2226" s="826" t="str">
        <f ca="1">_xlfn.CONCAT(IFERROR(SUBSTITUTE(ADDRESS(1,MATCH(A2226,INDIRECT("'"&amp;E2226&amp;"'"&amp;"!A" &amp; $O$1991+ 2 &amp; ":Z" &amp; $O$1991 + 2),0),4),1,""),""),$O$1991+ 2)</f>
        <v>T505</v>
      </c>
      <c r="C2226" s="826" t="str">
        <f ca="1">_xlfn.CONCAT(IFERROR(SUBSTITUTE(ADDRESS(1,MATCH(A2226,INDIRECT("'"&amp;E2226&amp;"'"&amp;"!A" &amp; $O$1991+ 2 &amp; ":Z" &amp; $O$1991 + 2),0),4),1,""),""),$O$1991+ 3)</f>
        <v>T506</v>
      </c>
      <c r="D2226" s="826" t="s">
        <v>1350</v>
      </c>
      <c r="E2226" s="826" t="s">
        <v>1516</v>
      </c>
      <c r="F2226" s="841" t="s">
        <v>1488</v>
      </c>
      <c r="G2226" s="1559" t="str">
        <f>IF(T2226&lt;&gt;"","AW","")</f>
        <v/>
      </c>
      <c r="H2226" s="1559" t="s">
        <v>1990</v>
      </c>
      <c r="I2226" s="1274"/>
      <c r="J2226" s="1559"/>
      <c r="K2226" s="1559"/>
      <c r="L2226" s="826"/>
      <c r="M2226" s="1560"/>
      <c r="N2226" s="1559"/>
      <c r="O2226" s="603"/>
      <c r="P2226" s="603"/>
      <c r="Q2226" s="603"/>
      <c r="R2226" s="1559" t="s">
        <v>2043</v>
      </c>
      <c r="T2226" s="1559" t="str">
        <f t="shared" si="391"/>
        <v/>
      </c>
    </row>
    <row r="2227" spans="1:20" s="1558" customFormat="1" x14ac:dyDescent="0.25">
      <c r="A2227" s="847" t="s">
        <v>1603</v>
      </c>
      <c r="B2227" s="826" t="str">
        <f ca="1">_xlfn.CONCAT(IFERROR(SUBSTITUTE(ADDRESS(1,MATCH(A2227,INDIRECT("'"&amp;E2227&amp;"'"&amp;"!A" &amp; $O$1991+ 5 &amp; ":Z" &amp; $O$1991 + 5),0),4),1,""),""),$O$1991+ 5)</f>
        <v>R508</v>
      </c>
      <c r="C2227" s="826" t="str">
        <f ca="1">_xlfn.CONCAT(IFERROR(SUBSTITUTE(ADDRESS(1,MATCH(A2227,INDIRECT("'"&amp;E2227&amp;"'"&amp;"!A" &amp; $O$1991+ 5 &amp; ":Z" &amp; $O$1991 + 5),0),4),1,""),""),$O$1991+ 6)</f>
        <v>R509</v>
      </c>
      <c r="D2227" s="826" t="s">
        <v>1350</v>
      </c>
      <c r="E2227" s="826" t="s">
        <v>1516</v>
      </c>
      <c r="F2227" s="1559" t="s">
        <v>1999</v>
      </c>
      <c r="G2227" s="1559" t="str">
        <f t="shared" ref="G2227" si="392">IF(T2227&lt;&gt;"","AB","")</f>
        <v/>
      </c>
      <c r="H2227" s="1559" t="s">
        <v>1990</v>
      </c>
      <c r="I2227" s="1274"/>
      <c r="J2227" s="1559"/>
      <c r="K2227" s="1559"/>
      <c r="L2227" s="826"/>
      <c r="M2227" s="1560"/>
      <c r="N2227" s="1559"/>
      <c r="O2227" s="603"/>
      <c r="P2227" s="603"/>
      <c r="Q2227" s="603"/>
      <c r="R2227" s="1559" t="s">
        <v>2043</v>
      </c>
      <c r="T2227" s="1559" t="str">
        <f t="shared" si="391"/>
        <v/>
      </c>
    </row>
    <row r="2228" spans="1:20" s="1558" customFormat="1" x14ac:dyDescent="0.25">
      <c r="A2228" s="847" t="s">
        <v>1604</v>
      </c>
      <c r="B2228" s="826" t="str">
        <f ca="1">_xlfn.CONCAT(IFERROR(SUBSTITUTE(ADDRESS(1,MATCH(A2228,INDIRECT("'"&amp;E2228&amp;"'"&amp;"!A" &amp; $O$1991+ 5 &amp; ":Z" &amp; $O$1991 + 5),0),4),1,""),""),$O$1991+ 5)</f>
        <v>T508</v>
      </c>
      <c r="C2228" s="826" t="str">
        <f ca="1">_xlfn.CONCAT(IFERROR(SUBSTITUTE(ADDRESS(1,MATCH(A2228,INDIRECT("'"&amp;E2228&amp;"'"&amp;"!A" &amp; $O$1991+ 5 &amp; ":Z" &amp; $O$1991 + 5),0),4),1,""),""),$O$1991+ 6)</f>
        <v>T509</v>
      </c>
      <c r="D2228" s="826" t="s">
        <v>1350</v>
      </c>
      <c r="E2228" s="826" t="s">
        <v>1516</v>
      </c>
      <c r="F2228" s="1559" t="s">
        <v>1604</v>
      </c>
      <c r="G2228" s="1559" t="str">
        <f t="shared" ref="G2228" si="393">IF(T2228&lt;&gt;"","AP","")</f>
        <v/>
      </c>
      <c r="H2228" s="1559" t="s">
        <v>1990</v>
      </c>
      <c r="I2228" s="1274"/>
      <c r="J2228" s="1559"/>
      <c r="K2228" s="1559"/>
      <c r="L2228" s="826"/>
      <c r="M2228" s="1560"/>
      <c r="N2228" s="1559"/>
      <c r="O2228" s="603"/>
      <c r="P2228" s="603"/>
      <c r="Q2228" s="603"/>
      <c r="R2228" s="1559" t="s">
        <v>2043</v>
      </c>
      <c r="T2228" s="1559" t="str">
        <f t="shared" si="391"/>
        <v/>
      </c>
    </row>
    <row r="2229" spans="1:20" s="1558" customFormat="1" x14ac:dyDescent="0.25">
      <c r="A2229" s="850" t="s">
        <v>1495</v>
      </c>
      <c r="B2229" s="826" t="str">
        <f ca="1">IFERROR(_xlfn.CONCAT("C",MATCH(A2229,INDIRECT("'"&amp;E2229&amp;"'!C"&amp;$O$2002&amp;":C"&amp;$O$2004),0)+$O$2002-1),"")</f>
        <v>C527</v>
      </c>
      <c r="C2229" s="826" t="str">
        <f ca="1">IFERROR(_xlfn.CONCAT("D",MATCH(A2229,INDIRECT("'"&amp;E2229&amp;"'!C"&amp;$O$2002&amp;":C"&amp;$O$2004),0)+$O$2002-1),"")</f>
        <v>D527</v>
      </c>
      <c r="D2229" s="826" t="s">
        <v>1350</v>
      </c>
      <c r="E2229" s="826" t="s">
        <v>1516</v>
      </c>
      <c r="F2229" s="1559" t="s">
        <v>1495</v>
      </c>
      <c r="G2229" s="1559" t="str">
        <f>IF(T2229&lt;&gt;"","AN","")</f>
        <v/>
      </c>
      <c r="H2229" s="1559" t="s">
        <v>1990</v>
      </c>
      <c r="I2229" s="1274"/>
      <c r="J2229" s="1559"/>
      <c r="K2229" s="1559"/>
      <c r="L2229" s="826"/>
      <c r="M2229" s="1560"/>
      <c r="N2229" s="1559"/>
      <c r="O2229" s="1561"/>
      <c r="P2229" s="603"/>
      <c r="Q2229" s="603"/>
      <c r="R2229" s="1559" t="s">
        <v>2044</v>
      </c>
      <c r="T2229" s="1559" t="str">
        <f t="shared" ref="T2229:T2235" si="394">IF(Q$2002="Yes",37,"")</f>
        <v/>
      </c>
    </row>
    <row r="2230" spans="1:20" s="1558" customFormat="1" x14ac:dyDescent="0.25">
      <c r="A2230" s="850" t="s">
        <v>1492</v>
      </c>
      <c r="B2230" s="826" t="str">
        <f ca="1">_xlfn.CONCAT(IFERROR(SUBSTITUTE(ADDRESS(1,MATCH(A2230,INDIRECT("'"&amp;E2230&amp;"'"&amp;"!A" &amp; $O$2002+ 8 &amp; ":Z" &amp; $O$2002 + 8),0),4),1,""),""),$O$2002+ 8)</f>
        <v>H525</v>
      </c>
      <c r="C2230" s="826" t="str">
        <f ca="1">_xlfn.CONCAT(IFERROR(SUBSTITUTE(ADDRESS(1,MATCH(A2230,INDIRECT("'"&amp;E2230&amp;"'"&amp;"!A" &amp; $O$2002+ 8 &amp; ":Z" &amp; $O$2002 + 8),0),4),1,""),""),$O$2002+ 9)</f>
        <v>H526</v>
      </c>
      <c r="D2230" s="826" t="s">
        <v>1350</v>
      </c>
      <c r="E2230" s="826" t="s">
        <v>1516</v>
      </c>
      <c r="F2230" s="1559" t="s">
        <v>1492</v>
      </c>
      <c r="G2230" s="1559" t="str">
        <f>IF(T2230&lt;&gt;"","AL","")</f>
        <v/>
      </c>
      <c r="H2230" s="1559" t="s">
        <v>1990</v>
      </c>
      <c r="I2230" s="1274"/>
      <c r="J2230" s="1559"/>
      <c r="K2230" s="1559"/>
      <c r="L2230" s="826"/>
      <c r="M2230" s="1560"/>
      <c r="N2230" s="1559"/>
      <c r="O2230" s="603"/>
      <c r="P2230" s="603"/>
      <c r="Q2230" s="603"/>
      <c r="R2230" s="1559" t="s">
        <v>2044</v>
      </c>
      <c r="T2230" s="1559" t="str">
        <f t="shared" si="394"/>
        <v/>
      </c>
    </row>
    <row r="2231" spans="1:20" s="1558" customFormat="1" x14ac:dyDescent="0.25">
      <c r="A2231" s="850" t="s">
        <v>1380</v>
      </c>
      <c r="B2231" s="826" t="str">
        <f ca="1">_xlfn.CONCAT(IFERROR(SUBSTITUTE(ADDRESS(1,MATCH(A2231,INDIRECT("'"&amp;E2231&amp;"'"&amp;"!A" &amp; $O$2002+ 2 &amp; ":Z" &amp; $O$2002 + 2),0),4),1,""),""),$O$2002+ 2)</f>
        <v>H519</v>
      </c>
      <c r="C2231" s="826" t="str">
        <f ca="1">_xlfn.CONCAT(IFERROR(SUBSTITUTE(ADDRESS(1,MATCH(A2231,INDIRECT("'"&amp;E2231&amp;"'"&amp;"!A" &amp; $O$2002+ 2 &amp; ":Z" &amp; $O$2002 + 2),0),4),1,""),""),$O$2002+ 3)</f>
        <v>H520</v>
      </c>
      <c r="D2231" s="826" t="s">
        <v>1350</v>
      </c>
      <c r="E2231" s="826" t="s">
        <v>1516</v>
      </c>
      <c r="F2231" s="1559" t="s">
        <v>1991</v>
      </c>
      <c r="G2231" s="1559" t="str">
        <f>IF(T2231&lt;&gt;"","E","")</f>
        <v/>
      </c>
      <c r="H2231" s="1559" t="s">
        <v>1990</v>
      </c>
      <c r="I2231" s="1274"/>
      <c r="J2231" s="1559"/>
      <c r="K2231" s="1559"/>
      <c r="L2231" s="826"/>
      <c r="M2231" s="1560"/>
      <c r="N2231" s="1559"/>
      <c r="O2231" s="603"/>
      <c r="P2231" s="603"/>
      <c r="Q2231" s="603"/>
      <c r="R2231" s="1559" t="s">
        <v>2044</v>
      </c>
      <c r="T2231" s="1559" t="str">
        <f t="shared" si="394"/>
        <v/>
      </c>
    </row>
    <row r="2232" spans="1:20" s="1558" customFormat="1" x14ac:dyDescent="0.25">
      <c r="A2232" s="850" t="s">
        <v>1487</v>
      </c>
      <c r="B2232" s="826" t="str">
        <f ca="1">_xlfn.CONCAT(IFERROR(SUBSTITUTE(ADDRESS(1,MATCH(A2232,INDIRECT("'"&amp;E2232&amp;"'"&amp;"!A" &amp; $O$2002+ 2 &amp; ":Z" &amp; $O$2002 + 2),0),4),1,""),""),$O$2002+ 2)</f>
        <v>R519</v>
      </c>
      <c r="C2232" s="826" t="str">
        <f ca="1">_xlfn.CONCAT(IFERROR(SUBSTITUTE(ADDRESS(1,MATCH(A2232,INDIRECT("'"&amp;E2232&amp;"'"&amp;"!A" &amp; $O$2002+ 2 &amp; ":Z" &amp; $O$2002 + 2),0),4),1,""),""),$O$2002+ 3)</f>
        <v>R520</v>
      </c>
      <c r="D2232" s="826" t="s">
        <v>1350</v>
      </c>
      <c r="E2232" s="826" t="s">
        <v>1516</v>
      </c>
      <c r="F2232" s="1559" t="s">
        <v>1995</v>
      </c>
      <c r="G2232" s="1559" t="str">
        <f>IF(T2232&lt;&gt;"","G","")</f>
        <v/>
      </c>
      <c r="H2232" s="1559" t="s">
        <v>1990</v>
      </c>
      <c r="I2232" s="1274"/>
      <c r="J2232" s="1559"/>
      <c r="K2232" s="1559"/>
      <c r="L2232" s="826"/>
      <c r="M2232" s="1560"/>
      <c r="N2232" s="1559"/>
      <c r="O2232" s="603"/>
      <c r="P2232" s="603"/>
      <c r="Q2232" s="603"/>
      <c r="R2232" s="1559" t="s">
        <v>2044</v>
      </c>
      <c r="T2232" s="1559" t="str">
        <f t="shared" si="394"/>
        <v/>
      </c>
    </row>
    <row r="2233" spans="1:20" s="1558" customFormat="1" x14ac:dyDescent="0.25">
      <c r="A2233" s="850" t="s">
        <v>1488</v>
      </c>
      <c r="B2233" s="826" t="str">
        <f ca="1">_xlfn.CONCAT(IFERROR(SUBSTITUTE(ADDRESS(1,MATCH(A2233,INDIRECT("'"&amp;E2233&amp;"'"&amp;"!A" &amp; $O$2002+ 2 &amp; ":Z" &amp; $O$2002 + 2),0),4),1,""),""),$O$2002+ 2)</f>
        <v>T519</v>
      </c>
      <c r="C2233" s="826" t="str">
        <f ca="1">_xlfn.CONCAT(IFERROR(SUBSTITUTE(ADDRESS(1,MATCH(A2233,INDIRECT("'"&amp;E2233&amp;"'"&amp;"!A" &amp; $O$2002+ 2 &amp; ":Z" &amp; $O$2002 + 2),0),4),1,""),""),$O$2002+ 3)</f>
        <v>T520</v>
      </c>
      <c r="D2233" s="826" t="s">
        <v>1350</v>
      </c>
      <c r="E2233" s="826" t="s">
        <v>1516</v>
      </c>
      <c r="F2233" s="841" t="s">
        <v>1488</v>
      </c>
      <c r="G2233" s="1559" t="str">
        <f>IF(T2233&lt;&gt;"","AW","")</f>
        <v/>
      </c>
      <c r="H2233" s="1559" t="s">
        <v>1990</v>
      </c>
      <c r="I2233" s="1274"/>
      <c r="J2233" s="1559"/>
      <c r="K2233" s="1559"/>
      <c r="L2233" s="826"/>
      <c r="M2233" s="1560"/>
      <c r="N2233" s="1559"/>
      <c r="O2233" s="603"/>
      <c r="P2233" s="603"/>
      <c r="Q2233" s="603"/>
      <c r="R2233" s="1559" t="s">
        <v>2044</v>
      </c>
      <c r="T2233" s="1559" t="str">
        <f t="shared" si="394"/>
        <v/>
      </c>
    </row>
    <row r="2234" spans="1:20" s="1558" customFormat="1" x14ac:dyDescent="0.25">
      <c r="A2234" s="850" t="s">
        <v>1603</v>
      </c>
      <c r="B2234" s="826" t="str">
        <f ca="1">_xlfn.CONCAT(IFERROR(SUBSTITUTE(ADDRESS(1,MATCH(A2234,INDIRECT("'"&amp;E2234&amp;"'"&amp;"!A" &amp; $O$2002+ 5 &amp; ":Z" &amp; $O$2002 + 5),0),4),1,""),""),$O$2002+ 5)</f>
        <v>R522</v>
      </c>
      <c r="C2234" s="826" t="str">
        <f ca="1">_xlfn.CONCAT(IFERROR(SUBSTITUTE(ADDRESS(1,MATCH(A2234,INDIRECT("'"&amp;E2234&amp;"'"&amp;"!A" &amp; $O$2002+ 5 &amp; ":Z" &amp; $O$2002 + 5),0),4),1,""),""),$O$2002+ 6)</f>
        <v>R523</v>
      </c>
      <c r="D2234" s="826" t="s">
        <v>1350</v>
      </c>
      <c r="E2234" s="826" t="s">
        <v>1516</v>
      </c>
      <c r="F2234" s="1559" t="s">
        <v>1999</v>
      </c>
      <c r="G2234" s="1559" t="str">
        <f t="shared" ref="G2234" si="395">IF(T2234&lt;&gt;"","AB","")</f>
        <v/>
      </c>
      <c r="H2234" s="1559" t="s">
        <v>1990</v>
      </c>
      <c r="I2234" s="1274"/>
      <c r="J2234" s="1559"/>
      <c r="K2234" s="1559"/>
      <c r="L2234" s="826"/>
      <c r="M2234" s="1560"/>
      <c r="N2234" s="1559"/>
      <c r="O2234" s="603"/>
      <c r="P2234" s="603"/>
      <c r="Q2234" s="603"/>
      <c r="R2234" s="1559" t="s">
        <v>2044</v>
      </c>
      <c r="T2234" s="1559" t="str">
        <f t="shared" si="394"/>
        <v/>
      </c>
    </row>
    <row r="2235" spans="1:20" s="1558" customFormat="1" x14ac:dyDescent="0.25">
      <c r="A2235" s="850" t="s">
        <v>1604</v>
      </c>
      <c r="B2235" s="826" t="str">
        <f ca="1">_xlfn.CONCAT(IFERROR(SUBSTITUTE(ADDRESS(1,MATCH(A2235,INDIRECT("'"&amp;E2235&amp;"'"&amp;"!A" &amp; $O$2002+ 5 &amp; ":Z" &amp; $O$2002 + 5),0),4),1,""),""),$O$2002+ 5)</f>
        <v>T522</v>
      </c>
      <c r="C2235" s="826" t="str">
        <f ca="1">_xlfn.CONCAT(IFERROR(SUBSTITUTE(ADDRESS(1,MATCH(A2235,INDIRECT("'"&amp;E2235&amp;"'"&amp;"!A" &amp; $O$2002+ 5 &amp; ":Z" &amp; $O$2002 + 5),0),4),1,""),""),$O$2002+ 6)</f>
        <v>T523</v>
      </c>
      <c r="D2235" s="826" t="s">
        <v>1350</v>
      </c>
      <c r="E2235" s="826" t="s">
        <v>1516</v>
      </c>
      <c r="F2235" s="1559" t="s">
        <v>1604</v>
      </c>
      <c r="G2235" s="1559" t="str">
        <f t="shared" ref="G2235" si="396">IF(T2235&lt;&gt;"","AP","")</f>
        <v/>
      </c>
      <c r="H2235" s="1559" t="s">
        <v>1990</v>
      </c>
      <c r="I2235" s="1274"/>
      <c r="J2235" s="1559"/>
      <c r="K2235" s="1559"/>
      <c r="L2235" s="826"/>
      <c r="M2235" s="1560"/>
      <c r="N2235" s="1559"/>
      <c r="O2235" s="603"/>
      <c r="P2235" s="603"/>
      <c r="Q2235" s="603"/>
      <c r="R2235" s="1559" t="s">
        <v>2044</v>
      </c>
      <c r="T2235" s="1559" t="str">
        <f t="shared" si="394"/>
        <v/>
      </c>
    </row>
    <row r="2236" spans="1:20" s="1558" customFormat="1" x14ac:dyDescent="0.25">
      <c r="A2236" s="847" t="s">
        <v>1495</v>
      </c>
      <c r="B2236" s="826" t="str">
        <f ca="1">IFERROR(_xlfn.CONCAT("C",MATCH(A2236,INDIRECT("'"&amp;E2236&amp;"'!C"&amp;$O$2013&amp;":C"&amp;$O$2015),0)+$O$2013-1),"")</f>
        <v>C541</v>
      </c>
      <c r="C2236" s="826" t="str">
        <f ca="1">IFERROR(_xlfn.CONCAT("D",MATCH(A2236,INDIRECT("'"&amp;E2236&amp;"'!C"&amp;$O$2013&amp;":C"&amp;$O$2015),0)+$O$2013-1),"")</f>
        <v>D541</v>
      </c>
      <c r="D2236" s="826" t="s">
        <v>1350</v>
      </c>
      <c r="E2236" s="826" t="s">
        <v>1516</v>
      </c>
      <c r="F2236" s="1559" t="s">
        <v>1495</v>
      </c>
      <c r="G2236" s="1559" t="str">
        <f>IF(T2236&lt;&gt;"","AN","")</f>
        <v/>
      </c>
      <c r="H2236" s="1559" t="s">
        <v>1990</v>
      </c>
      <c r="I2236" s="1274"/>
      <c r="J2236" s="1559"/>
      <c r="K2236" s="1559"/>
      <c r="L2236" s="826"/>
      <c r="M2236" s="1560"/>
      <c r="N2236" s="1559"/>
      <c r="O2236" s="1561"/>
      <c r="P2236" s="603"/>
      <c r="Q2236" s="603"/>
      <c r="R2236" s="1559" t="s">
        <v>2045</v>
      </c>
      <c r="T2236" s="1559" t="str">
        <f t="shared" ref="T2236:T2242" si="397">IF(Q$2013="Yes",38,"")</f>
        <v/>
      </c>
    </row>
    <row r="2237" spans="1:20" s="1558" customFormat="1" x14ac:dyDescent="0.25">
      <c r="A2237" s="847" t="s">
        <v>1492</v>
      </c>
      <c r="B2237" s="826" t="str">
        <f ca="1">_xlfn.CONCAT(IFERROR(SUBSTITUTE(ADDRESS(1,MATCH(A2237,INDIRECT("'"&amp;E2237&amp;"'"&amp;"!A" &amp; $O$2013+ 8 &amp; ":Z" &amp; $O$2013 + 8),0),4),1,""),""),$O$2013+ 8)</f>
        <v>H539</v>
      </c>
      <c r="C2237" s="826" t="str">
        <f ca="1">_xlfn.CONCAT(IFERROR(SUBSTITUTE(ADDRESS(1,MATCH(A2237,INDIRECT("'"&amp;E2237&amp;"'"&amp;"!A" &amp; $O$2013+ 8 &amp; ":Z" &amp; $O$2013 + 8),0),4),1,""),""),$O$2013+ 9)</f>
        <v>H540</v>
      </c>
      <c r="D2237" s="826" t="s">
        <v>1350</v>
      </c>
      <c r="E2237" s="826" t="s">
        <v>1516</v>
      </c>
      <c r="F2237" s="1559" t="s">
        <v>1492</v>
      </c>
      <c r="G2237" s="1559" t="str">
        <f>IF(T2237&lt;&gt;"","AL","")</f>
        <v/>
      </c>
      <c r="H2237" s="1559" t="s">
        <v>1990</v>
      </c>
      <c r="I2237" s="1274"/>
      <c r="J2237" s="1559"/>
      <c r="K2237" s="1559"/>
      <c r="L2237" s="826"/>
      <c r="M2237" s="1560"/>
      <c r="N2237" s="1559"/>
      <c r="O2237" s="603"/>
      <c r="P2237" s="603"/>
      <c r="Q2237" s="603"/>
      <c r="R2237" s="1559" t="s">
        <v>2045</v>
      </c>
      <c r="T2237" s="1559" t="str">
        <f t="shared" si="397"/>
        <v/>
      </c>
    </row>
    <row r="2238" spans="1:20" s="1558" customFormat="1" x14ac:dyDescent="0.25">
      <c r="A2238" s="847" t="s">
        <v>1380</v>
      </c>
      <c r="B2238" s="826" t="str">
        <f ca="1">_xlfn.CONCAT(IFERROR(SUBSTITUTE(ADDRESS(1,MATCH(A2238,INDIRECT("'"&amp;E2238&amp;"'"&amp;"!A" &amp; $O$2013+ 2 &amp; ":Z" &amp; $O$2013 + 2),0),4),1,""),""),$O$2013+ 2)</f>
        <v>H533</v>
      </c>
      <c r="C2238" s="826" t="str">
        <f ca="1">_xlfn.CONCAT(IFERROR(SUBSTITUTE(ADDRESS(1,MATCH(A2238,INDIRECT("'"&amp;E2238&amp;"'"&amp;"!A" &amp; $O$2013+ 2 &amp; ":Z" &amp; $O$2013 + 2),0),4),1,""),""),$O$2013+ 3)</f>
        <v>H534</v>
      </c>
      <c r="D2238" s="826" t="s">
        <v>1350</v>
      </c>
      <c r="E2238" s="826" t="s">
        <v>1516</v>
      </c>
      <c r="F2238" s="1559" t="s">
        <v>1991</v>
      </c>
      <c r="G2238" s="1559" t="str">
        <f>IF(T2238&lt;&gt;"","E","")</f>
        <v/>
      </c>
      <c r="H2238" s="1559" t="s">
        <v>1990</v>
      </c>
      <c r="I2238" s="1274"/>
      <c r="J2238" s="1559"/>
      <c r="K2238" s="1559"/>
      <c r="L2238" s="826"/>
      <c r="M2238" s="1560"/>
      <c r="N2238" s="1559"/>
      <c r="O2238" s="603"/>
      <c r="P2238" s="603"/>
      <c r="Q2238" s="603"/>
      <c r="R2238" s="1559" t="s">
        <v>2045</v>
      </c>
      <c r="T2238" s="1559" t="str">
        <f t="shared" si="397"/>
        <v/>
      </c>
    </row>
    <row r="2239" spans="1:20" s="1558" customFormat="1" x14ac:dyDescent="0.25">
      <c r="A2239" s="847" t="s">
        <v>1487</v>
      </c>
      <c r="B2239" s="826" t="str">
        <f ca="1">_xlfn.CONCAT(IFERROR(SUBSTITUTE(ADDRESS(1,MATCH(A2239,INDIRECT("'"&amp;E2239&amp;"'"&amp;"!A" &amp; $O$2013+ 2 &amp; ":Z" &amp; $O$2013 + 2),0),4),1,""),""),$O$2013+ 2)</f>
        <v>R533</v>
      </c>
      <c r="C2239" s="826" t="str">
        <f ca="1">_xlfn.CONCAT(IFERROR(SUBSTITUTE(ADDRESS(1,MATCH(A2239,INDIRECT("'"&amp;E2239&amp;"'"&amp;"!A" &amp; $O$2013+ 2 &amp; ":Z" &amp; $O$2013 + 2),0),4),1,""),""),$O$2013+ 3)</f>
        <v>R534</v>
      </c>
      <c r="D2239" s="826" t="s">
        <v>1350</v>
      </c>
      <c r="E2239" s="826" t="s">
        <v>1516</v>
      </c>
      <c r="F2239" s="1559" t="s">
        <v>1995</v>
      </c>
      <c r="G2239" s="1559" t="str">
        <f>IF(T2239&lt;&gt;"","G","")</f>
        <v/>
      </c>
      <c r="H2239" s="1559" t="s">
        <v>1990</v>
      </c>
      <c r="I2239" s="1274"/>
      <c r="J2239" s="1559"/>
      <c r="K2239" s="1559"/>
      <c r="L2239" s="826"/>
      <c r="M2239" s="1560"/>
      <c r="N2239" s="1559"/>
      <c r="O2239" s="603"/>
      <c r="P2239" s="603"/>
      <c r="Q2239" s="603"/>
      <c r="R2239" s="1559" t="s">
        <v>2045</v>
      </c>
      <c r="T2239" s="1559" t="str">
        <f t="shared" si="397"/>
        <v/>
      </c>
    </row>
    <row r="2240" spans="1:20" s="1558" customFormat="1" x14ac:dyDescent="0.25">
      <c r="A2240" s="847" t="s">
        <v>1488</v>
      </c>
      <c r="B2240" s="826" t="str">
        <f ca="1">_xlfn.CONCAT(IFERROR(SUBSTITUTE(ADDRESS(1,MATCH(A2240,INDIRECT("'"&amp;E2240&amp;"'"&amp;"!A" &amp; $O$2013+ 2 &amp; ":Z" &amp; $O$2013 + 2),0),4),1,""),""),$O$2013+ 2)</f>
        <v>T533</v>
      </c>
      <c r="C2240" s="826" t="str">
        <f ca="1">_xlfn.CONCAT(IFERROR(SUBSTITUTE(ADDRESS(1,MATCH(A2240,INDIRECT("'"&amp;E2240&amp;"'"&amp;"!A" &amp; $O$2013+ 2 &amp; ":Z" &amp; $O$2013 + 2),0),4),1,""),""),$O$2013+ 3)</f>
        <v>T534</v>
      </c>
      <c r="D2240" s="826" t="s">
        <v>1350</v>
      </c>
      <c r="E2240" s="826" t="s">
        <v>1516</v>
      </c>
      <c r="F2240" s="841" t="s">
        <v>1488</v>
      </c>
      <c r="G2240" s="1559" t="str">
        <f>IF(T2240&lt;&gt;"","AW","")</f>
        <v/>
      </c>
      <c r="H2240" s="1559" t="s">
        <v>1990</v>
      </c>
      <c r="I2240" s="1274"/>
      <c r="J2240" s="1559"/>
      <c r="K2240" s="1559"/>
      <c r="L2240" s="826"/>
      <c r="M2240" s="1560"/>
      <c r="N2240" s="1559"/>
      <c r="O2240" s="603"/>
      <c r="P2240" s="603"/>
      <c r="Q2240" s="603"/>
      <c r="R2240" s="1559" t="s">
        <v>2045</v>
      </c>
      <c r="T2240" s="1559" t="str">
        <f t="shared" si="397"/>
        <v/>
      </c>
    </row>
    <row r="2241" spans="1:20" s="1558" customFormat="1" x14ac:dyDescent="0.25">
      <c r="A2241" s="847" t="s">
        <v>1603</v>
      </c>
      <c r="B2241" s="826" t="str">
        <f ca="1">_xlfn.CONCAT(IFERROR(SUBSTITUTE(ADDRESS(1,MATCH(A2241,INDIRECT("'"&amp;E2241&amp;"'"&amp;"!A" &amp; $O$2013+ 5 &amp; ":Z" &amp; $O$2013 + 5),0),4),1,""),""),$O$2013+ 5)</f>
        <v>R536</v>
      </c>
      <c r="C2241" s="826" t="str">
        <f ca="1">_xlfn.CONCAT(IFERROR(SUBSTITUTE(ADDRESS(1,MATCH(A2241,INDIRECT("'"&amp;E2241&amp;"'"&amp;"!A" &amp; $O$2013+ 5 &amp; ":Z" &amp; $O$2013 + 5),0),4),1,""),""),$O$2013+ 6)</f>
        <v>R537</v>
      </c>
      <c r="D2241" s="826" t="s">
        <v>1350</v>
      </c>
      <c r="E2241" s="826" t="s">
        <v>1516</v>
      </c>
      <c r="F2241" s="1559" t="s">
        <v>1999</v>
      </c>
      <c r="G2241" s="1559" t="str">
        <f t="shared" ref="G2241" si="398">IF(T2241&lt;&gt;"","AB","")</f>
        <v/>
      </c>
      <c r="H2241" s="1559" t="s">
        <v>1990</v>
      </c>
      <c r="I2241" s="1274"/>
      <c r="J2241" s="1559"/>
      <c r="K2241" s="1559"/>
      <c r="L2241" s="826"/>
      <c r="M2241" s="1560"/>
      <c r="N2241" s="1559"/>
      <c r="O2241" s="603"/>
      <c r="P2241" s="603"/>
      <c r="Q2241" s="603"/>
      <c r="R2241" s="1559" t="s">
        <v>2045</v>
      </c>
      <c r="T2241" s="1559" t="str">
        <f t="shared" si="397"/>
        <v/>
      </c>
    </row>
    <row r="2242" spans="1:20" s="1558" customFormat="1" x14ac:dyDescent="0.25">
      <c r="A2242" s="847" t="s">
        <v>1604</v>
      </c>
      <c r="B2242" s="826" t="str">
        <f ca="1">_xlfn.CONCAT(IFERROR(SUBSTITUTE(ADDRESS(1,MATCH(A2242,INDIRECT("'"&amp;E2242&amp;"'"&amp;"!A" &amp; $O$2013+ 5 &amp; ":Z" &amp; $O$2013 + 5),0),4),1,""),""),$O$2013+ 5)</f>
        <v>T536</v>
      </c>
      <c r="C2242" s="826" t="str">
        <f ca="1">_xlfn.CONCAT(IFERROR(SUBSTITUTE(ADDRESS(1,MATCH(A2242,INDIRECT("'"&amp;E2242&amp;"'"&amp;"!A" &amp; $O$2013+ 5 &amp; ":Z" &amp; $O$2013 + 5),0),4),1,""),""),$O$2013+ 6)</f>
        <v>T537</v>
      </c>
      <c r="D2242" s="826" t="s">
        <v>1350</v>
      </c>
      <c r="E2242" s="826" t="s">
        <v>1516</v>
      </c>
      <c r="F2242" s="1559" t="s">
        <v>1604</v>
      </c>
      <c r="G2242" s="1559" t="str">
        <f t="shared" ref="G2242" si="399">IF(T2242&lt;&gt;"","AP","")</f>
        <v/>
      </c>
      <c r="H2242" s="1559" t="s">
        <v>1990</v>
      </c>
      <c r="I2242" s="1274"/>
      <c r="J2242" s="1559"/>
      <c r="K2242" s="1559"/>
      <c r="L2242" s="826"/>
      <c r="M2242" s="1560"/>
      <c r="N2242" s="1559"/>
      <c r="O2242" s="603"/>
      <c r="P2242" s="603"/>
      <c r="Q2242" s="603"/>
      <c r="R2242" s="1559" t="s">
        <v>2045</v>
      </c>
      <c r="T2242" s="1559" t="str">
        <f t="shared" si="397"/>
        <v/>
      </c>
    </row>
    <row r="2243" spans="1:20" s="1558" customFormat="1" x14ac:dyDescent="0.25">
      <c r="A2243" s="850" t="s">
        <v>1495</v>
      </c>
      <c r="B2243" s="826" t="str">
        <f ca="1">IFERROR(_xlfn.CONCAT("C",MATCH(A2243,INDIRECT("'"&amp;E2243&amp;"'!C"&amp;$O$2024&amp;":C"&amp;$O$2026),0)+$O$2024-1),"")</f>
        <v>C555</v>
      </c>
      <c r="C2243" s="826" t="str">
        <f ca="1">IFERROR(_xlfn.CONCAT("D",MATCH(A2243,INDIRECT("'"&amp;E2243&amp;"'!C"&amp;$O$2024&amp;":C"&amp;$O$2026),0)+$O$2024-1),"")</f>
        <v>D555</v>
      </c>
      <c r="D2243" s="826" t="s">
        <v>1350</v>
      </c>
      <c r="E2243" s="826" t="s">
        <v>1516</v>
      </c>
      <c r="F2243" s="1559" t="s">
        <v>1495</v>
      </c>
      <c r="G2243" s="1559" t="str">
        <f>IF(T2243&lt;&gt;"","AN","")</f>
        <v/>
      </c>
      <c r="H2243" s="1559" t="s">
        <v>1990</v>
      </c>
      <c r="I2243" s="1274"/>
      <c r="J2243" s="1559"/>
      <c r="K2243" s="1559"/>
      <c r="L2243" s="826"/>
      <c r="M2243" s="1560"/>
      <c r="N2243" s="1559"/>
      <c r="O2243" s="1561"/>
      <c r="P2243" s="603"/>
      <c r="Q2243" s="603"/>
      <c r="R2243" s="1559" t="s">
        <v>2046</v>
      </c>
      <c r="T2243" s="1559" t="str">
        <f t="shared" ref="T2243:T2249" si="400">IF(Q$2024="Yes",39,"")</f>
        <v/>
      </c>
    </row>
    <row r="2244" spans="1:20" s="1558" customFormat="1" x14ac:dyDescent="0.25">
      <c r="A2244" s="850" t="s">
        <v>1492</v>
      </c>
      <c r="B2244" s="826" t="str">
        <f ca="1">_xlfn.CONCAT(IFERROR(SUBSTITUTE(ADDRESS(1,MATCH(A2244,INDIRECT("'"&amp;E2244&amp;"'"&amp;"!A" &amp; $O$2024+8 &amp; ":Z" &amp; $O$2024 + 8),0),4),1,""),""),$O$2024+ 8)</f>
        <v>H553</v>
      </c>
      <c r="C2244" s="826" t="str">
        <f ca="1">_xlfn.CONCAT(IFERROR(SUBSTITUTE(ADDRESS(1,MATCH(A2244,INDIRECT("'"&amp;E2244&amp;"'"&amp;"!A" &amp; $O$2024+8 &amp; ":Z" &amp; $O$2024 + 8),0),4),1,""),""),$O$2024+ 9)</f>
        <v>H554</v>
      </c>
      <c r="D2244" s="826" t="s">
        <v>1350</v>
      </c>
      <c r="E2244" s="826" t="s">
        <v>1516</v>
      </c>
      <c r="F2244" s="1559" t="s">
        <v>1492</v>
      </c>
      <c r="G2244" s="1559" t="str">
        <f>IF(T2244&lt;&gt;"","AL","")</f>
        <v/>
      </c>
      <c r="H2244" s="1559" t="s">
        <v>1990</v>
      </c>
      <c r="I2244" s="1274"/>
      <c r="J2244" s="1559"/>
      <c r="K2244" s="1559"/>
      <c r="L2244" s="826"/>
      <c r="M2244" s="1560"/>
      <c r="N2244" s="1559"/>
      <c r="O2244" s="603"/>
      <c r="P2244" s="603"/>
      <c r="Q2244" s="603"/>
      <c r="R2244" s="1559" t="s">
        <v>2046</v>
      </c>
      <c r="T2244" s="1559" t="str">
        <f t="shared" si="400"/>
        <v/>
      </c>
    </row>
    <row r="2245" spans="1:20" s="1558" customFormat="1" x14ac:dyDescent="0.25">
      <c r="A2245" s="850" t="s">
        <v>1380</v>
      </c>
      <c r="B2245" s="826" t="str">
        <f ca="1">_xlfn.CONCAT(IFERROR(SUBSTITUTE(ADDRESS(1,MATCH(A2245,INDIRECT("'"&amp;E2245&amp;"'"&amp;"!A" &amp; $O$2024+ 2 &amp; ":Z" &amp; $O$2024 + 2),0),4),1,""),""),$O$2024+ 2)</f>
        <v>H547</v>
      </c>
      <c r="C2245" s="826" t="str">
        <f ca="1">_xlfn.CONCAT(IFERROR(SUBSTITUTE(ADDRESS(1,MATCH(A2245,INDIRECT("'"&amp;E2245&amp;"'"&amp;"!A" &amp; $O$2024+ 2 &amp; ":Z" &amp; $O$2024 + 2),0),4),1,""),""),$O$2024+ 3)</f>
        <v>H548</v>
      </c>
      <c r="D2245" s="826" t="s">
        <v>1350</v>
      </c>
      <c r="E2245" s="826" t="s">
        <v>1516</v>
      </c>
      <c r="F2245" s="1559" t="s">
        <v>1991</v>
      </c>
      <c r="G2245" s="1559" t="str">
        <f>IF(T2245&lt;&gt;"","E","")</f>
        <v/>
      </c>
      <c r="H2245" s="1559" t="s">
        <v>1990</v>
      </c>
      <c r="I2245" s="1274"/>
      <c r="J2245" s="1559"/>
      <c r="K2245" s="1559"/>
      <c r="L2245" s="826"/>
      <c r="M2245" s="1560"/>
      <c r="N2245" s="1559"/>
      <c r="O2245" s="603"/>
      <c r="P2245" s="603"/>
      <c r="Q2245" s="603"/>
      <c r="R2245" s="1559" t="s">
        <v>2046</v>
      </c>
      <c r="T2245" s="1559" t="str">
        <f t="shared" si="400"/>
        <v/>
      </c>
    </row>
    <row r="2246" spans="1:20" s="1558" customFormat="1" x14ac:dyDescent="0.25">
      <c r="A2246" s="850" t="s">
        <v>1487</v>
      </c>
      <c r="B2246" s="826" t="str">
        <f ca="1">_xlfn.CONCAT(IFERROR(SUBSTITUTE(ADDRESS(1,MATCH(A2246,INDIRECT("'"&amp;E2246&amp;"'"&amp;"!A" &amp; $O$2024+ 2 &amp; ":Z" &amp; $O$2024 + 2),0),4),1,""),""),$O$2024+ 2)</f>
        <v>R547</v>
      </c>
      <c r="C2246" s="826" t="str">
        <f ca="1">_xlfn.CONCAT(IFERROR(SUBSTITUTE(ADDRESS(1,MATCH(A2246,INDIRECT("'"&amp;E2246&amp;"'"&amp;"!A" &amp; $O$2024+ 2 &amp; ":Z" &amp; $O$2024 + 2),0),4),1,""),""),$O$2024+ 3)</f>
        <v>R548</v>
      </c>
      <c r="D2246" s="826" t="s">
        <v>1350</v>
      </c>
      <c r="E2246" s="826" t="s">
        <v>1516</v>
      </c>
      <c r="F2246" s="1559" t="s">
        <v>1995</v>
      </c>
      <c r="G2246" s="1559" t="str">
        <f>IF(T2246&lt;&gt;"","G","")</f>
        <v/>
      </c>
      <c r="H2246" s="1559" t="s">
        <v>1990</v>
      </c>
      <c r="I2246" s="1274"/>
      <c r="J2246" s="1559"/>
      <c r="K2246" s="1559"/>
      <c r="L2246" s="826"/>
      <c r="M2246" s="1560"/>
      <c r="N2246" s="1559"/>
      <c r="O2246" s="603"/>
      <c r="P2246" s="603"/>
      <c r="Q2246" s="603"/>
      <c r="R2246" s="1559" t="s">
        <v>2046</v>
      </c>
      <c r="T2246" s="1559" t="str">
        <f t="shared" si="400"/>
        <v/>
      </c>
    </row>
    <row r="2247" spans="1:20" s="1558" customFormat="1" x14ac:dyDescent="0.25">
      <c r="A2247" s="850" t="s">
        <v>1488</v>
      </c>
      <c r="B2247" s="826" t="str">
        <f ca="1">_xlfn.CONCAT(IFERROR(SUBSTITUTE(ADDRESS(1,MATCH(A2247,INDIRECT("'"&amp;E2247&amp;"'"&amp;"!A" &amp; $O$2024+ 2 &amp; ":Z" &amp; $O$2024 + 2),0),4),1,""),""),$O$2024+ 2)</f>
        <v>T547</v>
      </c>
      <c r="C2247" s="826" t="str">
        <f ca="1">_xlfn.CONCAT(IFERROR(SUBSTITUTE(ADDRESS(1,MATCH(A2247,INDIRECT("'"&amp;E2247&amp;"'"&amp;"!A" &amp; $O$2024+ 2 &amp; ":Z" &amp; $O$2024 + 2),0),4),1,""),""),$O$2024+ 3)</f>
        <v>T548</v>
      </c>
      <c r="D2247" s="826" t="s">
        <v>1350</v>
      </c>
      <c r="E2247" s="826" t="s">
        <v>1516</v>
      </c>
      <c r="F2247" s="841" t="s">
        <v>1488</v>
      </c>
      <c r="G2247" s="1559" t="str">
        <f>IF(T2247&lt;&gt;"","AW","")</f>
        <v/>
      </c>
      <c r="H2247" s="1559" t="s">
        <v>1990</v>
      </c>
      <c r="I2247" s="1274"/>
      <c r="J2247" s="1559"/>
      <c r="K2247" s="1559"/>
      <c r="L2247" s="826"/>
      <c r="M2247" s="1560"/>
      <c r="N2247" s="1559"/>
      <c r="O2247" s="603"/>
      <c r="P2247" s="603"/>
      <c r="Q2247" s="603"/>
      <c r="R2247" s="1559" t="s">
        <v>2046</v>
      </c>
      <c r="T2247" s="1559" t="str">
        <f t="shared" si="400"/>
        <v/>
      </c>
    </row>
    <row r="2248" spans="1:20" s="1558" customFormat="1" x14ac:dyDescent="0.25">
      <c r="A2248" s="850" t="s">
        <v>1603</v>
      </c>
      <c r="B2248" s="826" t="str">
        <f ca="1">_xlfn.CONCAT(IFERROR(SUBSTITUTE(ADDRESS(1,MATCH(A2248,INDIRECT("'"&amp;E2248&amp;"'"&amp;"!A" &amp; $O$2024+5 &amp; ":Z" &amp; $O$2024 + 5),0),4),1,""),""),$O$2024+ 5)</f>
        <v>R550</v>
      </c>
      <c r="C2248" s="826" t="str">
        <f ca="1">_xlfn.CONCAT(IFERROR(SUBSTITUTE(ADDRESS(1,MATCH(A2248,INDIRECT("'"&amp;E2248&amp;"'"&amp;"!A" &amp; $O$2024+5 &amp; ":Z" &amp; $O$2024 + 5),0),4),1,""),""),$O$2024+ 6)</f>
        <v>R551</v>
      </c>
      <c r="D2248" s="826" t="s">
        <v>1350</v>
      </c>
      <c r="E2248" s="826" t="s">
        <v>1516</v>
      </c>
      <c r="F2248" s="1559" t="s">
        <v>1999</v>
      </c>
      <c r="G2248" s="1559" t="str">
        <f t="shared" ref="G2248" si="401">IF(T2248&lt;&gt;"","AB","")</f>
        <v/>
      </c>
      <c r="H2248" s="1559" t="s">
        <v>1990</v>
      </c>
      <c r="I2248" s="1274"/>
      <c r="J2248" s="1559"/>
      <c r="K2248" s="1559"/>
      <c r="L2248" s="826"/>
      <c r="M2248" s="1560"/>
      <c r="N2248" s="1559"/>
      <c r="R2248" s="1559" t="s">
        <v>2046</v>
      </c>
      <c r="T2248" s="1559" t="str">
        <f t="shared" si="400"/>
        <v/>
      </c>
    </row>
    <row r="2249" spans="1:20" s="1558" customFormat="1" x14ac:dyDescent="0.25">
      <c r="A2249" s="850" t="s">
        <v>1604</v>
      </c>
      <c r="B2249" s="826" t="str">
        <f ca="1">_xlfn.CONCAT(IFERROR(SUBSTITUTE(ADDRESS(1,MATCH(A2249,INDIRECT("'"&amp;E2249&amp;"'"&amp;"!A" &amp; $O$2024+5 &amp; ":Z" &amp; $O$2024 + 5),0),4),1,""),""),$O$2024+ 5)</f>
        <v>T550</v>
      </c>
      <c r="C2249" s="826" t="str">
        <f ca="1">_xlfn.CONCAT(IFERROR(SUBSTITUTE(ADDRESS(1,MATCH(A2249,INDIRECT("'"&amp;E2249&amp;"'"&amp;"!A" &amp; $O$2024+5 &amp; ":Z" &amp; $O$2024 + 5),0),4),1,""),""),$O$2024+ 6)</f>
        <v>T551</v>
      </c>
      <c r="D2249" s="826" t="s">
        <v>1350</v>
      </c>
      <c r="E2249" s="826" t="s">
        <v>1516</v>
      </c>
      <c r="F2249" s="1559" t="s">
        <v>1604</v>
      </c>
      <c r="G2249" s="1559" t="str">
        <f t="shared" ref="G2249" si="402">IF(T2249&lt;&gt;"","AP","")</f>
        <v/>
      </c>
      <c r="H2249" s="1559" t="s">
        <v>1990</v>
      </c>
      <c r="I2249" s="1274"/>
      <c r="J2249" s="1559"/>
      <c r="K2249" s="1559"/>
      <c r="L2249" s="826"/>
      <c r="M2249" s="1560"/>
      <c r="N2249" s="1559"/>
      <c r="R2249" s="1559" t="s">
        <v>2046</v>
      </c>
      <c r="T2249" s="1559" t="str">
        <f t="shared" si="400"/>
        <v/>
      </c>
    </row>
    <row r="2250" spans="1:20" s="1558" customFormat="1" x14ac:dyDescent="0.25">
      <c r="A2250" s="847" t="s">
        <v>1495</v>
      </c>
      <c r="B2250" s="826" t="str">
        <f ca="1">IFERROR(_xlfn.CONCAT("C",MATCH(A2250,INDIRECT("'"&amp;E2250&amp;"'!C"&amp;$O$2035&amp;":C"&amp;$O$2037),0)+$O$2035-1),"")</f>
        <v>C569</v>
      </c>
      <c r="C2250" s="826" t="str">
        <f ca="1">IFERROR(_xlfn.CONCAT("D",MATCH(A2250,INDIRECT("'"&amp;E2250&amp;"'!C"&amp;$O$2035&amp;":C"&amp;$O$2037),0)+$O$2035-1),"")</f>
        <v>D569</v>
      </c>
      <c r="D2250" s="826" t="s">
        <v>1350</v>
      </c>
      <c r="E2250" s="826" t="s">
        <v>1516</v>
      </c>
      <c r="F2250" s="1559" t="s">
        <v>1495</v>
      </c>
      <c r="G2250" s="1559" t="str">
        <f>IF(T2250&lt;&gt;"","AN","")</f>
        <v/>
      </c>
      <c r="H2250" s="1559" t="s">
        <v>1990</v>
      </c>
      <c r="I2250" s="1274"/>
      <c r="J2250" s="1559"/>
      <c r="K2250" s="1559"/>
      <c r="L2250" s="826"/>
      <c r="M2250" s="1560"/>
      <c r="N2250" s="1559"/>
      <c r="O2250" s="1561"/>
      <c r="P2250" s="603"/>
      <c r="Q2250" s="603"/>
      <c r="R2250" s="1559" t="s">
        <v>2047</v>
      </c>
      <c r="T2250" s="1559" t="str">
        <f t="shared" ref="T2250:T2256" si="403">IF(Q$2035="Yes",40,"")</f>
        <v/>
      </c>
    </row>
    <row r="2251" spans="1:20" s="1558" customFormat="1" x14ac:dyDescent="0.25">
      <c r="A2251" s="847" t="s">
        <v>1492</v>
      </c>
      <c r="B2251" s="826" t="str">
        <f ca="1">_xlfn.CONCAT(IFERROR(SUBSTITUTE(ADDRESS(1,MATCH(A2251,INDIRECT("'"&amp;E2251&amp;"'"&amp;"!A" &amp; $O$2035+ 8 &amp; ":Z" &amp; $O$2035 + 8),0),4),1,""),""),$O$2035+ 8)</f>
        <v>H567</v>
      </c>
      <c r="C2251" s="826" t="str">
        <f ca="1">_xlfn.CONCAT(IFERROR(SUBSTITUTE(ADDRESS(1,MATCH(A2251,INDIRECT("'"&amp;E2251&amp;"'"&amp;"!A" &amp; $O$2035+ 8 &amp; ":Z" &amp; $O$2035 + 8),0),4),1,""),""),$O$2035+ 9)</f>
        <v>H568</v>
      </c>
      <c r="D2251" s="826" t="s">
        <v>1350</v>
      </c>
      <c r="E2251" s="826" t="s">
        <v>1516</v>
      </c>
      <c r="F2251" s="1559" t="s">
        <v>1492</v>
      </c>
      <c r="G2251" s="1559" t="str">
        <f>IF(T2251&lt;&gt;"","AL","")</f>
        <v/>
      </c>
      <c r="H2251" s="1559" t="s">
        <v>1990</v>
      </c>
      <c r="I2251" s="1274"/>
      <c r="J2251" s="1559"/>
      <c r="K2251" s="1559"/>
      <c r="L2251" s="826"/>
      <c r="M2251" s="1560"/>
      <c r="N2251" s="1559"/>
      <c r="O2251" s="603"/>
      <c r="P2251" s="603"/>
      <c r="Q2251" s="603"/>
      <c r="R2251" s="1559" t="s">
        <v>2047</v>
      </c>
      <c r="T2251" s="1559" t="str">
        <f t="shared" si="403"/>
        <v/>
      </c>
    </row>
    <row r="2252" spans="1:20" s="1558" customFormat="1" x14ac:dyDescent="0.25">
      <c r="A2252" s="847" t="s">
        <v>1380</v>
      </c>
      <c r="B2252" s="826" t="str">
        <f ca="1">_xlfn.CONCAT(IFERROR(SUBSTITUTE(ADDRESS(1,MATCH(A2252,INDIRECT("'"&amp;E2252&amp;"'"&amp;"!A" &amp; $O$2035+ 2 &amp; ":Z" &amp; $O$2035 + 2),0),4),1,""),""),$O$2035+ 2)</f>
        <v>H561</v>
      </c>
      <c r="C2252" s="826" t="str">
        <f ca="1">_xlfn.CONCAT(IFERROR(SUBSTITUTE(ADDRESS(1,MATCH(A2252,INDIRECT("'"&amp;E2252&amp;"'"&amp;"!A" &amp; $O$2035+ 2 &amp; ":Z" &amp; $O$2035 + 2),0),4),1,""),""),$O$2035+ 3)</f>
        <v>H562</v>
      </c>
      <c r="D2252" s="826" t="s">
        <v>1350</v>
      </c>
      <c r="E2252" s="826" t="s">
        <v>1516</v>
      </c>
      <c r="F2252" s="1559" t="s">
        <v>1991</v>
      </c>
      <c r="G2252" s="1559" t="str">
        <f>IF(T2252&lt;&gt;"","E","")</f>
        <v/>
      </c>
      <c r="H2252" s="1559" t="s">
        <v>1990</v>
      </c>
      <c r="I2252" s="1274"/>
      <c r="J2252" s="1559"/>
      <c r="K2252" s="1559"/>
      <c r="L2252" s="826"/>
      <c r="M2252" s="1560"/>
      <c r="N2252" s="1559"/>
      <c r="O2252" s="603"/>
      <c r="P2252" s="603"/>
      <c r="Q2252" s="603"/>
      <c r="R2252" s="1559" t="s">
        <v>2047</v>
      </c>
      <c r="T2252" s="1559" t="str">
        <f t="shared" si="403"/>
        <v/>
      </c>
    </row>
    <row r="2253" spans="1:20" s="1558" customFormat="1" x14ac:dyDescent="0.25">
      <c r="A2253" s="847" t="s">
        <v>1487</v>
      </c>
      <c r="B2253" s="826" t="str">
        <f ca="1">_xlfn.CONCAT(IFERROR(SUBSTITUTE(ADDRESS(1,MATCH(A2253,INDIRECT("'"&amp;E2253&amp;"'"&amp;"!A" &amp; $O$2035+ 2 &amp; ":Z" &amp; $O$2035 + 2),0),4),1,""),""),$O$2035+ 2)</f>
        <v>R561</v>
      </c>
      <c r="C2253" s="826" t="str">
        <f ca="1">_xlfn.CONCAT(IFERROR(SUBSTITUTE(ADDRESS(1,MATCH(A2253,INDIRECT("'"&amp;E2253&amp;"'"&amp;"!A" &amp; $O$2035+ 2 &amp; ":Z" &amp; $O$2035 + 2),0),4),1,""),""),$O$2035+ 3)</f>
        <v>R562</v>
      </c>
      <c r="D2253" s="826" t="s">
        <v>1350</v>
      </c>
      <c r="E2253" s="826" t="s">
        <v>1516</v>
      </c>
      <c r="F2253" s="1559" t="s">
        <v>1995</v>
      </c>
      <c r="G2253" s="1559" t="str">
        <f>IF(T2253&lt;&gt;"","G","")</f>
        <v/>
      </c>
      <c r="H2253" s="1559" t="s">
        <v>1990</v>
      </c>
      <c r="I2253" s="1274"/>
      <c r="J2253" s="1559"/>
      <c r="K2253" s="1559"/>
      <c r="L2253" s="826"/>
      <c r="M2253" s="1560"/>
      <c r="N2253" s="1559"/>
      <c r="O2253" s="603"/>
      <c r="P2253" s="603"/>
      <c r="Q2253" s="603"/>
      <c r="R2253" s="1559" t="s">
        <v>2047</v>
      </c>
      <c r="T2253" s="1559" t="str">
        <f t="shared" si="403"/>
        <v/>
      </c>
    </row>
    <row r="2254" spans="1:20" s="1558" customFormat="1" x14ac:dyDescent="0.25">
      <c r="A2254" s="847" t="s">
        <v>1488</v>
      </c>
      <c r="B2254" s="826" t="str">
        <f ca="1">_xlfn.CONCAT(IFERROR(SUBSTITUTE(ADDRESS(1,MATCH(A2254,INDIRECT("'"&amp;E2254&amp;"'"&amp;"!A" &amp; $O$2035+ 2 &amp; ":Z" &amp; $O$2035 + 2),0),4),1,""),""),$O$2035+ 2)</f>
        <v>T561</v>
      </c>
      <c r="C2254" s="826" t="str">
        <f ca="1">_xlfn.CONCAT(IFERROR(SUBSTITUTE(ADDRESS(1,MATCH(A2254,INDIRECT("'"&amp;E2254&amp;"'"&amp;"!A" &amp; $O$2035+ 2 &amp; ":Z" &amp; $O$2035 + 2),0),4),1,""),""),$O$2035+ 3)</f>
        <v>T562</v>
      </c>
      <c r="D2254" s="826" t="s">
        <v>1350</v>
      </c>
      <c r="E2254" s="826" t="s">
        <v>1516</v>
      </c>
      <c r="F2254" s="841" t="s">
        <v>1488</v>
      </c>
      <c r="G2254" s="1559" t="str">
        <f>IF(T2254&lt;&gt;"","AW","")</f>
        <v/>
      </c>
      <c r="H2254" s="1559" t="s">
        <v>1990</v>
      </c>
      <c r="I2254" s="1274"/>
      <c r="J2254" s="1559"/>
      <c r="K2254" s="1559"/>
      <c r="L2254" s="826"/>
      <c r="M2254" s="1560"/>
      <c r="N2254" s="1559"/>
      <c r="O2254" s="603"/>
      <c r="P2254" s="603"/>
      <c r="Q2254" s="603"/>
      <c r="R2254" s="1559" t="s">
        <v>2047</v>
      </c>
      <c r="T2254" s="1559" t="str">
        <f t="shared" si="403"/>
        <v/>
      </c>
    </row>
    <row r="2255" spans="1:20" s="1558" customFormat="1" x14ac:dyDescent="0.25">
      <c r="A2255" s="847" t="s">
        <v>1603</v>
      </c>
      <c r="B2255" s="826" t="str">
        <f ca="1">_xlfn.CONCAT(IFERROR(SUBSTITUTE(ADDRESS(1,MATCH(A2255,INDIRECT("'"&amp;E2255&amp;"'"&amp;"!A" &amp; $O$2035+ 5 &amp; ":Z" &amp; $O$2035 + 5),0),4),1,""),""),$O$2035+ 5)</f>
        <v>R564</v>
      </c>
      <c r="C2255" s="826" t="str">
        <f ca="1">_xlfn.CONCAT(IFERROR(SUBSTITUTE(ADDRESS(1,MATCH(A2255,INDIRECT("'"&amp;E2255&amp;"'"&amp;"!A" &amp; $O$2035+ 5 &amp; ":Z" &amp; $O$2035 + 5),0),4),1,""),""),$O$2035+ 6)</f>
        <v>R565</v>
      </c>
      <c r="D2255" s="826" t="s">
        <v>1350</v>
      </c>
      <c r="E2255" s="826" t="s">
        <v>1516</v>
      </c>
      <c r="F2255" s="1559" t="s">
        <v>1999</v>
      </c>
      <c r="G2255" s="1559" t="str">
        <f t="shared" ref="G2255" si="404">IF(T2255&lt;&gt;"","AB","")</f>
        <v/>
      </c>
      <c r="H2255" s="1559" t="s">
        <v>1990</v>
      </c>
      <c r="I2255" s="1274"/>
      <c r="J2255" s="1559"/>
      <c r="K2255" s="1559"/>
      <c r="L2255" s="826"/>
      <c r="M2255" s="1560"/>
      <c r="N2255" s="1559"/>
      <c r="O2255" s="603"/>
      <c r="P2255" s="603"/>
      <c r="Q2255" s="603"/>
      <c r="R2255" s="1559" t="s">
        <v>2047</v>
      </c>
      <c r="T2255" s="1559" t="str">
        <f t="shared" si="403"/>
        <v/>
      </c>
    </row>
    <row r="2256" spans="1:20" s="1558" customFormat="1" x14ac:dyDescent="0.25">
      <c r="A2256" s="847" t="s">
        <v>1604</v>
      </c>
      <c r="B2256" s="826" t="str">
        <f ca="1">_xlfn.CONCAT(IFERROR(SUBSTITUTE(ADDRESS(1,MATCH(A2256,INDIRECT("'"&amp;E2256&amp;"'"&amp;"!A" &amp; $O$2035+ 5 &amp; ":Z" &amp; $O$2035 + 5),0),4),1,""),""),$O$2035+ 5)</f>
        <v>T564</v>
      </c>
      <c r="C2256" s="826" t="str">
        <f ca="1">_xlfn.CONCAT(IFERROR(SUBSTITUTE(ADDRESS(1,MATCH(A2256,INDIRECT("'"&amp;E2256&amp;"'"&amp;"!A" &amp; $O$2035+ 5 &amp; ":Z" &amp; $O$2035 + 5),0),4),1,""),""),$O$2035+ 6)</f>
        <v>T565</v>
      </c>
      <c r="D2256" s="826" t="s">
        <v>1350</v>
      </c>
      <c r="E2256" s="826" t="s">
        <v>1516</v>
      </c>
      <c r="F2256" s="1559" t="s">
        <v>1604</v>
      </c>
      <c r="G2256" s="1559" t="str">
        <f t="shared" ref="G2256" si="405">IF(T2256&lt;&gt;"","AP","")</f>
        <v/>
      </c>
      <c r="H2256" s="1559" t="s">
        <v>1990</v>
      </c>
      <c r="I2256" s="1274"/>
      <c r="J2256" s="1559"/>
      <c r="K2256" s="1559"/>
      <c r="L2256" s="826"/>
      <c r="M2256" s="1560"/>
      <c r="N2256" s="1559"/>
      <c r="O2256" s="603"/>
      <c r="P2256" s="603"/>
      <c r="Q2256" s="603"/>
      <c r="R2256" s="1559" t="s">
        <v>2047</v>
      </c>
      <c r="T2256" s="1559" t="str">
        <f t="shared" si="403"/>
        <v/>
      </c>
    </row>
    <row r="2257" spans="1:20" s="1558" customFormat="1" x14ac:dyDescent="0.25">
      <c r="A2257" s="850" t="s">
        <v>1495</v>
      </c>
      <c r="B2257" s="826" t="str">
        <f ca="1">IFERROR(_xlfn.CONCAT("C",MATCH(A2257,INDIRECT("'"&amp;E2257&amp;"'!C"&amp;$O$2046&amp;":C"&amp;$O$2048),0)+$O$2046-1),"")</f>
        <v>C583</v>
      </c>
      <c r="C2257" s="826" t="str">
        <f ca="1">IFERROR(_xlfn.CONCAT("D",MATCH(A2257,INDIRECT("'"&amp;E2257&amp;"'!C"&amp;$O$2046&amp;":C"&amp;$O$2048),0)+$O$2046-1),"")</f>
        <v>D583</v>
      </c>
      <c r="D2257" s="826" t="s">
        <v>1350</v>
      </c>
      <c r="E2257" s="826" t="s">
        <v>1516</v>
      </c>
      <c r="F2257" s="1559" t="s">
        <v>1495</v>
      </c>
      <c r="G2257" s="1559" t="str">
        <f>IF(T2257&lt;&gt;"","AN","")</f>
        <v/>
      </c>
      <c r="H2257" s="1559" t="s">
        <v>1990</v>
      </c>
      <c r="I2257" s="1274"/>
      <c r="J2257" s="1559"/>
      <c r="K2257" s="1559"/>
      <c r="L2257" s="826"/>
      <c r="M2257" s="1560"/>
      <c r="N2257" s="1559"/>
      <c r="O2257" s="1561"/>
      <c r="P2257" s="603"/>
      <c r="Q2257" s="603"/>
      <c r="R2257" s="1559" t="s">
        <v>2048</v>
      </c>
      <c r="T2257" s="1559" t="str">
        <f t="shared" ref="T2257:T2263" si="406">IF(Q$2046="Yes",41,"")</f>
        <v/>
      </c>
    </row>
    <row r="2258" spans="1:20" s="1558" customFormat="1" x14ac:dyDescent="0.25">
      <c r="A2258" s="850" t="s">
        <v>1492</v>
      </c>
      <c r="B2258" s="826" t="str">
        <f ca="1">_xlfn.CONCAT(IFERROR(SUBSTITUTE(ADDRESS(1,MATCH(A2258,INDIRECT("'"&amp;E2258&amp;"'"&amp;"!A" &amp; $O$2046+ 8 &amp; ":Z" &amp; $O$2046+8),0),4),1,""),""),$O$2046+8)</f>
        <v>H581</v>
      </c>
      <c r="C2258" s="826" t="str">
        <f ca="1">_xlfn.CONCAT(IFERROR(SUBSTITUTE(ADDRESS(1,MATCH(A2258,INDIRECT("'"&amp;E2258&amp;"'"&amp;"!A" &amp; $O$2046+ 8 &amp; ":Z" &amp; $O$2046+8),0),4),1,""),""),$O$2046+9)</f>
        <v>H582</v>
      </c>
      <c r="D2258" s="826" t="s">
        <v>1350</v>
      </c>
      <c r="E2258" s="826" t="s">
        <v>1516</v>
      </c>
      <c r="F2258" s="1559" t="s">
        <v>1492</v>
      </c>
      <c r="G2258" s="1559" t="str">
        <f>IF(T2258&lt;&gt;"","AL","")</f>
        <v/>
      </c>
      <c r="H2258" s="1559" t="s">
        <v>1990</v>
      </c>
      <c r="I2258" s="1274"/>
      <c r="J2258" s="1559"/>
      <c r="K2258" s="1559"/>
      <c r="L2258" s="826"/>
      <c r="M2258" s="1560"/>
      <c r="N2258" s="1559"/>
      <c r="O2258" s="603"/>
      <c r="P2258" s="603"/>
      <c r="Q2258" s="603"/>
      <c r="R2258" s="1559" t="s">
        <v>2048</v>
      </c>
      <c r="T2258" s="1559" t="str">
        <f t="shared" si="406"/>
        <v/>
      </c>
    </row>
    <row r="2259" spans="1:20" s="1558" customFormat="1" x14ac:dyDescent="0.25">
      <c r="A2259" s="850" t="s">
        <v>1380</v>
      </c>
      <c r="B2259" s="826" t="str">
        <f ca="1">_xlfn.CONCAT(IFERROR(SUBSTITUTE(ADDRESS(1,MATCH(A2259,INDIRECT("'"&amp;E2259&amp;"'"&amp;"!A" &amp; $O$2046+ 2 &amp; ":Z" &amp; $O$2046+ 2),0),4),1,""),""),$O$2046+2)</f>
        <v>H575</v>
      </c>
      <c r="C2259" s="826" t="str">
        <f ca="1">_xlfn.CONCAT(IFERROR(SUBSTITUTE(ADDRESS(1,MATCH(A2259,INDIRECT("'"&amp;E2259&amp;"'"&amp;"!A" &amp; $O$2046+ 2 &amp; ":Z" &amp; $O$2046+ 2),0),4),1,""),""),$O$2046+3)</f>
        <v>H576</v>
      </c>
      <c r="D2259" s="826" t="s">
        <v>1350</v>
      </c>
      <c r="E2259" s="826" t="s">
        <v>1516</v>
      </c>
      <c r="F2259" s="1559" t="s">
        <v>1991</v>
      </c>
      <c r="G2259" s="1559" t="str">
        <f>IF(T2259&lt;&gt;"","E","")</f>
        <v/>
      </c>
      <c r="H2259" s="1559" t="s">
        <v>1990</v>
      </c>
      <c r="I2259" s="1274"/>
      <c r="J2259" s="1559"/>
      <c r="K2259" s="1559"/>
      <c r="L2259" s="826"/>
      <c r="M2259" s="1560"/>
      <c r="N2259" s="1559"/>
      <c r="O2259" s="603"/>
      <c r="P2259" s="603"/>
      <c r="Q2259" s="603"/>
      <c r="R2259" s="1559" t="s">
        <v>2048</v>
      </c>
      <c r="T2259" s="1559" t="str">
        <f t="shared" si="406"/>
        <v/>
      </c>
    </row>
    <row r="2260" spans="1:20" s="1558" customFormat="1" x14ac:dyDescent="0.25">
      <c r="A2260" s="850" t="s">
        <v>1487</v>
      </c>
      <c r="B2260" s="826" t="str">
        <f ca="1">_xlfn.CONCAT(IFERROR(SUBSTITUTE(ADDRESS(1,MATCH(A2260,INDIRECT("'"&amp;E2260&amp;"'"&amp;"!A" &amp; $O$2046+ 2 &amp; ":Z" &amp; $O$2046+ 2),0),4),1,""),""),$O$2046+2)</f>
        <v>R575</v>
      </c>
      <c r="C2260" s="826" t="str">
        <f ca="1">_xlfn.CONCAT(IFERROR(SUBSTITUTE(ADDRESS(1,MATCH(A2260,INDIRECT("'"&amp;E2260&amp;"'"&amp;"!A" &amp; $O$2046+ 2 &amp; ":Z" &amp; $O$2046+ 2),0),4),1,""),""),$O$2046+3)</f>
        <v>R576</v>
      </c>
      <c r="D2260" s="826" t="s">
        <v>1350</v>
      </c>
      <c r="E2260" s="826" t="s">
        <v>1516</v>
      </c>
      <c r="F2260" s="1559" t="s">
        <v>1995</v>
      </c>
      <c r="G2260" s="1559" t="str">
        <f>IF(T2260&lt;&gt;"","G","")</f>
        <v/>
      </c>
      <c r="H2260" s="1559" t="s">
        <v>1990</v>
      </c>
      <c r="I2260" s="1274"/>
      <c r="J2260" s="1559"/>
      <c r="K2260" s="1559"/>
      <c r="L2260" s="826"/>
      <c r="M2260" s="1560"/>
      <c r="N2260" s="1559"/>
      <c r="O2260" s="603"/>
      <c r="P2260" s="603"/>
      <c r="Q2260" s="603"/>
      <c r="R2260" s="1559" t="s">
        <v>2048</v>
      </c>
      <c r="T2260" s="1559" t="str">
        <f t="shared" si="406"/>
        <v/>
      </c>
    </row>
    <row r="2261" spans="1:20" s="1558" customFormat="1" x14ac:dyDescent="0.25">
      <c r="A2261" s="850" t="s">
        <v>1488</v>
      </c>
      <c r="B2261" s="826" t="str">
        <f ca="1">_xlfn.CONCAT(IFERROR(SUBSTITUTE(ADDRESS(1,MATCH(A2261,INDIRECT("'"&amp;E2261&amp;"'"&amp;"!A" &amp; $O$2046+ 2 &amp; ":Z" &amp; $O$2046+ 2),0),4),1,""),""),$O$2046+2)</f>
        <v>T575</v>
      </c>
      <c r="C2261" s="826" t="str">
        <f ca="1">_xlfn.CONCAT(IFERROR(SUBSTITUTE(ADDRESS(1,MATCH(A2261,INDIRECT("'"&amp;E2261&amp;"'"&amp;"!A" &amp; $O$2046+ 2 &amp; ":Z" &amp; $O$2046+ 2),0),4),1,""),""),$O$2046+3)</f>
        <v>T576</v>
      </c>
      <c r="D2261" s="826" t="s">
        <v>1350</v>
      </c>
      <c r="E2261" s="826" t="s">
        <v>1516</v>
      </c>
      <c r="F2261" s="841" t="s">
        <v>1488</v>
      </c>
      <c r="G2261" s="1559" t="str">
        <f>IF(T2261&lt;&gt;"","AW","")</f>
        <v/>
      </c>
      <c r="H2261" s="1559" t="s">
        <v>1990</v>
      </c>
      <c r="I2261" s="1274"/>
      <c r="J2261" s="1559"/>
      <c r="K2261" s="1559"/>
      <c r="L2261" s="826"/>
      <c r="M2261" s="1560"/>
      <c r="N2261" s="1559"/>
      <c r="O2261" s="603"/>
      <c r="P2261" s="603"/>
      <c r="Q2261" s="603"/>
      <c r="R2261" s="1559" t="s">
        <v>2048</v>
      </c>
      <c r="T2261" s="1559" t="str">
        <f t="shared" si="406"/>
        <v/>
      </c>
    </row>
    <row r="2262" spans="1:20" s="1558" customFormat="1" x14ac:dyDescent="0.25">
      <c r="A2262" s="850" t="s">
        <v>1603</v>
      </c>
      <c r="B2262" s="826" t="str">
        <f ca="1">_xlfn.CONCAT(IFERROR(SUBSTITUTE(ADDRESS(1,MATCH(A2262,INDIRECT("'"&amp;E2262&amp;"'"&amp;"!A" &amp; $O$2046+ 5 &amp; ":Z" &amp; $O$2046+ 5),0),4),1,""),""),$O$2046+5)</f>
        <v>R578</v>
      </c>
      <c r="C2262" s="826" t="str">
        <f ca="1">_xlfn.CONCAT(IFERROR(SUBSTITUTE(ADDRESS(1,MATCH(A2262,INDIRECT("'"&amp;E2262&amp;"'"&amp;"!A" &amp; $O$2046+ 5 &amp; ":Z" &amp; $O$2046+ 5),0),4),1,""),""),$O$2046+6)</f>
        <v>R579</v>
      </c>
      <c r="D2262" s="826" t="s">
        <v>1350</v>
      </c>
      <c r="E2262" s="826" t="s">
        <v>1516</v>
      </c>
      <c r="F2262" s="1559" t="s">
        <v>1999</v>
      </c>
      <c r="G2262" s="1559" t="str">
        <f t="shared" ref="G2262" si="407">IF(T2262&lt;&gt;"","AB","")</f>
        <v/>
      </c>
      <c r="H2262" s="1559" t="s">
        <v>1990</v>
      </c>
      <c r="I2262" s="1274"/>
      <c r="J2262" s="1559"/>
      <c r="K2262" s="1559"/>
      <c r="L2262" s="826"/>
      <c r="M2262" s="1560"/>
      <c r="N2262" s="1559"/>
      <c r="O2262" s="603"/>
      <c r="P2262" s="603"/>
      <c r="Q2262" s="603"/>
      <c r="R2262" s="1559" t="s">
        <v>2048</v>
      </c>
      <c r="T2262" s="1559" t="str">
        <f t="shared" si="406"/>
        <v/>
      </c>
    </row>
    <row r="2263" spans="1:20" s="1558" customFormat="1" x14ac:dyDescent="0.25">
      <c r="A2263" s="850" t="s">
        <v>1604</v>
      </c>
      <c r="B2263" s="826" t="str">
        <f ca="1">_xlfn.CONCAT(IFERROR(SUBSTITUTE(ADDRESS(1,MATCH(A2263,INDIRECT("'"&amp;E2263&amp;"'"&amp;"!A" &amp; $O$2046+ 5 &amp; ":Z" &amp; $O$2046+ 5),0),4),1,""),""),$O$2046+5)</f>
        <v>T578</v>
      </c>
      <c r="C2263" s="826" t="str">
        <f ca="1">_xlfn.CONCAT(IFERROR(SUBSTITUTE(ADDRESS(1,MATCH(A2263,INDIRECT("'"&amp;E2263&amp;"'"&amp;"!A" &amp; $O$2046+ 5 &amp; ":Z" &amp; $O$2046+ 5),0),4),1,""),""),$O$2046+6)</f>
        <v>T579</v>
      </c>
      <c r="D2263" s="826" t="s">
        <v>1350</v>
      </c>
      <c r="E2263" s="826" t="s">
        <v>1516</v>
      </c>
      <c r="F2263" s="1559" t="s">
        <v>1604</v>
      </c>
      <c r="G2263" s="1559" t="str">
        <f t="shared" ref="G2263" si="408">IF(T2263&lt;&gt;"","AP","")</f>
        <v/>
      </c>
      <c r="H2263" s="1559" t="s">
        <v>1990</v>
      </c>
      <c r="I2263" s="1274"/>
      <c r="J2263" s="1559"/>
      <c r="K2263" s="1559"/>
      <c r="L2263" s="826"/>
      <c r="M2263" s="1560"/>
      <c r="N2263" s="1559"/>
      <c r="O2263" s="603"/>
      <c r="P2263" s="603"/>
      <c r="Q2263" s="603"/>
      <c r="R2263" s="1559" t="s">
        <v>2048</v>
      </c>
      <c r="T2263" s="1559" t="str">
        <f t="shared" si="406"/>
        <v/>
      </c>
    </row>
    <row r="2264" spans="1:20" s="1558" customFormat="1" x14ac:dyDescent="0.25">
      <c r="A2264" s="847" t="s">
        <v>1495</v>
      </c>
      <c r="B2264" s="826" t="str">
        <f ca="1">IFERROR(_xlfn.CONCAT("C",MATCH(A2264,INDIRECT("'"&amp;E2264&amp;"'!C"&amp;$O$2057&amp;":C"&amp;$O$2059),0)+$O$2057-1),"")</f>
        <v>C597</v>
      </c>
      <c r="C2264" s="826" t="str">
        <f ca="1">IFERROR(_xlfn.CONCAT("D",MATCH(A2264,INDIRECT("'"&amp;E2264&amp;"'!C"&amp;$O$2057&amp;":C"&amp;$O$2059),0)+$O$2057-1),"")</f>
        <v>D597</v>
      </c>
      <c r="D2264" s="826" t="s">
        <v>1350</v>
      </c>
      <c r="E2264" s="826" t="s">
        <v>1516</v>
      </c>
      <c r="F2264" s="1559" t="s">
        <v>1495</v>
      </c>
      <c r="G2264" s="1559" t="str">
        <f>IF(T2264&lt;&gt;"","AN","")</f>
        <v/>
      </c>
      <c r="H2264" s="1559" t="s">
        <v>1990</v>
      </c>
      <c r="I2264" s="1274"/>
      <c r="J2264" s="1559"/>
      <c r="K2264" s="1559"/>
      <c r="L2264" s="826"/>
      <c r="M2264" s="1560"/>
      <c r="N2264" s="1559"/>
      <c r="O2264" s="1561"/>
      <c r="P2264" s="603"/>
      <c r="Q2264" s="603"/>
      <c r="R2264" s="1559" t="s">
        <v>2049</v>
      </c>
      <c r="T2264" s="1559" t="str">
        <f t="shared" ref="T2264:T2270" si="409">IF(Q$2057="Yes",42,"")</f>
        <v/>
      </c>
    </row>
    <row r="2265" spans="1:20" s="1558" customFormat="1" x14ac:dyDescent="0.25">
      <c r="A2265" s="847" t="s">
        <v>1492</v>
      </c>
      <c r="B2265" s="826" t="str">
        <f ca="1">_xlfn.CONCAT(IFERROR(SUBSTITUTE(ADDRESS(1,MATCH(A2265,INDIRECT("'"&amp;E2265&amp;"'"&amp;"!A" &amp; $O$2057+ 8 &amp; ":Z" &amp; $O$2057+ 8),0),4),1,""),""),$O$2057+8)</f>
        <v>H595</v>
      </c>
      <c r="C2265" s="826" t="str">
        <f ca="1">_xlfn.CONCAT(IFERROR(SUBSTITUTE(ADDRESS(1,MATCH(A2265,INDIRECT("'"&amp;E2265&amp;"'"&amp;"!A" &amp; $O$2057+ 8 &amp; ":Z" &amp; $O$2057+ 8),0),4),1,""),""),$O$2057+9)</f>
        <v>H596</v>
      </c>
      <c r="D2265" s="826" t="s">
        <v>1350</v>
      </c>
      <c r="E2265" s="826" t="s">
        <v>1516</v>
      </c>
      <c r="F2265" s="1559" t="s">
        <v>1492</v>
      </c>
      <c r="G2265" s="1559" t="str">
        <f>IF(T2265&lt;&gt;"","AL","")</f>
        <v/>
      </c>
      <c r="H2265" s="1559" t="s">
        <v>1990</v>
      </c>
      <c r="I2265" s="1274"/>
      <c r="J2265" s="1559"/>
      <c r="K2265" s="1559"/>
      <c r="L2265" s="826"/>
      <c r="M2265" s="1560"/>
      <c r="N2265" s="1559"/>
      <c r="O2265" s="603"/>
      <c r="P2265" s="603"/>
      <c r="Q2265" s="603"/>
      <c r="R2265" s="1559" t="s">
        <v>2049</v>
      </c>
      <c r="T2265" s="1559" t="str">
        <f t="shared" si="409"/>
        <v/>
      </c>
    </row>
    <row r="2266" spans="1:20" s="1558" customFormat="1" x14ac:dyDescent="0.25">
      <c r="A2266" s="847" t="s">
        <v>1380</v>
      </c>
      <c r="B2266" s="826" t="str">
        <f ca="1">_xlfn.CONCAT(IFERROR(SUBSTITUTE(ADDRESS(1,MATCH(A2266,INDIRECT("'"&amp;E2266&amp;"'"&amp;"!A" &amp; $O$2057+ 2 &amp; ":Z" &amp; $O$2057+ 2),0),4),1,""),""),$O$2057+2)</f>
        <v>H589</v>
      </c>
      <c r="C2266" s="826" t="str">
        <f ca="1">_xlfn.CONCAT(IFERROR(SUBSTITUTE(ADDRESS(1,MATCH(A2266,INDIRECT("'"&amp;E2266&amp;"'"&amp;"!A" &amp; $O$2057+ 2 &amp; ":Z" &amp; $O$2057+ 2),0),4),1,""),""),$O$2057+3)</f>
        <v>H590</v>
      </c>
      <c r="D2266" s="826" t="s">
        <v>1350</v>
      </c>
      <c r="E2266" s="826" t="s">
        <v>1516</v>
      </c>
      <c r="F2266" s="1559" t="s">
        <v>1991</v>
      </c>
      <c r="G2266" s="1559" t="str">
        <f>IF(T2266&lt;&gt;"","E","")</f>
        <v/>
      </c>
      <c r="H2266" s="1559" t="s">
        <v>1990</v>
      </c>
      <c r="I2266" s="1274"/>
      <c r="J2266" s="1559"/>
      <c r="K2266" s="1559"/>
      <c r="L2266" s="826"/>
      <c r="M2266" s="1560"/>
      <c r="N2266" s="1559"/>
      <c r="O2266" s="603"/>
      <c r="P2266" s="603"/>
      <c r="Q2266" s="603"/>
      <c r="R2266" s="1559" t="s">
        <v>2049</v>
      </c>
      <c r="T2266" s="1559" t="str">
        <f t="shared" si="409"/>
        <v/>
      </c>
    </row>
    <row r="2267" spans="1:20" s="1558" customFormat="1" x14ac:dyDescent="0.25">
      <c r="A2267" s="847" t="s">
        <v>1487</v>
      </c>
      <c r="B2267" s="826" t="str">
        <f ca="1">_xlfn.CONCAT(IFERROR(SUBSTITUTE(ADDRESS(1,MATCH(A2267,INDIRECT("'"&amp;E2267&amp;"'"&amp;"!A" &amp; $O$2057+ 2 &amp; ":Z" &amp; $O$2057+ 2),0),4),1,""),""),$O$2057+2)</f>
        <v>R589</v>
      </c>
      <c r="C2267" s="826" t="str">
        <f ca="1">_xlfn.CONCAT(IFERROR(SUBSTITUTE(ADDRESS(1,MATCH(A2267,INDIRECT("'"&amp;E2267&amp;"'"&amp;"!A" &amp; $O$2057+ 2 &amp; ":Z" &amp; $O$2057+ 2),0),4),1,""),""),$O$2057+3)</f>
        <v>R590</v>
      </c>
      <c r="D2267" s="826" t="s">
        <v>1350</v>
      </c>
      <c r="E2267" s="826" t="s">
        <v>1516</v>
      </c>
      <c r="F2267" s="1559" t="s">
        <v>1995</v>
      </c>
      <c r="G2267" s="1559" t="str">
        <f>IF(T2267&lt;&gt;"","G","")</f>
        <v/>
      </c>
      <c r="H2267" s="1559" t="s">
        <v>1990</v>
      </c>
      <c r="I2267" s="1274"/>
      <c r="J2267" s="1559"/>
      <c r="K2267" s="1559"/>
      <c r="L2267" s="826"/>
      <c r="M2267" s="1560"/>
      <c r="N2267" s="1559"/>
      <c r="O2267" s="603"/>
      <c r="P2267" s="603"/>
      <c r="Q2267" s="603"/>
      <c r="R2267" s="1559" t="s">
        <v>2049</v>
      </c>
      <c r="T2267" s="1559" t="str">
        <f t="shared" si="409"/>
        <v/>
      </c>
    </row>
    <row r="2268" spans="1:20" s="1558" customFormat="1" x14ac:dyDescent="0.25">
      <c r="A2268" s="847" t="s">
        <v>1488</v>
      </c>
      <c r="B2268" s="826" t="str">
        <f ca="1">_xlfn.CONCAT(IFERROR(SUBSTITUTE(ADDRESS(1,MATCH(A2268,INDIRECT("'"&amp;E2268&amp;"'"&amp;"!A" &amp; $O$2057+ 2 &amp; ":Z" &amp; $O$2057+ 2),0),4),1,""),""),$O$2057+2)</f>
        <v>T589</v>
      </c>
      <c r="C2268" s="826" t="str">
        <f ca="1">_xlfn.CONCAT(IFERROR(SUBSTITUTE(ADDRESS(1,MATCH(A2268,INDIRECT("'"&amp;E2268&amp;"'"&amp;"!A" &amp; $O$2057+ 2 &amp; ":Z" &amp; $O$2057+ 2),0),4),1,""),""),$O$2057+3)</f>
        <v>T590</v>
      </c>
      <c r="D2268" s="826" t="s">
        <v>1350</v>
      </c>
      <c r="E2268" s="826" t="s">
        <v>1516</v>
      </c>
      <c r="F2268" s="841" t="s">
        <v>1488</v>
      </c>
      <c r="G2268" s="1559" t="str">
        <f>IF(T2268&lt;&gt;"","AW","")</f>
        <v/>
      </c>
      <c r="H2268" s="1559" t="s">
        <v>1990</v>
      </c>
      <c r="I2268" s="1274"/>
      <c r="J2268" s="1559"/>
      <c r="K2268" s="1559"/>
      <c r="L2268" s="826"/>
      <c r="M2268" s="1560"/>
      <c r="N2268" s="1559"/>
      <c r="O2268" s="603"/>
      <c r="P2268" s="603"/>
      <c r="Q2268" s="603"/>
      <c r="R2268" s="1559" t="s">
        <v>2049</v>
      </c>
      <c r="T2268" s="1559" t="str">
        <f t="shared" si="409"/>
        <v/>
      </c>
    </row>
    <row r="2269" spans="1:20" s="1558" customFormat="1" x14ac:dyDescent="0.25">
      <c r="A2269" s="847" t="s">
        <v>1603</v>
      </c>
      <c r="B2269" s="826" t="str">
        <f ca="1">_xlfn.CONCAT(IFERROR(SUBSTITUTE(ADDRESS(1,MATCH(A2269,INDIRECT("'"&amp;E2269&amp;"'"&amp;"!A" &amp; $O$2057+ 5 &amp; ":Z" &amp; $O$2057+ 5),0),4),1,""),""),$O$2057+5)</f>
        <v>R592</v>
      </c>
      <c r="C2269" s="826" t="str">
        <f ca="1">_xlfn.CONCAT(IFERROR(SUBSTITUTE(ADDRESS(1,MATCH(A2269,INDIRECT("'"&amp;E2269&amp;"'"&amp;"!A" &amp; $O$2057+ 5 &amp; ":Z" &amp; $O$2057+ 5),0),4),1,""),""),$O$2057+6)</f>
        <v>R593</v>
      </c>
      <c r="D2269" s="826" t="s">
        <v>1350</v>
      </c>
      <c r="E2269" s="826" t="s">
        <v>1516</v>
      </c>
      <c r="F2269" s="1559" t="s">
        <v>1999</v>
      </c>
      <c r="G2269" s="1559" t="str">
        <f t="shared" ref="G2269" si="410">IF(T2269&lt;&gt;"","AB","")</f>
        <v/>
      </c>
      <c r="H2269" s="1559" t="s">
        <v>1990</v>
      </c>
      <c r="I2269" s="1274"/>
      <c r="J2269" s="1559"/>
      <c r="K2269" s="1559"/>
      <c r="L2269" s="826"/>
      <c r="M2269" s="1560"/>
      <c r="N2269" s="1559"/>
      <c r="O2269" s="603"/>
      <c r="P2269" s="603"/>
      <c r="Q2269" s="603"/>
      <c r="R2269" s="1559" t="s">
        <v>2049</v>
      </c>
      <c r="T2269" s="1559" t="str">
        <f t="shared" si="409"/>
        <v/>
      </c>
    </row>
    <row r="2270" spans="1:20" s="1558" customFormat="1" x14ac:dyDescent="0.25">
      <c r="A2270" s="847" t="s">
        <v>1604</v>
      </c>
      <c r="B2270" s="826" t="str">
        <f ca="1">_xlfn.CONCAT(IFERROR(SUBSTITUTE(ADDRESS(1,MATCH(A2270,INDIRECT("'"&amp;E2270&amp;"'"&amp;"!A" &amp; $O$2057+ 5 &amp; ":Z" &amp; $O$2057+ 5),0),4),1,""),""),$O$2057+5)</f>
        <v>T592</v>
      </c>
      <c r="C2270" s="826" t="str">
        <f ca="1">_xlfn.CONCAT(IFERROR(SUBSTITUTE(ADDRESS(1,MATCH(A2270,INDIRECT("'"&amp;E2270&amp;"'"&amp;"!A" &amp; $O$2057+ 5 &amp; ":Z" &amp; $O$2057+ 5),0),4),1,""),""),$O$2057+6)</f>
        <v>T593</v>
      </c>
      <c r="D2270" s="826" t="s">
        <v>1350</v>
      </c>
      <c r="E2270" s="826" t="s">
        <v>1516</v>
      </c>
      <c r="F2270" s="1559" t="s">
        <v>1604</v>
      </c>
      <c r="G2270" s="1559" t="str">
        <f t="shared" ref="G2270" si="411">IF(T2270&lt;&gt;"","AP","")</f>
        <v/>
      </c>
      <c r="H2270" s="1559" t="s">
        <v>1990</v>
      </c>
      <c r="I2270" s="1274"/>
      <c r="J2270" s="1559"/>
      <c r="K2270" s="1559"/>
      <c r="L2270" s="826"/>
      <c r="M2270" s="1560"/>
      <c r="N2270" s="1559"/>
      <c r="O2270" s="603"/>
      <c r="P2270" s="603"/>
      <c r="Q2270" s="603"/>
      <c r="R2270" s="1559" t="s">
        <v>2049</v>
      </c>
      <c r="T2270" s="1559" t="str">
        <f t="shared" si="409"/>
        <v/>
      </c>
    </row>
    <row r="2271" spans="1:20" s="1558" customFormat="1" x14ac:dyDescent="0.25">
      <c r="A2271" s="850" t="s">
        <v>1495</v>
      </c>
      <c r="B2271" s="826" t="str">
        <f ca="1">IFERROR(_xlfn.CONCAT("C",MATCH(A2271,INDIRECT("'"&amp;E2271&amp;"'!C"&amp;$O$2068&amp;":C"&amp;$O$2070),0)+$O$2068-1),"")</f>
        <v>C611</v>
      </c>
      <c r="C2271" s="826" t="str">
        <f ca="1">IFERROR(_xlfn.CONCAT("D",MATCH(A2271,INDIRECT("'"&amp;E2271&amp;"'!C"&amp;$O$2068&amp;":C"&amp;$O$2070),0)+$O$2068-1),"")</f>
        <v>D611</v>
      </c>
      <c r="D2271" s="826" t="s">
        <v>1350</v>
      </c>
      <c r="E2271" s="826" t="s">
        <v>1516</v>
      </c>
      <c r="F2271" s="1559" t="s">
        <v>1495</v>
      </c>
      <c r="G2271" s="1559" t="str">
        <f>IF(T2271&lt;&gt;"","AN","")</f>
        <v/>
      </c>
      <c r="H2271" s="1559" t="s">
        <v>1990</v>
      </c>
      <c r="I2271" s="1274"/>
      <c r="J2271" s="1559"/>
      <c r="K2271" s="1559"/>
      <c r="L2271" s="826"/>
      <c r="M2271" s="1560"/>
      <c r="N2271" s="1559"/>
      <c r="O2271" s="1561"/>
      <c r="P2271" s="603"/>
      <c r="Q2271" s="603"/>
      <c r="R2271" s="1559" t="s">
        <v>2050</v>
      </c>
      <c r="T2271" s="1559" t="str">
        <f t="shared" ref="T2271:T2277" si="412">IF(Q$2068="Yes",43,"")</f>
        <v/>
      </c>
    </row>
    <row r="2272" spans="1:20" s="1558" customFormat="1" x14ac:dyDescent="0.25">
      <c r="A2272" s="850" t="s">
        <v>1492</v>
      </c>
      <c r="B2272" s="826" t="str">
        <f ca="1">_xlfn.CONCAT(IFERROR(SUBSTITUTE(ADDRESS(1,MATCH(A2272,INDIRECT("'"&amp;E2272&amp;"'"&amp;"!A" &amp; $O$2068+ 8 &amp; ":Z" &amp; $O$2068+ 8),0),4),1,""),""),$O$2068+8)</f>
        <v>H609</v>
      </c>
      <c r="C2272" s="826" t="str">
        <f ca="1">_xlfn.CONCAT(IFERROR(SUBSTITUTE(ADDRESS(1,MATCH(A2272,INDIRECT("'"&amp;E2272&amp;"'"&amp;"!A" &amp; $O$2068+ 8 &amp; ":Z" &amp; $O$2068+ 8),0),4),1,""),""),$O$2068+9)</f>
        <v>H610</v>
      </c>
      <c r="D2272" s="826" t="s">
        <v>1350</v>
      </c>
      <c r="E2272" s="826" t="s">
        <v>1516</v>
      </c>
      <c r="F2272" s="1559" t="s">
        <v>1492</v>
      </c>
      <c r="G2272" s="1559" t="str">
        <f>IF(T2272&lt;&gt;"","AL","")</f>
        <v/>
      </c>
      <c r="H2272" s="1559" t="s">
        <v>1990</v>
      </c>
      <c r="I2272" s="1274"/>
      <c r="J2272" s="1559"/>
      <c r="K2272" s="1559"/>
      <c r="L2272" s="826"/>
      <c r="M2272" s="1560"/>
      <c r="N2272" s="1559"/>
      <c r="O2272" s="603"/>
      <c r="P2272" s="603"/>
      <c r="Q2272" s="603"/>
      <c r="R2272" s="1559" t="s">
        <v>2050</v>
      </c>
      <c r="T2272" s="1559" t="str">
        <f t="shared" si="412"/>
        <v/>
      </c>
    </row>
    <row r="2273" spans="1:20" s="1558" customFormat="1" x14ac:dyDescent="0.25">
      <c r="A2273" s="850" t="s">
        <v>1380</v>
      </c>
      <c r="B2273" s="826" t="str">
        <f ca="1">_xlfn.CONCAT(IFERROR(SUBSTITUTE(ADDRESS(1,MATCH(A2273,INDIRECT("'"&amp;E2273&amp;"'"&amp;"!A" &amp; $O$2068+ 2 &amp; ":Z" &amp; $O$2068+ 2),0),4),1,""),""),$O$2068+2)</f>
        <v>H603</v>
      </c>
      <c r="C2273" s="826" t="str">
        <f ca="1">_xlfn.CONCAT(IFERROR(SUBSTITUTE(ADDRESS(1,MATCH(A2273,INDIRECT("'"&amp;E2273&amp;"'"&amp;"!A" &amp; $O$2068+ 2 &amp; ":Z" &amp; $O$2068+ 2),0),4),1,""),""),$O$2068+3)</f>
        <v>H604</v>
      </c>
      <c r="D2273" s="826" t="s">
        <v>1350</v>
      </c>
      <c r="E2273" s="826" t="s">
        <v>1516</v>
      </c>
      <c r="F2273" s="1559" t="s">
        <v>1991</v>
      </c>
      <c r="G2273" s="1559" t="str">
        <f>IF(T2273&lt;&gt;"","E","")</f>
        <v/>
      </c>
      <c r="H2273" s="1559" t="s">
        <v>1990</v>
      </c>
      <c r="I2273" s="1274"/>
      <c r="J2273" s="1559"/>
      <c r="K2273" s="1559"/>
      <c r="L2273" s="826"/>
      <c r="M2273" s="1560"/>
      <c r="N2273" s="1559"/>
      <c r="O2273" s="603"/>
      <c r="P2273" s="603"/>
      <c r="Q2273" s="603"/>
      <c r="R2273" s="1559" t="s">
        <v>2050</v>
      </c>
      <c r="T2273" s="1559" t="str">
        <f t="shared" si="412"/>
        <v/>
      </c>
    </row>
    <row r="2274" spans="1:20" s="1558" customFormat="1" x14ac:dyDescent="0.25">
      <c r="A2274" s="850" t="s">
        <v>1487</v>
      </c>
      <c r="B2274" s="826" t="str">
        <f ca="1">_xlfn.CONCAT(IFERROR(SUBSTITUTE(ADDRESS(1,MATCH(A2274,INDIRECT("'"&amp;E2274&amp;"'"&amp;"!A" &amp; $O$2068+ 2 &amp; ":Z" &amp; $O$2068+ 2),0),4),1,""),""),$O$2068+2)</f>
        <v>R603</v>
      </c>
      <c r="C2274" s="826" t="str">
        <f ca="1">_xlfn.CONCAT(IFERROR(SUBSTITUTE(ADDRESS(1,MATCH(A2274,INDIRECT("'"&amp;E2274&amp;"'"&amp;"!A" &amp; $O$2068+ 2 &amp; ":Z" &amp; $O$2068+ 2),0),4),1,""),""),$O$2068+3)</f>
        <v>R604</v>
      </c>
      <c r="D2274" s="826" t="s">
        <v>1350</v>
      </c>
      <c r="E2274" s="826" t="s">
        <v>1516</v>
      </c>
      <c r="F2274" s="1559" t="s">
        <v>1995</v>
      </c>
      <c r="G2274" s="1559" t="str">
        <f>IF(T2274&lt;&gt;"","G","")</f>
        <v/>
      </c>
      <c r="H2274" s="1559" t="s">
        <v>1990</v>
      </c>
      <c r="I2274" s="1274"/>
      <c r="J2274" s="1559"/>
      <c r="K2274" s="1559"/>
      <c r="L2274" s="826"/>
      <c r="M2274" s="1560"/>
      <c r="N2274" s="1559"/>
      <c r="O2274" s="603"/>
      <c r="P2274" s="603"/>
      <c r="Q2274" s="603"/>
      <c r="R2274" s="1559" t="s">
        <v>2050</v>
      </c>
      <c r="T2274" s="1559" t="str">
        <f t="shared" si="412"/>
        <v/>
      </c>
    </row>
    <row r="2275" spans="1:20" s="1558" customFormat="1" x14ac:dyDescent="0.25">
      <c r="A2275" s="850" t="s">
        <v>1488</v>
      </c>
      <c r="B2275" s="826" t="str">
        <f ca="1">_xlfn.CONCAT(IFERROR(SUBSTITUTE(ADDRESS(1,MATCH(A2275,INDIRECT("'"&amp;E2275&amp;"'"&amp;"!A" &amp; $O$2068+ 2 &amp; ":Z" &amp; $O$2068+ 2),0),4),1,""),""),$O$2068+2)</f>
        <v>T603</v>
      </c>
      <c r="C2275" s="826" t="str">
        <f ca="1">_xlfn.CONCAT(IFERROR(SUBSTITUTE(ADDRESS(1,MATCH(A2275,INDIRECT("'"&amp;E2275&amp;"'"&amp;"!A" &amp; $O$2068+ 2 &amp; ":Z" &amp; $O$2068+ 2),0),4),1,""),""),$O$2068+3)</f>
        <v>T604</v>
      </c>
      <c r="D2275" s="826" t="s">
        <v>1350</v>
      </c>
      <c r="E2275" s="826" t="s">
        <v>1516</v>
      </c>
      <c r="F2275" s="841" t="s">
        <v>1488</v>
      </c>
      <c r="G2275" s="1559" t="str">
        <f>IF(T2275&lt;&gt;"","AW","")</f>
        <v/>
      </c>
      <c r="H2275" s="1559" t="s">
        <v>1990</v>
      </c>
      <c r="I2275" s="1274"/>
      <c r="J2275" s="1559"/>
      <c r="K2275" s="1559"/>
      <c r="L2275" s="826"/>
      <c r="M2275" s="1560"/>
      <c r="N2275" s="1559"/>
      <c r="O2275" s="603"/>
      <c r="P2275" s="603"/>
      <c r="Q2275" s="603"/>
      <c r="R2275" s="1559" t="s">
        <v>2050</v>
      </c>
      <c r="T2275" s="1559" t="str">
        <f t="shared" si="412"/>
        <v/>
      </c>
    </row>
    <row r="2276" spans="1:20" s="1558" customFormat="1" x14ac:dyDescent="0.25">
      <c r="A2276" s="850" t="s">
        <v>1603</v>
      </c>
      <c r="B2276" s="826" t="str">
        <f ca="1">_xlfn.CONCAT(IFERROR(SUBSTITUTE(ADDRESS(1,MATCH(A2276,INDIRECT("'"&amp;E2276&amp;"'"&amp;"!A" &amp; $O$2068+ 5 &amp; ":Z" &amp; $O$2068+ 5),0),4),1,""),""),$O$2068+5)</f>
        <v>R606</v>
      </c>
      <c r="C2276" s="826" t="str">
        <f ca="1">_xlfn.CONCAT(IFERROR(SUBSTITUTE(ADDRESS(1,MATCH(A2276,INDIRECT("'"&amp;E2276&amp;"'"&amp;"!A" &amp; $O$2068+ 5 &amp; ":Z" &amp; $O$2068+ 5),0),4),1,""),""),$O$2068+6)</f>
        <v>R607</v>
      </c>
      <c r="D2276" s="826" t="s">
        <v>1350</v>
      </c>
      <c r="E2276" s="826" t="s">
        <v>1516</v>
      </c>
      <c r="F2276" s="1559" t="s">
        <v>1999</v>
      </c>
      <c r="G2276" s="1559" t="str">
        <f t="shared" ref="G2276" si="413">IF(T2276&lt;&gt;"","AB","")</f>
        <v/>
      </c>
      <c r="H2276" s="1559" t="s">
        <v>1990</v>
      </c>
      <c r="I2276" s="1274"/>
      <c r="J2276" s="1559"/>
      <c r="K2276" s="1559"/>
      <c r="L2276" s="826"/>
      <c r="M2276" s="1560"/>
      <c r="N2276" s="1559"/>
      <c r="R2276" s="1559" t="s">
        <v>2050</v>
      </c>
      <c r="T2276" s="1559" t="str">
        <f t="shared" si="412"/>
        <v/>
      </c>
    </row>
    <row r="2277" spans="1:20" s="1558" customFormat="1" x14ac:dyDescent="0.25">
      <c r="A2277" s="850" t="s">
        <v>1604</v>
      </c>
      <c r="B2277" s="826" t="str">
        <f ca="1">_xlfn.CONCAT(IFERROR(SUBSTITUTE(ADDRESS(1,MATCH(A2277,INDIRECT("'"&amp;E2277&amp;"'"&amp;"!A" &amp; $O$2068+ 5 &amp; ":Z" &amp; $O$2068+ 5),0),4),1,""),""),$O$2068+5)</f>
        <v>T606</v>
      </c>
      <c r="C2277" s="826" t="str">
        <f ca="1">_xlfn.CONCAT(IFERROR(SUBSTITUTE(ADDRESS(1,MATCH(A2277,INDIRECT("'"&amp;E2277&amp;"'"&amp;"!A" &amp; $O$2068+ 5 &amp; ":Z" &amp; $O$2068+ 5),0),4),1,""),""),$O$2068+6)</f>
        <v>T607</v>
      </c>
      <c r="D2277" s="826" t="s">
        <v>1350</v>
      </c>
      <c r="E2277" s="826" t="s">
        <v>1516</v>
      </c>
      <c r="F2277" s="1559" t="s">
        <v>1604</v>
      </c>
      <c r="G2277" s="1559" t="str">
        <f t="shared" ref="G2277" si="414">IF(T2277&lt;&gt;"","AP","")</f>
        <v/>
      </c>
      <c r="H2277" s="1559" t="s">
        <v>1990</v>
      </c>
      <c r="I2277" s="1274"/>
      <c r="J2277" s="1559"/>
      <c r="K2277" s="1559"/>
      <c r="L2277" s="826"/>
      <c r="M2277" s="1560"/>
      <c r="N2277" s="1559"/>
      <c r="R2277" s="1559" t="s">
        <v>2050</v>
      </c>
      <c r="T2277" s="1559" t="str">
        <f t="shared" si="412"/>
        <v/>
      </c>
    </row>
    <row r="2278" spans="1:20" s="1558" customFormat="1" x14ac:dyDescent="0.25">
      <c r="A2278" s="847" t="s">
        <v>1495</v>
      </c>
      <c r="B2278" s="826" t="str">
        <f ca="1">IFERROR(_xlfn.CONCAT("C",MATCH(A2278,INDIRECT("'"&amp;E2278&amp;"'!C"&amp;$O$2079&amp;":C"&amp;$O$2081),0)+$O$2079-1),"")</f>
        <v>C625</v>
      </c>
      <c r="C2278" s="826" t="str">
        <f ca="1">IFERROR(_xlfn.CONCAT("D",MATCH(A2278,INDIRECT("'"&amp;E2278&amp;"'!C"&amp;$O$2079&amp;":C"&amp;$O$2081),0)+$O$2079-1),"")</f>
        <v>D625</v>
      </c>
      <c r="D2278" s="826" t="s">
        <v>1350</v>
      </c>
      <c r="E2278" s="826" t="s">
        <v>1516</v>
      </c>
      <c r="F2278" s="1559" t="s">
        <v>1495</v>
      </c>
      <c r="G2278" s="1559" t="str">
        <f>IF(T2278&lt;&gt;"","AN","")</f>
        <v/>
      </c>
      <c r="H2278" s="1559" t="s">
        <v>1990</v>
      </c>
      <c r="I2278" s="1274"/>
      <c r="J2278" s="1559"/>
      <c r="K2278" s="1559"/>
      <c r="L2278" s="826"/>
      <c r="M2278" s="1560"/>
      <c r="N2278" s="1559"/>
      <c r="O2278" s="1561"/>
      <c r="P2278" s="603"/>
      <c r="Q2278" s="603"/>
      <c r="R2278" s="1559" t="s">
        <v>2051</v>
      </c>
      <c r="T2278" s="1559" t="str">
        <f t="shared" ref="T2278:T2284" si="415">IF(Q$2079="Yes",44,"")</f>
        <v/>
      </c>
    </row>
    <row r="2279" spans="1:20" s="1558" customFormat="1" x14ac:dyDescent="0.25">
      <c r="A2279" s="847" t="s">
        <v>1492</v>
      </c>
      <c r="B2279" s="826" t="str">
        <f ca="1">_xlfn.CONCAT(IFERROR(SUBSTITUTE(ADDRESS(1,MATCH(A2279,INDIRECT("'"&amp;E2279&amp;"'"&amp;"!A" &amp; $O$2079+ 8 &amp; ":Z" &amp; $O$2079+ 8),0),4),1,""),""),$O$2079+8)</f>
        <v>H623</v>
      </c>
      <c r="C2279" s="826" t="str">
        <f ca="1">_xlfn.CONCAT(IFERROR(SUBSTITUTE(ADDRESS(1,MATCH(A2279,INDIRECT("'"&amp;E2279&amp;"'"&amp;"!A" &amp; $O$2079+ 8 &amp; ":Z" &amp; $O$2079+ 8),0),4),1,""),""),$O$2079+9)</f>
        <v>H624</v>
      </c>
      <c r="D2279" s="826" t="s">
        <v>1350</v>
      </c>
      <c r="E2279" s="826" t="s">
        <v>1516</v>
      </c>
      <c r="F2279" s="1559" t="s">
        <v>1492</v>
      </c>
      <c r="G2279" s="1559" t="str">
        <f>IF(T2279&lt;&gt;"","AL","")</f>
        <v/>
      </c>
      <c r="H2279" s="1559" t="s">
        <v>1990</v>
      </c>
      <c r="I2279" s="1274"/>
      <c r="J2279" s="1559"/>
      <c r="K2279" s="1559"/>
      <c r="L2279" s="826"/>
      <c r="M2279" s="1560"/>
      <c r="N2279" s="1559"/>
      <c r="O2279" s="603"/>
      <c r="P2279" s="603"/>
      <c r="Q2279" s="603"/>
      <c r="R2279" s="1559" t="s">
        <v>2051</v>
      </c>
      <c r="T2279" s="1559" t="str">
        <f t="shared" si="415"/>
        <v/>
      </c>
    </row>
    <row r="2280" spans="1:20" s="1558" customFormat="1" x14ac:dyDescent="0.25">
      <c r="A2280" s="847" t="s">
        <v>1380</v>
      </c>
      <c r="B2280" s="826" t="str">
        <f ca="1">_xlfn.CONCAT(IFERROR(SUBSTITUTE(ADDRESS(1,MATCH(A2280,INDIRECT("'"&amp;E2280&amp;"'"&amp;"!A" &amp; $O$2079+ 2 &amp; ":Z" &amp; $O$2079+ 2),0),4),1,""),""),$O$2079+2)</f>
        <v>H617</v>
      </c>
      <c r="C2280" s="826" t="str">
        <f ca="1">_xlfn.CONCAT(IFERROR(SUBSTITUTE(ADDRESS(1,MATCH(A2280,INDIRECT("'"&amp;E2280&amp;"'"&amp;"!A" &amp; $O$2079+ 2 &amp; ":Z" &amp; $O$2079+ 2),0),4),1,""),""),$O$2079+3)</f>
        <v>H618</v>
      </c>
      <c r="D2280" s="826" t="s">
        <v>1350</v>
      </c>
      <c r="E2280" s="826" t="s">
        <v>1516</v>
      </c>
      <c r="F2280" s="1559" t="s">
        <v>1991</v>
      </c>
      <c r="G2280" s="1559" t="str">
        <f>IF(T2280&lt;&gt;"","E","")</f>
        <v/>
      </c>
      <c r="H2280" s="1559" t="s">
        <v>1990</v>
      </c>
      <c r="I2280" s="1274"/>
      <c r="J2280" s="1559"/>
      <c r="K2280" s="1559"/>
      <c r="L2280" s="826"/>
      <c r="M2280" s="1560"/>
      <c r="N2280" s="1559"/>
      <c r="O2280" s="603"/>
      <c r="P2280" s="603"/>
      <c r="Q2280" s="603"/>
      <c r="R2280" s="1559" t="s">
        <v>2051</v>
      </c>
      <c r="T2280" s="1559" t="str">
        <f t="shared" si="415"/>
        <v/>
      </c>
    </row>
    <row r="2281" spans="1:20" s="1558" customFormat="1" x14ac:dyDescent="0.25">
      <c r="A2281" s="847" t="s">
        <v>1487</v>
      </c>
      <c r="B2281" s="826" t="str">
        <f ca="1">_xlfn.CONCAT(IFERROR(SUBSTITUTE(ADDRESS(1,MATCH(A2281,INDIRECT("'"&amp;E2281&amp;"'"&amp;"!A" &amp; $O$2079+ 2 &amp; ":Z" &amp; $O$2079+ 2),0),4),1,""),""),$O$2079+2)</f>
        <v>R617</v>
      </c>
      <c r="C2281" s="826" t="str">
        <f ca="1">_xlfn.CONCAT(IFERROR(SUBSTITUTE(ADDRESS(1,MATCH(A2281,INDIRECT("'"&amp;E2281&amp;"'"&amp;"!A" &amp; $O$2079+ 2 &amp; ":Z" &amp; $O$2079+ 2),0),4),1,""),""),$O$2079+3)</f>
        <v>R618</v>
      </c>
      <c r="D2281" s="826" t="s">
        <v>1350</v>
      </c>
      <c r="E2281" s="826" t="s">
        <v>1516</v>
      </c>
      <c r="F2281" s="1559" t="s">
        <v>1995</v>
      </c>
      <c r="G2281" s="1559" t="str">
        <f>IF(T2281&lt;&gt;"","G","")</f>
        <v/>
      </c>
      <c r="H2281" s="1559" t="s">
        <v>1990</v>
      </c>
      <c r="I2281" s="1274"/>
      <c r="J2281" s="1559"/>
      <c r="K2281" s="1559"/>
      <c r="L2281" s="826"/>
      <c r="M2281" s="1560"/>
      <c r="N2281" s="1559"/>
      <c r="O2281" s="603"/>
      <c r="P2281" s="603"/>
      <c r="Q2281" s="603"/>
      <c r="R2281" s="1559" t="s">
        <v>2051</v>
      </c>
      <c r="T2281" s="1559" t="str">
        <f t="shared" si="415"/>
        <v/>
      </c>
    </row>
    <row r="2282" spans="1:20" s="1558" customFormat="1" x14ac:dyDescent="0.25">
      <c r="A2282" s="847" t="s">
        <v>1488</v>
      </c>
      <c r="B2282" s="826" t="str">
        <f ca="1">_xlfn.CONCAT(IFERROR(SUBSTITUTE(ADDRESS(1,MATCH(A2282,INDIRECT("'"&amp;E2282&amp;"'"&amp;"!A" &amp; $O$2079+ 2 &amp; ":Z" &amp; $O$2079+ 2),0),4),1,""),""),$O$2079+2)</f>
        <v>T617</v>
      </c>
      <c r="C2282" s="826" t="str">
        <f ca="1">_xlfn.CONCAT(IFERROR(SUBSTITUTE(ADDRESS(1,MATCH(A2282,INDIRECT("'"&amp;E2282&amp;"'"&amp;"!A" &amp; $O$2079+ 2 &amp; ":Z" &amp; $O$2079+ 2),0),4),1,""),""),$O$2079+3)</f>
        <v>T618</v>
      </c>
      <c r="D2282" s="826" t="s">
        <v>1350</v>
      </c>
      <c r="E2282" s="826" t="s">
        <v>1516</v>
      </c>
      <c r="F2282" s="841" t="s">
        <v>1488</v>
      </c>
      <c r="G2282" s="1559" t="str">
        <f>IF(T2282&lt;&gt;"","AW","")</f>
        <v/>
      </c>
      <c r="H2282" s="1559" t="s">
        <v>1990</v>
      </c>
      <c r="I2282" s="1274"/>
      <c r="J2282" s="1559"/>
      <c r="K2282" s="1559"/>
      <c r="L2282" s="826"/>
      <c r="M2282" s="1560"/>
      <c r="N2282" s="1559"/>
      <c r="O2282" s="603"/>
      <c r="P2282" s="603"/>
      <c r="Q2282" s="603"/>
      <c r="R2282" s="1559" t="s">
        <v>2051</v>
      </c>
      <c r="T2282" s="1559" t="str">
        <f t="shared" si="415"/>
        <v/>
      </c>
    </row>
    <row r="2283" spans="1:20" s="1558" customFormat="1" x14ac:dyDescent="0.25">
      <c r="A2283" s="847" t="s">
        <v>1603</v>
      </c>
      <c r="B2283" s="826" t="str">
        <f ca="1">_xlfn.CONCAT(IFERROR(SUBSTITUTE(ADDRESS(1,MATCH(A2283,INDIRECT("'"&amp;E2283&amp;"'"&amp;"!A" &amp; $O$2079+ 5 &amp; ":Z" &amp; $O$2079+ 5),0),4),1,""),""),$O$2079+5)</f>
        <v>R620</v>
      </c>
      <c r="C2283" s="826" t="str">
        <f ca="1">_xlfn.CONCAT(IFERROR(SUBSTITUTE(ADDRESS(1,MATCH(A2283,INDIRECT("'"&amp;E2283&amp;"'"&amp;"!A" &amp; $O$2079+ 5 &amp; ":Z" &amp; $O$2079+ 5),0),4),1,""),""),$O$2079+6)</f>
        <v>R621</v>
      </c>
      <c r="D2283" s="826" t="s">
        <v>1350</v>
      </c>
      <c r="E2283" s="826" t="s">
        <v>1516</v>
      </c>
      <c r="F2283" s="1559" t="s">
        <v>1999</v>
      </c>
      <c r="G2283" s="1559" t="str">
        <f t="shared" ref="G2283" si="416">IF(T2283&lt;&gt;"","AB","")</f>
        <v/>
      </c>
      <c r="H2283" s="1559" t="s">
        <v>1990</v>
      </c>
      <c r="I2283" s="1274"/>
      <c r="J2283" s="1559"/>
      <c r="K2283" s="1559"/>
      <c r="L2283" s="826"/>
      <c r="M2283" s="1560"/>
      <c r="N2283" s="1559"/>
      <c r="O2283" s="603"/>
      <c r="P2283" s="603"/>
      <c r="Q2283" s="603"/>
      <c r="R2283" s="1559" t="s">
        <v>2051</v>
      </c>
      <c r="T2283" s="1559" t="str">
        <f t="shared" si="415"/>
        <v/>
      </c>
    </row>
    <row r="2284" spans="1:20" s="1558" customFormat="1" x14ac:dyDescent="0.25">
      <c r="A2284" s="847" t="s">
        <v>1604</v>
      </c>
      <c r="B2284" s="826" t="str">
        <f ca="1">_xlfn.CONCAT(IFERROR(SUBSTITUTE(ADDRESS(1,MATCH(A2284,INDIRECT("'"&amp;E2284&amp;"'"&amp;"!A" &amp; $O$2079+ 5 &amp; ":Z" &amp; $O$2079+ 5),0),4),1,""),""),$O$2079+5)</f>
        <v>T620</v>
      </c>
      <c r="C2284" s="826" t="str">
        <f ca="1">_xlfn.CONCAT(IFERROR(SUBSTITUTE(ADDRESS(1,MATCH(A2284,INDIRECT("'"&amp;E2284&amp;"'"&amp;"!A" &amp; $O$2079+ 5 &amp; ":Z" &amp; $O$2079+ 5),0),4),1,""),""),$O$2079+6)</f>
        <v>T621</v>
      </c>
      <c r="D2284" s="826" t="s">
        <v>1350</v>
      </c>
      <c r="E2284" s="826" t="s">
        <v>1516</v>
      </c>
      <c r="F2284" s="1559" t="s">
        <v>1604</v>
      </c>
      <c r="G2284" s="1559" t="str">
        <f t="shared" ref="G2284" si="417">IF(T2284&lt;&gt;"","AP","")</f>
        <v/>
      </c>
      <c r="H2284" s="1559" t="s">
        <v>1990</v>
      </c>
      <c r="I2284" s="1274"/>
      <c r="J2284" s="1559"/>
      <c r="K2284" s="1559"/>
      <c r="L2284" s="826"/>
      <c r="M2284" s="1560"/>
      <c r="N2284" s="1559"/>
      <c r="O2284" s="603"/>
      <c r="P2284" s="603"/>
      <c r="Q2284" s="603"/>
      <c r="R2284" s="1559" t="s">
        <v>2051</v>
      </c>
      <c r="T2284" s="1559" t="str">
        <f t="shared" si="415"/>
        <v/>
      </c>
    </row>
    <row r="2285" spans="1:20" s="1562" customFormat="1" x14ac:dyDescent="0.25">
      <c r="A2285" s="847" t="s">
        <v>2135</v>
      </c>
      <c r="B2285" s="826" t="str">
        <f ca="1">_xlfn.CONCAT(IFERROR(SUBSTITUTE(ADDRESS(1,MATCH(A2285,INDIRECT("'"&amp;E2285&amp;"'"&amp;"!A" &amp; $O$1991+ 8 &amp; ":Z" &amp; $O$1991 + 8),0),4),1,""),""),$O$1991 + 8)</f>
        <v>L511</v>
      </c>
      <c r="C2285" s="826" t="str">
        <f ca="1">_xlfn.CONCAT(IFERROR(SUBSTITUTE(ADDRESS(1,MATCH(A2285,INDIRECT("'"&amp;E2285&amp;"'"&amp;"!A" &amp; $O$1991+ 8 &amp; ":Z" &amp; $O$1991 + 8),0),4),1,""),""),$O$1991 + 9)</f>
        <v>L512</v>
      </c>
      <c r="D2285" s="826" t="s">
        <v>1350</v>
      </c>
      <c r="E2285" s="826" t="s">
        <v>1516</v>
      </c>
      <c r="F2285" s="1563" t="s">
        <v>2135</v>
      </c>
      <c r="G2285" s="1563" t="str">
        <f>IF(T2285&lt;&gt;"","AZ","")</f>
        <v/>
      </c>
      <c r="H2285" s="1563" t="s">
        <v>1990</v>
      </c>
      <c r="I2285" s="1274"/>
      <c r="J2285" s="1563"/>
      <c r="K2285" s="1563"/>
      <c r="L2285" s="826" t="s">
        <v>2135</v>
      </c>
      <c r="M2285" s="1564">
        <v>1333</v>
      </c>
      <c r="N2285" s="1563"/>
      <c r="O2285" s="603"/>
      <c r="P2285" s="603"/>
      <c r="Q2285" s="603"/>
      <c r="R2285" s="1563" t="s">
        <v>2043</v>
      </c>
      <c r="T2285" s="1563" t="str">
        <f t="shared" ref="T2285" si="418">IF(Q$1991="Yes",36,"")</f>
        <v/>
      </c>
    </row>
    <row r="2286" spans="1:20" s="1562" customFormat="1" x14ac:dyDescent="0.25">
      <c r="A2286" s="850" t="s">
        <v>2135</v>
      </c>
      <c r="B2286" s="826" t="str">
        <f ca="1">_xlfn.CONCAT(IFERROR(SUBSTITUTE(ADDRESS(1,MATCH(A2286,INDIRECT("'"&amp;E2286&amp;"'"&amp;"!A" &amp; $O$2002+ 8 &amp; ":Z" &amp; $O$2002 + 8),0),4),1,""),""),$O$2002+ 8)</f>
        <v>L525</v>
      </c>
      <c r="C2286" s="826" t="str">
        <f ca="1">_xlfn.CONCAT(IFERROR(SUBSTITUTE(ADDRESS(1,MATCH(A2286,INDIRECT("'"&amp;E2286&amp;"'"&amp;"!A" &amp; $O$2002+ 8 &amp; ":Z" &amp; $O$2002 + 8),0),4),1,""),""),$O$2002+ 9)</f>
        <v>L526</v>
      </c>
      <c r="D2286" s="826" t="s">
        <v>1350</v>
      </c>
      <c r="E2286" s="826" t="s">
        <v>1516</v>
      </c>
      <c r="F2286" s="1563" t="s">
        <v>2135</v>
      </c>
      <c r="G2286" s="1563" t="str">
        <f t="shared" ref="G2286:G2293" si="419">IF(T2286&lt;&gt;"","AZ","")</f>
        <v/>
      </c>
      <c r="H2286" s="1563" t="s">
        <v>1990</v>
      </c>
      <c r="I2286" s="1274"/>
      <c r="J2286" s="1563"/>
      <c r="K2286" s="1563"/>
      <c r="L2286" s="826" t="s">
        <v>2135</v>
      </c>
      <c r="M2286" s="1564">
        <v>1334</v>
      </c>
      <c r="N2286" s="1563"/>
      <c r="O2286" s="603"/>
      <c r="P2286" s="603"/>
      <c r="Q2286" s="603"/>
      <c r="R2286" s="1563" t="s">
        <v>2044</v>
      </c>
      <c r="T2286" s="1563" t="str">
        <f t="shared" ref="T2286" si="420">IF(Q$2002="Yes",37,"")</f>
        <v/>
      </c>
    </row>
    <row r="2287" spans="1:20" s="1562" customFormat="1" x14ac:dyDescent="0.25">
      <c r="A2287" s="847" t="s">
        <v>2135</v>
      </c>
      <c r="B2287" s="826" t="str">
        <f ca="1">_xlfn.CONCAT(IFERROR(SUBSTITUTE(ADDRESS(1,MATCH(A2287,INDIRECT("'"&amp;E2287&amp;"'"&amp;"!A" &amp; $O$2013+ 8 &amp; ":Z" &amp; $O$2013 + 8),0),4),1,""),""),$O$2013+ 8)</f>
        <v>L539</v>
      </c>
      <c r="C2287" s="826" t="str">
        <f ca="1">_xlfn.CONCAT(IFERROR(SUBSTITUTE(ADDRESS(1,MATCH(A2287,INDIRECT("'"&amp;E2287&amp;"'"&amp;"!A" &amp; $O$2013+ 8 &amp; ":Z" &amp; $O$2013 + 8),0),4),1,""),""),$O$2013+ 9)</f>
        <v>L540</v>
      </c>
      <c r="D2287" s="826" t="s">
        <v>1350</v>
      </c>
      <c r="E2287" s="826" t="s">
        <v>1516</v>
      </c>
      <c r="F2287" s="1563" t="s">
        <v>2135</v>
      </c>
      <c r="G2287" s="1563" t="str">
        <f t="shared" si="419"/>
        <v/>
      </c>
      <c r="H2287" s="1563" t="s">
        <v>1990</v>
      </c>
      <c r="I2287" s="1274"/>
      <c r="J2287" s="1563"/>
      <c r="K2287" s="1563"/>
      <c r="L2287" s="826" t="s">
        <v>2135</v>
      </c>
      <c r="M2287" s="1564">
        <v>1335</v>
      </c>
      <c r="N2287" s="1563"/>
      <c r="O2287" s="603"/>
      <c r="P2287" s="603"/>
      <c r="Q2287" s="603"/>
      <c r="R2287" s="1563" t="s">
        <v>2045</v>
      </c>
      <c r="T2287" s="1563" t="str">
        <f t="shared" ref="T2287" si="421">IF(Q$2013="Yes",38,"")</f>
        <v/>
      </c>
    </row>
    <row r="2288" spans="1:20" s="1562" customFormat="1" x14ac:dyDescent="0.25">
      <c r="A2288" s="850" t="s">
        <v>2135</v>
      </c>
      <c r="B2288" s="826" t="str">
        <f ca="1">_xlfn.CONCAT(IFERROR(SUBSTITUTE(ADDRESS(1,MATCH(A2288,INDIRECT("'"&amp;E2288&amp;"'"&amp;"!A" &amp; $O$2024+8 &amp; ":Z" &amp; $O$2024 + 8),0),4),1,""),""),$O$2024+ 8)</f>
        <v>L553</v>
      </c>
      <c r="C2288" s="826" t="str">
        <f ca="1">_xlfn.CONCAT(IFERROR(SUBSTITUTE(ADDRESS(1,MATCH(A2288,INDIRECT("'"&amp;E2288&amp;"'"&amp;"!A" &amp; $O$2024+8 &amp; ":Z" &amp; $O$2024 + 8),0),4),1,""),""),$O$2024+ 9)</f>
        <v>L554</v>
      </c>
      <c r="D2288" s="826" t="s">
        <v>1350</v>
      </c>
      <c r="E2288" s="826" t="s">
        <v>1516</v>
      </c>
      <c r="F2288" s="1563" t="s">
        <v>2135</v>
      </c>
      <c r="G2288" s="1563" t="str">
        <f t="shared" si="419"/>
        <v/>
      </c>
      <c r="H2288" s="1563" t="s">
        <v>1990</v>
      </c>
      <c r="I2288" s="1274"/>
      <c r="J2288" s="1563"/>
      <c r="K2288" s="1563"/>
      <c r="L2288" s="826" t="s">
        <v>2135</v>
      </c>
      <c r="M2288" s="1564">
        <v>1336</v>
      </c>
      <c r="N2288" s="1563"/>
      <c r="O2288" s="603"/>
      <c r="P2288" s="603"/>
      <c r="Q2288" s="603"/>
      <c r="R2288" s="1563" t="s">
        <v>2046</v>
      </c>
      <c r="T2288" s="1563" t="str">
        <f t="shared" ref="T2288" si="422">IF(Q$2024="Yes",39,"")</f>
        <v/>
      </c>
    </row>
    <row r="2289" spans="1:20" s="1562" customFormat="1" x14ac:dyDescent="0.25">
      <c r="A2289" s="847" t="s">
        <v>2135</v>
      </c>
      <c r="B2289" s="826" t="str">
        <f ca="1">_xlfn.CONCAT(IFERROR(SUBSTITUTE(ADDRESS(1,MATCH(A2289,INDIRECT("'"&amp;E2289&amp;"'"&amp;"!A" &amp; $O$2035+ 8 &amp; ":Z" &amp; $O$2035 + 8),0),4),1,""),""),$O$2035+ 8)</f>
        <v>L567</v>
      </c>
      <c r="C2289" s="826" t="str">
        <f ca="1">_xlfn.CONCAT(IFERROR(SUBSTITUTE(ADDRESS(1,MATCH(A2289,INDIRECT("'"&amp;E2289&amp;"'"&amp;"!A" &amp; $O$2035+ 8 &amp; ":Z" &amp; $O$2035 + 8),0),4),1,""),""),$O$2035+ 9)</f>
        <v>L568</v>
      </c>
      <c r="D2289" s="826" t="s">
        <v>1350</v>
      </c>
      <c r="E2289" s="826" t="s">
        <v>1516</v>
      </c>
      <c r="F2289" s="1563" t="s">
        <v>2135</v>
      </c>
      <c r="G2289" s="1563" t="str">
        <f t="shared" si="419"/>
        <v/>
      </c>
      <c r="H2289" s="1563" t="s">
        <v>1990</v>
      </c>
      <c r="I2289" s="1274"/>
      <c r="J2289" s="1563"/>
      <c r="K2289" s="1563"/>
      <c r="L2289" s="826" t="s">
        <v>2135</v>
      </c>
      <c r="M2289" s="1564">
        <v>1337</v>
      </c>
      <c r="N2289" s="1563"/>
      <c r="O2289" s="603"/>
      <c r="P2289" s="603"/>
      <c r="Q2289" s="603"/>
      <c r="R2289" s="1563" t="s">
        <v>2047</v>
      </c>
      <c r="T2289" s="1563" t="str">
        <f t="shared" ref="T2289" si="423">IF(Q$2035="Yes",40,"")</f>
        <v/>
      </c>
    </row>
    <row r="2290" spans="1:20" s="1562" customFormat="1" x14ac:dyDescent="0.25">
      <c r="A2290" s="850" t="s">
        <v>2135</v>
      </c>
      <c r="B2290" s="826" t="str">
        <f ca="1">_xlfn.CONCAT(IFERROR(SUBSTITUTE(ADDRESS(1,MATCH(A2290,INDIRECT("'"&amp;E2290&amp;"'"&amp;"!A" &amp; $O$2046+ 8 &amp; ":Z" &amp; $O$2046+8),0),4),1,""),""),$O$2046+8)</f>
        <v>L581</v>
      </c>
      <c r="C2290" s="826" t="str">
        <f ca="1">_xlfn.CONCAT(IFERROR(SUBSTITUTE(ADDRESS(1,MATCH(A2290,INDIRECT("'"&amp;E2290&amp;"'"&amp;"!A" &amp; $O$2046+ 8 &amp; ":Z" &amp; $O$2046+8),0),4),1,""),""),$O$2046+9)</f>
        <v>L582</v>
      </c>
      <c r="D2290" s="826" t="s">
        <v>1350</v>
      </c>
      <c r="E2290" s="826" t="s">
        <v>1516</v>
      </c>
      <c r="F2290" s="1563" t="s">
        <v>2135</v>
      </c>
      <c r="G2290" s="1563" t="str">
        <f t="shared" si="419"/>
        <v/>
      </c>
      <c r="H2290" s="1563" t="s">
        <v>1990</v>
      </c>
      <c r="I2290" s="1274"/>
      <c r="J2290" s="1563"/>
      <c r="K2290" s="1563"/>
      <c r="L2290" s="826" t="s">
        <v>2135</v>
      </c>
      <c r="M2290" s="1564">
        <v>1338</v>
      </c>
      <c r="N2290" s="1563"/>
      <c r="O2290" s="603"/>
      <c r="P2290" s="603"/>
      <c r="Q2290" s="603"/>
      <c r="R2290" s="1563" t="s">
        <v>2048</v>
      </c>
      <c r="T2290" s="1563" t="str">
        <f t="shared" ref="T2290" si="424">IF(Q$2046="Yes",41,"")</f>
        <v/>
      </c>
    </row>
    <row r="2291" spans="1:20" s="1562" customFormat="1" x14ac:dyDescent="0.25">
      <c r="A2291" s="847" t="s">
        <v>2135</v>
      </c>
      <c r="B2291" s="826" t="str">
        <f ca="1">_xlfn.CONCAT(IFERROR(SUBSTITUTE(ADDRESS(1,MATCH(A2291,INDIRECT("'"&amp;E2291&amp;"'"&amp;"!A" &amp; $O$2057+ 8 &amp; ":Z" &amp; $O$2057+ 8),0),4),1,""),""),$O$2057+8)</f>
        <v>L595</v>
      </c>
      <c r="C2291" s="826" t="str">
        <f ca="1">_xlfn.CONCAT(IFERROR(SUBSTITUTE(ADDRESS(1,MATCH(A2291,INDIRECT("'"&amp;E2291&amp;"'"&amp;"!A" &amp; $O$2057+ 8 &amp; ":Z" &amp; $O$2057+ 8),0),4),1,""),""),$O$2057+9)</f>
        <v>L596</v>
      </c>
      <c r="D2291" s="826" t="s">
        <v>1350</v>
      </c>
      <c r="E2291" s="826" t="s">
        <v>1516</v>
      </c>
      <c r="F2291" s="1563" t="s">
        <v>2135</v>
      </c>
      <c r="G2291" s="1563" t="str">
        <f t="shared" si="419"/>
        <v/>
      </c>
      <c r="H2291" s="1563" t="s">
        <v>1990</v>
      </c>
      <c r="I2291" s="1274"/>
      <c r="J2291" s="1563"/>
      <c r="K2291" s="1563"/>
      <c r="L2291" s="826" t="s">
        <v>2135</v>
      </c>
      <c r="M2291" s="1564">
        <v>1339</v>
      </c>
      <c r="N2291" s="1563"/>
      <c r="O2291" s="603"/>
      <c r="P2291" s="603"/>
      <c r="Q2291" s="603"/>
      <c r="R2291" s="1563" t="s">
        <v>2049</v>
      </c>
      <c r="T2291" s="1563" t="str">
        <f t="shared" ref="T2291" si="425">IF(Q$2057="Yes",42,"")</f>
        <v/>
      </c>
    </row>
    <row r="2292" spans="1:20" s="1562" customFormat="1" x14ac:dyDescent="0.25">
      <c r="A2292" s="850" t="s">
        <v>2135</v>
      </c>
      <c r="B2292" s="826" t="str">
        <f ca="1">_xlfn.CONCAT(IFERROR(SUBSTITUTE(ADDRESS(1,MATCH(A2292,INDIRECT("'"&amp;E2292&amp;"'"&amp;"!A" &amp; $O$2068+ 8 &amp; ":Z" &amp; $O$2068+ 8),0),4),1,""),""),$O$2068+8)</f>
        <v>L609</v>
      </c>
      <c r="C2292" s="826" t="str">
        <f ca="1">_xlfn.CONCAT(IFERROR(SUBSTITUTE(ADDRESS(1,MATCH(A2292,INDIRECT("'"&amp;E2292&amp;"'"&amp;"!A" &amp; $O$2068+ 8 &amp; ":Z" &amp; $O$2068+ 8),0),4),1,""),""),$O$2068+9)</f>
        <v>L610</v>
      </c>
      <c r="D2292" s="826" t="s">
        <v>1350</v>
      </c>
      <c r="E2292" s="826" t="s">
        <v>1516</v>
      </c>
      <c r="F2292" s="1563" t="s">
        <v>2135</v>
      </c>
      <c r="G2292" s="1563" t="str">
        <f t="shared" si="419"/>
        <v/>
      </c>
      <c r="H2292" s="1563" t="s">
        <v>1990</v>
      </c>
      <c r="I2292" s="1274"/>
      <c r="J2292" s="1563"/>
      <c r="K2292" s="1563"/>
      <c r="L2292" s="826" t="s">
        <v>2135</v>
      </c>
      <c r="M2292" s="1564">
        <v>1340</v>
      </c>
      <c r="N2292" s="1563"/>
      <c r="O2292" s="603"/>
      <c r="P2292" s="603"/>
      <c r="Q2292" s="603"/>
      <c r="R2292" s="1563" t="s">
        <v>2050</v>
      </c>
      <c r="T2292" s="1563" t="str">
        <f t="shared" ref="T2292" si="426">IF(Q$2068="Yes",43,"")</f>
        <v/>
      </c>
    </row>
    <row r="2293" spans="1:20" s="1562" customFormat="1" x14ac:dyDescent="0.25">
      <c r="A2293" s="847" t="s">
        <v>2135</v>
      </c>
      <c r="B2293" s="826" t="str">
        <f ca="1">_xlfn.CONCAT(IFERROR(SUBSTITUTE(ADDRESS(1,MATCH(A2293,INDIRECT("'"&amp;E2293&amp;"'"&amp;"!A" &amp; $O$2079+ 8 &amp; ":Z" &amp; $O$2079+ 8),0),4),1,""),""),$O$2079+8)</f>
        <v>L623</v>
      </c>
      <c r="C2293" s="826" t="str">
        <f ca="1">_xlfn.CONCAT(IFERROR(SUBSTITUTE(ADDRESS(1,MATCH(A2293,INDIRECT("'"&amp;E2293&amp;"'"&amp;"!A" &amp; $O$2079+ 8 &amp; ":Z" &amp; $O$2079+ 8),0),4),1,""),""),$O$2079+9)</f>
        <v>L624</v>
      </c>
      <c r="D2293" s="826" t="s">
        <v>1350</v>
      </c>
      <c r="E2293" s="826" t="s">
        <v>1516</v>
      </c>
      <c r="F2293" s="1563" t="s">
        <v>2135</v>
      </c>
      <c r="G2293" s="1563" t="str">
        <f t="shared" si="419"/>
        <v/>
      </c>
      <c r="H2293" s="1563" t="s">
        <v>1990</v>
      </c>
      <c r="I2293" s="1274"/>
      <c r="J2293" s="1563"/>
      <c r="K2293" s="1563"/>
      <c r="L2293" s="826" t="s">
        <v>2135</v>
      </c>
      <c r="M2293" s="1564">
        <v>1341</v>
      </c>
      <c r="N2293" s="1563"/>
      <c r="O2293" s="603"/>
      <c r="P2293" s="603"/>
      <c r="Q2293" s="603"/>
      <c r="R2293" s="1563" t="s">
        <v>2051</v>
      </c>
      <c r="T2293" s="1563" t="str">
        <f t="shared" ref="T2293" si="427">IF(Q$2079="Yes",44,"")</f>
        <v/>
      </c>
    </row>
    <row r="2294" spans="1:20" s="1582" customFormat="1" x14ac:dyDescent="0.25">
      <c r="A2294" s="846" t="s">
        <v>1491</v>
      </c>
      <c r="B2294" s="826" t="str">
        <f ca="1">IFERROR(_xlfn.CONCAT("C",MATCH(A2294,INDIRECT("'"&amp;E2294&amp;"'!C"&amp;$O$2294&amp;":C"&amp;$O$2296),0)+$O$2294-1),"")</f>
        <v>C773</v>
      </c>
      <c r="C2294" s="826" t="str">
        <f ca="1">IFERROR(_xlfn.CONCAT("D",MATCH(A2294,INDIRECT("'"&amp;E2294&amp;"'!C"&amp;$O$2294&amp;":C"&amp;$O$2296),0)+$O$2294-1),"")</f>
        <v>D773</v>
      </c>
      <c r="D2294" s="826" t="s">
        <v>1350</v>
      </c>
      <c r="E2294" s="826" t="s">
        <v>1516</v>
      </c>
      <c r="F2294" s="1583" t="s">
        <v>1491</v>
      </c>
      <c r="G2294" s="1583" t="str">
        <f>IF(T2294&lt;&gt;"","A","")</f>
        <v/>
      </c>
      <c r="H2294" s="1583" t="s">
        <v>1990</v>
      </c>
      <c r="I2294" s="1274" t="str">
        <f t="shared" ref="I2294:I2315" si="428">IF(J2294&lt;&gt;"",A2294,"")</f>
        <v/>
      </c>
      <c r="J2294" s="1583"/>
      <c r="K2294" s="1583" t="str">
        <f t="shared" ref="K2294:K2315" si="429">IF(J2294&lt;&gt;"",E2294,"")</f>
        <v/>
      </c>
      <c r="L2294" s="826" t="s">
        <v>1491</v>
      </c>
      <c r="M2294" s="1584">
        <v>1342</v>
      </c>
      <c r="N2294" s="1583"/>
      <c r="O2294" s="1582">
        <f>'Configurable Tab'!H57</f>
        <v>769</v>
      </c>
      <c r="R2294" s="1583" t="s">
        <v>2223</v>
      </c>
      <c r="T2294" s="1583" t="str">
        <f>IF(Q$2295="Yes",55,"")</f>
        <v/>
      </c>
    </row>
    <row r="2295" spans="1:20" s="1582" customFormat="1" x14ac:dyDescent="0.25">
      <c r="A2295" s="846" t="s">
        <v>1705</v>
      </c>
      <c r="B2295" s="826" t="str">
        <f ca="1">_xlfn.CONCAT(IFERROR(SUBSTITUTE(ADDRESS(1,MATCH(A2295,INDIRECT("'"&amp;E2295&amp;"'"&amp;"!A" &amp; $O$2294+11 &amp; ":Z" &amp; $O$2294+11 ),0),4),1,""),""),$O$2294+11)</f>
        <v>T780</v>
      </c>
      <c r="C2295" s="826" t="str">
        <f ca="1">_xlfn.CONCAT(IFERROR(SUBSTITUTE(ADDRESS(1,MATCH(A2295,INDIRECT("'"&amp;E2295&amp;"'"&amp;"!A" &amp; $O$2294+11 &amp; ":Z" &amp; $O$2294+11 ),0),4),1,""),""),$O$2294+12)</f>
        <v>T781</v>
      </c>
      <c r="D2295" s="826" t="s">
        <v>1350</v>
      </c>
      <c r="E2295" s="826" t="s">
        <v>1516</v>
      </c>
      <c r="F2295" s="1583"/>
      <c r="G2295" s="1583"/>
      <c r="H2295" s="1583"/>
      <c r="I2295" s="1274" t="str">
        <f t="shared" si="428"/>
        <v/>
      </c>
      <c r="J2295" s="1583" t="str">
        <f>IF(M2295&lt;&gt;"",IF($Q$2295="Yes",Q$1&amp;M2295,""))</f>
        <v/>
      </c>
      <c r="K2295" s="1583" t="str">
        <f t="shared" si="429"/>
        <v/>
      </c>
      <c r="L2295" s="826" t="s">
        <v>1705</v>
      </c>
      <c r="M2295" s="1584">
        <v>1343</v>
      </c>
      <c r="N2295" s="1583"/>
      <c r="O2295" s="1582" t="s">
        <v>726</v>
      </c>
      <c r="P2295" s="18" t="str">
        <f>'Configurable Tab'!J57</f>
        <v>Yes</v>
      </c>
      <c r="Q2295" s="1582" t="s">
        <v>648</v>
      </c>
      <c r="R2295" s="1730" t="s">
        <v>2223</v>
      </c>
      <c r="T2295" s="1730" t="str">
        <f t="shared" ref="T2295:T2306" si="430">IF(Q$2295="Yes",55,"")</f>
        <v/>
      </c>
    </row>
    <row r="2296" spans="1:20" s="1582" customFormat="1" x14ac:dyDescent="0.25">
      <c r="A2296" s="846" t="s">
        <v>1383</v>
      </c>
      <c r="B2296" s="826" t="str">
        <f ca="1">IFERROR(_xlfn.CONCAT("C",MATCH(A2296,INDIRECT("'"&amp;E2296&amp;"'!C"&amp;$O$2294&amp;":C"&amp;$O$2296),0)+$O$2294-1),"")</f>
        <v>C771</v>
      </c>
      <c r="C2296" s="826" t="str">
        <f ca="1">IFERROR(_xlfn.CONCAT("D",MATCH(A2296,INDIRECT("'"&amp;E2296&amp;"'!C"&amp;$O$2294&amp;":C"&amp;$O$2296),0)+$O$2294-1),"")</f>
        <v>D771</v>
      </c>
      <c r="D2296" s="826" t="s">
        <v>1350</v>
      </c>
      <c r="E2296" s="826" t="s">
        <v>1516</v>
      </c>
      <c r="F2296" s="1583" t="s">
        <v>1383</v>
      </c>
      <c r="G2296" s="1583" t="str">
        <f>IF(T2296&lt;&gt;"","B","")</f>
        <v/>
      </c>
      <c r="H2296" s="1583" t="s">
        <v>1990</v>
      </c>
      <c r="I2296" s="1274" t="str">
        <f t="shared" si="428"/>
        <v/>
      </c>
      <c r="J2296" s="1733"/>
      <c r="K2296" s="1583" t="str">
        <f t="shared" si="429"/>
        <v/>
      </c>
      <c r="L2296" s="826" t="s">
        <v>1383</v>
      </c>
      <c r="M2296" s="1584">
        <v>1344</v>
      </c>
      <c r="N2296" s="1583"/>
      <c r="O2296" s="1582">
        <f>'Configurable Tab'!I57</f>
        <v>782</v>
      </c>
      <c r="R2296" s="1730" t="s">
        <v>2223</v>
      </c>
      <c r="T2296" s="1730" t="str">
        <f t="shared" si="430"/>
        <v/>
      </c>
    </row>
    <row r="2297" spans="1:20" s="1582" customFormat="1" x14ac:dyDescent="0.25">
      <c r="A2297" s="846" t="s">
        <v>1380</v>
      </c>
      <c r="B2297" s="826" t="str">
        <f t="shared" ref="B2297:B2302" ca="1" si="431">_xlfn.CONCAT(IFERROR(SUBSTITUTE(ADDRESS(1,MATCH(A2297,INDIRECT("'"&amp;E2297&amp;"'"&amp;"!A" &amp; $O$2294+2 &amp; ":Z"&amp;$O$2294+2 ),0),4),1,""),""),$O$2294+2)</f>
        <v>H771</v>
      </c>
      <c r="C2297" s="826" t="str">
        <f t="shared" ref="C2297:C2302" ca="1" si="432">_xlfn.CONCAT(IFERROR(SUBSTITUTE(ADDRESS(1,MATCH(A2297,INDIRECT("'"&amp;E2297&amp;"'"&amp;"!A" &amp; $O$2294+2 &amp; ":Z"&amp;$O$2294+2 ),0),4),1,""),""),$O$2294+3)</f>
        <v>H772</v>
      </c>
      <c r="D2297" s="826" t="s">
        <v>1350</v>
      </c>
      <c r="E2297" s="826" t="s">
        <v>1516</v>
      </c>
      <c r="F2297" s="1583" t="s">
        <v>1991</v>
      </c>
      <c r="G2297" s="1583" t="str">
        <f>IF(T2297&lt;&gt;"","E","")</f>
        <v/>
      </c>
      <c r="H2297" s="1583" t="s">
        <v>1990</v>
      </c>
      <c r="I2297" s="1274" t="str">
        <f t="shared" si="428"/>
        <v/>
      </c>
      <c r="J2297" s="1733" t="str">
        <f t="shared" ref="J2297:J2306" si="433">IF(M2297&lt;&gt;"",IF($Q$2295="Yes",Q$1&amp;M2297,""))</f>
        <v/>
      </c>
      <c r="K2297" s="1583" t="str">
        <f t="shared" si="429"/>
        <v/>
      </c>
      <c r="L2297" s="826" t="s">
        <v>1380</v>
      </c>
      <c r="M2297" s="1584">
        <v>1345</v>
      </c>
      <c r="N2297" s="1583"/>
      <c r="O2297" s="1582" t="s">
        <v>2143</v>
      </c>
      <c r="R2297" s="1730" t="s">
        <v>2223</v>
      </c>
      <c r="T2297" s="1730" t="str">
        <f t="shared" si="430"/>
        <v/>
      </c>
    </row>
    <row r="2298" spans="1:20" s="1582" customFormat="1" x14ac:dyDescent="0.25">
      <c r="A2298" s="846" t="s">
        <v>1381</v>
      </c>
      <c r="B2298" s="826" t="str">
        <f t="shared" ca="1" si="431"/>
        <v>J771</v>
      </c>
      <c r="C2298" s="826" t="str">
        <f t="shared" ca="1" si="432"/>
        <v>J772</v>
      </c>
      <c r="D2298" s="826" t="s">
        <v>1350</v>
      </c>
      <c r="E2298" s="826" t="s">
        <v>1516</v>
      </c>
      <c r="F2298" s="1583" t="s">
        <v>1992</v>
      </c>
      <c r="G2298" s="1583" t="str">
        <f>IF(T2298&lt;&gt;"","I","")</f>
        <v/>
      </c>
      <c r="H2298" s="1583" t="s">
        <v>1990</v>
      </c>
      <c r="I2298" s="1274" t="str">
        <f t="shared" si="428"/>
        <v/>
      </c>
      <c r="J2298" s="1733" t="str">
        <f t="shared" si="433"/>
        <v/>
      </c>
      <c r="K2298" s="1583" t="str">
        <f t="shared" si="429"/>
        <v/>
      </c>
      <c r="L2298" s="826" t="s">
        <v>1381</v>
      </c>
      <c r="M2298" s="1584">
        <v>1346</v>
      </c>
      <c r="N2298" s="1583"/>
      <c r="R2298" s="1730" t="s">
        <v>2223</v>
      </c>
      <c r="T2298" s="1730" t="str">
        <f t="shared" si="430"/>
        <v/>
      </c>
    </row>
    <row r="2299" spans="1:20" s="1582" customFormat="1" x14ac:dyDescent="0.25">
      <c r="A2299" s="846" t="s">
        <v>1397</v>
      </c>
      <c r="B2299" s="826" t="str">
        <f t="shared" ca="1" si="431"/>
        <v>L771</v>
      </c>
      <c r="C2299" s="826" t="str">
        <f t="shared" ca="1" si="432"/>
        <v>L772</v>
      </c>
      <c r="D2299" s="826" t="s">
        <v>1350</v>
      </c>
      <c r="E2299" s="826" t="s">
        <v>1516</v>
      </c>
      <c r="F2299" s="1583" t="s">
        <v>1993</v>
      </c>
      <c r="G2299" s="1583" t="str">
        <f>IF(T2299&lt;&gt;"","H","")</f>
        <v/>
      </c>
      <c r="H2299" s="1583" t="s">
        <v>1990</v>
      </c>
      <c r="I2299" s="1274" t="str">
        <f t="shared" si="428"/>
        <v/>
      </c>
      <c r="J2299" s="1733" t="str">
        <f t="shared" si="433"/>
        <v/>
      </c>
      <c r="K2299" s="1583" t="str">
        <f t="shared" si="429"/>
        <v/>
      </c>
      <c r="L2299" s="826" t="s">
        <v>1397</v>
      </c>
      <c r="M2299" s="1584">
        <v>1347</v>
      </c>
      <c r="N2299" s="1583"/>
      <c r="R2299" s="1730" t="s">
        <v>2223</v>
      </c>
      <c r="T2299" s="1730" t="str">
        <f t="shared" si="430"/>
        <v/>
      </c>
    </row>
    <row r="2300" spans="1:20" s="1582" customFormat="1" x14ac:dyDescent="0.25">
      <c r="A2300" s="846" t="s">
        <v>1382</v>
      </c>
      <c r="B2300" s="826" t="str">
        <f t="shared" ca="1" si="431"/>
        <v>N771</v>
      </c>
      <c r="C2300" s="826" t="str">
        <f t="shared" ca="1" si="432"/>
        <v>N772</v>
      </c>
      <c r="D2300" s="826" t="s">
        <v>1350</v>
      </c>
      <c r="E2300" s="826" t="s">
        <v>1516</v>
      </c>
      <c r="F2300" s="1583" t="s">
        <v>1382</v>
      </c>
      <c r="G2300" s="1583" t="str">
        <f>IF(T2300&lt;&gt;"",IF(Q2298="Credit Memo","J",IF(Q2298="Check","K","")),"")</f>
        <v/>
      </c>
      <c r="H2300" s="1583" t="s">
        <v>1990</v>
      </c>
      <c r="I2300" s="1274" t="str">
        <f t="shared" si="428"/>
        <v/>
      </c>
      <c r="J2300" s="1733" t="str">
        <f t="shared" si="433"/>
        <v/>
      </c>
      <c r="K2300" s="1583" t="str">
        <f t="shared" si="429"/>
        <v/>
      </c>
      <c r="L2300" s="826" t="s">
        <v>1382</v>
      </c>
      <c r="M2300" s="1584">
        <v>1348</v>
      </c>
      <c r="N2300" s="1583"/>
      <c r="R2300" s="1730" t="s">
        <v>2223</v>
      </c>
      <c r="T2300" s="1730" t="str">
        <f t="shared" si="430"/>
        <v/>
      </c>
    </row>
    <row r="2301" spans="1:20" s="1582" customFormat="1" x14ac:dyDescent="0.25">
      <c r="A2301" s="846" t="s">
        <v>1487</v>
      </c>
      <c r="B2301" s="826" t="str">
        <f t="shared" ca="1" si="431"/>
        <v>R771</v>
      </c>
      <c r="C2301" s="826" t="str">
        <f t="shared" ca="1" si="432"/>
        <v>R772</v>
      </c>
      <c r="D2301" s="826" t="s">
        <v>1350</v>
      </c>
      <c r="E2301" s="826" t="s">
        <v>1516</v>
      </c>
      <c r="F2301" s="1583" t="s">
        <v>1995</v>
      </c>
      <c r="G2301" s="1583" t="str">
        <f>IF(T2301&lt;&gt;"","G","")</f>
        <v/>
      </c>
      <c r="H2301" s="1583" t="s">
        <v>1990</v>
      </c>
      <c r="I2301" s="1274" t="str">
        <f t="shared" si="428"/>
        <v/>
      </c>
      <c r="J2301" s="1733" t="str">
        <f t="shared" si="433"/>
        <v/>
      </c>
      <c r="K2301" s="1583" t="str">
        <f t="shared" si="429"/>
        <v/>
      </c>
      <c r="L2301" s="826" t="s">
        <v>1487</v>
      </c>
      <c r="M2301" s="1584">
        <v>1349</v>
      </c>
      <c r="N2301" s="1583"/>
      <c r="R2301" s="1730" t="s">
        <v>2223</v>
      </c>
      <c r="T2301" s="1730" t="str">
        <f t="shared" si="430"/>
        <v/>
      </c>
    </row>
    <row r="2302" spans="1:20" s="1582" customFormat="1" x14ac:dyDescent="0.25">
      <c r="A2302" s="846" t="s">
        <v>1488</v>
      </c>
      <c r="B2302" s="826" t="str">
        <f t="shared" ca="1" si="431"/>
        <v>T771</v>
      </c>
      <c r="C2302" s="826" t="str">
        <f t="shared" ca="1" si="432"/>
        <v>T772</v>
      </c>
      <c r="D2302" s="826" t="s">
        <v>1350</v>
      </c>
      <c r="E2302" s="826" t="s">
        <v>1516</v>
      </c>
      <c r="F2302" s="841" t="s">
        <v>1488</v>
      </c>
      <c r="G2302" s="1583" t="str">
        <f>IF(T2302&lt;&gt;"","AW","")</f>
        <v/>
      </c>
      <c r="H2302" s="1583" t="s">
        <v>1990</v>
      </c>
      <c r="I2302" s="1274" t="str">
        <f t="shared" si="428"/>
        <v/>
      </c>
      <c r="J2302" s="1733" t="str">
        <f t="shared" si="433"/>
        <v/>
      </c>
      <c r="K2302" s="1583" t="str">
        <f t="shared" si="429"/>
        <v/>
      </c>
      <c r="L2302" s="826" t="s">
        <v>1488</v>
      </c>
      <c r="M2302" s="1584">
        <v>1350</v>
      </c>
      <c r="N2302" s="1583"/>
      <c r="R2302" s="1730" t="s">
        <v>2223</v>
      </c>
      <c r="T2302" s="1730" t="str">
        <f t="shared" si="430"/>
        <v/>
      </c>
    </row>
    <row r="2303" spans="1:20" s="1582" customFormat="1" x14ac:dyDescent="0.25">
      <c r="A2303" s="846" t="s">
        <v>1385</v>
      </c>
      <c r="B2303" s="826" t="str">
        <f ca="1">IFERROR(_xlfn.CONCAT("C",MATCH(A2303,INDIRECT("'"&amp;E2303&amp;"'!C"&amp;$O$2294&amp;":C"&amp;$O$2296),0)+$O$2294-1),"")</f>
        <v>C775</v>
      </c>
      <c r="C2303" s="826" t="str">
        <f ca="1">IFERROR(_xlfn.CONCAT("D",MATCH(A2303,INDIRECT("'"&amp;E2303&amp;"'!C"&amp;$O$2294&amp;":C"&amp;$O$2296),0)+$O$2294-1),"")</f>
        <v>D775</v>
      </c>
      <c r="D2303" s="826" t="s">
        <v>1350</v>
      </c>
      <c r="E2303" s="826" t="s">
        <v>1516</v>
      </c>
      <c r="F2303" s="1583" t="s">
        <v>1385</v>
      </c>
      <c r="G2303" s="1583" t="str">
        <f>IF(T2303&lt;&gt;"","C","")</f>
        <v/>
      </c>
      <c r="H2303" s="1583" t="s">
        <v>1990</v>
      </c>
      <c r="I2303" s="1274" t="str">
        <f t="shared" si="428"/>
        <v/>
      </c>
      <c r="J2303" s="1733" t="str">
        <f t="shared" si="433"/>
        <v/>
      </c>
      <c r="K2303" s="1583" t="str">
        <f t="shared" si="429"/>
        <v/>
      </c>
      <c r="L2303" s="826" t="s">
        <v>1385</v>
      </c>
      <c r="M2303" s="1584">
        <v>1351</v>
      </c>
      <c r="N2303" s="1583"/>
      <c r="R2303" s="1730" t="s">
        <v>2223</v>
      </c>
      <c r="T2303" s="1730" t="str">
        <f t="shared" si="430"/>
        <v/>
      </c>
    </row>
    <row r="2304" spans="1:20" s="1582" customFormat="1" x14ac:dyDescent="0.25">
      <c r="A2304" s="846" t="s">
        <v>1386</v>
      </c>
      <c r="B2304" s="826" t="str">
        <f ca="1">IFERROR(_xlfn.CONCAT("C",MATCH(A2304,INDIRECT("'"&amp;E2304&amp;"'!C"&amp;$O$2294&amp;":C"&amp;$O$2296),0)+$O$2294-1),"")</f>
        <v>C777</v>
      </c>
      <c r="C2304" s="826" t="str">
        <f ca="1">IFERROR(_xlfn.CONCAT("D",MATCH(A2304,INDIRECT("'"&amp;E2304&amp;"'!C"&amp;$O$2294&amp;":C"&amp;$O$2296),0)+$O$2294-1),"")</f>
        <v>D777</v>
      </c>
      <c r="D2304" s="826" t="s">
        <v>1350</v>
      </c>
      <c r="E2304" s="826" t="s">
        <v>1516</v>
      </c>
      <c r="F2304" s="1583" t="s">
        <v>1386</v>
      </c>
      <c r="G2304" s="1583" t="str">
        <f>IF(T2304&lt;&gt;"","D","")</f>
        <v/>
      </c>
      <c r="H2304" s="1583" t="s">
        <v>1990</v>
      </c>
      <c r="I2304" s="1274" t="str">
        <f t="shared" si="428"/>
        <v/>
      </c>
      <c r="J2304" s="1733" t="str">
        <f t="shared" si="433"/>
        <v/>
      </c>
      <c r="K2304" s="1583" t="str">
        <f t="shared" si="429"/>
        <v/>
      </c>
      <c r="L2304" s="826" t="s">
        <v>1386</v>
      </c>
      <c r="M2304" s="1584">
        <v>1352</v>
      </c>
      <c r="N2304" s="1583"/>
      <c r="R2304" s="1730" t="s">
        <v>2223</v>
      </c>
      <c r="T2304" s="1730" t="str">
        <f t="shared" si="430"/>
        <v/>
      </c>
    </row>
    <row r="2305" spans="1:20" s="1582" customFormat="1" x14ac:dyDescent="0.25">
      <c r="A2305" s="846" t="s">
        <v>1495</v>
      </c>
      <c r="B2305" s="826" t="str">
        <f ca="1">IFERROR(_xlfn.CONCAT("C",MATCH(A2305,INDIRECT("'"&amp;E2305&amp;"'!C"&amp;$O$2294&amp;":C"&amp;$O$2296),0)+$O$2294-1),"")</f>
        <v>C779</v>
      </c>
      <c r="C2305" s="826" t="str">
        <f ca="1">IFERROR(_xlfn.CONCAT("D",MATCH(A2305,INDIRECT("'"&amp;E2305&amp;"'!C"&amp;$O$2294&amp;":C"&amp;$O$2296),0)+$O$2294-1),"")</f>
        <v>D779</v>
      </c>
      <c r="D2305" s="826" t="s">
        <v>1350</v>
      </c>
      <c r="E2305" s="826" t="s">
        <v>1516</v>
      </c>
      <c r="F2305" s="1583" t="s">
        <v>1495</v>
      </c>
      <c r="G2305" s="1583" t="str">
        <f>IF(T2305&lt;&gt;"","AN","")</f>
        <v/>
      </c>
      <c r="H2305" s="1583" t="s">
        <v>1990</v>
      </c>
      <c r="I2305" s="1274" t="str">
        <f t="shared" si="428"/>
        <v/>
      </c>
      <c r="J2305" s="1733" t="str">
        <f t="shared" si="433"/>
        <v/>
      </c>
      <c r="K2305" s="1583" t="str">
        <f t="shared" si="429"/>
        <v/>
      </c>
      <c r="L2305" s="826" t="s">
        <v>1495</v>
      </c>
      <c r="M2305" s="1584">
        <v>1353</v>
      </c>
      <c r="N2305" s="1583"/>
      <c r="P2305" s="1583" t="str" cm="1">
        <f t="array" aca="1" ref="P2305" ca="1">_xlfn.CONCAT("F",RIGHT(B2305, LEN(B2305) - MAX(IF(ISNUMBER(MID(B2305, ROW(INDIRECT("1:"&amp;LEN(B2305))), 1) *1)=FALSE, ROW(INDIRECT("1:"&amp;LEN(B2305))), 0))))</f>
        <v>F779</v>
      </c>
      <c r="Q2305" s="1583" t="str" cm="1">
        <f t="array" aca="1" ref="Q2305" ca="1">_xlfn.CONCAT("E",RIGHT(C2305, LEN(C2305) - MAX(IF(ISNUMBER(MID(C2305, ROW(INDIRECT("1:"&amp;LEN(C2305))), 1) *1)=FALSE, ROW(INDIRECT("1:"&amp;LEN(C2305))), 0))))</f>
        <v>E779</v>
      </c>
      <c r="R2305" s="1730" t="s">
        <v>2223</v>
      </c>
      <c r="T2305" s="1730" t="str">
        <f t="shared" si="430"/>
        <v/>
      </c>
    </row>
    <row r="2306" spans="1:20" s="1582" customFormat="1" x14ac:dyDescent="0.25">
      <c r="A2306" s="846" t="s">
        <v>1389</v>
      </c>
      <c r="B2306" s="826" t="str">
        <f ca="1">_xlfn.CONCAT(IFERROR(SUBSTITUTE(ADDRESS(1,MATCH(A2306,INDIRECT("'"&amp;E2306&amp;"'"&amp;"!A" &amp; $O$2294+5 &amp; ":Z"&amp;$O$2294+5),0),4),1,""),""),$O$2294+5)</f>
        <v>H774</v>
      </c>
      <c r="C2306" s="826" t="str">
        <f ca="1">_xlfn.CONCAT(IFERROR(SUBSTITUTE(ADDRESS(1,MATCH(A2306,INDIRECT("'"&amp;E2306&amp;"'"&amp;"!A" &amp; $O$2294+5 &amp; ":Z"&amp;$O$2294+5),0),4),1,""),""),$O$2294+6)</f>
        <v>H775</v>
      </c>
      <c r="D2306" s="826" t="s">
        <v>1350</v>
      </c>
      <c r="E2306" s="826" t="s">
        <v>1516</v>
      </c>
      <c r="F2306" s="1583" t="s">
        <v>1912</v>
      </c>
      <c r="G2306" s="1583" t="str">
        <f>IF(T2306&lt;&gt;"","O","")</f>
        <v/>
      </c>
      <c r="H2306" s="1583" t="s">
        <v>1990</v>
      </c>
      <c r="I2306" s="1274" t="str">
        <f t="shared" si="428"/>
        <v/>
      </c>
      <c r="J2306" s="1733" t="str">
        <f t="shared" si="433"/>
        <v/>
      </c>
      <c r="K2306" s="1583" t="str">
        <f t="shared" si="429"/>
        <v/>
      </c>
      <c r="L2306" s="826" t="s">
        <v>1389</v>
      </c>
      <c r="M2306" s="1584">
        <v>1354</v>
      </c>
      <c r="N2306" s="1583"/>
      <c r="R2306" s="1730" t="s">
        <v>2223</v>
      </c>
      <c r="T2306" s="1730" t="str">
        <f t="shared" si="430"/>
        <v/>
      </c>
    </row>
    <row r="2307" spans="1:20" s="1641" customFormat="1" x14ac:dyDescent="0.25">
      <c r="A2307" s="1011" t="s">
        <v>523</v>
      </c>
      <c r="B2307" s="1274" t="str">
        <f>IFERROR(_xlfn.CONCAT("D",('Configurable Tab'!$C$42+1)),"")</f>
        <v>D435</v>
      </c>
      <c r="C2307" s="1274" t="str">
        <f>IFERROR(_xlfn.CONCAT("E",('Configurable Tab'!$C$42+1)),"")</f>
        <v>E435</v>
      </c>
      <c r="D2307" s="1642" t="s">
        <v>1350</v>
      </c>
      <c r="E2307" s="791" t="s">
        <v>1742</v>
      </c>
      <c r="F2307" s="1642"/>
      <c r="G2307" s="1642"/>
      <c r="H2307" s="1642"/>
      <c r="I2307" s="1274" t="str">
        <f t="shared" si="428"/>
        <v>Offer this Incentive?</v>
      </c>
      <c r="J2307" s="1642" t="str">
        <f>$Q$1&amp;T2307</f>
        <v>F</v>
      </c>
      <c r="K2307" s="1642" t="str">
        <f t="shared" si="429"/>
        <v>Incentives</v>
      </c>
      <c r="L2307" s="1642"/>
      <c r="M2307" s="1642"/>
      <c r="N2307" s="1642"/>
      <c r="O2307" s="1641" t="s">
        <v>2144</v>
      </c>
      <c r="P2307" s="18" t="str">
        <f>'Configurable Tab'!E42</f>
        <v>Yes</v>
      </c>
      <c r="Q2307" s="1274" t="str">
        <f>IFERROR(_xlfn.CONCAT("C",('Configurable Tab'!$C42+1)),"")</f>
        <v>C435</v>
      </c>
      <c r="R2307" s="1730" t="s">
        <v>2223</v>
      </c>
      <c r="T2307" s="1730" t="str">
        <f>IF(Q$2295="Yes",M2295,"")</f>
        <v/>
      </c>
    </row>
    <row r="2308" spans="1:20" s="1641" customFormat="1" x14ac:dyDescent="0.25">
      <c r="A2308" s="1012" t="s">
        <v>1383</v>
      </c>
      <c r="B2308" s="1274" t="str">
        <f>IFERROR(_xlfn.CONCAT("D",('Configurable Tab'!$C$42+2)),"")</f>
        <v>D436</v>
      </c>
      <c r="C2308" s="1274" t="str">
        <f>IFERROR(_xlfn.CONCAT("E",('Configurable Tab'!$C$42+2)),"")</f>
        <v>E436</v>
      </c>
      <c r="D2308" s="1642" t="s">
        <v>1350</v>
      </c>
      <c r="E2308" s="791" t="s">
        <v>1742</v>
      </c>
      <c r="F2308" s="1642"/>
      <c r="G2308" s="1642"/>
      <c r="H2308" s="1642"/>
      <c r="I2308" s="1274" t="str">
        <f t="shared" si="428"/>
        <v>Incentive Type</v>
      </c>
      <c r="J2308" s="1642" t="str">
        <f t="shared" ref="J2308:J2315" si="434">$Q$1&amp;T2308</f>
        <v>F</v>
      </c>
      <c r="K2308" s="1642" t="str">
        <f t="shared" si="429"/>
        <v>Incentives</v>
      </c>
      <c r="L2308" s="1642"/>
      <c r="M2308" s="1642"/>
      <c r="N2308" s="1642"/>
      <c r="R2308" s="1730" t="s">
        <v>2223</v>
      </c>
      <c r="T2308" s="1730" t="str">
        <f>IF(Q$2295="Yes",M2296,"")</f>
        <v/>
      </c>
    </row>
    <row r="2309" spans="1:20" s="1641" customFormat="1" x14ac:dyDescent="0.25">
      <c r="A2309" s="1012" t="s">
        <v>1385</v>
      </c>
      <c r="B2309" s="1274" t="str">
        <f>IFERROR(_xlfn.CONCAT("D",('Configurable Tab'!$C$42+4)),"")</f>
        <v>D438</v>
      </c>
      <c r="C2309" s="1274" t="str">
        <f>IFERROR(_xlfn.CONCAT("E",('Configurable Tab'!$C$42+4)),"")</f>
        <v>E438</v>
      </c>
      <c r="D2309" s="1642" t="s">
        <v>1350</v>
      </c>
      <c r="E2309" s="791" t="s">
        <v>1742</v>
      </c>
      <c r="F2309" s="1642"/>
      <c r="G2309" s="1642"/>
      <c r="H2309" s="1642"/>
      <c r="I2309" s="1274" t="str">
        <f t="shared" si="428"/>
        <v>Incentive Effective Date</v>
      </c>
      <c r="J2309" s="1642" t="str">
        <f t="shared" si="434"/>
        <v>F</v>
      </c>
      <c r="K2309" s="1642" t="str">
        <f t="shared" si="429"/>
        <v>Incentives</v>
      </c>
      <c r="L2309" s="1642"/>
      <c r="M2309" s="1642"/>
      <c r="N2309" s="1642"/>
      <c r="R2309" s="1730" t="s">
        <v>2223</v>
      </c>
      <c r="T2309" s="1730" t="str">
        <f>IF(Q$2295="Yes",M2303,"")</f>
        <v/>
      </c>
    </row>
    <row r="2310" spans="1:20" s="1641" customFormat="1" x14ac:dyDescent="0.25">
      <c r="A2310" s="1012" t="s">
        <v>1386</v>
      </c>
      <c r="B2310" s="1274" t="str">
        <f>IFERROR(_xlfn.CONCAT("D",('Configurable Tab'!$C$42+5)),"")</f>
        <v>D439</v>
      </c>
      <c r="C2310" s="1274" t="str">
        <f>IFERROR(_xlfn.CONCAT("E",('Configurable Tab'!$C$42+5)),"")</f>
        <v>E439</v>
      </c>
      <c r="D2310" s="1642" t="s">
        <v>1350</v>
      </c>
      <c r="E2310" s="791" t="s">
        <v>1742</v>
      </c>
      <c r="F2310" s="1642"/>
      <c r="G2310" s="1642"/>
      <c r="H2310" s="1642"/>
      <c r="I2310" s="1274" t="str">
        <f t="shared" si="428"/>
        <v>Incentive Expiration Date</v>
      </c>
      <c r="J2310" s="1642" t="str">
        <f t="shared" si="434"/>
        <v>F</v>
      </c>
      <c r="K2310" s="1642" t="str">
        <f t="shared" si="429"/>
        <v>Incentives</v>
      </c>
      <c r="L2310" s="1642"/>
      <c r="M2310" s="1642"/>
      <c r="N2310" s="1642"/>
      <c r="R2310" s="1730" t="s">
        <v>2223</v>
      </c>
      <c r="T2310" s="1730" t="str">
        <f>IF(Q$2295="Yes",M2304,"")</f>
        <v/>
      </c>
    </row>
    <row r="2311" spans="1:20" s="1641" customFormat="1" x14ac:dyDescent="0.25">
      <c r="A2311" s="1012" t="s">
        <v>1380</v>
      </c>
      <c r="B2311" s="1274" t="str">
        <f>IFERROR(_xlfn.CONCAT("G",('Configurable Tab'!$C$42+1)),"")</f>
        <v>G435</v>
      </c>
      <c r="C2311" s="1274" t="str">
        <f>IFERROR(_xlfn.CONCAT("G",('Configurable Tab'!$C$42+2)),"")</f>
        <v>G436</v>
      </c>
      <c r="D2311" s="1642" t="s">
        <v>1350</v>
      </c>
      <c r="E2311" s="791" t="s">
        <v>1742</v>
      </c>
      <c r="F2311" s="1640"/>
      <c r="G2311" s="1069"/>
      <c r="H2311" s="1642"/>
      <c r="I2311" s="1274" t="str">
        <f t="shared" si="428"/>
        <v>Incentive Period</v>
      </c>
      <c r="J2311" s="1642" t="str">
        <f t="shared" si="434"/>
        <v>F</v>
      </c>
      <c r="K2311" s="1642" t="str">
        <f t="shared" si="429"/>
        <v>Incentives</v>
      </c>
      <c r="L2311" s="1642"/>
      <c r="M2311" s="1642"/>
      <c r="N2311" s="1642"/>
      <c r="R2311" s="1730" t="s">
        <v>2223</v>
      </c>
      <c r="T2311" s="1730" t="str">
        <f>IF(Q$2295="Yes",M2297,"")</f>
        <v/>
      </c>
    </row>
    <row r="2312" spans="1:20" s="1641" customFormat="1" x14ac:dyDescent="0.25">
      <c r="A2312" s="1012" t="s">
        <v>1381</v>
      </c>
      <c r="B2312" s="1274" t="str">
        <f>IFERROR(_xlfn.CONCAT("I",('Configurable Tab'!$C$42+1)),"")</f>
        <v>I435</v>
      </c>
      <c r="C2312" s="1274" t="str">
        <f>IFERROR(_xlfn.CONCAT("I",('Configurable Tab'!$C$42+2)),"")</f>
        <v>I436</v>
      </c>
      <c r="D2312" s="1642" t="s">
        <v>1350</v>
      </c>
      <c r="E2312" s="791" t="s">
        <v>1742</v>
      </c>
      <c r="F2312" s="1642"/>
      <c r="G2312" s="1642"/>
      <c r="H2312" s="1642"/>
      <c r="I2312" s="1274" t="str">
        <f t="shared" si="428"/>
        <v>Payment Method</v>
      </c>
      <c r="J2312" s="1642" t="str">
        <f t="shared" si="434"/>
        <v>F</v>
      </c>
      <c r="K2312" s="1642" t="str">
        <f t="shared" si="429"/>
        <v>Incentives</v>
      </c>
      <c r="L2312" s="1642"/>
      <c r="M2312" s="1642"/>
      <c r="N2312" s="1642"/>
      <c r="R2312" s="1730" t="s">
        <v>2223</v>
      </c>
      <c r="T2312" s="1730" t="str">
        <f>IF(Q$2295="Yes",M2298,"")</f>
        <v/>
      </c>
    </row>
    <row r="2313" spans="1:20" s="1641" customFormat="1" x14ac:dyDescent="0.25">
      <c r="A2313" s="1012" t="s">
        <v>833</v>
      </c>
      <c r="B2313" s="1274" t="str">
        <f>IFERROR(_xlfn.CONCAT("K",('Configurable Tab'!$C$42+1)),"")</f>
        <v>K435</v>
      </c>
      <c r="C2313" s="1274" t="str">
        <f>IFERROR(_xlfn.CONCAT("K",('Configurable Tab'!$C$42+2)),"")</f>
        <v>K436</v>
      </c>
      <c r="D2313" s="1642" t="s">
        <v>1350</v>
      </c>
      <c r="E2313" s="791" t="s">
        <v>1742</v>
      </c>
      <c r="F2313" s="1642"/>
      <c r="G2313" s="1642"/>
      <c r="H2313" s="1642"/>
      <c r="I2313" s="1274" t="str">
        <f t="shared" si="428"/>
        <v>Paid to:</v>
      </c>
      <c r="J2313" s="1642" t="str">
        <f t="shared" si="434"/>
        <v>F</v>
      </c>
      <c r="K2313" s="1642" t="str">
        <f t="shared" si="429"/>
        <v>Incentives</v>
      </c>
      <c r="L2313" s="1642"/>
      <c r="M2313" s="1642"/>
      <c r="N2313" s="1642"/>
      <c r="R2313" s="1730" t="s">
        <v>2223</v>
      </c>
      <c r="T2313" s="1730" t="str">
        <f>IF(Q$2295="Yes",M2299,"")</f>
        <v/>
      </c>
    </row>
    <row r="2314" spans="1:20" s="1641" customFormat="1" x14ac:dyDescent="0.25">
      <c r="A2314" s="1012" t="s">
        <v>1382</v>
      </c>
      <c r="B2314" s="1274" t="str">
        <f>IFERROR(_xlfn.CONCAT("M",('Configurable Tab'!$C$42+1)),"")</f>
        <v>M435</v>
      </c>
      <c r="C2314" s="1274" t="str">
        <f>IFERROR(_xlfn.CONCAT("M",('Configurable Tab'!$C$42+2)),"")</f>
        <v>M436</v>
      </c>
      <c r="D2314" s="1642" t="s">
        <v>1350</v>
      </c>
      <c r="E2314" s="791" t="s">
        <v>1742</v>
      </c>
      <c r="F2314" s="1642"/>
      <c r="G2314" s="1642"/>
      <c r="H2314" s="1642"/>
      <c r="I2314" s="1274" t="str">
        <f t="shared" si="428"/>
        <v>AP/AR Vendor Number</v>
      </c>
      <c r="J2314" s="1642" t="str">
        <f t="shared" si="434"/>
        <v>F</v>
      </c>
      <c r="K2314" s="1642" t="str">
        <f t="shared" si="429"/>
        <v>Incentives</v>
      </c>
      <c r="L2314" s="1642"/>
      <c r="M2314" s="1642"/>
      <c r="N2314" s="1642"/>
      <c r="R2314" s="1730" t="s">
        <v>2223</v>
      </c>
      <c r="T2314" s="1730" t="str">
        <f>IF(Q$2295="Yes",M2300,"")</f>
        <v/>
      </c>
    </row>
    <row r="2315" spans="1:20" s="1641" customFormat="1" x14ac:dyDescent="0.25">
      <c r="A2315" s="1012" t="s">
        <v>1389</v>
      </c>
      <c r="B2315" s="1274" t="str">
        <f>IFERROR(_xlfn.CONCAT("K",('Configurable Tab'!$C$42+4)),"")</f>
        <v>K438</v>
      </c>
      <c r="C2315" s="1274" t="str">
        <f>IFERROR(_xlfn.CONCAT("K",('Configurable Tab'!$C$42+5)),"")</f>
        <v>K439</v>
      </c>
      <c r="D2315" s="1642" t="s">
        <v>1350</v>
      </c>
      <c r="E2315" s="791" t="s">
        <v>1742</v>
      </c>
      <c r="F2315" s="1642"/>
      <c r="G2315" s="1642"/>
      <c r="H2315" s="1642"/>
      <c r="I2315" s="1274" t="str">
        <f t="shared" si="428"/>
        <v>Rate % of Sales</v>
      </c>
      <c r="J2315" s="1642" t="str">
        <f t="shared" si="434"/>
        <v>F</v>
      </c>
      <c r="K2315" s="1642" t="str">
        <f t="shared" si="429"/>
        <v>Incentives</v>
      </c>
      <c r="L2315" s="1642"/>
      <c r="M2315" s="1642"/>
      <c r="N2315" s="1642"/>
      <c r="R2315" s="1730" t="s">
        <v>2223</v>
      </c>
      <c r="T2315" s="1730" t="str">
        <f>IF(Q$2295="Yes",M2306,"")</f>
        <v/>
      </c>
    </row>
    <row r="2316" spans="1:20" s="1650" customFormat="1" x14ac:dyDescent="0.25">
      <c r="A2316" s="846" t="s">
        <v>1491</v>
      </c>
      <c r="B2316" s="826" t="str">
        <f ca="1">IFERROR(_xlfn.CONCAT("C",MATCH(A2316,INDIRECT("'"&amp;E2316&amp;"'!C"&amp;$O$2316&amp;":C"&amp;$O$2318),0)+$O$2316-1),"")</f>
        <v>C787</v>
      </c>
      <c r="C2316" s="826" t="str">
        <f ca="1">IFERROR(_xlfn.CONCAT("D",MATCH(A2316,INDIRECT("'"&amp;E2316&amp;"'!C"&amp;$O$2316&amp;":C"&amp;$O$2318),0)+$O$2316-1),"")</f>
        <v>D787</v>
      </c>
      <c r="D2316" s="826" t="s">
        <v>1350</v>
      </c>
      <c r="E2316" s="826" t="s">
        <v>1516</v>
      </c>
      <c r="F2316" s="1652" t="s">
        <v>1491</v>
      </c>
      <c r="G2316" s="1652" t="str">
        <f>IF(T2316&lt;&gt;"","A","")</f>
        <v/>
      </c>
      <c r="H2316" s="1652" t="s">
        <v>1990</v>
      </c>
      <c r="I2316" s="1274" t="str">
        <f t="shared" ref="I2316:I2379" si="435">IF(J2316&lt;&gt;"",A2316,"")</f>
        <v/>
      </c>
      <c r="J2316" s="1652"/>
      <c r="K2316" s="1652" t="str">
        <f t="shared" ref="K2316:K2379" si="436">IF(J2316&lt;&gt;"",E2316,"")</f>
        <v/>
      </c>
      <c r="L2316" s="826" t="s">
        <v>1491</v>
      </c>
      <c r="M2316" s="1656">
        <v>1355</v>
      </c>
      <c r="N2316" s="1652"/>
      <c r="O2316" s="1650">
        <f>'Configurable Tab'!H58</f>
        <v>783</v>
      </c>
      <c r="R2316" s="1730" t="s">
        <v>2224</v>
      </c>
      <c r="T2316" s="1652" t="str">
        <f>IF(Q$2317="Yes",56,"")</f>
        <v/>
      </c>
    </row>
    <row r="2317" spans="1:20" s="1650" customFormat="1" x14ac:dyDescent="0.25">
      <c r="A2317" s="846" t="s">
        <v>1705</v>
      </c>
      <c r="B2317" s="826" t="str">
        <f ca="1">_xlfn.CONCAT(IFERROR(SUBSTITUTE(ADDRESS(1,MATCH(A2317,INDIRECT("'"&amp;E2317&amp;"'"&amp;"!A" &amp; $O$2316+11 &amp; ":Z" &amp; $O$2316+11 ),0),4),1,""),""),$O$2316+11)</f>
        <v>T794</v>
      </c>
      <c r="C2317" s="826" t="str">
        <f ca="1">_xlfn.CONCAT(IFERROR(SUBSTITUTE(ADDRESS(1,MATCH(A2317,INDIRECT("'"&amp;E2317&amp;"'"&amp;"!A" &amp; $O$2316+11 &amp; ":Z" &amp; $O$2316+11 ),0),4),1,""),""),$O$2316+12)</f>
        <v>T795</v>
      </c>
      <c r="D2317" s="826" t="s">
        <v>1350</v>
      </c>
      <c r="E2317" s="826" t="s">
        <v>1516</v>
      </c>
      <c r="F2317" s="1652"/>
      <c r="G2317" s="1652"/>
      <c r="H2317" s="1652"/>
      <c r="I2317" s="1274" t="str">
        <f t="shared" si="435"/>
        <v/>
      </c>
      <c r="J2317" s="1652" t="str">
        <f>IF(M2317&lt;&gt;"",IF($Q$2317="Yes",Q$1&amp;M2317,""))</f>
        <v/>
      </c>
      <c r="K2317" s="1652" t="str">
        <f t="shared" si="436"/>
        <v/>
      </c>
      <c r="L2317" s="826" t="s">
        <v>1705</v>
      </c>
      <c r="M2317" s="1656">
        <v>1356</v>
      </c>
      <c r="N2317" s="1652"/>
      <c r="O2317" s="1650" t="s">
        <v>726</v>
      </c>
      <c r="P2317" s="18" t="str">
        <f>'Configurable Tab'!J58</f>
        <v>Yes</v>
      </c>
      <c r="Q2317" s="1650" t="s">
        <v>648</v>
      </c>
      <c r="R2317" s="1730" t="s">
        <v>2224</v>
      </c>
      <c r="T2317" s="1730" t="str">
        <f t="shared" ref="T2317:T2328" si="437">IF(Q$2317="Yes",56,"")</f>
        <v/>
      </c>
    </row>
    <row r="2318" spans="1:20" s="1650" customFormat="1" x14ac:dyDescent="0.25">
      <c r="A2318" s="846" t="s">
        <v>1383</v>
      </c>
      <c r="B2318" s="826" t="str">
        <f ca="1">IFERROR(_xlfn.CONCAT("C",MATCH(A2318,INDIRECT("'"&amp;E2318&amp;"'!C"&amp;$O$2316&amp;":C"&amp;$O$2318),0)+$O$2316-1),"")</f>
        <v>C785</v>
      </c>
      <c r="C2318" s="826" t="str">
        <f ca="1">IFERROR(_xlfn.CONCAT("D",MATCH(A2318,INDIRECT("'"&amp;E2318&amp;"'!C"&amp;$O$2316&amp;":C"&amp;$O$2318),0)+$O$2316-1),"")</f>
        <v>D785</v>
      </c>
      <c r="D2318" s="826" t="s">
        <v>1350</v>
      </c>
      <c r="E2318" s="826" t="s">
        <v>1516</v>
      </c>
      <c r="F2318" s="1652" t="s">
        <v>1383</v>
      </c>
      <c r="G2318" s="1652" t="str">
        <f>IF(T2318&lt;&gt;"","B","")</f>
        <v/>
      </c>
      <c r="H2318" s="1652" t="s">
        <v>1990</v>
      </c>
      <c r="I2318" s="1274" t="str">
        <f t="shared" si="435"/>
        <v/>
      </c>
      <c r="J2318" s="1733"/>
      <c r="K2318" s="1652" t="str">
        <f t="shared" si="436"/>
        <v/>
      </c>
      <c r="L2318" s="826" t="s">
        <v>1383</v>
      </c>
      <c r="M2318" s="1656">
        <v>1357</v>
      </c>
      <c r="N2318" s="1652"/>
      <c r="O2318" s="1650">
        <f>'Configurable Tab'!I58</f>
        <v>796</v>
      </c>
      <c r="R2318" s="1730" t="s">
        <v>2224</v>
      </c>
      <c r="T2318" s="1730" t="str">
        <f t="shared" si="437"/>
        <v/>
      </c>
    </row>
    <row r="2319" spans="1:20" s="1650" customFormat="1" x14ac:dyDescent="0.25">
      <c r="A2319" s="846" t="s">
        <v>1380</v>
      </c>
      <c r="B2319" s="826" t="str">
        <f t="shared" ref="B2319:B2324" ca="1" si="438">_xlfn.CONCAT(IFERROR(SUBSTITUTE(ADDRESS(1,MATCH(A2319,INDIRECT("'"&amp;E2319&amp;"'"&amp;"!A" &amp; $O$2316+2 &amp; ":Z"&amp;$O$2316+2 ),0),4),1,""),""),$O$2316+2)</f>
        <v>H785</v>
      </c>
      <c r="C2319" s="826" t="str">
        <f t="shared" ref="C2319:C2324" ca="1" si="439">_xlfn.CONCAT(IFERROR(SUBSTITUTE(ADDRESS(1,MATCH(A2319,INDIRECT("'"&amp;E2319&amp;"'"&amp;"!A" &amp; $O$2316+2 &amp; ":Z"&amp;$O$2316+2 ),0),4),1,""),""),$O$2316+3)</f>
        <v>H786</v>
      </c>
      <c r="D2319" s="826" t="s">
        <v>1350</v>
      </c>
      <c r="E2319" s="826" t="s">
        <v>1516</v>
      </c>
      <c r="F2319" s="1652" t="s">
        <v>1991</v>
      </c>
      <c r="G2319" s="1652" t="str">
        <f>IF(T2319&lt;&gt;"","E","")</f>
        <v/>
      </c>
      <c r="H2319" s="1652" t="s">
        <v>1990</v>
      </c>
      <c r="I2319" s="1274" t="str">
        <f t="shared" si="435"/>
        <v/>
      </c>
      <c r="J2319" s="1733" t="str">
        <f t="shared" ref="J2319:J2328" si="440">IF(M2319&lt;&gt;"",IF($Q$2317="Yes",Q$1&amp;M2319,""))</f>
        <v/>
      </c>
      <c r="K2319" s="1652" t="str">
        <f t="shared" si="436"/>
        <v/>
      </c>
      <c r="L2319" s="826" t="s">
        <v>1380</v>
      </c>
      <c r="M2319" s="1656">
        <v>1358</v>
      </c>
      <c r="N2319" s="1652"/>
      <c r="O2319" s="1650" t="s">
        <v>2153</v>
      </c>
      <c r="R2319" s="1730" t="s">
        <v>2224</v>
      </c>
      <c r="T2319" s="1730" t="str">
        <f t="shared" si="437"/>
        <v/>
      </c>
    </row>
    <row r="2320" spans="1:20" s="1650" customFormat="1" x14ac:dyDescent="0.25">
      <c r="A2320" s="846" t="s">
        <v>1381</v>
      </c>
      <c r="B2320" s="826" t="str">
        <f t="shared" ca="1" si="438"/>
        <v>J785</v>
      </c>
      <c r="C2320" s="826" t="str">
        <f t="shared" ca="1" si="439"/>
        <v>J786</v>
      </c>
      <c r="D2320" s="826" t="s">
        <v>1350</v>
      </c>
      <c r="E2320" s="826" t="s">
        <v>1516</v>
      </c>
      <c r="F2320" s="1652" t="s">
        <v>1992</v>
      </c>
      <c r="G2320" s="1652" t="str">
        <f>IF(T2320&lt;&gt;"","I","")</f>
        <v/>
      </c>
      <c r="H2320" s="1652" t="s">
        <v>1990</v>
      </c>
      <c r="I2320" s="1274" t="str">
        <f t="shared" si="435"/>
        <v/>
      </c>
      <c r="J2320" s="1733" t="str">
        <f t="shared" si="440"/>
        <v/>
      </c>
      <c r="K2320" s="1652" t="str">
        <f t="shared" si="436"/>
        <v/>
      </c>
      <c r="L2320" s="826" t="s">
        <v>1381</v>
      </c>
      <c r="M2320" s="1656">
        <v>1359</v>
      </c>
      <c r="N2320" s="1652"/>
      <c r="R2320" s="1730" t="s">
        <v>2224</v>
      </c>
      <c r="T2320" s="1730" t="str">
        <f t="shared" si="437"/>
        <v/>
      </c>
    </row>
    <row r="2321" spans="1:20" s="1650" customFormat="1" x14ac:dyDescent="0.25">
      <c r="A2321" s="846" t="s">
        <v>1397</v>
      </c>
      <c r="B2321" s="826" t="str">
        <f t="shared" ca="1" si="438"/>
        <v>L785</v>
      </c>
      <c r="C2321" s="826" t="str">
        <f t="shared" ca="1" si="439"/>
        <v>L786</v>
      </c>
      <c r="D2321" s="826" t="s">
        <v>1350</v>
      </c>
      <c r="E2321" s="826" t="s">
        <v>1516</v>
      </c>
      <c r="F2321" s="1652" t="s">
        <v>1993</v>
      </c>
      <c r="G2321" s="1652" t="str">
        <f>IF(T2321&lt;&gt;"","H","")</f>
        <v/>
      </c>
      <c r="H2321" s="1652" t="s">
        <v>1990</v>
      </c>
      <c r="I2321" s="1274" t="str">
        <f t="shared" si="435"/>
        <v/>
      </c>
      <c r="J2321" s="1733" t="str">
        <f t="shared" si="440"/>
        <v/>
      </c>
      <c r="K2321" s="1652" t="str">
        <f t="shared" si="436"/>
        <v/>
      </c>
      <c r="L2321" s="826" t="s">
        <v>1397</v>
      </c>
      <c r="M2321" s="1656">
        <v>1360</v>
      </c>
      <c r="N2321" s="1652"/>
      <c r="R2321" s="1730" t="s">
        <v>2224</v>
      </c>
      <c r="T2321" s="1730" t="str">
        <f t="shared" si="437"/>
        <v/>
      </c>
    </row>
    <row r="2322" spans="1:20" s="1650" customFormat="1" x14ac:dyDescent="0.25">
      <c r="A2322" s="846" t="s">
        <v>1382</v>
      </c>
      <c r="B2322" s="826" t="str">
        <f t="shared" ca="1" si="438"/>
        <v>N785</v>
      </c>
      <c r="C2322" s="826" t="str">
        <f t="shared" ca="1" si="439"/>
        <v>N786</v>
      </c>
      <c r="D2322" s="826" t="s">
        <v>1350</v>
      </c>
      <c r="E2322" s="826" t="s">
        <v>1516</v>
      </c>
      <c r="F2322" s="1652" t="s">
        <v>1382</v>
      </c>
      <c r="G2322" s="1652" t="str">
        <f>IF(T2322&lt;&gt;"",IF(Q2320="Credit Memo","J",IF(Q2320="Check","K","")),"")</f>
        <v/>
      </c>
      <c r="H2322" s="1652" t="s">
        <v>1990</v>
      </c>
      <c r="I2322" s="1274" t="str">
        <f t="shared" si="435"/>
        <v/>
      </c>
      <c r="J2322" s="1733" t="str">
        <f t="shared" si="440"/>
        <v/>
      </c>
      <c r="K2322" s="1652" t="str">
        <f t="shared" si="436"/>
        <v/>
      </c>
      <c r="L2322" s="826" t="s">
        <v>1382</v>
      </c>
      <c r="M2322" s="1656">
        <v>1361</v>
      </c>
      <c r="N2322" s="1652"/>
      <c r="R2322" s="1730" t="s">
        <v>2224</v>
      </c>
      <c r="T2322" s="1730" t="str">
        <f t="shared" si="437"/>
        <v/>
      </c>
    </row>
    <row r="2323" spans="1:20" s="1650" customFormat="1" x14ac:dyDescent="0.25">
      <c r="A2323" s="846" t="s">
        <v>1487</v>
      </c>
      <c r="B2323" s="826" t="str">
        <f t="shared" ca="1" si="438"/>
        <v>R785</v>
      </c>
      <c r="C2323" s="826" t="str">
        <f t="shared" ca="1" si="439"/>
        <v>R786</v>
      </c>
      <c r="D2323" s="826" t="s">
        <v>1350</v>
      </c>
      <c r="E2323" s="826" t="s">
        <v>1516</v>
      </c>
      <c r="F2323" s="1652" t="s">
        <v>1995</v>
      </c>
      <c r="G2323" s="1652" t="str">
        <f>IF(T2323&lt;&gt;"","G","")</f>
        <v/>
      </c>
      <c r="H2323" s="1652" t="s">
        <v>1990</v>
      </c>
      <c r="I2323" s="1274" t="str">
        <f t="shared" si="435"/>
        <v/>
      </c>
      <c r="J2323" s="1733" t="str">
        <f t="shared" si="440"/>
        <v/>
      </c>
      <c r="K2323" s="1652" t="str">
        <f t="shared" si="436"/>
        <v/>
      </c>
      <c r="L2323" s="826" t="s">
        <v>1487</v>
      </c>
      <c r="M2323" s="1656">
        <v>1362</v>
      </c>
      <c r="N2323" s="1652"/>
      <c r="R2323" s="1730" t="s">
        <v>2224</v>
      </c>
      <c r="T2323" s="1730" t="str">
        <f t="shared" si="437"/>
        <v/>
      </c>
    </row>
    <row r="2324" spans="1:20" s="1650" customFormat="1" x14ac:dyDescent="0.25">
      <c r="A2324" s="846" t="s">
        <v>1488</v>
      </c>
      <c r="B2324" s="826" t="str">
        <f t="shared" ca="1" si="438"/>
        <v>T785</v>
      </c>
      <c r="C2324" s="826" t="str">
        <f t="shared" ca="1" si="439"/>
        <v>T786</v>
      </c>
      <c r="D2324" s="826" t="s">
        <v>1350</v>
      </c>
      <c r="E2324" s="826" t="s">
        <v>1516</v>
      </c>
      <c r="F2324" s="841" t="s">
        <v>1488</v>
      </c>
      <c r="G2324" s="1652" t="str">
        <f>IF(T2324&lt;&gt;"","AW","")</f>
        <v/>
      </c>
      <c r="H2324" s="1652" t="s">
        <v>1990</v>
      </c>
      <c r="I2324" s="1274" t="str">
        <f t="shared" si="435"/>
        <v/>
      </c>
      <c r="J2324" s="1733" t="str">
        <f t="shared" si="440"/>
        <v/>
      </c>
      <c r="K2324" s="1652" t="str">
        <f t="shared" si="436"/>
        <v/>
      </c>
      <c r="L2324" s="826" t="s">
        <v>1488</v>
      </c>
      <c r="M2324" s="1656">
        <v>1363</v>
      </c>
      <c r="N2324" s="1652"/>
      <c r="R2324" s="1730" t="s">
        <v>2224</v>
      </c>
      <c r="T2324" s="1730" t="str">
        <f t="shared" si="437"/>
        <v/>
      </c>
    </row>
    <row r="2325" spans="1:20" s="1650" customFormat="1" x14ac:dyDescent="0.25">
      <c r="A2325" s="846" t="s">
        <v>1385</v>
      </c>
      <c r="B2325" s="826" t="str">
        <f ca="1">IFERROR(_xlfn.CONCAT("C",MATCH(A2325,INDIRECT("'"&amp;E2325&amp;"'!C"&amp;$O$2316&amp;":C"&amp;$O$2318),0)+$O$2316-1),"")</f>
        <v>C789</v>
      </c>
      <c r="C2325" s="826" t="str">
        <f ca="1">IFERROR(_xlfn.CONCAT("D",MATCH(A2325,INDIRECT("'"&amp;E2325&amp;"'!C"&amp;$O$2316&amp;":C"&amp;$O$2318),0)+$O$2316-1),"")</f>
        <v>D789</v>
      </c>
      <c r="D2325" s="826" t="s">
        <v>1350</v>
      </c>
      <c r="E2325" s="826" t="s">
        <v>1516</v>
      </c>
      <c r="F2325" s="1652" t="s">
        <v>1385</v>
      </c>
      <c r="G2325" s="1652" t="str">
        <f>IF(T2325&lt;&gt;"","C","")</f>
        <v/>
      </c>
      <c r="H2325" s="1652" t="s">
        <v>1990</v>
      </c>
      <c r="I2325" s="1274" t="str">
        <f t="shared" si="435"/>
        <v/>
      </c>
      <c r="J2325" s="1733" t="str">
        <f t="shared" si="440"/>
        <v/>
      </c>
      <c r="K2325" s="1652" t="str">
        <f t="shared" si="436"/>
        <v/>
      </c>
      <c r="L2325" s="826" t="s">
        <v>1385</v>
      </c>
      <c r="M2325" s="1656">
        <v>1364</v>
      </c>
      <c r="N2325" s="1652"/>
      <c r="R2325" s="1730" t="s">
        <v>2224</v>
      </c>
      <c r="T2325" s="1730" t="str">
        <f t="shared" si="437"/>
        <v/>
      </c>
    </row>
    <row r="2326" spans="1:20" s="1650" customFormat="1" x14ac:dyDescent="0.25">
      <c r="A2326" s="846" t="s">
        <v>1386</v>
      </c>
      <c r="B2326" s="826" t="str">
        <f ca="1">IFERROR(_xlfn.CONCAT("C",MATCH(A2326,INDIRECT("'"&amp;E2326&amp;"'!C"&amp;$O$2316&amp;":C"&amp;$O$2318),0)+$O$2316-1),"")</f>
        <v>C791</v>
      </c>
      <c r="C2326" s="826" t="str">
        <f ca="1">IFERROR(_xlfn.CONCAT("D",MATCH(A2326,INDIRECT("'"&amp;E2326&amp;"'!C"&amp;$O$2316&amp;":C"&amp;$O$2318),0)+$O$2316-1),"")</f>
        <v>D791</v>
      </c>
      <c r="D2326" s="826" t="s">
        <v>1350</v>
      </c>
      <c r="E2326" s="826" t="s">
        <v>1516</v>
      </c>
      <c r="F2326" s="1652" t="s">
        <v>1386</v>
      </c>
      <c r="G2326" s="1652" t="str">
        <f>IF(T2326&lt;&gt;"","D","")</f>
        <v/>
      </c>
      <c r="H2326" s="1652" t="s">
        <v>1990</v>
      </c>
      <c r="I2326" s="1274" t="str">
        <f t="shared" si="435"/>
        <v/>
      </c>
      <c r="J2326" s="1733" t="str">
        <f t="shared" si="440"/>
        <v/>
      </c>
      <c r="K2326" s="1652" t="str">
        <f t="shared" si="436"/>
        <v/>
      </c>
      <c r="L2326" s="826" t="s">
        <v>1386</v>
      </c>
      <c r="M2326" s="1656">
        <v>1365</v>
      </c>
      <c r="N2326" s="1652"/>
      <c r="R2326" s="1730" t="s">
        <v>2224</v>
      </c>
      <c r="T2326" s="1730" t="str">
        <f t="shared" si="437"/>
        <v/>
      </c>
    </row>
    <row r="2327" spans="1:20" s="1650" customFormat="1" x14ac:dyDescent="0.25">
      <c r="A2327" s="846" t="s">
        <v>1495</v>
      </c>
      <c r="B2327" s="826" t="str">
        <f ca="1">IFERROR(_xlfn.CONCAT("C",MATCH(A2327,INDIRECT("'"&amp;E2327&amp;"'!C"&amp;$O$2316&amp;":C"&amp;$O$2318),0)+$O$2316-1),"")</f>
        <v>C793</v>
      </c>
      <c r="C2327" s="826" t="str">
        <f ca="1">IFERROR(_xlfn.CONCAT("D",MATCH(A2327,INDIRECT("'"&amp;E2327&amp;"'!C"&amp;$O$2316&amp;":C"&amp;$O$2318),0)+$O$2316-1),"")</f>
        <v>D793</v>
      </c>
      <c r="D2327" s="826" t="s">
        <v>1350</v>
      </c>
      <c r="E2327" s="826" t="s">
        <v>1516</v>
      </c>
      <c r="F2327" s="1652" t="s">
        <v>1495</v>
      </c>
      <c r="G2327" s="1652" t="str">
        <f>IF(T2327&lt;&gt;"","AN","")</f>
        <v/>
      </c>
      <c r="H2327" s="1652" t="s">
        <v>1990</v>
      </c>
      <c r="I2327" s="1274" t="str">
        <f t="shared" si="435"/>
        <v/>
      </c>
      <c r="J2327" s="1733" t="str">
        <f t="shared" si="440"/>
        <v/>
      </c>
      <c r="K2327" s="1652" t="str">
        <f t="shared" si="436"/>
        <v/>
      </c>
      <c r="L2327" s="826" t="s">
        <v>1495</v>
      </c>
      <c r="M2327" s="1656">
        <v>1366</v>
      </c>
      <c r="N2327" s="1652"/>
      <c r="P2327" s="1652" t="str" cm="1">
        <f t="array" aca="1" ref="P2327" ca="1">_xlfn.CONCAT("F",RIGHT(B2327, LEN(B2327) - MAX(IF(ISNUMBER(MID(B2327, ROW(INDIRECT("1:"&amp;LEN(B2327))), 1) *1)=FALSE, ROW(INDIRECT("1:"&amp;LEN(B2327))), 0))))</f>
        <v>F793</v>
      </c>
      <c r="Q2327" s="1652" t="str" cm="1">
        <f t="array" aca="1" ref="Q2327" ca="1">_xlfn.CONCAT("E",RIGHT(C2327, LEN(C2327) - MAX(IF(ISNUMBER(MID(C2327, ROW(INDIRECT("1:"&amp;LEN(C2327))), 1) *1)=FALSE, ROW(INDIRECT("1:"&amp;LEN(C2327))), 0))))</f>
        <v>E793</v>
      </c>
      <c r="R2327" s="1730" t="s">
        <v>2224</v>
      </c>
      <c r="T2327" s="1730" t="str">
        <f t="shared" si="437"/>
        <v/>
      </c>
    </row>
    <row r="2328" spans="1:20" s="1650" customFormat="1" x14ac:dyDescent="0.25">
      <c r="A2328" s="846" t="s">
        <v>1389</v>
      </c>
      <c r="B2328" s="826" t="str">
        <f ca="1">_xlfn.CONCAT(IFERROR(SUBSTITUTE(ADDRESS(1,MATCH(A2328,INDIRECT("'"&amp;E2328&amp;"'"&amp;"!A" &amp; $O$2316+5 &amp; ":Z"&amp;$O$2316+5),0),4),1,""),""),$O$2316+5)</f>
        <v>H788</v>
      </c>
      <c r="C2328" s="826" t="str">
        <f ca="1">_xlfn.CONCAT(IFERROR(SUBSTITUTE(ADDRESS(1,MATCH(A2328,INDIRECT("'"&amp;E2328&amp;"'"&amp;"!A" &amp; $O$2316+5 &amp; ":Z"&amp;$O$2316+5),0),4),1,""),""),$O$2316+6)</f>
        <v>H789</v>
      </c>
      <c r="D2328" s="826" t="s">
        <v>1350</v>
      </c>
      <c r="E2328" s="826" t="s">
        <v>1516</v>
      </c>
      <c r="F2328" s="1652" t="s">
        <v>1912</v>
      </c>
      <c r="G2328" s="1652" t="str">
        <f>IF(T2328&lt;&gt;"","O","")</f>
        <v/>
      </c>
      <c r="H2328" s="1652" t="s">
        <v>1990</v>
      </c>
      <c r="I2328" s="1274" t="str">
        <f t="shared" si="435"/>
        <v/>
      </c>
      <c r="J2328" s="1733" t="str">
        <f t="shared" si="440"/>
        <v/>
      </c>
      <c r="K2328" s="1652" t="str">
        <f t="shared" si="436"/>
        <v/>
      </c>
      <c r="L2328" s="826" t="s">
        <v>1389</v>
      </c>
      <c r="M2328" s="1653">
        <v>1367</v>
      </c>
      <c r="N2328" s="1652"/>
      <c r="R2328" s="1730" t="s">
        <v>2224</v>
      </c>
      <c r="T2328" s="1730" t="str">
        <f t="shared" si="437"/>
        <v/>
      </c>
    </row>
    <row r="2329" spans="1:20" s="1650" customFormat="1" x14ac:dyDescent="0.25">
      <c r="A2329" s="1011" t="s">
        <v>523</v>
      </c>
      <c r="B2329" s="1274" t="str">
        <f>IFERROR(_xlfn.CONCAT("D",('Configurable Tab'!$C$43+1)),"")</f>
        <v>D443</v>
      </c>
      <c r="C2329" s="1274" t="str">
        <f>IFERROR(_xlfn.CONCAT("E",('Configurable Tab'!$C$43+1)),"")</f>
        <v>E443</v>
      </c>
      <c r="D2329" s="1652" t="s">
        <v>1350</v>
      </c>
      <c r="E2329" s="791" t="s">
        <v>1742</v>
      </c>
      <c r="F2329" s="1652"/>
      <c r="G2329" s="1652"/>
      <c r="H2329" s="1652"/>
      <c r="I2329" s="1274" t="str">
        <f t="shared" si="435"/>
        <v>Offer this Incentive?</v>
      </c>
      <c r="J2329" s="1652" t="str">
        <f>$Q$1&amp;T2329</f>
        <v>F</v>
      </c>
      <c r="K2329" s="1652" t="str">
        <f t="shared" si="436"/>
        <v>Incentives</v>
      </c>
      <c r="L2329" s="1652"/>
      <c r="M2329" s="1652"/>
      <c r="N2329" s="1652"/>
      <c r="O2329" s="1650" t="s">
        <v>2144</v>
      </c>
      <c r="P2329" s="18" t="str">
        <f>'Configurable Tab'!E43</f>
        <v>Yes</v>
      </c>
      <c r="Q2329" s="1274" t="str">
        <f>IFERROR(_xlfn.CONCAT("C",('Configurable Tab'!$C43+1)),"")</f>
        <v>C443</v>
      </c>
      <c r="R2329" s="1730" t="s">
        <v>2224</v>
      </c>
      <c r="T2329" s="1730" t="str">
        <f>IF(Q$2317="Yes",M2317,"")</f>
        <v/>
      </c>
    </row>
    <row r="2330" spans="1:20" s="1650" customFormat="1" x14ac:dyDescent="0.25">
      <c r="A2330" s="1012" t="s">
        <v>1383</v>
      </c>
      <c r="B2330" s="1274" t="str">
        <f>IFERROR(_xlfn.CONCAT("D",('Configurable Tab'!$C$43+2)),"")</f>
        <v>D444</v>
      </c>
      <c r="C2330" s="1274" t="str">
        <f>IFERROR(_xlfn.CONCAT("E",('Configurable Tab'!$C$43+2)),"")</f>
        <v>E444</v>
      </c>
      <c r="D2330" s="1652" t="s">
        <v>1350</v>
      </c>
      <c r="E2330" s="791" t="s">
        <v>1742</v>
      </c>
      <c r="F2330" s="1652"/>
      <c r="G2330" s="1652"/>
      <c r="H2330" s="1652"/>
      <c r="I2330" s="1274" t="str">
        <f t="shared" si="435"/>
        <v>Incentive Type</v>
      </c>
      <c r="J2330" s="1652" t="str">
        <f t="shared" ref="J2330:J2337" si="441">$Q$1&amp;T2330</f>
        <v>F</v>
      </c>
      <c r="K2330" s="1652" t="str">
        <f t="shared" si="436"/>
        <v>Incentives</v>
      </c>
      <c r="L2330" s="1652"/>
      <c r="M2330" s="1652"/>
      <c r="N2330" s="1652"/>
      <c r="R2330" s="1730" t="s">
        <v>2224</v>
      </c>
      <c r="T2330" s="1730" t="str">
        <f>IF(Q$2317="Yes",M2318,"")</f>
        <v/>
      </c>
    </row>
    <row r="2331" spans="1:20" s="1650" customFormat="1" x14ac:dyDescent="0.25">
      <c r="A2331" s="1012" t="s">
        <v>1385</v>
      </c>
      <c r="B2331" s="1274" t="str">
        <f>IFERROR(_xlfn.CONCAT("D",('Configurable Tab'!$C$43+4)),"")</f>
        <v>D446</v>
      </c>
      <c r="C2331" s="1274" t="str">
        <f>IFERROR(_xlfn.CONCAT("E",('Configurable Tab'!$C$43+4)),"")</f>
        <v>E446</v>
      </c>
      <c r="D2331" s="1652" t="s">
        <v>1350</v>
      </c>
      <c r="E2331" s="791" t="s">
        <v>1742</v>
      </c>
      <c r="F2331" s="1652"/>
      <c r="G2331" s="1652"/>
      <c r="H2331" s="1652"/>
      <c r="I2331" s="1274" t="str">
        <f t="shared" si="435"/>
        <v>Incentive Effective Date</v>
      </c>
      <c r="J2331" s="1652" t="str">
        <f t="shared" si="441"/>
        <v>F</v>
      </c>
      <c r="K2331" s="1652" t="str">
        <f t="shared" si="436"/>
        <v>Incentives</v>
      </c>
      <c r="L2331" s="1652"/>
      <c r="M2331" s="1652"/>
      <c r="N2331" s="1652"/>
      <c r="R2331" s="1730" t="s">
        <v>2224</v>
      </c>
      <c r="T2331" s="1730" t="str">
        <f>IF(Q$2317="Yes",M2325,"")</f>
        <v/>
      </c>
    </row>
    <row r="2332" spans="1:20" s="1650" customFormat="1" x14ac:dyDescent="0.25">
      <c r="A2332" s="1012" t="s">
        <v>1386</v>
      </c>
      <c r="B2332" s="1274" t="str">
        <f>IFERROR(_xlfn.CONCAT("D",('Configurable Tab'!$C$43+5)),"")</f>
        <v>D447</v>
      </c>
      <c r="C2332" s="1274" t="str">
        <f>IFERROR(_xlfn.CONCAT("E",('Configurable Tab'!$C$43+5)),"")</f>
        <v>E447</v>
      </c>
      <c r="D2332" s="1652" t="s">
        <v>1350</v>
      </c>
      <c r="E2332" s="791" t="s">
        <v>1742</v>
      </c>
      <c r="F2332" s="1652"/>
      <c r="G2332" s="1652"/>
      <c r="H2332" s="1652"/>
      <c r="I2332" s="1274" t="str">
        <f t="shared" si="435"/>
        <v>Incentive Expiration Date</v>
      </c>
      <c r="J2332" s="1652" t="str">
        <f t="shared" si="441"/>
        <v>F</v>
      </c>
      <c r="K2332" s="1652" t="str">
        <f t="shared" si="436"/>
        <v>Incentives</v>
      </c>
      <c r="L2332" s="1652"/>
      <c r="M2332" s="1652"/>
      <c r="N2332" s="1652"/>
      <c r="R2332" s="1730" t="s">
        <v>2224</v>
      </c>
      <c r="T2332" s="1730" t="str">
        <f>IF(Q$2317="Yes",M2326,"")</f>
        <v/>
      </c>
    </row>
    <row r="2333" spans="1:20" s="1650" customFormat="1" x14ac:dyDescent="0.25">
      <c r="A2333" s="1012" t="s">
        <v>1380</v>
      </c>
      <c r="B2333" s="1274" t="str">
        <f>IFERROR(_xlfn.CONCAT("G",('Configurable Tab'!$C$43+1)),"")</f>
        <v>G443</v>
      </c>
      <c r="C2333" s="1274" t="str">
        <f>IFERROR(_xlfn.CONCAT("G",('Configurable Tab'!$C$43+2)),"")</f>
        <v>G444</v>
      </c>
      <c r="D2333" s="1652" t="s">
        <v>1350</v>
      </c>
      <c r="E2333" s="791" t="s">
        <v>1742</v>
      </c>
      <c r="F2333" s="1651"/>
      <c r="G2333" s="1069"/>
      <c r="H2333" s="1652"/>
      <c r="I2333" s="1274" t="str">
        <f t="shared" si="435"/>
        <v>Incentive Period</v>
      </c>
      <c r="J2333" s="1652" t="str">
        <f t="shared" si="441"/>
        <v>F</v>
      </c>
      <c r="K2333" s="1652" t="str">
        <f t="shared" si="436"/>
        <v>Incentives</v>
      </c>
      <c r="L2333" s="1652"/>
      <c r="M2333" s="1652"/>
      <c r="N2333" s="1652"/>
      <c r="R2333" s="1730" t="s">
        <v>2224</v>
      </c>
      <c r="T2333" s="1730" t="str">
        <f>IF(Q$2317="Yes",M2319,"")</f>
        <v/>
      </c>
    </row>
    <row r="2334" spans="1:20" s="1650" customFormat="1" x14ac:dyDescent="0.25">
      <c r="A2334" s="1012" t="s">
        <v>1381</v>
      </c>
      <c r="B2334" s="1274" t="str">
        <f>IFERROR(_xlfn.CONCAT("I",('Configurable Tab'!$C$43+1)),"")</f>
        <v>I443</v>
      </c>
      <c r="C2334" s="1274" t="str">
        <f>IFERROR(_xlfn.CONCAT("I",('Configurable Tab'!$C$43+2)),"")</f>
        <v>I444</v>
      </c>
      <c r="D2334" s="1652" t="s">
        <v>1350</v>
      </c>
      <c r="E2334" s="791" t="s">
        <v>1742</v>
      </c>
      <c r="F2334" s="1652"/>
      <c r="G2334" s="1652"/>
      <c r="H2334" s="1652"/>
      <c r="I2334" s="1274" t="str">
        <f t="shared" si="435"/>
        <v>Payment Method</v>
      </c>
      <c r="J2334" s="1652" t="str">
        <f t="shared" si="441"/>
        <v>F</v>
      </c>
      <c r="K2334" s="1652" t="str">
        <f t="shared" si="436"/>
        <v>Incentives</v>
      </c>
      <c r="L2334" s="1652"/>
      <c r="M2334" s="1652"/>
      <c r="N2334" s="1652"/>
      <c r="R2334" s="1730" t="s">
        <v>2224</v>
      </c>
      <c r="T2334" s="1730" t="str">
        <f>IF(Q$2317="Yes",M2320,"")</f>
        <v/>
      </c>
    </row>
    <row r="2335" spans="1:20" s="1650" customFormat="1" x14ac:dyDescent="0.25">
      <c r="A2335" s="1012" t="s">
        <v>833</v>
      </c>
      <c r="B2335" s="1274" t="str">
        <f>IFERROR(_xlfn.CONCAT("K",('Configurable Tab'!$C$43+1)),"")</f>
        <v>K443</v>
      </c>
      <c r="C2335" s="1274" t="str">
        <f>IFERROR(_xlfn.CONCAT("K",('Configurable Tab'!$C$43+2)),"")</f>
        <v>K444</v>
      </c>
      <c r="D2335" s="1652" t="s">
        <v>1350</v>
      </c>
      <c r="E2335" s="791" t="s">
        <v>1742</v>
      </c>
      <c r="F2335" s="1652"/>
      <c r="G2335" s="1652"/>
      <c r="H2335" s="1652"/>
      <c r="I2335" s="1274" t="str">
        <f t="shared" si="435"/>
        <v>Paid to:</v>
      </c>
      <c r="J2335" s="1652" t="str">
        <f t="shared" si="441"/>
        <v>F</v>
      </c>
      <c r="K2335" s="1652" t="str">
        <f t="shared" si="436"/>
        <v>Incentives</v>
      </c>
      <c r="L2335" s="1652"/>
      <c r="M2335" s="1652"/>
      <c r="N2335" s="1652"/>
      <c r="R2335" s="1730" t="s">
        <v>2224</v>
      </c>
      <c r="T2335" s="1730" t="str">
        <f>IF(Q$2317="Yes",M2321,"")</f>
        <v/>
      </c>
    </row>
    <row r="2336" spans="1:20" s="1650" customFormat="1" x14ac:dyDescent="0.25">
      <c r="A2336" s="1012" t="s">
        <v>1382</v>
      </c>
      <c r="B2336" s="1274" t="str">
        <f>IFERROR(_xlfn.CONCAT("M",('Configurable Tab'!$C$43+1)),"")</f>
        <v>M443</v>
      </c>
      <c r="C2336" s="1274" t="str">
        <f>IFERROR(_xlfn.CONCAT("M",('Configurable Tab'!$C$43+2)),"")</f>
        <v>M444</v>
      </c>
      <c r="D2336" s="1652" t="s">
        <v>1350</v>
      </c>
      <c r="E2336" s="791" t="s">
        <v>1742</v>
      </c>
      <c r="F2336" s="1652"/>
      <c r="G2336" s="1652"/>
      <c r="H2336" s="1652"/>
      <c r="I2336" s="1274" t="str">
        <f t="shared" si="435"/>
        <v>AP/AR Vendor Number</v>
      </c>
      <c r="J2336" s="1652" t="str">
        <f t="shared" si="441"/>
        <v>F</v>
      </c>
      <c r="K2336" s="1652" t="str">
        <f t="shared" si="436"/>
        <v>Incentives</v>
      </c>
      <c r="L2336" s="1652"/>
      <c r="M2336" s="1652"/>
      <c r="N2336" s="1652"/>
      <c r="R2336" s="1730" t="s">
        <v>2224</v>
      </c>
      <c r="T2336" s="1730" t="str">
        <f>IF(Q$2317="Yes",M2322,"")</f>
        <v/>
      </c>
    </row>
    <row r="2337" spans="1:20" s="1650" customFormat="1" x14ac:dyDescent="0.25">
      <c r="A2337" s="1012" t="s">
        <v>1389</v>
      </c>
      <c r="B2337" s="1274" t="str">
        <f>IFERROR(_xlfn.CONCAT("K",('Configurable Tab'!$C$43+4)),"")</f>
        <v>K446</v>
      </c>
      <c r="C2337" s="1274" t="str">
        <f>IFERROR(_xlfn.CONCAT("K",('Configurable Tab'!$C$43+5)),"")</f>
        <v>K447</v>
      </c>
      <c r="D2337" s="1652" t="s">
        <v>1350</v>
      </c>
      <c r="E2337" s="791" t="s">
        <v>1742</v>
      </c>
      <c r="F2337" s="1652"/>
      <c r="G2337" s="1652"/>
      <c r="H2337" s="1652"/>
      <c r="I2337" s="1274" t="str">
        <f t="shared" si="435"/>
        <v>Rate % of Sales</v>
      </c>
      <c r="J2337" s="1652" t="str">
        <f t="shared" si="441"/>
        <v>F</v>
      </c>
      <c r="K2337" s="1652" t="str">
        <f t="shared" si="436"/>
        <v>Incentives</v>
      </c>
      <c r="L2337" s="1652"/>
      <c r="M2337" s="1652"/>
      <c r="N2337" s="1652"/>
      <c r="R2337" s="1652" t="s">
        <v>2224</v>
      </c>
      <c r="T2337" s="1730" t="str">
        <f>IF(Q$2317="Yes",M2328,"")</f>
        <v/>
      </c>
    </row>
    <row r="2338" spans="1:20" s="1650" customFormat="1" x14ac:dyDescent="0.25">
      <c r="A2338" s="846" t="s">
        <v>1491</v>
      </c>
      <c r="B2338" s="826" t="str">
        <f ca="1">IFERROR(_xlfn.CONCAT("C",MATCH(A2338,INDIRECT("'"&amp;E2338&amp;"'!C"&amp;$O$2338&amp;":C"&amp;$O$2340),0)+$O$2338-1),"")</f>
        <v>C801</v>
      </c>
      <c r="C2338" s="826" t="str">
        <f ca="1">IFERROR(_xlfn.CONCAT("D",MATCH(A2338,INDIRECT("'"&amp;E2338&amp;"'!C"&amp;$O$2338&amp;":C"&amp;$O$2340),0)+$O$2338-1),"")</f>
        <v>D801</v>
      </c>
      <c r="D2338" s="826" t="s">
        <v>1350</v>
      </c>
      <c r="E2338" s="826" t="s">
        <v>1516</v>
      </c>
      <c r="F2338" s="1652" t="s">
        <v>1491</v>
      </c>
      <c r="G2338" s="1652" t="str">
        <f>IF(T2338&lt;&gt;"","A","")</f>
        <v/>
      </c>
      <c r="H2338" s="1652" t="s">
        <v>1990</v>
      </c>
      <c r="I2338" s="1274" t="str">
        <f t="shared" si="435"/>
        <v/>
      </c>
      <c r="J2338" s="1652"/>
      <c r="K2338" s="1652" t="str">
        <f t="shared" si="436"/>
        <v/>
      </c>
      <c r="L2338" s="826" t="s">
        <v>1491</v>
      </c>
      <c r="M2338" s="1656">
        <v>1368</v>
      </c>
      <c r="N2338" s="1652"/>
      <c r="O2338" s="1650">
        <f>'Configurable Tab'!H59</f>
        <v>797</v>
      </c>
      <c r="R2338" s="1652" t="s">
        <v>2225</v>
      </c>
      <c r="T2338" s="1730" t="str">
        <f t="shared" ref="T2338:T2349" si="442">IF(Q$2339="Yes",57,"")</f>
        <v/>
      </c>
    </row>
    <row r="2339" spans="1:20" s="1650" customFormat="1" x14ac:dyDescent="0.25">
      <c r="A2339" s="846" t="s">
        <v>1705</v>
      </c>
      <c r="B2339" s="826" t="str">
        <f ca="1">_xlfn.CONCAT(IFERROR(SUBSTITUTE(ADDRESS(1,MATCH(A2339,INDIRECT("'"&amp;E2339&amp;"'"&amp;"!A" &amp; $O$2338+11 &amp; ":Z" &amp; $O$2338+11 ),0),4),1,""),""),$O$2338+11)</f>
        <v>T808</v>
      </c>
      <c r="C2339" s="826" t="str">
        <f ca="1">_xlfn.CONCAT(IFERROR(SUBSTITUTE(ADDRESS(1,MATCH(A2339,INDIRECT("'"&amp;E2339&amp;"'"&amp;"!A" &amp; $O$2338+11 &amp; ":Z" &amp; $O$2338+11 ),0),4),1,""),""),$O$2338+12)</f>
        <v>T809</v>
      </c>
      <c r="D2339" s="826" t="s">
        <v>1350</v>
      </c>
      <c r="E2339" s="826" t="s">
        <v>1516</v>
      </c>
      <c r="F2339" s="1652"/>
      <c r="G2339" s="1652"/>
      <c r="H2339" s="1652"/>
      <c r="I2339" s="1274" t="str">
        <f t="shared" si="435"/>
        <v/>
      </c>
      <c r="J2339" s="1652" t="str">
        <f>IF(M2339&lt;&gt;"",IF($Q$2339="Yes",Q$1&amp;M2339,""))</f>
        <v/>
      </c>
      <c r="K2339" s="1652" t="str">
        <f t="shared" si="436"/>
        <v/>
      </c>
      <c r="L2339" s="826" t="s">
        <v>1705</v>
      </c>
      <c r="M2339" s="1656">
        <v>1369</v>
      </c>
      <c r="N2339" s="1652"/>
      <c r="O2339" s="1650" t="s">
        <v>726</v>
      </c>
      <c r="P2339" s="18" t="str">
        <f>'Configurable Tab'!J59</f>
        <v>Yes</v>
      </c>
      <c r="Q2339" s="1650" t="s">
        <v>648</v>
      </c>
      <c r="R2339" s="1730" t="s">
        <v>2225</v>
      </c>
      <c r="T2339" s="1730" t="str">
        <f t="shared" si="442"/>
        <v/>
      </c>
    </row>
    <row r="2340" spans="1:20" s="1650" customFormat="1" x14ac:dyDescent="0.25">
      <c r="A2340" s="846" t="s">
        <v>1383</v>
      </c>
      <c r="B2340" s="826" t="str">
        <f ca="1">IFERROR(_xlfn.CONCAT("C",MATCH(A2340,INDIRECT("'"&amp;E2340&amp;"'!C"&amp;$O$2338&amp;":C"&amp;$O$2340),0)+$O$2338-1),"")</f>
        <v>C799</v>
      </c>
      <c r="C2340" s="826" t="str">
        <f ca="1">IFERROR(_xlfn.CONCAT("D",MATCH(A2340,INDIRECT("'"&amp;E2340&amp;"'!C"&amp;$O$2338&amp;":C"&amp;$O$2340),0)+$O$2338-1),"")</f>
        <v>D799</v>
      </c>
      <c r="D2340" s="826" t="s">
        <v>1350</v>
      </c>
      <c r="E2340" s="826" t="s">
        <v>1516</v>
      </c>
      <c r="F2340" s="1652" t="s">
        <v>1383</v>
      </c>
      <c r="G2340" s="1652" t="str">
        <f>IF(T2340&lt;&gt;"","B","")</f>
        <v/>
      </c>
      <c r="H2340" s="1652" t="s">
        <v>1990</v>
      </c>
      <c r="I2340" s="1274" t="str">
        <f t="shared" si="435"/>
        <v/>
      </c>
      <c r="J2340" s="1733"/>
      <c r="K2340" s="1652" t="str">
        <f t="shared" si="436"/>
        <v/>
      </c>
      <c r="L2340" s="826" t="s">
        <v>1383</v>
      </c>
      <c r="M2340" s="1656">
        <v>1370</v>
      </c>
      <c r="N2340" s="1652"/>
      <c r="O2340" s="1650">
        <f>'Configurable Tab'!I59</f>
        <v>810</v>
      </c>
      <c r="R2340" s="1730" t="s">
        <v>2225</v>
      </c>
      <c r="T2340" s="1730" t="str">
        <f t="shared" si="442"/>
        <v/>
      </c>
    </row>
    <row r="2341" spans="1:20" s="1650" customFormat="1" x14ac:dyDescent="0.25">
      <c r="A2341" s="846" t="s">
        <v>1380</v>
      </c>
      <c r="B2341" s="826" t="str">
        <f t="shared" ref="B2341:B2346" ca="1" si="443">_xlfn.CONCAT(IFERROR(SUBSTITUTE(ADDRESS(1,MATCH(A2341,INDIRECT("'"&amp;E2341&amp;"'"&amp;"!A" &amp; $O$2338+2 &amp; ":Z"&amp;$O$2338+2 ),0),4),1,""),""),$O$2338+2)</f>
        <v>H799</v>
      </c>
      <c r="C2341" s="826" t="str">
        <f t="shared" ref="C2341:C2346" ca="1" si="444">_xlfn.CONCAT(IFERROR(SUBSTITUTE(ADDRESS(1,MATCH(A2341,INDIRECT("'"&amp;E2341&amp;"'"&amp;"!A" &amp; $O$2338+2 &amp; ":Z"&amp;$O$2338+2 ),0),4),1,""),""),$O$2338+3)</f>
        <v>H800</v>
      </c>
      <c r="D2341" s="826" t="s">
        <v>1350</v>
      </c>
      <c r="E2341" s="826" t="s">
        <v>1516</v>
      </c>
      <c r="F2341" s="1652" t="s">
        <v>1991</v>
      </c>
      <c r="G2341" s="1652" t="str">
        <f>IF(T2341&lt;&gt;"","E","")</f>
        <v/>
      </c>
      <c r="H2341" s="1652" t="s">
        <v>1990</v>
      </c>
      <c r="I2341" s="1274" t="str">
        <f t="shared" si="435"/>
        <v/>
      </c>
      <c r="J2341" s="1733" t="str">
        <f t="shared" ref="J2341:J2350" si="445">IF(M2341&lt;&gt;"",IF($Q$2339="Yes",Q$1&amp;M2341,""))</f>
        <v/>
      </c>
      <c r="K2341" s="1652" t="str">
        <f t="shared" si="436"/>
        <v/>
      </c>
      <c r="L2341" s="826" t="s">
        <v>1380</v>
      </c>
      <c r="M2341" s="1656">
        <v>1371</v>
      </c>
      <c r="N2341" s="1652"/>
      <c r="O2341" s="1650" t="s">
        <v>2152</v>
      </c>
      <c r="R2341" s="1730" t="s">
        <v>2225</v>
      </c>
      <c r="T2341" s="1730" t="str">
        <f t="shared" si="442"/>
        <v/>
      </c>
    </row>
    <row r="2342" spans="1:20" s="1650" customFormat="1" x14ac:dyDescent="0.25">
      <c r="A2342" s="846" t="s">
        <v>1381</v>
      </c>
      <c r="B2342" s="826" t="str">
        <f t="shared" ca="1" si="443"/>
        <v>J799</v>
      </c>
      <c r="C2342" s="826" t="str">
        <f t="shared" ca="1" si="444"/>
        <v>J800</v>
      </c>
      <c r="D2342" s="826" t="s">
        <v>1350</v>
      </c>
      <c r="E2342" s="826" t="s">
        <v>1516</v>
      </c>
      <c r="F2342" s="1652" t="s">
        <v>1992</v>
      </c>
      <c r="G2342" s="1652" t="str">
        <f>IF(T2342&lt;&gt;"","I","")</f>
        <v/>
      </c>
      <c r="H2342" s="1652" t="s">
        <v>1990</v>
      </c>
      <c r="I2342" s="1274" t="str">
        <f t="shared" si="435"/>
        <v/>
      </c>
      <c r="J2342" s="1733" t="str">
        <f t="shared" si="445"/>
        <v/>
      </c>
      <c r="K2342" s="1652" t="str">
        <f t="shared" si="436"/>
        <v/>
      </c>
      <c r="L2342" s="826" t="s">
        <v>1381</v>
      </c>
      <c r="M2342" s="1656">
        <v>1372</v>
      </c>
      <c r="N2342" s="1652"/>
      <c r="R2342" s="1730" t="s">
        <v>2225</v>
      </c>
      <c r="T2342" s="1730" t="str">
        <f t="shared" si="442"/>
        <v/>
      </c>
    </row>
    <row r="2343" spans="1:20" s="1650" customFormat="1" x14ac:dyDescent="0.25">
      <c r="A2343" s="846" t="s">
        <v>1397</v>
      </c>
      <c r="B2343" s="826" t="str">
        <f t="shared" ca="1" si="443"/>
        <v>L799</v>
      </c>
      <c r="C2343" s="826" t="str">
        <f t="shared" ca="1" si="444"/>
        <v>L800</v>
      </c>
      <c r="D2343" s="826" t="s">
        <v>1350</v>
      </c>
      <c r="E2343" s="826" t="s">
        <v>1516</v>
      </c>
      <c r="F2343" s="1652" t="s">
        <v>1993</v>
      </c>
      <c r="G2343" s="1652" t="str">
        <f>IF(T2343&lt;&gt;"","H","")</f>
        <v/>
      </c>
      <c r="H2343" s="1652" t="s">
        <v>1990</v>
      </c>
      <c r="I2343" s="1274" t="str">
        <f t="shared" si="435"/>
        <v/>
      </c>
      <c r="J2343" s="1733" t="str">
        <f t="shared" si="445"/>
        <v/>
      </c>
      <c r="K2343" s="1652" t="str">
        <f t="shared" si="436"/>
        <v/>
      </c>
      <c r="L2343" s="826" t="s">
        <v>1397</v>
      </c>
      <c r="M2343" s="1656">
        <v>1373</v>
      </c>
      <c r="N2343" s="1652"/>
      <c r="R2343" s="1730" t="s">
        <v>2225</v>
      </c>
      <c r="T2343" s="1730" t="str">
        <f t="shared" si="442"/>
        <v/>
      </c>
    </row>
    <row r="2344" spans="1:20" s="1650" customFormat="1" x14ac:dyDescent="0.25">
      <c r="A2344" s="846" t="s">
        <v>1382</v>
      </c>
      <c r="B2344" s="826" t="str">
        <f t="shared" ca="1" si="443"/>
        <v>N799</v>
      </c>
      <c r="C2344" s="826" t="str">
        <f t="shared" ca="1" si="444"/>
        <v>N800</v>
      </c>
      <c r="D2344" s="826" t="s">
        <v>1350</v>
      </c>
      <c r="E2344" s="826" t="s">
        <v>1516</v>
      </c>
      <c r="F2344" s="1652" t="s">
        <v>1382</v>
      </c>
      <c r="G2344" s="1652" t="str">
        <f>IF(T2344&lt;&gt;"",IF(Q2342="Credit Memo","J",IF(Q2342="Check","K","")),"")</f>
        <v/>
      </c>
      <c r="H2344" s="1652" t="s">
        <v>1990</v>
      </c>
      <c r="I2344" s="1274" t="str">
        <f t="shared" si="435"/>
        <v/>
      </c>
      <c r="J2344" s="1733" t="str">
        <f t="shared" si="445"/>
        <v/>
      </c>
      <c r="K2344" s="1652" t="str">
        <f t="shared" si="436"/>
        <v/>
      </c>
      <c r="L2344" s="826" t="s">
        <v>1382</v>
      </c>
      <c r="M2344" s="1656">
        <v>1374</v>
      </c>
      <c r="N2344" s="1652"/>
      <c r="R2344" s="1730" t="s">
        <v>2225</v>
      </c>
      <c r="T2344" s="1730" t="str">
        <f t="shared" si="442"/>
        <v/>
      </c>
    </row>
    <row r="2345" spans="1:20" s="1650" customFormat="1" x14ac:dyDescent="0.25">
      <c r="A2345" s="846" t="s">
        <v>1487</v>
      </c>
      <c r="B2345" s="826" t="str">
        <f t="shared" ca="1" si="443"/>
        <v>R799</v>
      </c>
      <c r="C2345" s="826" t="str">
        <f t="shared" ca="1" si="444"/>
        <v>R800</v>
      </c>
      <c r="D2345" s="826" t="s">
        <v>1350</v>
      </c>
      <c r="E2345" s="826" t="s">
        <v>1516</v>
      </c>
      <c r="F2345" s="1652" t="s">
        <v>1995</v>
      </c>
      <c r="G2345" s="1652" t="str">
        <f>IF(T2345&lt;&gt;"","G","")</f>
        <v/>
      </c>
      <c r="H2345" s="1652" t="s">
        <v>1990</v>
      </c>
      <c r="I2345" s="1274" t="str">
        <f t="shared" si="435"/>
        <v/>
      </c>
      <c r="J2345" s="1733" t="str">
        <f t="shared" si="445"/>
        <v/>
      </c>
      <c r="K2345" s="1652" t="str">
        <f t="shared" si="436"/>
        <v/>
      </c>
      <c r="L2345" s="826" t="s">
        <v>1487</v>
      </c>
      <c r="M2345" s="1656">
        <v>1375</v>
      </c>
      <c r="N2345" s="1652"/>
      <c r="R2345" s="1730" t="s">
        <v>2225</v>
      </c>
      <c r="T2345" s="1730" t="str">
        <f t="shared" si="442"/>
        <v/>
      </c>
    </row>
    <row r="2346" spans="1:20" s="1650" customFormat="1" x14ac:dyDescent="0.25">
      <c r="A2346" s="846" t="s">
        <v>1488</v>
      </c>
      <c r="B2346" s="826" t="str">
        <f t="shared" ca="1" si="443"/>
        <v>T799</v>
      </c>
      <c r="C2346" s="826" t="str">
        <f t="shared" ca="1" si="444"/>
        <v>T800</v>
      </c>
      <c r="D2346" s="826" t="s">
        <v>1350</v>
      </c>
      <c r="E2346" s="826" t="s">
        <v>1516</v>
      </c>
      <c r="F2346" s="841" t="s">
        <v>1488</v>
      </c>
      <c r="G2346" s="1652" t="str">
        <f>IF(T2346&lt;&gt;"","AW","")</f>
        <v/>
      </c>
      <c r="H2346" s="1652" t="s">
        <v>1990</v>
      </c>
      <c r="I2346" s="1274" t="str">
        <f t="shared" si="435"/>
        <v/>
      </c>
      <c r="J2346" s="1733" t="str">
        <f t="shared" si="445"/>
        <v/>
      </c>
      <c r="K2346" s="1652" t="str">
        <f t="shared" si="436"/>
        <v/>
      </c>
      <c r="L2346" s="826" t="s">
        <v>1488</v>
      </c>
      <c r="M2346" s="1656">
        <v>1376</v>
      </c>
      <c r="N2346" s="1652"/>
      <c r="R2346" s="1730" t="s">
        <v>2225</v>
      </c>
      <c r="T2346" s="1730" t="str">
        <f t="shared" si="442"/>
        <v/>
      </c>
    </row>
    <row r="2347" spans="1:20" s="1650" customFormat="1" x14ac:dyDescent="0.25">
      <c r="A2347" s="846" t="s">
        <v>1385</v>
      </c>
      <c r="B2347" s="826" t="str">
        <f ca="1">IFERROR(_xlfn.CONCAT("C",MATCH(A2347,INDIRECT("'"&amp;E2347&amp;"'!C"&amp;$O$2338&amp;":C"&amp;$O$2340),0)+$O$2338-1),"")</f>
        <v>C803</v>
      </c>
      <c r="C2347" s="826" t="str">
        <f ca="1">IFERROR(_xlfn.CONCAT("D",MATCH(A2347,INDIRECT("'"&amp;E2347&amp;"'!C"&amp;$O$2338&amp;":C"&amp;$O$2340),0)+$O$2338-1),"")</f>
        <v>D803</v>
      </c>
      <c r="D2347" s="826" t="s">
        <v>1350</v>
      </c>
      <c r="E2347" s="826" t="s">
        <v>1516</v>
      </c>
      <c r="F2347" s="1652" t="s">
        <v>1385</v>
      </c>
      <c r="G2347" s="1652" t="str">
        <f>IF(T2347&lt;&gt;"","C","")</f>
        <v/>
      </c>
      <c r="H2347" s="1652" t="s">
        <v>1990</v>
      </c>
      <c r="I2347" s="1274" t="str">
        <f t="shared" si="435"/>
        <v/>
      </c>
      <c r="J2347" s="1733" t="str">
        <f t="shared" si="445"/>
        <v/>
      </c>
      <c r="K2347" s="1652" t="str">
        <f t="shared" si="436"/>
        <v/>
      </c>
      <c r="L2347" s="826" t="s">
        <v>1385</v>
      </c>
      <c r="M2347" s="1656">
        <v>1377</v>
      </c>
      <c r="N2347" s="1652"/>
      <c r="R2347" s="1730" t="s">
        <v>2225</v>
      </c>
      <c r="T2347" s="1730" t="str">
        <f t="shared" si="442"/>
        <v/>
      </c>
    </row>
    <row r="2348" spans="1:20" s="1650" customFormat="1" x14ac:dyDescent="0.25">
      <c r="A2348" s="846" t="s">
        <v>1386</v>
      </c>
      <c r="B2348" s="826" t="str">
        <f ca="1">IFERROR(_xlfn.CONCAT("C",MATCH(A2348,INDIRECT("'"&amp;E2348&amp;"'!C"&amp;$O$2338&amp;":C"&amp;$O$2340),0)+$O$2338-1),"")</f>
        <v>C805</v>
      </c>
      <c r="C2348" s="826" t="str">
        <f ca="1">IFERROR(_xlfn.CONCAT("D",MATCH(A2348,INDIRECT("'"&amp;E2348&amp;"'!C"&amp;$O$2338&amp;":C"&amp;$O$2340),0)+$O$2338-1),"")</f>
        <v>D805</v>
      </c>
      <c r="D2348" s="826" t="s">
        <v>1350</v>
      </c>
      <c r="E2348" s="826" t="s">
        <v>1516</v>
      </c>
      <c r="F2348" s="1652" t="s">
        <v>1386</v>
      </c>
      <c r="G2348" s="1652" t="str">
        <f>IF(T2348&lt;&gt;"","D","")</f>
        <v/>
      </c>
      <c r="H2348" s="1652" t="s">
        <v>1990</v>
      </c>
      <c r="I2348" s="1274" t="str">
        <f t="shared" si="435"/>
        <v/>
      </c>
      <c r="J2348" s="1733" t="str">
        <f t="shared" si="445"/>
        <v/>
      </c>
      <c r="K2348" s="1652" t="str">
        <f t="shared" si="436"/>
        <v/>
      </c>
      <c r="L2348" s="826" t="s">
        <v>1386</v>
      </c>
      <c r="M2348" s="1656">
        <v>1378</v>
      </c>
      <c r="N2348" s="1652"/>
      <c r="R2348" s="1730" t="s">
        <v>2225</v>
      </c>
      <c r="T2348" s="1730" t="str">
        <f t="shared" si="442"/>
        <v/>
      </c>
    </row>
    <row r="2349" spans="1:20" s="1650" customFormat="1" x14ac:dyDescent="0.25">
      <c r="A2349" s="846" t="s">
        <v>1495</v>
      </c>
      <c r="B2349" s="826" t="str">
        <f ca="1">IFERROR(_xlfn.CONCAT("C",MATCH(A2349,INDIRECT("'"&amp;E2349&amp;"'!C"&amp;$O$2338&amp;":C"&amp;$O$2340),0)+$O$2338-1),"")</f>
        <v>C807</v>
      </c>
      <c r="C2349" s="826" t="str">
        <f ca="1">IFERROR(_xlfn.CONCAT("D",MATCH(A2349,INDIRECT("'"&amp;E2349&amp;"'!C"&amp;$O$2338&amp;":C"&amp;$O$2340),0)+$O$2338-1),"")</f>
        <v>D807</v>
      </c>
      <c r="D2349" s="826" t="s">
        <v>1350</v>
      </c>
      <c r="E2349" s="826" t="s">
        <v>1516</v>
      </c>
      <c r="F2349" s="1652" t="s">
        <v>1495</v>
      </c>
      <c r="G2349" s="1652" t="str">
        <f>IF(T2349&lt;&gt;"","AN","")</f>
        <v/>
      </c>
      <c r="H2349" s="1652" t="s">
        <v>1990</v>
      </c>
      <c r="I2349" s="1274" t="str">
        <f t="shared" si="435"/>
        <v/>
      </c>
      <c r="J2349" s="1733" t="str">
        <f t="shared" si="445"/>
        <v/>
      </c>
      <c r="K2349" s="1652" t="str">
        <f t="shared" si="436"/>
        <v/>
      </c>
      <c r="L2349" s="826" t="s">
        <v>1495</v>
      </c>
      <c r="M2349" s="1656">
        <v>1379</v>
      </c>
      <c r="N2349" s="1652"/>
      <c r="P2349" s="1652" t="str" cm="1">
        <f t="array" aca="1" ref="P2349" ca="1">_xlfn.CONCAT("F",RIGHT(B2349, LEN(B2349) - MAX(IF(ISNUMBER(MID(B2349, ROW(INDIRECT("1:"&amp;LEN(B2349))), 1) *1)=FALSE, ROW(INDIRECT("1:"&amp;LEN(B2349))), 0))))</f>
        <v>F807</v>
      </c>
      <c r="Q2349" s="1652" t="str" cm="1">
        <f t="array" aca="1" ref="Q2349" ca="1">_xlfn.CONCAT("E",RIGHT(C2349, LEN(C2349) - MAX(IF(ISNUMBER(MID(C2349, ROW(INDIRECT("1:"&amp;LEN(C2349))), 1) *1)=FALSE, ROW(INDIRECT("1:"&amp;LEN(C2349))), 0))))</f>
        <v>E807</v>
      </c>
      <c r="R2349" s="1730" t="s">
        <v>2225</v>
      </c>
      <c r="T2349" s="1730" t="str">
        <f t="shared" si="442"/>
        <v/>
      </c>
    </row>
    <row r="2350" spans="1:20" s="1650" customFormat="1" x14ac:dyDescent="0.25">
      <c r="A2350" s="846" t="s">
        <v>1389</v>
      </c>
      <c r="B2350" s="826" t="str">
        <f ca="1">_xlfn.CONCAT(IFERROR(SUBSTITUTE(ADDRESS(1,MATCH(A2350,INDIRECT("'"&amp;E2350&amp;"'"&amp;"!A" &amp; $O$2338+5 &amp; ":Z"&amp;$O$2338+5),0),4),1,""),""),$O$2338+5)</f>
        <v>H802</v>
      </c>
      <c r="C2350" s="826" t="str">
        <f ca="1">_xlfn.CONCAT(IFERROR(SUBSTITUTE(ADDRESS(1,MATCH(A2350,INDIRECT("'"&amp;E2350&amp;"'"&amp;"!A" &amp; $O$2338+5 &amp; ":Z"&amp;$O$2338+5),0),4),1,""),""),$O$2338+6)</f>
        <v>H803</v>
      </c>
      <c r="D2350" s="826" t="s">
        <v>1350</v>
      </c>
      <c r="E2350" s="826" t="s">
        <v>1516</v>
      </c>
      <c r="F2350" s="1652" t="s">
        <v>1912</v>
      </c>
      <c r="G2350" s="1652" t="str">
        <f>IF(T2350&lt;&gt;"","O","")</f>
        <v/>
      </c>
      <c r="H2350" s="1652" t="s">
        <v>1990</v>
      </c>
      <c r="I2350" s="1274" t="str">
        <f t="shared" si="435"/>
        <v/>
      </c>
      <c r="J2350" s="1733" t="str">
        <f t="shared" si="445"/>
        <v/>
      </c>
      <c r="K2350" s="1652" t="str">
        <f t="shared" si="436"/>
        <v/>
      </c>
      <c r="L2350" s="826" t="s">
        <v>1389</v>
      </c>
      <c r="M2350" s="1653">
        <v>1380</v>
      </c>
      <c r="N2350" s="1652"/>
      <c r="R2350" s="1730" t="s">
        <v>2225</v>
      </c>
      <c r="T2350" s="1652" t="str">
        <f>IF(Q$2339="Yes",57,"")</f>
        <v/>
      </c>
    </row>
    <row r="2351" spans="1:20" s="1650" customFormat="1" x14ac:dyDescent="0.25">
      <c r="A2351" s="1011" t="s">
        <v>523</v>
      </c>
      <c r="B2351" s="1274" t="str">
        <f>IFERROR(_xlfn.CONCAT("D",('Configurable Tab'!$C$44+1)),"")</f>
        <v>D451</v>
      </c>
      <c r="C2351" s="1274" t="str">
        <f>IFERROR(_xlfn.CONCAT("E",('Configurable Tab'!$C$44+1)),"")</f>
        <v>E451</v>
      </c>
      <c r="D2351" s="1652" t="s">
        <v>1350</v>
      </c>
      <c r="E2351" s="791" t="s">
        <v>1742</v>
      </c>
      <c r="F2351" s="1652"/>
      <c r="G2351" s="1652"/>
      <c r="H2351" s="1652"/>
      <c r="I2351" s="1274" t="str">
        <f t="shared" si="435"/>
        <v>Offer this Incentive?</v>
      </c>
      <c r="J2351" s="1652" t="str">
        <f>$Q$1&amp;T2351</f>
        <v>F</v>
      </c>
      <c r="K2351" s="1652" t="str">
        <f t="shared" si="436"/>
        <v>Incentives</v>
      </c>
      <c r="L2351" s="1652"/>
      <c r="M2351" s="1652"/>
      <c r="N2351" s="1652"/>
      <c r="O2351" s="1650" t="s">
        <v>2144</v>
      </c>
      <c r="P2351" s="18" t="str">
        <f>'Configurable Tab'!E44</f>
        <v>Yes</v>
      </c>
      <c r="Q2351" s="1274" t="str">
        <f>IFERROR(_xlfn.CONCAT("C",('Configurable Tab'!$C44+1)),"")</f>
        <v>C451</v>
      </c>
      <c r="R2351" s="1730" t="s">
        <v>2225</v>
      </c>
      <c r="T2351" s="1652" t="str">
        <f>IF(Q$2339="Yes",M2339,"")</f>
        <v/>
      </c>
    </row>
    <row r="2352" spans="1:20" s="1650" customFormat="1" x14ac:dyDescent="0.25">
      <c r="A2352" s="1012" t="s">
        <v>1383</v>
      </c>
      <c r="B2352" s="1274" t="str">
        <f>IFERROR(_xlfn.CONCAT("D",('Configurable Tab'!$C$44+2)),"")</f>
        <v>D452</v>
      </c>
      <c r="C2352" s="1274" t="str">
        <f>IFERROR(_xlfn.CONCAT("E",('Configurable Tab'!$C$44+2)),"")</f>
        <v>E452</v>
      </c>
      <c r="D2352" s="1652" t="s">
        <v>1350</v>
      </c>
      <c r="E2352" s="791" t="s">
        <v>1742</v>
      </c>
      <c r="F2352" s="1652"/>
      <c r="G2352" s="1652"/>
      <c r="H2352" s="1652"/>
      <c r="I2352" s="1274" t="str">
        <f t="shared" si="435"/>
        <v>Incentive Type</v>
      </c>
      <c r="J2352" s="1652" t="str">
        <f t="shared" ref="J2352:J2359" si="446">$Q$1&amp;T2352</f>
        <v>F</v>
      </c>
      <c r="K2352" s="1652" t="str">
        <f t="shared" si="436"/>
        <v>Incentives</v>
      </c>
      <c r="L2352" s="1652"/>
      <c r="M2352" s="1652"/>
      <c r="N2352" s="1652"/>
      <c r="R2352" s="1730" t="s">
        <v>2225</v>
      </c>
      <c r="T2352" s="1676" t="str">
        <f>IF(Q$2339="Yes",M2340,"")</f>
        <v/>
      </c>
    </row>
    <row r="2353" spans="1:20" s="1650" customFormat="1" x14ac:dyDescent="0.25">
      <c r="A2353" s="1012" t="s">
        <v>1385</v>
      </c>
      <c r="B2353" s="1274" t="str">
        <f>IFERROR(_xlfn.CONCAT("D",('Configurable Tab'!$C$44+4)),"")</f>
        <v>D454</v>
      </c>
      <c r="C2353" s="1274" t="str">
        <f>IFERROR(_xlfn.CONCAT("E",('Configurable Tab'!$C$44+4)),"")</f>
        <v>E454</v>
      </c>
      <c r="D2353" s="1652" t="s">
        <v>1350</v>
      </c>
      <c r="E2353" s="791" t="s">
        <v>1742</v>
      </c>
      <c r="F2353" s="1652"/>
      <c r="G2353" s="1652"/>
      <c r="H2353" s="1652"/>
      <c r="I2353" s="1274" t="str">
        <f t="shared" si="435"/>
        <v>Incentive Effective Date</v>
      </c>
      <c r="J2353" s="1652" t="str">
        <f t="shared" si="446"/>
        <v>F</v>
      </c>
      <c r="K2353" s="1652" t="str">
        <f t="shared" si="436"/>
        <v>Incentives</v>
      </c>
      <c r="L2353" s="1652"/>
      <c r="M2353" s="1652"/>
      <c r="N2353" s="1652"/>
      <c r="R2353" s="1730" t="s">
        <v>2225</v>
      </c>
      <c r="T2353" s="1652" t="str">
        <f>IF(Q$2339="Yes",M2347,"")</f>
        <v/>
      </c>
    </row>
    <row r="2354" spans="1:20" s="1650" customFormat="1" x14ac:dyDescent="0.25">
      <c r="A2354" s="1012" t="s">
        <v>1386</v>
      </c>
      <c r="B2354" s="1274" t="str">
        <f>IFERROR(_xlfn.CONCAT("D",('Configurable Tab'!$C$44+5)),"")</f>
        <v>D455</v>
      </c>
      <c r="C2354" s="1274" t="str">
        <f>IFERROR(_xlfn.CONCAT("E",('Configurable Tab'!$C$44+5)),"")</f>
        <v>E455</v>
      </c>
      <c r="D2354" s="1652" t="s">
        <v>1350</v>
      </c>
      <c r="E2354" s="791" t="s">
        <v>1742</v>
      </c>
      <c r="F2354" s="1652"/>
      <c r="G2354" s="1652"/>
      <c r="H2354" s="1652"/>
      <c r="I2354" s="1274" t="str">
        <f t="shared" si="435"/>
        <v>Incentive Expiration Date</v>
      </c>
      <c r="J2354" s="1652" t="str">
        <f t="shared" si="446"/>
        <v>F</v>
      </c>
      <c r="K2354" s="1652" t="str">
        <f t="shared" si="436"/>
        <v>Incentives</v>
      </c>
      <c r="L2354" s="1652"/>
      <c r="M2354" s="1652"/>
      <c r="N2354" s="1652"/>
      <c r="R2354" s="1730" t="s">
        <v>2225</v>
      </c>
      <c r="T2354" s="1652" t="str">
        <f>IF(Q$2339="Yes",M2348,"")</f>
        <v/>
      </c>
    </row>
    <row r="2355" spans="1:20" s="1650" customFormat="1" x14ac:dyDescent="0.25">
      <c r="A2355" s="1012" t="s">
        <v>1380</v>
      </c>
      <c r="B2355" s="1274" t="str">
        <f>IFERROR(_xlfn.CONCAT("G",('Configurable Tab'!$C$44+1)),"")</f>
        <v>G451</v>
      </c>
      <c r="C2355" s="1274" t="str">
        <f>IFERROR(_xlfn.CONCAT("G",('Configurable Tab'!$C$44+2)),"")</f>
        <v>G452</v>
      </c>
      <c r="D2355" s="1652" t="s">
        <v>1350</v>
      </c>
      <c r="E2355" s="791" t="s">
        <v>1742</v>
      </c>
      <c r="F2355" s="1651"/>
      <c r="G2355" s="1069"/>
      <c r="H2355" s="1652"/>
      <c r="I2355" s="1274" t="str">
        <f t="shared" si="435"/>
        <v>Incentive Period</v>
      </c>
      <c r="J2355" s="1652" t="str">
        <f t="shared" si="446"/>
        <v>F</v>
      </c>
      <c r="K2355" s="1652" t="str">
        <f t="shared" si="436"/>
        <v>Incentives</v>
      </c>
      <c r="L2355" s="1652"/>
      <c r="M2355" s="1652"/>
      <c r="N2355" s="1652"/>
      <c r="R2355" s="1730" t="s">
        <v>2225</v>
      </c>
      <c r="T2355" s="1652" t="str">
        <f>IF(Q$2339="Yes",M2341,"")</f>
        <v/>
      </c>
    </row>
    <row r="2356" spans="1:20" s="1650" customFormat="1" x14ac:dyDescent="0.25">
      <c r="A2356" s="1012" t="s">
        <v>1381</v>
      </c>
      <c r="B2356" s="1274" t="str">
        <f>IFERROR(_xlfn.CONCAT("I",('Configurable Tab'!$C$44+1)),"")</f>
        <v>I451</v>
      </c>
      <c r="C2356" s="1274" t="str">
        <f>IFERROR(_xlfn.CONCAT("I",('Configurable Tab'!$C$44+2)),"")</f>
        <v>I452</v>
      </c>
      <c r="D2356" s="1652" t="s">
        <v>1350</v>
      </c>
      <c r="E2356" s="791" t="s">
        <v>1742</v>
      </c>
      <c r="F2356" s="1652"/>
      <c r="G2356" s="1652"/>
      <c r="H2356" s="1652"/>
      <c r="I2356" s="1274" t="str">
        <f t="shared" si="435"/>
        <v>Payment Method</v>
      </c>
      <c r="J2356" s="1652" t="str">
        <f t="shared" si="446"/>
        <v>F</v>
      </c>
      <c r="K2356" s="1652" t="str">
        <f t="shared" si="436"/>
        <v>Incentives</v>
      </c>
      <c r="L2356" s="1652"/>
      <c r="M2356" s="1652"/>
      <c r="N2356" s="1652"/>
      <c r="R2356" s="1730" t="s">
        <v>2225</v>
      </c>
      <c r="T2356" s="1652" t="str">
        <f>IF(Q$2339="Yes",M2342,"")</f>
        <v/>
      </c>
    </row>
    <row r="2357" spans="1:20" s="1650" customFormat="1" x14ac:dyDescent="0.25">
      <c r="A2357" s="1012" t="s">
        <v>833</v>
      </c>
      <c r="B2357" s="1274" t="str">
        <f>IFERROR(_xlfn.CONCAT("K",('Configurable Tab'!$C$44+1)),"")</f>
        <v>K451</v>
      </c>
      <c r="C2357" s="1274" t="str">
        <f>IFERROR(_xlfn.CONCAT("K",('Configurable Tab'!$C$44+2)),"")</f>
        <v>K452</v>
      </c>
      <c r="D2357" s="1652" t="s">
        <v>1350</v>
      </c>
      <c r="E2357" s="791" t="s">
        <v>1742</v>
      </c>
      <c r="F2357" s="1652"/>
      <c r="G2357" s="1652"/>
      <c r="H2357" s="1652"/>
      <c r="I2357" s="1274" t="str">
        <f t="shared" si="435"/>
        <v>Paid to:</v>
      </c>
      <c r="J2357" s="1652" t="str">
        <f t="shared" si="446"/>
        <v>F</v>
      </c>
      <c r="K2357" s="1652" t="str">
        <f t="shared" si="436"/>
        <v>Incentives</v>
      </c>
      <c r="L2357" s="1652"/>
      <c r="M2357" s="1652"/>
      <c r="N2357" s="1652"/>
      <c r="R2357" s="1730" t="s">
        <v>2225</v>
      </c>
      <c r="T2357" s="1652" t="str">
        <f>IF(Q$2339="Yes",M2343,"")</f>
        <v/>
      </c>
    </row>
    <row r="2358" spans="1:20" s="1650" customFormat="1" x14ac:dyDescent="0.25">
      <c r="A2358" s="1012" t="s">
        <v>1382</v>
      </c>
      <c r="B2358" s="1274" t="str">
        <f>IFERROR(_xlfn.CONCAT("M",('Configurable Tab'!$C$44+1)),"")</f>
        <v>M451</v>
      </c>
      <c r="C2358" s="1274" t="str">
        <f>IFERROR(_xlfn.CONCAT("M",('Configurable Tab'!$C$44+2)),"")</f>
        <v>M452</v>
      </c>
      <c r="D2358" s="1652" t="s">
        <v>1350</v>
      </c>
      <c r="E2358" s="791" t="s">
        <v>1742</v>
      </c>
      <c r="F2358" s="1652"/>
      <c r="G2358" s="1652"/>
      <c r="H2358" s="1652"/>
      <c r="I2358" s="1274" t="str">
        <f t="shared" si="435"/>
        <v>AP/AR Vendor Number</v>
      </c>
      <c r="J2358" s="1652" t="str">
        <f t="shared" si="446"/>
        <v>F</v>
      </c>
      <c r="K2358" s="1652" t="str">
        <f t="shared" si="436"/>
        <v>Incentives</v>
      </c>
      <c r="L2358" s="1652"/>
      <c r="M2358" s="1652"/>
      <c r="N2358" s="1652"/>
      <c r="R2358" s="1730" t="s">
        <v>2225</v>
      </c>
      <c r="T2358" s="1652" t="str">
        <f>IF(Q$2339="Yes",M2344,"")</f>
        <v/>
      </c>
    </row>
    <row r="2359" spans="1:20" s="1650" customFormat="1" x14ac:dyDescent="0.25">
      <c r="A2359" s="1012" t="s">
        <v>1389</v>
      </c>
      <c r="B2359" s="1274" t="str">
        <f>IFERROR(_xlfn.CONCAT("K",('Configurable Tab'!$C$44+4)),"")</f>
        <v>K454</v>
      </c>
      <c r="C2359" s="1274" t="str">
        <f>IFERROR(_xlfn.CONCAT("K",('Configurable Tab'!$C$44+5)),"")</f>
        <v>K455</v>
      </c>
      <c r="D2359" s="1652" t="s">
        <v>1350</v>
      </c>
      <c r="E2359" s="791" t="s">
        <v>1742</v>
      </c>
      <c r="F2359" s="1652"/>
      <c r="G2359" s="1652"/>
      <c r="H2359" s="1652"/>
      <c r="I2359" s="1274" t="str">
        <f t="shared" si="435"/>
        <v>Rate % of Sales</v>
      </c>
      <c r="J2359" s="1652" t="str">
        <f t="shared" si="446"/>
        <v>F</v>
      </c>
      <c r="K2359" s="1652" t="str">
        <f t="shared" si="436"/>
        <v>Incentives</v>
      </c>
      <c r="L2359" s="1652"/>
      <c r="M2359" s="1652"/>
      <c r="N2359" s="1652"/>
      <c r="R2359" s="1730" t="s">
        <v>2225</v>
      </c>
      <c r="T2359" s="1652" t="str">
        <f>IF(Q$2339="Yes",M2350,"")</f>
        <v/>
      </c>
    </row>
    <row r="2360" spans="1:20" s="1650" customFormat="1" x14ac:dyDescent="0.25">
      <c r="A2360" s="846" t="s">
        <v>1491</v>
      </c>
      <c r="B2360" s="826" t="str">
        <f ca="1">IFERROR(_xlfn.CONCAT("C",MATCH(A2360,INDIRECT("'"&amp;E2360&amp;"'!C"&amp;$O$2360&amp;":C"&amp;$O$2362),0)+$O$2360-1),"")</f>
        <v>C815</v>
      </c>
      <c r="C2360" s="826" t="str">
        <f ca="1">IFERROR(_xlfn.CONCAT("D",MATCH(A2360,INDIRECT("'"&amp;E2360&amp;"'!C"&amp;$O$2360&amp;":C"&amp;$O$2362),0)+$O$2360-1),"")</f>
        <v>D815</v>
      </c>
      <c r="D2360" s="826" t="s">
        <v>1350</v>
      </c>
      <c r="E2360" s="826" t="s">
        <v>1516</v>
      </c>
      <c r="F2360" s="1652" t="s">
        <v>1491</v>
      </c>
      <c r="G2360" s="1652" t="str">
        <f>IF(T2360&lt;&gt;"","A","")</f>
        <v/>
      </c>
      <c r="H2360" s="1652" t="s">
        <v>1990</v>
      </c>
      <c r="I2360" s="1274" t="str">
        <f t="shared" si="435"/>
        <v/>
      </c>
      <c r="J2360" s="1652"/>
      <c r="K2360" s="1652" t="str">
        <f t="shared" si="436"/>
        <v/>
      </c>
      <c r="L2360" s="826" t="s">
        <v>1491</v>
      </c>
      <c r="M2360" s="1656">
        <v>1381</v>
      </c>
      <c r="N2360" s="1652"/>
      <c r="O2360" s="1650">
        <f>'Configurable Tab'!H60</f>
        <v>811</v>
      </c>
      <c r="R2360" s="1652" t="s">
        <v>2226</v>
      </c>
      <c r="T2360" s="1730" t="str">
        <f t="shared" ref="T2360:T2371" si="447">IF(Q$2361="Yes",58,"")</f>
        <v/>
      </c>
    </row>
    <row r="2361" spans="1:20" s="1650" customFormat="1" x14ac:dyDescent="0.25">
      <c r="A2361" s="846" t="s">
        <v>1705</v>
      </c>
      <c r="B2361" s="826" t="str">
        <f ca="1">_xlfn.CONCAT(IFERROR(SUBSTITUTE(ADDRESS(1,MATCH(A2361,INDIRECT("'"&amp;E2361&amp;"'"&amp;"!A" &amp; $O$2360+11 &amp; ":Z" &amp; $O$2360+11 ),0),4),1,""),""),$O$2360+11)</f>
        <v>T822</v>
      </c>
      <c r="C2361" s="826" t="str">
        <f ca="1">_xlfn.CONCAT(IFERROR(SUBSTITUTE(ADDRESS(1,MATCH(A2361,INDIRECT("'"&amp;E2361&amp;"'"&amp;"!A" &amp; $O$2360+11 &amp; ":Z" &amp; $O$2360+11 ),0),4),1,""),""),$O$2360+12)</f>
        <v>T823</v>
      </c>
      <c r="D2361" s="826" t="s">
        <v>1350</v>
      </c>
      <c r="E2361" s="826" t="s">
        <v>1516</v>
      </c>
      <c r="F2361" s="1652"/>
      <c r="G2361" s="1652"/>
      <c r="H2361" s="1652"/>
      <c r="I2361" s="1274" t="str">
        <f t="shared" si="435"/>
        <v/>
      </c>
      <c r="J2361" s="1652" t="str">
        <f>IF(M2361&lt;&gt;"",IF($Q$2361="Yes",Q$1&amp;M2361,""))</f>
        <v/>
      </c>
      <c r="K2361" s="1652" t="str">
        <f t="shared" si="436"/>
        <v/>
      </c>
      <c r="L2361" s="826" t="s">
        <v>1705</v>
      </c>
      <c r="M2361" s="1656">
        <v>1382</v>
      </c>
      <c r="N2361" s="1652"/>
      <c r="O2361" s="1650" t="s">
        <v>726</v>
      </c>
      <c r="P2361" s="18" t="str">
        <f>'Configurable Tab'!J60</f>
        <v>Yes</v>
      </c>
      <c r="Q2361" s="1650" t="s">
        <v>648</v>
      </c>
      <c r="R2361" s="1730" t="s">
        <v>2226</v>
      </c>
      <c r="T2361" s="1730" t="str">
        <f t="shared" si="447"/>
        <v/>
      </c>
    </row>
    <row r="2362" spans="1:20" s="1650" customFormat="1" x14ac:dyDescent="0.25">
      <c r="A2362" s="846" t="s">
        <v>1383</v>
      </c>
      <c r="B2362" s="826" t="str">
        <f ca="1">IFERROR(_xlfn.CONCAT("C",MATCH(A2362,INDIRECT("'"&amp;E2362&amp;"'!C"&amp;$O$2360&amp;":C"&amp;$O$2362),0)+$O$2360-1),"")</f>
        <v>C813</v>
      </c>
      <c r="C2362" s="826" t="str">
        <f ca="1">IFERROR(_xlfn.CONCAT("D",MATCH(A2362,INDIRECT("'"&amp;E2362&amp;"'!C"&amp;$O$2360&amp;":C"&amp;$O$2362),0)+$O$2360-1),"")</f>
        <v>D813</v>
      </c>
      <c r="D2362" s="826" t="s">
        <v>1350</v>
      </c>
      <c r="E2362" s="826" t="s">
        <v>1516</v>
      </c>
      <c r="F2362" s="1652" t="s">
        <v>1383</v>
      </c>
      <c r="G2362" s="1652" t="str">
        <f>IF(T2362&lt;&gt;"","B","")</f>
        <v/>
      </c>
      <c r="H2362" s="1652" t="s">
        <v>1990</v>
      </c>
      <c r="I2362" s="1274" t="str">
        <f t="shared" si="435"/>
        <v/>
      </c>
      <c r="J2362" s="1733"/>
      <c r="K2362" s="1652" t="str">
        <f t="shared" si="436"/>
        <v/>
      </c>
      <c r="L2362" s="826" t="s">
        <v>1383</v>
      </c>
      <c r="M2362" s="1656">
        <v>1383</v>
      </c>
      <c r="N2362" s="1652"/>
      <c r="O2362" s="1650">
        <f>'Configurable Tab'!I60</f>
        <v>824</v>
      </c>
      <c r="R2362" s="1730" t="s">
        <v>2226</v>
      </c>
      <c r="T2362" s="1730" t="str">
        <f t="shared" si="447"/>
        <v/>
      </c>
    </row>
    <row r="2363" spans="1:20" s="1650" customFormat="1" x14ac:dyDescent="0.25">
      <c r="A2363" s="846" t="s">
        <v>1380</v>
      </c>
      <c r="B2363" s="826" t="str">
        <f t="shared" ref="B2363:B2368" ca="1" si="448">_xlfn.CONCAT(IFERROR(SUBSTITUTE(ADDRESS(1,MATCH(A2363,INDIRECT("'"&amp;E2363&amp;"'"&amp;"!A" &amp; $O$2360+2 &amp; ":Z"&amp;$O$2360+2 ),0),4),1,""),""),$O$2360+2)</f>
        <v>H813</v>
      </c>
      <c r="C2363" s="826" t="str">
        <f t="shared" ref="C2363:C2368" ca="1" si="449">_xlfn.CONCAT(IFERROR(SUBSTITUTE(ADDRESS(1,MATCH(A2363,INDIRECT("'"&amp;E2363&amp;"'"&amp;"!A" &amp; $O$2360+2 &amp; ":Z"&amp;$O$2360+2 ),0),4),1,""),""),$O$2360+3)</f>
        <v>H814</v>
      </c>
      <c r="D2363" s="826" t="s">
        <v>1350</v>
      </c>
      <c r="E2363" s="826" t="s">
        <v>1516</v>
      </c>
      <c r="F2363" s="1652" t="s">
        <v>1991</v>
      </c>
      <c r="G2363" s="1652" t="str">
        <f>IF(T2363&lt;&gt;"","E","")</f>
        <v/>
      </c>
      <c r="H2363" s="1652" t="s">
        <v>1990</v>
      </c>
      <c r="I2363" s="1274" t="str">
        <f t="shared" si="435"/>
        <v/>
      </c>
      <c r="J2363" s="1733" t="str">
        <f t="shared" ref="J2363:J2372" si="450">IF(M2363&lt;&gt;"",IF($Q$2361="Yes",Q$1&amp;M2363,""))</f>
        <v/>
      </c>
      <c r="K2363" s="1652" t="str">
        <f t="shared" si="436"/>
        <v/>
      </c>
      <c r="L2363" s="826" t="s">
        <v>1380</v>
      </c>
      <c r="M2363" s="1656">
        <v>1384</v>
      </c>
      <c r="N2363" s="1652"/>
      <c r="O2363" s="1650" t="s">
        <v>2154</v>
      </c>
      <c r="R2363" s="1730" t="s">
        <v>2226</v>
      </c>
      <c r="T2363" s="1730" t="str">
        <f t="shared" si="447"/>
        <v/>
      </c>
    </row>
    <row r="2364" spans="1:20" s="1650" customFormat="1" x14ac:dyDescent="0.25">
      <c r="A2364" s="846" t="s">
        <v>1381</v>
      </c>
      <c r="B2364" s="826" t="str">
        <f t="shared" ca="1" si="448"/>
        <v>J813</v>
      </c>
      <c r="C2364" s="826" t="str">
        <f t="shared" ca="1" si="449"/>
        <v>J814</v>
      </c>
      <c r="D2364" s="826" t="s">
        <v>1350</v>
      </c>
      <c r="E2364" s="826" t="s">
        <v>1516</v>
      </c>
      <c r="F2364" s="1652" t="s">
        <v>1992</v>
      </c>
      <c r="G2364" s="1652" t="str">
        <f>IF(T2364&lt;&gt;"","I","")</f>
        <v/>
      </c>
      <c r="H2364" s="1652" t="s">
        <v>1990</v>
      </c>
      <c r="I2364" s="1274" t="str">
        <f t="shared" si="435"/>
        <v/>
      </c>
      <c r="J2364" s="1733" t="str">
        <f t="shared" si="450"/>
        <v/>
      </c>
      <c r="K2364" s="1652" t="str">
        <f t="shared" si="436"/>
        <v/>
      </c>
      <c r="L2364" s="826" t="s">
        <v>1381</v>
      </c>
      <c r="M2364" s="1656">
        <v>1385</v>
      </c>
      <c r="N2364" s="1652"/>
      <c r="R2364" s="1730" t="s">
        <v>2226</v>
      </c>
      <c r="T2364" s="1730" t="str">
        <f t="shared" si="447"/>
        <v/>
      </c>
    </row>
    <row r="2365" spans="1:20" s="1650" customFormat="1" x14ac:dyDescent="0.25">
      <c r="A2365" s="846" t="s">
        <v>1397</v>
      </c>
      <c r="B2365" s="826" t="str">
        <f t="shared" ca="1" si="448"/>
        <v>L813</v>
      </c>
      <c r="C2365" s="826" t="str">
        <f t="shared" ca="1" si="449"/>
        <v>L814</v>
      </c>
      <c r="D2365" s="826" t="s">
        <v>1350</v>
      </c>
      <c r="E2365" s="826" t="s">
        <v>1516</v>
      </c>
      <c r="F2365" s="1652" t="s">
        <v>1993</v>
      </c>
      <c r="G2365" s="1652" t="str">
        <f>IF(T2365&lt;&gt;"","H","")</f>
        <v/>
      </c>
      <c r="H2365" s="1652" t="s">
        <v>1990</v>
      </c>
      <c r="I2365" s="1274" t="str">
        <f t="shared" si="435"/>
        <v/>
      </c>
      <c r="J2365" s="1733" t="str">
        <f t="shared" si="450"/>
        <v/>
      </c>
      <c r="K2365" s="1652" t="str">
        <f t="shared" si="436"/>
        <v/>
      </c>
      <c r="L2365" s="826" t="s">
        <v>1397</v>
      </c>
      <c r="M2365" s="1656">
        <v>1386</v>
      </c>
      <c r="N2365" s="1652"/>
      <c r="R2365" s="1730" t="s">
        <v>2226</v>
      </c>
      <c r="T2365" s="1730" t="str">
        <f t="shared" si="447"/>
        <v/>
      </c>
    </row>
    <row r="2366" spans="1:20" s="1650" customFormat="1" x14ac:dyDescent="0.25">
      <c r="A2366" s="846" t="s">
        <v>1382</v>
      </c>
      <c r="B2366" s="826" t="str">
        <f t="shared" ca="1" si="448"/>
        <v>N813</v>
      </c>
      <c r="C2366" s="826" t="str">
        <f t="shared" ca="1" si="449"/>
        <v>N814</v>
      </c>
      <c r="D2366" s="826" t="s">
        <v>1350</v>
      </c>
      <c r="E2366" s="826" t="s">
        <v>1516</v>
      </c>
      <c r="F2366" s="1652" t="s">
        <v>1382</v>
      </c>
      <c r="G2366" s="1652" t="str">
        <f>IF(T2366&lt;&gt;"",IF(Q2364="Credit Memo","J",IF(Q2364="Check","K","")),"")</f>
        <v/>
      </c>
      <c r="H2366" s="1652" t="s">
        <v>1990</v>
      </c>
      <c r="I2366" s="1274" t="str">
        <f t="shared" si="435"/>
        <v/>
      </c>
      <c r="J2366" s="1733" t="str">
        <f t="shared" si="450"/>
        <v/>
      </c>
      <c r="K2366" s="1652" t="str">
        <f t="shared" si="436"/>
        <v/>
      </c>
      <c r="L2366" s="826" t="s">
        <v>1382</v>
      </c>
      <c r="M2366" s="1656">
        <v>1387</v>
      </c>
      <c r="N2366" s="1652"/>
      <c r="R2366" s="1730" t="s">
        <v>2226</v>
      </c>
      <c r="T2366" s="1730" t="str">
        <f t="shared" si="447"/>
        <v/>
      </c>
    </row>
    <row r="2367" spans="1:20" s="1650" customFormat="1" x14ac:dyDescent="0.25">
      <c r="A2367" s="846" t="s">
        <v>1487</v>
      </c>
      <c r="B2367" s="826" t="str">
        <f t="shared" ca="1" si="448"/>
        <v>R813</v>
      </c>
      <c r="C2367" s="826" t="str">
        <f t="shared" ca="1" si="449"/>
        <v>R814</v>
      </c>
      <c r="D2367" s="826" t="s">
        <v>1350</v>
      </c>
      <c r="E2367" s="826" t="s">
        <v>1516</v>
      </c>
      <c r="F2367" s="1652" t="s">
        <v>1995</v>
      </c>
      <c r="G2367" s="1652" t="str">
        <f>IF(T2367&lt;&gt;"","G","")</f>
        <v/>
      </c>
      <c r="H2367" s="1652" t="s">
        <v>1990</v>
      </c>
      <c r="I2367" s="1274" t="str">
        <f t="shared" si="435"/>
        <v/>
      </c>
      <c r="J2367" s="1733" t="str">
        <f t="shared" si="450"/>
        <v/>
      </c>
      <c r="K2367" s="1652" t="str">
        <f t="shared" si="436"/>
        <v/>
      </c>
      <c r="L2367" s="826" t="s">
        <v>1487</v>
      </c>
      <c r="M2367" s="1656">
        <v>1388</v>
      </c>
      <c r="N2367" s="1652"/>
      <c r="R2367" s="1730" t="s">
        <v>2226</v>
      </c>
      <c r="T2367" s="1730" t="str">
        <f t="shared" si="447"/>
        <v/>
      </c>
    </row>
    <row r="2368" spans="1:20" s="1650" customFormat="1" x14ac:dyDescent="0.25">
      <c r="A2368" s="846" t="s">
        <v>1488</v>
      </c>
      <c r="B2368" s="826" t="str">
        <f t="shared" ca="1" si="448"/>
        <v>T813</v>
      </c>
      <c r="C2368" s="826" t="str">
        <f t="shared" ca="1" si="449"/>
        <v>T814</v>
      </c>
      <c r="D2368" s="826" t="s">
        <v>1350</v>
      </c>
      <c r="E2368" s="826" t="s">
        <v>1516</v>
      </c>
      <c r="F2368" s="841" t="s">
        <v>1488</v>
      </c>
      <c r="G2368" s="1652" t="str">
        <f>IF(T2368&lt;&gt;"","AW","")</f>
        <v/>
      </c>
      <c r="H2368" s="1652" t="s">
        <v>1990</v>
      </c>
      <c r="I2368" s="1274" t="str">
        <f t="shared" si="435"/>
        <v/>
      </c>
      <c r="J2368" s="1733" t="str">
        <f t="shared" si="450"/>
        <v/>
      </c>
      <c r="K2368" s="1652" t="str">
        <f t="shared" si="436"/>
        <v/>
      </c>
      <c r="L2368" s="826" t="s">
        <v>1488</v>
      </c>
      <c r="M2368" s="1656">
        <v>1389</v>
      </c>
      <c r="N2368" s="1652"/>
      <c r="R2368" s="1730" t="s">
        <v>2226</v>
      </c>
      <c r="T2368" s="1730" t="str">
        <f t="shared" si="447"/>
        <v/>
      </c>
    </row>
    <row r="2369" spans="1:20" s="1650" customFormat="1" x14ac:dyDescent="0.25">
      <c r="A2369" s="846" t="s">
        <v>1385</v>
      </c>
      <c r="B2369" s="826" t="str">
        <f ca="1">IFERROR(_xlfn.CONCAT("C",MATCH(A2369,INDIRECT("'"&amp;E2369&amp;"'!C"&amp;$O$2360&amp;":C"&amp;$O$2362),0)+$O$2360-1),"")</f>
        <v>C817</v>
      </c>
      <c r="C2369" s="826" t="str">
        <f ca="1">IFERROR(_xlfn.CONCAT("D",MATCH(A2369,INDIRECT("'"&amp;E2369&amp;"'!C"&amp;$O$2360&amp;":C"&amp;$O$2362),0)+$O$2360-1),"")</f>
        <v>D817</v>
      </c>
      <c r="D2369" s="826" t="s">
        <v>1350</v>
      </c>
      <c r="E2369" s="826" t="s">
        <v>1516</v>
      </c>
      <c r="F2369" s="1652" t="s">
        <v>1385</v>
      </c>
      <c r="G2369" s="1652" t="str">
        <f>IF(T2369&lt;&gt;"","C","")</f>
        <v/>
      </c>
      <c r="H2369" s="1652" t="s">
        <v>1990</v>
      </c>
      <c r="I2369" s="1274" t="str">
        <f t="shared" si="435"/>
        <v/>
      </c>
      <c r="J2369" s="1733" t="str">
        <f t="shared" si="450"/>
        <v/>
      </c>
      <c r="K2369" s="1652" t="str">
        <f t="shared" si="436"/>
        <v/>
      </c>
      <c r="L2369" s="826" t="s">
        <v>1385</v>
      </c>
      <c r="M2369" s="1656">
        <v>1390</v>
      </c>
      <c r="N2369" s="1652"/>
      <c r="R2369" s="1730" t="s">
        <v>2226</v>
      </c>
      <c r="T2369" s="1730" t="str">
        <f t="shared" si="447"/>
        <v/>
      </c>
    </row>
    <row r="2370" spans="1:20" s="1650" customFormat="1" x14ac:dyDescent="0.25">
      <c r="A2370" s="846" t="s">
        <v>1386</v>
      </c>
      <c r="B2370" s="826" t="str">
        <f ca="1">IFERROR(_xlfn.CONCAT("C",MATCH(A2370,INDIRECT("'"&amp;E2370&amp;"'!C"&amp;$O$2360&amp;":C"&amp;$O$2362),0)+$O$2360-1),"")</f>
        <v>C819</v>
      </c>
      <c r="C2370" s="826" t="str">
        <f ca="1">IFERROR(_xlfn.CONCAT("D",MATCH(A2370,INDIRECT("'"&amp;E2370&amp;"'!C"&amp;$O$2360&amp;":C"&amp;$O$2362),0)+$O$2360-1),"")</f>
        <v>D819</v>
      </c>
      <c r="D2370" s="826" t="s">
        <v>1350</v>
      </c>
      <c r="E2370" s="826" t="s">
        <v>1516</v>
      </c>
      <c r="F2370" s="1652" t="s">
        <v>1386</v>
      </c>
      <c r="G2370" s="1652" t="str">
        <f>IF(T2370&lt;&gt;"","D","")</f>
        <v/>
      </c>
      <c r="H2370" s="1652" t="s">
        <v>1990</v>
      </c>
      <c r="I2370" s="1274" t="str">
        <f t="shared" si="435"/>
        <v/>
      </c>
      <c r="J2370" s="1733" t="str">
        <f t="shared" si="450"/>
        <v/>
      </c>
      <c r="K2370" s="1652" t="str">
        <f t="shared" si="436"/>
        <v/>
      </c>
      <c r="L2370" s="826" t="s">
        <v>1386</v>
      </c>
      <c r="M2370" s="1656">
        <v>1391</v>
      </c>
      <c r="N2370" s="1652"/>
      <c r="R2370" s="1730" t="s">
        <v>2226</v>
      </c>
      <c r="T2370" s="1730" t="str">
        <f t="shared" si="447"/>
        <v/>
      </c>
    </row>
    <row r="2371" spans="1:20" s="1650" customFormat="1" x14ac:dyDescent="0.25">
      <c r="A2371" s="846" t="s">
        <v>1495</v>
      </c>
      <c r="B2371" s="826" t="str">
        <f ca="1">IFERROR(_xlfn.CONCAT("C",MATCH(A2371,INDIRECT("'"&amp;E2371&amp;"'!C"&amp;$O$2360&amp;":C"&amp;$O$2362),0)+$O$2360-1),"")</f>
        <v>C821</v>
      </c>
      <c r="C2371" s="826" t="str">
        <f ca="1">IFERROR(_xlfn.CONCAT("D",MATCH(A2371,INDIRECT("'"&amp;E2371&amp;"'!C"&amp;$O$2360&amp;":C"&amp;$O$2362),0)+$O$2360-1),"")</f>
        <v>D821</v>
      </c>
      <c r="D2371" s="826" t="s">
        <v>1350</v>
      </c>
      <c r="E2371" s="826" t="s">
        <v>1516</v>
      </c>
      <c r="F2371" s="1652" t="s">
        <v>1495</v>
      </c>
      <c r="G2371" s="1652" t="str">
        <f>IF(T2371&lt;&gt;"","AN","")</f>
        <v/>
      </c>
      <c r="H2371" s="1652" t="s">
        <v>1990</v>
      </c>
      <c r="I2371" s="1274" t="str">
        <f t="shared" si="435"/>
        <v/>
      </c>
      <c r="J2371" s="1733" t="str">
        <f t="shared" si="450"/>
        <v/>
      </c>
      <c r="K2371" s="1652" t="str">
        <f t="shared" si="436"/>
        <v/>
      </c>
      <c r="L2371" s="826" t="s">
        <v>1495</v>
      </c>
      <c r="M2371" s="1656">
        <v>1392</v>
      </c>
      <c r="N2371" s="1652"/>
      <c r="P2371" s="1652" t="str" cm="1">
        <f t="array" aca="1" ref="P2371" ca="1">_xlfn.CONCAT("F",RIGHT(B2371, LEN(B2371) - MAX(IF(ISNUMBER(MID(B2371, ROW(INDIRECT("1:"&amp;LEN(B2371))), 1) *1)=FALSE, ROW(INDIRECT("1:"&amp;LEN(B2371))), 0))))</f>
        <v>F821</v>
      </c>
      <c r="Q2371" s="1652" t="str" cm="1">
        <f t="array" aca="1" ref="Q2371" ca="1">_xlfn.CONCAT("E",RIGHT(C2371, LEN(C2371) - MAX(IF(ISNUMBER(MID(C2371, ROW(INDIRECT("1:"&amp;LEN(C2371))), 1) *1)=FALSE, ROW(INDIRECT("1:"&amp;LEN(C2371))), 0))))</f>
        <v>E821</v>
      </c>
      <c r="R2371" s="1730" t="s">
        <v>2226</v>
      </c>
      <c r="T2371" s="1730" t="str">
        <f t="shared" si="447"/>
        <v/>
      </c>
    </row>
    <row r="2372" spans="1:20" s="1650" customFormat="1" x14ac:dyDescent="0.25">
      <c r="A2372" s="846" t="s">
        <v>1389</v>
      </c>
      <c r="B2372" s="826" t="str">
        <f ca="1">_xlfn.CONCAT(IFERROR(SUBSTITUTE(ADDRESS(1,MATCH(A2372,INDIRECT("'"&amp;E2372&amp;"'"&amp;"!A" &amp; $O$2360+5 &amp; ":Z"&amp;$O$2360+5),0),4),1,""),""),$O$2360+5)</f>
        <v>H816</v>
      </c>
      <c r="C2372" s="826" t="str">
        <f ca="1">_xlfn.CONCAT(IFERROR(SUBSTITUTE(ADDRESS(1,MATCH(A2372,INDIRECT("'"&amp;E2372&amp;"'"&amp;"!A" &amp; $O$2360+5 &amp; ":Z"&amp;$O$2360+5),0),4),1,""),""),$O$2360+6)</f>
        <v>H817</v>
      </c>
      <c r="D2372" s="826" t="s">
        <v>1350</v>
      </c>
      <c r="E2372" s="826" t="s">
        <v>1516</v>
      </c>
      <c r="F2372" s="1652" t="s">
        <v>1912</v>
      </c>
      <c r="G2372" s="1652" t="str">
        <f>IF(T2372&lt;&gt;"","O","")</f>
        <v/>
      </c>
      <c r="H2372" s="1652" t="s">
        <v>1990</v>
      </c>
      <c r="I2372" s="1274" t="str">
        <f t="shared" si="435"/>
        <v/>
      </c>
      <c r="J2372" s="1733" t="str">
        <f t="shared" si="450"/>
        <v/>
      </c>
      <c r="K2372" s="1652" t="str">
        <f t="shared" si="436"/>
        <v/>
      </c>
      <c r="L2372" s="826" t="s">
        <v>1389</v>
      </c>
      <c r="M2372" s="1653">
        <v>1393</v>
      </c>
      <c r="N2372" s="1652"/>
      <c r="R2372" s="1730" t="s">
        <v>2226</v>
      </c>
      <c r="T2372" s="1652" t="str">
        <f>IF(Q$2361="Yes",58,"")</f>
        <v/>
      </c>
    </row>
    <row r="2373" spans="1:20" s="1650" customFormat="1" x14ac:dyDescent="0.25">
      <c r="A2373" s="1011" t="s">
        <v>523</v>
      </c>
      <c r="B2373" s="1274" t="str">
        <f>IFERROR(_xlfn.CONCAT("D",('Configurable Tab'!$C$45+1)),"")</f>
        <v>D459</v>
      </c>
      <c r="C2373" s="1274" t="str">
        <f>IFERROR(_xlfn.CONCAT("E",('Configurable Tab'!$C$45+1)),"")</f>
        <v>E459</v>
      </c>
      <c r="D2373" s="1652" t="s">
        <v>1350</v>
      </c>
      <c r="E2373" s="791" t="s">
        <v>1742</v>
      </c>
      <c r="F2373" s="1652"/>
      <c r="G2373" s="1652"/>
      <c r="H2373" s="1652"/>
      <c r="I2373" s="1274" t="str">
        <f t="shared" si="435"/>
        <v>Offer this Incentive?</v>
      </c>
      <c r="J2373" s="1652" t="str">
        <f>$Q$1&amp;T2373</f>
        <v>F</v>
      </c>
      <c r="K2373" s="1652" t="str">
        <f t="shared" si="436"/>
        <v>Incentives</v>
      </c>
      <c r="L2373" s="1652"/>
      <c r="M2373" s="1652"/>
      <c r="N2373" s="1652"/>
      <c r="O2373" s="1650" t="s">
        <v>2144</v>
      </c>
      <c r="P2373" s="18" t="str">
        <f>'Configurable Tab'!E45</f>
        <v>Yes</v>
      </c>
      <c r="Q2373" s="1274" t="str">
        <f>IFERROR(_xlfn.CONCAT("C",('Configurable Tab'!$C45+1)),"")</f>
        <v>C459</v>
      </c>
      <c r="R2373" s="1730" t="s">
        <v>2226</v>
      </c>
      <c r="T2373" s="1652" t="str">
        <f>IF(Q$2361="Yes",M2361,"")</f>
        <v/>
      </c>
    </row>
    <row r="2374" spans="1:20" s="1650" customFormat="1" x14ac:dyDescent="0.25">
      <c r="A2374" s="1012" t="s">
        <v>1383</v>
      </c>
      <c r="B2374" s="1274" t="str">
        <f>IFERROR(_xlfn.CONCAT("D",('Configurable Tab'!$C$45+2)),"")</f>
        <v>D460</v>
      </c>
      <c r="C2374" s="1274" t="str">
        <f>IFERROR(_xlfn.CONCAT("E",('Configurable Tab'!$C$45+2)),"")</f>
        <v>E460</v>
      </c>
      <c r="D2374" s="1652" t="s">
        <v>1350</v>
      </c>
      <c r="E2374" s="791" t="s">
        <v>1742</v>
      </c>
      <c r="F2374" s="1652"/>
      <c r="G2374" s="1652"/>
      <c r="H2374" s="1652"/>
      <c r="I2374" s="1274" t="str">
        <f t="shared" si="435"/>
        <v>Incentive Type</v>
      </c>
      <c r="J2374" s="1652" t="str">
        <f t="shared" ref="J2374:J2381" si="451">$Q$1&amp;T2374</f>
        <v>F</v>
      </c>
      <c r="K2374" s="1652" t="str">
        <f t="shared" si="436"/>
        <v>Incentives</v>
      </c>
      <c r="L2374" s="1652"/>
      <c r="M2374" s="1652"/>
      <c r="N2374" s="1652"/>
      <c r="R2374" s="1730" t="s">
        <v>2226</v>
      </c>
      <c r="T2374" s="1652" t="str">
        <f>IF(Q$2361="Yes",M2362,"")</f>
        <v/>
      </c>
    </row>
    <row r="2375" spans="1:20" s="1650" customFormat="1" x14ac:dyDescent="0.25">
      <c r="A2375" s="1012" t="s">
        <v>1385</v>
      </c>
      <c r="B2375" s="1274" t="str">
        <f>IFERROR(_xlfn.CONCAT("D",('Configurable Tab'!$C$45+4)),"")</f>
        <v>D462</v>
      </c>
      <c r="C2375" s="1274" t="str">
        <f>IFERROR(_xlfn.CONCAT("E",('Configurable Tab'!$C$45+4)),"")</f>
        <v>E462</v>
      </c>
      <c r="D2375" s="1652" t="s">
        <v>1350</v>
      </c>
      <c r="E2375" s="791" t="s">
        <v>1742</v>
      </c>
      <c r="F2375" s="1652"/>
      <c r="G2375" s="1652"/>
      <c r="H2375" s="1652"/>
      <c r="I2375" s="1274" t="str">
        <f t="shared" si="435"/>
        <v>Incentive Effective Date</v>
      </c>
      <c r="J2375" s="1652" t="str">
        <f t="shared" si="451"/>
        <v>F</v>
      </c>
      <c r="K2375" s="1652" t="str">
        <f t="shared" si="436"/>
        <v>Incentives</v>
      </c>
      <c r="L2375" s="1652"/>
      <c r="M2375" s="1652"/>
      <c r="N2375" s="1652"/>
      <c r="R2375" s="1730" t="s">
        <v>2226</v>
      </c>
      <c r="T2375" s="1652" t="str">
        <f>IF(Q$2361="Yes",M2369,"")</f>
        <v/>
      </c>
    </row>
    <row r="2376" spans="1:20" s="1650" customFormat="1" x14ac:dyDescent="0.25">
      <c r="A2376" s="1012" t="s">
        <v>1386</v>
      </c>
      <c r="B2376" s="1274" t="str">
        <f>IFERROR(_xlfn.CONCAT("D",('Configurable Tab'!$C$45+5)),"")</f>
        <v>D463</v>
      </c>
      <c r="C2376" s="1274" t="str">
        <f>IFERROR(_xlfn.CONCAT("E",('Configurable Tab'!$C$45+5)),"")</f>
        <v>E463</v>
      </c>
      <c r="D2376" s="1652" t="s">
        <v>1350</v>
      </c>
      <c r="E2376" s="791" t="s">
        <v>1742</v>
      </c>
      <c r="F2376" s="1652"/>
      <c r="G2376" s="1652"/>
      <c r="H2376" s="1652"/>
      <c r="I2376" s="1274" t="str">
        <f t="shared" si="435"/>
        <v>Incentive Expiration Date</v>
      </c>
      <c r="J2376" s="1652" t="str">
        <f t="shared" si="451"/>
        <v>F</v>
      </c>
      <c r="K2376" s="1652" t="str">
        <f t="shared" si="436"/>
        <v>Incentives</v>
      </c>
      <c r="L2376" s="1652"/>
      <c r="M2376" s="1652"/>
      <c r="N2376" s="1652"/>
      <c r="R2376" s="1730" t="s">
        <v>2226</v>
      </c>
      <c r="T2376" s="1652" t="str">
        <f>IF(Q$2361="Yes",M2370,"")</f>
        <v/>
      </c>
    </row>
    <row r="2377" spans="1:20" s="1650" customFormat="1" x14ac:dyDescent="0.25">
      <c r="A2377" s="1012" t="s">
        <v>1380</v>
      </c>
      <c r="B2377" s="1274" t="str">
        <f>IFERROR(_xlfn.CONCAT("G",('Configurable Tab'!$C$45+1)),"")</f>
        <v>G459</v>
      </c>
      <c r="C2377" s="1274" t="str">
        <f>IFERROR(_xlfn.CONCAT("G",('Configurable Tab'!$C$45+2)),"")</f>
        <v>G460</v>
      </c>
      <c r="D2377" s="1652" t="s">
        <v>1350</v>
      </c>
      <c r="E2377" s="791" t="s">
        <v>1742</v>
      </c>
      <c r="F2377" s="1651"/>
      <c r="G2377" s="1069"/>
      <c r="H2377" s="1652"/>
      <c r="I2377" s="1274" t="str">
        <f t="shared" si="435"/>
        <v>Incentive Period</v>
      </c>
      <c r="J2377" s="1652" t="str">
        <f t="shared" si="451"/>
        <v>F</v>
      </c>
      <c r="K2377" s="1652" t="str">
        <f t="shared" si="436"/>
        <v>Incentives</v>
      </c>
      <c r="L2377" s="1652"/>
      <c r="M2377" s="1652"/>
      <c r="N2377" s="1652"/>
      <c r="R2377" s="1730" t="s">
        <v>2226</v>
      </c>
      <c r="T2377" s="1652" t="str">
        <f>IF(Q$2361="Yes",M2363,"")</f>
        <v/>
      </c>
    </row>
    <row r="2378" spans="1:20" s="1650" customFormat="1" x14ac:dyDescent="0.25">
      <c r="A2378" s="1012" t="s">
        <v>1381</v>
      </c>
      <c r="B2378" s="1274" t="str">
        <f>IFERROR(_xlfn.CONCAT("I",('Configurable Tab'!$C$45+1)),"")</f>
        <v>I459</v>
      </c>
      <c r="C2378" s="1274" t="str">
        <f>IFERROR(_xlfn.CONCAT("I",('Configurable Tab'!$C$45+2)),"")</f>
        <v>I460</v>
      </c>
      <c r="D2378" s="1652" t="s">
        <v>1350</v>
      </c>
      <c r="E2378" s="791" t="s">
        <v>1742</v>
      </c>
      <c r="F2378" s="1652"/>
      <c r="G2378" s="1652"/>
      <c r="H2378" s="1652"/>
      <c r="I2378" s="1274" t="str">
        <f t="shared" si="435"/>
        <v>Payment Method</v>
      </c>
      <c r="J2378" s="1652" t="str">
        <f t="shared" si="451"/>
        <v>F</v>
      </c>
      <c r="K2378" s="1652" t="str">
        <f t="shared" si="436"/>
        <v>Incentives</v>
      </c>
      <c r="L2378" s="1652"/>
      <c r="M2378" s="1652"/>
      <c r="N2378" s="1652"/>
      <c r="R2378" s="1730" t="s">
        <v>2226</v>
      </c>
      <c r="T2378" s="1652" t="str">
        <f>IF(Q$2361="Yes",M2364,"")</f>
        <v/>
      </c>
    </row>
    <row r="2379" spans="1:20" s="1650" customFormat="1" x14ac:dyDescent="0.25">
      <c r="A2379" s="1012" t="s">
        <v>833</v>
      </c>
      <c r="B2379" s="1274" t="str">
        <f>IFERROR(_xlfn.CONCAT("K",('Configurable Tab'!$C$45+1)),"")</f>
        <v>K459</v>
      </c>
      <c r="C2379" s="1274" t="str">
        <f>IFERROR(_xlfn.CONCAT("K",('Configurable Tab'!$C$45+2)),"")</f>
        <v>K460</v>
      </c>
      <c r="D2379" s="1652" t="s">
        <v>1350</v>
      </c>
      <c r="E2379" s="791" t="s">
        <v>1742</v>
      </c>
      <c r="F2379" s="1652"/>
      <c r="G2379" s="1652"/>
      <c r="H2379" s="1652"/>
      <c r="I2379" s="1274" t="str">
        <f t="shared" si="435"/>
        <v>Paid to:</v>
      </c>
      <c r="J2379" s="1652" t="str">
        <f t="shared" si="451"/>
        <v>F</v>
      </c>
      <c r="K2379" s="1652" t="str">
        <f t="shared" si="436"/>
        <v>Incentives</v>
      </c>
      <c r="L2379" s="1652"/>
      <c r="M2379" s="1652"/>
      <c r="N2379" s="1652"/>
      <c r="R2379" s="1730" t="s">
        <v>2226</v>
      </c>
      <c r="T2379" s="1652" t="str">
        <f>IF(Q$2361="Yes",M2365,"")</f>
        <v/>
      </c>
    </row>
    <row r="2380" spans="1:20" s="1650" customFormat="1" x14ac:dyDescent="0.25">
      <c r="A2380" s="1012" t="s">
        <v>1382</v>
      </c>
      <c r="B2380" s="1274" t="str">
        <f>IFERROR(_xlfn.CONCAT("M",('Configurable Tab'!$C$45+1)),"")</f>
        <v>M459</v>
      </c>
      <c r="C2380" s="1274" t="str">
        <f>IFERROR(_xlfn.CONCAT("M",('Configurable Tab'!$C$45+2)),"")</f>
        <v>M460</v>
      </c>
      <c r="D2380" s="1652" t="s">
        <v>1350</v>
      </c>
      <c r="E2380" s="791" t="s">
        <v>1742</v>
      </c>
      <c r="F2380" s="1652"/>
      <c r="G2380" s="1652"/>
      <c r="H2380" s="1652"/>
      <c r="I2380" s="1274" t="str">
        <f t="shared" ref="I2380:I2443" si="452">IF(J2380&lt;&gt;"",A2380,"")</f>
        <v>AP/AR Vendor Number</v>
      </c>
      <c r="J2380" s="1652" t="str">
        <f t="shared" si="451"/>
        <v>F</v>
      </c>
      <c r="K2380" s="1652" t="str">
        <f t="shared" ref="K2380:K2443" si="453">IF(J2380&lt;&gt;"",E2380,"")</f>
        <v>Incentives</v>
      </c>
      <c r="L2380" s="1652"/>
      <c r="M2380" s="1652"/>
      <c r="N2380" s="1652"/>
      <c r="R2380" s="1730" t="s">
        <v>2226</v>
      </c>
      <c r="T2380" s="1652" t="str">
        <f>IF(Q$2361="Yes",M2366,"")</f>
        <v/>
      </c>
    </row>
    <row r="2381" spans="1:20" s="1650" customFormat="1" x14ac:dyDescent="0.25">
      <c r="A2381" s="1012" t="s">
        <v>1389</v>
      </c>
      <c r="B2381" s="1274" t="str">
        <f>IFERROR(_xlfn.CONCAT("K",('Configurable Tab'!$C$45+4)),"")</f>
        <v>K462</v>
      </c>
      <c r="C2381" s="1274" t="str">
        <f>IFERROR(_xlfn.CONCAT("K",('Configurable Tab'!$C$45+5)),"")</f>
        <v>K463</v>
      </c>
      <c r="D2381" s="1652" t="s">
        <v>1350</v>
      </c>
      <c r="E2381" s="791" t="s">
        <v>1742</v>
      </c>
      <c r="F2381" s="1652"/>
      <c r="G2381" s="1652"/>
      <c r="H2381" s="1652"/>
      <c r="I2381" s="1274" t="str">
        <f t="shared" si="452"/>
        <v>Rate % of Sales</v>
      </c>
      <c r="J2381" s="1652" t="str">
        <f t="shared" si="451"/>
        <v>F</v>
      </c>
      <c r="K2381" s="1652" t="str">
        <f t="shared" si="453"/>
        <v>Incentives</v>
      </c>
      <c r="L2381" s="1652"/>
      <c r="M2381" s="1652"/>
      <c r="N2381" s="1652"/>
      <c r="R2381" s="1730" t="s">
        <v>2226</v>
      </c>
      <c r="T2381" s="1652" t="str">
        <f>IF(Q$2361="Yes",M2372,"")</f>
        <v/>
      </c>
    </row>
    <row r="2382" spans="1:20" s="1650" customFormat="1" x14ac:dyDescent="0.25">
      <c r="A2382" s="846" t="s">
        <v>1491</v>
      </c>
      <c r="B2382" s="826" t="str">
        <f ca="1">IFERROR(_xlfn.CONCAT("C",MATCH(A2382,INDIRECT("'"&amp;E2382&amp;"'!C"&amp;$O$2382&amp;":C"&amp;$O$2384),0)+$O$2382-1),"")</f>
        <v>C829</v>
      </c>
      <c r="C2382" s="826" t="str">
        <f ca="1">IFERROR(_xlfn.CONCAT("D",MATCH(A2382,INDIRECT("'"&amp;E2382&amp;"'!C"&amp;$O$2382&amp;":C"&amp;$O$2384),0)+$O$2382-1),"")</f>
        <v>D829</v>
      </c>
      <c r="D2382" s="826" t="s">
        <v>1350</v>
      </c>
      <c r="E2382" s="826" t="s">
        <v>1516</v>
      </c>
      <c r="F2382" s="1652" t="s">
        <v>1491</v>
      </c>
      <c r="G2382" s="1652" t="str">
        <f>IF(T2382&lt;&gt;"","A","")</f>
        <v/>
      </c>
      <c r="H2382" s="1652" t="s">
        <v>1990</v>
      </c>
      <c r="I2382" s="1274" t="str">
        <f t="shared" si="452"/>
        <v/>
      </c>
      <c r="J2382" s="1652"/>
      <c r="K2382" s="1652" t="str">
        <f t="shared" si="453"/>
        <v/>
      </c>
      <c r="L2382" s="826" t="s">
        <v>1491</v>
      </c>
      <c r="M2382" s="1656">
        <v>1394</v>
      </c>
      <c r="N2382" s="1652"/>
      <c r="O2382" s="1650">
        <f>'Configurable Tab'!H61</f>
        <v>825</v>
      </c>
      <c r="R2382" s="1652" t="s">
        <v>2227</v>
      </c>
      <c r="T2382" s="1730" t="str">
        <f t="shared" ref="T2382:T2393" si="454">IF(Q$2383="Yes",59,"")</f>
        <v/>
      </c>
    </row>
    <row r="2383" spans="1:20" s="1650" customFormat="1" x14ac:dyDescent="0.25">
      <c r="A2383" s="846" t="s">
        <v>1705</v>
      </c>
      <c r="B2383" s="826" t="str">
        <f ca="1">_xlfn.CONCAT(IFERROR(SUBSTITUTE(ADDRESS(1,MATCH(A2383,INDIRECT("'"&amp;E2383&amp;"'"&amp;"!A" &amp; $O$2382+11 &amp; ":Z" &amp; $O$2382+11 ),0),4),1,""),""),$O$2382+11)</f>
        <v>T836</v>
      </c>
      <c r="C2383" s="826" t="str">
        <f ca="1">_xlfn.CONCAT(IFERROR(SUBSTITUTE(ADDRESS(1,MATCH(A2383,INDIRECT("'"&amp;E2383&amp;"'"&amp;"!A" &amp; $O$2382+11 &amp; ":Z" &amp; $O$2382+11 ),0),4),1,""),""),$O$2382+12)</f>
        <v>T837</v>
      </c>
      <c r="D2383" s="826" t="s">
        <v>1350</v>
      </c>
      <c r="E2383" s="826" t="s">
        <v>1516</v>
      </c>
      <c r="F2383" s="1652"/>
      <c r="G2383" s="1652"/>
      <c r="H2383" s="1652"/>
      <c r="I2383" s="1274" t="str">
        <f t="shared" si="452"/>
        <v/>
      </c>
      <c r="J2383" s="1652" t="str">
        <f>IF(M2383&lt;&gt;"",IF($Q$2383="Yes",Q$1&amp;M2383,""))</f>
        <v/>
      </c>
      <c r="K2383" s="1652" t="str">
        <f t="shared" si="453"/>
        <v/>
      </c>
      <c r="L2383" s="826" t="s">
        <v>1705</v>
      </c>
      <c r="M2383" s="1656">
        <v>1395</v>
      </c>
      <c r="N2383" s="1652"/>
      <c r="O2383" s="1650" t="s">
        <v>726</v>
      </c>
      <c r="P2383" s="18" t="str">
        <f>'Configurable Tab'!J61</f>
        <v>Yes</v>
      </c>
      <c r="Q2383" s="1650" t="s">
        <v>648</v>
      </c>
      <c r="R2383" s="1730" t="s">
        <v>2227</v>
      </c>
      <c r="T2383" s="1730" t="str">
        <f t="shared" si="454"/>
        <v/>
      </c>
    </row>
    <row r="2384" spans="1:20" s="1650" customFormat="1" x14ac:dyDescent="0.25">
      <c r="A2384" s="846" t="s">
        <v>1383</v>
      </c>
      <c r="B2384" s="826" t="str">
        <f ca="1">IFERROR(_xlfn.CONCAT("C",MATCH(A2384,INDIRECT("'"&amp;E2384&amp;"'!C"&amp;$O$2382&amp;":C"&amp;$O$2384),0)+$O$2382-1),"")</f>
        <v>C827</v>
      </c>
      <c r="C2384" s="826" t="str">
        <f ca="1">IFERROR(_xlfn.CONCAT("D",MATCH(A2384,INDIRECT("'"&amp;E2384&amp;"'!C"&amp;$O$2382&amp;":C"&amp;$O$2384),0)+$O$2382-1),"")</f>
        <v>D827</v>
      </c>
      <c r="D2384" s="826" t="s">
        <v>1350</v>
      </c>
      <c r="E2384" s="826" t="s">
        <v>1516</v>
      </c>
      <c r="F2384" s="1652" t="s">
        <v>1383</v>
      </c>
      <c r="G2384" s="1652" t="str">
        <f>IF(T2384&lt;&gt;"","B","")</f>
        <v/>
      </c>
      <c r="H2384" s="1652" t="s">
        <v>1990</v>
      </c>
      <c r="I2384" s="1274" t="str">
        <f t="shared" si="452"/>
        <v/>
      </c>
      <c r="J2384" s="1733"/>
      <c r="K2384" s="1652" t="str">
        <f t="shared" si="453"/>
        <v/>
      </c>
      <c r="L2384" s="826" t="s">
        <v>1383</v>
      </c>
      <c r="M2384" s="1656">
        <v>1396</v>
      </c>
      <c r="N2384" s="1652"/>
      <c r="O2384" s="1650">
        <f>'Configurable Tab'!I61</f>
        <v>838</v>
      </c>
      <c r="R2384" s="1730" t="s">
        <v>2227</v>
      </c>
      <c r="T2384" s="1730" t="str">
        <f t="shared" si="454"/>
        <v/>
      </c>
    </row>
    <row r="2385" spans="1:20" s="1650" customFormat="1" x14ac:dyDescent="0.25">
      <c r="A2385" s="846" t="s">
        <v>1380</v>
      </c>
      <c r="B2385" s="826" t="str">
        <f t="shared" ref="B2385:B2390" ca="1" si="455">_xlfn.CONCAT(IFERROR(SUBSTITUTE(ADDRESS(1,MATCH(A2385,INDIRECT("'"&amp;E2385&amp;"'"&amp;"!A" &amp; $O$2382+2 &amp; ":Z"&amp;$O$2382+2 ),0),4),1,""),""),$O$2382+2)</f>
        <v>H827</v>
      </c>
      <c r="C2385" s="826" t="str">
        <f t="shared" ref="C2385:C2390" ca="1" si="456">_xlfn.CONCAT(IFERROR(SUBSTITUTE(ADDRESS(1,MATCH(A2385,INDIRECT("'"&amp;E2385&amp;"'"&amp;"!A" &amp; $O$2382+2 &amp; ":Z"&amp;$O$2382+2 ),0),4),1,""),""),$O$2382+3)</f>
        <v>H828</v>
      </c>
      <c r="D2385" s="826" t="s">
        <v>1350</v>
      </c>
      <c r="E2385" s="826" t="s">
        <v>1516</v>
      </c>
      <c r="F2385" s="1652" t="s">
        <v>1991</v>
      </c>
      <c r="G2385" s="1652" t="str">
        <f>IF(T2385&lt;&gt;"","E","")</f>
        <v/>
      </c>
      <c r="H2385" s="1652" t="s">
        <v>1990</v>
      </c>
      <c r="I2385" s="1274" t="str">
        <f t="shared" si="452"/>
        <v/>
      </c>
      <c r="J2385" s="1733" t="str">
        <f t="shared" ref="J2385:J2394" si="457">IF(M2385&lt;&gt;"",IF($Q$2383="Yes",Q$1&amp;M2385,""))</f>
        <v/>
      </c>
      <c r="K2385" s="1652" t="str">
        <f t="shared" si="453"/>
        <v/>
      </c>
      <c r="L2385" s="826" t="s">
        <v>1380</v>
      </c>
      <c r="M2385" s="1656">
        <v>1397</v>
      </c>
      <c r="N2385" s="1652"/>
      <c r="O2385" s="1650" t="s">
        <v>2155</v>
      </c>
      <c r="R2385" s="1730" t="s">
        <v>2227</v>
      </c>
      <c r="T2385" s="1730" t="str">
        <f t="shared" si="454"/>
        <v/>
      </c>
    </row>
    <row r="2386" spans="1:20" s="1650" customFormat="1" x14ac:dyDescent="0.25">
      <c r="A2386" s="846" t="s">
        <v>1381</v>
      </c>
      <c r="B2386" s="826" t="str">
        <f t="shared" ca="1" si="455"/>
        <v>J827</v>
      </c>
      <c r="C2386" s="826" t="str">
        <f t="shared" ca="1" si="456"/>
        <v>J828</v>
      </c>
      <c r="D2386" s="826" t="s">
        <v>1350</v>
      </c>
      <c r="E2386" s="826" t="s">
        <v>1516</v>
      </c>
      <c r="F2386" s="1652" t="s">
        <v>1992</v>
      </c>
      <c r="G2386" s="1652" t="str">
        <f>IF(T2386&lt;&gt;"","I","")</f>
        <v/>
      </c>
      <c r="H2386" s="1652" t="s">
        <v>1990</v>
      </c>
      <c r="I2386" s="1274" t="str">
        <f t="shared" si="452"/>
        <v/>
      </c>
      <c r="J2386" s="1733" t="str">
        <f t="shared" si="457"/>
        <v/>
      </c>
      <c r="K2386" s="1652" t="str">
        <f t="shared" si="453"/>
        <v/>
      </c>
      <c r="L2386" s="826" t="s">
        <v>1381</v>
      </c>
      <c r="M2386" s="1656">
        <v>1398</v>
      </c>
      <c r="N2386" s="1652"/>
      <c r="R2386" s="1730" t="s">
        <v>2227</v>
      </c>
      <c r="T2386" s="1730" t="str">
        <f t="shared" si="454"/>
        <v/>
      </c>
    </row>
    <row r="2387" spans="1:20" s="1650" customFormat="1" x14ac:dyDescent="0.25">
      <c r="A2387" s="846" t="s">
        <v>1397</v>
      </c>
      <c r="B2387" s="826" t="str">
        <f t="shared" ca="1" si="455"/>
        <v>L827</v>
      </c>
      <c r="C2387" s="826" t="str">
        <f t="shared" ca="1" si="456"/>
        <v>L828</v>
      </c>
      <c r="D2387" s="826" t="s">
        <v>1350</v>
      </c>
      <c r="E2387" s="826" t="s">
        <v>1516</v>
      </c>
      <c r="F2387" s="1652" t="s">
        <v>1993</v>
      </c>
      <c r="G2387" s="1652" t="str">
        <f>IF(T2387&lt;&gt;"","H","")</f>
        <v/>
      </c>
      <c r="H2387" s="1652" t="s">
        <v>1990</v>
      </c>
      <c r="I2387" s="1274" t="str">
        <f t="shared" si="452"/>
        <v/>
      </c>
      <c r="J2387" s="1733" t="str">
        <f t="shared" si="457"/>
        <v/>
      </c>
      <c r="K2387" s="1652" t="str">
        <f t="shared" si="453"/>
        <v/>
      </c>
      <c r="L2387" s="826" t="s">
        <v>1397</v>
      </c>
      <c r="M2387" s="1656">
        <v>1399</v>
      </c>
      <c r="N2387" s="1652"/>
      <c r="R2387" s="1730" t="s">
        <v>2227</v>
      </c>
      <c r="T2387" s="1730" t="str">
        <f t="shared" si="454"/>
        <v/>
      </c>
    </row>
    <row r="2388" spans="1:20" s="1650" customFormat="1" x14ac:dyDescent="0.25">
      <c r="A2388" s="846" t="s">
        <v>1382</v>
      </c>
      <c r="B2388" s="826" t="str">
        <f t="shared" ca="1" si="455"/>
        <v>N827</v>
      </c>
      <c r="C2388" s="826" t="str">
        <f t="shared" ca="1" si="456"/>
        <v>N828</v>
      </c>
      <c r="D2388" s="826" t="s">
        <v>1350</v>
      </c>
      <c r="E2388" s="826" t="s">
        <v>1516</v>
      </c>
      <c r="F2388" s="1652" t="s">
        <v>1382</v>
      </c>
      <c r="G2388" s="1652" t="str">
        <f>IF(T2388&lt;&gt;"",IF(Q2386="Credit Memo","J",IF(Q2386="Check","K","")),"")</f>
        <v/>
      </c>
      <c r="H2388" s="1652" t="s">
        <v>1990</v>
      </c>
      <c r="I2388" s="1274" t="str">
        <f t="shared" si="452"/>
        <v/>
      </c>
      <c r="J2388" s="1733" t="str">
        <f t="shared" si="457"/>
        <v/>
      </c>
      <c r="K2388" s="1652" t="str">
        <f t="shared" si="453"/>
        <v/>
      </c>
      <c r="L2388" s="826" t="s">
        <v>1382</v>
      </c>
      <c r="M2388" s="1656">
        <v>1400</v>
      </c>
      <c r="N2388" s="1652"/>
      <c r="R2388" s="1730" t="s">
        <v>2227</v>
      </c>
      <c r="T2388" s="1730" t="str">
        <f t="shared" si="454"/>
        <v/>
      </c>
    </row>
    <row r="2389" spans="1:20" s="1650" customFormat="1" x14ac:dyDescent="0.25">
      <c r="A2389" s="846" t="s">
        <v>1487</v>
      </c>
      <c r="B2389" s="826" t="str">
        <f t="shared" ca="1" si="455"/>
        <v>R827</v>
      </c>
      <c r="C2389" s="826" t="str">
        <f t="shared" ca="1" si="456"/>
        <v>R828</v>
      </c>
      <c r="D2389" s="826" t="s">
        <v>1350</v>
      </c>
      <c r="E2389" s="826" t="s">
        <v>1516</v>
      </c>
      <c r="F2389" s="1652" t="s">
        <v>1995</v>
      </c>
      <c r="G2389" s="1652" t="str">
        <f>IF(T2389&lt;&gt;"","G","")</f>
        <v/>
      </c>
      <c r="H2389" s="1652" t="s">
        <v>1990</v>
      </c>
      <c r="I2389" s="1274" t="str">
        <f t="shared" si="452"/>
        <v/>
      </c>
      <c r="J2389" s="1733" t="str">
        <f t="shared" si="457"/>
        <v/>
      </c>
      <c r="K2389" s="1652" t="str">
        <f t="shared" si="453"/>
        <v/>
      </c>
      <c r="L2389" s="826" t="s">
        <v>1487</v>
      </c>
      <c r="M2389" s="1656">
        <v>1401</v>
      </c>
      <c r="N2389" s="1652"/>
      <c r="R2389" s="1730" t="s">
        <v>2227</v>
      </c>
      <c r="T2389" s="1730" t="str">
        <f t="shared" si="454"/>
        <v/>
      </c>
    </row>
    <row r="2390" spans="1:20" s="1650" customFormat="1" x14ac:dyDescent="0.25">
      <c r="A2390" s="846" t="s">
        <v>1488</v>
      </c>
      <c r="B2390" s="826" t="str">
        <f t="shared" ca="1" si="455"/>
        <v>T827</v>
      </c>
      <c r="C2390" s="826" t="str">
        <f t="shared" ca="1" si="456"/>
        <v>T828</v>
      </c>
      <c r="D2390" s="826" t="s">
        <v>1350</v>
      </c>
      <c r="E2390" s="826" t="s">
        <v>1516</v>
      </c>
      <c r="F2390" s="841" t="s">
        <v>1488</v>
      </c>
      <c r="G2390" s="1652" t="str">
        <f>IF(T2390&lt;&gt;"","AW","")</f>
        <v/>
      </c>
      <c r="H2390" s="1652" t="s">
        <v>1990</v>
      </c>
      <c r="I2390" s="1274" t="str">
        <f t="shared" si="452"/>
        <v/>
      </c>
      <c r="J2390" s="1733" t="str">
        <f t="shared" si="457"/>
        <v/>
      </c>
      <c r="K2390" s="1652" t="str">
        <f t="shared" si="453"/>
        <v/>
      </c>
      <c r="L2390" s="826" t="s">
        <v>1488</v>
      </c>
      <c r="M2390" s="1656">
        <v>1402</v>
      </c>
      <c r="N2390" s="1652"/>
      <c r="R2390" s="1730" t="s">
        <v>2227</v>
      </c>
      <c r="T2390" s="1730" t="str">
        <f t="shared" si="454"/>
        <v/>
      </c>
    </row>
    <row r="2391" spans="1:20" s="1650" customFormat="1" x14ac:dyDescent="0.25">
      <c r="A2391" s="846" t="s">
        <v>1385</v>
      </c>
      <c r="B2391" s="826" t="str">
        <f ca="1">IFERROR(_xlfn.CONCAT("C",MATCH(A2391,INDIRECT("'"&amp;E2391&amp;"'!C"&amp;$O$2382&amp;":C"&amp;$O$2384),0)+$O$2382-1),"")</f>
        <v>C831</v>
      </c>
      <c r="C2391" s="826" t="str">
        <f ca="1">IFERROR(_xlfn.CONCAT("D",MATCH(A2391,INDIRECT("'"&amp;E2391&amp;"'!C"&amp;$O$2382&amp;":C"&amp;$O$2384),0)+$O$2382-1),"")</f>
        <v>D831</v>
      </c>
      <c r="D2391" s="826" t="s">
        <v>1350</v>
      </c>
      <c r="E2391" s="826" t="s">
        <v>1516</v>
      </c>
      <c r="F2391" s="1652" t="s">
        <v>1385</v>
      </c>
      <c r="G2391" s="1652" t="str">
        <f>IF(T2391&lt;&gt;"","C","")</f>
        <v/>
      </c>
      <c r="H2391" s="1652" t="s">
        <v>1990</v>
      </c>
      <c r="I2391" s="1274" t="str">
        <f t="shared" si="452"/>
        <v/>
      </c>
      <c r="J2391" s="1733" t="str">
        <f t="shared" si="457"/>
        <v/>
      </c>
      <c r="K2391" s="1652" t="str">
        <f t="shared" si="453"/>
        <v/>
      </c>
      <c r="L2391" s="826" t="s">
        <v>1385</v>
      </c>
      <c r="M2391" s="1656">
        <v>1403</v>
      </c>
      <c r="N2391" s="1652"/>
      <c r="R2391" s="1730" t="s">
        <v>2227</v>
      </c>
      <c r="T2391" s="1730" t="str">
        <f t="shared" si="454"/>
        <v/>
      </c>
    </row>
    <row r="2392" spans="1:20" s="1650" customFormat="1" x14ac:dyDescent="0.25">
      <c r="A2392" s="846" t="s">
        <v>1386</v>
      </c>
      <c r="B2392" s="826" t="str">
        <f ca="1">IFERROR(_xlfn.CONCAT("C",MATCH(A2392,INDIRECT("'"&amp;E2392&amp;"'!C"&amp;$O$2382&amp;":C"&amp;$O$2384),0)+$O$2382-1),"")</f>
        <v>C833</v>
      </c>
      <c r="C2392" s="826" t="str">
        <f ca="1">IFERROR(_xlfn.CONCAT("D",MATCH(A2392,INDIRECT("'"&amp;E2392&amp;"'!C"&amp;$O$2382&amp;":C"&amp;$O$2384),0)+$O$2382-1),"")</f>
        <v>D833</v>
      </c>
      <c r="D2392" s="826" t="s">
        <v>1350</v>
      </c>
      <c r="E2392" s="826" t="s">
        <v>1516</v>
      </c>
      <c r="F2392" s="1652" t="s">
        <v>1386</v>
      </c>
      <c r="G2392" s="1652" t="str">
        <f>IF(T2392&lt;&gt;"","D","")</f>
        <v/>
      </c>
      <c r="H2392" s="1652" t="s">
        <v>1990</v>
      </c>
      <c r="I2392" s="1274" t="str">
        <f t="shared" si="452"/>
        <v/>
      </c>
      <c r="J2392" s="1733" t="str">
        <f t="shared" si="457"/>
        <v/>
      </c>
      <c r="K2392" s="1652" t="str">
        <f t="shared" si="453"/>
        <v/>
      </c>
      <c r="L2392" s="826" t="s">
        <v>1386</v>
      </c>
      <c r="M2392" s="1656">
        <v>1404</v>
      </c>
      <c r="N2392" s="1652"/>
      <c r="R2392" s="1730" t="s">
        <v>2227</v>
      </c>
      <c r="T2392" s="1730" t="str">
        <f t="shared" si="454"/>
        <v/>
      </c>
    </row>
    <row r="2393" spans="1:20" s="1650" customFormat="1" x14ac:dyDescent="0.25">
      <c r="A2393" s="846" t="s">
        <v>1495</v>
      </c>
      <c r="B2393" s="826" t="str">
        <f ca="1">IFERROR(_xlfn.CONCAT("C",MATCH(A2393,INDIRECT("'"&amp;E2393&amp;"'!C"&amp;$O$2382&amp;":C"&amp;$O$2384),0)+$O$2382-1),"")</f>
        <v>C835</v>
      </c>
      <c r="C2393" s="826" t="str">
        <f ca="1">IFERROR(_xlfn.CONCAT("D",MATCH(A2393,INDIRECT("'"&amp;E2393&amp;"'!C"&amp;$O$2382&amp;":C"&amp;$O$2384),0)+$O$2382-1),"")</f>
        <v>D835</v>
      </c>
      <c r="D2393" s="826" t="s">
        <v>1350</v>
      </c>
      <c r="E2393" s="826" t="s">
        <v>1516</v>
      </c>
      <c r="F2393" s="1652" t="s">
        <v>1495</v>
      </c>
      <c r="G2393" s="1652" t="str">
        <f>IF(T2393&lt;&gt;"","AN","")</f>
        <v/>
      </c>
      <c r="H2393" s="1652" t="s">
        <v>1990</v>
      </c>
      <c r="I2393" s="1274" t="str">
        <f t="shared" si="452"/>
        <v/>
      </c>
      <c r="J2393" s="1733" t="str">
        <f t="shared" si="457"/>
        <v/>
      </c>
      <c r="K2393" s="1652" t="str">
        <f t="shared" si="453"/>
        <v/>
      </c>
      <c r="L2393" s="826" t="s">
        <v>1495</v>
      </c>
      <c r="M2393" s="1656">
        <v>1405</v>
      </c>
      <c r="N2393" s="1652"/>
      <c r="P2393" s="1652" t="str" cm="1">
        <f t="array" aca="1" ref="P2393" ca="1">_xlfn.CONCAT("F",RIGHT(B2393, LEN(B2393) - MAX(IF(ISNUMBER(MID(B2393, ROW(INDIRECT("1:"&amp;LEN(B2393))), 1) *1)=FALSE, ROW(INDIRECT("1:"&amp;LEN(B2393))), 0))))</f>
        <v>F835</v>
      </c>
      <c r="Q2393" s="1652" t="str" cm="1">
        <f t="array" aca="1" ref="Q2393" ca="1">_xlfn.CONCAT("E",RIGHT(C2393, LEN(C2393) - MAX(IF(ISNUMBER(MID(C2393, ROW(INDIRECT("1:"&amp;LEN(C2393))), 1) *1)=FALSE, ROW(INDIRECT("1:"&amp;LEN(C2393))), 0))))</f>
        <v>E835</v>
      </c>
      <c r="R2393" s="1730" t="s">
        <v>2227</v>
      </c>
      <c r="T2393" s="1730" t="str">
        <f t="shared" si="454"/>
        <v/>
      </c>
    </row>
    <row r="2394" spans="1:20" s="1650" customFormat="1" x14ac:dyDescent="0.25">
      <c r="A2394" s="846" t="s">
        <v>1389</v>
      </c>
      <c r="B2394" s="826" t="str">
        <f ca="1">_xlfn.CONCAT(IFERROR(SUBSTITUTE(ADDRESS(1,MATCH(A2394,INDIRECT("'"&amp;E2394&amp;"'"&amp;"!A" &amp; $O$2382+5 &amp; ":Z"&amp;$O$2382+5),0),4),1,""),""),$O$2382+5)</f>
        <v>H830</v>
      </c>
      <c r="C2394" s="826" t="str">
        <f ca="1">_xlfn.CONCAT(IFERROR(SUBSTITUTE(ADDRESS(1,MATCH(A2394,INDIRECT("'"&amp;E2394&amp;"'"&amp;"!A" &amp; $O$2382+5 &amp; ":Z"&amp;$O$2382+5),0),4),1,""),""),$O$2382+6)</f>
        <v>H831</v>
      </c>
      <c r="D2394" s="826" t="s">
        <v>1350</v>
      </c>
      <c r="E2394" s="826" t="s">
        <v>1516</v>
      </c>
      <c r="F2394" s="1652" t="s">
        <v>1912</v>
      </c>
      <c r="G2394" s="1652" t="str">
        <f>IF(T2394&lt;&gt;"","O","")</f>
        <v/>
      </c>
      <c r="H2394" s="1652" t="s">
        <v>1990</v>
      </c>
      <c r="I2394" s="1274" t="str">
        <f t="shared" si="452"/>
        <v/>
      </c>
      <c r="J2394" s="1733" t="str">
        <f t="shared" si="457"/>
        <v/>
      </c>
      <c r="K2394" s="1652" t="str">
        <f t="shared" si="453"/>
        <v/>
      </c>
      <c r="L2394" s="826" t="s">
        <v>1389</v>
      </c>
      <c r="M2394" s="1653">
        <v>1406</v>
      </c>
      <c r="N2394" s="1652"/>
      <c r="R2394" s="1730" t="s">
        <v>2227</v>
      </c>
      <c r="T2394" s="1652" t="str">
        <f>IF(Q$2383="Yes",59,"")</f>
        <v/>
      </c>
    </row>
    <row r="2395" spans="1:20" s="1650" customFormat="1" x14ac:dyDescent="0.25">
      <c r="A2395" s="1011" t="s">
        <v>523</v>
      </c>
      <c r="B2395" s="1274" t="str">
        <f>IFERROR(_xlfn.CONCAT("D",('Configurable Tab'!$C$46+1)),"")</f>
        <v>D467</v>
      </c>
      <c r="C2395" s="1274" t="str">
        <f>IFERROR(_xlfn.CONCAT("E",('Configurable Tab'!$C$46+1)),"")</f>
        <v>E467</v>
      </c>
      <c r="D2395" s="1652" t="s">
        <v>1350</v>
      </c>
      <c r="E2395" s="791" t="s">
        <v>1742</v>
      </c>
      <c r="F2395" s="1652"/>
      <c r="G2395" s="1652"/>
      <c r="H2395" s="1652"/>
      <c r="I2395" s="1274" t="str">
        <f t="shared" si="452"/>
        <v>Offer this Incentive?</v>
      </c>
      <c r="J2395" s="1652" t="str">
        <f>$Q$1&amp;T2395</f>
        <v>F</v>
      </c>
      <c r="K2395" s="1652" t="str">
        <f t="shared" si="453"/>
        <v>Incentives</v>
      </c>
      <c r="L2395" s="1652"/>
      <c r="M2395" s="1652"/>
      <c r="N2395" s="1652"/>
      <c r="O2395" s="1650" t="s">
        <v>2144</v>
      </c>
      <c r="P2395" s="18" t="str">
        <f>'Configurable Tab'!E46</f>
        <v>Yes</v>
      </c>
      <c r="Q2395" s="1274" t="str">
        <f>IFERROR(_xlfn.CONCAT("C",('Configurable Tab'!$C46+1)),"")</f>
        <v>C467</v>
      </c>
      <c r="R2395" s="1730" t="s">
        <v>2227</v>
      </c>
      <c r="T2395" s="1652" t="str">
        <f>IF(Q$2383="Yes",M2383,"")</f>
        <v/>
      </c>
    </row>
    <row r="2396" spans="1:20" s="1650" customFormat="1" x14ac:dyDescent="0.25">
      <c r="A2396" s="1012" t="s">
        <v>1383</v>
      </c>
      <c r="B2396" s="1274" t="str">
        <f>IFERROR(_xlfn.CONCAT("D",('Configurable Tab'!$C$46+2)),"")</f>
        <v>D468</v>
      </c>
      <c r="C2396" s="1274" t="str">
        <f>IFERROR(_xlfn.CONCAT("E",('Configurable Tab'!$C$46+2)),"")</f>
        <v>E468</v>
      </c>
      <c r="D2396" s="1652" t="s">
        <v>1350</v>
      </c>
      <c r="E2396" s="791" t="s">
        <v>1742</v>
      </c>
      <c r="F2396" s="1652"/>
      <c r="G2396" s="1652"/>
      <c r="H2396" s="1652"/>
      <c r="I2396" s="1274" t="str">
        <f t="shared" si="452"/>
        <v>Incentive Type</v>
      </c>
      <c r="J2396" s="1652" t="str">
        <f t="shared" ref="J2396:J2403" si="458">$Q$1&amp;T2396</f>
        <v>F</v>
      </c>
      <c r="K2396" s="1652" t="str">
        <f t="shared" si="453"/>
        <v>Incentives</v>
      </c>
      <c r="L2396" s="1652"/>
      <c r="M2396" s="1652"/>
      <c r="N2396" s="1652"/>
      <c r="R2396" s="1730" t="s">
        <v>2227</v>
      </c>
      <c r="T2396" s="1652" t="str">
        <f>IF(Q$2383="Yes",M2384,"")</f>
        <v/>
      </c>
    </row>
    <row r="2397" spans="1:20" s="1650" customFormat="1" x14ac:dyDescent="0.25">
      <c r="A2397" s="1012" t="s">
        <v>1385</v>
      </c>
      <c r="B2397" s="1274" t="str">
        <f>IFERROR(_xlfn.CONCAT("D",('Configurable Tab'!$C$46+4)),"")</f>
        <v>D470</v>
      </c>
      <c r="C2397" s="1274" t="str">
        <f>IFERROR(_xlfn.CONCAT("E",('Configurable Tab'!$C$46+4)),"")</f>
        <v>E470</v>
      </c>
      <c r="D2397" s="1652" t="s">
        <v>1350</v>
      </c>
      <c r="E2397" s="791" t="s">
        <v>1742</v>
      </c>
      <c r="F2397" s="1652"/>
      <c r="G2397" s="1652"/>
      <c r="H2397" s="1652"/>
      <c r="I2397" s="1274" t="str">
        <f t="shared" si="452"/>
        <v>Incentive Effective Date</v>
      </c>
      <c r="J2397" s="1652" t="str">
        <f t="shared" si="458"/>
        <v>F</v>
      </c>
      <c r="K2397" s="1652" t="str">
        <f t="shared" si="453"/>
        <v>Incentives</v>
      </c>
      <c r="L2397" s="1652"/>
      <c r="M2397" s="1652"/>
      <c r="N2397" s="1652"/>
      <c r="R2397" s="1730" t="s">
        <v>2227</v>
      </c>
      <c r="T2397" s="1652" t="str">
        <f>IF(Q$2383="Yes",M2391,"")</f>
        <v/>
      </c>
    </row>
    <row r="2398" spans="1:20" s="1650" customFormat="1" x14ac:dyDescent="0.25">
      <c r="A2398" s="1012" t="s">
        <v>1386</v>
      </c>
      <c r="B2398" s="1274" t="str">
        <f>IFERROR(_xlfn.CONCAT("D",('Configurable Tab'!$C$46+5)),"")</f>
        <v>D471</v>
      </c>
      <c r="C2398" s="1274" t="str">
        <f>IFERROR(_xlfn.CONCAT("E",('Configurable Tab'!$C$46+5)),"")</f>
        <v>E471</v>
      </c>
      <c r="D2398" s="1652" t="s">
        <v>1350</v>
      </c>
      <c r="E2398" s="791" t="s">
        <v>1742</v>
      </c>
      <c r="F2398" s="1652"/>
      <c r="G2398" s="1652"/>
      <c r="H2398" s="1652"/>
      <c r="I2398" s="1274" t="str">
        <f t="shared" si="452"/>
        <v>Incentive Expiration Date</v>
      </c>
      <c r="J2398" s="1652" t="str">
        <f t="shared" si="458"/>
        <v>F</v>
      </c>
      <c r="K2398" s="1652" t="str">
        <f t="shared" si="453"/>
        <v>Incentives</v>
      </c>
      <c r="L2398" s="1652"/>
      <c r="M2398" s="1652"/>
      <c r="N2398" s="1652"/>
      <c r="R2398" s="1730" t="s">
        <v>2227</v>
      </c>
      <c r="T2398" s="1652" t="str">
        <f>IF(Q$2383="Yes",M2392,"")</f>
        <v/>
      </c>
    </row>
    <row r="2399" spans="1:20" s="1650" customFormat="1" x14ac:dyDescent="0.25">
      <c r="A2399" s="1012" t="s">
        <v>1380</v>
      </c>
      <c r="B2399" s="1274" t="str">
        <f>IFERROR(_xlfn.CONCAT("G",('Configurable Tab'!$C$46+1)),"")</f>
        <v>G467</v>
      </c>
      <c r="C2399" s="1274" t="str">
        <f>IFERROR(_xlfn.CONCAT("G",('Configurable Tab'!$C$46+2)),"")</f>
        <v>G468</v>
      </c>
      <c r="D2399" s="1652" t="s">
        <v>1350</v>
      </c>
      <c r="E2399" s="791" t="s">
        <v>1742</v>
      </c>
      <c r="F2399" s="1651"/>
      <c r="G2399" s="1069"/>
      <c r="H2399" s="1652"/>
      <c r="I2399" s="1274" t="str">
        <f t="shared" si="452"/>
        <v>Incentive Period</v>
      </c>
      <c r="J2399" s="1652" t="str">
        <f t="shared" si="458"/>
        <v>F</v>
      </c>
      <c r="K2399" s="1652" t="str">
        <f t="shared" si="453"/>
        <v>Incentives</v>
      </c>
      <c r="L2399" s="1652"/>
      <c r="M2399" s="1652"/>
      <c r="N2399" s="1652"/>
      <c r="R2399" s="1730" t="s">
        <v>2227</v>
      </c>
      <c r="T2399" s="1652" t="str">
        <f>IF(Q$2383="Yes",M2385,"")</f>
        <v/>
      </c>
    </row>
    <row r="2400" spans="1:20" s="1650" customFormat="1" x14ac:dyDescent="0.25">
      <c r="A2400" s="1012" t="s">
        <v>1381</v>
      </c>
      <c r="B2400" s="1274" t="str">
        <f>IFERROR(_xlfn.CONCAT("I",('Configurable Tab'!$C$46+1)),"")</f>
        <v>I467</v>
      </c>
      <c r="C2400" s="1274" t="str">
        <f>IFERROR(_xlfn.CONCAT("I",('Configurable Tab'!$C$46+2)),"")</f>
        <v>I468</v>
      </c>
      <c r="D2400" s="1652" t="s">
        <v>1350</v>
      </c>
      <c r="E2400" s="791" t="s">
        <v>1742</v>
      </c>
      <c r="F2400" s="1652"/>
      <c r="G2400" s="1652"/>
      <c r="H2400" s="1652"/>
      <c r="I2400" s="1274" t="str">
        <f t="shared" si="452"/>
        <v>Payment Method</v>
      </c>
      <c r="J2400" s="1652" t="str">
        <f t="shared" si="458"/>
        <v>F</v>
      </c>
      <c r="K2400" s="1652" t="str">
        <f t="shared" si="453"/>
        <v>Incentives</v>
      </c>
      <c r="L2400" s="1652"/>
      <c r="M2400" s="1652"/>
      <c r="N2400" s="1652"/>
      <c r="R2400" s="1730" t="s">
        <v>2227</v>
      </c>
      <c r="T2400" s="1652" t="str">
        <f>IF(Q$2383="Yes",M2386,"")</f>
        <v/>
      </c>
    </row>
    <row r="2401" spans="1:20" s="1650" customFormat="1" x14ac:dyDescent="0.25">
      <c r="A2401" s="1012" t="s">
        <v>833</v>
      </c>
      <c r="B2401" s="1274" t="str">
        <f>IFERROR(_xlfn.CONCAT("K",('Configurable Tab'!$C$46+1)),"")</f>
        <v>K467</v>
      </c>
      <c r="C2401" s="1274" t="str">
        <f>IFERROR(_xlfn.CONCAT("K",('Configurable Tab'!$C$46+2)),"")</f>
        <v>K468</v>
      </c>
      <c r="D2401" s="1652" t="s">
        <v>1350</v>
      </c>
      <c r="E2401" s="791" t="s">
        <v>1742</v>
      </c>
      <c r="F2401" s="1652"/>
      <c r="G2401" s="1652"/>
      <c r="H2401" s="1652"/>
      <c r="I2401" s="1274" t="str">
        <f t="shared" si="452"/>
        <v>Paid to:</v>
      </c>
      <c r="J2401" s="1652" t="str">
        <f t="shared" si="458"/>
        <v>F</v>
      </c>
      <c r="K2401" s="1652" t="str">
        <f t="shared" si="453"/>
        <v>Incentives</v>
      </c>
      <c r="L2401" s="1652"/>
      <c r="M2401" s="1652"/>
      <c r="N2401" s="1652"/>
      <c r="R2401" s="1730" t="s">
        <v>2227</v>
      </c>
      <c r="T2401" s="1652" t="str">
        <f>IF(Q$2383="Yes",M2387,"")</f>
        <v/>
      </c>
    </row>
    <row r="2402" spans="1:20" s="1650" customFormat="1" x14ac:dyDescent="0.25">
      <c r="A2402" s="1012" t="s">
        <v>1382</v>
      </c>
      <c r="B2402" s="1274" t="str">
        <f>IFERROR(_xlfn.CONCAT("M",('Configurable Tab'!$C$46+1)),"")</f>
        <v>M467</v>
      </c>
      <c r="C2402" s="1274" t="str">
        <f>IFERROR(_xlfn.CONCAT("M",('Configurable Tab'!$C$46+2)),"")</f>
        <v>M468</v>
      </c>
      <c r="D2402" s="1652" t="s">
        <v>1350</v>
      </c>
      <c r="E2402" s="791" t="s">
        <v>1742</v>
      </c>
      <c r="F2402" s="1652"/>
      <c r="G2402" s="1652"/>
      <c r="H2402" s="1652"/>
      <c r="I2402" s="1274" t="str">
        <f t="shared" si="452"/>
        <v>AP/AR Vendor Number</v>
      </c>
      <c r="J2402" s="1652" t="str">
        <f t="shared" si="458"/>
        <v>F</v>
      </c>
      <c r="K2402" s="1652" t="str">
        <f t="shared" si="453"/>
        <v>Incentives</v>
      </c>
      <c r="L2402" s="1652"/>
      <c r="M2402" s="1652"/>
      <c r="N2402" s="1652"/>
      <c r="R2402" s="1730" t="s">
        <v>2227</v>
      </c>
      <c r="T2402" s="1652" t="str">
        <f>IF(Q$2383="Yes",M2388,"")</f>
        <v/>
      </c>
    </row>
    <row r="2403" spans="1:20" s="1650" customFormat="1" x14ac:dyDescent="0.25">
      <c r="A2403" s="1012" t="s">
        <v>1389</v>
      </c>
      <c r="B2403" s="1274" t="str">
        <f>IFERROR(_xlfn.CONCAT("K",('Configurable Tab'!$C$46+4)),"")</f>
        <v>K470</v>
      </c>
      <c r="C2403" s="1274" t="str">
        <f>IFERROR(_xlfn.CONCAT("K",('Configurable Tab'!$C$46+5)),"")</f>
        <v>K471</v>
      </c>
      <c r="D2403" s="1652" t="s">
        <v>1350</v>
      </c>
      <c r="E2403" s="791" t="s">
        <v>1742</v>
      </c>
      <c r="F2403" s="1652"/>
      <c r="G2403" s="1652"/>
      <c r="H2403" s="1652"/>
      <c r="I2403" s="1274" t="str">
        <f t="shared" si="452"/>
        <v>Rate % of Sales</v>
      </c>
      <c r="J2403" s="1652" t="str">
        <f t="shared" si="458"/>
        <v>F</v>
      </c>
      <c r="K2403" s="1652" t="str">
        <f t="shared" si="453"/>
        <v>Incentives</v>
      </c>
      <c r="L2403" s="1652"/>
      <c r="M2403" s="1652"/>
      <c r="N2403" s="1652"/>
      <c r="R2403" s="1730" t="s">
        <v>2227</v>
      </c>
      <c r="T2403" s="1652" t="str">
        <f>IF(Q$2383="Yes",M2394,"")</f>
        <v/>
      </c>
    </row>
    <row r="2404" spans="1:20" s="1657" customFormat="1" x14ac:dyDescent="0.25">
      <c r="A2404" s="835" t="s">
        <v>1182</v>
      </c>
      <c r="B2404" s="791" t="str">
        <f ca="1">_xlfn.IFNA(_xlfn.CONCAT(SUBSTITUTE(ADDRESS(1,MATCH(A2404,INDIRECT("'"&amp;E2404&amp;"'"&amp;"!A5:Z5"),0),4),1,""),16),"")</f>
        <v>H16</v>
      </c>
      <c r="C2404" s="791" t="str">
        <f ca="1">_xlfn.IFNA(SUBSTITUTE(ADDRESS(1,MATCH(A2404,INDIRECT("'"&amp;E2404&amp;"'"&amp;"!A5:Z5"),0),4),1,""),"")</f>
        <v>H</v>
      </c>
      <c r="D2404" s="791" t="s">
        <v>1357</v>
      </c>
      <c r="E2404" s="791" t="s">
        <v>870</v>
      </c>
      <c r="F2404" s="791"/>
      <c r="G2404" s="791"/>
      <c r="H2404" s="791"/>
      <c r="I2404" s="1274" t="str">
        <f t="shared" si="452"/>
        <v>Pyramid Segment</v>
      </c>
      <c r="J2404" s="1658" t="str">
        <f>IF(AND(P2504="",M2404&lt;&gt;""),Q$1&amp;M2404,"")</f>
        <v>F1408</v>
      </c>
      <c r="K2404" s="1658" t="str">
        <f t="shared" si="453"/>
        <v>Customer Inputs</v>
      </c>
      <c r="L2404" s="791" t="s">
        <v>1182</v>
      </c>
      <c r="M2404" s="1659">
        <v>1408</v>
      </c>
      <c r="N2404" s="791"/>
    </row>
    <row r="2405" spans="1:20" s="1657" customFormat="1" x14ac:dyDescent="0.25">
      <c r="A2405" s="836" t="s">
        <v>1262</v>
      </c>
      <c r="B2405" s="791" t="str">
        <f t="shared" ref="B2405:B2413" ca="1" si="459">_xlfn.IFNA(_xlfn.CONCAT(SUBSTITUTE(ADDRESS(1,MATCH(A2405,INDIRECT("'"&amp;E2405&amp;"'"&amp;"!A5:Z5"),0),4),1,""),16),"")</f>
        <v>I16</v>
      </c>
      <c r="C2405" s="791" t="str">
        <f ca="1">_xlfn.IFNA(SUBSTITUTE(ADDRESS(1,MATCH(A2405,INDIRECT("'"&amp;E2405&amp;"'"&amp;"!A5:Z5"),0),4),1,""),"")</f>
        <v>I</v>
      </c>
      <c r="D2405" s="791" t="s">
        <v>1357</v>
      </c>
      <c r="E2405" s="791" t="s">
        <v>870</v>
      </c>
      <c r="F2405" s="791"/>
      <c r="G2405" s="791"/>
      <c r="H2405" s="791"/>
      <c r="I2405" s="1274" t="str">
        <f t="shared" si="452"/>
        <v>Agreement Annual Purchase Commitment</v>
      </c>
      <c r="J2405" s="1658" t="str">
        <f>Q$1&amp;IF(Q2405&lt;&gt;"",M2405,M2407)</f>
        <v>F1412</v>
      </c>
      <c r="K2405" s="1658" t="str">
        <f t="shared" si="453"/>
        <v>Customer Inputs</v>
      </c>
      <c r="L2405" s="52" t="s">
        <v>1262</v>
      </c>
      <c r="M2405" s="1659">
        <v>1410</v>
      </c>
      <c r="N2405" s="791"/>
    </row>
    <row r="2406" spans="1:20" s="1657" customFormat="1" ht="30" x14ac:dyDescent="0.25">
      <c r="A2406" s="835" t="s">
        <v>1263</v>
      </c>
      <c r="B2406" s="791" t="str">
        <f t="shared" ca="1" si="459"/>
        <v>J16</v>
      </c>
      <c r="C2406" s="791" t="str">
        <f ca="1">_xlfn.IFNA(SUBSTITUTE(ADDRESS(1,MATCH(A2406,INDIRECT("'"&amp;E2406&amp;"'"&amp;"!A5:Z5"),0),4),1,""),"")</f>
        <v>J</v>
      </c>
      <c r="D2406" s="791" t="s">
        <v>1357</v>
      </c>
      <c r="E2406" s="791" t="s">
        <v>870</v>
      </c>
      <c r="F2406" s="791"/>
      <c r="G2406" s="791"/>
      <c r="H2406" s="791"/>
      <c r="I2406" s="1274" t="str">
        <f t="shared" si="452"/>
        <v>Agreement Deliveries Per Customer Unit Per Week</v>
      </c>
      <c r="J2406" s="1658" t="str">
        <f>Q$1&amp;IF(Q2406&lt;&gt;"",M2406,M2408)</f>
        <v>F1413</v>
      </c>
      <c r="K2406" s="1658" t="str">
        <f t="shared" si="453"/>
        <v>Customer Inputs</v>
      </c>
      <c r="L2406" s="791" t="s">
        <v>1263</v>
      </c>
      <c r="M2406" s="1659">
        <v>1411</v>
      </c>
      <c r="N2406" s="791"/>
    </row>
    <row r="2407" spans="1:20" s="1657" customFormat="1" x14ac:dyDescent="0.25">
      <c r="A2407" s="835" t="s">
        <v>1185</v>
      </c>
      <c r="B2407" s="791" t="str">
        <f ca="1">IFERROR(_xlfn.CONCAT(IF('Customer Inputs'!$U$16="Existing",IF('Customer Inputs'!P$16=0,SUBSTITUTE(ADDRESS(1,MATCH(O2407,INDIRECT("'"&amp;E2407&amp;"'"&amp;"!$A$5:$Z$5"),0),4),1,""),SUBSTITUTE(ADDRESS(1,MATCH(A2407,INDIRECT("'"&amp;E2407&amp;"'"&amp;"!A$5:Z$5"),0),4),1,"")),SUBSTITUTE(ADDRESS(1,MATCH(A2407,INDIRECT("'"&amp;E2407&amp;"'"&amp;"!A$5:Z$5"),0),4),1,"")),16),"")</f>
        <v>P16</v>
      </c>
      <c r="C2407" s="791" t="str">
        <f ca="1">IFERROR(IF('Customer Inputs'!$U$16="Existing",IF('Customer Inputs'!P16=0,SUBSTITUTE(ADDRESS(1,MATCH(O2407,INDIRECT("'"&amp;E2407&amp;"'"&amp;"!$A$5:$Z$5"),0),4),1,""),SUBSTITUTE(ADDRESS(1,MATCH(A2407,INDIRECT("'"&amp;E2407&amp;"'"&amp;"!A$5:Z$5"),0),4),1,"")),SUBSTITUTE(ADDRESS(1,MATCH(A2407,INDIRECT("'"&amp;E2407&amp;"'"&amp;"!A$5:Z$5"),0),4),1,"")),"")</f>
        <v>P</v>
      </c>
      <c r="D2407" s="791" t="s">
        <v>1357</v>
      </c>
      <c r="E2407" s="791" t="s">
        <v>870</v>
      </c>
      <c r="F2407" s="791"/>
      <c r="G2407" s="791"/>
      <c r="H2407" s="791"/>
      <c r="I2407" s="1274" t="str">
        <f t="shared" si="452"/>
        <v/>
      </c>
      <c r="J2407" s="1658"/>
      <c r="K2407" s="1658" t="str">
        <f t="shared" si="453"/>
        <v/>
      </c>
      <c r="L2407" s="791" t="s">
        <v>1185</v>
      </c>
      <c r="M2407" s="1659">
        <v>1412</v>
      </c>
      <c r="N2407" s="791"/>
      <c r="O2407" s="1657" t="s">
        <v>868</v>
      </c>
    </row>
    <row r="2408" spans="1:20" s="1657" customFormat="1" x14ac:dyDescent="0.25">
      <c r="A2408" s="837" t="s">
        <v>1186</v>
      </c>
      <c r="B2408" s="791" t="str">
        <f ca="1">IFERROR(_xlfn.CONCAT(IF('Customer Inputs'!$U$16="Existing",IF('Customer Inputs'!Q$16=0,SUBSTITUTE(ADDRESS(1,MATCH(O2408,INDIRECT("'"&amp;E2408&amp;"'"&amp;"!$A$5:$Z$5"),0),4),1,""),SUBSTITUTE(ADDRESS(1,MATCH(A2408,INDIRECT("'"&amp;E2408&amp;"'"&amp;"!A$5:Z$5"),0),4),1,"")),SUBSTITUTE(ADDRESS(1,MATCH(A2408,INDIRECT("'"&amp;E2408&amp;"'"&amp;"!A$5:Z$5"),0),4),1,"")),16),"")</f>
        <v>Q16</v>
      </c>
      <c r="C2408" s="791" t="str">
        <f ca="1">IFERROR(IF('Customer Inputs'!$U$16="Existing",IF('Customer Inputs'!Q16=0,SUBSTITUTE(ADDRESS(1,MATCH(O2408,INDIRECT("'"&amp;E2408&amp;"'"&amp;"!$A$5:$Z$5"),0),4),1,""),SUBSTITUTE(ADDRESS(1,MATCH(A2408,INDIRECT("'"&amp;E2408&amp;"'"&amp;"!A$5:Z$5"),0),4),1,"")),SUBSTITUTE(ADDRESS(1,MATCH(A2408,INDIRECT("'"&amp;E2408&amp;"'"&amp;"!A$5:Z$5"),0),4),1,"")),"")</f>
        <v>Q</v>
      </c>
      <c r="D2408" s="791" t="s">
        <v>1357</v>
      </c>
      <c r="E2408" s="791" t="s">
        <v>870</v>
      </c>
      <c r="F2408" s="791"/>
      <c r="G2408" s="791"/>
      <c r="H2408" s="791"/>
      <c r="I2408" s="1274" t="str">
        <f t="shared" si="452"/>
        <v/>
      </c>
      <c r="J2408" s="1658"/>
      <c r="K2408" s="1658" t="str">
        <f t="shared" si="453"/>
        <v/>
      </c>
      <c r="L2408" s="825" t="s">
        <v>1186</v>
      </c>
      <c r="M2408" s="1659">
        <v>1413</v>
      </c>
      <c r="N2408" s="791"/>
      <c r="O2408" s="1657" t="s">
        <v>1183</v>
      </c>
    </row>
    <row r="2409" spans="1:20" s="1657" customFormat="1" x14ac:dyDescent="0.25">
      <c r="A2409" s="837" t="s">
        <v>1187</v>
      </c>
      <c r="B2409" s="791" t="str">
        <f ca="1">IFERROR(_xlfn.CONCAT(IF('Customer Inputs'!$U$16="Existing",IF('Customer Inputs'!R$16=0,SUBSTITUTE(ADDRESS(1,MATCH(O2409,INDIRECT("'"&amp;E2409&amp;"'"&amp;"!$A$5:$Z$5"),0),4),1,""),SUBSTITUTE(ADDRESS(1,MATCH(A2409,INDIRECT("'"&amp;E2409&amp;"'"&amp;"!A$5:Z$5"),0),4),1,"")),SUBSTITUTE(ADDRESS(1,MATCH(A2409,INDIRECT("'"&amp;E2409&amp;"'"&amp;"!A$5:Z$5"),0),4),1,"")),16),"")</f>
        <v>R16</v>
      </c>
      <c r="C2409" s="791" t="str">
        <f ca="1">IFERROR(IF('Customer Inputs'!$U$16="Existing",IF('Customer Inputs'!R16=0,SUBSTITUTE(ADDRESS(1,MATCH(O2409,INDIRECT("'"&amp;E2409&amp;"'"&amp;"!$A$5:$Z$5"),0),4),1,""),SUBSTITUTE(ADDRESS(1,MATCH(A2409,INDIRECT("'"&amp;E2409&amp;"'"&amp;"!A$5:Z$5"),0),4),1,"")),SUBSTITUTE(ADDRESS(1,MATCH(A2409,INDIRECT("'"&amp;E2409&amp;"'"&amp;"!A$5:Z$5"),0),4),1,"")),"")</f>
        <v>R</v>
      </c>
      <c r="D2409" s="791" t="s">
        <v>1357</v>
      </c>
      <c r="E2409" s="791" t="s">
        <v>870</v>
      </c>
      <c r="F2409" s="791"/>
      <c r="G2409" s="791"/>
      <c r="H2409" s="791"/>
      <c r="I2409" s="1274" t="str">
        <f t="shared" si="452"/>
        <v/>
      </c>
      <c r="J2409" s="1658"/>
      <c r="K2409" s="1658" t="str">
        <f t="shared" si="453"/>
        <v/>
      </c>
      <c r="L2409" s="825" t="s">
        <v>1187</v>
      </c>
      <c r="M2409" s="1659">
        <v>1414</v>
      </c>
      <c r="N2409" s="791"/>
      <c r="O2409" s="1657" t="s">
        <v>1190</v>
      </c>
    </row>
    <row r="2410" spans="1:20" s="1657" customFormat="1" x14ac:dyDescent="0.25">
      <c r="A2410" s="837" t="s">
        <v>1188</v>
      </c>
      <c r="B2410" s="791" t="str">
        <f ca="1">IFERROR(_xlfn.CONCAT(IF('Customer Inputs'!$U$16="Existing",IF('Customer Inputs'!T$16=0,SUBSTITUTE(ADDRESS(1,MATCH(O2410,INDIRECT("'"&amp;E2410&amp;"'"&amp;"!$A$5:$Z$5"),0),4),1,""),SUBSTITUTE(ADDRESS(1,MATCH(A2410,INDIRECT("'"&amp;E2410&amp;"'"&amp;"!A$5:Z$5"),0),4),1,"")),SUBSTITUTE(ADDRESS(1,MATCH(A2410,INDIRECT("'"&amp;E2410&amp;"'"&amp;"!A$5:Z$5"),0),4),1,"")),16),"")</f>
        <v>T16</v>
      </c>
      <c r="C2410" s="791" t="str">
        <f ca="1">IFERROR(IF('Customer Inputs'!$U$16="Existing",IF('Customer Inputs'!T16=0,SUBSTITUTE(ADDRESS(1,MATCH(O2410,INDIRECT("'"&amp;E2410&amp;"'"&amp;"!$A$5:$Z$5"),0),4),1,""),SUBSTITUTE(ADDRESS(1,MATCH(A2410,INDIRECT("'"&amp;E2410&amp;"'"&amp;"!A$5:Z$5"),0),4),1,"")),SUBSTITUTE(ADDRESS(1,MATCH(A2410,INDIRECT("'"&amp;E2410&amp;"'"&amp;"!A$5:Z$5"),0),4),1,"")),"")</f>
        <v>T</v>
      </c>
      <c r="D2410" s="791" t="s">
        <v>1357</v>
      </c>
      <c r="E2410" s="791" t="s">
        <v>870</v>
      </c>
      <c r="F2410" s="791"/>
      <c r="G2410" s="791"/>
      <c r="H2410" s="791"/>
      <c r="I2410" s="1274" t="str">
        <f t="shared" si="452"/>
        <v/>
      </c>
      <c r="J2410" s="1658"/>
      <c r="K2410" s="1658" t="str">
        <f t="shared" si="453"/>
        <v/>
      </c>
      <c r="L2410" s="825" t="s">
        <v>1188</v>
      </c>
      <c r="M2410" s="1659">
        <v>1415</v>
      </c>
      <c r="N2410" s="791"/>
      <c r="O2410" s="1657" t="s">
        <v>1184</v>
      </c>
    </row>
    <row r="2411" spans="1:20" s="1657" customFormat="1" x14ac:dyDescent="0.25">
      <c r="A2411" s="837" t="s">
        <v>1189</v>
      </c>
      <c r="B2411" s="791" t="str">
        <f t="shared" ca="1" si="459"/>
        <v>U16</v>
      </c>
      <c r="C2411" s="791" t="str">
        <f ca="1">_xlfn.IFNA(SUBSTITUTE(ADDRESS(1,MATCH(A2411,INDIRECT("'"&amp;E2411&amp;"'"&amp;"!A5:Z5"),0),4),1,""),"")</f>
        <v>U</v>
      </c>
      <c r="D2411" s="791" t="s">
        <v>1357</v>
      </c>
      <c r="E2411" s="791" t="s">
        <v>870</v>
      </c>
      <c r="F2411" s="791"/>
      <c r="G2411" s="791"/>
      <c r="H2411" s="791"/>
      <c r="I2411" s="1274" t="str">
        <f t="shared" si="452"/>
        <v/>
      </c>
      <c r="J2411" s="1658"/>
      <c r="K2411" s="1658" t="str">
        <f t="shared" si="453"/>
        <v/>
      </c>
      <c r="L2411" s="825" t="s">
        <v>1189</v>
      </c>
      <c r="M2411" s="1659">
        <v>1416</v>
      </c>
      <c r="N2411" s="791"/>
    </row>
    <row r="2412" spans="1:20" s="1657" customFormat="1" x14ac:dyDescent="0.25">
      <c r="A2412" s="837" t="s">
        <v>1339</v>
      </c>
      <c r="B2412" s="791" t="str">
        <f t="shared" ca="1" si="459"/>
        <v>V16</v>
      </c>
      <c r="C2412" s="791" t="str">
        <f ca="1">_xlfn.IFNA(SUBSTITUTE(ADDRESS(1,MATCH(A2412,INDIRECT("'"&amp;E2412&amp;"'"&amp;"!A5:Z5"),0),4),1,""),"")</f>
        <v>V</v>
      </c>
      <c r="D2412" s="791" t="s">
        <v>1357</v>
      </c>
      <c r="E2412" s="791" t="s">
        <v>870</v>
      </c>
      <c r="F2412" s="791"/>
      <c r="G2412" s="791"/>
      <c r="H2412" s="791"/>
      <c r="I2412" s="1274" t="str">
        <f t="shared" si="452"/>
        <v/>
      </c>
      <c r="J2412" s="1658"/>
      <c r="K2412" s="1658" t="str">
        <f t="shared" si="453"/>
        <v/>
      </c>
      <c r="L2412" s="825" t="s">
        <v>1428</v>
      </c>
      <c r="M2412" s="1659">
        <v>1417</v>
      </c>
      <c r="N2412" s="791"/>
    </row>
    <row r="2413" spans="1:20" s="1657" customFormat="1" x14ac:dyDescent="0.25">
      <c r="A2413" s="837" t="s">
        <v>1631</v>
      </c>
      <c r="B2413" s="791" t="str">
        <f t="shared" ca="1" si="459"/>
        <v>W16</v>
      </c>
      <c r="C2413" s="791" t="str">
        <f ca="1">_xlfn.IFNA(SUBSTITUTE(ADDRESS(1,MATCH(A2413,INDIRECT("'"&amp;E2413&amp;"'"&amp;"!A5:Z5"),0),4),1,""),"")</f>
        <v>W</v>
      </c>
      <c r="D2413" s="791" t="s">
        <v>1357</v>
      </c>
      <c r="E2413" s="791" t="s">
        <v>870</v>
      </c>
      <c r="F2413" s="791"/>
      <c r="G2413" s="791"/>
      <c r="H2413" s="791"/>
      <c r="I2413" s="1274" t="str">
        <f t="shared" si="452"/>
        <v>Add or End Customer</v>
      </c>
      <c r="J2413" s="1658" t="str">
        <f t="shared" ref="J2413" si="460">IF(M2413&lt;&gt;"",Q$1&amp;M2413,"")</f>
        <v>F1418</v>
      </c>
      <c r="K2413" s="1658" t="str">
        <f t="shared" si="453"/>
        <v>Customer Inputs</v>
      </c>
      <c r="L2413" s="825" t="s">
        <v>1631</v>
      </c>
      <c r="M2413" s="1658">
        <v>1418</v>
      </c>
      <c r="N2413" s="791"/>
    </row>
    <row r="2414" spans="1:20" s="1657" customFormat="1" x14ac:dyDescent="0.25">
      <c r="A2414" s="838" t="s">
        <v>1182</v>
      </c>
      <c r="B2414" s="791" t="str">
        <f ca="1">_xlfn.IFNA(_xlfn.CONCAT(SUBSTITUTE(ADDRESS(1,MATCH(A2414,INDIRECT("'"&amp;E2414&amp;"'"&amp;"!A5:Z5"),0),4),1,""),17),"")</f>
        <v>H17</v>
      </c>
      <c r="C2414" s="791" t="str">
        <f t="shared" ref="C2414:C2416" ca="1" si="461">_xlfn.IFNA(SUBSTITUTE(ADDRESS(1,MATCH(A2414,INDIRECT("'"&amp;E2414&amp;"'"&amp;"!A5:Z5"),0),4),1,""),"")</f>
        <v>H</v>
      </c>
      <c r="D2414" s="791" t="s">
        <v>1357</v>
      </c>
      <c r="E2414" s="791" t="s">
        <v>870</v>
      </c>
      <c r="F2414" s="791"/>
      <c r="G2414" s="791"/>
      <c r="H2414" s="791"/>
      <c r="I2414" s="1274" t="str">
        <f t="shared" si="452"/>
        <v>Pyramid Segment</v>
      </c>
      <c r="J2414" s="1658" t="str">
        <f>IF(AND(P2505="",M2414&lt;&gt;""),Q$1&amp;M2414,"")</f>
        <v>F1429</v>
      </c>
      <c r="K2414" s="1658" t="str">
        <f t="shared" si="453"/>
        <v>Customer Inputs</v>
      </c>
      <c r="L2414" s="791" t="s">
        <v>1182</v>
      </c>
      <c r="M2414" s="1658">
        <v>1429</v>
      </c>
      <c r="N2414" s="791"/>
    </row>
    <row r="2415" spans="1:20" s="1657" customFormat="1" x14ac:dyDescent="0.25">
      <c r="A2415" s="839" t="s">
        <v>1262</v>
      </c>
      <c r="B2415" s="791" t="str">
        <f t="shared" ref="B2415:B2423" ca="1" si="462">_xlfn.IFNA(_xlfn.CONCAT(SUBSTITUTE(ADDRESS(1,MATCH(A2415,INDIRECT("'"&amp;E2415&amp;"'"&amp;"!A5:Z5"),0),4),1,""),17),"")</f>
        <v>I17</v>
      </c>
      <c r="C2415" s="791" t="str">
        <f t="shared" ca="1" si="461"/>
        <v>I</v>
      </c>
      <c r="D2415" s="791" t="s">
        <v>1357</v>
      </c>
      <c r="E2415" s="791" t="s">
        <v>870</v>
      </c>
      <c r="F2415" s="791"/>
      <c r="G2415" s="791"/>
      <c r="H2415" s="791"/>
      <c r="I2415" s="1274" t="str">
        <f t="shared" si="452"/>
        <v>Agreement Annual Purchase Commitment</v>
      </c>
      <c r="J2415" s="1658" t="str">
        <f>Q$1&amp;IF(Q2415&lt;&gt;"",M2415,M2417)</f>
        <v>F1433</v>
      </c>
      <c r="K2415" s="1658" t="str">
        <f t="shared" si="453"/>
        <v>Customer Inputs</v>
      </c>
      <c r="L2415" s="52" t="s">
        <v>1262</v>
      </c>
      <c r="M2415" s="1658">
        <v>1431</v>
      </c>
      <c r="N2415" s="791"/>
    </row>
    <row r="2416" spans="1:20" s="1657" customFormat="1" ht="30" x14ac:dyDescent="0.25">
      <c r="A2416" s="838" t="s">
        <v>1263</v>
      </c>
      <c r="B2416" s="791" t="str">
        <f t="shared" ca="1" si="462"/>
        <v>J17</v>
      </c>
      <c r="C2416" s="791" t="str">
        <f t="shared" ca="1" si="461"/>
        <v>J</v>
      </c>
      <c r="D2416" s="791" t="s">
        <v>1357</v>
      </c>
      <c r="E2416" s="791" t="s">
        <v>870</v>
      </c>
      <c r="F2416" s="791"/>
      <c r="G2416" s="791"/>
      <c r="H2416" s="791"/>
      <c r="I2416" s="1274" t="str">
        <f t="shared" si="452"/>
        <v>Agreement Deliveries Per Customer Unit Per Week</v>
      </c>
      <c r="J2416" s="1658" t="str">
        <f>Q$1&amp;IF(Q2416&lt;&gt;"",M2416,M2418)</f>
        <v>F1434</v>
      </c>
      <c r="K2416" s="1658" t="str">
        <f t="shared" si="453"/>
        <v>Customer Inputs</v>
      </c>
      <c r="L2416" s="791" t="s">
        <v>1263</v>
      </c>
      <c r="M2416" s="1658">
        <v>1432</v>
      </c>
      <c r="N2416" s="791"/>
    </row>
    <row r="2417" spans="1:15" s="1657" customFormat="1" x14ac:dyDescent="0.25">
      <c r="A2417" s="838" t="s">
        <v>1185</v>
      </c>
      <c r="B2417" s="791" t="str">
        <f ca="1">IFERROR(_xlfn.CONCAT(IF('Customer Inputs'!$U$17="Existing",IF('Customer Inputs'!P$17=0,SUBSTITUTE(ADDRESS(1,MATCH(O2417,INDIRECT("'"&amp;E2417&amp;"'"&amp;"!$A$5:$Z$5"),0),4),1,""),SUBSTITUTE(ADDRESS(1,MATCH(A2417,INDIRECT("'"&amp;E2417&amp;"'"&amp;"!A$5:Z$5"),0),4),1,"")),SUBSTITUTE(ADDRESS(1,MATCH(A2417,INDIRECT("'"&amp;E2417&amp;"'"&amp;"!A$5:Z$5"),0),4),1,"")),17),"")</f>
        <v>P17</v>
      </c>
      <c r="C2417" s="791" t="str">
        <f ca="1">IFERROR(IF('Customer Inputs'!$U$17="Existing",IF('Customer Inputs'!P26=0,SUBSTITUTE(ADDRESS(1,MATCH(O2417,INDIRECT("'"&amp;E2417&amp;"'"&amp;"!$A$5:$Z$5"),0),4),1,""),SUBSTITUTE(ADDRESS(1,MATCH(A2417,INDIRECT("'"&amp;E2417&amp;"'"&amp;"!A$5:Z$5"),0),4),1,"")),SUBSTITUTE(ADDRESS(1,MATCH(A2417,INDIRECT("'"&amp;E2417&amp;"'"&amp;"!A$5:Z$5"),0),4),1,"")),"")</f>
        <v>P</v>
      </c>
      <c r="D2417" s="791" t="s">
        <v>1357</v>
      </c>
      <c r="E2417" s="791" t="s">
        <v>870</v>
      </c>
      <c r="F2417" s="791"/>
      <c r="G2417" s="791"/>
      <c r="H2417" s="791"/>
      <c r="I2417" s="1274" t="str">
        <f t="shared" si="452"/>
        <v/>
      </c>
      <c r="J2417" s="1658"/>
      <c r="K2417" s="1658" t="str">
        <f t="shared" si="453"/>
        <v/>
      </c>
      <c r="L2417" s="791" t="s">
        <v>1185</v>
      </c>
      <c r="M2417" s="1658">
        <v>1433</v>
      </c>
      <c r="N2417" s="791"/>
      <c r="O2417" s="1657" t="s">
        <v>868</v>
      </c>
    </row>
    <row r="2418" spans="1:15" s="1657" customFormat="1" x14ac:dyDescent="0.25">
      <c r="A2418" s="840" t="s">
        <v>1186</v>
      </c>
      <c r="B2418" s="791" t="str">
        <f ca="1">IFERROR(_xlfn.CONCAT(IF('Customer Inputs'!$U$17="Existing",IF('Customer Inputs'!Q$17=0,SUBSTITUTE(ADDRESS(1,MATCH(O2418,INDIRECT("'"&amp;E2418&amp;"'"&amp;"!$A$5:$Z$5"),0),4),1,""),SUBSTITUTE(ADDRESS(1,MATCH(A2418,INDIRECT("'"&amp;E2418&amp;"'"&amp;"!A$5:Z$5"),0),4),1,"")),SUBSTITUTE(ADDRESS(1,MATCH(A2418,INDIRECT("'"&amp;E2418&amp;"'"&amp;"!A$5:Z$5"),0),4),1,"")),17),"")</f>
        <v>Q17</v>
      </c>
      <c r="C2418" s="791" t="str">
        <f ca="1">IFERROR(IF('Customer Inputs'!$U$17="Existing",IF('Customer Inputs'!Q26=0,SUBSTITUTE(ADDRESS(1,MATCH(O2418,INDIRECT("'"&amp;E2418&amp;"'"&amp;"!$A$5:$Z$5"),0),4),1,""),SUBSTITUTE(ADDRESS(1,MATCH(A2418,INDIRECT("'"&amp;E2418&amp;"'"&amp;"!A$5:Z$5"),0),4),1,"")),SUBSTITUTE(ADDRESS(1,MATCH(A2418,INDIRECT("'"&amp;E2418&amp;"'"&amp;"!A$5:Z$5"),0),4),1,"")),"")</f>
        <v>Q</v>
      </c>
      <c r="D2418" s="791" t="s">
        <v>1357</v>
      </c>
      <c r="E2418" s="791" t="s">
        <v>870</v>
      </c>
      <c r="F2418" s="791"/>
      <c r="G2418" s="791"/>
      <c r="H2418" s="791"/>
      <c r="I2418" s="1274" t="str">
        <f t="shared" si="452"/>
        <v/>
      </c>
      <c r="J2418" s="1658"/>
      <c r="K2418" s="1658" t="str">
        <f t="shared" si="453"/>
        <v/>
      </c>
      <c r="L2418" s="825" t="s">
        <v>1186</v>
      </c>
      <c r="M2418" s="1658">
        <v>1434</v>
      </c>
      <c r="N2418" s="791"/>
      <c r="O2418" s="1657" t="s">
        <v>1183</v>
      </c>
    </row>
    <row r="2419" spans="1:15" s="1657" customFormat="1" x14ac:dyDescent="0.25">
      <c r="A2419" s="840" t="s">
        <v>1187</v>
      </c>
      <c r="B2419" s="791" t="str">
        <f ca="1">IFERROR(_xlfn.CONCAT(IF('Customer Inputs'!$U$17="Existing",IF('Customer Inputs'!R$17=0,SUBSTITUTE(ADDRESS(1,MATCH(O2419,INDIRECT("'"&amp;E2419&amp;"'"&amp;"!$A$5:$Z$5"),0),4),1,""),SUBSTITUTE(ADDRESS(1,MATCH(A2419,INDIRECT("'"&amp;E2419&amp;"'"&amp;"!A$5:Z$5"),0),4),1,"")),SUBSTITUTE(ADDRESS(1,MATCH(A2419,INDIRECT("'"&amp;E2419&amp;"'"&amp;"!A$5:Z$5"),0),4),1,"")),17),"")</f>
        <v>R17</v>
      </c>
      <c r="C2419" s="791" t="str">
        <f ca="1">IFERROR(IF('Customer Inputs'!$U$17="Existing",IF('Customer Inputs'!R26=0,SUBSTITUTE(ADDRESS(1,MATCH(O2419,INDIRECT("'"&amp;E2419&amp;"'"&amp;"!$A$5:$Z$5"),0),4),1,""),SUBSTITUTE(ADDRESS(1,MATCH(A2419,INDIRECT("'"&amp;E2419&amp;"'"&amp;"!A$5:Z$5"),0),4),1,"")),SUBSTITUTE(ADDRESS(1,MATCH(A2419,INDIRECT("'"&amp;E2419&amp;"'"&amp;"!A$5:Z$5"),0),4),1,"")),"")</f>
        <v>R</v>
      </c>
      <c r="D2419" s="791" t="s">
        <v>1357</v>
      </c>
      <c r="E2419" s="791" t="s">
        <v>870</v>
      </c>
      <c r="F2419" s="791"/>
      <c r="G2419" s="791"/>
      <c r="H2419" s="791"/>
      <c r="I2419" s="1274" t="str">
        <f t="shared" si="452"/>
        <v/>
      </c>
      <c r="J2419" s="1658"/>
      <c r="K2419" s="1658" t="str">
        <f t="shared" si="453"/>
        <v/>
      </c>
      <c r="L2419" s="825" t="s">
        <v>1187</v>
      </c>
      <c r="M2419" s="1658">
        <v>1435</v>
      </c>
      <c r="N2419" s="791"/>
      <c r="O2419" s="1657" t="s">
        <v>1190</v>
      </c>
    </row>
    <row r="2420" spans="1:15" s="1657" customFormat="1" x14ac:dyDescent="0.25">
      <c r="A2420" s="840" t="s">
        <v>1188</v>
      </c>
      <c r="B2420" s="791" t="str">
        <f ca="1">IFERROR(_xlfn.CONCAT(IF('Customer Inputs'!$U$17="Existing",IF('Customer Inputs'!T$17=0,SUBSTITUTE(ADDRESS(1,MATCH(O2420,INDIRECT("'"&amp;E2420&amp;"'"&amp;"!$A$5:$Z$5"),0),4),1,""),SUBSTITUTE(ADDRESS(1,MATCH(A2420,INDIRECT("'"&amp;E2420&amp;"'"&amp;"!A$5:Z$5"),0),4),1,"")),SUBSTITUTE(ADDRESS(1,MATCH(A2420,INDIRECT("'"&amp;E2420&amp;"'"&amp;"!A$5:Z$5"),0),4),1,"")),17),"")</f>
        <v>T17</v>
      </c>
      <c r="C2420" s="791" t="str">
        <f ca="1">IFERROR(IF('Customer Inputs'!$U$17="Existing",IF('Customer Inputs'!T26=0,SUBSTITUTE(ADDRESS(1,MATCH(O2420,INDIRECT("'"&amp;E2420&amp;"'"&amp;"!$A$5:$Z$5"),0),4),1,""),SUBSTITUTE(ADDRESS(1,MATCH(A2420,INDIRECT("'"&amp;E2420&amp;"'"&amp;"!A$5:Z$5"),0),4),1,"")),SUBSTITUTE(ADDRESS(1,MATCH(A2420,INDIRECT("'"&amp;E2420&amp;"'"&amp;"!A$5:Z$5"),0),4),1,"")),"")</f>
        <v>T</v>
      </c>
      <c r="D2420" s="791" t="s">
        <v>1357</v>
      </c>
      <c r="E2420" s="791" t="s">
        <v>870</v>
      </c>
      <c r="F2420" s="791"/>
      <c r="G2420" s="791"/>
      <c r="H2420" s="791"/>
      <c r="I2420" s="1274" t="str">
        <f t="shared" si="452"/>
        <v/>
      </c>
      <c r="J2420" s="1658"/>
      <c r="K2420" s="1658" t="str">
        <f t="shared" si="453"/>
        <v/>
      </c>
      <c r="L2420" s="825" t="s">
        <v>1188</v>
      </c>
      <c r="M2420" s="1658">
        <v>1436</v>
      </c>
      <c r="N2420" s="791"/>
      <c r="O2420" s="1657" t="s">
        <v>1184</v>
      </c>
    </row>
    <row r="2421" spans="1:15" s="1657" customFormat="1" x14ac:dyDescent="0.25">
      <c r="A2421" s="840" t="s">
        <v>1189</v>
      </c>
      <c r="B2421" s="791" t="str">
        <f t="shared" ca="1" si="462"/>
        <v>U17</v>
      </c>
      <c r="C2421" s="791" t="str">
        <f t="shared" ref="C2421:C2426" ca="1" si="463">_xlfn.IFNA(SUBSTITUTE(ADDRESS(1,MATCH(A2421,INDIRECT("'"&amp;E2421&amp;"'"&amp;"!A5:Z5"),0),4),1,""),"")</f>
        <v>U</v>
      </c>
      <c r="D2421" s="791" t="s">
        <v>1357</v>
      </c>
      <c r="E2421" s="791" t="s">
        <v>870</v>
      </c>
      <c r="F2421" s="791"/>
      <c r="G2421" s="791"/>
      <c r="H2421" s="791"/>
      <c r="I2421" s="1274" t="str">
        <f t="shared" si="452"/>
        <v/>
      </c>
      <c r="J2421" s="1658"/>
      <c r="K2421" s="1658" t="str">
        <f t="shared" si="453"/>
        <v/>
      </c>
      <c r="L2421" s="825" t="s">
        <v>1189</v>
      </c>
      <c r="M2421" s="1658">
        <v>1437</v>
      </c>
      <c r="N2421" s="791"/>
    </row>
    <row r="2422" spans="1:15" s="1657" customFormat="1" x14ac:dyDescent="0.25">
      <c r="A2422" s="840" t="s">
        <v>1339</v>
      </c>
      <c r="B2422" s="791" t="str">
        <f t="shared" ca="1" si="462"/>
        <v>V17</v>
      </c>
      <c r="C2422" s="791" t="str">
        <f t="shared" ca="1" si="463"/>
        <v>V</v>
      </c>
      <c r="D2422" s="791" t="s">
        <v>1357</v>
      </c>
      <c r="E2422" s="791" t="s">
        <v>870</v>
      </c>
      <c r="F2422" s="791"/>
      <c r="G2422" s="791"/>
      <c r="H2422" s="791"/>
      <c r="I2422" s="1274" t="str">
        <f t="shared" si="452"/>
        <v/>
      </c>
      <c r="J2422" s="1658"/>
      <c r="K2422" s="1658" t="str">
        <f t="shared" si="453"/>
        <v/>
      </c>
      <c r="L2422" s="825" t="s">
        <v>1428</v>
      </c>
      <c r="M2422" s="1658">
        <v>1438</v>
      </c>
      <c r="N2422" s="791"/>
    </row>
    <row r="2423" spans="1:15" s="1657" customFormat="1" x14ac:dyDescent="0.25">
      <c r="A2423" s="840" t="s">
        <v>1631</v>
      </c>
      <c r="B2423" s="791" t="str">
        <f t="shared" ca="1" si="462"/>
        <v>W17</v>
      </c>
      <c r="C2423" s="791" t="str">
        <f t="shared" ca="1" si="463"/>
        <v>W</v>
      </c>
      <c r="D2423" s="791" t="s">
        <v>1357</v>
      </c>
      <c r="E2423" s="791" t="s">
        <v>870</v>
      </c>
      <c r="F2423" s="791"/>
      <c r="G2423" s="791"/>
      <c r="H2423" s="791"/>
      <c r="I2423" s="1274" t="str">
        <f t="shared" si="452"/>
        <v>Add or End Customer</v>
      </c>
      <c r="J2423" s="1658" t="str">
        <f t="shared" ref="J2423" si="464">IF(M2423&lt;&gt;"",Q$1&amp;M2423,"")</f>
        <v>F1439</v>
      </c>
      <c r="K2423" s="1658" t="str">
        <f t="shared" si="453"/>
        <v>Customer Inputs</v>
      </c>
      <c r="L2423" s="825" t="s">
        <v>1631</v>
      </c>
      <c r="M2423" s="1658">
        <v>1439</v>
      </c>
      <c r="N2423" s="791"/>
    </row>
    <row r="2424" spans="1:15" s="1657" customFormat="1" x14ac:dyDescent="0.25">
      <c r="A2424" s="835" t="s">
        <v>1182</v>
      </c>
      <c r="B2424" s="791" t="str">
        <f ca="1">_xlfn.IFNA(_xlfn.CONCAT(SUBSTITUTE(ADDRESS(1,MATCH(A2424,INDIRECT("'"&amp;E2424&amp;"'"&amp;"!A5:Z5"),0),4),1,""),18),"")</f>
        <v>H18</v>
      </c>
      <c r="C2424" s="791" t="str">
        <f t="shared" ca="1" si="463"/>
        <v>H</v>
      </c>
      <c r="D2424" s="791" t="s">
        <v>1357</v>
      </c>
      <c r="E2424" s="791" t="s">
        <v>870</v>
      </c>
      <c r="F2424" s="791"/>
      <c r="G2424" s="791"/>
      <c r="H2424" s="791"/>
      <c r="I2424" s="1274" t="str">
        <f t="shared" si="452"/>
        <v>Pyramid Segment</v>
      </c>
      <c r="J2424" s="1658" t="str">
        <f>IF(AND(P2506="",M2424&lt;&gt;""),Q$1&amp;M2424,"")</f>
        <v>F1450</v>
      </c>
      <c r="K2424" s="1658" t="str">
        <f t="shared" si="453"/>
        <v>Customer Inputs</v>
      </c>
      <c r="L2424" s="791" t="s">
        <v>1182</v>
      </c>
      <c r="M2424" s="1658">
        <v>1450</v>
      </c>
      <c r="N2424" s="791"/>
    </row>
    <row r="2425" spans="1:15" s="1657" customFormat="1" x14ac:dyDescent="0.25">
      <c r="A2425" s="836" t="s">
        <v>1262</v>
      </c>
      <c r="B2425" s="791" t="str">
        <f t="shared" ref="B2425:B2433" ca="1" si="465">_xlfn.IFNA(_xlfn.CONCAT(SUBSTITUTE(ADDRESS(1,MATCH(A2425,INDIRECT("'"&amp;E2425&amp;"'"&amp;"!A5:Z5"),0),4),1,""),18),"")</f>
        <v>I18</v>
      </c>
      <c r="C2425" s="791" t="str">
        <f t="shared" ca="1" si="463"/>
        <v>I</v>
      </c>
      <c r="D2425" s="791" t="s">
        <v>1357</v>
      </c>
      <c r="E2425" s="791" t="s">
        <v>870</v>
      </c>
      <c r="F2425" s="791"/>
      <c r="G2425" s="791"/>
      <c r="H2425" s="791"/>
      <c r="I2425" s="1274" t="str">
        <f t="shared" si="452"/>
        <v>Agreement Annual Purchase Commitment</v>
      </c>
      <c r="J2425" s="1658" t="str">
        <f>Q$1&amp;IF(Q2425&lt;&gt;"",M2425,M2427)</f>
        <v>F1454</v>
      </c>
      <c r="K2425" s="1658" t="str">
        <f t="shared" si="453"/>
        <v>Customer Inputs</v>
      </c>
      <c r="L2425" s="52" t="s">
        <v>1262</v>
      </c>
      <c r="M2425" s="1658">
        <v>1452</v>
      </c>
      <c r="N2425" s="791"/>
    </row>
    <row r="2426" spans="1:15" s="1657" customFormat="1" ht="30" x14ac:dyDescent="0.25">
      <c r="A2426" s="835" t="s">
        <v>1263</v>
      </c>
      <c r="B2426" s="791" t="str">
        <f t="shared" ca="1" si="465"/>
        <v>J18</v>
      </c>
      <c r="C2426" s="791" t="str">
        <f t="shared" ca="1" si="463"/>
        <v>J</v>
      </c>
      <c r="D2426" s="791" t="s">
        <v>1357</v>
      </c>
      <c r="E2426" s="791" t="s">
        <v>870</v>
      </c>
      <c r="F2426" s="791"/>
      <c r="G2426" s="791"/>
      <c r="H2426" s="791"/>
      <c r="I2426" s="1274" t="str">
        <f t="shared" si="452"/>
        <v>Agreement Deliveries Per Customer Unit Per Week</v>
      </c>
      <c r="J2426" s="1658" t="str">
        <f>Q$1&amp;IF(Q2426&lt;&gt;"",M2426,M2428)</f>
        <v>F1455</v>
      </c>
      <c r="K2426" s="1658" t="str">
        <f t="shared" si="453"/>
        <v>Customer Inputs</v>
      </c>
      <c r="L2426" s="791" t="s">
        <v>1263</v>
      </c>
      <c r="M2426" s="1658">
        <v>1453</v>
      </c>
      <c r="N2426" s="791"/>
    </row>
    <row r="2427" spans="1:15" s="1657" customFormat="1" x14ac:dyDescent="0.25">
      <c r="A2427" s="835" t="s">
        <v>1185</v>
      </c>
      <c r="B2427" s="791" t="str">
        <f ca="1">IFERROR(_xlfn.CONCAT(IF('Customer Inputs'!$U$18="Existing",IF('Customer Inputs'!P$18=0,SUBSTITUTE(ADDRESS(1,MATCH(O2427,INDIRECT("'"&amp;E2427&amp;"'"&amp;"!$A$5:$Z$5"),0),4),1,""),SUBSTITUTE(ADDRESS(1,MATCH(A2427,INDIRECT("'"&amp;E2427&amp;"'"&amp;"!A$5:Z$5"),0),4),1,"")),SUBSTITUTE(ADDRESS(1,MATCH(A2427,INDIRECT("'"&amp;E2427&amp;"'"&amp;"!A$5:Z$5"),0),4),1,"")),18),"")</f>
        <v>P18</v>
      </c>
      <c r="C2427" s="791" t="str">
        <f ca="1">IFERROR(IF('Customer Inputs'!$U$18="Existing",IF('Customer Inputs'!P36=0,SUBSTITUTE(ADDRESS(1,MATCH(O2427,INDIRECT("'"&amp;E2427&amp;"'"&amp;"!$A$5:$Z$5"),0),4),1,""),SUBSTITUTE(ADDRESS(1,MATCH(A2427,INDIRECT("'"&amp;E2427&amp;"'"&amp;"!A$5:Z$5"),0),4),1,"")),SUBSTITUTE(ADDRESS(1,MATCH(A2427,INDIRECT("'"&amp;E2427&amp;"'"&amp;"!A$5:Z$5"),0),4),1,"")),"")</f>
        <v>P</v>
      </c>
      <c r="D2427" s="791" t="s">
        <v>1357</v>
      </c>
      <c r="E2427" s="791" t="s">
        <v>870</v>
      </c>
      <c r="F2427" s="791"/>
      <c r="G2427" s="791"/>
      <c r="H2427" s="791"/>
      <c r="I2427" s="1274" t="str">
        <f t="shared" si="452"/>
        <v/>
      </c>
      <c r="J2427" s="1658"/>
      <c r="K2427" s="1658" t="str">
        <f t="shared" si="453"/>
        <v/>
      </c>
      <c r="L2427" s="791" t="s">
        <v>1185</v>
      </c>
      <c r="M2427" s="1658">
        <v>1454</v>
      </c>
      <c r="N2427" s="791"/>
      <c r="O2427" s="1657" t="s">
        <v>868</v>
      </c>
    </row>
    <row r="2428" spans="1:15" s="1657" customFormat="1" x14ac:dyDescent="0.25">
      <c r="A2428" s="837" t="s">
        <v>1186</v>
      </c>
      <c r="B2428" s="791" t="str">
        <f ca="1">IFERROR(_xlfn.CONCAT(IF('Customer Inputs'!$U$18="Existing",IF('Customer Inputs'!Q$18=0,SUBSTITUTE(ADDRESS(1,MATCH(O2428,INDIRECT("'"&amp;E2428&amp;"'"&amp;"!$A$5:$Z$5"),0),4),1,""),SUBSTITUTE(ADDRESS(1,MATCH(A2428,INDIRECT("'"&amp;E2428&amp;"'"&amp;"!A$5:Z$5"),0),4),1,"")),SUBSTITUTE(ADDRESS(1,MATCH(A2428,INDIRECT("'"&amp;E2428&amp;"'"&amp;"!A$5:Z$5"),0),4),1,"")),18),"")</f>
        <v>Q18</v>
      </c>
      <c r="C2428" s="791" t="str">
        <f ca="1">IFERROR(IF('Customer Inputs'!$U$18="Existing",IF('Customer Inputs'!Q36=0,SUBSTITUTE(ADDRESS(1,MATCH(O2428,INDIRECT("'"&amp;E2428&amp;"'"&amp;"!$A$5:$Z$5"),0),4),1,""),SUBSTITUTE(ADDRESS(1,MATCH(A2428,INDIRECT("'"&amp;E2428&amp;"'"&amp;"!A$5:Z$5"),0),4),1,"")),SUBSTITUTE(ADDRESS(1,MATCH(A2428,INDIRECT("'"&amp;E2428&amp;"'"&amp;"!A$5:Z$5"),0),4),1,"")),"")</f>
        <v>Q</v>
      </c>
      <c r="D2428" s="791" t="s">
        <v>1357</v>
      </c>
      <c r="E2428" s="791" t="s">
        <v>870</v>
      </c>
      <c r="F2428" s="791"/>
      <c r="G2428" s="791"/>
      <c r="H2428" s="791"/>
      <c r="I2428" s="1274" t="str">
        <f t="shared" si="452"/>
        <v/>
      </c>
      <c r="J2428" s="1658"/>
      <c r="K2428" s="1658" t="str">
        <f t="shared" si="453"/>
        <v/>
      </c>
      <c r="L2428" s="825" t="s">
        <v>1186</v>
      </c>
      <c r="M2428" s="1658">
        <v>1455</v>
      </c>
      <c r="N2428" s="791"/>
      <c r="O2428" s="1657" t="s">
        <v>1183</v>
      </c>
    </row>
    <row r="2429" spans="1:15" s="1657" customFormat="1" x14ac:dyDescent="0.25">
      <c r="A2429" s="837" t="s">
        <v>1187</v>
      </c>
      <c r="B2429" s="791" t="str">
        <f ca="1">IFERROR(_xlfn.CONCAT(IF('Customer Inputs'!$U$18="Existing",IF('Customer Inputs'!R$18=0,SUBSTITUTE(ADDRESS(1,MATCH(O2429,INDIRECT("'"&amp;E2429&amp;"'"&amp;"!$A$5:$Z$5"),0),4),1,""),SUBSTITUTE(ADDRESS(1,MATCH(A2429,INDIRECT("'"&amp;E2429&amp;"'"&amp;"!A$5:Z$5"),0),4),1,"")),SUBSTITUTE(ADDRESS(1,MATCH(A2429,INDIRECT("'"&amp;E2429&amp;"'"&amp;"!A$5:Z$5"),0),4),1,"")),18),"")</f>
        <v>R18</v>
      </c>
      <c r="C2429" s="791" t="str">
        <f ca="1">IFERROR(IF('Customer Inputs'!$U$18="Existing",IF('Customer Inputs'!R36=0,SUBSTITUTE(ADDRESS(1,MATCH(O2429,INDIRECT("'"&amp;E2429&amp;"'"&amp;"!$A$5:$Z$5"),0),4),1,""),SUBSTITUTE(ADDRESS(1,MATCH(A2429,INDIRECT("'"&amp;E2429&amp;"'"&amp;"!A$5:Z$5"),0),4),1,"")),SUBSTITUTE(ADDRESS(1,MATCH(A2429,INDIRECT("'"&amp;E2429&amp;"'"&amp;"!A$5:Z$5"),0),4),1,"")),"")</f>
        <v>R</v>
      </c>
      <c r="D2429" s="791" t="s">
        <v>1357</v>
      </c>
      <c r="E2429" s="791" t="s">
        <v>870</v>
      </c>
      <c r="F2429" s="791"/>
      <c r="G2429" s="791"/>
      <c r="H2429" s="791"/>
      <c r="I2429" s="1274" t="str">
        <f t="shared" si="452"/>
        <v/>
      </c>
      <c r="J2429" s="1658"/>
      <c r="K2429" s="1658" t="str">
        <f t="shared" si="453"/>
        <v/>
      </c>
      <c r="L2429" s="825" t="s">
        <v>1187</v>
      </c>
      <c r="M2429" s="1658">
        <v>1456</v>
      </c>
      <c r="N2429" s="791"/>
      <c r="O2429" s="1657" t="s">
        <v>1190</v>
      </c>
    </row>
    <row r="2430" spans="1:15" s="1657" customFormat="1" x14ac:dyDescent="0.25">
      <c r="A2430" s="837" t="s">
        <v>1188</v>
      </c>
      <c r="B2430" s="791" t="str">
        <f ca="1">IFERROR(_xlfn.CONCAT(IF('Customer Inputs'!$U$18="Existing",IF('Customer Inputs'!T$18=0,SUBSTITUTE(ADDRESS(1,MATCH(O2430,INDIRECT("'"&amp;E2430&amp;"'"&amp;"!$A$5:$Z$5"),0),4),1,""),SUBSTITUTE(ADDRESS(1,MATCH(A2430,INDIRECT("'"&amp;E2430&amp;"'"&amp;"!A$5:Z$5"),0),4),1,"")),SUBSTITUTE(ADDRESS(1,MATCH(A2430,INDIRECT("'"&amp;E2430&amp;"'"&amp;"!A$5:Z$5"),0),4),1,"")),18),"")</f>
        <v>T18</v>
      </c>
      <c r="C2430" s="791" t="str">
        <f ca="1">IFERROR(IF('Customer Inputs'!$U$18="Existing",IF('Customer Inputs'!T36=0,SUBSTITUTE(ADDRESS(1,MATCH(O2430,INDIRECT("'"&amp;E2430&amp;"'"&amp;"!$A$5:$Z$5"),0),4),1,""),SUBSTITUTE(ADDRESS(1,MATCH(A2430,INDIRECT("'"&amp;E2430&amp;"'"&amp;"!A$5:Z$5"),0),4),1,"")),SUBSTITUTE(ADDRESS(1,MATCH(A2430,INDIRECT("'"&amp;E2430&amp;"'"&amp;"!A$5:Z$5"),0),4),1,"")),"")</f>
        <v>T</v>
      </c>
      <c r="D2430" s="791" t="s">
        <v>1357</v>
      </c>
      <c r="E2430" s="791" t="s">
        <v>870</v>
      </c>
      <c r="F2430" s="791"/>
      <c r="G2430" s="791"/>
      <c r="H2430" s="791"/>
      <c r="I2430" s="1274" t="str">
        <f t="shared" si="452"/>
        <v/>
      </c>
      <c r="J2430" s="1658"/>
      <c r="K2430" s="1658" t="str">
        <f t="shared" si="453"/>
        <v/>
      </c>
      <c r="L2430" s="825" t="s">
        <v>1188</v>
      </c>
      <c r="M2430" s="1658">
        <v>1457</v>
      </c>
      <c r="N2430" s="791"/>
      <c r="O2430" s="1657" t="s">
        <v>1184</v>
      </c>
    </row>
    <row r="2431" spans="1:15" s="1657" customFormat="1" x14ac:dyDescent="0.25">
      <c r="A2431" s="837" t="s">
        <v>1189</v>
      </c>
      <c r="B2431" s="791" t="str">
        <f t="shared" ca="1" si="465"/>
        <v>U18</v>
      </c>
      <c r="C2431" s="791" t="str">
        <f t="shared" ref="C2431:C2436" ca="1" si="466">_xlfn.IFNA(SUBSTITUTE(ADDRESS(1,MATCH(A2431,INDIRECT("'"&amp;E2431&amp;"'"&amp;"!A5:Z5"),0),4),1,""),"")</f>
        <v>U</v>
      </c>
      <c r="D2431" s="791" t="s">
        <v>1357</v>
      </c>
      <c r="E2431" s="791" t="s">
        <v>870</v>
      </c>
      <c r="F2431" s="791"/>
      <c r="G2431" s="791"/>
      <c r="H2431" s="791"/>
      <c r="I2431" s="1274" t="str">
        <f t="shared" si="452"/>
        <v/>
      </c>
      <c r="J2431" s="1658"/>
      <c r="K2431" s="1658" t="str">
        <f t="shared" si="453"/>
        <v/>
      </c>
      <c r="L2431" s="825" t="s">
        <v>1189</v>
      </c>
      <c r="M2431" s="1658">
        <v>1458</v>
      </c>
      <c r="N2431" s="791"/>
    </row>
    <row r="2432" spans="1:15" s="1657" customFormat="1" x14ac:dyDescent="0.25">
      <c r="A2432" s="837" t="s">
        <v>1339</v>
      </c>
      <c r="B2432" s="791" t="str">
        <f t="shared" ca="1" si="465"/>
        <v>V18</v>
      </c>
      <c r="C2432" s="791" t="str">
        <f t="shared" ca="1" si="466"/>
        <v>V</v>
      </c>
      <c r="D2432" s="791" t="s">
        <v>1357</v>
      </c>
      <c r="E2432" s="791" t="s">
        <v>870</v>
      </c>
      <c r="F2432" s="791"/>
      <c r="G2432" s="791"/>
      <c r="H2432" s="791"/>
      <c r="I2432" s="1274" t="str">
        <f t="shared" si="452"/>
        <v/>
      </c>
      <c r="J2432" s="1658"/>
      <c r="K2432" s="1658" t="str">
        <f t="shared" si="453"/>
        <v/>
      </c>
      <c r="L2432" s="825" t="s">
        <v>1428</v>
      </c>
      <c r="M2432" s="1658">
        <v>1459</v>
      </c>
      <c r="N2432" s="791"/>
    </row>
    <row r="2433" spans="1:15" s="1657" customFormat="1" x14ac:dyDescent="0.25">
      <c r="A2433" s="837" t="s">
        <v>1631</v>
      </c>
      <c r="B2433" s="791" t="str">
        <f t="shared" ca="1" si="465"/>
        <v>W18</v>
      </c>
      <c r="C2433" s="791" t="str">
        <f t="shared" ca="1" si="466"/>
        <v>W</v>
      </c>
      <c r="D2433" s="791" t="s">
        <v>1357</v>
      </c>
      <c r="E2433" s="791" t="s">
        <v>870</v>
      </c>
      <c r="F2433" s="791"/>
      <c r="G2433" s="791"/>
      <c r="H2433" s="791"/>
      <c r="I2433" s="1274" t="str">
        <f t="shared" si="452"/>
        <v>Add or End Customer</v>
      </c>
      <c r="J2433" s="1658" t="str">
        <f>IF(M2433&lt;&gt;"",Q$1&amp;M2433,"")</f>
        <v>F1460</v>
      </c>
      <c r="K2433" s="1658" t="str">
        <f t="shared" si="453"/>
        <v>Customer Inputs</v>
      </c>
      <c r="L2433" s="825" t="s">
        <v>1631</v>
      </c>
      <c r="M2433" s="1658">
        <v>1460</v>
      </c>
      <c r="N2433" s="791"/>
    </row>
    <row r="2434" spans="1:15" s="1657" customFormat="1" x14ac:dyDescent="0.25">
      <c r="A2434" s="838" t="s">
        <v>1182</v>
      </c>
      <c r="B2434" s="791" t="str">
        <f ca="1">_xlfn.IFNA(_xlfn.CONCAT(SUBSTITUTE(ADDRESS(1,MATCH(A2434,INDIRECT("'"&amp;E2434&amp;"'"&amp;"!A5:Z5"),0),4),1,""),19),"")</f>
        <v>H19</v>
      </c>
      <c r="C2434" s="791" t="str">
        <f t="shared" ca="1" si="466"/>
        <v>H</v>
      </c>
      <c r="D2434" s="791" t="s">
        <v>1357</v>
      </c>
      <c r="E2434" s="791" t="s">
        <v>870</v>
      </c>
      <c r="F2434" s="791"/>
      <c r="G2434" s="791"/>
      <c r="H2434" s="791"/>
      <c r="I2434" s="1274" t="str">
        <f t="shared" si="452"/>
        <v>Pyramid Segment</v>
      </c>
      <c r="J2434" s="1658" t="str">
        <f>IF(AND(P2507="",M2434&lt;&gt;""),Q$1&amp;M2434,"")</f>
        <v>F1471</v>
      </c>
      <c r="K2434" s="1658" t="str">
        <f t="shared" si="453"/>
        <v>Customer Inputs</v>
      </c>
      <c r="L2434" s="791" t="s">
        <v>1182</v>
      </c>
      <c r="M2434" s="1658">
        <v>1471</v>
      </c>
      <c r="N2434" s="791"/>
    </row>
    <row r="2435" spans="1:15" s="1657" customFormat="1" x14ac:dyDescent="0.25">
      <c r="A2435" s="839" t="s">
        <v>1262</v>
      </c>
      <c r="B2435" s="791" t="str">
        <f t="shared" ref="B2435:B2443" ca="1" si="467">_xlfn.IFNA(_xlfn.CONCAT(SUBSTITUTE(ADDRESS(1,MATCH(A2435,INDIRECT("'"&amp;E2435&amp;"'"&amp;"!A5:Z5"),0),4),1,""),19),"")</f>
        <v>I19</v>
      </c>
      <c r="C2435" s="791" t="str">
        <f t="shared" ca="1" si="466"/>
        <v>I</v>
      </c>
      <c r="D2435" s="791" t="s">
        <v>1357</v>
      </c>
      <c r="E2435" s="791" t="s">
        <v>870</v>
      </c>
      <c r="F2435" s="791"/>
      <c r="G2435" s="791"/>
      <c r="H2435" s="791"/>
      <c r="I2435" s="1274" t="str">
        <f t="shared" si="452"/>
        <v>Agreement Annual Purchase Commitment</v>
      </c>
      <c r="J2435" s="1658" t="str">
        <f>Q$1&amp;IF(Q2435&lt;&gt;"",M2435,M2437)</f>
        <v>F1475</v>
      </c>
      <c r="K2435" s="1658" t="str">
        <f t="shared" si="453"/>
        <v>Customer Inputs</v>
      </c>
      <c r="L2435" s="52" t="s">
        <v>1262</v>
      </c>
      <c r="M2435" s="1658">
        <v>1473</v>
      </c>
      <c r="N2435" s="791"/>
    </row>
    <row r="2436" spans="1:15" s="1657" customFormat="1" ht="30" x14ac:dyDescent="0.25">
      <c r="A2436" s="838" t="s">
        <v>1263</v>
      </c>
      <c r="B2436" s="791" t="str">
        <f t="shared" ca="1" si="467"/>
        <v>J19</v>
      </c>
      <c r="C2436" s="791" t="str">
        <f t="shared" ca="1" si="466"/>
        <v>J</v>
      </c>
      <c r="D2436" s="791" t="s">
        <v>1357</v>
      </c>
      <c r="E2436" s="791" t="s">
        <v>870</v>
      </c>
      <c r="F2436" s="791"/>
      <c r="G2436" s="791"/>
      <c r="H2436" s="791"/>
      <c r="I2436" s="1274" t="str">
        <f t="shared" si="452"/>
        <v>Agreement Deliveries Per Customer Unit Per Week</v>
      </c>
      <c r="J2436" s="1658" t="str">
        <f>Q$1&amp;IF(Q2436&lt;&gt;"",M2436,M2438)</f>
        <v>F1476</v>
      </c>
      <c r="K2436" s="1658" t="str">
        <f t="shared" si="453"/>
        <v>Customer Inputs</v>
      </c>
      <c r="L2436" s="791" t="s">
        <v>1263</v>
      </c>
      <c r="M2436" s="1658">
        <v>1474</v>
      </c>
      <c r="N2436" s="791"/>
    </row>
    <row r="2437" spans="1:15" s="1657" customFormat="1" x14ac:dyDescent="0.25">
      <c r="A2437" s="838" t="s">
        <v>1185</v>
      </c>
      <c r="B2437" s="791" t="str">
        <f ca="1">IFERROR(_xlfn.CONCAT(IF('Customer Inputs'!$U$19="Existing",IF('Customer Inputs'!P$19=0,SUBSTITUTE(ADDRESS(1,MATCH(O2437,INDIRECT("'"&amp;E2437&amp;"'"&amp;"!$A$5:$Z$5"),0),4),1,""),SUBSTITUTE(ADDRESS(1,MATCH(A2437,INDIRECT("'"&amp;E2437&amp;"'"&amp;"!A$5:Z$5"),0),4),1,"")),SUBSTITUTE(ADDRESS(1,MATCH(A2437,INDIRECT("'"&amp;E2437&amp;"'"&amp;"!A$5:Z$5"),0),4),1,"")),19),"")</f>
        <v>P19</v>
      </c>
      <c r="C2437" s="791" t="str">
        <f ca="1">IFERROR(IF('Customer Inputs'!$U$19="Existing",IF('Customer Inputs'!P46=0,SUBSTITUTE(ADDRESS(1,MATCH(O2437,INDIRECT("'"&amp;E2437&amp;"'"&amp;"!$A$5:$Z$5"),0),4),1,""),SUBSTITUTE(ADDRESS(1,MATCH(A2437,INDIRECT("'"&amp;E2437&amp;"'"&amp;"!A$5:Z$5"),0),4),1,"")),SUBSTITUTE(ADDRESS(1,MATCH(A2437,INDIRECT("'"&amp;E2437&amp;"'"&amp;"!A$5:Z$5"),0),4),1,"")),"")</f>
        <v>P</v>
      </c>
      <c r="D2437" s="791" t="s">
        <v>1357</v>
      </c>
      <c r="E2437" s="791" t="s">
        <v>870</v>
      </c>
      <c r="F2437" s="791"/>
      <c r="G2437" s="791"/>
      <c r="H2437" s="791"/>
      <c r="I2437" s="1274" t="str">
        <f t="shared" si="452"/>
        <v/>
      </c>
      <c r="J2437" s="1658"/>
      <c r="K2437" s="1658" t="str">
        <f t="shared" si="453"/>
        <v/>
      </c>
      <c r="L2437" s="791" t="s">
        <v>1185</v>
      </c>
      <c r="M2437" s="1658">
        <v>1475</v>
      </c>
      <c r="N2437" s="791"/>
      <c r="O2437" s="1657" t="s">
        <v>868</v>
      </c>
    </row>
    <row r="2438" spans="1:15" s="1657" customFormat="1" x14ac:dyDescent="0.25">
      <c r="A2438" s="840" t="s">
        <v>1186</v>
      </c>
      <c r="B2438" s="791" t="str">
        <f ca="1">IFERROR(_xlfn.CONCAT(IF('Customer Inputs'!$U$19="Existing",IF('Customer Inputs'!Q$19=0,SUBSTITUTE(ADDRESS(1,MATCH(O2438,INDIRECT("'"&amp;E2438&amp;"'"&amp;"!$A$5:$Z$5"),0),4),1,""),SUBSTITUTE(ADDRESS(1,MATCH(A2438,INDIRECT("'"&amp;E2438&amp;"'"&amp;"!A$5:Z$5"),0),4),1,"")),SUBSTITUTE(ADDRESS(1,MATCH(A2438,INDIRECT("'"&amp;E2438&amp;"'"&amp;"!A$5:Z$5"),0),4),1,"")),19),"")</f>
        <v>Q19</v>
      </c>
      <c r="C2438" s="791" t="str">
        <f ca="1">IFERROR(IF('Customer Inputs'!$U$19="Existing",IF('Customer Inputs'!Q46=0,SUBSTITUTE(ADDRESS(1,MATCH(O2438,INDIRECT("'"&amp;E2438&amp;"'"&amp;"!$A$5:$Z$5"),0),4),1,""),SUBSTITUTE(ADDRESS(1,MATCH(A2438,INDIRECT("'"&amp;E2438&amp;"'"&amp;"!A$5:Z$5"),0),4),1,"")),SUBSTITUTE(ADDRESS(1,MATCH(A2438,INDIRECT("'"&amp;E2438&amp;"'"&amp;"!A$5:Z$5"),0),4),1,"")),"")</f>
        <v>Q</v>
      </c>
      <c r="D2438" s="791" t="s">
        <v>1357</v>
      </c>
      <c r="E2438" s="791" t="s">
        <v>870</v>
      </c>
      <c r="F2438" s="791"/>
      <c r="G2438" s="791"/>
      <c r="H2438" s="791"/>
      <c r="I2438" s="1274" t="str">
        <f t="shared" si="452"/>
        <v/>
      </c>
      <c r="J2438" s="1658"/>
      <c r="K2438" s="1658" t="str">
        <f t="shared" si="453"/>
        <v/>
      </c>
      <c r="L2438" s="825" t="s">
        <v>1186</v>
      </c>
      <c r="M2438" s="1658">
        <v>1476</v>
      </c>
      <c r="N2438" s="791"/>
      <c r="O2438" s="1657" t="s">
        <v>1183</v>
      </c>
    </row>
    <row r="2439" spans="1:15" s="1657" customFormat="1" x14ac:dyDescent="0.25">
      <c r="A2439" s="840" t="s">
        <v>1187</v>
      </c>
      <c r="B2439" s="791" t="str">
        <f ca="1">IFERROR(_xlfn.CONCAT(IF('Customer Inputs'!$U$19="Existing",IF('Customer Inputs'!R$19=0,SUBSTITUTE(ADDRESS(1,MATCH(O2439,INDIRECT("'"&amp;E2439&amp;"'"&amp;"!$A$5:$Z$5"),0),4),1,""),SUBSTITUTE(ADDRESS(1,MATCH(A2439,INDIRECT("'"&amp;E2439&amp;"'"&amp;"!A$5:Z$5"),0),4),1,"")),SUBSTITUTE(ADDRESS(1,MATCH(A2439,INDIRECT("'"&amp;E2439&amp;"'"&amp;"!A$5:Z$5"),0),4),1,"")),19),"")</f>
        <v>R19</v>
      </c>
      <c r="C2439" s="791" t="str">
        <f ca="1">IFERROR(IF('Customer Inputs'!$U$19="Existing",IF('Customer Inputs'!R46=0,SUBSTITUTE(ADDRESS(1,MATCH(O2439,INDIRECT("'"&amp;E2439&amp;"'"&amp;"!$A$5:$Z$5"),0),4),1,""),SUBSTITUTE(ADDRESS(1,MATCH(A2439,INDIRECT("'"&amp;E2439&amp;"'"&amp;"!A$5:Z$5"),0),4),1,"")),SUBSTITUTE(ADDRESS(1,MATCH(A2439,INDIRECT("'"&amp;E2439&amp;"'"&amp;"!A$5:Z$5"),0),4),1,"")),"")</f>
        <v>R</v>
      </c>
      <c r="D2439" s="791" t="s">
        <v>1357</v>
      </c>
      <c r="E2439" s="791" t="s">
        <v>870</v>
      </c>
      <c r="F2439" s="791"/>
      <c r="G2439" s="791"/>
      <c r="H2439" s="791"/>
      <c r="I2439" s="1274" t="str">
        <f t="shared" si="452"/>
        <v/>
      </c>
      <c r="J2439" s="1658"/>
      <c r="K2439" s="1658" t="str">
        <f t="shared" si="453"/>
        <v/>
      </c>
      <c r="L2439" s="825" t="s">
        <v>1187</v>
      </c>
      <c r="M2439" s="1658">
        <v>1477</v>
      </c>
      <c r="N2439" s="791"/>
      <c r="O2439" s="1657" t="s">
        <v>1190</v>
      </c>
    </row>
    <row r="2440" spans="1:15" s="1657" customFormat="1" x14ac:dyDescent="0.25">
      <c r="A2440" s="840" t="s">
        <v>1188</v>
      </c>
      <c r="B2440" s="791" t="str">
        <f ca="1">IFERROR(_xlfn.CONCAT(IF('Customer Inputs'!$U$19="Existing",IF('Customer Inputs'!T$19=0,SUBSTITUTE(ADDRESS(1,MATCH(O2440,INDIRECT("'"&amp;E2440&amp;"'"&amp;"!$A$5:$Z$5"),0),4),1,""),SUBSTITUTE(ADDRESS(1,MATCH(A2440,INDIRECT("'"&amp;E2440&amp;"'"&amp;"!A$5:Z$5"),0),4),1,"")),SUBSTITUTE(ADDRESS(1,MATCH(A2440,INDIRECT("'"&amp;E2440&amp;"'"&amp;"!A$5:Z$5"),0),4),1,"")),19),"")</f>
        <v>T19</v>
      </c>
      <c r="C2440" s="791" t="str">
        <f ca="1">IFERROR(IF('Customer Inputs'!$U$19="Existing",IF('Customer Inputs'!T46=0,SUBSTITUTE(ADDRESS(1,MATCH(O2440,INDIRECT("'"&amp;E2440&amp;"'"&amp;"!$A$5:$Z$5"),0),4),1,""),SUBSTITUTE(ADDRESS(1,MATCH(A2440,INDIRECT("'"&amp;E2440&amp;"'"&amp;"!A$5:Z$5"),0),4),1,"")),SUBSTITUTE(ADDRESS(1,MATCH(A2440,INDIRECT("'"&amp;E2440&amp;"'"&amp;"!A$5:Z$5"),0),4),1,"")),"")</f>
        <v>T</v>
      </c>
      <c r="D2440" s="791" t="s">
        <v>1357</v>
      </c>
      <c r="E2440" s="791" t="s">
        <v>870</v>
      </c>
      <c r="F2440" s="791"/>
      <c r="G2440" s="791"/>
      <c r="H2440" s="791"/>
      <c r="I2440" s="1274" t="str">
        <f t="shared" si="452"/>
        <v/>
      </c>
      <c r="J2440" s="1658"/>
      <c r="K2440" s="1658" t="str">
        <f t="shared" si="453"/>
        <v/>
      </c>
      <c r="L2440" s="825" t="s">
        <v>1188</v>
      </c>
      <c r="M2440" s="1658">
        <v>1478</v>
      </c>
      <c r="N2440" s="791"/>
      <c r="O2440" s="1657" t="s">
        <v>1184</v>
      </c>
    </row>
    <row r="2441" spans="1:15" s="1657" customFormat="1" x14ac:dyDescent="0.25">
      <c r="A2441" s="840" t="s">
        <v>1189</v>
      </c>
      <c r="B2441" s="791" t="str">
        <f t="shared" ca="1" si="467"/>
        <v>U19</v>
      </c>
      <c r="C2441" s="791" t="str">
        <f t="shared" ref="C2441:C2446" ca="1" si="468">_xlfn.IFNA(SUBSTITUTE(ADDRESS(1,MATCH(A2441,INDIRECT("'"&amp;E2441&amp;"'"&amp;"!A5:Z5"),0),4),1,""),"")</f>
        <v>U</v>
      </c>
      <c r="D2441" s="791" t="s">
        <v>1357</v>
      </c>
      <c r="E2441" s="791" t="s">
        <v>870</v>
      </c>
      <c r="F2441" s="791"/>
      <c r="G2441" s="791"/>
      <c r="H2441" s="791"/>
      <c r="I2441" s="1274" t="str">
        <f t="shared" si="452"/>
        <v/>
      </c>
      <c r="J2441" s="1658"/>
      <c r="K2441" s="1658" t="str">
        <f t="shared" si="453"/>
        <v/>
      </c>
      <c r="L2441" s="825" t="s">
        <v>1189</v>
      </c>
      <c r="M2441" s="1658">
        <v>1479</v>
      </c>
      <c r="N2441" s="791"/>
    </row>
    <row r="2442" spans="1:15" s="1657" customFormat="1" x14ac:dyDescent="0.25">
      <c r="A2442" s="840" t="s">
        <v>1339</v>
      </c>
      <c r="B2442" s="791" t="str">
        <f t="shared" ca="1" si="467"/>
        <v>V19</v>
      </c>
      <c r="C2442" s="791" t="str">
        <f t="shared" ca="1" si="468"/>
        <v>V</v>
      </c>
      <c r="D2442" s="791" t="s">
        <v>1357</v>
      </c>
      <c r="E2442" s="791" t="s">
        <v>870</v>
      </c>
      <c r="F2442" s="791"/>
      <c r="G2442" s="791"/>
      <c r="H2442" s="791"/>
      <c r="I2442" s="1274" t="str">
        <f t="shared" si="452"/>
        <v/>
      </c>
      <c r="J2442" s="1658"/>
      <c r="K2442" s="1658" t="str">
        <f t="shared" si="453"/>
        <v/>
      </c>
      <c r="L2442" s="825" t="s">
        <v>1428</v>
      </c>
      <c r="M2442" s="1658">
        <v>1480</v>
      </c>
      <c r="N2442" s="791"/>
    </row>
    <row r="2443" spans="1:15" s="1657" customFormat="1" x14ac:dyDescent="0.25">
      <c r="A2443" s="840" t="s">
        <v>1631</v>
      </c>
      <c r="B2443" s="791" t="str">
        <f t="shared" ca="1" si="467"/>
        <v>W19</v>
      </c>
      <c r="C2443" s="791" t="str">
        <f t="shared" ca="1" si="468"/>
        <v>W</v>
      </c>
      <c r="D2443" s="791" t="s">
        <v>1357</v>
      </c>
      <c r="E2443" s="791" t="s">
        <v>870</v>
      </c>
      <c r="F2443" s="791"/>
      <c r="G2443" s="791"/>
      <c r="H2443" s="791"/>
      <c r="I2443" s="1274" t="str">
        <f t="shared" si="452"/>
        <v>Add or End Customer</v>
      </c>
      <c r="J2443" s="1658" t="str">
        <f>IF(M2443&lt;&gt;"",Q$1&amp;M2443,"")</f>
        <v>F1481</v>
      </c>
      <c r="K2443" s="1658" t="str">
        <f t="shared" si="453"/>
        <v>Customer Inputs</v>
      </c>
      <c r="L2443" s="825" t="s">
        <v>1631</v>
      </c>
      <c r="M2443" s="1658">
        <v>1481</v>
      </c>
      <c r="N2443" s="791"/>
    </row>
    <row r="2444" spans="1:15" s="1657" customFormat="1" x14ac:dyDescent="0.25">
      <c r="A2444" s="835" t="s">
        <v>1182</v>
      </c>
      <c r="B2444" s="791" t="str">
        <f ca="1">_xlfn.IFNA(_xlfn.CONCAT(SUBSTITUTE(ADDRESS(1,MATCH(A2444,INDIRECT("'"&amp;E2444&amp;"'"&amp;"!A5:Z5"),0),4),1,""),20),"")</f>
        <v>H20</v>
      </c>
      <c r="C2444" s="791" t="str">
        <f t="shared" ca="1" si="468"/>
        <v>H</v>
      </c>
      <c r="D2444" s="791" t="s">
        <v>1357</v>
      </c>
      <c r="E2444" s="791" t="s">
        <v>870</v>
      </c>
      <c r="F2444" s="791"/>
      <c r="G2444" s="791"/>
      <c r="H2444" s="791"/>
      <c r="I2444" s="1274" t="str">
        <f t="shared" ref="I2444:I2507" si="469">IF(J2444&lt;&gt;"",A2444,"")</f>
        <v>Pyramid Segment</v>
      </c>
      <c r="J2444" s="1658" t="str">
        <f>IF(AND(P2508="",M2444&lt;&gt;""),Q$1&amp;M2444,"")</f>
        <v>F1492</v>
      </c>
      <c r="K2444" s="1658" t="str">
        <f t="shared" ref="K2444:K2507" si="470">IF(J2444&lt;&gt;"",E2444,"")</f>
        <v>Customer Inputs</v>
      </c>
      <c r="L2444" s="791" t="s">
        <v>1182</v>
      </c>
      <c r="M2444" s="1658">
        <v>1492</v>
      </c>
      <c r="N2444" s="791"/>
    </row>
    <row r="2445" spans="1:15" s="1657" customFormat="1" x14ac:dyDescent="0.25">
      <c r="A2445" s="836" t="s">
        <v>1262</v>
      </c>
      <c r="B2445" s="791" t="str">
        <f t="shared" ref="B2445:B2453" ca="1" si="471">_xlfn.IFNA(_xlfn.CONCAT(SUBSTITUTE(ADDRESS(1,MATCH(A2445,INDIRECT("'"&amp;E2445&amp;"'"&amp;"!A5:Z5"),0),4),1,""),20),"")</f>
        <v>I20</v>
      </c>
      <c r="C2445" s="791" t="str">
        <f t="shared" ca="1" si="468"/>
        <v>I</v>
      </c>
      <c r="D2445" s="791" t="s">
        <v>1357</v>
      </c>
      <c r="E2445" s="791" t="s">
        <v>870</v>
      </c>
      <c r="F2445" s="791"/>
      <c r="G2445" s="791"/>
      <c r="H2445" s="791"/>
      <c r="I2445" s="1274" t="str">
        <f t="shared" si="469"/>
        <v>Agreement Annual Purchase Commitment</v>
      </c>
      <c r="J2445" s="1658" t="str">
        <f>Q$1&amp;IF(Q2445&lt;&gt;"",M2445,M2447)</f>
        <v>F1496</v>
      </c>
      <c r="K2445" s="1658" t="str">
        <f t="shared" si="470"/>
        <v>Customer Inputs</v>
      </c>
      <c r="L2445" s="52" t="s">
        <v>1262</v>
      </c>
      <c r="M2445" s="1658">
        <v>1494</v>
      </c>
      <c r="N2445" s="791"/>
    </row>
    <row r="2446" spans="1:15" s="1657" customFormat="1" ht="30" x14ac:dyDescent="0.25">
      <c r="A2446" s="835" t="s">
        <v>1263</v>
      </c>
      <c r="B2446" s="791" t="str">
        <f t="shared" ca="1" si="471"/>
        <v>J20</v>
      </c>
      <c r="C2446" s="791" t="str">
        <f t="shared" ca="1" si="468"/>
        <v>J</v>
      </c>
      <c r="D2446" s="791" t="s">
        <v>1357</v>
      </c>
      <c r="E2446" s="791" t="s">
        <v>870</v>
      </c>
      <c r="F2446" s="791"/>
      <c r="G2446" s="791"/>
      <c r="H2446" s="791"/>
      <c r="I2446" s="1274" t="str">
        <f t="shared" si="469"/>
        <v>Agreement Deliveries Per Customer Unit Per Week</v>
      </c>
      <c r="J2446" s="1658" t="str">
        <f>Q$1&amp;IF(Q2446&lt;&gt;"",M2446,M2448)</f>
        <v>F1497</v>
      </c>
      <c r="K2446" s="1658" t="str">
        <f t="shared" si="470"/>
        <v>Customer Inputs</v>
      </c>
      <c r="L2446" s="791" t="s">
        <v>1263</v>
      </c>
      <c r="M2446" s="1658">
        <v>1495</v>
      </c>
      <c r="N2446" s="791"/>
    </row>
    <row r="2447" spans="1:15" s="1657" customFormat="1" x14ac:dyDescent="0.25">
      <c r="A2447" s="835" t="s">
        <v>1185</v>
      </c>
      <c r="B2447" s="791" t="str">
        <f ca="1">IFERROR(_xlfn.CONCAT(IF('Customer Inputs'!$U$20="Existing",IF('Customer Inputs'!P$20=0,SUBSTITUTE(ADDRESS(1,MATCH(O2447,INDIRECT("'"&amp;E2447&amp;"'"&amp;"!$A$5:$Z$5"),0),4),1,""),SUBSTITUTE(ADDRESS(1,MATCH(A2447,INDIRECT("'"&amp;E2447&amp;"'"&amp;"!A$5:Z$5"),0),4),1,"")),SUBSTITUTE(ADDRESS(1,MATCH(A2447,INDIRECT("'"&amp;E2447&amp;"'"&amp;"!A$5:Z$5"),0),4),1,"")),20),"")</f>
        <v>P20</v>
      </c>
      <c r="C2447" s="791" t="str">
        <f ca="1">IFERROR(IF('Customer Inputs'!$U$20="Existing",IF('Customer Inputs'!P56=0,SUBSTITUTE(ADDRESS(1,MATCH(O2447,INDIRECT("'"&amp;E2447&amp;"'"&amp;"!$A$5:$Z$5"),0),4),1,""),SUBSTITUTE(ADDRESS(1,MATCH(A2447,INDIRECT("'"&amp;E2447&amp;"'"&amp;"!A$5:Z$5"),0),4),1,"")),SUBSTITUTE(ADDRESS(1,MATCH(A2447,INDIRECT("'"&amp;E2447&amp;"'"&amp;"!A$5:Z$5"),0),4),1,"")),"")</f>
        <v>P</v>
      </c>
      <c r="D2447" s="791" t="s">
        <v>1357</v>
      </c>
      <c r="E2447" s="791" t="s">
        <v>870</v>
      </c>
      <c r="F2447" s="791"/>
      <c r="G2447" s="791"/>
      <c r="H2447" s="791"/>
      <c r="I2447" s="1274" t="str">
        <f t="shared" si="469"/>
        <v/>
      </c>
      <c r="J2447" s="1658"/>
      <c r="K2447" s="1658" t="str">
        <f t="shared" si="470"/>
        <v/>
      </c>
      <c r="L2447" s="791" t="s">
        <v>1185</v>
      </c>
      <c r="M2447" s="1658">
        <v>1496</v>
      </c>
      <c r="N2447" s="791"/>
      <c r="O2447" s="1657" t="s">
        <v>868</v>
      </c>
    </row>
    <row r="2448" spans="1:15" s="1657" customFormat="1" x14ac:dyDescent="0.25">
      <c r="A2448" s="837" t="s">
        <v>1186</v>
      </c>
      <c r="B2448" s="791" t="str">
        <f ca="1">IFERROR(_xlfn.CONCAT(IF('Customer Inputs'!$U$20="Existing",IF('Customer Inputs'!Q$20=0,SUBSTITUTE(ADDRESS(1,MATCH(O2448,INDIRECT("'"&amp;E2448&amp;"'"&amp;"!$A$5:$Z$5"),0),4),1,""),SUBSTITUTE(ADDRESS(1,MATCH(A2448,INDIRECT("'"&amp;E2448&amp;"'"&amp;"!A$5:Z$5"),0),4),1,"")),SUBSTITUTE(ADDRESS(1,MATCH(A2448,INDIRECT("'"&amp;E2448&amp;"'"&amp;"!A$5:Z$5"),0),4),1,"")),20),"")</f>
        <v>Q20</v>
      </c>
      <c r="C2448" s="791" t="str">
        <f ca="1">IFERROR(IF('Customer Inputs'!$U$20="Existing",IF('Customer Inputs'!Q56=0,SUBSTITUTE(ADDRESS(1,MATCH(O2448,INDIRECT("'"&amp;E2448&amp;"'"&amp;"!$A$5:$Z$5"),0),4),1,""),SUBSTITUTE(ADDRESS(1,MATCH(A2448,INDIRECT("'"&amp;E2448&amp;"'"&amp;"!A$5:Z$5"),0),4),1,"")),SUBSTITUTE(ADDRESS(1,MATCH(A2448,INDIRECT("'"&amp;E2448&amp;"'"&amp;"!A$5:Z$5"),0),4),1,"")),"")</f>
        <v>Q</v>
      </c>
      <c r="D2448" s="791" t="s">
        <v>1357</v>
      </c>
      <c r="E2448" s="791" t="s">
        <v>870</v>
      </c>
      <c r="F2448" s="791"/>
      <c r="G2448" s="791"/>
      <c r="H2448" s="791"/>
      <c r="I2448" s="1274" t="str">
        <f t="shared" si="469"/>
        <v/>
      </c>
      <c r="J2448" s="1658"/>
      <c r="K2448" s="1658" t="str">
        <f t="shared" si="470"/>
        <v/>
      </c>
      <c r="L2448" s="825" t="s">
        <v>1186</v>
      </c>
      <c r="M2448" s="1658">
        <v>1497</v>
      </c>
      <c r="N2448" s="791"/>
      <c r="O2448" s="1657" t="s">
        <v>1183</v>
      </c>
    </row>
    <row r="2449" spans="1:15" s="1657" customFormat="1" x14ac:dyDescent="0.25">
      <c r="A2449" s="837" t="s">
        <v>1187</v>
      </c>
      <c r="B2449" s="791" t="str">
        <f ca="1">IFERROR(_xlfn.CONCAT(IF('Customer Inputs'!$U$20="Existing",IF('Customer Inputs'!R$20=0,SUBSTITUTE(ADDRESS(1,MATCH(O2449,INDIRECT("'"&amp;E2449&amp;"'"&amp;"!$A$5:$Z$5"),0),4),1,""),SUBSTITUTE(ADDRESS(1,MATCH(A2449,INDIRECT("'"&amp;E2449&amp;"'"&amp;"!A$5:Z$5"),0),4),1,"")),SUBSTITUTE(ADDRESS(1,MATCH(A2449,INDIRECT("'"&amp;E2449&amp;"'"&amp;"!A$5:Z$5"),0),4),1,"")),20),"")</f>
        <v>R20</v>
      </c>
      <c r="C2449" s="791" t="str">
        <f ca="1">IFERROR(IF('Customer Inputs'!$U$20="Existing",IF('Customer Inputs'!R56=0,SUBSTITUTE(ADDRESS(1,MATCH(O2449,INDIRECT("'"&amp;E2449&amp;"'"&amp;"!$A$5:$Z$5"),0),4),1,""),SUBSTITUTE(ADDRESS(1,MATCH(A2449,INDIRECT("'"&amp;E2449&amp;"'"&amp;"!A$5:Z$5"),0),4),1,"")),SUBSTITUTE(ADDRESS(1,MATCH(A2449,INDIRECT("'"&amp;E2449&amp;"'"&amp;"!A$5:Z$5"),0),4),1,"")),"")</f>
        <v>R</v>
      </c>
      <c r="D2449" s="791" t="s">
        <v>1357</v>
      </c>
      <c r="E2449" s="791" t="s">
        <v>870</v>
      </c>
      <c r="F2449" s="791"/>
      <c r="G2449" s="791"/>
      <c r="H2449" s="791"/>
      <c r="I2449" s="1274" t="str">
        <f t="shared" si="469"/>
        <v/>
      </c>
      <c r="J2449" s="1658"/>
      <c r="K2449" s="1658" t="str">
        <f t="shared" si="470"/>
        <v/>
      </c>
      <c r="L2449" s="825" t="s">
        <v>1187</v>
      </c>
      <c r="M2449" s="1658">
        <v>1498</v>
      </c>
      <c r="N2449" s="791"/>
      <c r="O2449" s="1657" t="s">
        <v>1190</v>
      </c>
    </row>
    <row r="2450" spans="1:15" s="1657" customFormat="1" x14ac:dyDescent="0.25">
      <c r="A2450" s="837" t="s">
        <v>1188</v>
      </c>
      <c r="B2450" s="791" t="str">
        <f ca="1">IFERROR(_xlfn.CONCAT(IF('Customer Inputs'!$U$20="Existing",IF('Customer Inputs'!T$20=0,SUBSTITUTE(ADDRESS(1,MATCH(O2450,INDIRECT("'"&amp;E2450&amp;"'"&amp;"!$A$5:$Z$5"),0),4),1,""),SUBSTITUTE(ADDRESS(1,MATCH(A2450,INDIRECT("'"&amp;E2450&amp;"'"&amp;"!A$5:Z$5"),0),4),1,"")),SUBSTITUTE(ADDRESS(1,MATCH(A2450,INDIRECT("'"&amp;E2450&amp;"'"&amp;"!A$5:Z$5"),0),4),1,"")),20),"")</f>
        <v>T20</v>
      </c>
      <c r="C2450" s="791" t="str">
        <f ca="1">IFERROR(IF('Customer Inputs'!$U$20="Existing",IF('Customer Inputs'!T56=0,SUBSTITUTE(ADDRESS(1,MATCH(O2450,INDIRECT("'"&amp;E2450&amp;"'"&amp;"!$A$5:$Z$5"),0),4),1,""),SUBSTITUTE(ADDRESS(1,MATCH(A2450,INDIRECT("'"&amp;E2450&amp;"'"&amp;"!A$5:Z$5"),0),4),1,"")),SUBSTITUTE(ADDRESS(1,MATCH(A2450,INDIRECT("'"&amp;E2450&amp;"'"&amp;"!A$5:Z$5"),0),4),1,"")),"")</f>
        <v>T</v>
      </c>
      <c r="D2450" s="791" t="s">
        <v>1357</v>
      </c>
      <c r="E2450" s="791" t="s">
        <v>870</v>
      </c>
      <c r="F2450" s="791"/>
      <c r="G2450" s="791"/>
      <c r="H2450" s="791"/>
      <c r="I2450" s="1274" t="str">
        <f t="shared" si="469"/>
        <v/>
      </c>
      <c r="J2450" s="1658"/>
      <c r="K2450" s="1658" t="str">
        <f t="shared" si="470"/>
        <v/>
      </c>
      <c r="L2450" s="825" t="s">
        <v>1188</v>
      </c>
      <c r="M2450" s="1658">
        <v>1499</v>
      </c>
      <c r="N2450" s="791"/>
      <c r="O2450" s="1657" t="s">
        <v>1184</v>
      </c>
    </row>
    <row r="2451" spans="1:15" s="1657" customFormat="1" x14ac:dyDescent="0.25">
      <c r="A2451" s="837" t="s">
        <v>1189</v>
      </c>
      <c r="B2451" s="791" t="str">
        <f t="shared" ca="1" si="471"/>
        <v>U20</v>
      </c>
      <c r="C2451" s="791" t="str">
        <f t="shared" ref="C2451:C2456" ca="1" si="472">_xlfn.IFNA(SUBSTITUTE(ADDRESS(1,MATCH(A2451,INDIRECT("'"&amp;E2451&amp;"'"&amp;"!A5:Z5"),0),4),1,""),"")</f>
        <v>U</v>
      </c>
      <c r="D2451" s="791" t="s">
        <v>1357</v>
      </c>
      <c r="E2451" s="791" t="s">
        <v>870</v>
      </c>
      <c r="F2451" s="791"/>
      <c r="G2451" s="791"/>
      <c r="H2451" s="791"/>
      <c r="I2451" s="1274" t="str">
        <f t="shared" si="469"/>
        <v/>
      </c>
      <c r="J2451" s="1658"/>
      <c r="K2451" s="1658" t="str">
        <f t="shared" si="470"/>
        <v/>
      </c>
      <c r="L2451" s="825" t="s">
        <v>1189</v>
      </c>
      <c r="M2451" s="1658">
        <v>1500</v>
      </c>
      <c r="N2451" s="791"/>
    </row>
    <row r="2452" spans="1:15" s="1657" customFormat="1" x14ac:dyDescent="0.25">
      <c r="A2452" s="837" t="s">
        <v>1339</v>
      </c>
      <c r="B2452" s="791" t="str">
        <f t="shared" ca="1" si="471"/>
        <v>V20</v>
      </c>
      <c r="C2452" s="791" t="str">
        <f t="shared" ca="1" si="472"/>
        <v>V</v>
      </c>
      <c r="D2452" s="791" t="s">
        <v>1357</v>
      </c>
      <c r="E2452" s="791" t="s">
        <v>870</v>
      </c>
      <c r="F2452" s="791"/>
      <c r="G2452" s="791"/>
      <c r="H2452" s="791"/>
      <c r="I2452" s="1274" t="str">
        <f t="shared" si="469"/>
        <v/>
      </c>
      <c r="J2452" s="1658"/>
      <c r="K2452" s="1658" t="str">
        <f t="shared" si="470"/>
        <v/>
      </c>
      <c r="L2452" s="825" t="s">
        <v>1428</v>
      </c>
      <c r="M2452" s="1658">
        <v>1501</v>
      </c>
      <c r="N2452" s="791"/>
    </row>
    <row r="2453" spans="1:15" s="1657" customFormat="1" x14ac:dyDescent="0.25">
      <c r="A2453" s="837" t="s">
        <v>1631</v>
      </c>
      <c r="B2453" s="791" t="str">
        <f t="shared" ca="1" si="471"/>
        <v>W20</v>
      </c>
      <c r="C2453" s="791" t="str">
        <f t="shared" ca="1" si="472"/>
        <v>W</v>
      </c>
      <c r="D2453" s="791" t="s">
        <v>1357</v>
      </c>
      <c r="E2453" s="791" t="s">
        <v>870</v>
      </c>
      <c r="F2453" s="791"/>
      <c r="G2453" s="791"/>
      <c r="H2453" s="791"/>
      <c r="I2453" s="1274" t="str">
        <f t="shared" si="469"/>
        <v>Add or End Customer</v>
      </c>
      <c r="J2453" s="1658" t="str">
        <f>IF(M2453&lt;&gt;"",Q$1&amp;M2453,"")</f>
        <v>F1502</v>
      </c>
      <c r="K2453" s="1658" t="str">
        <f t="shared" si="470"/>
        <v>Customer Inputs</v>
      </c>
      <c r="L2453" s="825" t="s">
        <v>1631</v>
      </c>
      <c r="M2453" s="1658">
        <v>1502</v>
      </c>
      <c r="N2453" s="791"/>
    </row>
    <row r="2454" spans="1:15" s="1657" customFormat="1" x14ac:dyDescent="0.25">
      <c r="A2454" s="838" t="s">
        <v>1182</v>
      </c>
      <c r="B2454" s="791" t="str">
        <f ca="1">_xlfn.IFNA(_xlfn.CONCAT(SUBSTITUTE(ADDRESS(1,MATCH(A2454,INDIRECT("'"&amp;E2454&amp;"'"&amp;"!A5:Z5"),0),4),1,""),21),"")</f>
        <v>H21</v>
      </c>
      <c r="C2454" s="791" t="str">
        <f t="shared" ca="1" si="472"/>
        <v>H</v>
      </c>
      <c r="D2454" s="791" t="s">
        <v>1357</v>
      </c>
      <c r="E2454" s="791" t="s">
        <v>870</v>
      </c>
      <c r="F2454" s="791"/>
      <c r="G2454" s="791"/>
      <c r="H2454" s="791"/>
      <c r="I2454" s="1274" t="str">
        <f t="shared" si="469"/>
        <v>Pyramid Segment</v>
      </c>
      <c r="J2454" s="1658" t="str">
        <f>IF(AND(P2509="",M2454&lt;&gt;""),Q$1&amp;M2454,"")</f>
        <v>F1513</v>
      </c>
      <c r="K2454" s="1658" t="str">
        <f t="shared" si="470"/>
        <v>Customer Inputs</v>
      </c>
      <c r="L2454" s="791" t="s">
        <v>1182</v>
      </c>
      <c r="M2454" s="1658">
        <v>1513</v>
      </c>
      <c r="N2454" s="791"/>
    </row>
    <row r="2455" spans="1:15" s="1657" customFormat="1" x14ac:dyDescent="0.25">
      <c r="A2455" s="839" t="s">
        <v>1262</v>
      </c>
      <c r="B2455" s="791" t="str">
        <f t="shared" ref="B2455:B2463" ca="1" si="473">_xlfn.IFNA(_xlfn.CONCAT(SUBSTITUTE(ADDRESS(1,MATCH(A2455,INDIRECT("'"&amp;E2455&amp;"'"&amp;"!A5:Z5"),0),4),1,""),21),"")</f>
        <v>I21</v>
      </c>
      <c r="C2455" s="791" t="str">
        <f t="shared" ca="1" si="472"/>
        <v>I</v>
      </c>
      <c r="D2455" s="791" t="s">
        <v>1357</v>
      </c>
      <c r="E2455" s="791" t="s">
        <v>870</v>
      </c>
      <c r="F2455" s="791"/>
      <c r="G2455" s="791"/>
      <c r="H2455" s="791"/>
      <c r="I2455" s="1274" t="str">
        <f t="shared" si="469"/>
        <v>Agreement Annual Purchase Commitment</v>
      </c>
      <c r="J2455" s="1658" t="str">
        <f>Q$1&amp;IF(Q2455&lt;&gt;"",M2455,M2457)</f>
        <v>F1517</v>
      </c>
      <c r="K2455" s="1658" t="str">
        <f t="shared" si="470"/>
        <v>Customer Inputs</v>
      </c>
      <c r="L2455" s="52" t="s">
        <v>1262</v>
      </c>
      <c r="M2455" s="1658">
        <v>1515</v>
      </c>
      <c r="N2455" s="791"/>
    </row>
    <row r="2456" spans="1:15" s="1657" customFormat="1" ht="30" x14ac:dyDescent="0.25">
      <c r="A2456" s="838" t="s">
        <v>1263</v>
      </c>
      <c r="B2456" s="791" t="str">
        <f t="shared" ca="1" si="473"/>
        <v>J21</v>
      </c>
      <c r="C2456" s="791" t="str">
        <f t="shared" ca="1" si="472"/>
        <v>J</v>
      </c>
      <c r="D2456" s="791" t="s">
        <v>1357</v>
      </c>
      <c r="E2456" s="791" t="s">
        <v>870</v>
      </c>
      <c r="F2456" s="791"/>
      <c r="G2456" s="791"/>
      <c r="H2456" s="791"/>
      <c r="I2456" s="1274" t="str">
        <f t="shared" si="469"/>
        <v>Agreement Deliveries Per Customer Unit Per Week</v>
      </c>
      <c r="J2456" s="1658" t="str">
        <f>Q$1&amp;IF(Q2456&lt;&gt;"",M2456,M2458)</f>
        <v>F1518</v>
      </c>
      <c r="K2456" s="1658" t="str">
        <f t="shared" si="470"/>
        <v>Customer Inputs</v>
      </c>
      <c r="L2456" s="791" t="s">
        <v>1263</v>
      </c>
      <c r="M2456" s="1658">
        <v>1516</v>
      </c>
      <c r="N2456" s="791"/>
    </row>
    <row r="2457" spans="1:15" s="1657" customFormat="1" x14ac:dyDescent="0.25">
      <c r="A2457" s="838" t="s">
        <v>1185</v>
      </c>
      <c r="B2457" s="791" t="str">
        <f ca="1">IFERROR(_xlfn.CONCAT(IF('Customer Inputs'!$U$21="Existing",IF('Customer Inputs'!P$21=0,SUBSTITUTE(ADDRESS(1,MATCH(O2457,INDIRECT("'"&amp;E2457&amp;"'"&amp;"!$A$5:$Z$5"),0),4),1,""),SUBSTITUTE(ADDRESS(1,MATCH(A2457,INDIRECT("'"&amp;E2457&amp;"'"&amp;"!A$5:Z$5"),0),4),1,"")),SUBSTITUTE(ADDRESS(1,MATCH(A2457,INDIRECT("'"&amp;E2457&amp;"'"&amp;"!A$5:Z$5"),0),4),1,"")),21),"")</f>
        <v>P21</v>
      </c>
      <c r="C2457" s="791" t="str">
        <f ca="1">IFERROR(IF('Customer Inputs'!$U$21="Existing",IF('Customer Inputs'!P66=0,SUBSTITUTE(ADDRESS(1,MATCH(O2457,INDIRECT("'"&amp;E2457&amp;"'"&amp;"!$A$5:$Z$5"),0),4),1,""),SUBSTITUTE(ADDRESS(1,MATCH(A2457,INDIRECT("'"&amp;E2457&amp;"'"&amp;"!A$5:Z$5"),0),4),1,"")),SUBSTITUTE(ADDRESS(1,MATCH(A2457,INDIRECT("'"&amp;E2457&amp;"'"&amp;"!A$5:Z$5"),0),4),1,"")),"")</f>
        <v>P</v>
      </c>
      <c r="D2457" s="791" t="s">
        <v>1357</v>
      </c>
      <c r="E2457" s="791" t="s">
        <v>870</v>
      </c>
      <c r="F2457" s="791"/>
      <c r="G2457" s="791"/>
      <c r="H2457" s="791"/>
      <c r="I2457" s="1274" t="str">
        <f t="shared" si="469"/>
        <v/>
      </c>
      <c r="J2457" s="1658"/>
      <c r="K2457" s="1658" t="str">
        <f t="shared" si="470"/>
        <v/>
      </c>
      <c r="L2457" s="791" t="s">
        <v>1185</v>
      </c>
      <c r="M2457" s="1658">
        <v>1517</v>
      </c>
      <c r="N2457" s="791"/>
      <c r="O2457" s="1657" t="s">
        <v>868</v>
      </c>
    </row>
    <row r="2458" spans="1:15" s="1657" customFormat="1" x14ac:dyDescent="0.25">
      <c r="A2458" s="840" t="s">
        <v>1186</v>
      </c>
      <c r="B2458" s="791" t="str">
        <f ca="1">IFERROR(_xlfn.CONCAT(IF('Customer Inputs'!$U$21="Existing",IF('Customer Inputs'!Q$21=0,SUBSTITUTE(ADDRESS(1,MATCH(O2458,INDIRECT("'"&amp;E2458&amp;"'"&amp;"!$A$5:$Z$5"),0),4),1,""),SUBSTITUTE(ADDRESS(1,MATCH(A2458,INDIRECT("'"&amp;E2458&amp;"'"&amp;"!A$5:Z$5"),0),4),1,"")),SUBSTITUTE(ADDRESS(1,MATCH(A2458,INDIRECT("'"&amp;E2458&amp;"'"&amp;"!A$5:Z$5"),0),4),1,"")),21),"")</f>
        <v>Q21</v>
      </c>
      <c r="C2458" s="791" t="str">
        <f ca="1">IFERROR(IF('Customer Inputs'!$U$21="Existing",IF('Customer Inputs'!Q66=0,SUBSTITUTE(ADDRESS(1,MATCH(O2458,INDIRECT("'"&amp;E2458&amp;"'"&amp;"!$A$5:$Z$5"),0),4),1,""),SUBSTITUTE(ADDRESS(1,MATCH(A2458,INDIRECT("'"&amp;E2458&amp;"'"&amp;"!A$5:Z$5"),0),4),1,"")),SUBSTITUTE(ADDRESS(1,MATCH(A2458,INDIRECT("'"&amp;E2458&amp;"'"&amp;"!A$5:Z$5"),0),4),1,"")),"")</f>
        <v>Q</v>
      </c>
      <c r="D2458" s="791" t="s">
        <v>1357</v>
      </c>
      <c r="E2458" s="791" t="s">
        <v>870</v>
      </c>
      <c r="F2458" s="791"/>
      <c r="G2458" s="791"/>
      <c r="H2458" s="791"/>
      <c r="I2458" s="1274" t="str">
        <f t="shared" si="469"/>
        <v/>
      </c>
      <c r="J2458" s="1658"/>
      <c r="K2458" s="1658" t="str">
        <f t="shared" si="470"/>
        <v/>
      </c>
      <c r="L2458" s="825" t="s">
        <v>1186</v>
      </c>
      <c r="M2458" s="1658">
        <v>1518</v>
      </c>
      <c r="N2458" s="791"/>
      <c r="O2458" s="1657" t="s">
        <v>1183</v>
      </c>
    </row>
    <row r="2459" spans="1:15" s="1657" customFormat="1" x14ac:dyDescent="0.25">
      <c r="A2459" s="840" t="s">
        <v>1187</v>
      </c>
      <c r="B2459" s="791" t="str">
        <f ca="1">IFERROR(_xlfn.CONCAT(IF('Customer Inputs'!$U$21="Existing",IF('Customer Inputs'!R$21=0,SUBSTITUTE(ADDRESS(1,MATCH(O2459,INDIRECT("'"&amp;E2459&amp;"'"&amp;"!$A$5:$Z$5"),0),4),1,""),SUBSTITUTE(ADDRESS(1,MATCH(A2459,INDIRECT("'"&amp;E2459&amp;"'"&amp;"!A$5:Z$5"),0),4),1,"")),SUBSTITUTE(ADDRESS(1,MATCH(A2459,INDIRECT("'"&amp;E2459&amp;"'"&amp;"!A$5:Z$5"),0),4),1,"")),21),"")</f>
        <v>R21</v>
      </c>
      <c r="C2459" s="791" t="str">
        <f ca="1">IFERROR(IF('Customer Inputs'!$U$21="Existing",IF('Customer Inputs'!R66=0,SUBSTITUTE(ADDRESS(1,MATCH(O2459,INDIRECT("'"&amp;E2459&amp;"'"&amp;"!$A$5:$Z$5"),0),4),1,""),SUBSTITUTE(ADDRESS(1,MATCH(A2459,INDIRECT("'"&amp;E2459&amp;"'"&amp;"!A$5:Z$5"),0),4),1,"")),SUBSTITUTE(ADDRESS(1,MATCH(A2459,INDIRECT("'"&amp;E2459&amp;"'"&amp;"!A$5:Z$5"),0),4),1,"")),"")</f>
        <v>R</v>
      </c>
      <c r="D2459" s="791" t="s">
        <v>1357</v>
      </c>
      <c r="E2459" s="791" t="s">
        <v>870</v>
      </c>
      <c r="F2459" s="791"/>
      <c r="G2459" s="791"/>
      <c r="H2459" s="791"/>
      <c r="I2459" s="1274" t="str">
        <f t="shared" si="469"/>
        <v/>
      </c>
      <c r="J2459" s="1658"/>
      <c r="K2459" s="1658" t="str">
        <f t="shared" si="470"/>
        <v/>
      </c>
      <c r="L2459" s="825" t="s">
        <v>1187</v>
      </c>
      <c r="M2459" s="1658">
        <v>1519</v>
      </c>
      <c r="N2459" s="791"/>
      <c r="O2459" s="1657" t="s">
        <v>1190</v>
      </c>
    </row>
    <row r="2460" spans="1:15" s="1657" customFormat="1" x14ac:dyDescent="0.25">
      <c r="A2460" s="840" t="s">
        <v>1188</v>
      </c>
      <c r="B2460" s="791" t="str">
        <f ca="1">IFERROR(_xlfn.CONCAT(IF('Customer Inputs'!$U$21="Existing",IF('Customer Inputs'!T$21=0,SUBSTITUTE(ADDRESS(1,MATCH(O2460,INDIRECT("'"&amp;E2460&amp;"'"&amp;"!$A$5:$Z$5"),0),4),1,""),SUBSTITUTE(ADDRESS(1,MATCH(A2460,INDIRECT("'"&amp;E2460&amp;"'"&amp;"!A$5:Z$5"),0),4),1,"")),SUBSTITUTE(ADDRESS(1,MATCH(A2460,INDIRECT("'"&amp;E2460&amp;"'"&amp;"!A$5:Z$5"),0),4),1,"")),21),"")</f>
        <v>T21</v>
      </c>
      <c r="C2460" s="791" t="str">
        <f ca="1">IFERROR(IF('Customer Inputs'!$U$21="Existing",IF('Customer Inputs'!T66=0,SUBSTITUTE(ADDRESS(1,MATCH(O2460,INDIRECT("'"&amp;E2460&amp;"'"&amp;"!$A$5:$Z$5"),0),4),1,""),SUBSTITUTE(ADDRESS(1,MATCH(A2460,INDIRECT("'"&amp;E2460&amp;"'"&amp;"!A$5:Z$5"),0),4),1,"")),SUBSTITUTE(ADDRESS(1,MATCH(A2460,INDIRECT("'"&amp;E2460&amp;"'"&amp;"!A$5:Z$5"),0),4),1,"")),"")</f>
        <v>T</v>
      </c>
      <c r="D2460" s="791" t="s">
        <v>1357</v>
      </c>
      <c r="E2460" s="791" t="s">
        <v>870</v>
      </c>
      <c r="F2460" s="1658"/>
      <c r="G2460" s="1658"/>
      <c r="H2460" s="1658"/>
      <c r="I2460" s="1274" t="str">
        <f t="shared" si="469"/>
        <v/>
      </c>
      <c r="J2460" s="1658"/>
      <c r="K2460" s="1658" t="str">
        <f t="shared" si="470"/>
        <v/>
      </c>
      <c r="L2460" s="825" t="s">
        <v>1188</v>
      </c>
      <c r="M2460" s="1658">
        <v>1520</v>
      </c>
      <c r="N2460" s="1658"/>
      <c r="O2460" s="1657" t="s">
        <v>1184</v>
      </c>
    </row>
    <row r="2461" spans="1:15" s="1657" customFormat="1" x14ac:dyDescent="0.25">
      <c r="A2461" s="840" t="s">
        <v>1189</v>
      </c>
      <c r="B2461" s="791" t="str">
        <f t="shared" ca="1" si="473"/>
        <v>U21</v>
      </c>
      <c r="C2461" s="791" t="str">
        <f t="shared" ref="C2461:C2466" ca="1" si="474">_xlfn.IFNA(SUBSTITUTE(ADDRESS(1,MATCH(A2461,INDIRECT("'"&amp;E2461&amp;"'"&amp;"!A5:Z5"),0),4),1,""),"")</f>
        <v>U</v>
      </c>
      <c r="D2461" s="791" t="s">
        <v>1357</v>
      </c>
      <c r="E2461" s="791" t="s">
        <v>870</v>
      </c>
      <c r="F2461" s="1658"/>
      <c r="G2461" s="1658"/>
      <c r="H2461" s="1658"/>
      <c r="I2461" s="1274" t="str">
        <f t="shared" si="469"/>
        <v/>
      </c>
      <c r="J2461" s="1658"/>
      <c r="K2461" s="1658" t="str">
        <f t="shared" si="470"/>
        <v/>
      </c>
      <c r="L2461" s="825" t="s">
        <v>1189</v>
      </c>
      <c r="M2461" s="1658">
        <v>1521</v>
      </c>
      <c r="N2461" s="1658"/>
    </row>
    <row r="2462" spans="1:15" s="1657" customFormat="1" x14ac:dyDescent="0.25">
      <c r="A2462" s="840" t="s">
        <v>1339</v>
      </c>
      <c r="B2462" s="791" t="str">
        <f t="shared" ca="1" si="473"/>
        <v>V21</v>
      </c>
      <c r="C2462" s="791" t="str">
        <f t="shared" ca="1" si="474"/>
        <v>V</v>
      </c>
      <c r="D2462" s="791" t="s">
        <v>1357</v>
      </c>
      <c r="E2462" s="791" t="s">
        <v>870</v>
      </c>
      <c r="F2462" s="1658"/>
      <c r="G2462" s="1658"/>
      <c r="H2462" s="1658"/>
      <c r="I2462" s="1274" t="str">
        <f t="shared" si="469"/>
        <v/>
      </c>
      <c r="J2462" s="1658"/>
      <c r="K2462" s="1658" t="str">
        <f t="shared" si="470"/>
        <v/>
      </c>
      <c r="L2462" s="825" t="s">
        <v>1428</v>
      </c>
      <c r="M2462" s="1658">
        <v>1522</v>
      </c>
      <c r="N2462" s="1658"/>
    </row>
    <row r="2463" spans="1:15" s="1657" customFormat="1" x14ac:dyDescent="0.25">
      <c r="A2463" s="840" t="s">
        <v>1631</v>
      </c>
      <c r="B2463" s="791" t="str">
        <f t="shared" ca="1" si="473"/>
        <v>W21</v>
      </c>
      <c r="C2463" s="791" t="str">
        <f t="shared" ca="1" si="474"/>
        <v>W</v>
      </c>
      <c r="D2463" s="791" t="s">
        <v>1357</v>
      </c>
      <c r="E2463" s="791" t="s">
        <v>870</v>
      </c>
      <c r="F2463" s="1658"/>
      <c r="G2463" s="1658"/>
      <c r="H2463" s="1658"/>
      <c r="I2463" s="1274" t="str">
        <f t="shared" si="469"/>
        <v>Add or End Customer</v>
      </c>
      <c r="J2463" s="1658" t="str">
        <f>IF(M2463&lt;&gt;"",Q$1&amp;M2463,"")</f>
        <v>F1523</v>
      </c>
      <c r="K2463" s="1658" t="str">
        <f t="shared" si="470"/>
        <v>Customer Inputs</v>
      </c>
      <c r="L2463" s="825" t="s">
        <v>1631</v>
      </c>
      <c r="M2463" s="1658">
        <v>1523</v>
      </c>
      <c r="N2463" s="1658"/>
    </row>
    <row r="2464" spans="1:15" s="1657" customFormat="1" x14ac:dyDescent="0.25">
      <c r="A2464" s="835" t="s">
        <v>1182</v>
      </c>
      <c r="B2464" s="791" t="str">
        <f ca="1">_xlfn.IFNA(_xlfn.CONCAT(SUBSTITUTE(ADDRESS(1,MATCH(A2464,INDIRECT("'"&amp;E2464&amp;"'"&amp;"!A5:Z5"),0),4),1,""),22),"")</f>
        <v>H22</v>
      </c>
      <c r="C2464" s="791" t="str">
        <f t="shared" ca="1" si="474"/>
        <v>H</v>
      </c>
      <c r="D2464" s="791" t="s">
        <v>1357</v>
      </c>
      <c r="E2464" s="791" t="s">
        <v>870</v>
      </c>
      <c r="F2464" s="1658"/>
      <c r="G2464" s="1658"/>
      <c r="H2464" s="1658"/>
      <c r="I2464" s="1274" t="str">
        <f t="shared" si="469"/>
        <v>Pyramid Segment</v>
      </c>
      <c r="J2464" s="1658" t="str">
        <f>IF(AND(P2510="",M2464&lt;&gt;""),Q$1&amp;M2464,"")</f>
        <v>F1534</v>
      </c>
      <c r="K2464" s="1658" t="str">
        <f t="shared" si="470"/>
        <v>Customer Inputs</v>
      </c>
      <c r="L2464" s="791" t="s">
        <v>1182</v>
      </c>
      <c r="M2464" s="1658">
        <v>1534</v>
      </c>
      <c r="N2464" s="1658"/>
    </row>
    <row r="2465" spans="1:15" s="1657" customFormat="1" x14ac:dyDescent="0.25">
      <c r="A2465" s="836" t="s">
        <v>1262</v>
      </c>
      <c r="B2465" s="791" t="str">
        <f t="shared" ref="B2465:B2473" ca="1" si="475">_xlfn.IFNA(_xlfn.CONCAT(SUBSTITUTE(ADDRESS(1,MATCH(A2465,INDIRECT("'"&amp;E2465&amp;"'"&amp;"!A5:Z5"),0),4),1,""),22),"")</f>
        <v>I22</v>
      </c>
      <c r="C2465" s="791" t="str">
        <f t="shared" ca="1" si="474"/>
        <v>I</v>
      </c>
      <c r="D2465" s="791" t="s">
        <v>1357</v>
      </c>
      <c r="E2465" s="791" t="s">
        <v>870</v>
      </c>
      <c r="F2465" s="1658"/>
      <c r="G2465" s="1658"/>
      <c r="H2465" s="1658"/>
      <c r="I2465" s="1274" t="str">
        <f t="shared" si="469"/>
        <v>Agreement Annual Purchase Commitment</v>
      </c>
      <c r="J2465" s="1658" t="str">
        <f>Q$1&amp;IF(Q2465&lt;&gt;"",M2465,M2467)</f>
        <v>F1538</v>
      </c>
      <c r="K2465" s="1658" t="str">
        <f t="shared" si="470"/>
        <v>Customer Inputs</v>
      </c>
      <c r="L2465" s="52" t="s">
        <v>1262</v>
      </c>
      <c r="M2465" s="1658">
        <v>1536</v>
      </c>
      <c r="N2465" s="1658"/>
    </row>
    <row r="2466" spans="1:15" s="1657" customFormat="1" ht="30" x14ac:dyDescent="0.25">
      <c r="A2466" s="835" t="s">
        <v>1263</v>
      </c>
      <c r="B2466" s="791" t="str">
        <f t="shared" ca="1" si="475"/>
        <v>J22</v>
      </c>
      <c r="C2466" s="791" t="str">
        <f t="shared" ca="1" si="474"/>
        <v>J</v>
      </c>
      <c r="D2466" s="791" t="s">
        <v>1357</v>
      </c>
      <c r="E2466" s="791" t="s">
        <v>870</v>
      </c>
      <c r="F2466" s="1658"/>
      <c r="G2466" s="1658"/>
      <c r="H2466" s="1658"/>
      <c r="I2466" s="1274" t="str">
        <f t="shared" si="469"/>
        <v>Agreement Deliveries Per Customer Unit Per Week</v>
      </c>
      <c r="J2466" s="1658" t="str">
        <f>Q$1&amp;IF(Q2466&lt;&gt;"",M2466,M2468)</f>
        <v>F1539</v>
      </c>
      <c r="K2466" s="1658" t="str">
        <f t="shared" si="470"/>
        <v>Customer Inputs</v>
      </c>
      <c r="L2466" s="791" t="s">
        <v>1263</v>
      </c>
      <c r="M2466" s="1658">
        <v>1537</v>
      </c>
      <c r="N2466" s="1658"/>
    </row>
    <row r="2467" spans="1:15" s="1657" customFormat="1" x14ac:dyDescent="0.25">
      <c r="A2467" s="835" t="s">
        <v>1185</v>
      </c>
      <c r="B2467" s="791" t="str">
        <f ca="1">IFERROR(_xlfn.CONCAT(IF('Customer Inputs'!$U$22="Existing",IF('Customer Inputs'!P$22=0,SUBSTITUTE(ADDRESS(1,MATCH(O2467,INDIRECT("'"&amp;E2467&amp;"'"&amp;"!$A$5:$Z$5"),0),4),1,""),SUBSTITUTE(ADDRESS(1,MATCH(A2467,INDIRECT("'"&amp;E2467&amp;"'"&amp;"!A$5:Z$5"),0),4),1,"")),SUBSTITUTE(ADDRESS(1,MATCH(A2467,INDIRECT("'"&amp;E2467&amp;"'"&amp;"!A$5:Z$5"),0),4),1,"")),22),"")</f>
        <v>P22</v>
      </c>
      <c r="C2467" s="791" t="str">
        <f ca="1">IFERROR(IF('Customer Inputs'!$U$22="Existing",IF('Customer Inputs'!P76=0,SUBSTITUTE(ADDRESS(1,MATCH(O2467,INDIRECT("'"&amp;E2467&amp;"'"&amp;"!$A$5:$Z$5"),0),4),1,""),SUBSTITUTE(ADDRESS(1,MATCH(A2467,INDIRECT("'"&amp;E2467&amp;"'"&amp;"!A$5:Z$5"),0),4),1,"")),SUBSTITUTE(ADDRESS(1,MATCH(A2467,INDIRECT("'"&amp;E2467&amp;"'"&amp;"!A$5:Z$5"),0),4),1,"")),"")</f>
        <v>P</v>
      </c>
      <c r="D2467" s="791" t="s">
        <v>1357</v>
      </c>
      <c r="E2467" s="791" t="s">
        <v>870</v>
      </c>
      <c r="F2467" s="1658"/>
      <c r="G2467" s="1658"/>
      <c r="H2467" s="1658"/>
      <c r="I2467" s="1274" t="str">
        <f t="shared" si="469"/>
        <v/>
      </c>
      <c r="J2467" s="1658"/>
      <c r="K2467" s="1658" t="str">
        <f t="shared" si="470"/>
        <v/>
      </c>
      <c r="L2467" s="791" t="s">
        <v>1185</v>
      </c>
      <c r="M2467" s="1658">
        <v>1538</v>
      </c>
      <c r="N2467" s="1658"/>
      <c r="O2467" s="1657" t="s">
        <v>868</v>
      </c>
    </row>
    <row r="2468" spans="1:15" s="1657" customFormat="1" x14ac:dyDescent="0.25">
      <c r="A2468" s="837" t="s">
        <v>1186</v>
      </c>
      <c r="B2468" s="791" t="str">
        <f ca="1">IFERROR(_xlfn.CONCAT(IF('Customer Inputs'!$U$22="Existing",IF('Customer Inputs'!Q$22=0,SUBSTITUTE(ADDRESS(1,MATCH(O2468,INDIRECT("'"&amp;E2468&amp;"'"&amp;"!$A$5:$Z$5"),0),4),1,""),SUBSTITUTE(ADDRESS(1,MATCH(A2468,INDIRECT("'"&amp;E2468&amp;"'"&amp;"!A$5:Z$5"),0),4),1,"")),SUBSTITUTE(ADDRESS(1,MATCH(A2468,INDIRECT("'"&amp;E2468&amp;"'"&amp;"!A$5:Z$5"),0),4),1,"")),22),"")</f>
        <v>Q22</v>
      </c>
      <c r="C2468" s="791" t="str">
        <f ca="1">IFERROR(IF('Customer Inputs'!$U$22="Existing",IF('Customer Inputs'!Q76=0,SUBSTITUTE(ADDRESS(1,MATCH(O2468,INDIRECT("'"&amp;E2468&amp;"'"&amp;"!$A$5:$Z$5"),0),4),1,""),SUBSTITUTE(ADDRESS(1,MATCH(A2468,INDIRECT("'"&amp;E2468&amp;"'"&amp;"!A$5:Z$5"),0),4),1,"")),SUBSTITUTE(ADDRESS(1,MATCH(A2468,INDIRECT("'"&amp;E2468&amp;"'"&amp;"!A$5:Z$5"),0),4),1,"")),"")</f>
        <v>Q</v>
      </c>
      <c r="D2468" s="791" t="s">
        <v>1357</v>
      </c>
      <c r="E2468" s="791" t="s">
        <v>870</v>
      </c>
      <c r="F2468" s="1658"/>
      <c r="G2468" s="1658"/>
      <c r="H2468" s="1658"/>
      <c r="I2468" s="1274" t="str">
        <f t="shared" si="469"/>
        <v/>
      </c>
      <c r="J2468" s="1658"/>
      <c r="K2468" s="1658" t="str">
        <f t="shared" si="470"/>
        <v/>
      </c>
      <c r="L2468" s="825" t="s">
        <v>1186</v>
      </c>
      <c r="M2468" s="1658">
        <v>1539</v>
      </c>
      <c r="N2468" s="1658"/>
      <c r="O2468" s="1657" t="s">
        <v>1183</v>
      </c>
    </row>
    <row r="2469" spans="1:15" s="1657" customFormat="1" x14ac:dyDescent="0.25">
      <c r="A2469" s="837" t="s">
        <v>1187</v>
      </c>
      <c r="B2469" s="791" t="str">
        <f ca="1">IFERROR(_xlfn.CONCAT(IF('Customer Inputs'!$U$22="Existing",IF('Customer Inputs'!R$22=0,SUBSTITUTE(ADDRESS(1,MATCH(O2469,INDIRECT("'"&amp;E2469&amp;"'"&amp;"!$A$5:$Z$5"),0),4),1,""),SUBSTITUTE(ADDRESS(1,MATCH(A2469,INDIRECT("'"&amp;E2469&amp;"'"&amp;"!A$5:Z$5"),0),4),1,"")),SUBSTITUTE(ADDRESS(1,MATCH(A2469,INDIRECT("'"&amp;E2469&amp;"'"&amp;"!A$5:Z$5"),0),4),1,"")),22),"")</f>
        <v>R22</v>
      </c>
      <c r="C2469" s="791" t="str">
        <f ca="1">IFERROR(IF('Customer Inputs'!$U$22="Existing",IF('Customer Inputs'!R76=0,SUBSTITUTE(ADDRESS(1,MATCH(O2469,INDIRECT("'"&amp;E2469&amp;"'"&amp;"!$A$5:$Z$5"),0),4),1,""),SUBSTITUTE(ADDRESS(1,MATCH(A2469,INDIRECT("'"&amp;E2469&amp;"'"&amp;"!A$5:Z$5"),0),4),1,"")),SUBSTITUTE(ADDRESS(1,MATCH(A2469,INDIRECT("'"&amp;E2469&amp;"'"&amp;"!A$5:Z$5"),0),4),1,"")),"")</f>
        <v>R</v>
      </c>
      <c r="D2469" s="791" t="s">
        <v>1357</v>
      </c>
      <c r="E2469" s="791" t="s">
        <v>870</v>
      </c>
      <c r="F2469" s="1658"/>
      <c r="G2469" s="1658"/>
      <c r="H2469" s="1658"/>
      <c r="I2469" s="1274" t="str">
        <f t="shared" si="469"/>
        <v/>
      </c>
      <c r="J2469" s="1658"/>
      <c r="K2469" s="1658" t="str">
        <f t="shared" si="470"/>
        <v/>
      </c>
      <c r="L2469" s="825" t="s">
        <v>1187</v>
      </c>
      <c r="M2469" s="1658">
        <v>1540</v>
      </c>
      <c r="N2469" s="1658"/>
      <c r="O2469" s="1657" t="s">
        <v>1190</v>
      </c>
    </row>
    <row r="2470" spans="1:15" s="1657" customFormat="1" x14ac:dyDescent="0.25">
      <c r="A2470" s="837" t="s">
        <v>1188</v>
      </c>
      <c r="B2470" s="791" t="str">
        <f ca="1">IFERROR(_xlfn.CONCAT(IF('Customer Inputs'!$U$22="Existing",IF('Customer Inputs'!T$22=0,SUBSTITUTE(ADDRESS(1,MATCH(O2470,INDIRECT("'"&amp;E2470&amp;"'"&amp;"!$A$5:$Z$5"),0),4),1,""),SUBSTITUTE(ADDRESS(1,MATCH(A2470,INDIRECT("'"&amp;E2470&amp;"'"&amp;"!A$5:Z$5"),0),4),1,"")),SUBSTITUTE(ADDRESS(1,MATCH(A2470,INDIRECT("'"&amp;E2470&amp;"'"&amp;"!A$5:Z$5"),0),4),1,"")),22),"")</f>
        <v>T22</v>
      </c>
      <c r="C2470" s="791" t="str">
        <f ca="1">IFERROR(IF('Customer Inputs'!$U$22="Existing",IF('Customer Inputs'!T76=0,SUBSTITUTE(ADDRESS(1,MATCH(O2470,INDIRECT("'"&amp;E2470&amp;"'"&amp;"!$A$5:$Z$5"),0),4),1,""),SUBSTITUTE(ADDRESS(1,MATCH(A2470,INDIRECT("'"&amp;E2470&amp;"'"&amp;"!A$5:Z$5"),0),4),1,"")),SUBSTITUTE(ADDRESS(1,MATCH(A2470,INDIRECT("'"&amp;E2470&amp;"'"&amp;"!A$5:Z$5"),0),4),1,"")),"")</f>
        <v>T</v>
      </c>
      <c r="D2470" s="791" t="s">
        <v>1357</v>
      </c>
      <c r="E2470" s="791" t="s">
        <v>870</v>
      </c>
      <c r="F2470" s="1658"/>
      <c r="G2470" s="1658"/>
      <c r="H2470" s="1658"/>
      <c r="I2470" s="1274" t="str">
        <f t="shared" si="469"/>
        <v/>
      </c>
      <c r="J2470" s="1658"/>
      <c r="K2470" s="1658" t="str">
        <f t="shared" si="470"/>
        <v/>
      </c>
      <c r="L2470" s="825" t="s">
        <v>1188</v>
      </c>
      <c r="M2470" s="1658">
        <v>1541</v>
      </c>
      <c r="N2470" s="1658"/>
      <c r="O2470" s="1657" t="s">
        <v>1184</v>
      </c>
    </row>
    <row r="2471" spans="1:15" s="1657" customFormat="1" x14ac:dyDescent="0.25">
      <c r="A2471" s="837" t="s">
        <v>1189</v>
      </c>
      <c r="B2471" s="791" t="str">
        <f t="shared" ca="1" si="475"/>
        <v>U22</v>
      </c>
      <c r="C2471" s="791" t="str">
        <f t="shared" ref="C2471:C2476" ca="1" si="476">_xlfn.IFNA(SUBSTITUTE(ADDRESS(1,MATCH(A2471,INDIRECT("'"&amp;E2471&amp;"'"&amp;"!A5:Z5"),0),4),1,""),"")</f>
        <v>U</v>
      </c>
      <c r="D2471" s="791" t="s">
        <v>1357</v>
      </c>
      <c r="E2471" s="791" t="s">
        <v>870</v>
      </c>
      <c r="F2471" s="1658"/>
      <c r="G2471" s="1658"/>
      <c r="H2471" s="1658"/>
      <c r="I2471" s="1274" t="str">
        <f t="shared" si="469"/>
        <v/>
      </c>
      <c r="J2471" s="1658"/>
      <c r="K2471" s="1658" t="str">
        <f t="shared" si="470"/>
        <v/>
      </c>
      <c r="L2471" s="825" t="s">
        <v>1189</v>
      </c>
      <c r="M2471" s="1658">
        <v>1542</v>
      </c>
      <c r="N2471" s="1658"/>
    </row>
    <row r="2472" spans="1:15" s="1657" customFormat="1" x14ac:dyDescent="0.25">
      <c r="A2472" s="837" t="s">
        <v>1339</v>
      </c>
      <c r="B2472" s="791" t="str">
        <f t="shared" ca="1" si="475"/>
        <v>V22</v>
      </c>
      <c r="C2472" s="791" t="str">
        <f t="shared" ca="1" si="476"/>
        <v>V</v>
      </c>
      <c r="D2472" s="791" t="s">
        <v>1357</v>
      </c>
      <c r="E2472" s="791" t="s">
        <v>870</v>
      </c>
      <c r="F2472" s="1658"/>
      <c r="G2472" s="1658"/>
      <c r="H2472" s="1658"/>
      <c r="I2472" s="1274" t="str">
        <f t="shared" si="469"/>
        <v/>
      </c>
      <c r="J2472" s="1658"/>
      <c r="K2472" s="1658" t="str">
        <f t="shared" si="470"/>
        <v/>
      </c>
      <c r="L2472" s="825" t="s">
        <v>1428</v>
      </c>
      <c r="M2472" s="1658">
        <v>1543</v>
      </c>
      <c r="N2472" s="1658"/>
    </row>
    <row r="2473" spans="1:15" s="1657" customFormat="1" x14ac:dyDescent="0.25">
      <c r="A2473" s="837" t="s">
        <v>1631</v>
      </c>
      <c r="B2473" s="791" t="str">
        <f t="shared" ca="1" si="475"/>
        <v>W22</v>
      </c>
      <c r="C2473" s="791" t="str">
        <f t="shared" ca="1" si="476"/>
        <v>W</v>
      </c>
      <c r="D2473" s="791" t="s">
        <v>1357</v>
      </c>
      <c r="E2473" s="791" t="s">
        <v>870</v>
      </c>
      <c r="F2473" s="1658"/>
      <c r="G2473" s="1658"/>
      <c r="H2473" s="1658"/>
      <c r="I2473" s="1274" t="str">
        <f t="shared" si="469"/>
        <v>Add or End Customer</v>
      </c>
      <c r="J2473" s="1658" t="str">
        <f>IF(M2473&lt;&gt;"",Q$1&amp;M2473,"")</f>
        <v>F1544</v>
      </c>
      <c r="K2473" s="1658" t="str">
        <f t="shared" si="470"/>
        <v>Customer Inputs</v>
      </c>
      <c r="L2473" s="825" t="s">
        <v>1631</v>
      </c>
      <c r="M2473" s="1658">
        <v>1544</v>
      </c>
      <c r="N2473" s="1658"/>
    </row>
    <row r="2474" spans="1:15" s="1657" customFormat="1" x14ac:dyDescent="0.25">
      <c r="A2474" s="838" t="s">
        <v>1182</v>
      </c>
      <c r="B2474" s="791" t="str">
        <f ca="1">_xlfn.IFNA(_xlfn.CONCAT(SUBSTITUTE(ADDRESS(1,MATCH(A2474,INDIRECT("'"&amp;E2474&amp;"'"&amp;"!A5:Z5"),0),4),1,""),23),"")</f>
        <v>H23</v>
      </c>
      <c r="C2474" s="791" t="str">
        <f t="shared" ca="1" si="476"/>
        <v>H</v>
      </c>
      <c r="D2474" s="791" t="s">
        <v>1357</v>
      </c>
      <c r="E2474" s="791" t="s">
        <v>870</v>
      </c>
      <c r="F2474" s="1658"/>
      <c r="G2474" s="1658"/>
      <c r="H2474" s="1658"/>
      <c r="I2474" s="1274" t="str">
        <f t="shared" si="469"/>
        <v>Pyramid Segment</v>
      </c>
      <c r="J2474" s="1658" t="str">
        <f>IF(AND(P2511="",M2474&lt;&gt;""),Q$1&amp;M2474,"")</f>
        <v>F1555</v>
      </c>
      <c r="K2474" s="1658" t="str">
        <f t="shared" si="470"/>
        <v>Customer Inputs</v>
      </c>
      <c r="L2474" s="791" t="s">
        <v>1182</v>
      </c>
      <c r="M2474" s="1658">
        <v>1555</v>
      </c>
      <c r="N2474" s="1658"/>
    </row>
    <row r="2475" spans="1:15" s="1657" customFormat="1" x14ac:dyDescent="0.25">
      <c r="A2475" s="839" t="s">
        <v>1262</v>
      </c>
      <c r="B2475" s="791" t="str">
        <f t="shared" ref="B2475:B2483" ca="1" si="477">_xlfn.IFNA(_xlfn.CONCAT(SUBSTITUTE(ADDRESS(1,MATCH(A2475,INDIRECT("'"&amp;E2475&amp;"'"&amp;"!A5:Z5"),0),4),1,""),23),"")</f>
        <v>I23</v>
      </c>
      <c r="C2475" s="791" t="str">
        <f t="shared" ca="1" si="476"/>
        <v>I</v>
      </c>
      <c r="D2475" s="791" t="s">
        <v>1357</v>
      </c>
      <c r="E2475" s="791" t="s">
        <v>870</v>
      </c>
      <c r="F2475" s="1658"/>
      <c r="G2475" s="1658"/>
      <c r="H2475" s="1658"/>
      <c r="I2475" s="1274" t="str">
        <f t="shared" si="469"/>
        <v>Agreement Annual Purchase Commitment</v>
      </c>
      <c r="J2475" s="1658" t="str">
        <f>Q$1&amp;IF(Q2475&lt;&gt;"",M2475,M2477)</f>
        <v>F1559</v>
      </c>
      <c r="K2475" s="1658" t="str">
        <f t="shared" si="470"/>
        <v>Customer Inputs</v>
      </c>
      <c r="L2475" s="52" t="s">
        <v>1262</v>
      </c>
      <c r="M2475" s="1658">
        <v>1557</v>
      </c>
      <c r="N2475" s="1658"/>
    </row>
    <row r="2476" spans="1:15" s="1657" customFormat="1" ht="30" x14ac:dyDescent="0.25">
      <c r="A2476" s="838" t="s">
        <v>1263</v>
      </c>
      <c r="B2476" s="791" t="str">
        <f t="shared" ca="1" si="477"/>
        <v>J23</v>
      </c>
      <c r="C2476" s="791" t="str">
        <f t="shared" ca="1" si="476"/>
        <v>J</v>
      </c>
      <c r="D2476" s="791" t="s">
        <v>1357</v>
      </c>
      <c r="E2476" s="791" t="s">
        <v>870</v>
      </c>
      <c r="F2476" s="1658"/>
      <c r="G2476" s="1658"/>
      <c r="H2476" s="1658"/>
      <c r="I2476" s="1274" t="str">
        <f t="shared" si="469"/>
        <v>Agreement Deliveries Per Customer Unit Per Week</v>
      </c>
      <c r="J2476" s="1658" t="str">
        <f>Q$1&amp;IF(Q2476&lt;&gt;"",M2476,M2478)</f>
        <v>F1560</v>
      </c>
      <c r="K2476" s="1658" t="str">
        <f t="shared" si="470"/>
        <v>Customer Inputs</v>
      </c>
      <c r="L2476" s="791" t="s">
        <v>1263</v>
      </c>
      <c r="M2476" s="1658">
        <v>1558</v>
      </c>
      <c r="N2476" s="1658"/>
    </row>
    <row r="2477" spans="1:15" s="1657" customFormat="1" x14ac:dyDescent="0.25">
      <c r="A2477" s="838" t="s">
        <v>1185</v>
      </c>
      <c r="B2477" s="791" t="str">
        <f ca="1">IFERROR(_xlfn.CONCAT(IF('Customer Inputs'!$U$23="Existing",IF('Customer Inputs'!P$23=0,SUBSTITUTE(ADDRESS(1,MATCH(O2477,INDIRECT("'"&amp;E2477&amp;"'"&amp;"!$A$5:$Z$5"),0),4),1,""),SUBSTITUTE(ADDRESS(1,MATCH(A2477,INDIRECT("'"&amp;E2477&amp;"'"&amp;"!A$5:Z$5"),0),4),1,"")),SUBSTITUTE(ADDRESS(1,MATCH(A2477,INDIRECT("'"&amp;E2477&amp;"'"&amp;"!A$5:Z$5"),0),4),1,"")),23),"")</f>
        <v>P23</v>
      </c>
      <c r="C2477" s="791" t="str">
        <f ca="1">IFERROR(IF('Customer Inputs'!$U$23="Existing",IF('Customer Inputs'!P86=0,SUBSTITUTE(ADDRESS(1,MATCH(O2477,INDIRECT("'"&amp;E2477&amp;"'"&amp;"!$A$5:$Z$5"),0),4),1,""),SUBSTITUTE(ADDRESS(1,MATCH(A2477,INDIRECT("'"&amp;E2477&amp;"'"&amp;"!A$5:Z$5"),0),4),1,"")),SUBSTITUTE(ADDRESS(1,MATCH(A2477,INDIRECT("'"&amp;E2477&amp;"'"&amp;"!A$5:Z$5"),0),4),1,"")),"")</f>
        <v>P</v>
      </c>
      <c r="D2477" s="791" t="s">
        <v>1357</v>
      </c>
      <c r="E2477" s="791" t="s">
        <v>870</v>
      </c>
      <c r="F2477" s="1658"/>
      <c r="G2477" s="1658"/>
      <c r="H2477" s="1658"/>
      <c r="I2477" s="1274" t="str">
        <f t="shared" si="469"/>
        <v/>
      </c>
      <c r="J2477" s="1658"/>
      <c r="K2477" s="1658" t="str">
        <f t="shared" si="470"/>
        <v/>
      </c>
      <c r="L2477" s="791" t="s">
        <v>1185</v>
      </c>
      <c r="M2477" s="1658">
        <v>1559</v>
      </c>
      <c r="N2477" s="1658"/>
      <c r="O2477" s="1657" t="s">
        <v>868</v>
      </c>
    </row>
    <row r="2478" spans="1:15" s="1657" customFormat="1" x14ac:dyDescent="0.25">
      <c r="A2478" s="840" t="s">
        <v>1186</v>
      </c>
      <c r="B2478" s="791" t="str">
        <f ca="1">IFERROR(_xlfn.CONCAT(IF('Customer Inputs'!$U$23="Existing",IF('Customer Inputs'!Q$23=0,SUBSTITUTE(ADDRESS(1,MATCH(O2478,INDIRECT("'"&amp;E2478&amp;"'"&amp;"!$A$5:$Z$5"),0),4),1,""),SUBSTITUTE(ADDRESS(1,MATCH(A2478,INDIRECT("'"&amp;E2478&amp;"'"&amp;"!A$5:Z$5"),0),4),1,"")),SUBSTITUTE(ADDRESS(1,MATCH(A2478,INDIRECT("'"&amp;E2478&amp;"'"&amp;"!A$5:Z$5"),0),4),1,"")),23),"")</f>
        <v>Q23</v>
      </c>
      <c r="C2478" s="791" t="str">
        <f ca="1">IFERROR(IF('Customer Inputs'!$U$23="Existing",IF('Customer Inputs'!Q86=0,SUBSTITUTE(ADDRESS(1,MATCH(O2478,INDIRECT("'"&amp;E2478&amp;"'"&amp;"!$A$5:$Z$5"),0),4),1,""),SUBSTITUTE(ADDRESS(1,MATCH(A2478,INDIRECT("'"&amp;E2478&amp;"'"&amp;"!A$5:Z$5"),0),4),1,"")),SUBSTITUTE(ADDRESS(1,MATCH(A2478,INDIRECT("'"&amp;E2478&amp;"'"&amp;"!A$5:Z$5"),0),4),1,"")),"")</f>
        <v>Q</v>
      </c>
      <c r="D2478" s="791" t="s">
        <v>1357</v>
      </c>
      <c r="E2478" s="791" t="s">
        <v>870</v>
      </c>
      <c r="F2478" s="1658"/>
      <c r="G2478" s="1658"/>
      <c r="H2478" s="1658"/>
      <c r="I2478" s="1274" t="str">
        <f t="shared" si="469"/>
        <v/>
      </c>
      <c r="J2478" s="1658"/>
      <c r="K2478" s="1658" t="str">
        <f t="shared" si="470"/>
        <v/>
      </c>
      <c r="L2478" s="825" t="s">
        <v>1186</v>
      </c>
      <c r="M2478" s="1658">
        <v>1560</v>
      </c>
      <c r="N2478" s="1658"/>
      <c r="O2478" s="1657" t="s">
        <v>1183</v>
      </c>
    </row>
    <row r="2479" spans="1:15" s="1657" customFormat="1" x14ac:dyDescent="0.25">
      <c r="A2479" s="840" t="s">
        <v>1187</v>
      </c>
      <c r="B2479" s="791" t="str">
        <f ca="1">IFERROR(_xlfn.CONCAT(IF('Customer Inputs'!$U$23="Existing",IF('Customer Inputs'!R$23=0,SUBSTITUTE(ADDRESS(1,MATCH(O2479,INDIRECT("'"&amp;E2479&amp;"'"&amp;"!$A$5:$Z$5"),0),4),1,""),SUBSTITUTE(ADDRESS(1,MATCH(A2479,INDIRECT("'"&amp;E2479&amp;"'"&amp;"!A$5:Z$5"),0),4),1,"")),SUBSTITUTE(ADDRESS(1,MATCH(A2479,INDIRECT("'"&amp;E2479&amp;"'"&amp;"!A$5:Z$5"),0),4),1,"")),23),"")</f>
        <v>R23</v>
      </c>
      <c r="C2479" s="791" t="str">
        <f ca="1">IFERROR(IF('Customer Inputs'!$U$23="Existing",IF('Customer Inputs'!R86=0,SUBSTITUTE(ADDRESS(1,MATCH(O2479,INDIRECT("'"&amp;E2479&amp;"'"&amp;"!$A$5:$Z$5"),0),4),1,""),SUBSTITUTE(ADDRESS(1,MATCH(A2479,INDIRECT("'"&amp;E2479&amp;"'"&amp;"!A$5:Z$5"),0),4),1,"")),SUBSTITUTE(ADDRESS(1,MATCH(A2479,INDIRECT("'"&amp;E2479&amp;"'"&amp;"!A$5:Z$5"),0),4),1,"")),"")</f>
        <v>R</v>
      </c>
      <c r="D2479" s="791" t="s">
        <v>1357</v>
      </c>
      <c r="E2479" s="791" t="s">
        <v>870</v>
      </c>
      <c r="F2479" s="1658"/>
      <c r="G2479" s="1658"/>
      <c r="H2479" s="1658"/>
      <c r="I2479" s="1274" t="str">
        <f t="shared" si="469"/>
        <v/>
      </c>
      <c r="J2479" s="1658"/>
      <c r="K2479" s="1658" t="str">
        <f t="shared" si="470"/>
        <v/>
      </c>
      <c r="L2479" s="825" t="s">
        <v>1187</v>
      </c>
      <c r="M2479" s="1658">
        <v>1561</v>
      </c>
      <c r="N2479" s="1658"/>
      <c r="O2479" s="1657" t="s">
        <v>1190</v>
      </c>
    </row>
    <row r="2480" spans="1:15" s="1657" customFormat="1" x14ac:dyDescent="0.25">
      <c r="A2480" s="840" t="s">
        <v>1188</v>
      </c>
      <c r="B2480" s="791" t="str">
        <f ca="1">IFERROR(_xlfn.CONCAT(IF('Customer Inputs'!$U$23="Existing",IF('Customer Inputs'!T$23=0,SUBSTITUTE(ADDRESS(1,MATCH(O2480,INDIRECT("'"&amp;E2480&amp;"'"&amp;"!$A$5:$Z$5"),0),4),1,""),SUBSTITUTE(ADDRESS(1,MATCH(A2480,INDIRECT("'"&amp;E2480&amp;"'"&amp;"!A$5:Z$5"),0),4),1,"")),SUBSTITUTE(ADDRESS(1,MATCH(A2480,INDIRECT("'"&amp;E2480&amp;"'"&amp;"!A$5:Z$5"),0),4),1,"")),23),"")</f>
        <v>T23</v>
      </c>
      <c r="C2480" s="791" t="str">
        <f ca="1">IFERROR(IF('Customer Inputs'!$U$23="Existing",IF('Customer Inputs'!T86=0,SUBSTITUTE(ADDRESS(1,MATCH(O2480,INDIRECT("'"&amp;E2480&amp;"'"&amp;"!$A$5:$Z$5"),0),4),1,""),SUBSTITUTE(ADDRESS(1,MATCH(A2480,INDIRECT("'"&amp;E2480&amp;"'"&amp;"!A$5:Z$5"),0),4),1,"")),SUBSTITUTE(ADDRESS(1,MATCH(A2480,INDIRECT("'"&amp;E2480&amp;"'"&amp;"!A$5:Z$5"),0),4),1,"")),"")</f>
        <v>T</v>
      </c>
      <c r="D2480" s="791" t="s">
        <v>1357</v>
      </c>
      <c r="E2480" s="791" t="s">
        <v>870</v>
      </c>
      <c r="F2480" s="1658"/>
      <c r="G2480" s="1658"/>
      <c r="H2480" s="1658"/>
      <c r="I2480" s="1274" t="str">
        <f t="shared" si="469"/>
        <v/>
      </c>
      <c r="J2480" s="1658"/>
      <c r="K2480" s="1658" t="str">
        <f t="shared" si="470"/>
        <v/>
      </c>
      <c r="L2480" s="825" t="s">
        <v>1188</v>
      </c>
      <c r="M2480" s="1658">
        <v>1562</v>
      </c>
      <c r="N2480" s="1658"/>
      <c r="O2480" s="1657" t="s">
        <v>1184</v>
      </c>
    </row>
    <row r="2481" spans="1:15" s="1657" customFormat="1" x14ac:dyDescent="0.25">
      <c r="A2481" s="840" t="s">
        <v>1189</v>
      </c>
      <c r="B2481" s="791" t="str">
        <f t="shared" ca="1" si="477"/>
        <v>U23</v>
      </c>
      <c r="C2481" s="791" t="str">
        <f t="shared" ref="C2481:C2486" ca="1" si="478">_xlfn.IFNA(SUBSTITUTE(ADDRESS(1,MATCH(A2481,INDIRECT("'"&amp;E2481&amp;"'"&amp;"!A5:Z5"),0),4),1,""),"")</f>
        <v>U</v>
      </c>
      <c r="D2481" s="791" t="s">
        <v>1357</v>
      </c>
      <c r="E2481" s="791" t="s">
        <v>870</v>
      </c>
      <c r="F2481" s="1658"/>
      <c r="G2481" s="1658"/>
      <c r="H2481" s="1658"/>
      <c r="I2481" s="1274" t="str">
        <f t="shared" si="469"/>
        <v/>
      </c>
      <c r="J2481" s="1658"/>
      <c r="K2481" s="1658" t="str">
        <f t="shared" si="470"/>
        <v/>
      </c>
      <c r="L2481" s="825" t="s">
        <v>1189</v>
      </c>
      <c r="M2481" s="1658">
        <v>1563</v>
      </c>
      <c r="N2481" s="1658"/>
    </row>
    <row r="2482" spans="1:15" s="1657" customFormat="1" x14ac:dyDescent="0.25">
      <c r="A2482" s="840" t="s">
        <v>1339</v>
      </c>
      <c r="B2482" s="791" t="str">
        <f t="shared" ca="1" si="477"/>
        <v>V23</v>
      </c>
      <c r="C2482" s="791" t="str">
        <f t="shared" ca="1" si="478"/>
        <v>V</v>
      </c>
      <c r="D2482" s="791" t="s">
        <v>1357</v>
      </c>
      <c r="E2482" s="791" t="s">
        <v>870</v>
      </c>
      <c r="F2482" s="1658"/>
      <c r="G2482" s="1658"/>
      <c r="H2482" s="1658"/>
      <c r="I2482" s="1274" t="str">
        <f t="shared" si="469"/>
        <v/>
      </c>
      <c r="J2482" s="1658"/>
      <c r="K2482" s="1658" t="str">
        <f t="shared" si="470"/>
        <v/>
      </c>
      <c r="L2482" s="825" t="s">
        <v>1428</v>
      </c>
      <c r="M2482" s="1658">
        <v>1564</v>
      </c>
      <c r="N2482" s="1658"/>
    </row>
    <row r="2483" spans="1:15" s="1657" customFormat="1" x14ac:dyDescent="0.25">
      <c r="A2483" s="840" t="s">
        <v>1631</v>
      </c>
      <c r="B2483" s="791" t="str">
        <f t="shared" ca="1" si="477"/>
        <v>W23</v>
      </c>
      <c r="C2483" s="791" t="str">
        <f t="shared" ca="1" si="478"/>
        <v>W</v>
      </c>
      <c r="D2483" s="791" t="s">
        <v>1357</v>
      </c>
      <c r="E2483" s="791" t="s">
        <v>870</v>
      </c>
      <c r="F2483" s="1658"/>
      <c r="G2483" s="1658"/>
      <c r="H2483" s="1658"/>
      <c r="I2483" s="1274" t="str">
        <f t="shared" si="469"/>
        <v>Add or End Customer</v>
      </c>
      <c r="J2483" s="1658" t="str">
        <f>IF(M2483&lt;&gt;"",Q$1&amp;M2483,"")</f>
        <v>F1565</v>
      </c>
      <c r="K2483" s="1658" t="str">
        <f t="shared" si="470"/>
        <v>Customer Inputs</v>
      </c>
      <c r="L2483" s="825" t="s">
        <v>1631</v>
      </c>
      <c r="M2483" s="1658">
        <v>1565</v>
      </c>
      <c r="N2483" s="1658"/>
    </row>
    <row r="2484" spans="1:15" s="1657" customFormat="1" x14ac:dyDescent="0.25">
      <c r="A2484" s="835" t="s">
        <v>1182</v>
      </c>
      <c r="B2484" s="791" t="str">
        <f ca="1">_xlfn.IFNA(_xlfn.CONCAT(SUBSTITUTE(ADDRESS(1,MATCH(A2484,INDIRECT("'"&amp;E2484&amp;"'"&amp;"!A5:Z5"),0),4),1,""),24),"")</f>
        <v>H24</v>
      </c>
      <c r="C2484" s="791" t="str">
        <f t="shared" ca="1" si="478"/>
        <v>H</v>
      </c>
      <c r="D2484" s="791" t="s">
        <v>1357</v>
      </c>
      <c r="E2484" s="791" t="s">
        <v>870</v>
      </c>
      <c r="F2484" s="1658"/>
      <c r="G2484" s="1658"/>
      <c r="H2484" s="1658"/>
      <c r="I2484" s="1274" t="str">
        <f t="shared" si="469"/>
        <v>Pyramid Segment</v>
      </c>
      <c r="J2484" s="1658" t="str">
        <f>IF(AND(P2512="",M2484&lt;&gt;""),Q$1&amp;M2484,"")</f>
        <v>F1576</v>
      </c>
      <c r="K2484" s="1658" t="str">
        <f t="shared" si="470"/>
        <v>Customer Inputs</v>
      </c>
      <c r="L2484" s="791" t="s">
        <v>1182</v>
      </c>
      <c r="M2484" s="1658">
        <v>1576</v>
      </c>
      <c r="N2484" s="1658"/>
    </row>
    <row r="2485" spans="1:15" s="1657" customFormat="1" x14ac:dyDescent="0.25">
      <c r="A2485" s="836" t="s">
        <v>1262</v>
      </c>
      <c r="B2485" s="791" t="str">
        <f t="shared" ref="B2485:B2493" ca="1" si="479">_xlfn.IFNA(_xlfn.CONCAT(SUBSTITUTE(ADDRESS(1,MATCH(A2485,INDIRECT("'"&amp;E2485&amp;"'"&amp;"!A5:Z5"),0),4),1,""),24),"")</f>
        <v>I24</v>
      </c>
      <c r="C2485" s="791" t="str">
        <f t="shared" ca="1" si="478"/>
        <v>I</v>
      </c>
      <c r="D2485" s="791" t="s">
        <v>1357</v>
      </c>
      <c r="E2485" s="791" t="s">
        <v>870</v>
      </c>
      <c r="F2485" s="1658"/>
      <c r="G2485" s="1658"/>
      <c r="H2485" s="1658"/>
      <c r="I2485" s="1274" t="str">
        <f t="shared" si="469"/>
        <v>Agreement Annual Purchase Commitment</v>
      </c>
      <c r="J2485" s="1658" t="str">
        <f>Q$1&amp;IF(Q2485&lt;&gt;"",M2485,M2487)</f>
        <v>F1580</v>
      </c>
      <c r="K2485" s="1658" t="str">
        <f t="shared" si="470"/>
        <v>Customer Inputs</v>
      </c>
      <c r="L2485" s="52" t="s">
        <v>1262</v>
      </c>
      <c r="M2485" s="1658">
        <v>1578</v>
      </c>
      <c r="N2485" s="1658"/>
    </row>
    <row r="2486" spans="1:15" s="1657" customFormat="1" ht="30" x14ac:dyDescent="0.25">
      <c r="A2486" s="835" t="s">
        <v>1263</v>
      </c>
      <c r="B2486" s="791" t="str">
        <f t="shared" ca="1" si="479"/>
        <v>J24</v>
      </c>
      <c r="C2486" s="791" t="str">
        <f t="shared" ca="1" si="478"/>
        <v>J</v>
      </c>
      <c r="D2486" s="791" t="s">
        <v>1357</v>
      </c>
      <c r="E2486" s="791" t="s">
        <v>870</v>
      </c>
      <c r="F2486" s="1658"/>
      <c r="G2486" s="1658"/>
      <c r="H2486" s="1658"/>
      <c r="I2486" s="1274" t="str">
        <f t="shared" si="469"/>
        <v>Agreement Deliveries Per Customer Unit Per Week</v>
      </c>
      <c r="J2486" s="1658" t="str">
        <f>Q$1&amp;IF(Q2486&lt;&gt;"",M2486,M2488)</f>
        <v>F1581</v>
      </c>
      <c r="K2486" s="1658" t="str">
        <f t="shared" si="470"/>
        <v>Customer Inputs</v>
      </c>
      <c r="L2486" s="791" t="s">
        <v>1263</v>
      </c>
      <c r="M2486" s="1658">
        <v>1579</v>
      </c>
      <c r="N2486" s="1658"/>
    </row>
    <row r="2487" spans="1:15" s="1657" customFormat="1" x14ac:dyDescent="0.25">
      <c r="A2487" s="835" t="s">
        <v>1185</v>
      </c>
      <c r="B2487" s="791" t="str">
        <f ca="1">IFERROR(_xlfn.CONCAT(IF('Customer Inputs'!$U$24="Existing",IF('Customer Inputs'!P$24=0,SUBSTITUTE(ADDRESS(1,MATCH(O2487,INDIRECT("'"&amp;E2487&amp;"'"&amp;"!$A$5:$Z$5"),0),4),1,""),SUBSTITUTE(ADDRESS(1,MATCH(A2487,INDIRECT("'"&amp;E2487&amp;"'"&amp;"!A$5:Z$5"),0),4),1,"")),SUBSTITUTE(ADDRESS(1,MATCH(A2487,INDIRECT("'"&amp;E2487&amp;"'"&amp;"!A$5:Z$5"),0),4),1,"")),24),"")</f>
        <v>P24</v>
      </c>
      <c r="C2487" s="791" t="str">
        <f ca="1">IFERROR(IF('Customer Inputs'!$U$24="Existing",IF('Customer Inputs'!P96=0,SUBSTITUTE(ADDRESS(1,MATCH(O2487,INDIRECT("'"&amp;E2487&amp;"'"&amp;"!$A$5:$Z$5"),0),4),1,""),SUBSTITUTE(ADDRESS(1,MATCH(A2487,INDIRECT("'"&amp;E2487&amp;"'"&amp;"!A$5:Z$5"),0),4),1,"")),SUBSTITUTE(ADDRESS(1,MATCH(A2487,INDIRECT("'"&amp;E2487&amp;"'"&amp;"!A$5:Z$5"),0),4),1,"")),"")</f>
        <v>P</v>
      </c>
      <c r="D2487" s="791" t="s">
        <v>1357</v>
      </c>
      <c r="E2487" s="791" t="s">
        <v>870</v>
      </c>
      <c r="F2487" s="1658"/>
      <c r="G2487" s="1658"/>
      <c r="H2487" s="1658"/>
      <c r="I2487" s="1274" t="str">
        <f t="shared" si="469"/>
        <v/>
      </c>
      <c r="J2487" s="1658"/>
      <c r="K2487" s="1658" t="str">
        <f t="shared" si="470"/>
        <v/>
      </c>
      <c r="L2487" s="791" t="s">
        <v>1185</v>
      </c>
      <c r="M2487" s="1658">
        <v>1580</v>
      </c>
      <c r="N2487" s="1658"/>
      <c r="O2487" s="1657" t="s">
        <v>868</v>
      </c>
    </row>
    <row r="2488" spans="1:15" s="1657" customFormat="1" x14ac:dyDescent="0.25">
      <c r="A2488" s="837" t="s">
        <v>1186</v>
      </c>
      <c r="B2488" s="791" t="str">
        <f ca="1">IFERROR(_xlfn.CONCAT(IF('Customer Inputs'!$U$24="Existing",IF('Customer Inputs'!Q$24=0,SUBSTITUTE(ADDRESS(1,MATCH(O2488,INDIRECT("'"&amp;E2488&amp;"'"&amp;"!$A$5:$Z$5"),0),4),1,""),SUBSTITUTE(ADDRESS(1,MATCH(A2488,INDIRECT("'"&amp;E2488&amp;"'"&amp;"!A$5:Z$5"),0),4),1,"")),SUBSTITUTE(ADDRESS(1,MATCH(A2488,INDIRECT("'"&amp;E2488&amp;"'"&amp;"!A$5:Z$5"),0),4),1,"")),24),"")</f>
        <v>Q24</v>
      </c>
      <c r="C2488" s="791" t="str">
        <f ca="1">IFERROR(IF('Customer Inputs'!$U$24="Existing",IF('Customer Inputs'!Q96=0,SUBSTITUTE(ADDRESS(1,MATCH(O2488,INDIRECT("'"&amp;E2488&amp;"'"&amp;"!$A$5:$Z$5"),0),4),1,""),SUBSTITUTE(ADDRESS(1,MATCH(A2488,INDIRECT("'"&amp;E2488&amp;"'"&amp;"!A$5:Z$5"),0),4),1,"")),SUBSTITUTE(ADDRESS(1,MATCH(A2488,INDIRECT("'"&amp;E2488&amp;"'"&amp;"!A$5:Z$5"),0),4),1,"")),"")</f>
        <v>Q</v>
      </c>
      <c r="D2488" s="791" t="s">
        <v>1357</v>
      </c>
      <c r="E2488" s="791" t="s">
        <v>870</v>
      </c>
      <c r="F2488" s="1658"/>
      <c r="G2488" s="1658"/>
      <c r="H2488" s="1658"/>
      <c r="I2488" s="1274" t="str">
        <f t="shared" si="469"/>
        <v/>
      </c>
      <c r="J2488" s="1658"/>
      <c r="K2488" s="1658" t="str">
        <f t="shared" si="470"/>
        <v/>
      </c>
      <c r="L2488" s="825" t="s">
        <v>1186</v>
      </c>
      <c r="M2488" s="1658">
        <v>1581</v>
      </c>
      <c r="N2488" s="1658"/>
      <c r="O2488" s="1657" t="s">
        <v>1183</v>
      </c>
    </row>
    <row r="2489" spans="1:15" s="1657" customFormat="1" x14ac:dyDescent="0.25">
      <c r="A2489" s="837" t="s">
        <v>1187</v>
      </c>
      <c r="B2489" s="791" t="str">
        <f ca="1">IFERROR(_xlfn.CONCAT(IF('Customer Inputs'!$U$24="Existing",IF('Customer Inputs'!R$24=0,SUBSTITUTE(ADDRESS(1,MATCH(O2489,INDIRECT("'"&amp;E2489&amp;"'"&amp;"!$A$5:$Z$5"),0),4),1,""),SUBSTITUTE(ADDRESS(1,MATCH(A2489,INDIRECT("'"&amp;E2489&amp;"'"&amp;"!A$5:Z$5"),0),4),1,"")),SUBSTITUTE(ADDRESS(1,MATCH(A2489,INDIRECT("'"&amp;E2489&amp;"'"&amp;"!A$5:Z$5"),0),4),1,"")),24),"")</f>
        <v>R24</v>
      </c>
      <c r="C2489" s="791" t="str">
        <f ca="1">IFERROR(IF('Customer Inputs'!$U$24="Existing",IF('Customer Inputs'!R96=0,SUBSTITUTE(ADDRESS(1,MATCH(O2489,INDIRECT("'"&amp;E2489&amp;"'"&amp;"!$A$5:$Z$5"),0),4),1,""),SUBSTITUTE(ADDRESS(1,MATCH(A2489,INDIRECT("'"&amp;E2489&amp;"'"&amp;"!A$5:Z$5"),0),4),1,"")),SUBSTITUTE(ADDRESS(1,MATCH(A2489,INDIRECT("'"&amp;E2489&amp;"'"&amp;"!A$5:Z$5"),0),4),1,"")),"")</f>
        <v>R</v>
      </c>
      <c r="D2489" s="791" t="s">
        <v>1357</v>
      </c>
      <c r="E2489" s="791" t="s">
        <v>870</v>
      </c>
      <c r="F2489" s="1658"/>
      <c r="G2489" s="1658"/>
      <c r="H2489" s="1658"/>
      <c r="I2489" s="1274" t="str">
        <f t="shared" si="469"/>
        <v/>
      </c>
      <c r="J2489" s="1658"/>
      <c r="K2489" s="1658" t="str">
        <f t="shared" si="470"/>
        <v/>
      </c>
      <c r="L2489" s="825" t="s">
        <v>1187</v>
      </c>
      <c r="M2489" s="1658">
        <v>1582</v>
      </c>
      <c r="N2489" s="1658"/>
      <c r="O2489" s="1657" t="s">
        <v>1190</v>
      </c>
    </row>
    <row r="2490" spans="1:15" s="1657" customFormat="1" x14ac:dyDescent="0.25">
      <c r="A2490" s="837" t="s">
        <v>1188</v>
      </c>
      <c r="B2490" s="791" t="str">
        <f ca="1">IFERROR(_xlfn.CONCAT(IF('Customer Inputs'!$U$24="Existing",IF('Customer Inputs'!T$24=0,SUBSTITUTE(ADDRESS(1,MATCH(O2490,INDIRECT("'"&amp;E2490&amp;"'"&amp;"!$A$5:$Z$5"),0),4),1,""),SUBSTITUTE(ADDRESS(1,MATCH(A2490,INDIRECT("'"&amp;E2490&amp;"'"&amp;"!A$5:Z$5"),0),4),1,"")),SUBSTITUTE(ADDRESS(1,MATCH(A2490,INDIRECT("'"&amp;E2490&amp;"'"&amp;"!A$5:Z$5"),0),4),1,"")),24),"")</f>
        <v>T24</v>
      </c>
      <c r="C2490" s="791" t="str">
        <f ca="1">IFERROR(IF('Customer Inputs'!$U$24="Existing",IF('Customer Inputs'!T96=0,SUBSTITUTE(ADDRESS(1,MATCH(O2490,INDIRECT("'"&amp;E2490&amp;"'"&amp;"!$A$5:$Z$5"),0),4),1,""),SUBSTITUTE(ADDRESS(1,MATCH(A2490,INDIRECT("'"&amp;E2490&amp;"'"&amp;"!A$5:Z$5"),0),4),1,"")),SUBSTITUTE(ADDRESS(1,MATCH(A2490,INDIRECT("'"&amp;E2490&amp;"'"&amp;"!A$5:Z$5"),0),4),1,"")),"")</f>
        <v>T</v>
      </c>
      <c r="D2490" s="791" t="s">
        <v>1357</v>
      </c>
      <c r="E2490" s="791" t="s">
        <v>870</v>
      </c>
      <c r="F2490" s="1658"/>
      <c r="G2490" s="1658"/>
      <c r="H2490" s="1658"/>
      <c r="I2490" s="1274" t="str">
        <f t="shared" si="469"/>
        <v/>
      </c>
      <c r="J2490" s="1658"/>
      <c r="K2490" s="1658" t="str">
        <f t="shared" si="470"/>
        <v/>
      </c>
      <c r="L2490" s="825" t="s">
        <v>1188</v>
      </c>
      <c r="M2490" s="1658">
        <v>1583</v>
      </c>
      <c r="N2490" s="1658"/>
      <c r="O2490" s="1657" t="s">
        <v>1184</v>
      </c>
    </row>
    <row r="2491" spans="1:15" s="1657" customFormat="1" x14ac:dyDescent="0.25">
      <c r="A2491" s="837" t="s">
        <v>1189</v>
      </c>
      <c r="B2491" s="791" t="str">
        <f t="shared" ca="1" si="479"/>
        <v>U24</v>
      </c>
      <c r="C2491" s="791" t="str">
        <f t="shared" ref="C2491:C2496" ca="1" si="480">_xlfn.IFNA(SUBSTITUTE(ADDRESS(1,MATCH(A2491,INDIRECT("'"&amp;E2491&amp;"'"&amp;"!A5:Z5"),0),4),1,""),"")</f>
        <v>U</v>
      </c>
      <c r="D2491" s="791" t="s">
        <v>1357</v>
      </c>
      <c r="E2491" s="791" t="s">
        <v>870</v>
      </c>
      <c r="F2491" s="1658"/>
      <c r="G2491" s="1658"/>
      <c r="H2491" s="1658"/>
      <c r="I2491" s="1274" t="str">
        <f t="shared" si="469"/>
        <v/>
      </c>
      <c r="J2491" s="1658"/>
      <c r="K2491" s="1658" t="str">
        <f t="shared" si="470"/>
        <v/>
      </c>
      <c r="L2491" s="825" t="s">
        <v>1189</v>
      </c>
      <c r="M2491" s="1658">
        <v>1584</v>
      </c>
      <c r="N2491" s="1658"/>
    </row>
    <row r="2492" spans="1:15" s="1657" customFormat="1" x14ac:dyDescent="0.25">
      <c r="A2492" s="837" t="s">
        <v>1339</v>
      </c>
      <c r="B2492" s="791" t="str">
        <f t="shared" ca="1" si="479"/>
        <v>V24</v>
      </c>
      <c r="C2492" s="791" t="str">
        <f t="shared" ca="1" si="480"/>
        <v>V</v>
      </c>
      <c r="D2492" s="791" t="s">
        <v>1357</v>
      </c>
      <c r="E2492" s="791" t="s">
        <v>870</v>
      </c>
      <c r="F2492" s="1658"/>
      <c r="G2492" s="1658"/>
      <c r="H2492" s="1658"/>
      <c r="I2492" s="1274" t="str">
        <f t="shared" si="469"/>
        <v/>
      </c>
      <c r="J2492" s="1658"/>
      <c r="K2492" s="1658" t="str">
        <f t="shared" si="470"/>
        <v/>
      </c>
      <c r="L2492" s="825" t="s">
        <v>1428</v>
      </c>
      <c r="M2492" s="1658">
        <v>1585</v>
      </c>
      <c r="N2492" s="1658"/>
    </row>
    <row r="2493" spans="1:15" s="1657" customFormat="1" x14ac:dyDescent="0.25">
      <c r="A2493" s="837" t="s">
        <v>1631</v>
      </c>
      <c r="B2493" s="791" t="str">
        <f t="shared" ca="1" si="479"/>
        <v>W24</v>
      </c>
      <c r="C2493" s="791" t="str">
        <f t="shared" ca="1" si="480"/>
        <v>W</v>
      </c>
      <c r="D2493" s="791" t="s">
        <v>1357</v>
      </c>
      <c r="E2493" s="791" t="s">
        <v>870</v>
      </c>
      <c r="F2493" s="1658"/>
      <c r="G2493" s="1658"/>
      <c r="H2493" s="1658"/>
      <c r="I2493" s="1274" t="str">
        <f t="shared" si="469"/>
        <v>Add or End Customer</v>
      </c>
      <c r="J2493" s="1658" t="str">
        <f t="shared" ref="J2493" si="481">IF(M2493&lt;&gt;"",Q$1&amp;M2493,"")</f>
        <v>F1589</v>
      </c>
      <c r="K2493" s="1658" t="str">
        <f t="shared" si="470"/>
        <v>Customer Inputs</v>
      </c>
      <c r="L2493" s="825" t="s">
        <v>1631</v>
      </c>
      <c r="M2493" s="1658">
        <v>1589</v>
      </c>
      <c r="N2493" s="1658"/>
    </row>
    <row r="2494" spans="1:15" s="1657" customFormat="1" x14ac:dyDescent="0.25">
      <c r="A2494" s="838" t="s">
        <v>1182</v>
      </c>
      <c r="B2494" s="791" t="str">
        <f ca="1">_xlfn.IFNA(_xlfn.CONCAT(SUBSTITUTE(ADDRESS(1,MATCH(A2494,INDIRECT("'"&amp;E2494&amp;"'"&amp;"!A5:Z5"),0),4),1,""),25),"")</f>
        <v>H25</v>
      </c>
      <c r="C2494" s="791" t="str">
        <f t="shared" ca="1" si="480"/>
        <v>H</v>
      </c>
      <c r="D2494" s="791" t="s">
        <v>1357</v>
      </c>
      <c r="E2494" s="791" t="s">
        <v>870</v>
      </c>
      <c r="F2494" s="1658"/>
      <c r="G2494" s="1658"/>
      <c r="H2494" s="1658"/>
      <c r="I2494" s="1274" t="str">
        <f t="shared" si="469"/>
        <v>Pyramid Segment</v>
      </c>
      <c r="J2494" s="1658" t="str">
        <f>IF(AND(P2513="",M2494&lt;&gt;""),Q$1&amp;M2494,"")</f>
        <v>F1597</v>
      </c>
      <c r="K2494" s="1658" t="str">
        <f t="shared" si="470"/>
        <v>Customer Inputs</v>
      </c>
      <c r="L2494" s="791" t="s">
        <v>1182</v>
      </c>
      <c r="M2494" s="1658">
        <v>1597</v>
      </c>
      <c r="N2494" s="1658"/>
    </row>
    <row r="2495" spans="1:15" s="1657" customFormat="1" x14ac:dyDescent="0.25">
      <c r="A2495" s="839" t="s">
        <v>1262</v>
      </c>
      <c r="B2495" s="791" t="str">
        <f t="shared" ref="B2495:B2503" ca="1" si="482">_xlfn.IFNA(_xlfn.CONCAT(SUBSTITUTE(ADDRESS(1,MATCH(A2495,INDIRECT("'"&amp;E2495&amp;"'"&amp;"!A5:Z5"),0),4),1,""),25),"")</f>
        <v>I25</v>
      </c>
      <c r="C2495" s="791" t="str">
        <f t="shared" ca="1" si="480"/>
        <v>I</v>
      </c>
      <c r="D2495" s="791" t="s">
        <v>1357</v>
      </c>
      <c r="E2495" s="791" t="s">
        <v>870</v>
      </c>
      <c r="F2495" s="1658"/>
      <c r="G2495" s="1658"/>
      <c r="H2495" s="1658"/>
      <c r="I2495" s="1274" t="str">
        <f t="shared" si="469"/>
        <v>Agreement Annual Purchase Commitment</v>
      </c>
      <c r="J2495" s="1658" t="str">
        <f>Q$1&amp;IF(Q2495&lt;&gt;"",M2495,M2497)</f>
        <v>F1601</v>
      </c>
      <c r="K2495" s="1658" t="str">
        <f t="shared" si="470"/>
        <v>Customer Inputs</v>
      </c>
      <c r="L2495" s="52" t="s">
        <v>1262</v>
      </c>
      <c r="M2495" s="1658">
        <v>1599</v>
      </c>
      <c r="N2495" s="1658"/>
    </row>
    <row r="2496" spans="1:15" s="1657" customFormat="1" ht="30" x14ac:dyDescent="0.25">
      <c r="A2496" s="838" t="s">
        <v>1263</v>
      </c>
      <c r="B2496" s="791" t="str">
        <f t="shared" ca="1" si="482"/>
        <v>J25</v>
      </c>
      <c r="C2496" s="791" t="str">
        <f t="shared" ca="1" si="480"/>
        <v>J</v>
      </c>
      <c r="D2496" s="791" t="s">
        <v>1357</v>
      </c>
      <c r="E2496" s="791" t="s">
        <v>870</v>
      </c>
      <c r="F2496" s="1658"/>
      <c r="G2496" s="1658"/>
      <c r="H2496" s="1658"/>
      <c r="I2496" s="1274" t="str">
        <f t="shared" si="469"/>
        <v>Agreement Deliveries Per Customer Unit Per Week</v>
      </c>
      <c r="J2496" s="1658" t="str">
        <f>Q$1&amp;IF(Q2496&lt;&gt;"",M2496,M2498)</f>
        <v>F1602</v>
      </c>
      <c r="K2496" s="1658" t="str">
        <f t="shared" si="470"/>
        <v>Customer Inputs</v>
      </c>
      <c r="L2496" s="791" t="s">
        <v>1263</v>
      </c>
      <c r="M2496" s="1658">
        <v>1600</v>
      </c>
      <c r="N2496" s="1658"/>
    </row>
    <row r="2497" spans="1:16" s="1657" customFormat="1" x14ac:dyDescent="0.25">
      <c r="A2497" s="838" t="s">
        <v>1185</v>
      </c>
      <c r="B2497" s="791" t="str">
        <f ca="1">IFERROR(_xlfn.CONCAT(IF('Customer Inputs'!$U$25="Existing",IF('Customer Inputs'!P$25=0,SUBSTITUTE(ADDRESS(1,MATCH(O2497,INDIRECT("'"&amp;E2497&amp;"'"&amp;"!$A$5:$Z$5"),0),4),1,""),SUBSTITUTE(ADDRESS(1,MATCH(A2497,INDIRECT("'"&amp;E2497&amp;"'"&amp;"!A$5:Z$5"),0),4),1,"")),SUBSTITUTE(ADDRESS(1,MATCH(A2497,INDIRECT("'"&amp;E2497&amp;"'"&amp;"!A$5:Z$5"),0),4),1,"")),25),"")</f>
        <v>P25</v>
      </c>
      <c r="C2497" s="791" t="str">
        <f ca="1">IFERROR(IF('Customer Inputs'!$U$25="Existing",IF('Customer Inputs'!P106=0,SUBSTITUTE(ADDRESS(1,MATCH(O2497,INDIRECT("'"&amp;E2497&amp;"'"&amp;"!$A$5:$Z$5"),0),4),1,""),SUBSTITUTE(ADDRESS(1,MATCH(A2497,INDIRECT("'"&amp;E2497&amp;"'"&amp;"!A$5:Z$5"),0),4),1,"")),SUBSTITUTE(ADDRESS(1,MATCH(A2497,INDIRECT("'"&amp;E2497&amp;"'"&amp;"!A$5:Z$5"),0),4),1,"")),"")</f>
        <v>P</v>
      </c>
      <c r="D2497" s="791" t="s">
        <v>1357</v>
      </c>
      <c r="E2497" s="791" t="s">
        <v>870</v>
      </c>
      <c r="F2497" s="1658"/>
      <c r="G2497" s="1658"/>
      <c r="H2497" s="1658"/>
      <c r="I2497" s="1274" t="str">
        <f t="shared" si="469"/>
        <v/>
      </c>
      <c r="J2497" s="1658"/>
      <c r="K2497" s="1658" t="str">
        <f t="shared" si="470"/>
        <v/>
      </c>
      <c r="L2497" s="791" t="s">
        <v>1185</v>
      </c>
      <c r="M2497" s="1658">
        <v>1601</v>
      </c>
      <c r="N2497" s="1658"/>
      <c r="O2497" s="1657" t="s">
        <v>868</v>
      </c>
    </row>
    <row r="2498" spans="1:16" s="1657" customFormat="1" x14ac:dyDescent="0.25">
      <c r="A2498" s="840" t="s">
        <v>1186</v>
      </c>
      <c r="B2498" s="791" t="str">
        <f ca="1">IFERROR(_xlfn.CONCAT(IF('Customer Inputs'!$U$25="Existing",IF('Customer Inputs'!Q$25=0,SUBSTITUTE(ADDRESS(1,MATCH(O2498,INDIRECT("'"&amp;E2498&amp;"'"&amp;"!$A$5:$Z$5"),0),4),1,""),SUBSTITUTE(ADDRESS(1,MATCH(A2498,INDIRECT("'"&amp;E2498&amp;"'"&amp;"!A$5:Z$5"),0),4),1,"")),SUBSTITUTE(ADDRESS(1,MATCH(A2498,INDIRECT("'"&amp;E2498&amp;"'"&amp;"!A$5:Z$5"),0),4),1,"")),25),"")</f>
        <v>Q25</v>
      </c>
      <c r="C2498" s="791" t="str">
        <f ca="1">IFERROR(IF('Customer Inputs'!$U$25="Existing",IF('Customer Inputs'!Q106=0,SUBSTITUTE(ADDRESS(1,MATCH(O2498,INDIRECT("'"&amp;E2498&amp;"'"&amp;"!$A$5:$Z$5"),0),4),1,""),SUBSTITUTE(ADDRESS(1,MATCH(A2498,INDIRECT("'"&amp;E2498&amp;"'"&amp;"!A$5:Z$5"),0),4),1,"")),SUBSTITUTE(ADDRESS(1,MATCH(A2498,INDIRECT("'"&amp;E2498&amp;"'"&amp;"!A$5:Z$5"),0),4),1,"")),"")</f>
        <v>Q</v>
      </c>
      <c r="D2498" s="791" t="s">
        <v>1357</v>
      </c>
      <c r="E2498" s="791" t="s">
        <v>870</v>
      </c>
      <c r="F2498" s="1658"/>
      <c r="G2498" s="1658"/>
      <c r="H2498" s="1658"/>
      <c r="I2498" s="1274" t="str">
        <f t="shared" si="469"/>
        <v/>
      </c>
      <c r="J2498" s="1658"/>
      <c r="K2498" s="1658" t="str">
        <f t="shared" si="470"/>
        <v/>
      </c>
      <c r="L2498" s="825" t="s">
        <v>1186</v>
      </c>
      <c r="M2498" s="1658">
        <v>1602</v>
      </c>
      <c r="N2498" s="1658"/>
      <c r="O2498" s="1657" t="s">
        <v>1183</v>
      </c>
    </row>
    <row r="2499" spans="1:16" s="1657" customFormat="1" x14ac:dyDescent="0.25">
      <c r="A2499" s="840" t="s">
        <v>1187</v>
      </c>
      <c r="B2499" s="791" t="str">
        <f ca="1">IFERROR(_xlfn.CONCAT(IF('Customer Inputs'!$U$25="Existing",IF('Customer Inputs'!R$25=0,SUBSTITUTE(ADDRESS(1,MATCH(O2499,INDIRECT("'"&amp;E2499&amp;"'"&amp;"!$A$5:$Z$5"),0),4),1,""),SUBSTITUTE(ADDRESS(1,MATCH(A2499,INDIRECT("'"&amp;E2499&amp;"'"&amp;"!A$5:Z$5"),0),4),1,"")),SUBSTITUTE(ADDRESS(1,MATCH(A2499,INDIRECT("'"&amp;E2499&amp;"'"&amp;"!A$5:Z$5"),0),4),1,"")),25),"")</f>
        <v>R25</v>
      </c>
      <c r="C2499" s="791" t="str">
        <f ca="1">IFERROR(IF('Customer Inputs'!$U$25="Existing",IF('Customer Inputs'!R106=0,SUBSTITUTE(ADDRESS(1,MATCH(O2499,INDIRECT("'"&amp;E2499&amp;"'"&amp;"!$A$5:$Z$5"),0),4),1,""),SUBSTITUTE(ADDRESS(1,MATCH(A2499,INDIRECT("'"&amp;E2499&amp;"'"&amp;"!A$5:Z$5"),0),4),1,"")),SUBSTITUTE(ADDRESS(1,MATCH(A2499,INDIRECT("'"&amp;E2499&amp;"'"&amp;"!A$5:Z$5"),0),4),1,"")),"")</f>
        <v>R</v>
      </c>
      <c r="D2499" s="791" t="s">
        <v>1357</v>
      </c>
      <c r="E2499" s="791" t="s">
        <v>870</v>
      </c>
      <c r="F2499" s="1658"/>
      <c r="G2499" s="1658"/>
      <c r="H2499" s="1658"/>
      <c r="I2499" s="1274" t="str">
        <f t="shared" si="469"/>
        <v/>
      </c>
      <c r="J2499" s="1658"/>
      <c r="K2499" s="1658" t="str">
        <f t="shared" si="470"/>
        <v/>
      </c>
      <c r="L2499" s="825" t="s">
        <v>1187</v>
      </c>
      <c r="M2499" s="1658">
        <v>1603</v>
      </c>
      <c r="N2499" s="1658"/>
      <c r="O2499" s="1657" t="s">
        <v>1190</v>
      </c>
    </row>
    <row r="2500" spans="1:16" s="1657" customFormat="1" x14ac:dyDescent="0.25">
      <c r="A2500" s="840" t="s">
        <v>1188</v>
      </c>
      <c r="B2500" s="791" t="str">
        <f ca="1">IFERROR(_xlfn.CONCAT(IF('Customer Inputs'!$U$25="Existing",IF('Customer Inputs'!T$25=0,SUBSTITUTE(ADDRESS(1,MATCH(O2500,INDIRECT("'"&amp;E2500&amp;"'"&amp;"!$A$5:$Z$5"),0),4),1,""),SUBSTITUTE(ADDRESS(1,MATCH(A2500,INDIRECT("'"&amp;E2500&amp;"'"&amp;"!A$5:Z$5"),0),4),1,"")),SUBSTITUTE(ADDRESS(1,MATCH(A2500,INDIRECT("'"&amp;E2500&amp;"'"&amp;"!A$5:Z$5"),0),4),1,"")),25),"")</f>
        <v>T25</v>
      </c>
      <c r="C2500" s="791" t="str">
        <f ca="1">IFERROR(IF('Customer Inputs'!$U$25="Existing",IF('Customer Inputs'!T106=0,SUBSTITUTE(ADDRESS(1,MATCH(O2500,INDIRECT("'"&amp;E2500&amp;"'"&amp;"!$A$5:$Z$5"),0),4),1,""),SUBSTITUTE(ADDRESS(1,MATCH(A2500,INDIRECT("'"&amp;E2500&amp;"'"&amp;"!A$5:Z$5"),0),4),1,"")),SUBSTITUTE(ADDRESS(1,MATCH(A2500,INDIRECT("'"&amp;E2500&amp;"'"&amp;"!A$5:Z$5"),0),4),1,"")),"")</f>
        <v>T</v>
      </c>
      <c r="D2500" s="791" t="s">
        <v>1357</v>
      </c>
      <c r="E2500" s="791" t="s">
        <v>870</v>
      </c>
      <c r="F2500" s="1658"/>
      <c r="G2500" s="1658"/>
      <c r="H2500" s="1658"/>
      <c r="I2500" s="1274" t="str">
        <f t="shared" si="469"/>
        <v/>
      </c>
      <c r="J2500" s="1658"/>
      <c r="K2500" s="1658" t="str">
        <f t="shared" si="470"/>
        <v/>
      </c>
      <c r="L2500" s="825" t="s">
        <v>1188</v>
      </c>
      <c r="M2500" s="1658">
        <v>1604</v>
      </c>
      <c r="N2500" s="1658"/>
      <c r="O2500" s="1657" t="s">
        <v>1184</v>
      </c>
    </row>
    <row r="2501" spans="1:16" s="1657" customFormat="1" x14ac:dyDescent="0.25">
      <c r="A2501" s="840" t="s">
        <v>1189</v>
      </c>
      <c r="B2501" s="791" t="str">
        <f t="shared" ca="1" si="482"/>
        <v>U25</v>
      </c>
      <c r="C2501" s="791" t="str">
        <f ca="1">_xlfn.IFNA(SUBSTITUTE(ADDRESS(1,MATCH(A2501,INDIRECT("'"&amp;E2501&amp;"'"&amp;"!A5:Z5"),0),4),1,""),"")</f>
        <v>U</v>
      </c>
      <c r="D2501" s="791" t="s">
        <v>1357</v>
      </c>
      <c r="E2501" s="791" t="s">
        <v>870</v>
      </c>
      <c r="F2501" s="1658"/>
      <c r="G2501" s="1658"/>
      <c r="H2501" s="1658"/>
      <c r="I2501" s="1274" t="str">
        <f t="shared" si="469"/>
        <v/>
      </c>
      <c r="J2501" s="1658"/>
      <c r="K2501" s="1658" t="str">
        <f t="shared" si="470"/>
        <v/>
      </c>
      <c r="L2501" s="825" t="s">
        <v>1189</v>
      </c>
      <c r="M2501" s="1658">
        <v>1605</v>
      </c>
      <c r="N2501" s="1658"/>
    </row>
    <row r="2502" spans="1:16" s="1657" customFormat="1" x14ac:dyDescent="0.25">
      <c r="A2502" s="840" t="s">
        <v>1339</v>
      </c>
      <c r="B2502" s="791" t="str">
        <f t="shared" ca="1" si="482"/>
        <v>V25</v>
      </c>
      <c r="C2502" s="791" t="str">
        <f ca="1">_xlfn.IFNA(SUBSTITUTE(ADDRESS(1,MATCH(A2502,INDIRECT("'"&amp;E2502&amp;"'"&amp;"!A5:Z5"),0),4),1,""),"")</f>
        <v>V</v>
      </c>
      <c r="D2502" s="791" t="s">
        <v>1357</v>
      </c>
      <c r="E2502" s="791" t="s">
        <v>870</v>
      </c>
      <c r="F2502" s="1658"/>
      <c r="G2502" s="1658"/>
      <c r="H2502" s="1658"/>
      <c r="I2502" s="1274" t="str">
        <f t="shared" si="469"/>
        <v/>
      </c>
      <c r="J2502" s="1658"/>
      <c r="K2502" s="1658" t="str">
        <f t="shared" si="470"/>
        <v/>
      </c>
      <c r="L2502" s="825" t="s">
        <v>1428</v>
      </c>
      <c r="M2502" s="1658">
        <v>1606</v>
      </c>
      <c r="N2502" s="1658"/>
    </row>
    <row r="2503" spans="1:16" s="1657" customFormat="1" x14ac:dyDescent="0.25">
      <c r="A2503" s="840" t="s">
        <v>1631</v>
      </c>
      <c r="B2503" s="791" t="str">
        <f t="shared" ca="1" si="482"/>
        <v>W25</v>
      </c>
      <c r="C2503" s="791" t="str">
        <f ca="1">_xlfn.IFNA(SUBSTITUTE(ADDRESS(1,MATCH(A2503,INDIRECT("'"&amp;E2503&amp;"'"&amp;"!A5:Z5"),0),4),1,""),"")</f>
        <v>W</v>
      </c>
      <c r="D2503" s="791" t="s">
        <v>1357</v>
      </c>
      <c r="E2503" s="791" t="s">
        <v>870</v>
      </c>
      <c r="F2503" s="1658"/>
      <c r="G2503" s="1658"/>
      <c r="H2503" s="1658"/>
      <c r="I2503" s="1274" t="str">
        <f t="shared" si="469"/>
        <v>Add or End Customer</v>
      </c>
      <c r="J2503" s="1658" t="str">
        <f t="shared" ref="J2503" si="483">IF(M2503&lt;&gt;"",Q$1&amp;M2503,"")</f>
        <v>F1607</v>
      </c>
      <c r="K2503" s="1658" t="str">
        <f t="shared" si="470"/>
        <v>Customer Inputs</v>
      </c>
      <c r="L2503" s="825" t="s">
        <v>1631</v>
      </c>
      <c r="M2503" s="1658">
        <v>1607</v>
      </c>
      <c r="N2503" s="1658"/>
    </row>
    <row r="2504" spans="1:16" s="1657" customFormat="1" x14ac:dyDescent="0.25">
      <c r="A2504" s="844" t="s">
        <v>1178</v>
      </c>
      <c r="B2504" s="791" t="str">
        <f ca="1">_xlfn.IFNA(_xlfn.CONCAT(SUBSTITUTE(ADDRESS(1,MATCH(A2504,INDIRECT("'"&amp;E2504&amp;"'"&amp;"!A5:Z5"),0),4),1,""),16),"")</f>
        <v>G16</v>
      </c>
      <c r="C2504" s="791" t="str">
        <f t="shared" ref="C2504:C2523" ca="1" si="484">_xlfn.IFNA(SUBSTITUTE(ADDRESS(1,MATCH(A2504,INDIRECT("'"&amp;E2504&amp;"'"&amp;"!A5:Z5"),0),4),1,""),"")</f>
        <v>G</v>
      </c>
      <c r="D2504" s="1658" t="s">
        <v>1357</v>
      </c>
      <c r="E2504" s="791" t="s">
        <v>870</v>
      </c>
      <c r="F2504" s="1658"/>
      <c r="G2504" s="1658"/>
      <c r="H2504" s="1658"/>
      <c r="I2504" s="1274" t="str">
        <f t="shared" si="469"/>
        <v>Shipping Location Number</v>
      </c>
      <c r="J2504" s="1658" t="str">
        <f>IFERROR(Q$1&amp;M2524,"")</f>
        <v>F1407</v>
      </c>
      <c r="K2504" s="1658" t="str">
        <f t="shared" si="470"/>
        <v>Customer Inputs</v>
      </c>
      <c r="L2504" s="1658"/>
      <c r="M2504" s="1658"/>
      <c r="N2504" s="1658"/>
      <c r="P2504" s="1658" t="str">
        <f>IFERROR(VLOOKUP(Q$2524,'Existing Customers'!$A:$F,1,FALSE),"")</f>
        <v/>
      </c>
    </row>
    <row r="2505" spans="1:16" s="1657" customFormat="1" x14ac:dyDescent="0.25">
      <c r="A2505" s="842" t="s">
        <v>1178</v>
      </c>
      <c r="B2505" s="791" t="str">
        <f ca="1">_xlfn.IFNA(_xlfn.CONCAT(SUBSTITUTE(ADDRESS(1,MATCH(A2505,INDIRECT("'"&amp;E2505&amp;"'"&amp;"!A5:Z5"),0),4),1,""),17),"")</f>
        <v>G17</v>
      </c>
      <c r="C2505" s="791" t="str">
        <f t="shared" ca="1" si="484"/>
        <v>G</v>
      </c>
      <c r="D2505" s="1658" t="s">
        <v>1357</v>
      </c>
      <c r="E2505" s="791" t="s">
        <v>870</v>
      </c>
      <c r="F2505" s="1658"/>
      <c r="G2505" s="1658"/>
      <c r="H2505" s="1658"/>
      <c r="I2505" s="1274" t="str">
        <f t="shared" si="469"/>
        <v>Shipping Location Number</v>
      </c>
      <c r="J2505" s="1658" t="str">
        <f>IFERROR(Q$1&amp;M2535,"")</f>
        <v>F1428</v>
      </c>
      <c r="K2505" s="1658" t="str">
        <f t="shared" si="470"/>
        <v>Customer Inputs</v>
      </c>
      <c r="L2505" s="1658"/>
      <c r="M2505" s="1658"/>
      <c r="N2505" s="1658"/>
      <c r="P2505" s="1658" t="str">
        <f>IFERROR(VLOOKUP(Q$2535,'Existing Customers'!$A:$F,1,FALSE),"")</f>
        <v/>
      </c>
    </row>
    <row r="2506" spans="1:16" s="1657" customFormat="1" x14ac:dyDescent="0.25">
      <c r="A2506" s="844" t="s">
        <v>1178</v>
      </c>
      <c r="B2506" s="791" t="str">
        <f ca="1">_xlfn.IFNA(_xlfn.CONCAT(SUBSTITUTE(ADDRESS(1,MATCH(A2506,INDIRECT("'"&amp;E2506&amp;"'"&amp;"!A5:Z5"),0),4),1,""),18),"")</f>
        <v>G18</v>
      </c>
      <c r="C2506" s="791" t="str">
        <f t="shared" ca="1" si="484"/>
        <v>G</v>
      </c>
      <c r="D2506" s="1658" t="s">
        <v>1357</v>
      </c>
      <c r="E2506" s="791" t="s">
        <v>870</v>
      </c>
      <c r="F2506" s="1658"/>
      <c r="G2506" s="1658"/>
      <c r="H2506" s="1658"/>
      <c r="I2506" s="1274" t="str">
        <f t="shared" si="469"/>
        <v>Shipping Location Number</v>
      </c>
      <c r="J2506" s="1658" t="str">
        <f>IFERROR(Q$1&amp;M2546,"")</f>
        <v>F1449</v>
      </c>
      <c r="K2506" s="1658" t="str">
        <f t="shared" si="470"/>
        <v>Customer Inputs</v>
      </c>
      <c r="L2506" s="1658"/>
      <c r="M2506" s="1658"/>
      <c r="N2506" s="1658"/>
      <c r="P2506" s="1658" t="str">
        <f>IFERROR(VLOOKUP(Q$2546,'Existing Customers'!$A:$F,1,FALSE),"")</f>
        <v/>
      </c>
    </row>
    <row r="2507" spans="1:16" s="1657" customFormat="1" x14ac:dyDescent="0.25">
      <c r="A2507" s="842" t="s">
        <v>1178</v>
      </c>
      <c r="B2507" s="791" t="str">
        <f ca="1">_xlfn.IFNA(_xlfn.CONCAT(SUBSTITUTE(ADDRESS(1,MATCH(A2507,INDIRECT("'"&amp;E2507&amp;"'"&amp;"!A5:Z5"),0),4),1,""),19),"")</f>
        <v>G19</v>
      </c>
      <c r="C2507" s="791" t="str">
        <f t="shared" ca="1" si="484"/>
        <v>G</v>
      </c>
      <c r="D2507" s="1658" t="s">
        <v>1357</v>
      </c>
      <c r="E2507" s="791" t="s">
        <v>870</v>
      </c>
      <c r="F2507" s="1658"/>
      <c r="G2507" s="1658"/>
      <c r="H2507" s="1658"/>
      <c r="I2507" s="1274" t="str">
        <f t="shared" si="469"/>
        <v>Shipping Location Number</v>
      </c>
      <c r="J2507" s="1658" t="str">
        <f>IFERROR(Q$1&amp;M2557,"")</f>
        <v>F1470</v>
      </c>
      <c r="K2507" s="1658" t="str">
        <f t="shared" si="470"/>
        <v>Customer Inputs</v>
      </c>
      <c r="L2507" s="1658"/>
      <c r="M2507" s="1658"/>
      <c r="N2507" s="1658"/>
      <c r="P2507" s="1658" t="str">
        <f>IFERROR(VLOOKUP(Q$2557,'Existing Customers'!$A:$F,1,FALSE),"")</f>
        <v/>
      </c>
    </row>
    <row r="2508" spans="1:16" s="1657" customFormat="1" x14ac:dyDescent="0.25">
      <c r="A2508" s="844" t="s">
        <v>1178</v>
      </c>
      <c r="B2508" s="791" t="str">
        <f ca="1">_xlfn.IFNA(_xlfn.CONCAT(SUBSTITUTE(ADDRESS(1,MATCH(A2508,INDIRECT("'"&amp;E2508&amp;"'"&amp;"!A5:Z5"),0),4),1,""),20),"")</f>
        <v>G20</v>
      </c>
      <c r="C2508" s="791" t="str">
        <f t="shared" ca="1" si="484"/>
        <v>G</v>
      </c>
      <c r="D2508" s="1658" t="s">
        <v>1357</v>
      </c>
      <c r="E2508" s="791" t="s">
        <v>870</v>
      </c>
      <c r="F2508" s="1658"/>
      <c r="G2508" s="1658"/>
      <c r="H2508" s="1658"/>
      <c r="I2508" s="1274" t="str">
        <f t="shared" ref="I2508:I2571" si="485">IF(J2508&lt;&gt;"",A2508,"")</f>
        <v>Shipping Location Number</v>
      </c>
      <c r="J2508" s="1658" t="str">
        <f>IFERROR(Q$1&amp;M2568,"")</f>
        <v>F1491</v>
      </c>
      <c r="K2508" s="1658" t="str">
        <f t="shared" ref="K2508:K2571" si="486">IF(J2508&lt;&gt;"",E2508,"")</f>
        <v>Customer Inputs</v>
      </c>
      <c r="L2508" s="1658"/>
      <c r="M2508" s="1658"/>
      <c r="N2508" s="1658"/>
      <c r="P2508" s="1658" t="str">
        <f>IFERROR(VLOOKUP(Q$2568,'Existing Customers'!$A:$F,1,FALSE),"")</f>
        <v/>
      </c>
    </row>
    <row r="2509" spans="1:16" s="1657" customFormat="1" x14ac:dyDescent="0.25">
      <c r="A2509" s="842" t="s">
        <v>1178</v>
      </c>
      <c r="B2509" s="791" t="str">
        <f ca="1">_xlfn.IFNA(_xlfn.CONCAT(SUBSTITUTE(ADDRESS(1,MATCH(A2509,INDIRECT("'"&amp;E2509&amp;"'"&amp;"!A5:Z5"),0),4),1,""),21),"")</f>
        <v>G21</v>
      </c>
      <c r="C2509" s="791" t="str">
        <f t="shared" ca="1" si="484"/>
        <v>G</v>
      </c>
      <c r="D2509" s="1658" t="s">
        <v>1357</v>
      </c>
      <c r="E2509" s="791" t="s">
        <v>870</v>
      </c>
      <c r="F2509" s="1658"/>
      <c r="G2509" s="1658"/>
      <c r="H2509" s="1658"/>
      <c r="I2509" s="1274" t="str">
        <f t="shared" si="485"/>
        <v>Shipping Location Number</v>
      </c>
      <c r="J2509" s="1658" t="str">
        <f>IFERROR(Q$1&amp;M2579,"")</f>
        <v>F1512</v>
      </c>
      <c r="K2509" s="1658" t="str">
        <f t="shared" si="486"/>
        <v>Customer Inputs</v>
      </c>
      <c r="L2509" s="1658"/>
      <c r="M2509" s="1658"/>
      <c r="N2509" s="1658"/>
      <c r="P2509" s="1658" t="str">
        <f>IFERROR(VLOOKUP(Q$2579,'Existing Customers'!$A:$F,1,FALSE),"")</f>
        <v/>
      </c>
    </row>
    <row r="2510" spans="1:16" s="1657" customFormat="1" x14ac:dyDescent="0.25">
      <c r="A2510" s="844" t="s">
        <v>1178</v>
      </c>
      <c r="B2510" s="791" t="str">
        <f ca="1">_xlfn.IFNA(_xlfn.CONCAT(SUBSTITUTE(ADDRESS(1,MATCH(A2510,INDIRECT("'"&amp;E2510&amp;"'"&amp;"!A5:Z5"),0),4),1,""),22),"")</f>
        <v>G22</v>
      </c>
      <c r="C2510" s="791" t="str">
        <f t="shared" ca="1" si="484"/>
        <v>G</v>
      </c>
      <c r="D2510" s="1658" t="s">
        <v>1357</v>
      </c>
      <c r="E2510" s="791" t="s">
        <v>870</v>
      </c>
      <c r="F2510" s="1658"/>
      <c r="G2510" s="1658"/>
      <c r="H2510" s="1658"/>
      <c r="I2510" s="1274" t="str">
        <f t="shared" si="485"/>
        <v>Shipping Location Number</v>
      </c>
      <c r="J2510" s="1658" t="str">
        <f>IFERROR(Q$1&amp;M2590,"")</f>
        <v>F1533</v>
      </c>
      <c r="K2510" s="1658" t="str">
        <f t="shared" si="486"/>
        <v>Customer Inputs</v>
      </c>
      <c r="L2510" s="1658"/>
      <c r="M2510" s="1658"/>
      <c r="N2510" s="1658"/>
      <c r="P2510" s="1658" t="str">
        <f>IFERROR(VLOOKUP(Q$2590,'Existing Customers'!$A:$F,1,FALSE),"")</f>
        <v/>
      </c>
    </row>
    <row r="2511" spans="1:16" s="1657" customFormat="1" x14ac:dyDescent="0.25">
      <c r="A2511" s="842" t="s">
        <v>1178</v>
      </c>
      <c r="B2511" s="791" t="str">
        <f ca="1">_xlfn.IFNA(_xlfn.CONCAT(SUBSTITUTE(ADDRESS(1,MATCH(A2511,INDIRECT("'"&amp;E2511&amp;"'"&amp;"!A5:Z5"),0),4),1,""),23),"")</f>
        <v>G23</v>
      </c>
      <c r="C2511" s="791" t="str">
        <f t="shared" ca="1" si="484"/>
        <v>G</v>
      </c>
      <c r="D2511" s="1658" t="s">
        <v>1357</v>
      </c>
      <c r="E2511" s="791" t="s">
        <v>870</v>
      </c>
      <c r="F2511" s="1658"/>
      <c r="G2511" s="1658"/>
      <c r="H2511" s="1658"/>
      <c r="I2511" s="1274" t="str">
        <f t="shared" si="485"/>
        <v>Shipping Location Number</v>
      </c>
      <c r="J2511" s="1658" t="str">
        <f>IFERROR(Q$1&amp;M2601,"")</f>
        <v>F1554</v>
      </c>
      <c r="K2511" s="1658" t="str">
        <f t="shared" si="486"/>
        <v>Customer Inputs</v>
      </c>
      <c r="L2511" s="1658"/>
      <c r="M2511" s="1658"/>
      <c r="N2511" s="1658"/>
      <c r="P2511" s="1658" t="str">
        <f>IFERROR(VLOOKUP(Q$2601,'Existing Customers'!$A:$F,1,FALSE),"")</f>
        <v/>
      </c>
    </row>
    <row r="2512" spans="1:16" s="1657" customFormat="1" x14ac:dyDescent="0.25">
      <c r="A2512" s="844" t="s">
        <v>1178</v>
      </c>
      <c r="B2512" s="791" t="str">
        <f ca="1">_xlfn.IFNA(_xlfn.CONCAT(SUBSTITUTE(ADDRESS(1,MATCH(A2512,INDIRECT("'"&amp;E2512&amp;"'"&amp;"!A5:Z5"),0),4),1,""),24),"")</f>
        <v>G24</v>
      </c>
      <c r="C2512" s="791" t="str">
        <f t="shared" ca="1" si="484"/>
        <v>G</v>
      </c>
      <c r="D2512" s="1658" t="s">
        <v>1357</v>
      </c>
      <c r="E2512" s="791" t="s">
        <v>870</v>
      </c>
      <c r="F2512" s="1658"/>
      <c r="G2512" s="1658"/>
      <c r="H2512" s="1658"/>
      <c r="I2512" s="1274" t="str">
        <f t="shared" si="485"/>
        <v>Shipping Location Number</v>
      </c>
      <c r="J2512" s="1658" t="str">
        <f>IFERROR(Q$1&amp;M2612,"")</f>
        <v>F1575</v>
      </c>
      <c r="K2512" s="1658" t="str">
        <f t="shared" si="486"/>
        <v>Customer Inputs</v>
      </c>
      <c r="L2512" s="1658"/>
      <c r="M2512" s="1658"/>
      <c r="N2512" s="1658"/>
      <c r="P2512" s="1658" t="str">
        <f>IFERROR(VLOOKUP(Q$2612,'Existing Customers'!$A:$F,1,FALSE),"")</f>
        <v/>
      </c>
    </row>
    <row r="2513" spans="1:17" s="1657" customFormat="1" x14ac:dyDescent="0.25">
      <c r="A2513" s="842" t="s">
        <v>1178</v>
      </c>
      <c r="B2513" s="791" t="str">
        <f ca="1">_xlfn.IFNA(_xlfn.CONCAT(SUBSTITUTE(ADDRESS(1,MATCH(A2513,INDIRECT("'"&amp;E2513&amp;"'"&amp;"!A5:Z5"),0),4),1,""),25),"")</f>
        <v>G25</v>
      </c>
      <c r="C2513" s="791" t="str">
        <f t="shared" ca="1" si="484"/>
        <v>G</v>
      </c>
      <c r="D2513" s="1658" t="s">
        <v>1357</v>
      </c>
      <c r="E2513" s="791" t="s">
        <v>870</v>
      </c>
      <c r="F2513" s="1658"/>
      <c r="G2513" s="1658"/>
      <c r="H2513" s="1658"/>
      <c r="I2513" s="1274" t="str">
        <f t="shared" si="485"/>
        <v>Shipping Location Number</v>
      </c>
      <c r="J2513" s="1658" t="str">
        <f>IFERROR(Q$1&amp;M2623,"")</f>
        <v>F1596</v>
      </c>
      <c r="K2513" s="1658" t="str">
        <f t="shared" si="486"/>
        <v>Customer Inputs</v>
      </c>
      <c r="L2513" s="1658"/>
      <c r="M2513" s="1658"/>
      <c r="N2513" s="1658"/>
      <c r="P2513" s="1658" t="str">
        <f>IFERROR(VLOOKUP(Q$2623,'Existing Customers'!$A:$F,1,FALSE),"")</f>
        <v/>
      </c>
    </row>
    <row r="2514" spans="1:17" s="1657" customFormat="1" x14ac:dyDescent="0.25">
      <c r="A2514" s="845" t="s">
        <v>204</v>
      </c>
      <c r="B2514" s="791" t="str">
        <f ca="1">_xlfn.IFNA(_xlfn.CONCAT(SUBSTITUTE(ADDRESS(1,MATCH(A2514,INDIRECT("'"&amp;E2514&amp;"'"&amp;"!A5:Z5"),0),4),1,""),16),"")</f>
        <v>S16</v>
      </c>
      <c r="C2514" s="791" t="str">
        <f t="shared" ca="1" si="484"/>
        <v>S</v>
      </c>
      <c r="D2514" s="1658" t="s">
        <v>1357</v>
      </c>
      <c r="E2514" s="791" t="s">
        <v>870</v>
      </c>
      <c r="F2514" s="1658"/>
      <c r="G2514" s="1658"/>
      <c r="H2514" s="1658"/>
      <c r="I2514" s="1274" t="str">
        <f t="shared" si="485"/>
        <v>Zip Code</v>
      </c>
      <c r="J2514" s="1658" t="str">
        <f>IF(P2504="",Q$1&amp;M1460,"")</f>
        <v>F</v>
      </c>
      <c r="K2514" s="1658" t="str">
        <f t="shared" si="486"/>
        <v>Customer Inputs</v>
      </c>
      <c r="L2514" s="1658"/>
      <c r="M2514" s="1658"/>
      <c r="N2514" s="1658"/>
    </row>
    <row r="2515" spans="1:17" s="1657" customFormat="1" x14ac:dyDescent="0.25">
      <c r="A2515" s="842" t="s">
        <v>204</v>
      </c>
      <c r="B2515" s="791" t="str">
        <f ca="1">_xlfn.IFNA(_xlfn.CONCAT(SUBSTITUTE(ADDRESS(1,MATCH(A2515,INDIRECT("'"&amp;E2515&amp;"'"&amp;"!A5:Z5"),0),4),1,""),17),"")</f>
        <v>S17</v>
      </c>
      <c r="C2515" s="791" t="str">
        <f t="shared" ca="1" si="484"/>
        <v>S</v>
      </c>
      <c r="D2515" s="1658" t="s">
        <v>1357</v>
      </c>
      <c r="E2515" s="791" t="s">
        <v>870</v>
      </c>
      <c r="F2515" s="1658"/>
      <c r="G2515" s="1658"/>
      <c r="H2515" s="1658"/>
      <c r="I2515" s="1274" t="str">
        <f t="shared" si="485"/>
        <v>Zip Code</v>
      </c>
      <c r="J2515" s="1658" t="str">
        <f>IF(P2505="",Q$1&amp;M1471,"")</f>
        <v>F</v>
      </c>
      <c r="K2515" s="1658" t="str">
        <f t="shared" si="486"/>
        <v>Customer Inputs</v>
      </c>
      <c r="L2515" s="1658"/>
      <c r="M2515" s="1658"/>
      <c r="N2515" s="1658"/>
    </row>
    <row r="2516" spans="1:17" s="1657" customFormat="1" x14ac:dyDescent="0.25">
      <c r="A2516" s="845" t="s">
        <v>204</v>
      </c>
      <c r="B2516" s="791" t="str">
        <f ca="1">_xlfn.IFNA(_xlfn.CONCAT(SUBSTITUTE(ADDRESS(1,MATCH(A2516,INDIRECT("'"&amp;E2516&amp;"'"&amp;"!A5:Z5"),0),4),1,""),18),"")</f>
        <v>S18</v>
      </c>
      <c r="C2516" s="791" t="str">
        <f t="shared" ca="1" si="484"/>
        <v>S</v>
      </c>
      <c r="D2516" s="1658" t="s">
        <v>1357</v>
      </c>
      <c r="E2516" s="791" t="s">
        <v>870</v>
      </c>
      <c r="F2516" s="1658"/>
      <c r="G2516" s="1658"/>
      <c r="H2516" s="1658"/>
      <c r="I2516" s="1274" t="str">
        <f t="shared" si="485"/>
        <v>Zip Code</v>
      </c>
      <c r="J2516" s="1658" t="str">
        <f>IF(P2506="",Q$1&amp;M1482,"")</f>
        <v>F</v>
      </c>
      <c r="K2516" s="1658" t="str">
        <f t="shared" si="486"/>
        <v>Customer Inputs</v>
      </c>
      <c r="L2516" s="1658"/>
      <c r="M2516" s="1658"/>
      <c r="N2516" s="1658"/>
    </row>
    <row r="2517" spans="1:17" s="1657" customFormat="1" x14ac:dyDescent="0.25">
      <c r="A2517" s="842" t="s">
        <v>204</v>
      </c>
      <c r="B2517" s="791" t="str">
        <f ca="1">_xlfn.IFNA(_xlfn.CONCAT(SUBSTITUTE(ADDRESS(1,MATCH(A2517,INDIRECT("'"&amp;E2517&amp;"'"&amp;"!A5:Z5"),0),4),1,""),19),"")</f>
        <v>S19</v>
      </c>
      <c r="C2517" s="791" t="str">
        <f t="shared" ca="1" si="484"/>
        <v>S</v>
      </c>
      <c r="D2517" s="1658" t="s">
        <v>1357</v>
      </c>
      <c r="E2517" s="791" t="s">
        <v>870</v>
      </c>
      <c r="F2517" s="1658"/>
      <c r="G2517" s="1658"/>
      <c r="H2517" s="1658"/>
      <c r="I2517" s="1274" t="str">
        <f t="shared" si="485"/>
        <v>Zip Code</v>
      </c>
      <c r="J2517" s="1658" t="str">
        <f>IF(P2507="",Q$1&amp;M1493,"")</f>
        <v>F</v>
      </c>
      <c r="K2517" s="1658" t="str">
        <f t="shared" si="486"/>
        <v>Customer Inputs</v>
      </c>
      <c r="L2517" s="1658"/>
      <c r="M2517" s="1658"/>
      <c r="N2517" s="1658"/>
    </row>
    <row r="2518" spans="1:17" s="1657" customFormat="1" x14ac:dyDescent="0.25">
      <c r="A2518" s="845" t="s">
        <v>204</v>
      </c>
      <c r="B2518" s="791" t="str">
        <f ca="1">_xlfn.IFNA(_xlfn.CONCAT(SUBSTITUTE(ADDRESS(1,MATCH(A2518,INDIRECT("'"&amp;E2518&amp;"'"&amp;"!A5:Z5"),0),4),1,""),20),"")</f>
        <v>S20</v>
      </c>
      <c r="C2518" s="791" t="str">
        <f t="shared" ca="1" si="484"/>
        <v>S</v>
      </c>
      <c r="D2518" s="1658" t="s">
        <v>1357</v>
      </c>
      <c r="E2518" s="791" t="s">
        <v>870</v>
      </c>
      <c r="F2518" s="1658"/>
      <c r="G2518" s="1658"/>
      <c r="H2518" s="1658"/>
      <c r="I2518" s="1274" t="str">
        <f t="shared" si="485"/>
        <v>Zip Code</v>
      </c>
      <c r="J2518" s="1658" t="str">
        <f>IF(P2508="",Q$1&amp;M1504,"")</f>
        <v>F</v>
      </c>
      <c r="K2518" s="1658" t="str">
        <f t="shared" si="486"/>
        <v>Customer Inputs</v>
      </c>
      <c r="L2518" s="1658"/>
      <c r="M2518" s="1658"/>
      <c r="N2518" s="1658"/>
    </row>
    <row r="2519" spans="1:17" s="1657" customFormat="1" x14ac:dyDescent="0.25">
      <c r="A2519" s="842" t="s">
        <v>204</v>
      </c>
      <c r="B2519" s="791" t="str">
        <f ca="1">_xlfn.IFNA(_xlfn.CONCAT(SUBSTITUTE(ADDRESS(1,MATCH(A2519,INDIRECT("'"&amp;E2519&amp;"'"&amp;"!A5:Z5"),0),4),1,""),21),"")</f>
        <v>S21</v>
      </c>
      <c r="C2519" s="791" t="str">
        <f t="shared" ca="1" si="484"/>
        <v>S</v>
      </c>
      <c r="D2519" s="1658" t="s">
        <v>1357</v>
      </c>
      <c r="E2519" s="791" t="s">
        <v>870</v>
      </c>
      <c r="F2519" s="1658"/>
      <c r="G2519" s="1658"/>
      <c r="H2519" s="1658"/>
      <c r="I2519" s="1274" t="str">
        <f t="shared" si="485"/>
        <v>Zip Code</v>
      </c>
      <c r="J2519" s="1658" t="str">
        <f>IF(P2509="",Q$1&amp;M1515,"")</f>
        <v>F</v>
      </c>
      <c r="K2519" s="1658" t="str">
        <f t="shared" si="486"/>
        <v>Customer Inputs</v>
      </c>
      <c r="L2519" s="1658"/>
      <c r="M2519" s="1658"/>
      <c r="N2519" s="1658"/>
    </row>
    <row r="2520" spans="1:17" s="1657" customFormat="1" x14ac:dyDescent="0.25">
      <c r="A2520" s="845" t="s">
        <v>204</v>
      </c>
      <c r="B2520" s="791" t="str">
        <f ca="1">_xlfn.IFNA(_xlfn.CONCAT(SUBSTITUTE(ADDRESS(1,MATCH(A2520,INDIRECT("'"&amp;E2520&amp;"'"&amp;"!A5:Z5"),0),4),1,""),22),"")</f>
        <v>S22</v>
      </c>
      <c r="C2520" s="791" t="str">
        <f t="shared" ca="1" si="484"/>
        <v>S</v>
      </c>
      <c r="D2520" s="1658" t="s">
        <v>1357</v>
      </c>
      <c r="E2520" s="791" t="s">
        <v>870</v>
      </c>
      <c r="F2520" s="1658"/>
      <c r="G2520" s="1658"/>
      <c r="H2520" s="1658"/>
      <c r="I2520" s="1274" t="str">
        <f t="shared" si="485"/>
        <v>Zip Code</v>
      </c>
      <c r="J2520" s="1658" t="str">
        <f>IF(P2510="",Q$1&amp;M1526,"")</f>
        <v>F</v>
      </c>
      <c r="K2520" s="1658" t="str">
        <f t="shared" si="486"/>
        <v>Customer Inputs</v>
      </c>
      <c r="L2520" s="1658"/>
      <c r="M2520" s="1658"/>
      <c r="N2520" s="1658"/>
    </row>
    <row r="2521" spans="1:17" s="1657" customFormat="1" x14ac:dyDescent="0.25">
      <c r="A2521" s="842" t="s">
        <v>204</v>
      </c>
      <c r="B2521" s="791" t="str">
        <f ca="1">_xlfn.IFNA(_xlfn.CONCAT(SUBSTITUTE(ADDRESS(1,MATCH(A2521,INDIRECT("'"&amp;E2521&amp;"'"&amp;"!A5:Z5"),0),4),1,""),23),"")</f>
        <v>S23</v>
      </c>
      <c r="C2521" s="791" t="str">
        <f t="shared" ca="1" si="484"/>
        <v>S</v>
      </c>
      <c r="D2521" s="1658" t="s">
        <v>1357</v>
      </c>
      <c r="E2521" s="791" t="s">
        <v>870</v>
      </c>
      <c r="F2521" s="1658"/>
      <c r="G2521" s="1658"/>
      <c r="H2521" s="1658"/>
      <c r="I2521" s="1274" t="str">
        <f t="shared" si="485"/>
        <v>Zip Code</v>
      </c>
      <c r="J2521" s="1658" t="str">
        <f>IF(P2511="",Q$1&amp;M1537,"")</f>
        <v>F</v>
      </c>
      <c r="K2521" s="1658" t="str">
        <f t="shared" si="486"/>
        <v>Customer Inputs</v>
      </c>
      <c r="L2521" s="1658"/>
      <c r="M2521" s="1658"/>
      <c r="N2521" s="1658"/>
    </row>
    <row r="2522" spans="1:17" s="1657" customFormat="1" x14ac:dyDescent="0.25">
      <c r="A2522" s="845" t="s">
        <v>204</v>
      </c>
      <c r="B2522" s="791" t="str">
        <f ca="1">_xlfn.IFNA(_xlfn.CONCAT(SUBSTITUTE(ADDRESS(1,MATCH(A2522,INDIRECT("'"&amp;E2522&amp;"'"&amp;"!A5:Z5"),0),4),1,""),24),"")</f>
        <v>S24</v>
      </c>
      <c r="C2522" s="791" t="str">
        <f t="shared" ca="1" si="484"/>
        <v>S</v>
      </c>
      <c r="D2522" s="1658" t="s">
        <v>1357</v>
      </c>
      <c r="E2522" s="791" t="s">
        <v>870</v>
      </c>
      <c r="F2522" s="1658"/>
      <c r="G2522" s="1658"/>
      <c r="H2522" s="1658"/>
      <c r="I2522" s="1274" t="str">
        <f t="shared" si="485"/>
        <v>Zip Code</v>
      </c>
      <c r="J2522" s="1658" t="str">
        <f>IF(P2512="",Q$1&amp;M1548,"")</f>
        <v>F</v>
      </c>
      <c r="K2522" s="1658" t="str">
        <f t="shared" si="486"/>
        <v>Customer Inputs</v>
      </c>
      <c r="L2522" s="1658"/>
      <c r="M2522" s="1658"/>
      <c r="N2522" s="1658"/>
    </row>
    <row r="2523" spans="1:17" s="1657" customFormat="1" x14ac:dyDescent="0.25">
      <c r="A2523" s="842" t="s">
        <v>204</v>
      </c>
      <c r="B2523" s="791" t="str">
        <f ca="1">_xlfn.IFNA(_xlfn.CONCAT(SUBSTITUTE(ADDRESS(1,MATCH(A2523,INDIRECT("'"&amp;E2523&amp;"'"&amp;"!A5:Z5"),0),4),1,""),25),"")</f>
        <v>S25</v>
      </c>
      <c r="C2523" s="791" t="str">
        <f t="shared" ca="1" si="484"/>
        <v>S</v>
      </c>
      <c r="D2523" s="1658" t="s">
        <v>1357</v>
      </c>
      <c r="E2523" s="791" t="s">
        <v>870</v>
      </c>
      <c r="F2523" s="1658"/>
      <c r="G2523" s="1658"/>
      <c r="H2523" s="1658"/>
      <c r="I2523" s="1274" t="str">
        <f t="shared" si="485"/>
        <v>Zip Code</v>
      </c>
      <c r="J2523" s="1658" t="str">
        <f>IF(P2513="",Q$1&amp;M1559,"")</f>
        <v>F</v>
      </c>
      <c r="K2523" s="1658" t="str">
        <f t="shared" si="486"/>
        <v>Customer Inputs</v>
      </c>
      <c r="L2523" s="1658"/>
      <c r="M2523" s="1658"/>
      <c r="N2523" s="1658"/>
    </row>
    <row r="2524" spans="1:17" s="1657" customFormat="1" x14ac:dyDescent="0.25">
      <c r="A2524" s="842" t="s">
        <v>1178</v>
      </c>
      <c r="B2524" s="791" t="str">
        <f ca="1">_xlfn.IFNA(_xlfn.CONCAT(SUBSTITUTE(ADDRESS(1,MATCH(A2524,INDIRECT("'"&amp;E2524&amp;"'"&amp;"!A22:Z22"),0),4),1,""),33),"")</f>
        <v>E33</v>
      </c>
      <c r="C2524" s="791" t="str">
        <f ca="1">_xlfn.IFNA(SUBSTITUTE(ADDRESS(1,MATCH(A2524,INDIRECT("'"&amp;E2524&amp;"'"&amp;"!A22:Z22"),0),4),1,""),"")</f>
        <v>E</v>
      </c>
      <c r="D2524" s="1658" t="s">
        <v>1357</v>
      </c>
      <c r="E2524" s="791" t="s">
        <v>1358</v>
      </c>
      <c r="F2524" s="1658"/>
      <c r="G2524" s="1658"/>
      <c r="H2524" s="1658"/>
      <c r="I2524" s="1274" t="str">
        <f t="shared" si="485"/>
        <v/>
      </c>
      <c r="J2524" s="1658"/>
      <c r="K2524" s="1658" t="str">
        <f t="shared" si="486"/>
        <v/>
      </c>
      <c r="L2524" s="824" t="s">
        <v>1178</v>
      </c>
      <c r="M2524" s="1658">
        <v>1407</v>
      </c>
      <c r="N2524" s="1658"/>
      <c r="P2524" s="1658" t="str">
        <f>IFERROR(VLOOKUP(Q$2524,'Existing Customers'!$A:$F,1,FALSE),"")</f>
        <v/>
      </c>
      <c r="Q2524" s="1658"/>
    </row>
    <row r="2525" spans="1:17" s="1657" customFormat="1" x14ac:dyDescent="0.25">
      <c r="A2525" s="843" t="s">
        <v>766</v>
      </c>
      <c r="B2525" s="791" t="str">
        <f t="shared" ref="B2525:B2534" ca="1" si="487">_xlfn.IFNA(_xlfn.CONCAT(SUBSTITUTE(ADDRESS(1,MATCH(A2525,INDIRECT("'"&amp;E2525&amp;"'"&amp;"!A22:Z22"),0),4),1,""),33),"")</f>
        <v>F33</v>
      </c>
      <c r="C2525" s="791" t="str">
        <f t="shared" ref="C2525:C2588" ca="1" si="488">_xlfn.IFNA(SUBSTITUTE(ADDRESS(1,MATCH(A2525,INDIRECT("'"&amp;E2525&amp;"'"&amp;"!A22:Z22"),0),4),1,""),"")</f>
        <v>F</v>
      </c>
      <c r="D2525" s="1658" t="s">
        <v>1357</v>
      </c>
      <c r="E2525" s="791" t="s">
        <v>1358</v>
      </c>
      <c r="F2525" s="1658"/>
      <c r="G2525" s="1658"/>
      <c r="H2525" s="1658"/>
      <c r="I2525" s="1274" t="str">
        <f t="shared" si="485"/>
        <v>Name</v>
      </c>
      <c r="J2525" s="1658" t="str">
        <f>IF(P2524="",Q$1&amp;M2525,"")</f>
        <v>F1409</v>
      </c>
      <c r="K2525" s="1658" t="str">
        <f t="shared" si="486"/>
        <v>Required Info to Submit</v>
      </c>
      <c r="L2525" s="824" t="s">
        <v>766</v>
      </c>
      <c r="M2525" s="1658">
        <v>1409</v>
      </c>
      <c r="N2525" s="1658"/>
    </row>
    <row r="2526" spans="1:17" s="1657" customFormat="1" x14ac:dyDescent="0.25">
      <c r="A2526" s="843" t="s">
        <v>765</v>
      </c>
      <c r="B2526" s="791" t="str">
        <f t="shared" ca="1" si="487"/>
        <v>K33</v>
      </c>
      <c r="C2526" s="791" t="str">
        <f t="shared" ca="1" si="488"/>
        <v>K</v>
      </c>
      <c r="D2526" s="1658" t="s">
        <v>1357</v>
      </c>
      <c r="E2526" s="791" t="s">
        <v>1358</v>
      </c>
      <c r="F2526" s="1658"/>
      <c r="G2526" s="1658"/>
      <c r="H2526" s="1658"/>
      <c r="I2526" s="1274" t="str">
        <f t="shared" si="485"/>
        <v/>
      </c>
      <c r="J2526" s="1658"/>
      <c r="K2526" s="1658" t="str">
        <f t="shared" si="486"/>
        <v/>
      </c>
      <c r="L2526" s="824" t="s">
        <v>765</v>
      </c>
      <c r="M2526" s="1658">
        <v>1419</v>
      </c>
      <c r="N2526" s="1658"/>
    </row>
    <row r="2527" spans="1:17" s="1657" customFormat="1" x14ac:dyDescent="0.25">
      <c r="A2527" s="843" t="s">
        <v>1179</v>
      </c>
      <c r="B2527" s="791" t="str">
        <f t="shared" ca="1" si="487"/>
        <v>L33</v>
      </c>
      <c r="C2527" s="791" t="str">
        <f t="shared" ca="1" si="488"/>
        <v>L</v>
      </c>
      <c r="D2527" s="1658" t="s">
        <v>1357</v>
      </c>
      <c r="E2527" s="791" t="s">
        <v>1358</v>
      </c>
      <c r="F2527" s="1658"/>
      <c r="G2527" s="1658"/>
      <c r="H2527" s="1658"/>
      <c r="I2527" s="1274" t="str">
        <f t="shared" si="485"/>
        <v/>
      </c>
      <c r="J2527" s="1658"/>
      <c r="K2527" s="1658" t="str">
        <f t="shared" si="486"/>
        <v/>
      </c>
      <c r="L2527" s="824" t="s">
        <v>1179</v>
      </c>
      <c r="M2527" s="1658">
        <v>1420</v>
      </c>
      <c r="N2527" s="1658"/>
    </row>
    <row r="2528" spans="1:17" s="1657" customFormat="1" x14ac:dyDescent="0.25">
      <c r="A2528" s="843" t="s">
        <v>1180</v>
      </c>
      <c r="B2528" s="791" t="str">
        <f t="shared" ca="1" si="487"/>
        <v>M33</v>
      </c>
      <c r="C2528" s="791" t="str">
        <f t="shared" ca="1" si="488"/>
        <v>M</v>
      </c>
      <c r="D2528" s="1658" t="s">
        <v>1357</v>
      </c>
      <c r="E2528" s="791" t="s">
        <v>1358</v>
      </c>
      <c r="F2528" s="1658"/>
      <c r="G2528" s="1658"/>
      <c r="H2528" s="1658"/>
      <c r="I2528" s="1274" t="str">
        <f t="shared" si="485"/>
        <v>Secondary or Internal Customer</v>
      </c>
      <c r="J2528" s="1658" t="str">
        <f>IF(M2528&lt;&gt;"",Q$1&amp;M2528,"")</f>
        <v>F1421</v>
      </c>
      <c r="K2528" s="1658" t="str">
        <f t="shared" si="486"/>
        <v>Required Info to Submit</v>
      </c>
      <c r="L2528" s="824" t="s">
        <v>1180</v>
      </c>
      <c r="M2528" s="1658">
        <v>1421</v>
      </c>
      <c r="N2528" s="1658"/>
    </row>
    <row r="2529" spans="1:17" s="1657" customFormat="1" x14ac:dyDescent="0.25">
      <c r="A2529" s="843" t="s">
        <v>1181</v>
      </c>
      <c r="B2529" s="791" t="str">
        <f t="shared" ca="1" si="487"/>
        <v>N33</v>
      </c>
      <c r="C2529" s="791" t="str">
        <f t="shared" ca="1" si="488"/>
        <v>N</v>
      </c>
      <c r="D2529" s="1658" t="s">
        <v>1357</v>
      </c>
      <c r="E2529" s="791" t="s">
        <v>1358</v>
      </c>
      <c r="F2529" s="1658"/>
      <c r="G2529" s="1658"/>
      <c r="H2529" s="1658"/>
      <c r="I2529" s="1274" t="str">
        <f t="shared" si="485"/>
        <v>Fuel Surcharge Applied</v>
      </c>
      <c r="J2529" s="1658" t="str">
        <f>IF(M2529&lt;&gt;"",Q$1&amp;M2529,"")</f>
        <v>F1422</v>
      </c>
      <c r="K2529" s="1658" t="str">
        <f t="shared" si="486"/>
        <v>Required Info to Submit</v>
      </c>
      <c r="L2529" s="824" t="s">
        <v>1367</v>
      </c>
      <c r="M2529" s="1658">
        <v>1422</v>
      </c>
      <c r="N2529" s="1658"/>
    </row>
    <row r="2530" spans="1:17" s="1657" customFormat="1" x14ac:dyDescent="0.25">
      <c r="A2530" s="843" t="s">
        <v>1297</v>
      </c>
      <c r="B2530" s="791" t="str">
        <f t="shared" ca="1" si="487"/>
        <v>O33</v>
      </c>
      <c r="C2530" s="791" t="str">
        <f t="shared" ca="1" si="488"/>
        <v>O</v>
      </c>
      <c r="D2530" s="1658" t="s">
        <v>1357</v>
      </c>
      <c r="E2530" s="791" t="s">
        <v>1358</v>
      </c>
      <c r="F2530" s="1658"/>
      <c r="G2530" s="1658"/>
      <c r="H2530" s="1658"/>
      <c r="I2530" s="1274" t="str">
        <f t="shared" si="485"/>
        <v>Minimum Delivery Charge Applied Flag</v>
      </c>
      <c r="J2530" s="1658" t="str">
        <f>IF(M2530&lt;&gt;"",Q$1&amp;M2530,"")</f>
        <v>F1423</v>
      </c>
      <c r="K2530" s="1658" t="str">
        <f t="shared" si="486"/>
        <v>Required Info to Submit</v>
      </c>
      <c r="L2530" s="824" t="s">
        <v>1297</v>
      </c>
      <c r="M2530" s="1658">
        <v>1423</v>
      </c>
      <c r="N2530" s="1658"/>
    </row>
    <row r="2531" spans="1:17" s="1657" customFormat="1" x14ac:dyDescent="0.25">
      <c r="A2531" s="843" t="s">
        <v>767</v>
      </c>
      <c r="B2531" s="791" t="str">
        <f t="shared" ca="1" si="487"/>
        <v>G33</v>
      </c>
      <c r="C2531" s="791" t="str">
        <f t="shared" ca="1" si="488"/>
        <v>G</v>
      </c>
      <c r="D2531" s="1658" t="s">
        <v>1357</v>
      </c>
      <c r="E2531" s="791" t="s">
        <v>1358</v>
      </c>
      <c r="F2531" s="1658"/>
      <c r="G2531" s="1658"/>
      <c r="H2531" s="1658"/>
      <c r="I2531" s="1274" t="str">
        <f t="shared" si="485"/>
        <v>Address</v>
      </c>
      <c r="J2531" s="1658" t="str">
        <f>IF(P2524="",Q$1&amp;M2531,"")</f>
        <v>F1424</v>
      </c>
      <c r="K2531" s="1658" t="str">
        <f t="shared" si="486"/>
        <v>Required Info to Submit</v>
      </c>
      <c r="L2531" s="824" t="s">
        <v>767</v>
      </c>
      <c r="M2531" s="1658">
        <v>1424</v>
      </c>
      <c r="N2531" s="1658"/>
    </row>
    <row r="2532" spans="1:17" s="1657" customFormat="1" x14ac:dyDescent="0.25">
      <c r="A2532" s="843" t="s">
        <v>768</v>
      </c>
      <c r="B2532" s="791" t="str">
        <f t="shared" ca="1" si="487"/>
        <v>H33</v>
      </c>
      <c r="C2532" s="791" t="str">
        <f t="shared" ca="1" si="488"/>
        <v>H</v>
      </c>
      <c r="D2532" s="1658" t="s">
        <v>1357</v>
      </c>
      <c r="E2532" s="791" t="s">
        <v>1358</v>
      </c>
      <c r="F2532" s="1658"/>
      <c r="G2532" s="1658"/>
      <c r="H2532" s="1658"/>
      <c r="I2532" s="1274" t="str">
        <f t="shared" si="485"/>
        <v>City</v>
      </c>
      <c r="J2532" s="1658" t="str">
        <f>IF(P2524="",Q$1&amp;M2532,"")</f>
        <v>F1425</v>
      </c>
      <c r="K2532" s="1658" t="str">
        <f t="shared" si="486"/>
        <v>Required Info to Submit</v>
      </c>
      <c r="L2532" s="824" t="s">
        <v>768</v>
      </c>
      <c r="M2532" s="1658">
        <v>1425</v>
      </c>
      <c r="N2532" s="1658"/>
    </row>
    <row r="2533" spans="1:17" s="1657" customFormat="1" x14ac:dyDescent="0.25">
      <c r="A2533" s="843" t="s">
        <v>769</v>
      </c>
      <c r="B2533" s="791" t="str">
        <f t="shared" ca="1" si="487"/>
        <v>I33</v>
      </c>
      <c r="C2533" s="791" t="str">
        <f t="shared" ca="1" si="488"/>
        <v>I</v>
      </c>
      <c r="D2533" s="1658" t="s">
        <v>1357</v>
      </c>
      <c r="E2533" s="791" t="s">
        <v>1358</v>
      </c>
      <c r="F2533" s="1658"/>
      <c r="G2533" s="1658"/>
      <c r="H2533" s="1658"/>
      <c r="I2533" s="1274" t="str">
        <f t="shared" si="485"/>
        <v>State</v>
      </c>
      <c r="J2533" s="1658" t="str">
        <f>IF(P2524="",Q$1&amp;M2533,"")</f>
        <v>F1426</v>
      </c>
      <c r="K2533" s="1658" t="str">
        <f t="shared" si="486"/>
        <v>Required Info to Submit</v>
      </c>
      <c r="L2533" s="824" t="s">
        <v>769</v>
      </c>
      <c r="M2533" s="1658">
        <v>1426</v>
      </c>
      <c r="N2533" s="1658"/>
    </row>
    <row r="2534" spans="1:17" s="1657" customFormat="1" x14ac:dyDescent="0.25">
      <c r="A2534" s="843" t="s">
        <v>204</v>
      </c>
      <c r="B2534" s="791" t="str">
        <f t="shared" ca="1" si="487"/>
        <v>J33</v>
      </c>
      <c r="C2534" s="791" t="str">
        <f t="shared" ca="1" si="488"/>
        <v>J</v>
      </c>
      <c r="D2534" s="1658" t="s">
        <v>1357</v>
      </c>
      <c r="E2534" s="791" t="s">
        <v>1358</v>
      </c>
      <c r="F2534" s="1658"/>
      <c r="G2534" s="1658"/>
      <c r="H2534" s="1658"/>
      <c r="I2534" s="1274" t="str">
        <f t="shared" si="485"/>
        <v>Zip Code</v>
      </c>
      <c r="J2534" s="1658" t="str">
        <f>IF(P2524="",Q$1&amp;M2534,"")</f>
        <v>F1427</v>
      </c>
      <c r="K2534" s="1658" t="str">
        <f t="shared" si="486"/>
        <v>Required Info to Submit</v>
      </c>
      <c r="L2534" s="824" t="s">
        <v>204</v>
      </c>
      <c r="M2534" s="1658">
        <v>1427</v>
      </c>
      <c r="N2534" s="1658"/>
    </row>
    <row r="2535" spans="1:17" s="1657" customFormat="1" x14ac:dyDescent="0.25">
      <c r="A2535" s="844" t="s">
        <v>1178</v>
      </c>
      <c r="B2535" s="791" t="str">
        <f ca="1">_xlfn.IFNA(_xlfn.CONCAT(SUBSTITUTE(ADDRESS(1,MATCH(A2535,INDIRECT("'"&amp;E2535&amp;"'"&amp;"!A22:Z22"),0),4),1,""),34),"")</f>
        <v>E34</v>
      </c>
      <c r="C2535" s="791" t="str">
        <f t="shared" ca="1" si="488"/>
        <v>E</v>
      </c>
      <c r="D2535" s="1658" t="s">
        <v>1357</v>
      </c>
      <c r="E2535" s="791" t="s">
        <v>1358</v>
      </c>
      <c r="F2535" s="1658"/>
      <c r="G2535" s="1658"/>
      <c r="H2535" s="1658"/>
      <c r="I2535" s="1274" t="str">
        <f t="shared" si="485"/>
        <v/>
      </c>
      <c r="J2535" s="1658"/>
      <c r="K2535" s="1658" t="str">
        <f t="shared" si="486"/>
        <v/>
      </c>
      <c r="L2535" s="824" t="s">
        <v>1178</v>
      </c>
      <c r="M2535" s="1658">
        <v>1428</v>
      </c>
      <c r="N2535" s="1658"/>
      <c r="P2535" s="1658" t="str">
        <f>IFERROR(VLOOKUP(Q$2535,'Existing Customers'!$A:$F,1,FALSE),"")</f>
        <v/>
      </c>
      <c r="Q2535" s="1658"/>
    </row>
    <row r="2536" spans="1:17" s="1657" customFormat="1" x14ac:dyDescent="0.25">
      <c r="A2536" s="845" t="s">
        <v>766</v>
      </c>
      <c r="B2536" s="791" t="str">
        <f t="shared" ref="B2536:B2545" ca="1" si="489">_xlfn.IFNA(_xlfn.CONCAT(SUBSTITUTE(ADDRESS(1,MATCH(A2536,INDIRECT("'"&amp;E2536&amp;"'"&amp;"!A22:Z22"),0),4),1,""),34),"")</f>
        <v>F34</v>
      </c>
      <c r="C2536" s="791" t="str">
        <f t="shared" ca="1" si="488"/>
        <v>F</v>
      </c>
      <c r="D2536" s="1658" t="s">
        <v>1357</v>
      </c>
      <c r="E2536" s="791" t="s">
        <v>1358</v>
      </c>
      <c r="F2536" s="1658"/>
      <c r="G2536" s="1658"/>
      <c r="H2536" s="1658"/>
      <c r="I2536" s="1274" t="str">
        <f t="shared" si="485"/>
        <v>Name</v>
      </c>
      <c r="J2536" s="1658" t="str">
        <f>IF(P2535="",Q$1&amp;M2536,"")</f>
        <v>F1430</v>
      </c>
      <c r="K2536" s="1658" t="str">
        <f t="shared" si="486"/>
        <v>Required Info to Submit</v>
      </c>
      <c r="L2536" s="824" t="s">
        <v>766</v>
      </c>
      <c r="M2536" s="1658">
        <v>1430</v>
      </c>
      <c r="N2536" s="1658"/>
    </row>
    <row r="2537" spans="1:17" s="1657" customFormat="1" x14ac:dyDescent="0.25">
      <c r="A2537" s="845" t="s">
        <v>765</v>
      </c>
      <c r="B2537" s="791" t="str">
        <f t="shared" ca="1" si="489"/>
        <v>K34</v>
      </c>
      <c r="C2537" s="791" t="str">
        <f t="shared" ca="1" si="488"/>
        <v>K</v>
      </c>
      <c r="D2537" s="1658" t="s">
        <v>1357</v>
      </c>
      <c r="E2537" s="791" t="s">
        <v>1358</v>
      </c>
      <c r="F2537" s="1658"/>
      <c r="G2537" s="1658"/>
      <c r="H2537" s="1658"/>
      <c r="I2537" s="1274" t="str">
        <f t="shared" si="485"/>
        <v/>
      </c>
      <c r="J2537" s="1658"/>
      <c r="K2537" s="1658" t="str">
        <f t="shared" si="486"/>
        <v/>
      </c>
      <c r="L2537" s="824" t="s">
        <v>765</v>
      </c>
      <c r="M2537" s="1658">
        <v>1440</v>
      </c>
      <c r="N2537" s="1658"/>
    </row>
    <row r="2538" spans="1:17" s="1657" customFormat="1" x14ac:dyDescent="0.25">
      <c r="A2538" s="845" t="s">
        <v>1179</v>
      </c>
      <c r="B2538" s="791" t="str">
        <f t="shared" ca="1" si="489"/>
        <v>L34</v>
      </c>
      <c r="C2538" s="791" t="str">
        <f t="shared" ca="1" si="488"/>
        <v>L</v>
      </c>
      <c r="D2538" s="1658" t="s">
        <v>1357</v>
      </c>
      <c r="E2538" s="791" t="s">
        <v>1358</v>
      </c>
      <c r="F2538" s="1658"/>
      <c r="G2538" s="1658"/>
      <c r="H2538" s="1658"/>
      <c r="I2538" s="1274" t="str">
        <f t="shared" si="485"/>
        <v/>
      </c>
      <c r="J2538" s="1658"/>
      <c r="K2538" s="1658" t="str">
        <f t="shared" si="486"/>
        <v/>
      </c>
      <c r="L2538" s="824" t="s">
        <v>1179</v>
      </c>
      <c r="M2538" s="1658">
        <v>1441</v>
      </c>
      <c r="N2538" s="1658"/>
    </row>
    <row r="2539" spans="1:17" s="1657" customFormat="1" x14ac:dyDescent="0.25">
      <c r="A2539" s="845" t="s">
        <v>1180</v>
      </c>
      <c r="B2539" s="791" t="str">
        <f t="shared" ca="1" si="489"/>
        <v>M34</v>
      </c>
      <c r="C2539" s="791" t="str">
        <f t="shared" ca="1" si="488"/>
        <v>M</v>
      </c>
      <c r="D2539" s="1658" t="s">
        <v>1357</v>
      </c>
      <c r="E2539" s="791" t="s">
        <v>1358</v>
      </c>
      <c r="F2539" s="1658"/>
      <c r="G2539" s="1658"/>
      <c r="H2539" s="1658"/>
      <c r="I2539" s="1274" t="str">
        <f t="shared" si="485"/>
        <v>Secondary or Internal Customer</v>
      </c>
      <c r="J2539" s="1658" t="str">
        <f>IF(M2539&lt;&gt;"",Q$1&amp;M2539,"")</f>
        <v>F1442</v>
      </c>
      <c r="K2539" s="1658" t="str">
        <f t="shared" si="486"/>
        <v>Required Info to Submit</v>
      </c>
      <c r="L2539" s="824" t="s">
        <v>1180</v>
      </c>
      <c r="M2539" s="1658">
        <v>1442</v>
      </c>
      <c r="N2539" s="1658"/>
    </row>
    <row r="2540" spans="1:17" s="1657" customFormat="1" x14ac:dyDescent="0.25">
      <c r="A2540" s="845" t="s">
        <v>1181</v>
      </c>
      <c r="B2540" s="791" t="str">
        <f t="shared" ca="1" si="489"/>
        <v>N34</v>
      </c>
      <c r="C2540" s="791" t="str">
        <f t="shared" ca="1" si="488"/>
        <v>N</v>
      </c>
      <c r="D2540" s="1658" t="s">
        <v>1357</v>
      </c>
      <c r="E2540" s="791" t="s">
        <v>1358</v>
      </c>
      <c r="F2540" s="1658"/>
      <c r="G2540" s="1658"/>
      <c r="H2540" s="1658"/>
      <c r="I2540" s="1274" t="str">
        <f t="shared" si="485"/>
        <v>Fuel Surcharge Applied</v>
      </c>
      <c r="J2540" s="1658" t="str">
        <f>IF(M2540&lt;&gt;"",Q$1&amp;M2540,"")</f>
        <v>F1443</v>
      </c>
      <c r="K2540" s="1658" t="str">
        <f t="shared" si="486"/>
        <v>Required Info to Submit</v>
      </c>
      <c r="L2540" s="824" t="s">
        <v>1367</v>
      </c>
      <c r="M2540" s="1658">
        <v>1443</v>
      </c>
      <c r="N2540" s="1658"/>
    </row>
    <row r="2541" spans="1:17" s="1657" customFormat="1" x14ac:dyDescent="0.25">
      <c r="A2541" s="845" t="s">
        <v>1297</v>
      </c>
      <c r="B2541" s="791" t="str">
        <f t="shared" ca="1" si="489"/>
        <v>O34</v>
      </c>
      <c r="C2541" s="791" t="str">
        <f t="shared" ca="1" si="488"/>
        <v>O</v>
      </c>
      <c r="D2541" s="1658" t="s">
        <v>1357</v>
      </c>
      <c r="E2541" s="791" t="s">
        <v>1358</v>
      </c>
      <c r="F2541" s="1658"/>
      <c r="G2541" s="1658"/>
      <c r="H2541" s="1658"/>
      <c r="I2541" s="1274" t="str">
        <f t="shared" si="485"/>
        <v>Minimum Delivery Charge Applied Flag</v>
      </c>
      <c r="J2541" s="1658" t="str">
        <f>IF(M2541&lt;&gt;"",Q$1&amp;M2541,"")</f>
        <v>F1444</v>
      </c>
      <c r="K2541" s="1658" t="str">
        <f t="shared" si="486"/>
        <v>Required Info to Submit</v>
      </c>
      <c r="L2541" s="824" t="s">
        <v>1297</v>
      </c>
      <c r="M2541" s="1658">
        <v>1444</v>
      </c>
      <c r="N2541" s="1658"/>
    </row>
    <row r="2542" spans="1:17" s="1657" customFormat="1" x14ac:dyDescent="0.25">
      <c r="A2542" s="845" t="s">
        <v>767</v>
      </c>
      <c r="B2542" s="791" t="str">
        <f t="shared" ca="1" si="489"/>
        <v>G34</v>
      </c>
      <c r="C2542" s="791" t="str">
        <f t="shared" ca="1" si="488"/>
        <v>G</v>
      </c>
      <c r="D2542" s="1658" t="s">
        <v>1357</v>
      </c>
      <c r="E2542" s="791" t="s">
        <v>1358</v>
      </c>
      <c r="F2542" s="1658"/>
      <c r="G2542" s="1658"/>
      <c r="H2542" s="1658"/>
      <c r="I2542" s="1274" t="str">
        <f t="shared" si="485"/>
        <v>Address</v>
      </c>
      <c r="J2542" s="1658" t="str">
        <f>IF(P2535="",Q$1&amp;M2542,"")</f>
        <v>F1445</v>
      </c>
      <c r="K2542" s="1658" t="str">
        <f t="shared" si="486"/>
        <v>Required Info to Submit</v>
      </c>
      <c r="L2542" s="824" t="s">
        <v>767</v>
      </c>
      <c r="M2542" s="1658">
        <v>1445</v>
      </c>
      <c r="N2542" s="1658"/>
    </row>
    <row r="2543" spans="1:17" s="1657" customFormat="1" x14ac:dyDescent="0.25">
      <c r="A2543" s="845" t="s">
        <v>768</v>
      </c>
      <c r="B2543" s="791" t="str">
        <f t="shared" ca="1" si="489"/>
        <v>H34</v>
      </c>
      <c r="C2543" s="791" t="str">
        <f t="shared" ca="1" si="488"/>
        <v>H</v>
      </c>
      <c r="D2543" s="1658" t="s">
        <v>1357</v>
      </c>
      <c r="E2543" s="791" t="s">
        <v>1358</v>
      </c>
      <c r="F2543" s="1658"/>
      <c r="G2543" s="1658"/>
      <c r="H2543" s="1658"/>
      <c r="I2543" s="1274" t="str">
        <f t="shared" si="485"/>
        <v>City</v>
      </c>
      <c r="J2543" s="1658" t="str">
        <f>IF(P2535="",Q$1&amp;M2543,"")</f>
        <v>F1446</v>
      </c>
      <c r="K2543" s="1658" t="str">
        <f t="shared" si="486"/>
        <v>Required Info to Submit</v>
      </c>
      <c r="L2543" s="824" t="s">
        <v>768</v>
      </c>
      <c r="M2543" s="1658">
        <v>1446</v>
      </c>
      <c r="N2543" s="1658"/>
    </row>
    <row r="2544" spans="1:17" s="1657" customFormat="1" x14ac:dyDescent="0.25">
      <c r="A2544" s="845" t="s">
        <v>769</v>
      </c>
      <c r="B2544" s="791" t="str">
        <f t="shared" ca="1" si="489"/>
        <v>I34</v>
      </c>
      <c r="C2544" s="791" t="str">
        <f t="shared" ca="1" si="488"/>
        <v>I</v>
      </c>
      <c r="D2544" s="1658" t="s">
        <v>1357</v>
      </c>
      <c r="E2544" s="791" t="s">
        <v>1358</v>
      </c>
      <c r="F2544" s="1658"/>
      <c r="G2544" s="1658"/>
      <c r="H2544" s="1658"/>
      <c r="I2544" s="1274" t="str">
        <f t="shared" si="485"/>
        <v>State</v>
      </c>
      <c r="J2544" s="1658" t="str">
        <f>IF(P2535="",Q$1&amp;M2544,"")</f>
        <v>F1447</v>
      </c>
      <c r="K2544" s="1658" t="str">
        <f t="shared" si="486"/>
        <v>Required Info to Submit</v>
      </c>
      <c r="L2544" s="824" t="s">
        <v>769</v>
      </c>
      <c r="M2544" s="1658">
        <v>1447</v>
      </c>
      <c r="N2544" s="1658"/>
    </row>
    <row r="2545" spans="1:17" s="1657" customFormat="1" x14ac:dyDescent="0.25">
      <c r="A2545" s="845" t="s">
        <v>204</v>
      </c>
      <c r="B2545" s="791" t="str">
        <f t="shared" ca="1" si="489"/>
        <v>J34</v>
      </c>
      <c r="C2545" s="791" t="str">
        <f t="shared" ca="1" si="488"/>
        <v>J</v>
      </c>
      <c r="D2545" s="1658" t="s">
        <v>1357</v>
      </c>
      <c r="E2545" s="791" t="s">
        <v>1358</v>
      </c>
      <c r="F2545" s="1658"/>
      <c r="G2545" s="1658"/>
      <c r="H2545" s="1658"/>
      <c r="I2545" s="1274" t="str">
        <f t="shared" si="485"/>
        <v>Zip Code</v>
      </c>
      <c r="J2545" s="1658" t="str">
        <f>IF(P2535="",Q$1&amp;M2545,"")</f>
        <v>F1448</v>
      </c>
      <c r="K2545" s="1658" t="str">
        <f t="shared" si="486"/>
        <v>Required Info to Submit</v>
      </c>
      <c r="L2545" s="824" t="s">
        <v>204</v>
      </c>
      <c r="M2545" s="1658">
        <v>1448</v>
      </c>
      <c r="N2545" s="1658"/>
    </row>
    <row r="2546" spans="1:17" s="1657" customFormat="1" x14ac:dyDescent="0.25">
      <c r="A2546" s="842" t="s">
        <v>1178</v>
      </c>
      <c r="B2546" s="791" t="str">
        <f ca="1">_xlfn.IFNA(_xlfn.CONCAT(SUBSTITUTE(ADDRESS(1,MATCH(A2546,INDIRECT("'"&amp;E2546&amp;"'"&amp;"!A22:Z22"),0),4),1,""),35),"")</f>
        <v>E35</v>
      </c>
      <c r="C2546" s="791" t="str">
        <f t="shared" ca="1" si="488"/>
        <v>E</v>
      </c>
      <c r="D2546" s="1658" t="s">
        <v>1357</v>
      </c>
      <c r="E2546" s="791" t="s">
        <v>1358</v>
      </c>
      <c r="F2546" s="1658"/>
      <c r="G2546" s="1658"/>
      <c r="H2546" s="1658"/>
      <c r="I2546" s="1274" t="str">
        <f t="shared" si="485"/>
        <v/>
      </c>
      <c r="J2546" s="1658"/>
      <c r="K2546" s="1658" t="str">
        <f t="shared" si="486"/>
        <v/>
      </c>
      <c r="L2546" s="824" t="s">
        <v>1178</v>
      </c>
      <c r="M2546" s="1658">
        <v>1449</v>
      </c>
      <c r="N2546" s="1658"/>
      <c r="P2546" s="1658" t="str">
        <f>IFERROR(VLOOKUP(Q$2546,'Existing Customers'!$A:$F,1,FALSE),"")</f>
        <v/>
      </c>
      <c r="Q2546" s="1658"/>
    </row>
    <row r="2547" spans="1:17" s="1657" customFormat="1" x14ac:dyDescent="0.25">
      <c r="A2547" s="843" t="s">
        <v>766</v>
      </c>
      <c r="B2547" s="791" t="str">
        <f t="shared" ref="B2547:B2556" ca="1" si="490">_xlfn.IFNA(_xlfn.CONCAT(SUBSTITUTE(ADDRESS(1,MATCH(A2547,INDIRECT("'"&amp;E2547&amp;"'"&amp;"!A22:Z22"),0),4),1,""),35),"")</f>
        <v>F35</v>
      </c>
      <c r="C2547" s="791" t="str">
        <f t="shared" ca="1" si="488"/>
        <v>F</v>
      </c>
      <c r="D2547" s="1658" t="s">
        <v>1357</v>
      </c>
      <c r="E2547" s="791" t="s">
        <v>1358</v>
      </c>
      <c r="F2547" s="1658"/>
      <c r="G2547" s="1658"/>
      <c r="H2547" s="1658"/>
      <c r="I2547" s="1274" t="str">
        <f t="shared" si="485"/>
        <v>Name</v>
      </c>
      <c r="J2547" s="1658" t="str">
        <f>IF(P2546="",Q$1&amp;M2547,"")</f>
        <v>F1459</v>
      </c>
      <c r="K2547" s="1658" t="str">
        <f t="shared" si="486"/>
        <v>Required Info to Submit</v>
      </c>
      <c r="L2547" s="824" t="s">
        <v>766</v>
      </c>
      <c r="M2547" s="1658">
        <v>1459</v>
      </c>
      <c r="N2547" s="1658"/>
    </row>
    <row r="2548" spans="1:17" s="1657" customFormat="1" x14ac:dyDescent="0.25">
      <c r="A2548" s="843" t="s">
        <v>765</v>
      </c>
      <c r="B2548" s="791" t="str">
        <f t="shared" ca="1" si="490"/>
        <v>K35</v>
      </c>
      <c r="C2548" s="791" t="str">
        <f t="shared" ca="1" si="488"/>
        <v>K</v>
      </c>
      <c r="D2548" s="1658" t="s">
        <v>1357</v>
      </c>
      <c r="E2548" s="791" t="s">
        <v>1358</v>
      </c>
      <c r="F2548" s="1658"/>
      <c r="G2548" s="1658"/>
      <c r="H2548" s="1658"/>
      <c r="I2548" s="1274" t="str">
        <f t="shared" si="485"/>
        <v/>
      </c>
      <c r="J2548" s="1658"/>
      <c r="K2548" s="1658" t="str">
        <f t="shared" si="486"/>
        <v/>
      </c>
      <c r="L2548" s="824" t="s">
        <v>765</v>
      </c>
      <c r="M2548" s="1658">
        <v>1461</v>
      </c>
      <c r="N2548" s="1658"/>
    </row>
    <row r="2549" spans="1:17" s="1657" customFormat="1" x14ac:dyDescent="0.25">
      <c r="A2549" s="843" t="s">
        <v>1179</v>
      </c>
      <c r="B2549" s="791" t="str">
        <f t="shared" ca="1" si="490"/>
        <v>L35</v>
      </c>
      <c r="C2549" s="791" t="str">
        <f t="shared" ca="1" si="488"/>
        <v>L</v>
      </c>
      <c r="D2549" s="1658" t="s">
        <v>1357</v>
      </c>
      <c r="E2549" s="791" t="s">
        <v>1358</v>
      </c>
      <c r="F2549" s="1658"/>
      <c r="G2549" s="1658"/>
      <c r="H2549" s="1658"/>
      <c r="I2549" s="1274" t="str">
        <f t="shared" si="485"/>
        <v/>
      </c>
      <c r="J2549" s="1658"/>
      <c r="K2549" s="1658" t="str">
        <f t="shared" si="486"/>
        <v/>
      </c>
      <c r="L2549" s="824" t="s">
        <v>1179</v>
      </c>
      <c r="M2549" s="1658">
        <v>1462</v>
      </c>
      <c r="N2549" s="1658"/>
    </row>
    <row r="2550" spans="1:17" s="1657" customFormat="1" x14ac:dyDescent="0.25">
      <c r="A2550" s="843" t="s">
        <v>1180</v>
      </c>
      <c r="B2550" s="791" t="str">
        <f t="shared" ca="1" si="490"/>
        <v>M35</v>
      </c>
      <c r="C2550" s="791" t="str">
        <f t="shared" ca="1" si="488"/>
        <v>M</v>
      </c>
      <c r="D2550" s="1658" t="s">
        <v>1357</v>
      </c>
      <c r="E2550" s="791" t="s">
        <v>1358</v>
      </c>
      <c r="F2550" s="1658"/>
      <c r="G2550" s="1658"/>
      <c r="H2550" s="1658"/>
      <c r="I2550" s="1274" t="str">
        <f t="shared" si="485"/>
        <v>Secondary or Internal Customer</v>
      </c>
      <c r="J2550" s="1658" t="str">
        <f>IF(M2550&lt;&gt;"",Q$1&amp;M2550,"")</f>
        <v>F1463</v>
      </c>
      <c r="K2550" s="1658" t="str">
        <f t="shared" si="486"/>
        <v>Required Info to Submit</v>
      </c>
      <c r="L2550" s="824" t="s">
        <v>1180</v>
      </c>
      <c r="M2550" s="1658">
        <v>1463</v>
      </c>
      <c r="N2550" s="1658"/>
    </row>
    <row r="2551" spans="1:17" s="1657" customFormat="1" x14ac:dyDescent="0.25">
      <c r="A2551" s="843" t="s">
        <v>1181</v>
      </c>
      <c r="B2551" s="791" t="str">
        <f t="shared" ca="1" si="490"/>
        <v>N35</v>
      </c>
      <c r="C2551" s="791" t="str">
        <f t="shared" ca="1" si="488"/>
        <v>N</v>
      </c>
      <c r="D2551" s="1658" t="s">
        <v>1357</v>
      </c>
      <c r="E2551" s="791" t="s">
        <v>1358</v>
      </c>
      <c r="F2551" s="1658"/>
      <c r="G2551" s="1658"/>
      <c r="H2551" s="1658"/>
      <c r="I2551" s="1274" t="str">
        <f t="shared" si="485"/>
        <v>Fuel Surcharge Applied</v>
      </c>
      <c r="J2551" s="1658" t="str">
        <f>IF(M2551&lt;&gt;"",Q$1&amp;M2551,"")</f>
        <v>F1464</v>
      </c>
      <c r="K2551" s="1658" t="str">
        <f t="shared" si="486"/>
        <v>Required Info to Submit</v>
      </c>
      <c r="L2551" s="824" t="s">
        <v>1367</v>
      </c>
      <c r="M2551" s="1658">
        <v>1464</v>
      </c>
      <c r="N2551" s="1658"/>
    </row>
    <row r="2552" spans="1:17" s="1657" customFormat="1" x14ac:dyDescent="0.25">
      <c r="A2552" s="843" t="s">
        <v>1297</v>
      </c>
      <c r="B2552" s="791" t="str">
        <f t="shared" ca="1" si="490"/>
        <v>O35</v>
      </c>
      <c r="C2552" s="791" t="str">
        <f t="shared" ca="1" si="488"/>
        <v>O</v>
      </c>
      <c r="D2552" s="1658" t="s">
        <v>1357</v>
      </c>
      <c r="E2552" s="791" t="s">
        <v>1358</v>
      </c>
      <c r="F2552" s="1658"/>
      <c r="G2552" s="1658"/>
      <c r="H2552" s="1658"/>
      <c r="I2552" s="1274" t="str">
        <f t="shared" si="485"/>
        <v>Minimum Delivery Charge Applied Flag</v>
      </c>
      <c r="J2552" s="1658" t="str">
        <f>IF(M2552&lt;&gt;"",Q$1&amp;M2552,"")</f>
        <v>F1465</v>
      </c>
      <c r="K2552" s="1658" t="str">
        <f t="shared" si="486"/>
        <v>Required Info to Submit</v>
      </c>
      <c r="L2552" s="824" t="s">
        <v>1297</v>
      </c>
      <c r="M2552" s="1658">
        <v>1465</v>
      </c>
      <c r="N2552" s="1658"/>
    </row>
    <row r="2553" spans="1:17" s="1657" customFormat="1" x14ac:dyDescent="0.25">
      <c r="A2553" s="843" t="s">
        <v>767</v>
      </c>
      <c r="B2553" s="791" t="str">
        <f t="shared" ca="1" si="490"/>
        <v>G35</v>
      </c>
      <c r="C2553" s="791" t="str">
        <f t="shared" ca="1" si="488"/>
        <v>G</v>
      </c>
      <c r="D2553" s="1658" t="s">
        <v>1357</v>
      </c>
      <c r="E2553" s="791" t="s">
        <v>1358</v>
      </c>
      <c r="F2553" s="1658"/>
      <c r="G2553" s="1658"/>
      <c r="H2553" s="1658"/>
      <c r="I2553" s="1274" t="str">
        <f t="shared" si="485"/>
        <v>Address</v>
      </c>
      <c r="J2553" s="1658" t="str">
        <f>IF(P2546="",Q$1&amp;M2553,"")</f>
        <v>F1466</v>
      </c>
      <c r="K2553" s="1658" t="str">
        <f t="shared" si="486"/>
        <v>Required Info to Submit</v>
      </c>
      <c r="L2553" s="824" t="s">
        <v>767</v>
      </c>
      <c r="M2553" s="1658">
        <v>1466</v>
      </c>
      <c r="N2553" s="1658"/>
    </row>
    <row r="2554" spans="1:17" s="1657" customFormat="1" x14ac:dyDescent="0.25">
      <c r="A2554" s="843" t="s">
        <v>768</v>
      </c>
      <c r="B2554" s="791" t="str">
        <f t="shared" ca="1" si="490"/>
        <v>H35</v>
      </c>
      <c r="C2554" s="791" t="str">
        <f t="shared" ca="1" si="488"/>
        <v>H</v>
      </c>
      <c r="D2554" s="1658" t="s">
        <v>1357</v>
      </c>
      <c r="E2554" s="791" t="s">
        <v>1358</v>
      </c>
      <c r="F2554" s="1658"/>
      <c r="G2554" s="1658"/>
      <c r="H2554" s="1658"/>
      <c r="I2554" s="1274" t="str">
        <f t="shared" si="485"/>
        <v>City</v>
      </c>
      <c r="J2554" s="1658" t="str">
        <f>IF(P2546="",Q$1&amp;M2554,"")</f>
        <v>F1467</v>
      </c>
      <c r="K2554" s="1658" t="str">
        <f t="shared" si="486"/>
        <v>Required Info to Submit</v>
      </c>
      <c r="L2554" s="824" t="s">
        <v>768</v>
      </c>
      <c r="M2554" s="1658">
        <v>1467</v>
      </c>
      <c r="N2554" s="1658"/>
    </row>
    <row r="2555" spans="1:17" s="1657" customFormat="1" x14ac:dyDescent="0.25">
      <c r="A2555" s="843" t="s">
        <v>769</v>
      </c>
      <c r="B2555" s="791" t="str">
        <f t="shared" ca="1" si="490"/>
        <v>I35</v>
      </c>
      <c r="C2555" s="791" t="str">
        <f t="shared" ca="1" si="488"/>
        <v>I</v>
      </c>
      <c r="D2555" s="1658" t="s">
        <v>1357</v>
      </c>
      <c r="E2555" s="791" t="s">
        <v>1358</v>
      </c>
      <c r="F2555" s="1658"/>
      <c r="G2555" s="1658"/>
      <c r="H2555" s="1658"/>
      <c r="I2555" s="1274" t="str">
        <f t="shared" si="485"/>
        <v>State</v>
      </c>
      <c r="J2555" s="1658" t="str">
        <f>IF(P2546="",Q$1&amp;M2555,"")</f>
        <v>F1468</v>
      </c>
      <c r="K2555" s="1658" t="str">
        <f t="shared" si="486"/>
        <v>Required Info to Submit</v>
      </c>
      <c r="L2555" s="824" t="s">
        <v>769</v>
      </c>
      <c r="M2555" s="1658">
        <v>1468</v>
      </c>
      <c r="N2555" s="1658"/>
    </row>
    <row r="2556" spans="1:17" s="1657" customFormat="1" x14ac:dyDescent="0.25">
      <c r="A2556" s="843" t="s">
        <v>204</v>
      </c>
      <c r="B2556" s="791" t="str">
        <f t="shared" ca="1" si="490"/>
        <v>J35</v>
      </c>
      <c r="C2556" s="791" t="str">
        <f t="shared" ca="1" si="488"/>
        <v>J</v>
      </c>
      <c r="D2556" s="1658" t="s">
        <v>1357</v>
      </c>
      <c r="E2556" s="791" t="s">
        <v>1358</v>
      </c>
      <c r="F2556" s="1658"/>
      <c r="G2556" s="1658"/>
      <c r="H2556" s="1658"/>
      <c r="I2556" s="1274" t="str">
        <f t="shared" si="485"/>
        <v>Zip Code</v>
      </c>
      <c r="J2556" s="1658" t="str">
        <f>IF(P2546="",Q$1&amp;M2556,"")</f>
        <v>F1469</v>
      </c>
      <c r="K2556" s="1658" t="str">
        <f t="shared" si="486"/>
        <v>Required Info to Submit</v>
      </c>
      <c r="L2556" s="824" t="s">
        <v>204</v>
      </c>
      <c r="M2556" s="1658">
        <v>1469</v>
      </c>
      <c r="N2556" s="1658"/>
    </row>
    <row r="2557" spans="1:17" s="1657" customFormat="1" x14ac:dyDescent="0.25">
      <c r="A2557" s="844" t="s">
        <v>1178</v>
      </c>
      <c r="B2557" s="791" t="str">
        <f ca="1">_xlfn.IFNA(_xlfn.CONCAT(SUBSTITUTE(ADDRESS(1,MATCH(A2557,INDIRECT("'"&amp;E2557&amp;"'"&amp;"!A22:Z22"),0),4),1,""),36),"")</f>
        <v>E36</v>
      </c>
      <c r="C2557" s="791" t="str">
        <f t="shared" ca="1" si="488"/>
        <v>E</v>
      </c>
      <c r="D2557" s="1658" t="s">
        <v>1357</v>
      </c>
      <c r="E2557" s="791" t="s">
        <v>1358</v>
      </c>
      <c r="F2557" s="1658"/>
      <c r="G2557" s="1658"/>
      <c r="H2557" s="1658"/>
      <c r="I2557" s="1274" t="str">
        <f t="shared" si="485"/>
        <v/>
      </c>
      <c r="J2557" s="1658"/>
      <c r="K2557" s="1658" t="str">
        <f t="shared" si="486"/>
        <v/>
      </c>
      <c r="L2557" s="824" t="s">
        <v>1178</v>
      </c>
      <c r="M2557" s="1658">
        <v>1470</v>
      </c>
      <c r="N2557" s="1658"/>
      <c r="P2557" s="1658" t="str">
        <f>IFERROR(VLOOKUP(Q$2557,'Existing Customers'!$A:$F,1,FALSE),"")</f>
        <v/>
      </c>
      <c r="Q2557" s="1658"/>
    </row>
    <row r="2558" spans="1:17" s="1657" customFormat="1" x14ac:dyDescent="0.25">
      <c r="A2558" s="845" t="s">
        <v>766</v>
      </c>
      <c r="B2558" s="791" t="str">
        <f t="shared" ref="B2558:B2567" ca="1" si="491">_xlfn.IFNA(_xlfn.CONCAT(SUBSTITUTE(ADDRESS(1,MATCH(A2558,INDIRECT("'"&amp;E2558&amp;"'"&amp;"!A22:Z22"),0),4),1,""),36),"")</f>
        <v>F36</v>
      </c>
      <c r="C2558" s="791" t="str">
        <f t="shared" ca="1" si="488"/>
        <v>F</v>
      </c>
      <c r="D2558" s="1658" t="s">
        <v>1357</v>
      </c>
      <c r="E2558" s="791" t="s">
        <v>1358</v>
      </c>
      <c r="F2558" s="1658"/>
      <c r="G2558" s="1658"/>
      <c r="H2558" s="1658"/>
      <c r="I2558" s="1274" t="str">
        <f t="shared" si="485"/>
        <v>Name</v>
      </c>
      <c r="J2558" s="1658" t="str">
        <f>IF(P2557="",Q$1&amp;M2558,"")</f>
        <v>F1472</v>
      </c>
      <c r="K2558" s="1658" t="str">
        <f t="shared" si="486"/>
        <v>Required Info to Submit</v>
      </c>
      <c r="L2558" s="824" t="s">
        <v>766</v>
      </c>
      <c r="M2558" s="1658">
        <v>1472</v>
      </c>
      <c r="N2558" s="1658"/>
    </row>
    <row r="2559" spans="1:17" s="1657" customFormat="1" x14ac:dyDescent="0.25">
      <c r="A2559" s="845" t="s">
        <v>765</v>
      </c>
      <c r="B2559" s="791" t="str">
        <f t="shared" ca="1" si="491"/>
        <v>K36</v>
      </c>
      <c r="C2559" s="791" t="str">
        <f t="shared" ca="1" si="488"/>
        <v>K</v>
      </c>
      <c r="D2559" s="1658" t="s">
        <v>1357</v>
      </c>
      <c r="E2559" s="791" t="s">
        <v>1358</v>
      </c>
      <c r="F2559" s="1658"/>
      <c r="G2559" s="1658"/>
      <c r="H2559" s="1658"/>
      <c r="I2559" s="1274" t="str">
        <f t="shared" si="485"/>
        <v/>
      </c>
      <c r="J2559" s="1658"/>
      <c r="K2559" s="1658" t="str">
        <f t="shared" si="486"/>
        <v/>
      </c>
      <c r="L2559" s="824" t="s">
        <v>765</v>
      </c>
      <c r="M2559" s="1658">
        <v>1482</v>
      </c>
      <c r="N2559" s="1658"/>
    </row>
    <row r="2560" spans="1:17" s="1657" customFormat="1" x14ac:dyDescent="0.25">
      <c r="A2560" s="845" t="s">
        <v>1179</v>
      </c>
      <c r="B2560" s="791" t="str">
        <f t="shared" ca="1" si="491"/>
        <v>L36</v>
      </c>
      <c r="C2560" s="791" t="str">
        <f t="shared" ca="1" si="488"/>
        <v>L</v>
      </c>
      <c r="D2560" s="1658" t="s">
        <v>1357</v>
      </c>
      <c r="E2560" s="791" t="s">
        <v>1358</v>
      </c>
      <c r="F2560" s="1658"/>
      <c r="G2560" s="1658"/>
      <c r="H2560" s="1658"/>
      <c r="I2560" s="1274" t="str">
        <f t="shared" si="485"/>
        <v/>
      </c>
      <c r="J2560" s="1658"/>
      <c r="K2560" s="1658" t="str">
        <f t="shared" si="486"/>
        <v/>
      </c>
      <c r="L2560" s="824" t="s">
        <v>1179</v>
      </c>
      <c r="M2560" s="1658">
        <v>1483</v>
      </c>
      <c r="N2560" s="1658"/>
    </row>
    <row r="2561" spans="1:17" s="1657" customFormat="1" x14ac:dyDescent="0.25">
      <c r="A2561" s="845" t="s">
        <v>1180</v>
      </c>
      <c r="B2561" s="791" t="str">
        <f t="shared" ca="1" si="491"/>
        <v>M36</v>
      </c>
      <c r="C2561" s="791" t="str">
        <f t="shared" ca="1" si="488"/>
        <v>M</v>
      </c>
      <c r="D2561" s="1658" t="s">
        <v>1357</v>
      </c>
      <c r="E2561" s="791" t="s">
        <v>1358</v>
      </c>
      <c r="F2561" s="1658"/>
      <c r="G2561" s="1658"/>
      <c r="H2561" s="1658"/>
      <c r="I2561" s="1274" t="str">
        <f t="shared" si="485"/>
        <v>Secondary or Internal Customer</v>
      </c>
      <c r="J2561" s="1658" t="str">
        <f>IF(M2561&lt;&gt;"",Q$1&amp;M2561,"")</f>
        <v>F1484</v>
      </c>
      <c r="K2561" s="1658" t="str">
        <f t="shared" si="486"/>
        <v>Required Info to Submit</v>
      </c>
      <c r="L2561" s="824" t="s">
        <v>1180</v>
      </c>
      <c r="M2561" s="1658">
        <v>1484</v>
      </c>
      <c r="N2561" s="1658"/>
    </row>
    <row r="2562" spans="1:17" s="1657" customFormat="1" x14ac:dyDescent="0.25">
      <c r="A2562" s="845" t="s">
        <v>1181</v>
      </c>
      <c r="B2562" s="791" t="str">
        <f t="shared" ca="1" si="491"/>
        <v>N36</v>
      </c>
      <c r="C2562" s="791" t="str">
        <f t="shared" ca="1" si="488"/>
        <v>N</v>
      </c>
      <c r="D2562" s="1658" t="s">
        <v>1357</v>
      </c>
      <c r="E2562" s="791" t="s">
        <v>1358</v>
      </c>
      <c r="F2562" s="1658"/>
      <c r="G2562" s="1658"/>
      <c r="H2562" s="1658"/>
      <c r="I2562" s="1274" t="str">
        <f t="shared" si="485"/>
        <v>Fuel Surcharge Applied</v>
      </c>
      <c r="J2562" s="1658" t="str">
        <f>IF(M2562&lt;&gt;"",Q$1&amp;M2562,"")</f>
        <v>F1485</v>
      </c>
      <c r="K2562" s="1658" t="str">
        <f t="shared" si="486"/>
        <v>Required Info to Submit</v>
      </c>
      <c r="L2562" s="824" t="s">
        <v>1367</v>
      </c>
      <c r="M2562" s="1658">
        <v>1485</v>
      </c>
      <c r="N2562" s="1658"/>
    </row>
    <row r="2563" spans="1:17" s="1657" customFormat="1" x14ac:dyDescent="0.25">
      <c r="A2563" s="845" t="s">
        <v>1297</v>
      </c>
      <c r="B2563" s="791" t="str">
        <f t="shared" ca="1" si="491"/>
        <v>O36</v>
      </c>
      <c r="C2563" s="791" t="str">
        <f t="shared" ca="1" si="488"/>
        <v>O</v>
      </c>
      <c r="D2563" s="1658" t="s">
        <v>1357</v>
      </c>
      <c r="E2563" s="791" t="s">
        <v>1358</v>
      </c>
      <c r="F2563" s="1658"/>
      <c r="G2563" s="1658"/>
      <c r="H2563" s="1658"/>
      <c r="I2563" s="1274" t="str">
        <f t="shared" si="485"/>
        <v>Minimum Delivery Charge Applied Flag</v>
      </c>
      <c r="J2563" s="1658" t="str">
        <f>IF(M2563&lt;&gt;"",Q$1&amp;M2563,"")</f>
        <v>F1486</v>
      </c>
      <c r="K2563" s="1658" t="str">
        <f t="shared" si="486"/>
        <v>Required Info to Submit</v>
      </c>
      <c r="L2563" s="824" t="s">
        <v>1297</v>
      </c>
      <c r="M2563" s="1658">
        <v>1486</v>
      </c>
      <c r="N2563" s="1658"/>
    </row>
    <row r="2564" spans="1:17" s="1657" customFormat="1" x14ac:dyDescent="0.25">
      <c r="A2564" s="845" t="s">
        <v>767</v>
      </c>
      <c r="B2564" s="791" t="str">
        <f t="shared" ca="1" si="491"/>
        <v>G36</v>
      </c>
      <c r="C2564" s="791" t="str">
        <f t="shared" ca="1" si="488"/>
        <v>G</v>
      </c>
      <c r="D2564" s="1658" t="s">
        <v>1357</v>
      </c>
      <c r="E2564" s="791" t="s">
        <v>1358</v>
      </c>
      <c r="F2564" s="1658"/>
      <c r="G2564" s="1658"/>
      <c r="H2564" s="1658"/>
      <c r="I2564" s="1274" t="str">
        <f t="shared" si="485"/>
        <v>Address</v>
      </c>
      <c r="J2564" s="1658" t="str">
        <f>IF(P2557="",Q$1&amp;M2564,"")</f>
        <v>F1487</v>
      </c>
      <c r="K2564" s="1658" t="str">
        <f t="shared" si="486"/>
        <v>Required Info to Submit</v>
      </c>
      <c r="L2564" s="824" t="s">
        <v>767</v>
      </c>
      <c r="M2564" s="1658">
        <v>1487</v>
      </c>
      <c r="N2564" s="1658"/>
    </row>
    <row r="2565" spans="1:17" s="1657" customFormat="1" x14ac:dyDescent="0.25">
      <c r="A2565" s="845" t="s">
        <v>768</v>
      </c>
      <c r="B2565" s="791" t="str">
        <f t="shared" ca="1" si="491"/>
        <v>H36</v>
      </c>
      <c r="C2565" s="791" t="str">
        <f t="shared" ca="1" si="488"/>
        <v>H</v>
      </c>
      <c r="D2565" s="1658" t="s">
        <v>1357</v>
      </c>
      <c r="E2565" s="791" t="s">
        <v>1358</v>
      </c>
      <c r="F2565" s="1658"/>
      <c r="G2565" s="1658"/>
      <c r="H2565" s="1658"/>
      <c r="I2565" s="1274" t="str">
        <f t="shared" si="485"/>
        <v>City</v>
      </c>
      <c r="J2565" s="1658" t="str">
        <f>IF(P2557="",Q$1&amp;M2565,"")</f>
        <v>F1488</v>
      </c>
      <c r="K2565" s="1658" t="str">
        <f t="shared" si="486"/>
        <v>Required Info to Submit</v>
      </c>
      <c r="L2565" s="824" t="s">
        <v>768</v>
      </c>
      <c r="M2565" s="1658">
        <v>1488</v>
      </c>
      <c r="N2565" s="1658"/>
    </row>
    <row r="2566" spans="1:17" s="1657" customFormat="1" x14ac:dyDescent="0.25">
      <c r="A2566" s="845" t="s">
        <v>769</v>
      </c>
      <c r="B2566" s="791" t="str">
        <f t="shared" ca="1" si="491"/>
        <v>I36</v>
      </c>
      <c r="C2566" s="791" t="str">
        <f t="shared" ca="1" si="488"/>
        <v>I</v>
      </c>
      <c r="D2566" s="1658" t="s">
        <v>1357</v>
      </c>
      <c r="E2566" s="791" t="s">
        <v>1358</v>
      </c>
      <c r="F2566" s="1658"/>
      <c r="G2566" s="1658"/>
      <c r="H2566" s="1658"/>
      <c r="I2566" s="1274" t="str">
        <f t="shared" si="485"/>
        <v>State</v>
      </c>
      <c r="J2566" s="1658" t="str">
        <f>IF(P2557="",Q$1&amp;M2566,"")</f>
        <v>F1489</v>
      </c>
      <c r="K2566" s="1658" t="str">
        <f t="shared" si="486"/>
        <v>Required Info to Submit</v>
      </c>
      <c r="L2566" s="824" t="s">
        <v>769</v>
      </c>
      <c r="M2566" s="1658">
        <v>1489</v>
      </c>
      <c r="N2566" s="1658"/>
    </row>
    <row r="2567" spans="1:17" s="1657" customFormat="1" x14ac:dyDescent="0.25">
      <c r="A2567" s="845" t="s">
        <v>204</v>
      </c>
      <c r="B2567" s="791" t="str">
        <f t="shared" ca="1" si="491"/>
        <v>J36</v>
      </c>
      <c r="C2567" s="791" t="str">
        <f t="shared" ca="1" si="488"/>
        <v>J</v>
      </c>
      <c r="D2567" s="1658" t="s">
        <v>1357</v>
      </c>
      <c r="E2567" s="791" t="s">
        <v>1358</v>
      </c>
      <c r="F2567" s="1658"/>
      <c r="G2567" s="1658"/>
      <c r="H2567" s="1658"/>
      <c r="I2567" s="1274" t="str">
        <f t="shared" si="485"/>
        <v>Zip Code</v>
      </c>
      <c r="J2567" s="1658" t="str">
        <f>IF(P2557="",Q$1&amp;M2567,"")</f>
        <v>F1490</v>
      </c>
      <c r="K2567" s="1658" t="str">
        <f t="shared" si="486"/>
        <v>Required Info to Submit</v>
      </c>
      <c r="L2567" s="824" t="s">
        <v>204</v>
      </c>
      <c r="M2567" s="1658">
        <v>1490</v>
      </c>
      <c r="N2567" s="1658"/>
    </row>
    <row r="2568" spans="1:17" s="1657" customFormat="1" x14ac:dyDescent="0.25">
      <c r="A2568" s="842" t="s">
        <v>1178</v>
      </c>
      <c r="B2568" s="791" t="str">
        <f ca="1">_xlfn.IFNA(_xlfn.CONCAT(SUBSTITUTE(ADDRESS(1,MATCH(A2568,INDIRECT("'"&amp;E2568&amp;"'"&amp;"!A22:Z22"),0),4),1,""),37),"")</f>
        <v>E37</v>
      </c>
      <c r="C2568" s="791" t="str">
        <f t="shared" ca="1" si="488"/>
        <v>E</v>
      </c>
      <c r="D2568" s="1658" t="s">
        <v>1357</v>
      </c>
      <c r="E2568" s="791" t="s">
        <v>1358</v>
      </c>
      <c r="F2568" s="1658"/>
      <c r="G2568" s="1658"/>
      <c r="H2568" s="1658"/>
      <c r="I2568" s="1274" t="str">
        <f t="shared" si="485"/>
        <v/>
      </c>
      <c r="J2568" s="1658"/>
      <c r="K2568" s="1658" t="str">
        <f t="shared" si="486"/>
        <v/>
      </c>
      <c r="L2568" s="824" t="s">
        <v>1178</v>
      </c>
      <c r="M2568" s="1658">
        <v>1491</v>
      </c>
      <c r="N2568" s="1658"/>
      <c r="P2568" s="1658" t="str">
        <f>IFERROR(VLOOKUP(Q$2568,'Existing Customers'!$A:$F,1,FALSE),"")</f>
        <v/>
      </c>
      <c r="Q2568" s="1658"/>
    </row>
    <row r="2569" spans="1:17" s="1657" customFormat="1" x14ac:dyDescent="0.25">
      <c r="A2569" s="843" t="s">
        <v>766</v>
      </c>
      <c r="B2569" s="791" t="str">
        <f t="shared" ref="B2569:B2578" ca="1" si="492">_xlfn.IFNA(_xlfn.CONCAT(SUBSTITUTE(ADDRESS(1,MATCH(A2569,INDIRECT("'"&amp;E2569&amp;"'"&amp;"!A22:Z22"),0),4),1,""),37),"")</f>
        <v>F37</v>
      </c>
      <c r="C2569" s="791" t="str">
        <f t="shared" ca="1" si="488"/>
        <v>F</v>
      </c>
      <c r="D2569" s="1658" t="s">
        <v>1357</v>
      </c>
      <c r="E2569" s="791" t="s">
        <v>1358</v>
      </c>
      <c r="F2569" s="1658"/>
      <c r="G2569" s="1658"/>
      <c r="H2569" s="1658"/>
      <c r="I2569" s="1274" t="str">
        <f t="shared" si="485"/>
        <v>Name</v>
      </c>
      <c r="J2569" s="1658" t="str">
        <f>IF(P2568="",Q$1&amp;M2569,"")</f>
        <v>F1493</v>
      </c>
      <c r="K2569" s="1658" t="str">
        <f t="shared" si="486"/>
        <v>Required Info to Submit</v>
      </c>
      <c r="L2569" s="824" t="s">
        <v>766</v>
      </c>
      <c r="M2569" s="1658">
        <v>1493</v>
      </c>
      <c r="N2569" s="1658"/>
    </row>
    <row r="2570" spans="1:17" s="1657" customFormat="1" x14ac:dyDescent="0.25">
      <c r="A2570" s="843" t="s">
        <v>765</v>
      </c>
      <c r="B2570" s="791" t="str">
        <f t="shared" ca="1" si="492"/>
        <v>K37</v>
      </c>
      <c r="C2570" s="791" t="str">
        <f t="shared" ca="1" si="488"/>
        <v>K</v>
      </c>
      <c r="D2570" s="1658" t="s">
        <v>1357</v>
      </c>
      <c r="E2570" s="791" t="s">
        <v>1358</v>
      </c>
      <c r="F2570" s="1658"/>
      <c r="G2570" s="1658"/>
      <c r="H2570" s="1658"/>
      <c r="I2570" s="1274" t="str">
        <f t="shared" si="485"/>
        <v/>
      </c>
      <c r="J2570" s="1658"/>
      <c r="K2570" s="1658" t="str">
        <f t="shared" si="486"/>
        <v/>
      </c>
      <c r="L2570" s="824" t="s">
        <v>765</v>
      </c>
      <c r="M2570" s="1658">
        <v>1503</v>
      </c>
      <c r="N2570" s="1658"/>
    </row>
    <row r="2571" spans="1:17" s="1657" customFormat="1" x14ac:dyDescent="0.25">
      <c r="A2571" s="843" t="s">
        <v>1179</v>
      </c>
      <c r="B2571" s="791" t="str">
        <f t="shared" ca="1" si="492"/>
        <v>L37</v>
      </c>
      <c r="C2571" s="791" t="str">
        <f t="shared" ca="1" si="488"/>
        <v>L</v>
      </c>
      <c r="D2571" s="1658" t="s">
        <v>1357</v>
      </c>
      <c r="E2571" s="791" t="s">
        <v>1358</v>
      </c>
      <c r="F2571" s="1658"/>
      <c r="G2571" s="1658"/>
      <c r="H2571" s="1658"/>
      <c r="I2571" s="1274" t="str">
        <f t="shared" si="485"/>
        <v/>
      </c>
      <c r="J2571" s="1658"/>
      <c r="K2571" s="1658" t="str">
        <f t="shared" si="486"/>
        <v/>
      </c>
      <c r="L2571" s="824" t="s">
        <v>1179</v>
      </c>
      <c r="M2571" s="1658">
        <v>1504</v>
      </c>
      <c r="N2571" s="1658"/>
    </row>
    <row r="2572" spans="1:17" s="1657" customFormat="1" x14ac:dyDescent="0.25">
      <c r="A2572" s="843" t="s">
        <v>1180</v>
      </c>
      <c r="B2572" s="791" t="str">
        <f t="shared" ca="1" si="492"/>
        <v>M37</v>
      </c>
      <c r="C2572" s="791" t="str">
        <f t="shared" ca="1" si="488"/>
        <v>M</v>
      </c>
      <c r="D2572" s="1658" t="s">
        <v>1357</v>
      </c>
      <c r="E2572" s="791" t="s">
        <v>1358</v>
      </c>
      <c r="F2572" s="1658"/>
      <c r="G2572" s="1658"/>
      <c r="H2572" s="1658"/>
      <c r="I2572" s="1274" t="str">
        <f t="shared" ref="I2572:I2633" si="493">IF(J2572&lt;&gt;"",A2572,"")</f>
        <v>Secondary or Internal Customer</v>
      </c>
      <c r="J2572" s="1658" t="str">
        <f>IF(M2572&lt;&gt;"",Q$1&amp;M2572,"")</f>
        <v>F1505</v>
      </c>
      <c r="K2572" s="1658" t="str">
        <f t="shared" ref="K2572:K2633" si="494">IF(J2572&lt;&gt;"",E2572,"")</f>
        <v>Required Info to Submit</v>
      </c>
      <c r="L2572" s="824" t="s">
        <v>1180</v>
      </c>
      <c r="M2572" s="1658">
        <v>1505</v>
      </c>
      <c r="N2572" s="1658"/>
    </row>
    <row r="2573" spans="1:17" s="1657" customFormat="1" x14ac:dyDescent="0.25">
      <c r="A2573" s="843" t="s">
        <v>1181</v>
      </c>
      <c r="B2573" s="791" t="str">
        <f t="shared" ca="1" si="492"/>
        <v>N37</v>
      </c>
      <c r="C2573" s="791" t="str">
        <f t="shared" ca="1" si="488"/>
        <v>N</v>
      </c>
      <c r="D2573" s="1658" t="s">
        <v>1357</v>
      </c>
      <c r="E2573" s="791" t="s">
        <v>1358</v>
      </c>
      <c r="F2573" s="1658"/>
      <c r="G2573" s="1658"/>
      <c r="H2573" s="1658"/>
      <c r="I2573" s="1274" t="str">
        <f t="shared" si="493"/>
        <v>Fuel Surcharge Applied</v>
      </c>
      <c r="J2573" s="1658" t="str">
        <f>IF(M2573&lt;&gt;"",Q$1&amp;M2573,"")</f>
        <v>F1506</v>
      </c>
      <c r="K2573" s="1658" t="str">
        <f t="shared" si="494"/>
        <v>Required Info to Submit</v>
      </c>
      <c r="L2573" s="824" t="s">
        <v>1367</v>
      </c>
      <c r="M2573" s="1658">
        <v>1506</v>
      </c>
      <c r="N2573" s="1658"/>
    </row>
    <row r="2574" spans="1:17" s="1657" customFormat="1" x14ac:dyDescent="0.25">
      <c r="A2574" s="843" t="s">
        <v>1297</v>
      </c>
      <c r="B2574" s="791" t="str">
        <f t="shared" ca="1" si="492"/>
        <v>O37</v>
      </c>
      <c r="C2574" s="791" t="str">
        <f t="shared" ca="1" si="488"/>
        <v>O</v>
      </c>
      <c r="D2574" s="1658" t="s">
        <v>1357</v>
      </c>
      <c r="E2574" s="791" t="s">
        <v>1358</v>
      </c>
      <c r="F2574" s="1658"/>
      <c r="G2574" s="1658"/>
      <c r="H2574" s="1658"/>
      <c r="I2574" s="1274" t="str">
        <f t="shared" si="493"/>
        <v>Minimum Delivery Charge Applied Flag</v>
      </c>
      <c r="J2574" s="1658" t="str">
        <f>IF(M2574&lt;&gt;"",Q$1&amp;M2574,"")</f>
        <v>F1507</v>
      </c>
      <c r="K2574" s="1658" t="str">
        <f t="shared" si="494"/>
        <v>Required Info to Submit</v>
      </c>
      <c r="L2574" s="824" t="s">
        <v>1297</v>
      </c>
      <c r="M2574" s="1658">
        <v>1507</v>
      </c>
      <c r="N2574" s="1658"/>
    </row>
    <row r="2575" spans="1:17" s="1657" customFormat="1" x14ac:dyDescent="0.25">
      <c r="A2575" s="843" t="s">
        <v>767</v>
      </c>
      <c r="B2575" s="791" t="str">
        <f t="shared" ca="1" si="492"/>
        <v>G37</v>
      </c>
      <c r="C2575" s="791" t="str">
        <f t="shared" ca="1" si="488"/>
        <v>G</v>
      </c>
      <c r="D2575" s="1658" t="s">
        <v>1357</v>
      </c>
      <c r="E2575" s="791" t="s">
        <v>1358</v>
      </c>
      <c r="F2575" s="1658"/>
      <c r="G2575" s="1658"/>
      <c r="H2575" s="1658"/>
      <c r="I2575" s="1274" t="str">
        <f t="shared" si="493"/>
        <v>Address</v>
      </c>
      <c r="J2575" s="1658" t="str">
        <f>IF(P2568="",Q$1&amp;M2575,"")</f>
        <v>F1508</v>
      </c>
      <c r="K2575" s="1658" t="str">
        <f t="shared" si="494"/>
        <v>Required Info to Submit</v>
      </c>
      <c r="L2575" s="824" t="s">
        <v>767</v>
      </c>
      <c r="M2575" s="1658">
        <v>1508</v>
      </c>
      <c r="N2575" s="1658"/>
    </row>
    <row r="2576" spans="1:17" s="1657" customFormat="1" x14ac:dyDescent="0.25">
      <c r="A2576" s="843" t="s">
        <v>768</v>
      </c>
      <c r="B2576" s="791" t="str">
        <f t="shared" ca="1" si="492"/>
        <v>H37</v>
      </c>
      <c r="C2576" s="791" t="str">
        <f t="shared" ca="1" si="488"/>
        <v>H</v>
      </c>
      <c r="D2576" s="1658" t="s">
        <v>1357</v>
      </c>
      <c r="E2576" s="791" t="s">
        <v>1358</v>
      </c>
      <c r="F2576" s="1658"/>
      <c r="G2576" s="1658"/>
      <c r="H2576" s="1658"/>
      <c r="I2576" s="1274" t="str">
        <f t="shared" si="493"/>
        <v>City</v>
      </c>
      <c r="J2576" s="1658" t="str">
        <f>IF(P2568="",Q$1&amp;M2576,"")</f>
        <v>F1509</v>
      </c>
      <c r="K2576" s="1658" t="str">
        <f t="shared" si="494"/>
        <v>Required Info to Submit</v>
      </c>
      <c r="L2576" s="824" t="s">
        <v>768</v>
      </c>
      <c r="M2576" s="1658">
        <v>1509</v>
      </c>
      <c r="N2576" s="1658"/>
    </row>
    <row r="2577" spans="1:17" s="1657" customFormat="1" x14ac:dyDescent="0.25">
      <c r="A2577" s="843" t="s">
        <v>769</v>
      </c>
      <c r="B2577" s="791" t="str">
        <f t="shared" ca="1" si="492"/>
        <v>I37</v>
      </c>
      <c r="C2577" s="791" t="str">
        <f t="shared" ca="1" si="488"/>
        <v>I</v>
      </c>
      <c r="D2577" s="1658" t="s">
        <v>1357</v>
      </c>
      <c r="E2577" s="791" t="s">
        <v>1358</v>
      </c>
      <c r="F2577" s="1658"/>
      <c r="G2577" s="1658"/>
      <c r="H2577" s="1658"/>
      <c r="I2577" s="1274" t="str">
        <f t="shared" si="493"/>
        <v>State</v>
      </c>
      <c r="J2577" s="1658" t="str">
        <f>IF(P2568="",Q$1&amp;M2577,"")</f>
        <v>F1510</v>
      </c>
      <c r="K2577" s="1658" t="str">
        <f t="shared" si="494"/>
        <v>Required Info to Submit</v>
      </c>
      <c r="L2577" s="824" t="s">
        <v>769</v>
      </c>
      <c r="M2577" s="1658">
        <v>1510</v>
      </c>
      <c r="N2577" s="1658"/>
    </row>
    <row r="2578" spans="1:17" s="1657" customFormat="1" x14ac:dyDescent="0.25">
      <c r="A2578" s="843" t="s">
        <v>204</v>
      </c>
      <c r="B2578" s="791" t="str">
        <f t="shared" ca="1" si="492"/>
        <v>J37</v>
      </c>
      <c r="C2578" s="791" t="str">
        <f t="shared" ca="1" si="488"/>
        <v>J</v>
      </c>
      <c r="D2578" s="1658" t="s">
        <v>1357</v>
      </c>
      <c r="E2578" s="791" t="s">
        <v>1358</v>
      </c>
      <c r="F2578" s="1658"/>
      <c r="G2578" s="1658"/>
      <c r="H2578" s="1658"/>
      <c r="I2578" s="1274" t="str">
        <f t="shared" si="493"/>
        <v>Zip Code</v>
      </c>
      <c r="J2578" s="1658" t="str">
        <f>IF(P2568="",Q$1&amp;M2578,"")</f>
        <v>F1511</v>
      </c>
      <c r="K2578" s="1658" t="str">
        <f t="shared" si="494"/>
        <v>Required Info to Submit</v>
      </c>
      <c r="L2578" s="824" t="s">
        <v>204</v>
      </c>
      <c r="M2578" s="1658">
        <v>1511</v>
      </c>
      <c r="N2578" s="1658"/>
    </row>
    <row r="2579" spans="1:17" s="1657" customFormat="1" x14ac:dyDescent="0.25">
      <c r="A2579" s="844" t="s">
        <v>1178</v>
      </c>
      <c r="B2579" s="791" t="str">
        <f ca="1">_xlfn.IFNA(_xlfn.CONCAT(SUBSTITUTE(ADDRESS(1,MATCH(A2579,INDIRECT("'"&amp;E2579&amp;"'"&amp;"!A22:Z22"),0),4),1,""),38),"")</f>
        <v>E38</v>
      </c>
      <c r="C2579" s="791" t="str">
        <f t="shared" ca="1" si="488"/>
        <v>E</v>
      </c>
      <c r="D2579" s="1658" t="s">
        <v>1357</v>
      </c>
      <c r="E2579" s="791" t="s">
        <v>1358</v>
      </c>
      <c r="F2579" s="1658"/>
      <c r="G2579" s="1658"/>
      <c r="H2579" s="1658"/>
      <c r="I2579" s="1274" t="str">
        <f t="shared" si="493"/>
        <v/>
      </c>
      <c r="J2579" s="1658"/>
      <c r="K2579" s="1658" t="str">
        <f t="shared" si="494"/>
        <v/>
      </c>
      <c r="L2579" s="824" t="s">
        <v>1178</v>
      </c>
      <c r="M2579" s="1658">
        <v>1512</v>
      </c>
      <c r="N2579" s="1658"/>
      <c r="P2579" s="1658" t="str">
        <f>IFERROR(VLOOKUP(Q$2579,'Existing Customers'!$A:$F,1,FALSE),"")</f>
        <v/>
      </c>
      <c r="Q2579" s="1658"/>
    </row>
    <row r="2580" spans="1:17" s="1657" customFormat="1" x14ac:dyDescent="0.25">
      <c r="A2580" s="845" t="s">
        <v>766</v>
      </c>
      <c r="B2580" s="791" t="str">
        <f t="shared" ref="B2580:B2589" ca="1" si="495">_xlfn.IFNA(_xlfn.CONCAT(SUBSTITUTE(ADDRESS(1,MATCH(A2580,INDIRECT("'"&amp;E2580&amp;"'"&amp;"!A22:Z22"),0),4),1,""),38),"")</f>
        <v>F38</v>
      </c>
      <c r="C2580" s="791" t="str">
        <f t="shared" ca="1" si="488"/>
        <v>F</v>
      </c>
      <c r="D2580" s="1658" t="s">
        <v>1357</v>
      </c>
      <c r="E2580" s="791" t="s">
        <v>1358</v>
      </c>
      <c r="F2580" s="1658"/>
      <c r="G2580" s="1658"/>
      <c r="H2580" s="1658"/>
      <c r="I2580" s="1274" t="str">
        <f t="shared" si="493"/>
        <v>Name</v>
      </c>
      <c r="J2580" s="1658" t="str">
        <f>IF(P2579="",Q$1&amp;M2580,"")</f>
        <v>F1514</v>
      </c>
      <c r="K2580" s="1658" t="str">
        <f t="shared" si="494"/>
        <v>Required Info to Submit</v>
      </c>
      <c r="L2580" s="824" t="s">
        <v>766</v>
      </c>
      <c r="M2580" s="1658">
        <v>1514</v>
      </c>
      <c r="N2580" s="1658"/>
    </row>
    <row r="2581" spans="1:17" s="1657" customFormat="1" x14ac:dyDescent="0.25">
      <c r="A2581" s="845" t="s">
        <v>765</v>
      </c>
      <c r="B2581" s="791" t="str">
        <f t="shared" ca="1" si="495"/>
        <v>K38</v>
      </c>
      <c r="C2581" s="791" t="str">
        <f t="shared" ca="1" si="488"/>
        <v>K</v>
      </c>
      <c r="D2581" s="1658" t="s">
        <v>1357</v>
      </c>
      <c r="E2581" s="791" t="s">
        <v>1358</v>
      </c>
      <c r="F2581" s="1658"/>
      <c r="G2581" s="1658"/>
      <c r="H2581" s="1658"/>
      <c r="I2581" s="1274" t="str">
        <f t="shared" si="493"/>
        <v/>
      </c>
      <c r="J2581" s="1658"/>
      <c r="K2581" s="1658" t="str">
        <f t="shared" si="494"/>
        <v/>
      </c>
      <c r="L2581" s="824" t="s">
        <v>765</v>
      </c>
      <c r="M2581" s="1658">
        <v>1524</v>
      </c>
      <c r="N2581" s="1658"/>
    </row>
    <row r="2582" spans="1:17" s="1657" customFormat="1" x14ac:dyDescent="0.25">
      <c r="A2582" s="845" t="s">
        <v>1179</v>
      </c>
      <c r="B2582" s="791" t="str">
        <f t="shared" ca="1" si="495"/>
        <v>L38</v>
      </c>
      <c r="C2582" s="791" t="str">
        <f t="shared" ca="1" si="488"/>
        <v>L</v>
      </c>
      <c r="D2582" s="1658" t="s">
        <v>1357</v>
      </c>
      <c r="E2582" s="791" t="s">
        <v>1358</v>
      </c>
      <c r="F2582" s="1658"/>
      <c r="G2582" s="1658"/>
      <c r="H2582" s="1658"/>
      <c r="I2582" s="1274" t="str">
        <f t="shared" si="493"/>
        <v/>
      </c>
      <c r="J2582" s="1658"/>
      <c r="K2582" s="1658" t="str">
        <f t="shared" si="494"/>
        <v/>
      </c>
      <c r="L2582" s="824" t="s">
        <v>1179</v>
      </c>
      <c r="M2582" s="1658">
        <v>1525</v>
      </c>
      <c r="N2582" s="1658"/>
    </row>
    <row r="2583" spans="1:17" s="1657" customFormat="1" x14ac:dyDescent="0.25">
      <c r="A2583" s="845" t="s">
        <v>1180</v>
      </c>
      <c r="B2583" s="791" t="str">
        <f t="shared" ca="1" si="495"/>
        <v>M38</v>
      </c>
      <c r="C2583" s="791" t="str">
        <f t="shared" ca="1" si="488"/>
        <v>M</v>
      </c>
      <c r="D2583" s="1658" t="s">
        <v>1357</v>
      </c>
      <c r="E2583" s="791" t="s">
        <v>1358</v>
      </c>
      <c r="F2583" s="1658"/>
      <c r="G2583" s="1658"/>
      <c r="H2583" s="1658"/>
      <c r="I2583" s="1274" t="str">
        <f t="shared" si="493"/>
        <v>Secondary or Internal Customer</v>
      </c>
      <c r="J2583" s="1658" t="str">
        <f>IF(M2583&lt;&gt;"",Q$1&amp;M2583,"")</f>
        <v>F1526</v>
      </c>
      <c r="K2583" s="1658" t="str">
        <f t="shared" si="494"/>
        <v>Required Info to Submit</v>
      </c>
      <c r="L2583" s="824" t="s">
        <v>1180</v>
      </c>
      <c r="M2583" s="1658">
        <v>1526</v>
      </c>
      <c r="N2583" s="1658"/>
    </row>
    <row r="2584" spans="1:17" s="1657" customFormat="1" x14ac:dyDescent="0.25">
      <c r="A2584" s="845" t="s">
        <v>1181</v>
      </c>
      <c r="B2584" s="791" t="str">
        <f t="shared" ca="1" si="495"/>
        <v>N38</v>
      </c>
      <c r="C2584" s="791" t="str">
        <f t="shared" ca="1" si="488"/>
        <v>N</v>
      </c>
      <c r="D2584" s="1658" t="s">
        <v>1357</v>
      </c>
      <c r="E2584" s="791" t="s">
        <v>1358</v>
      </c>
      <c r="F2584" s="1658"/>
      <c r="G2584" s="1658"/>
      <c r="H2584" s="1658"/>
      <c r="I2584" s="1274" t="str">
        <f t="shared" si="493"/>
        <v>Fuel Surcharge Applied</v>
      </c>
      <c r="J2584" s="1658" t="str">
        <f>IF(M2584&lt;&gt;"",Q$1&amp;M2584,"")</f>
        <v>F1527</v>
      </c>
      <c r="K2584" s="1658" t="str">
        <f t="shared" si="494"/>
        <v>Required Info to Submit</v>
      </c>
      <c r="L2584" s="824" t="s">
        <v>1367</v>
      </c>
      <c r="M2584" s="1658">
        <v>1527</v>
      </c>
      <c r="N2584" s="1658"/>
    </row>
    <row r="2585" spans="1:17" s="1657" customFormat="1" x14ac:dyDescent="0.25">
      <c r="A2585" s="845" t="s">
        <v>1297</v>
      </c>
      <c r="B2585" s="791" t="str">
        <f t="shared" ca="1" si="495"/>
        <v>O38</v>
      </c>
      <c r="C2585" s="791" t="str">
        <f t="shared" ca="1" si="488"/>
        <v>O</v>
      </c>
      <c r="D2585" s="1658" t="s">
        <v>1357</v>
      </c>
      <c r="E2585" s="791" t="s">
        <v>1358</v>
      </c>
      <c r="F2585" s="1658"/>
      <c r="G2585" s="1658"/>
      <c r="H2585" s="1658"/>
      <c r="I2585" s="1274" t="str">
        <f t="shared" si="493"/>
        <v>Minimum Delivery Charge Applied Flag</v>
      </c>
      <c r="J2585" s="1658" t="str">
        <f>IF(M2585&lt;&gt;"",Q$1&amp;M2585,"")</f>
        <v>F1528</v>
      </c>
      <c r="K2585" s="1658" t="str">
        <f t="shared" si="494"/>
        <v>Required Info to Submit</v>
      </c>
      <c r="L2585" s="824" t="s">
        <v>1297</v>
      </c>
      <c r="M2585" s="1658">
        <v>1528</v>
      </c>
      <c r="N2585" s="1658"/>
    </row>
    <row r="2586" spans="1:17" s="1657" customFormat="1" x14ac:dyDescent="0.25">
      <c r="A2586" s="845" t="s">
        <v>767</v>
      </c>
      <c r="B2586" s="791" t="str">
        <f t="shared" ca="1" si="495"/>
        <v>G38</v>
      </c>
      <c r="C2586" s="791" t="str">
        <f t="shared" ca="1" si="488"/>
        <v>G</v>
      </c>
      <c r="D2586" s="1658" t="s">
        <v>1357</v>
      </c>
      <c r="E2586" s="791" t="s">
        <v>1358</v>
      </c>
      <c r="F2586" s="1658"/>
      <c r="G2586" s="1658"/>
      <c r="H2586" s="1658"/>
      <c r="I2586" s="1274" t="str">
        <f t="shared" si="493"/>
        <v>Address</v>
      </c>
      <c r="J2586" s="1658" t="str">
        <f>IF(P2579="",Q$1&amp;M2586,"")</f>
        <v>F1529</v>
      </c>
      <c r="K2586" s="1658" t="str">
        <f t="shared" si="494"/>
        <v>Required Info to Submit</v>
      </c>
      <c r="L2586" s="824" t="s">
        <v>767</v>
      </c>
      <c r="M2586" s="1658">
        <v>1529</v>
      </c>
      <c r="N2586" s="1658"/>
    </row>
    <row r="2587" spans="1:17" s="1657" customFormat="1" x14ac:dyDescent="0.25">
      <c r="A2587" s="845" t="s">
        <v>768</v>
      </c>
      <c r="B2587" s="791" t="str">
        <f t="shared" ca="1" si="495"/>
        <v>H38</v>
      </c>
      <c r="C2587" s="791" t="str">
        <f t="shared" ca="1" si="488"/>
        <v>H</v>
      </c>
      <c r="D2587" s="1658" t="s">
        <v>1357</v>
      </c>
      <c r="E2587" s="791" t="s">
        <v>1358</v>
      </c>
      <c r="F2587" s="1658"/>
      <c r="G2587" s="1658"/>
      <c r="H2587" s="1658"/>
      <c r="I2587" s="1274" t="str">
        <f t="shared" si="493"/>
        <v>City</v>
      </c>
      <c r="J2587" s="1658" t="str">
        <f>IF(P2579="",Q$1&amp;M2587,"")</f>
        <v>F1530</v>
      </c>
      <c r="K2587" s="1658" t="str">
        <f t="shared" si="494"/>
        <v>Required Info to Submit</v>
      </c>
      <c r="L2587" s="824" t="s">
        <v>768</v>
      </c>
      <c r="M2587" s="1658">
        <v>1530</v>
      </c>
      <c r="N2587" s="1658"/>
    </row>
    <row r="2588" spans="1:17" s="1657" customFormat="1" x14ac:dyDescent="0.25">
      <c r="A2588" s="845" t="s">
        <v>769</v>
      </c>
      <c r="B2588" s="791" t="str">
        <f t="shared" ca="1" si="495"/>
        <v>I38</v>
      </c>
      <c r="C2588" s="791" t="str">
        <f t="shared" ca="1" si="488"/>
        <v>I</v>
      </c>
      <c r="D2588" s="1658" t="s">
        <v>1357</v>
      </c>
      <c r="E2588" s="791" t="s">
        <v>1358</v>
      </c>
      <c r="F2588" s="1658"/>
      <c r="G2588" s="1658"/>
      <c r="H2588" s="1658"/>
      <c r="I2588" s="1274" t="str">
        <f t="shared" si="493"/>
        <v>State</v>
      </c>
      <c r="J2588" s="1658" t="str">
        <f>IF(P2579="",Q$1&amp;M2588,"")</f>
        <v>F1531</v>
      </c>
      <c r="K2588" s="1658" t="str">
        <f t="shared" si="494"/>
        <v>Required Info to Submit</v>
      </c>
      <c r="L2588" s="824" t="s">
        <v>769</v>
      </c>
      <c r="M2588" s="1658">
        <v>1531</v>
      </c>
      <c r="N2588" s="1658"/>
    </row>
    <row r="2589" spans="1:17" s="1657" customFormat="1" x14ac:dyDescent="0.25">
      <c r="A2589" s="845" t="s">
        <v>204</v>
      </c>
      <c r="B2589" s="791" t="str">
        <f t="shared" ca="1" si="495"/>
        <v>J38</v>
      </c>
      <c r="C2589" s="791" t="str">
        <f t="shared" ref="C2589:C2633" ca="1" si="496">_xlfn.IFNA(SUBSTITUTE(ADDRESS(1,MATCH(A2589,INDIRECT("'"&amp;E2589&amp;"'"&amp;"!A22:Z22"),0),4),1,""),"")</f>
        <v>J</v>
      </c>
      <c r="D2589" s="1658" t="s">
        <v>1357</v>
      </c>
      <c r="E2589" s="791" t="s">
        <v>1358</v>
      </c>
      <c r="F2589" s="1658"/>
      <c r="G2589" s="1658"/>
      <c r="H2589" s="1658"/>
      <c r="I2589" s="1274" t="str">
        <f t="shared" si="493"/>
        <v>Zip Code</v>
      </c>
      <c r="J2589" s="1658" t="str">
        <f>IF(P2579="",Q$1&amp;M2589,"")</f>
        <v>F1532</v>
      </c>
      <c r="K2589" s="1658" t="str">
        <f t="shared" si="494"/>
        <v>Required Info to Submit</v>
      </c>
      <c r="L2589" s="824" t="s">
        <v>204</v>
      </c>
      <c r="M2589" s="1658">
        <v>1532</v>
      </c>
      <c r="N2589" s="1658"/>
    </row>
    <row r="2590" spans="1:17" s="1657" customFormat="1" x14ac:dyDescent="0.25">
      <c r="A2590" s="842" t="s">
        <v>1178</v>
      </c>
      <c r="B2590" s="791" t="str">
        <f ca="1">_xlfn.IFNA(_xlfn.CONCAT(SUBSTITUTE(ADDRESS(1,MATCH(A2590,INDIRECT("'"&amp;E2590&amp;"'"&amp;"!A22:Z22"),0),4),1,""),39),"")</f>
        <v>E39</v>
      </c>
      <c r="C2590" s="791" t="str">
        <f t="shared" ca="1" si="496"/>
        <v>E</v>
      </c>
      <c r="D2590" s="1658" t="s">
        <v>1357</v>
      </c>
      <c r="E2590" s="791" t="s">
        <v>1358</v>
      </c>
      <c r="F2590" s="1658"/>
      <c r="G2590" s="1658"/>
      <c r="H2590" s="1658"/>
      <c r="I2590" s="1274" t="str">
        <f t="shared" si="493"/>
        <v/>
      </c>
      <c r="J2590" s="1658"/>
      <c r="K2590" s="1658" t="str">
        <f t="shared" si="494"/>
        <v/>
      </c>
      <c r="L2590" s="824" t="s">
        <v>1178</v>
      </c>
      <c r="M2590" s="1658">
        <v>1533</v>
      </c>
      <c r="N2590" s="1658"/>
      <c r="P2590" s="1658" t="str">
        <f>IFERROR(VLOOKUP(Q$2590,'Existing Customers'!$A:$F,1,FALSE),"")</f>
        <v/>
      </c>
      <c r="Q2590" s="1658"/>
    </row>
    <row r="2591" spans="1:17" s="1657" customFormat="1" x14ac:dyDescent="0.25">
      <c r="A2591" s="843" t="s">
        <v>766</v>
      </c>
      <c r="B2591" s="791" t="str">
        <f t="shared" ref="B2591:B2599" ca="1" si="497">_xlfn.IFNA(_xlfn.CONCAT(SUBSTITUTE(ADDRESS(1,MATCH(A2591,INDIRECT("'"&amp;E2591&amp;"'"&amp;"!A22:Z22"),0),4),1,""),39),"")</f>
        <v>F39</v>
      </c>
      <c r="C2591" s="791" t="str">
        <f t="shared" ca="1" si="496"/>
        <v>F</v>
      </c>
      <c r="D2591" s="1658" t="s">
        <v>1357</v>
      </c>
      <c r="E2591" s="791" t="s">
        <v>1358</v>
      </c>
      <c r="F2591" s="1658"/>
      <c r="G2591" s="1658"/>
      <c r="H2591" s="1658"/>
      <c r="I2591" s="1274" t="str">
        <f t="shared" si="493"/>
        <v>Name</v>
      </c>
      <c r="J2591" s="1658" t="str">
        <f>IF(P2590="",Q$1&amp;M2591,"")</f>
        <v>F1535</v>
      </c>
      <c r="K2591" s="1658" t="str">
        <f t="shared" si="494"/>
        <v>Required Info to Submit</v>
      </c>
      <c r="L2591" s="824" t="s">
        <v>766</v>
      </c>
      <c r="M2591" s="1658">
        <v>1535</v>
      </c>
      <c r="N2591" s="1658"/>
    </row>
    <row r="2592" spans="1:17" s="1657" customFormat="1" x14ac:dyDescent="0.25">
      <c r="A2592" s="843" t="s">
        <v>765</v>
      </c>
      <c r="B2592" s="791" t="str">
        <f t="shared" ca="1" si="497"/>
        <v>K39</v>
      </c>
      <c r="C2592" s="791" t="str">
        <f t="shared" ca="1" si="496"/>
        <v>K</v>
      </c>
      <c r="D2592" s="1658" t="s">
        <v>1357</v>
      </c>
      <c r="E2592" s="791" t="s">
        <v>1358</v>
      </c>
      <c r="F2592" s="1658"/>
      <c r="G2592" s="1658"/>
      <c r="H2592" s="1658"/>
      <c r="I2592" s="1274" t="str">
        <f t="shared" si="493"/>
        <v/>
      </c>
      <c r="J2592" s="1658"/>
      <c r="K2592" s="1658" t="str">
        <f t="shared" si="494"/>
        <v/>
      </c>
      <c r="L2592" s="824" t="s">
        <v>765</v>
      </c>
      <c r="M2592" s="1658">
        <v>1545</v>
      </c>
      <c r="N2592" s="1658"/>
    </row>
    <row r="2593" spans="1:17" s="1657" customFormat="1" x14ac:dyDescent="0.25">
      <c r="A2593" s="843" t="s">
        <v>1179</v>
      </c>
      <c r="B2593" s="791" t="str">
        <f t="shared" ca="1" si="497"/>
        <v>L39</v>
      </c>
      <c r="C2593" s="791" t="str">
        <f t="shared" ca="1" si="496"/>
        <v>L</v>
      </c>
      <c r="D2593" s="1658" t="s">
        <v>1357</v>
      </c>
      <c r="E2593" s="791" t="s">
        <v>1358</v>
      </c>
      <c r="F2593" s="1658"/>
      <c r="G2593" s="1658"/>
      <c r="H2593" s="1658"/>
      <c r="I2593" s="1274" t="str">
        <f t="shared" si="493"/>
        <v/>
      </c>
      <c r="J2593" s="1658"/>
      <c r="K2593" s="1658" t="str">
        <f t="shared" si="494"/>
        <v/>
      </c>
      <c r="L2593" s="824" t="s">
        <v>1179</v>
      </c>
      <c r="M2593" s="1658">
        <v>1546</v>
      </c>
      <c r="N2593" s="1658"/>
    </row>
    <row r="2594" spans="1:17" s="1657" customFormat="1" x14ac:dyDescent="0.25">
      <c r="A2594" s="843" t="s">
        <v>1180</v>
      </c>
      <c r="B2594" s="791" t="str">
        <f t="shared" ca="1" si="497"/>
        <v>M39</v>
      </c>
      <c r="C2594" s="791" t="str">
        <f t="shared" ca="1" si="496"/>
        <v>M</v>
      </c>
      <c r="D2594" s="1658" t="s">
        <v>1357</v>
      </c>
      <c r="E2594" s="791" t="s">
        <v>1358</v>
      </c>
      <c r="F2594" s="1658"/>
      <c r="G2594" s="1658"/>
      <c r="H2594" s="1658"/>
      <c r="I2594" s="1274" t="str">
        <f t="shared" si="493"/>
        <v>Secondary or Internal Customer</v>
      </c>
      <c r="J2594" s="1658" t="str">
        <f>IF(M2594&lt;&gt;"",Q$1&amp;M2594,"")</f>
        <v>F1547</v>
      </c>
      <c r="K2594" s="1658" t="str">
        <f t="shared" si="494"/>
        <v>Required Info to Submit</v>
      </c>
      <c r="L2594" s="824" t="s">
        <v>1180</v>
      </c>
      <c r="M2594" s="1658">
        <v>1547</v>
      </c>
      <c r="N2594" s="1658"/>
    </row>
    <row r="2595" spans="1:17" s="1657" customFormat="1" x14ac:dyDescent="0.25">
      <c r="A2595" s="843" t="s">
        <v>1181</v>
      </c>
      <c r="B2595" s="791" t="str">
        <f t="shared" ca="1" si="497"/>
        <v>N39</v>
      </c>
      <c r="C2595" s="791" t="str">
        <f t="shared" ca="1" si="496"/>
        <v>N</v>
      </c>
      <c r="D2595" s="1658" t="s">
        <v>1357</v>
      </c>
      <c r="E2595" s="791" t="s">
        <v>1358</v>
      </c>
      <c r="F2595" s="1658"/>
      <c r="G2595" s="1658"/>
      <c r="H2595" s="1658"/>
      <c r="I2595" s="1274" t="str">
        <f t="shared" si="493"/>
        <v>Fuel Surcharge Applied</v>
      </c>
      <c r="J2595" s="1658" t="str">
        <f>IF(M2595&lt;&gt;"",Q$1&amp;M2595,"")</f>
        <v>F1548</v>
      </c>
      <c r="K2595" s="1658" t="str">
        <f t="shared" si="494"/>
        <v>Required Info to Submit</v>
      </c>
      <c r="L2595" s="824" t="s">
        <v>1367</v>
      </c>
      <c r="M2595" s="1658">
        <v>1548</v>
      </c>
      <c r="N2595" s="1658"/>
    </row>
    <row r="2596" spans="1:17" s="1657" customFormat="1" x14ac:dyDescent="0.25">
      <c r="A2596" s="843" t="s">
        <v>1297</v>
      </c>
      <c r="B2596" s="791" t="str">
        <f t="shared" ca="1" si="497"/>
        <v>O39</v>
      </c>
      <c r="C2596" s="791" t="str">
        <f t="shared" ca="1" si="496"/>
        <v>O</v>
      </c>
      <c r="D2596" s="1658" t="s">
        <v>1357</v>
      </c>
      <c r="E2596" s="791" t="s">
        <v>1358</v>
      </c>
      <c r="F2596" s="1658"/>
      <c r="G2596" s="1658"/>
      <c r="H2596" s="1658"/>
      <c r="I2596" s="1274" t="str">
        <f t="shared" si="493"/>
        <v>Minimum Delivery Charge Applied Flag</v>
      </c>
      <c r="J2596" s="1658" t="str">
        <f>IF(M2596&lt;&gt;"",Q$1&amp;M2596,"")</f>
        <v>F1549</v>
      </c>
      <c r="K2596" s="1658" t="str">
        <f t="shared" si="494"/>
        <v>Required Info to Submit</v>
      </c>
      <c r="L2596" s="824" t="s">
        <v>1297</v>
      </c>
      <c r="M2596" s="1658">
        <v>1549</v>
      </c>
      <c r="N2596" s="1658"/>
    </row>
    <row r="2597" spans="1:17" s="1657" customFormat="1" x14ac:dyDescent="0.25">
      <c r="A2597" s="843" t="s">
        <v>767</v>
      </c>
      <c r="B2597" s="791" t="str">
        <f t="shared" ca="1" si="497"/>
        <v>G39</v>
      </c>
      <c r="C2597" s="791" t="str">
        <f t="shared" ca="1" si="496"/>
        <v>G</v>
      </c>
      <c r="D2597" s="1658" t="s">
        <v>1357</v>
      </c>
      <c r="E2597" s="791" t="s">
        <v>1358</v>
      </c>
      <c r="F2597" s="1658"/>
      <c r="G2597" s="1658"/>
      <c r="H2597" s="1658"/>
      <c r="I2597" s="1274" t="str">
        <f t="shared" si="493"/>
        <v>Address</v>
      </c>
      <c r="J2597" s="1658" t="str">
        <f>IF(P2590="",Q$1&amp;M2597,"")</f>
        <v>F1550</v>
      </c>
      <c r="K2597" s="1658" t="str">
        <f t="shared" si="494"/>
        <v>Required Info to Submit</v>
      </c>
      <c r="L2597" s="824" t="s">
        <v>767</v>
      </c>
      <c r="M2597" s="1658">
        <v>1550</v>
      </c>
      <c r="N2597" s="1658"/>
    </row>
    <row r="2598" spans="1:17" s="1657" customFormat="1" x14ac:dyDescent="0.25">
      <c r="A2598" s="843" t="s">
        <v>768</v>
      </c>
      <c r="B2598" s="791" t="str">
        <f t="shared" ca="1" si="497"/>
        <v>H39</v>
      </c>
      <c r="C2598" s="791" t="str">
        <f t="shared" ca="1" si="496"/>
        <v>H</v>
      </c>
      <c r="D2598" s="1658" t="s">
        <v>1357</v>
      </c>
      <c r="E2598" s="791" t="s">
        <v>1358</v>
      </c>
      <c r="F2598" s="1658"/>
      <c r="G2598" s="1658"/>
      <c r="H2598" s="1658"/>
      <c r="I2598" s="1274" t="str">
        <f t="shared" si="493"/>
        <v>City</v>
      </c>
      <c r="J2598" s="1658" t="str">
        <f>IF(P2590="",Q$1&amp;M2598,"")</f>
        <v>F1551</v>
      </c>
      <c r="K2598" s="1658" t="str">
        <f t="shared" si="494"/>
        <v>Required Info to Submit</v>
      </c>
      <c r="L2598" s="824" t="s">
        <v>768</v>
      </c>
      <c r="M2598" s="1658">
        <v>1551</v>
      </c>
      <c r="N2598" s="1658"/>
    </row>
    <row r="2599" spans="1:17" s="1657" customFormat="1" x14ac:dyDescent="0.25">
      <c r="A2599" s="843" t="s">
        <v>769</v>
      </c>
      <c r="B2599" s="791" t="str">
        <f t="shared" ca="1" si="497"/>
        <v>I39</v>
      </c>
      <c r="C2599" s="791" t="str">
        <f t="shared" ca="1" si="496"/>
        <v>I</v>
      </c>
      <c r="D2599" s="1658" t="s">
        <v>1357</v>
      </c>
      <c r="E2599" s="791" t="s">
        <v>1358</v>
      </c>
      <c r="F2599" s="1658"/>
      <c r="G2599" s="1658"/>
      <c r="H2599" s="1658"/>
      <c r="I2599" s="1274" t="str">
        <f t="shared" si="493"/>
        <v>State</v>
      </c>
      <c r="J2599" s="1658" t="str">
        <f>IF(P2590="",Q$1&amp;M2599,"")</f>
        <v>F1552</v>
      </c>
      <c r="K2599" s="1658" t="str">
        <f t="shared" si="494"/>
        <v>Required Info to Submit</v>
      </c>
      <c r="L2599" s="824" t="s">
        <v>769</v>
      </c>
      <c r="M2599" s="1658">
        <v>1552</v>
      </c>
      <c r="N2599" s="1658"/>
    </row>
    <row r="2600" spans="1:17" s="1657" customFormat="1" x14ac:dyDescent="0.25">
      <c r="A2600" s="843" t="s">
        <v>204</v>
      </c>
      <c r="B2600" s="791" t="str">
        <f ca="1">_xlfn.IFNA(_xlfn.CONCAT(SUBSTITUTE(ADDRESS(1,MATCH(A2600,INDIRECT("'"&amp;E2600&amp;"'"&amp;"!A22:Z22"),0),4),1,""),39),"")</f>
        <v>J39</v>
      </c>
      <c r="C2600" s="791" t="str">
        <f t="shared" ca="1" si="496"/>
        <v>J</v>
      </c>
      <c r="D2600" s="1658" t="s">
        <v>1357</v>
      </c>
      <c r="E2600" s="791" t="s">
        <v>1358</v>
      </c>
      <c r="F2600" s="1658"/>
      <c r="G2600" s="1658"/>
      <c r="H2600" s="1658"/>
      <c r="I2600" s="1274" t="str">
        <f t="shared" si="493"/>
        <v>Zip Code</v>
      </c>
      <c r="J2600" s="1658" t="str">
        <f>IF(P2590="",Q$1&amp;M2600,"")</f>
        <v>F1553</v>
      </c>
      <c r="K2600" s="1658" t="str">
        <f t="shared" si="494"/>
        <v>Required Info to Submit</v>
      </c>
      <c r="L2600" s="824" t="s">
        <v>204</v>
      </c>
      <c r="M2600" s="1658">
        <v>1553</v>
      </c>
      <c r="N2600" s="1658"/>
    </row>
    <row r="2601" spans="1:17" s="1657" customFormat="1" x14ac:dyDescent="0.25">
      <c r="A2601" s="844" t="s">
        <v>1178</v>
      </c>
      <c r="B2601" s="791" t="str">
        <f ca="1">_xlfn.IFNA(_xlfn.CONCAT(SUBSTITUTE(ADDRESS(1,MATCH(A2601,INDIRECT("'"&amp;E2601&amp;"'"&amp;"!A22:Z22"),0),4),1,""),40),"")</f>
        <v>E40</v>
      </c>
      <c r="C2601" s="791" t="str">
        <f t="shared" ca="1" si="496"/>
        <v>E</v>
      </c>
      <c r="D2601" s="1658" t="s">
        <v>1357</v>
      </c>
      <c r="E2601" s="791" t="s">
        <v>1358</v>
      </c>
      <c r="F2601" s="1658"/>
      <c r="G2601" s="1658"/>
      <c r="H2601" s="1658"/>
      <c r="I2601" s="1274" t="str">
        <f t="shared" si="493"/>
        <v/>
      </c>
      <c r="J2601" s="1658"/>
      <c r="K2601" s="1658" t="str">
        <f t="shared" si="494"/>
        <v/>
      </c>
      <c r="L2601" s="824" t="s">
        <v>1178</v>
      </c>
      <c r="M2601" s="1658">
        <v>1554</v>
      </c>
      <c r="N2601" s="1658"/>
      <c r="P2601" s="1658" t="str">
        <f>IFERROR(VLOOKUP(Q$2601,'Existing Customers'!$A:$F,1,FALSE),"")</f>
        <v/>
      </c>
      <c r="Q2601" s="1658"/>
    </row>
    <row r="2602" spans="1:17" s="1657" customFormat="1" x14ac:dyDescent="0.25">
      <c r="A2602" s="845" t="s">
        <v>766</v>
      </c>
      <c r="B2602" s="791" t="str">
        <f t="shared" ref="B2602:B2611" ca="1" si="498">_xlfn.IFNA(_xlfn.CONCAT(SUBSTITUTE(ADDRESS(1,MATCH(A2602,INDIRECT("'"&amp;E2602&amp;"'"&amp;"!A22:Z22"),0),4),1,""),40),"")</f>
        <v>F40</v>
      </c>
      <c r="C2602" s="791" t="str">
        <f t="shared" ca="1" si="496"/>
        <v>F</v>
      </c>
      <c r="D2602" s="1658" t="s">
        <v>1357</v>
      </c>
      <c r="E2602" s="791" t="s">
        <v>1358</v>
      </c>
      <c r="F2602" s="1658"/>
      <c r="G2602" s="1658"/>
      <c r="H2602" s="1658"/>
      <c r="I2602" s="1274" t="str">
        <f t="shared" si="493"/>
        <v>Name</v>
      </c>
      <c r="J2602" s="1658" t="str">
        <f>IF(P2601="",Q$1&amp;M2602,"")</f>
        <v>F1556</v>
      </c>
      <c r="K2602" s="1658" t="str">
        <f t="shared" si="494"/>
        <v>Required Info to Submit</v>
      </c>
      <c r="L2602" s="824" t="s">
        <v>766</v>
      </c>
      <c r="M2602" s="1658">
        <v>1556</v>
      </c>
      <c r="N2602" s="1658"/>
    </row>
    <row r="2603" spans="1:17" s="1657" customFormat="1" x14ac:dyDescent="0.25">
      <c r="A2603" s="845" t="s">
        <v>765</v>
      </c>
      <c r="B2603" s="791" t="str">
        <f t="shared" ca="1" si="498"/>
        <v>K40</v>
      </c>
      <c r="C2603" s="791" t="str">
        <f t="shared" ca="1" si="496"/>
        <v>K</v>
      </c>
      <c r="D2603" s="1658" t="s">
        <v>1357</v>
      </c>
      <c r="E2603" s="791" t="s">
        <v>1358</v>
      </c>
      <c r="F2603" s="1658"/>
      <c r="G2603" s="1658"/>
      <c r="H2603" s="1658"/>
      <c r="I2603" s="1274" t="str">
        <f t="shared" si="493"/>
        <v/>
      </c>
      <c r="J2603" s="1658"/>
      <c r="K2603" s="1658" t="str">
        <f t="shared" si="494"/>
        <v/>
      </c>
      <c r="L2603" s="824" t="s">
        <v>765</v>
      </c>
      <c r="M2603" s="1658">
        <v>1566</v>
      </c>
      <c r="N2603" s="1658"/>
    </row>
    <row r="2604" spans="1:17" s="1657" customFormat="1" x14ac:dyDescent="0.25">
      <c r="A2604" s="845" t="s">
        <v>1179</v>
      </c>
      <c r="B2604" s="791" t="str">
        <f t="shared" ca="1" si="498"/>
        <v>L40</v>
      </c>
      <c r="C2604" s="791" t="str">
        <f t="shared" ca="1" si="496"/>
        <v>L</v>
      </c>
      <c r="D2604" s="1658" t="s">
        <v>1357</v>
      </c>
      <c r="E2604" s="791" t="s">
        <v>1358</v>
      </c>
      <c r="F2604" s="1658"/>
      <c r="G2604" s="1658"/>
      <c r="H2604" s="1658"/>
      <c r="I2604" s="1274" t="str">
        <f t="shared" si="493"/>
        <v/>
      </c>
      <c r="J2604" s="1658"/>
      <c r="K2604" s="1658" t="str">
        <f t="shared" si="494"/>
        <v/>
      </c>
      <c r="L2604" s="824" t="s">
        <v>1179</v>
      </c>
      <c r="M2604" s="1658">
        <v>1567</v>
      </c>
      <c r="N2604" s="1658"/>
    </row>
    <row r="2605" spans="1:17" s="1657" customFormat="1" x14ac:dyDescent="0.25">
      <c r="A2605" s="845" t="s">
        <v>1180</v>
      </c>
      <c r="B2605" s="791" t="str">
        <f t="shared" ca="1" si="498"/>
        <v>M40</v>
      </c>
      <c r="C2605" s="791" t="str">
        <f t="shared" ca="1" si="496"/>
        <v>M</v>
      </c>
      <c r="D2605" s="1658" t="s">
        <v>1357</v>
      </c>
      <c r="E2605" s="791" t="s">
        <v>1358</v>
      </c>
      <c r="F2605" s="1658"/>
      <c r="G2605" s="1658"/>
      <c r="H2605" s="1658"/>
      <c r="I2605" s="1274" t="str">
        <f t="shared" si="493"/>
        <v>Secondary or Internal Customer</v>
      </c>
      <c r="J2605" s="1658" t="str">
        <f>IF(M2605&lt;&gt;"",Q$1&amp;M2605,"")</f>
        <v>F1568</v>
      </c>
      <c r="K2605" s="1658" t="str">
        <f t="shared" si="494"/>
        <v>Required Info to Submit</v>
      </c>
      <c r="L2605" s="824" t="s">
        <v>1180</v>
      </c>
      <c r="M2605" s="1658">
        <v>1568</v>
      </c>
      <c r="N2605" s="1658"/>
    </row>
    <row r="2606" spans="1:17" s="1657" customFormat="1" x14ac:dyDescent="0.25">
      <c r="A2606" s="845" t="s">
        <v>1181</v>
      </c>
      <c r="B2606" s="791" t="str">
        <f t="shared" ca="1" si="498"/>
        <v>N40</v>
      </c>
      <c r="C2606" s="791" t="str">
        <f t="shared" ca="1" si="496"/>
        <v>N</v>
      </c>
      <c r="D2606" s="1658" t="s">
        <v>1357</v>
      </c>
      <c r="E2606" s="791" t="s">
        <v>1358</v>
      </c>
      <c r="F2606" s="1658"/>
      <c r="G2606" s="1658"/>
      <c r="H2606" s="1658"/>
      <c r="I2606" s="1274" t="str">
        <f t="shared" si="493"/>
        <v>Fuel Surcharge Applied</v>
      </c>
      <c r="J2606" s="1658" t="str">
        <f>IF(M2606&lt;&gt;"",Q$1&amp;M2606,"")</f>
        <v>F1569</v>
      </c>
      <c r="K2606" s="1658" t="str">
        <f t="shared" si="494"/>
        <v>Required Info to Submit</v>
      </c>
      <c r="L2606" s="824" t="s">
        <v>1367</v>
      </c>
      <c r="M2606" s="1658">
        <v>1569</v>
      </c>
      <c r="N2606" s="1658"/>
    </row>
    <row r="2607" spans="1:17" s="1657" customFormat="1" x14ac:dyDescent="0.25">
      <c r="A2607" s="845" t="s">
        <v>1297</v>
      </c>
      <c r="B2607" s="791" t="str">
        <f t="shared" ca="1" si="498"/>
        <v>O40</v>
      </c>
      <c r="C2607" s="791" t="str">
        <f t="shared" ca="1" si="496"/>
        <v>O</v>
      </c>
      <c r="D2607" s="1658" t="s">
        <v>1357</v>
      </c>
      <c r="E2607" s="791" t="s">
        <v>1358</v>
      </c>
      <c r="F2607" s="1658"/>
      <c r="G2607" s="1658"/>
      <c r="H2607" s="1658"/>
      <c r="I2607" s="1274" t="str">
        <f t="shared" si="493"/>
        <v>Minimum Delivery Charge Applied Flag</v>
      </c>
      <c r="J2607" s="1658" t="str">
        <f>IF(M2607&lt;&gt;"",Q$1&amp;M2607,"")</f>
        <v>F1570</v>
      </c>
      <c r="K2607" s="1658" t="str">
        <f t="shared" si="494"/>
        <v>Required Info to Submit</v>
      </c>
      <c r="L2607" s="824" t="s">
        <v>1297</v>
      </c>
      <c r="M2607" s="1658">
        <v>1570</v>
      </c>
      <c r="N2607" s="1658"/>
    </row>
    <row r="2608" spans="1:17" s="1657" customFormat="1" x14ac:dyDescent="0.25">
      <c r="A2608" s="845" t="s">
        <v>767</v>
      </c>
      <c r="B2608" s="791" t="str">
        <f t="shared" ca="1" si="498"/>
        <v>G40</v>
      </c>
      <c r="C2608" s="791" t="str">
        <f t="shared" ca="1" si="496"/>
        <v>G</v>
      </c>
      <c r="D2608" s="1658" t="s">
        <v>1357</v>
      </c>
      <c r="E2608" s="791" t="s">
        <v>1358</v>
      </c>
      <c r="F2608" s="1658"/>
      <c r="G2608" s="1658"/>
      <c r="H2608" s="1658"/>
      <c r="I2608" s="1274" t="str">
        <f t="shared" si="493"/>
        <v>Address</v>
      </c>
      <c r="J2608" s="1658" t="str">
        <f>IF(P2601="",Q$1&amp;M2608,"")</f>
        <v>F1571</v>
      </c>
      <c r="K2608" s="1658" t="str">
        <f t="shared" si="494"/>
        <v>Required Info to Submit</v>
      </c>
      <c r="L2608" s="824" t="s">
        <v>767</v>
      </c>
      <c r="M2608" s="1658">
        <v>1571</v>
      </c>
      <c r="N2608" s="1658"/>
    </row>
    <row r="2609" spans="1:17" s="1657" customFormat="1" x14ac:dyDescent="0.25">
      <c r="A2609" s="845" t="s">
        <v>768</v>
      </c>
      <c r="B2609" s="791" t="str">
        <f t="shared" ca="1" si="498"/>
        <v>H40</v>
      </c>
      <c r="C2609" s="791" t="str">
        <f t="shared" ca="1" si="496"/>
        <v>H</v>
      </c>
      <c r="D2609" s="1658" t="s">
        <v>1357</v>
      </c>
      <c r="E2609" s="791" t="s">
        <v>1358</v>
      </c>
      <c r="F2609" s="1658"/>
      <c r="G2609" s="1658"/>
      <c r="H2609" s="1658"/>
      <c r="I2609" s="1274" t="str">
        <f t="shared" si="493"/>
        <v>City</v>
      </c>
      <c r="J2609" s="1658" t="str">
        <f>IF(P2601="",Q$1&amp;M2609,"")</f>
        <v>F1572</v>
      </c>
      <c r="K2609" s="1658" t="str">
        <f t="shared" si="494"/>
        <v>Required Info to Submit</v>
      </c>
      <c r="L2609" s="824" t="s">
        <v>768</v>
      </c>
      <c r="M2609" s="1658">
        <v>1572</v>
      </c>
      <c r="N2609" s="1658"/>
    </row>
    <row r="2610" spans="1:17" s="1657" customFormat="1" x14ac:dyDescent="0.25">
      <c r="A2610" s="845" t="s">
        <v>769</v>
      </c>
      <c r="B2610" s="791" t="str">
        <f t="shared" ca="1" si="498"/>
        <v>I40</v>
      </c>
      <c r="C2610" s="791" t="str">
        <f t="shared" ca="1" si="496"/>
        <v>I</v>
      </c>
      <c r="D2610" s="1658" t="s">
        <v>1357</v>
      </c>
      <c r="E2610" s="791" t="s">
        <v>1358</v>
      </c>
      <c r="F2610" s="1658"/>
      <c r="G2610" s="1658"/>
      <c r="H2610" s="1658"/>
      <c r="I2610" s="1274" t="str">
        <f t="shared" si="493"/>
        <v>State</v>
      </c>
      <c r="J2610" s="1658" t="str">
        <f>IF(P2601="",Q$1&amp;M2610,"")</f>
        <v>F1573</v>
      </c>
      <c r="K2610" s="1658" t="str">
        <f t="shared" si="494"/>
        <v>Required Info to Submit</v>
      </c>
      <c r="L2610" s="824" t="s">
        <v>769</v>
      </c>
      <c r="M2610" s="1658">
        <v>1573</v>
      </c>
      <c r="N2610" s="1658"/>
    </row>
    <row r="2611" spans="1:17" s="1657" customFormat="1" x14ac:dyDescent="0.25">
      <c r="A2611" s="845" t="s">
        <v>204</v>
      </c>
      <c r="B2611" s="791" t="str">
        <f t="shared" ca="1" si="498"/>
        <v>J40</v>
      </c>
      <c r="C2611" s="791" t="str">
        <f t="shared" ca="1" si="496"/>
        <v>J</v>
      </c>
      <c r="D2611" s="1658" t="s">
        <v>1357</v>
      </c>
      <c r="E2611" s="791" t="s">
        <v>1358</v>
      </c>
      <c r="F2611" s="1658"/>
      <c r="G2611" s="1658"/>
      <c r="H2611" s="1658"/>
      <c r="I2611" s="1274" t="str">
        <f t="shared" si="493"/>
        <v>Zip Code</v>
      </c>
      <c r="J2611" s="1658" t="str">
        <f>IF(P2601="",Q$1&amp;M2611,"")</f>
        <v>F1574</v>
      </c>
      <c r="K2611" s="1658" t="str">
        <f t="shared" si="494"/>
        <v>Required Info to Submit</v>
      </c>
      <c r="L2611" s="824" t="s">
        <v>204</v>
      </c>
      <c r="M2611" s="1658">
        <v>1574</v>
      </c>
      <c r="N2611" s="1658"/>
    </row>
    <row r="2612" spans="1:17" s="1657" customFormat="1" x14ac:dyDescent="0.25">
      <c r="A2612" s="842" t="s">
        <v>1178</v>
      </c>
      <c r="B2612" s="791" t="str">
        <f ca="1">_xlfn.IFNA(_xlfn.CONCAT(SUBSTITUTE(ADDRESS(1,MATCH(A2612,INDIRECT("'"&amp;E2612&amp;"'"&amp;"!A22:Z22"),0),4),1,""),41),"")</f>
        <v>E41</v>
      </c>
      <c r="C2612" s="791" t="str">
        <f t="shared" ca="1" si="496"/>
        <v>E</v>
      </c>
      <c r="D2612" s="1658" t="s">
        <v>1357</v>
      </c>
      <c r="E2612" s="791" t="s">
        <v>1358</v>
      </c>
      <c r="F2612" s="1658"/>
      <c r="G2612" s="1658"/>
      <c r="H2612" s="1658"/>
      <c r="I2612" s="1274" t="str">
        <f t="shared" si="493"/>
        <v/>
      </c>
      <c r="J2612" s="1658"/>
      <c r="K2612" s="1658" t="str">
        <f t="shared" si="494"/>
        <v/>
      </c>
      <c r="L2612" s="824" t="s">
        <v>1178</v>
      </c>
      <c r="M2612" s="1658">
        <v>1575</v>
      </c>
      <c r="N2612" s="1658"/>
      <c r="P2612" s="1658" t="str">
        <f>IFERROR(VLOOKUP(Q$2612,'Existing Customers'!$A:$F,1,FALSE),"")</f>
        <v/>
      </c>
      <c r="Q2612" s="1658"/>
    </row>
    <row r="2613" spans="1:17" s="1657" customFormat="1" x14ac:dyDescent="0.25">
      <c r="A2613" s="843" t="s">
        <v>766</v>
      </c>
      <c r="B2613" s="791" t="str">
        <f t="shared" ref="B2613:B2622" ca="1" si="499">_xlfn.IFNA(_xlfn.CONCAT(SUBSTITUTE(ADDRESS(1,MATCH(A2613,INDIRECT("'"&amp;E2613&amp;"'"&amp;"!A22:Z22"),0),4),1,""),41),"")</f>
        <v>F41</v>
      </c>
      <c r="C2613" s="791" t="str">
        <f t="shared" ca="1" si="496"/>
        <v>F</v>
      </c>
      <c r="D2613" s="1658" t="s">
        <v>1357</v>
      </c>
      <c r="E2613" s="791" t="s">
        <v>1358</v>
      </c>
      <c r="F2613" s="1658"/>
      <c r="G2613" s="1658"/>
      <c r="H2613" s="1658"/>
      <c r="I2613" s="1274" t="str">
        <f t="shared" si="493"/>
        <v>Name</v>
      </c>
      <c r="J2613" s="1658" t="str">
        <f>IF(P2612="",Q$1&amp;M2613,"")</f>
        <v>F1577</v>
      </c>
      <c r="K2613" s="1658" t="str">
        <f t="shared" si="494"/>
        <v>Required Info to Submit</v>
      </c>
      <c r="L2613" s="824" t="s">
        <v>766</v>
      </c>
      <c r="M2613" s="1658">
        <v>1577</v>
      </c>
      <c r="N2613" s="1658"/>
    </row>
    <row r="2614" spans="1:17" s="1657" customFormat="1" x14ac:dyDescent="0.25">
      <c r="A2614" s="843" t="s">
        <v>765</v>
      </c>
      <c r="B2614" s="791" t="str">
        <f t="shared" ca="1" si="499"/>
        <v>K41</v>
      </c>
      <c r="C2614" s="791" t="str">
        <f t="shared" ca="1" si="496"/>
        <v>K</v>
      </c>
      <c r="D2614" s="1658" t="s">
        <v>1357</v>
      </c>
      <c r="E2614" s="791" t="s">
        <v>1358</v>
      </c>
      <c r="F2614" s="1658"/>
      <c r="G2614" s="1658"/>
      <c r="H2614" s="1658"/>
      <c r="I2614" s="1274" t="str">
        <f t="shared" si="493"/>
        <v/>
      </c>
      <c r="J2614" s="1658"/>
      <c r="K2614" s="1658" t="str">
        <f t="shared" si="494"/>
        <v/>
      </c>
      <c r="L2614" s="824" t="s">
        <v>765</v>
      </c>
      <c r="M2614" s="1658">
        <v>1587</v>
      </c>
      <c r="N2614" s="1658"/>
    </row>
    <row r="2615" spans="1:17" s="1657" customFormat="1" x14ac:dyDescent="0.25">
      <c r="A2615" s="843" t="s">
        <v>1179</v>
      </c>
      <c r="B2615" s="791" t="str">
        <f t="shared" ca="1" si="499"/>
        <v>L41</v>
      </c>
      <c r="C2615" s="791" t="str">
        <f t="shared" ca="1" si="496"/>
        <v>L</v>
      </c>
      <c r="D2615" s="1658" t="s">
        <v>1357</v>
      </c>
      <c r="E2615" s="791" t="s">
        <v>1358</v>
      </c>
      <c r="F2615" s="1658"/>
      <c r="G2615" s="1658"/>
      <c r="H2615" s="1658"/>
      <c r="I2615" s="1274" t="str">
        <f t="shared" si="493"/>
        <v/>
      </c>
      <c r="J2615" s="1658"/>
      <c r="K2615" s="1658" t="str">
        <f t="shared" si="494"/>
        <v/>
      </c>
      <c r="L2615" s="824" t="s">
        <v>1179</v>
      </c>
      <c r="M2615" s="1658">
        <v>1588</v>
      </c>
      <c r="N2615" s="1658"/>
    </row>
    <row r="2616" spans="1:17" s="1657" customFormat="1" x14ac:dyDescent="0.25">
      <c r="A2616" s="843" t="s">
        <v>1180</v>
      </c>
      <c r="B2616" s="791" t="str">
        <f t="shared" ca="1" si="499"/>
        <v>M41</v>
      </c>
      <c r="C2616" s="791" t="str">
        <f t="shared" ca="1" si="496"/>
        <v>M</v>
      </c>
      <c r="D2616" s="1658" t="s">
        <v>1357</v>
      </c>
      <c r="E2616" s="791" t="s">
        <v>1358</v>
      </c>
      <c r="F2616" s="1658"/>
      <c r="G2616" s="1658"/>
      <c r="H2616" s="1658"/>
      <c r="I2616" s="1274" t="str">
        <f t="shared" si="493"/>
        <v>Secondary or Internal Customer</v>
      </c>
      <c r="J2616" s="1658" t="str">
        <f>IF(M2616&lt;&gt;"",Q$1&amp;M2616,"")</f>
        <v>F1589</v>
      </c>
      <c r="K2616" s="1658" t="str">
        <f t="shared" si="494"/>
        <v>Required Info to Submit</v>
      </c>
      <c r="L2616" s="824" t="s">
        <v>1180</v>
      </c>
      <c r="M2616" s="1658">
        <v>1589</v>
      </c>
      <c r="N2616" s="1658"/>
    </row>
    <row r="2617" spans="1:17" s="1657" customFormat="1" x14ac:dyDescent="0.25">
      <c r="A2617" s="843" t="s">
        <v>1181</v>
      </c>
      <c r="B2617" s="791" t="str">
        <f t="shared" ca="1" si="499"/>
        <v>N41</v>
      </c>
      <c r="C2617" s="791" t="str">
        <f t="shared" ca="1" si="496"/>
        <v>N</v>
      </c>
      <c r="D2617" s="1658" t="s">
        <v>1357</v>
      </c>
      <c r="E2617" s="791" t="s">
        <v>1358</v>
      </c>
      <c r="F2617" s="1658"/>
      <c r="G2617" s="1658"/>
      <c r="H2617" s="1658"/>
      <c r="I2617" s="1274" t="str">
        <f t="shared" si="493"/>
        <v>Fuel Surcharge Applied</v>
      </c>
      <c r="J2617" s="1658" t="str">
        <f>IF(M2617&lt;&gt;"",Q$1&amp;M2617,"")</f>
        <v>F1590</v>
      </c>
      <c r="K2617" s="1658" t="str">
        <f t="shared" si="494"/>
        <v>Required Info to Submit</v>
      </c>
      <c r="L2617" s="824" t="s">
        <v>1367</v>
      </c>
      <c r="M2617" s="1658">
        <v>1590</v>
      </c>
      <c r="N2617" s="1658"/>
    </row>
    <row r="2618" spans="1:17" s="1657" customFormat="1" x14ac:dyDescent="0.25">
      <c r="A2618" s="843" t="s">
        <v>1297</v>
      </c>
      <c r="B2618" s="791" t="str">
        <f t="shared" ca="1" si="499"/>
        <v>O41</v>
      </c>
      <c r="C2618" s="791" t="str">
        <f t="shared" ca="1" si="496"/>
        <v>O</v>
      </c>
      <c r="D2618" s="1658" t="s">
        <v>1357</v>
      </c>
      <c r="E2618" s="791" t="s">
        <v>1358</v>
      </c>
      <c r="F2618" s="1658"/>
      <c r="G2618" s="1658"/>
      <c r="H2618" s="1658"/>
      <c r="I2618" s="1274" t="str">
        <f t="shared" si="493"/>
        <v>Minimum Delivery Charge Applied Flag</v>
      </c>
      <c r="J2618" s="1658" t="str">
        <f>IF(M2618&lt;&gt;"",Q$1&amp;M2618,"")</f>
        <v>F1591</v>
      </c>
      <c r="K2618" s="1658" t="str">
        <f t="shared" si="494"/>
        <v>Required Info to Submit</v>
      </c>
      <c r="L2618" s="824" t="s">
        <v>1297</v>
      </c>
      <c r="M2618" s="1658">
        <v>1591</v>
      </c>
      <c r="N2618" s="1658"/>
    </row>
    <row r="2619" spans="1:17" s="1657" customFormat="1" x14ac:dyDescent="0.25">
      <c r="A2619" s="843" t="s">
        <v>767</v>
      </c>
      <c r="B2619" s="791" t="str">
        <f t="shared" ca="1" si="499"/>
        <v>G41</v>
      </c>
      <c r="C2619" s="791" t="str">
        <f t="shared" ca="1" si="496"/>
        <v>G</v>
      </c>
      <c r="D2619" s="1658" t="s">
        <v>1357</v>
      </c>
      <c r="E2619" s="791" t="s">
        <v>1358</v>
      </c>
      <c r="F2619" s="1658"/>
      <c r="G2619" s="1658"/>
      <c r="H2619" s="1658"/>
      <c r="I2619" s="1274" t="str">
        <f t="shared" si="493"/>
        <v>Address</v>
      </c>
      <c r="J2619" s="1658" t="str">
        <f>IF(P2612="",Q$1&amp;M2619,"")</f>
        <v>F1592</v>
      </c>
      <c r="K2619" s="1658" t="str">
        <f t="shared" si="494"/>
        <v>Required Info to Submit</v>
      </c>
      <c r="L2619" s="824" t="s">
        <v>767</v>
      </c>
      <c r="M2619" s="1658">
        <v>1592</v>
      </c>
      <c r="N2619" s="1658"/>
    </row>
    <row r="2620" spans="1:17" s="1657" customFormat="1" x14ac:dyDescent="0.25">
      <c r="A2620" s="843" t="s">
        <v>768</v>
      </c>
      <c r="B2620" s="791" t="str">
        <f t="shared" ca="1" si="499"/>
        <v>H41</v>
      </c>
      <c r="C2620" s="791" t="str">
        <f t="shared" ca="1" si="496"/>
        <v>H</v>
      </c>
      <c r="D2620" s="1658" t="s">
        <v>1357</v>
      </c>
      <c r="E2620" s="791" t="s">
        <v>1358</v>
      </c>
      <c r="F2620" s="1658"/>
      <c r="G2620" s="1658"/>
      <c r="H2620" s="1658"/>
      <c r="I2620" s="1274" t="str">
        <f t="shared" si="493"/>
        <v>City</v>
      </c>
      <c r="J2620" s="1658" t="str">
        <f>IF(P2612="",Q$1&amp;M2620,"")</f>
        <v>F1593</v>
      </c>
      <c r="K2620" s="1658" t="str">
        <f t="shared" si="494"/>
        <v>Required Info to Submit</v>
      </c>
      <c r="L2620" s="824" t="s">
        <v>768</v>
      </c>
      <c r="M2620" s="1658">
        <v>1593</v>
      </c>
      <c r="N2620" s="1658"/>
    </row>
    <row r="2621" spans="1:17" s="1657" customFormat="1" x14ac:dyDescent="0.25">
      <c r="A2621" s="843" t="s">
        <v>769</v>
      </c>
      <c r="B2621" s="791" t="str">
        <f t="shared" ca="1" si="499"/>
        <v>I41</v>
      </c>
      <c r="C2621" s="791" t="str">
        <f t="shared" ca="1" si="496"/>
        <v>I</v>
      </c>
      <c r="D2621" s="1658" t="s">
        <v>1357</v>
      </c>
      <c r="E2621" s="791" t="s">
        <v>1358</v>
      </c>
      <c r="F2621" s="1658"/>
      <c r="G2621" s="1658"/>
      <c r="H2621" s="1658"/>
      <c r="I2621" s="1274" t="str">
        <f t="shared" si="493"/>
        <v>State</v>
      </c>
      <c r="J2621" s="1658" t="str">
        <f>IF(P2612="",Q$1&amp;M2621,"")</f>
        <v>F1594</v>
      </c>
      <c r="K2621" s="1658" t="str">
        <f t="shared" si="494"/>
        <v>Required Info to Submit</v>
      </c>
      <c r="L2621" s="824" t="s">
        <v>769</v>
      </c>
      <c r="M2621" s="1658">
        <v>1594</v>
      </c>
      <c r="N2621" s="1658"/>
    </row>
    <row r="2622" spans="1:17" s="1657" customFormat="1" x14ac:dyDescent="0.25">
      <c r="A2622" s="843" t="s">
        <v>204</v>
      </c>
      <c r="B2622" s="791" t="str">
        <f t="shared" ca="1" si="499"/>
        <v>J41</v>
      </c>
      <c r="C2622" s="791" t="str">
        <f t="shared" ca="1" si="496"/>
        <v>J</v>
      </c>
      <c r="D2622" s="1658" t="s">
        <v>1357</v>
      </c>
      <c r="E2622" s="791" t="s">
        <v>1358</v>
      </c>
      <c r="F2622" s="1658"/>
      <c r="G2622" s="1658"/>
      <c r="H2622" s="1658"/>
      <c r="I2622" s="1274" t="str">
        <f t="shared" si="493"/>
        <v>Zip Code</v>
      </c>
      <c r="J2622" s="1658" t="str">
        <f>IF(P2612="",Q$1&amp;M2622,"")</f>
        <v>F1595</v>
      </c>
      <c r="K2622" s="1658" t="str">
        <f t="shared" si="494"/>
        <v>Required Info to Submit</v>
      </c>
      <c r="L2622" s="824" t="s">
        <v>204</v>
      </c>
      <c r="M2622" s="1658">
        <v>1595</v>
      </c>
      <c r="N2622" s="1658"/>
    </row>
    <row r="2623" spans="1:17" s="1657" customFormat="1" x14ac:dyDescent="0.25">
      <c r="A2623" s="844" t="s">
        <v>1178</v>
      </c>
      <c r="B2623" s="791" t="str">
        <f ca="1">_xlfn.IFNA(_xlfn.CONCAT(SUBSTITUTE(ADDRESS(1,MATCH(A2623,INDIRECT("'"&amp;E2623&amp;"'"&amp;"!A22:Z22"),0),4),1,""),42),"")</f>
        <v>E42</v>
      </c>
      <c r="C2623" s="791" t="str">
        <f t="shared" ca="1" si="496"/>
        <v>E</v>
      </c>
      <c r="D2623" s="1658" t="s">
        <v>1357</v>
      </c>
      <c r="E2623" s="791" t="s">
        <v>1358</v>
      </c>
      <c r="F2623" s="1658"/>
      <c r="G2623" s="1658"/>
      <c r="H2623" s="1658"/>
      <c r="I2623" s="1274" t="str">
        <f t="shared" si="493"/>
        <v/>
      </c>
      <c r="J2623" s="1658"/>
      <c r="K2623" s="1658" t="str">
        <f t="shared" si="494"/>
        <v/>
      </c>
      <c r="L2623" s="824" t="s">
        <v>1178</v>
      </c>
      <c r="M2623" s="1658">
        <v>1596</v>
      </c>
      <c r="N2623" s="1658"/>
      <c r="P2623" s="1658" t="str">
        <f>IFERROR(VLOOKUP(Q$2623,'Existing Customers'!$A:$F,1,FALSE),"")</f>
        <v/>
      </c>
      <c r="Q2623" s="1658"/>
    </row>
    <row r="2624" spans="1:17" s="1657" customFormat="1" x14ac:dyDescent="0.25">
      <c r="A2624" s="845" t="s">
        <v>766</v>
      </c>
      <c r="B2624" s="791" t="str">
        <f t="shared" ref="B2624:B2633" ca="1" si="500">_xlfn.IFNA(_xlfn.CONCAT(SUBSTITUTE(ADDRESS(1,MATCH(A2624,INDIRECT("'"&amp;E2624&amp;"'"&amp;"!A22:Z22"),0),4),1,""),42),"")</f>
        <v>F42</v>
      </c>
      <c r="C2624" s="791" t="str">
        <f t="shared" ca="1" si="496"/>
        <v>F</v>
      </c>
      <c r="D2624" s="1658" t="s">
        <v>1357</v>
      </c>
      <c r="E2624" s="791" t="s">
        <v>1358</v>
      </c>
      <c r="F2624" s="1658"/>
      <c r="G2624" s="1658"/>
      <c r="H2624" s="1658"/>
      <c r="I2624" s="1274" t="str">
        <f t="shared" si="493"/>
        <v>Name</v>
      </c>
      <c r="J2624" s="1658" t="str">
        <f>IF(P2623="",Q$1&amp;M2624,"")</f>
        <v>F1598</v>
      </c>
      <c r="K2624" s="1658" t="str">
        <f t="shared" si="494"/>
        <v>Required Info to Submit</v>
      </c>
      <c r="L2624" s="824" t="s">
        <v>766</v>
      </c>
      <c r="M2624" s="1658">
        <v>1598</v>
      </c>
      <c r="N2624" s="1658"/>
    </row>
    <row r="2625" spans="1:20" s="1657" customFormat="1" x14ac:dyDescent="0.25">
      <c r="A2625" s="845" t="s">
        <v>765</v>
      </c>
      <c r="B2625" s="791" t="str">
        <f t="shared" ca="1" si="500"/>
        <v>K42</v>
      </c>
      <c r="C2625" s="791" t="str">
        <f t="shared" ca="1" si="496"/>
        <v>K</v>
      </c>
      <c r="D2625" s="1658" t="s">
        <v>1357</v>
      </c>
      <c r="E2625" s="791" t="s">
        <v>1358</v>
      </c>
      <c r="F2625" s="1658"/>
      <c r="G2625" s="1658"/>
      <c r="H2625" s="1658"/>
      <c r="I2625" s="1274" t="str">
        <f t="shared" si="493"/>
        <v/>
      </c>
      <c r="J2625" s="1658"/>
      <c r="K2625" s="1658" t="str">
        <f t="shared" si="494"/>
        <v/>
      </c>
      <c r="L2625" s="824" t="s">
        <v>765</v>
      </c>
      <c r="M2625" s="1658">
        <v>1608</v>
      </c>
      <c r="N2625" s="1658"/>
    </row>
    <row r="2626" spans="1:20" s="1657" customFormat="1" x14ac:dyDescent="0.25">
      <c r="A2626" s="845" t="s">
        <v>1179</v>
      </c>
      <c r="B2626" s="791" t="str">
        <f t="shared" ca="1" si="500"/>
        <v>L42</v>
      </c>
      <c r="C2626" s="791" t="str">
        <f t="shared" ca="1" si="496"/>
        <v>L</v>
      </c>
      <c r="D2626" s="1658" t="s">
        <v>1357</v>
      </c>
      <c r="E2626" s="791" t="s">
        <v>1358</v>
      </c>
      <c r="F2626" s="1658"/>
      <c r="G2626" s="1658"/>
      <c r="H2626" s="1658"/>
      <c r="I2626" s="1274" t="str">
        <f t="shared" si="493"/>
        <v/>
      </c>
      <c r="J2626" s="1658"/>
      <c r="K2626" s="1658" t="str">
        <f t="shared" si="494"/>
        <v/>
      </c>
      <c r="L2626" s="824" t="s">
        <v>1179</v>
      </c>
      <c r="M2626" s="1658">
        <v>1609</v>
      </c>
      <c r="N2626" s="1658"/>
    </row>
    <row r="2627" spans="1:20" s="1657" customFormat="1" x14ac:dyDescent="0.25">
      <c r="A2627" s="845" t="s">
        <v>1180</v>
      </c>
      <c r="B2627" s="791" t="str">
        <f t="shared" ca="1" si="500"/>
        <v>M42</v>
      </c>
      <c r="C2627" s="791" t="str">
        <f t="shared" ca="1" si="496"/>
        <v>M</v>
      </c>
      <c r="D2627" s="1658" t="s">
        <v>1357</v>
      </c>
      <c r="E2627" s="791" t="s">
        <v>1358</v>
      </c>
      <c r="F2627" s="1658"/>
      <c r="G2627" s="1658"/>
      <c r="H2627" s="1658"/>
      <c r="I2627" s="1274" t="str">
        <f t="shared" si="493"/>
        <v>Secondary or Internal Customer</v>
      </c>
      <c r="J2627" s="1658" t="str">
        <f>IF(M2627&lt;&gt;"",Q$1&amp;M2627,"")</f>
        <v>F1610</v>
      </c>
      <c r="K2627" s="1658" t="str">
        <f t="shared" si="494"/>
        <v>Required Info to Submit</v>
      </c>
      <c r="L2627" s="824" t="s">
        <v>1180</v>
      </c>
      <c r="M2627" s="1658">
        <v>1610</v>
      </c>
      <c r="N2627" s="1658"/>
    </row>
    <row r="2628" spans="1:20" s="1657" customFormat="1" x14ac:dyDescent="0.25">
      <c r="A2628" s="845" t="s">
        <v>1181</v>
      </c>
      <c r="B2628" s="791" t="str">
        <f t="shared" ca="1" si="500"/>
        <v>N42</v>
      </c>
      <c r="C2628" s="791" t="str">
        <f t="shared" ca="1" si="496"/>
        <v>N</v>
      </c>
      <c r="D2628" s="1658" t="s">
        <v>1357</v>
      </c>
      <c r="E2628" s="791" t="s">
        <v>1358</v>
      </c>
      <c r="F2628" s="1658"/>
      <c r="G2628" s="1658"/>
      <c r="H2628" s="1658"/>
      <c r="I2628" s="1274" t="str">
        <f t="shared" si="493"/>
        <v>Fuel Surcharge Applied</v>
      </c>
      <c r="J2628" s="1658" t="str">
        <f>IF(M2628&lt;&gt;"",Q$1&amp;M2628,"")</f>
        <v>F1611</v>
      </c>
      <c r="K2628" s="1658" t="str">
        <f t="shared" si="494"/>
        <v>Required Info to Submit</v>
      </c>
      <c r="L2628" s="824" t="s">
        <v>1367</v>
      </c>
      <c r="M2628" s="1658">
        <v>1611</v>
      </c>
      <c r="N2628" s="1658"/>
    </row>
    <row r="2629" spans="1:20" s="1657" customFormat="1" x14ac:dyDescent="0.25">
      <c r="A2629" s="845" t="s">
        <v>1297</v>
      </c>
      <c r="B2629" s="791" t="str">
        <f t="shared" ca="1" si="500"/>
        <v>O42</v>
      </c>
      <c r="C2629" s="791" t="str">
        <f t="shared" ca="1" si="496"/>
        <v>O</v>
      </c>
      <c r="D2629" s="1658" t="s">
        <v>1357</v>
      </c>
      <c r="E2629" s="791" t="s">
        <v>1358</v>
      </c>
      <c r="F2629" s="1658"/>
      <c r="G2629" s="1658"/>
      <c r="H2629" s="1658"/>
      <c r="I2629" s="1274" t="str">
        <f t="shared" si="493"/>
        <v>Minimum Delivery Charge Applied Flag</v>
      </c>
      <c r="J2629" s="1658" t="str">
        <f>IF(M2629&lt;&gt;"",Q$1&amp;M2629,"")</f>
        <v>F1612</v>
      </c>
      <c r="K2629" s="1658" t="str">
        <f t="shared" si="494"/>
        <v>Required Info to Submit</v>
      </c>
      <c r="L2629" s="824" t="s">
        <v>1297</v>
      </c>
      <c r="M2629" s="1658">
        <v>1612</v>
      </c>
      <c r="N2629" s="1658"/>
    </row>
    <row r="2630" spans="1:20" s="1657" customFormat="1" x14ac:dyDescent="0.25">
      <c r="A2630" s="845" t="s">
        <v>767</v>
      </c>
      <c r="B2630" s="791" t="str">
        <f t="shared" ca="1" si="500"/>
        <v>G42</v>
      </c>
      <c r="C2630" s="791" t="str">
        <f t="shared" ca="1" si="496"/>
        <v>G</v>
      </c>
      <c r="D2630" s="1658" t="s">
        <v>1357</v>
      </c>
      <c r="E2630" s="791" t="s">
        <v>1358</v>
      </c>
      <c r="F2630" s="1658"/>
      <c r="G2630" s="1658"/>
      <c r="H2630" s="1658"/>
      <c r="I2630" s="1274" t="str">
        <f t="shared" si="493"/>
        <v>Address</v>
      </c>
      <c r="J2630" s="1658" t="str">
        <f>IF(P2623="",Q$1&amp;M2630,"")</f>
        <v>F1613</v>
      </c>
      <c r="K2630" s="1658" t="str">
        <f t="shared" si="494"/>
        <v>Required Info to Submit</v>
      </c>
      <c r="L2630" s="824" t="s">
        <v>767</v>
      </c>
      <c r="M2630" s="1658">
        <v>1613</v>
      </c>
      <c r="N2630" s="1658"/>
    </row>
    <row r="2631" spans="1:20" s="1657" customFormat="1" x14ac:dyDescent="0.25">
      <c r="A2631" s="845" t="s">
        <v>768</v>
      </c>
      <c r="B2631" s="791" t="str">
        <f t="shared" ca="1" si="500"/>
        <v>H42</v>
      </c>
      <c r="C2631" s="791" t="str">
        <f t="shared" ca="1" si="496"/>
        <v>H</v>
      </c>
      <c r="D2631" s="1658" t="s">
        <v>1357</v>
      </c>
      <c r="E2631" s="791" t="s">
        <v>1358</v>
      </c>
      <c r="F2631" s="1658"/>
      <c r="G2631" s="1658"/>
      <c r="H2631" s="1658"/>
      <c r="I2631" s="1274" t="str">
        <f t="shared" si="493"/>
        <v>City</v>
      </c>
      <c r="J2631" s="1658" t="str">
        <f>IF(P2623="",Q$1&amp;M2631,"")</f>
        <v>F1614</v>
      </c>
      <c r="K2631" s="1658" t="str">
        <f t="shared" si="494"/>
        <v>Required Info to Submit</v>
      </c>
      <c r="L2631" s="824" t="s">
        <v>768</v>
      </c>
      <c r="M2631" s="1658">
        <v>1614</v>
      </c>
      <c r="N2631" s="1658"/>
    </row>
    <row r="2632" spans="1:20" s="1657" customFormat="1" x14ac:dyDescent="0.25">
      <c r="A2632" s="845" t="s">
        <v>769</v>
      </c>
      <c r="B2632" s="791" t="str">
        <f t="shared" ca="1" si="500"/>
        <v>I42</v>
      </c>
      <c r="C2632" s="791" t="str">
        <f t="shared" ca="1" si="496"/>
        <v>I</v>
      </c>
      <c r="D2632" s="1658" t="s">
        <v>1357</v>
      </c>
      <c r="E2632" s="791" t="s">
        <v>1358</v>
      </c>
      <c r="F2632" s="1658"/>
      <c r="G2632" s="1658"/>
      <c r="H2632" s="1658"/>
      <c r="I2632" s="1274" t="str">
        <f t="shared" si="493"/>
        <v>State</v>
      </c>
      <c r="J2632" s="1658" t="str">
        <f>IF(P2623="",Q$1&amp;M2632,"")</f>
        <v>F1615</v>
      </c>
      <c r="K2632" s="1658" t="str">
        <f t="shared" si="494"/>
        <v>Required Info to Submit</v>
      </c>
      <c r="L2632" s="824" t="s">
        <v>769</v>
      </c>
      <c r="M2632" s="1658">
        <v>1615</v>
      </c>
      <c r="N2632" s="1658"/>
    </row>
    <row r="2633" spans="1:20" s="1657" customFormat="1" x14ac:dyDescent="0.25">
      <c r="A2633" s="845" t="s">
        <v>204</v>
      </c>
      <c r="B2633" s="791" t="str">
        <f t="shared" ca="1" si="500"/>
        <v>J42</v>
      </c>
      <c r="C2633" s="791" t="str">
        <f t="shared" ca="1" si="496"/>
        <v>J</v>
      </c>
      <c r="D2633" s="1658" t="s">
        <v>1357</v>
      </c>
      <c r="E2633" s="791" t="s">
        <v>1358</v>
      </c>
      <c r="F2633" s="1658"/>
      <c r="G2633" s="1658"/>
      <c r="H2633" s="1658"/>
      <c r="I2633" s="1274" t="str">
        <f t="shared" si="493"/>
        <v>Zip Code</v>
      </c>
      <c r="J2633" s="1658" t="str">
        <f>IF(P2623="",Q$1&amp;M2633,"")</f>
        <v>F1616</v>
      </c>
      <c r="K2633" s="1658" t="str">
        <f t="shared" si="494"/>
        <v>Required Info to Submit</v>
      </c>
      <c r="L2633" s="824" t="s">
        <v>204</v>
      </c>
      <c r="M2633" s="1658">
        <v>1616</v>
      </c>
      <c r="N2633" s="1658"/>
    </row>
    <row r="2634" spans="1:20" s="1669" customFormat="1" x14ac:dyDescent="0.25">
      <c r="A2634" s="846" t="s">
        <v>1491</v>
      </c>
      <c r="B2634" s="826" t="str">
        <f ca="1">IFERROR(_xlfn.CONCAT("C",MATCH(A2634,INDIRECT("'"&amp;E2634&amp;"'!C"&amp;$O$2635&amp;":C"&amp;$O$2637),0)+$O$2635-1),"")</f>
        <v>C633</v>
      </c>
      <c r="C2634" s="826" t="str">
        <f ca="1">IFERROR(_xlfn.CONCAT("D",MATCH(A2634,INDIRECT("'"&amp;E2634&amp;"'!C"&amp;$O$2635&amp;":C"&amp;$O$2637),0)+$O$2635-1),"")</f>
        <v>D633</v>
      </c>
      <c r="D2634" s="826" t="s">
        <v>1350</v>
      </c>
      <c r="E2634" s="826" t="s">
        <v>1516</v>
      </c>
      <c r="F2634" s="826" t="s">
        <v>1491</v>
      </c>
      <c r="G2634" s="1671" t="str">
        <f>IF(T2634&lt;&gt;"","A","")</f>
        <v/>
      </c>
      <c r="H2634" s="1671" t="s">
        <v>1990</v>
      </c>
      <c r="I2634" s="826"/>
      <c r="J2634" s="826"/>
      <c r="K2634" s="826"/>
      <c r="L2634" s="826" t="s">
        <v>1491</v>
      </c>
      <c r="M2634" s="1332">
        <v>1617</v>
      </c>
      <c r="N2634" s="826"/>
      <c r="O2634" s="1669" t="s">
        <v>725</v>
      </c>
      <c r="R2634" s="1671" t="s">
        <v>2191</v>
      </c>
      <c r="T2634" s="1671" t="str">
        <f>IF(Q$2635="Yes",45,"")</f>
        <v/>
      </c>
    </row>
    <row r="2635" spans="1:20" s="1669" customFormat="1" x14ac:dyDescent="0.25">
      <c r="A2635" s="846" t="s">
        <v>1705</v>
      </c>
      <c r="B2635" s="826" t="str">
        <f ca="1">_xlfn.CONCAT(IFERROR(SUBSTITUTE(ADDRESS(1,MATCH(A2635,INDIRECT("'"&amp;E2635&amp;"'"&amp;"!A" &amp; $O$2635+ 11 &amp; ":Z" &amp; $O$2635 + 11),0),4),1,""),""),$O$2635+ 11)</f>
        <v>T640</v>
      </c>
      <c r="C2635" s="826" t="str">
        <f ca="1">_xlfn.CONCAT(IFERROR(SUBSTITUTE(ADDRESS(1,MATCH(A2635,INDIRECT("'"&amp;E2635&amp;"'"&amp;"!A" &amp; $O$2635+ 11 &amp; ":Z" &amp; $O$2635 + 11),0),4),1,""),""),$O$2635+ 12)</f>
        <v>T641</v>
      </c>
      <c r="D2635" s="826" t="s">
        <v>1350</v>
      </c>
      <c r="E2635" s="826" t="s">
        <v>1516</v>
      </c>
      <c r="F2635" s="826"/>
      <c r="G2635" s="1671"/>
      <c r="H2635" s="1671"/>
      <c r="I2635" s="826"/>
      <c r="J2635" s="826"/>
      <c r="K2635" s="826"/>
      <c r="L2635" s="826" t="s">
        <v>1705</v>
      </c>
      <c r="M2635" s="1332">
        <v>1618</v>
      </c>
      <c r="N2635" s="826"/>
      <c r="O2635" s="1669">
        <f>'Configurable Tab'!H47</f>
        <v>629</v>
      </c>
      <c r="P2635" s="18" t="str">
        <f>'Configurable Tab'!J47</f>
        <v>No</v>
      </c>
      <c r="Q2635" s="1669" t="s">
        <v>648</v>
      </c>
      <c r="R2635" s="1671" t="s">
        <v>2191</v>
      </c>
      <c r="T2635" s="1671" t="str">
        <f t="shared" ref="T2635:T2644" si="501">IF(Q$2635="Yes",45,"")</f>
        <v/>
      </c>
    </row>
    <row r="2636" spans="1:20" s="1669" customFormat="1" x14ac:dyDescent="0.25">
      <c r="A2636" s="846" t="s">
        <v>1383</v>
      </c>
      <c r="B2636" s="826" t="str">
        <f ca="1">IFERROR(_xlfn.CONCAT("C",MATCH(A2636,INDIRECT("'"&amp;E2636&amp;"'!C"&amp;$O$2635&amp;":C"&amp;$O$2637),0)+$O$2635-1),"")</f>
        <v>C631</v>
      </c>
      <c r="C2636" s="826" t="str">
        <f ca="1">IFERROR(_xlfn.CONCAT("D",MATCH(A2636,INDIRECT("'"&amp;E2636&amp;"'!C"&amp;$O$2635&amp;":C"&amp;$O$2637),0)+$O$2635-1),"")</f>
        <v>D631</v>
      </c>
      <c r="D2636" s="826" t="s">
        <v>1350</v>
      </c>
      <c r="E2636" s="826" t="s">
        <v>1516</v>
      </c>
      <c r="F2636" s="826" t="s">
        <v>1383</v>
      </c>
      <c r="G2636" s="1671" t="str">
        <f>IF(T2636&lt;&gt;"","B","")</f>
        <v/>
      </c>
      <c r="H2636" s="1671" t="s">
        <v>1990</v>
      </c>
      <c r="I2636" s="826"/>
      <c r="J2636" s="826"/>
      <c r="K2636" s="826"/>
      <c r="L2636" s="826" t="s">
        <v>1383</v>
      </c>
      <c r="M2636" s="1332">
        <v>1619</v>
      </c>
      <c r="N2636" s="826"/>
      <c r="O2636" s="1669" t="s">
        <v>726</v>
      </c>
      <c r="R2636" s="1671" t="s">
        <v>2191</v>
      </c>
      <c r="T2636" s="1671" t="str">
        <f t="shared" si="501"/>
        <v/>
      </c>
    </row>
    <row r="2637" spans="1:20" s="1669" customFormat="1" x14ac:dyDescent="0.25">
      <c r="A2637" s="846" t="s">
        <v>1381</v>
      </c>
      <c r="B2637" s="826" t="str">
        <f ca="1">_xlfn.CONCAT(IFERROR(SUBSTITUTE(ADDRESS(1,MATCH(A2637,INDIRECT("'"&amp;E2637&amp;"'"&amp;"!A" &amp; $O$2635+ 2 &amp; ":Z" &amp; $O$2635 + 2),0),4),1,""),""),$O$2635+ 2)</f>
        <v>J631</v>
      </c>
      <c r="C2637" s="826" t="str">
        <f ca="1">_xlfn.CONCAT(IFERROR(SUBSTITUTE(ADDRESS(1,MATCH(A2637,INDIRECT("'"&amp;E2637&amp;"'"&amp;"!A" &amp; $O$2635+ 2 &amp; ":Z" &amp; $O$2635 + 2),0),4),1,""),""),$O$2635+ 3)</f>
        <v>J632</v>
      </c>
      <c r="D2637" s="826" t="s">
        <v>1350</v>
      </c>
      <c r="E2637" s="826" t="s">
        <v>1516</v>
      </c>
      <c r="F2637" s="826" t="s">
        <v>1992</v>
      </c>
      <c r="G2637" s="1671" t="str">
        <f>IF(T2637&lt;&gt;"","I","")</f>
        <v/>
      </c>
      <c r="H2637" s="1671" t="s">
        <v>1990</v>
      </c>
      <c r="I2637" s="826"/>
      <c r="J2637" s="826"/>
      <c r="K2637" s="826"/>
      <c r="L2637" s="826" t="s">
        <v>1381</v>
      </c>
      <c r="M2637" s="1332">
        <v>1620</v>
      </c>
      <c r="N2637" s="826"/>
      <c r="O2637" s="1669">
        <f>'Configurable Tab'!I47</f>
        <v>642</v>
      </c>
      <c r="R2637" s="1671" t="s">
        <v>2191</v>
      </c>
      <c r="T2637" s="1671" t="str">
        <f t="shared" si="501"/>
        <v/>
      </c>
    </row>
    <row r="2638" spans="1:20" s="1669" customFormat="1" x14ac:dyDescent="0.25">
      <c r="A2638" s="846" t="s">
        <v>1382</v>
      </c>
      <c r="B2638" s="826" t="str">
        <f ca="1">_xlfn.CONCAT(IFERROR(SUBSTITUTE(ADDRESS(1,MATCH(A2638,INDIRECT("'"&amp;E2638&amp;"'"&amp;"!A" &amp; $O$2635+ 2 &amp; ":Z" &amp; $O$2635 + 2),0),4),1,""),""),$O$2635+ 2)</f>
        <v>N631</v>
      </c>
      <c r="C2638" s="826" t="str">
        <f ca="1">_xlfn.CONCAT(IFERROR(SUBSTITUTE(ADDRESS(1,MATCH(A2638,INDIRECT("'"&amp;E2638&amp;"'"&amp;"!A" &amp; $O$2635+ 2 &amp; ":Z" &amp; $O$2635 + 2),0),4),1,""),""),$O$2635+ 3)</f>
        <v>N632</v>
      </c>
      <c r="D2638" s="826" t="s">
        <v>1350</v>
      </c>
      <c r="E2638" s="826" t="s">
        <v>1516</v>
      </c>
      <c r="F2638" s="826" t="s">
        <v>1382</v>
      </c>
      <c r="G2638" s="1671" t="str">
        <f>IF(T2638&lt;&gt;"",IF(Q2637="Credit Memo","J",IF(Q2637="Check","K","")),"")</f>
        <v/>
      </c>
      <c r="H2638" s="1671" t="s">
        <v>1990</v>
      </c>
      <c r="I2638" s="826"/>
      <c r="J2638" s="826"/>
      <c r="K2638" s="826"/>
      <c r="L2638" s="826" t="s">
        <v>1382</v>
      </c>
      <c r="M2638" s="1332">
        <v>1621</v>
      </c>
      <c r="N2638" s="826"/>
      <c r="O2638" s="1669" t="s">
        <v>2192</v>
      </c>
      <c r="R2638" s="1671" t="s">
        <v>2191</v>
      </c>
      <c r="T2638" s="1671" t="str">
        <f t="shared" si="501"/>
        <v/>
      </c>
    </row>
    <row r="2639" spans="1:20" s="1669" customFormat="1" x14ac:dyDescent="0.25">
      <c r="A2639" s="846" t="s">
        <v>1385</v>
      </c>
      <c r="B2639" s="826" t="str">
        <f ca="1">IFERROR(_xlfn.CONCAT("C",MATCH(A2639,INDIRECT("'"&amp;E2639&amp;"'!C"&amp;$O$2635&amp;":C"&amp;$O$2637),0)+$O$2635-1),"")</f>
        <v>C635</v>
      </c>
      <c r="C2639" s="826" t="str">
        <f ca="1">IFERROR(_xlfn.CONCAT("D",MATCH(A2639,INDIRECT("'"&amp;E2639&amp;"'!C"&amp;$O$2635&amp;":C"&amp;$O$2637),0)+$O$2635-1),"")</f>
        <v>D635</v>
      </c>
      <c r="D2639" s="826" t="s">
        <v>1350</v>
      </c>
      <c r="E2639" s="826" t="s">
        <v>1516</v>
      </c>
      <c r="F2639" s="826" t="s">
        <v>1385</v>
      </c>
      <c r="G2639" s="1671" t="str">
        <f>IF(T2639&lt;&gt;"","C","")</f>
        <v/>
      </c>
      <c r="H2639" s="1671" t="s">
        <v>1990</v>
      </c>
      <c r="I2639" s="826"/>
      <c r="J2639" s="826"/>
      <c r="K2639" s="826"/>
      <c r="L2639" s="826" t="s">
        <v>1385</v>
      </c>
      <c r="M2639" s="1332">
        <v>1622</v>
      </c>
      <c r="N2639" s="826"/>
      <c r="R2639" s="1671" t="s">
        <v>2191</v>
      </c>
      <c r="T2639" s="1671" t="str">
        <f t="shared" si="501"/>
        <v/>
      </c>
    </row>
    <row r="2640" spans="1:20" s="1669" customFormat="1" x14ac:dyDescent="0.25">
      <c r="A2640" s="846" t="s">
        <v>1386</v>
      </c>
      <c r="B2640" s="826" t="str">
        <f ca="1">IFERROR(_xlfn.CONCAT("C",MATCH(A2640,INDIRECT("'"&amp;E2640&amp;"'!C"&amp;$O$2635&amp;":C"&amp;$O$2637),0)+$O$2635-1),"")</f>
        <v>C637</v>
      </c>
      <c r="C2640" s="826" t="str">
        <f ca="1">IFERROR(_xlfn.CONCAT("D",MATCH(A2640,INDIRECT("'"&amp;E2640&amp;"'!C"&amp;$O$2635&amp;":C"&amp;$O$2637),0)+$O$2635-1),"")</f>
        <v>D637</v>
      </c>
      <c r="D2640" s="826" t="s">
        <v>1350</v>
      </c>
      <c r="E2640" s="826" t="s">
        <v>1516</v>
      </c>
      <c r="F2640" s="826" t="s">
        <v>1386</v>
      </c>
      <c r="G2640" s="1671" t="str">
        <f>IF(T2640&lt;&gt;"","D","")</f>
        <v/>
      </c>
      <c r="H2640" s="1671" t="s">
        <v>1990</v>
      </c>
      <c r="I2640" s="826"/>
      <c r="J2640" s="826"/>
      <c r="K2640" s="826"/>
      <c r="L2640" s="826" t="s">
        <v>1386</v>
      </c>
      <c r="M2640" s="1332">
        <v>1623</v>
      </c>
      <c r="N2640" s="826"/>
      <c r="R2640" s="1671" t="s">
        <v>2191</v>
      </c>
      <c r="T2640" s="1671" t="str">
        <f t="shared" si="501"/>
        <v/>
      </c>
    </row>
    <row r="2641" spans="1:20" s="1669" customFormat="1" x14ac:dyDescent="0.25">
      <c r="A2641" s="846" t="s">
        <v>1396</v>
      </c>
      <c r="B2641" s="826" t="str">
        <f ca="1">_xlfn.CONCAT(IFERROR(SUBSTITUTE(ADDRESS(1,MATCH(A2641,INDIRECT("'"&amp;E2641&amp;"'"&amp;"!A" &amp; $O$2635+ 5 &amp; ":Z" &amp; $O$2635 + 5),0),4),1,""),""),$O$2635+ 5)</f>
        <v>H634</v>
      </c>
      <c r="C2641" s="826" t="str">
        <f ca="1">_xlfn.CONCAT(IFERROR(SUBSTITUTE(ADDRESS(1,MATCH(A2641,INDIRECT("'"&amp;E2641&amp;"'"&amp;"!A" &amp; $O$2635+ 5 &amp; ":Z" &amp; $O$2635 + 5),0),4),1,""),""),$O$2635+ 6)</f>
        <v>H635</v>
      </c>
      <c r="D2641" s="826" t="s">
        <v>1350</v>
      </c>
      <c r="E2641" s="826" t="s">
        <v>1516</v>
      </c>
      <c r="F2641" s="1671" t="s">
        <v>1396</v>
      </c>
      <c r="G2641" s="1671" t="str">
        <f>IF(T2641&lt;&gt;"","S","")</f>
        <v/>
      </c>
      <c r="H2641" s="1671" t="s">
        <v>1990</v>
      </c>
      <c r="I2641" s="826"/>
      <c r="J2641" s="826"/>
      <c r="K2641" s="826"/>
      <c r="L2641" s="826" t="s">
        <v>1396</v>
      </c>
      <c r="M2641" s="1332">
        <v>1624</v>
      </c>
      <c r="N2641" s="826"/>
      <c r="R2641" s="1671" t="s">
        <v>2191</v>
      </c>
      <c r="T2641" s="1671" t="str">
        <f t="shared" si="501"/>
        <v/>
      </c>
    </row>
    <row r="2642" spans="1:20" s="1669" customFormat="1" x14ac:dyDescent="0.25">
      <c r="A2642" s="846" t="s">
        <v>2005</v>
      </c>
      <c r="B2642" s="826" t="str">
        <f ca="1">_xlfn.CONCAT(IFERROR(SUBSTITUTE(ADDRESS(1,MATCH(A2642,INDIRECT("'"&amp;E2642&amp;"'"&amp;"!A" &amp; $O$2635+ 8 &amp; ":Z" &amp; $O$2635 + 8),0),4),1,""),""),$O$2635 + 8)</f>
        <v>J637</v>
      </c>
      <c r="C2642" s="826" t="str">
        <f ca="1">_xlfn.CONCAT(IFERROR(SUBSTITUTE(ADDRESS(1,MATCH(A2642,INDIRECT("'"&amp;E2642&amp;"'"&amp;"!A" &amp; $O$2635+ 8 &amp; ":Z" &amp; $O$2635 + 8),0),4),1,""),""),$O$2635 + 9)</f>
        <v>J638</v>
      </c>
      <c r="D2642" s="826" t="s">
        <v>1350</v>
      </c>
      <c r="E2642" s="826" t="s">
        <v>1516</v>
      </c>
      <c r="F2642" s="826" t="s">
        <v>2005</v>
      </c>
      <c r="G2642" s="1671" t="str">
        <f>IF(T2642&lt;&gt;"","AQ","")</f>
        <v/>
      </c>
      <c r="H2642" s="1671" t="s">
        <v>1990</v>
      </c>
      <c r="I2642" s="826"/>
      <c r="J2642" s="826"/>
      <c r="K2642" s="826"/>
      <c r="L2642" s="826" t="s">
        <v>2005</v>
      </c>
      <c r="M2642" s="1332">
        <v>1625</v>
      </c>
      <c r="N2642" s="826"/>
      <c r="R2642" s="1671" t="s">
        <v>2191</v>
      </c>
      <c r="T2642" s="1671" t="str">
        <f t="shared" si="501"/>
        <v/>
      </c>
    </row>
    <row r="2643" spans="1:20" s="1669" customFormat="1" x14ac:dyDescent="0.25">
      <c r="A2643" s="846" t="s">
        <v>1482</v>
      </c>
      <c r="B2643" s="826" t="str">
        <f ca="1">_xlfn.CONCAT(IFERROR(SUBSTITUTE(ADDRESS(1,MATCH(A2643,INDIRECT("'"&amp;E2643&amp;"'"&amp;"!A" &amp; $O$2635+ 8 &amp; ":Z" &amp; $O$2635 + 8),0),4),1,""),""),$O$2635 + 8)</f>
        <v>N637</v>
      </c>
      <c r="C2643" s="826" t="str">
        <f ca="1">_xlfn.CONCAT(IFERROR(SUBSTITUTE(ADDRESS(1,MATCH(A2643,INDIRECT("'"&amp;E2643&amp;"'"&amp;"!A" &amp; $O$2635+ 8 &amp; ":Z" &amp; $O$2635 + 8),0),4),1,""),""),$O$2635 + 9)</f>
        <v>N638</v>
      </c>
      <c r="D2643" s="826" t="s">
        <v>1350</v>
      </c>
      <c r="E2643" s="826" t="s">
        <v>1516</v>
      </c>
      <c r="F2643" s="826" t="s">
        <v>2054</v>
      </c>
      <c r="G2643" s="1671" t="str">
        <f>IF(T2643&lt;&gt;"","AA","")</f>
        <v/>
      </c>
      <c r="H2643" s="1671" t="s">
        <v>1990</v>
      </c>
      <c r="I2643" s="826"/>
      <c r="J2643" s="826"/>
      <c r="K2643" s="826"/>
      <c r="L2643" s="826" t="s">
        <v>2006</v>
      </c>
      <c r="M2643" s="1332">
        <v>1626</v>
      </c>
      <c r="N2643" s="826"/>
      <c r="R2643" s="1671" t="s">
        <v>2191</v>
      </c>
      <c r="T2643" s="1671" t="str">
        <f t="shared" si="501"/>
        <v/>
      </c>
    </row>
    <row r="2644" spans="1:20" s="1669" customFormat="1" x14ac:dyDescent="0.25">
      <c r="A2644" s="846" t="s">
        <v>1397</v>
      </c>
      <c r="B2644" s="826" t="str">
        <f ca="1">_xlfn.CONCAT(IFERROR(SUBSTITUTE(ADDRESS(1,MATCH(A2644,INDIRECT("'"&amp;E2644&amp;"'"&amp;"!A" &amp; $O$2635+ 2 &amp; ":Z" &amp; $O$2635 + 2),0),4),1,""),""),$O$2635 + 2)</f>
        <v>L631</v>
      </c>
      <c r="C2644" s="826" t="str">
        <f ca="1">_xlfn.CONCAT(IFERROR(SUBSTITUTE(ADDRESS(1,MATCH(A2644,INDIRECT("'"&amp;E2644&amp;"'"&amp;"!A" &amp; $O$2635+ 2 &amp; ":Z" &amp; $O$2635 + 2),0),4),1,""),""),$O$2635 + 3)</f>
        <v>L632</v>
      </c>
      <c r="D2644" s="826" t="s">
        <v>1350</v>
      </c>
      <c r="E2644" s="826" t="s">
        <v>1516</v>
      </c>
      <c r="F2644" s="826" t="s">
        <v>1993</v>
      </c>
      <c r="G2644" s="1671" t="str">
        <f>IF(T2644&lt;&gt;"","H","")</f>
        <v/>
      </c>
      <c r="H2644" s="1671" t="s">
        <v>1990</v>
      </c>
      <c r="I2644" s="826"/>
      <c r="J2644" s="826"/>
      <c r="K2644" s="826"/>
      <c r="L2644" s="826" t="s">
        <v>1397</v>
      </c>
      <c r="M2644" s="1332">
        <v>1627</v>
      </c>
      <c r="N2644" s="826"/>
      <c r="R2644" s="1671" t="s">
        <v>2191</v>
      </c>
      <c r="T2644" s="1671" t="str">
        <f t="shared" si="501"/>
        <v/>
      </c>
    </row>
    <row r="2645" spans="1:20" s="1669" customFormat="1" x14ac:dyDescent="0.25">
      <c r="A2645" s="846" t="s">
        <v>1705</v>
      </c>
      <c r="B2645" s="1274" t="str">
        <f>IFERROR(_xlfn.CONCAT("D",('Configurable Tab'!$C$32+1)),"")</f>
        <v>D325</v>
      </c>
      <c r="C2645" s="1274" t="str">
        <f>IFERROR(_xlfn.CONCAT("E",('Configurable Tab'!$C$32+1)),"")</f>
        <v>E325</v>
      </c>
      <c r="D2645" s="826" t="s">
        <v>1350</v>
      </c>
      <c r="E2645" s="826" t="s">
        <v>1742</v>
      </c>
      <c r="F2645" s="1671"/>
      <c r="G2645" s="1671"/>
      <c r="H2645" s="1671"/>
      <c r="I2645" s="1274" t="str">
        <f t="shared" ref="I2645:I2655" si="502">IF(J2645&lt;&gt;"",A2645,"")</f>
        <v/>
      </c>
      <c r="J2645" s="1671" t="str">
        <f>IFERROR(IF($Q$2635="Yes",Q$1&amp;M2635,""),"")</f>
        <v/>
      </c>
      <c r="K2645" s="1671" t="str">
        <f t="shared" ref="K2645:K2655" si="503">IF(J2645&lt;&gt;"",E2645,"")</f>
        <v/>
      </c>
      <c r="M2645" s="1670"/>
      <c r="Q2645" s="1274" t="str">
        <f>IFERROR(_xlfn.CONCAT("C",('Configurable Tab'!$C32+1)),"")</f>
        <v>C325</v>
      </c>
      <c r="R2645" s="1671" t="s">
        <v>2191</v>
      </c>
    </row>
    <row r="2646" spans="1:20" s="1669" customFormat="1" x14ac:dyDescent="0.25">
      <c r="A2646" s="846" t="s">
        <v>1383</v>
      </c>
      <c r="B2646" s="1274" t="str">
        <f>IFERROR(_xlfn.CONCAT("D",('Configurable Tab'!$C$32+2)),"")</f>
        <v>D326</v>
      </c>
      <c r="C2646" s="1274" t="str">
        <f>IFERROR(_xlfn.CONCAT("E",('Configurable Tab'!$C$32+2)),"")</f>
        <v>E326</v>
      </c>
      <c r="D2646" s="826" t="s">
        <v>1350</v>
      </c>
      <c r="E2646" s="826" t="s">
        <v>1742</v>
      </c>
      <c r="F2646" s="1671"/>
      <c r="G2646" s="1671"/>
      <c r="H2646" s="1671"/>
      <c r="I2646" s="1274" t="str">
        <f t="shared" si="502"/>
        <v/>
      </c>
      <c r="J2646" s="1671" t="str">
        <f t="shared" ref="J2646:J2654" si="504">IFERROR(IF($Q$2635="Yes",Q$1&amp;M2636,""),"")</f>
        <v/>
      </c>
      <c r="K2646" s="1671" t="str">
        <f t="shared" si="503"/>
        <v/>
      </c>
      <c r="M2646" s="1670"/>
      <c r="R2646" s="1671" t="s">
        <v>2191</v>
      </c>
    </row>
    <row r="2647" spans="1:20" s="1669" customFormat="1" x14ac:dyDescent="0.25">
      <c r="A2647" s="846" t="s">
        <v>1381</v>
      </c>
      <c r="B2647" s="1274" t="str">
        <f>IFERROR(_xlfn.CONCAT("I",('Configurable Tab'!$C$32+1)),"")</f>
        <v>I325</v>
      </c>
      <c r="C2647" s="1274" t="str">
        <f>IFERROR(_xlfn.CONCAT("I",('Configurable Tab'!$C$32+2)),"")</f>
        <v>I326</v>
      </c>
      <c r="D2647" s="826" t="s">
        <v>1350</v>
      </c>
      <c r="E2647" s="826" t="s">
        <v>1742</v>
      </c>
      <c r="F2647" s="1671"/>
      <c r="G2647" s="1671"/>
      <c r="H2647" s="1671"/>
      <c r="I2647" s="1274" t="str">
        <f t="shared" si="502"/>
        <v/>
      </c>
      <c r="J2647" s="1671" t="str">
        <f t="shared" si="504"/>
        <v/>
      </c>
      <c r="K2647" s="1671" t="str">
        <f t="shared" si="503"/>
        <v/>
      </c>
      <c r="M2647" s="1670"/>
      <c r="R2647" s="1671" t="s">
        <v>2191</v>
      </c>
    </row>
    <row r="2648" spans="1:20" s="1669" customFormat="1" x14ac:dyDescent="0.25">
      <c r="A2648" s="846" t="s">
        <v>1382</v>
      </c>
      <c r="B2648" s="1274" t="str">
        <f>IFERROR(_xlfn.CONCAT("M",('Configurable Tab'!$C$32+1)),"")</f>
        <v>M325</v>
      </c>
      <c r="C2648" s="1274" t="str">
        <f>IFERROR(_xlfn.CONCAT("M",('Configurable Tab'!$C$32+2)),"")</f>
        <v>M326</v>
      </c>
      <c r="D2648" s="826" t="s">
        <v>1350</v>
      </c>
      <c r="E2648" s="826" t="s">
        <v>1742</v>
      </c>
      <c r="F2648" s="1671"/>
      <c r="G2648" s="1671"/>
      <c r="H2648" s="1671"/>
      <c r="I2648" s="1274" t="str">
        <f t="shared" si="502"/>
        <v/>
      </c>
      <c r="J2648" s="1671" t="str">
        <f t="shared" si="504"/>
        <v/>
      </c>
      <c r="K2648" s="1671" t="str">
        <f t="shared" si="503"/>
        <v/>
      </c>
      <c r="M2648" s="1670"/>
      <c r="R2648" s="1671" t="s">
        <v>2191</v>
      </c>
    </row>
    <row r="2649" spans="1:20" s="1669" customFormat="1" x14ac:dyDescent="0.25">
      <c r="A2649" s="846" t="s">
        <v>1385</v>
      </c>
      <c r="B2649" s="1274" t="str">
        <f>IFERROR(_xlfn.CONCAT("D",('Configurable Tab'!$C$32+4)),"")</f>
        <v>D328</v>
      </c>
      <c r="C2649" s="1274" t="str">
        <f>IFERROR(_xlfn.CONCAT("E",('Configurable Tab'!$C$32+4)),"")</f>
        <v>E328</v>
      </c>
      <c r="D2649" s="826" t="s">
        <v>1350</v>
      </c>
      <c r="E2649" s="826" t="s">
        <v>1742</v>
      </c>
      <c r="F2649" s="1671"/>
      <c r="G2649" s="1671"/>
      <c r="H2649" s="1671"/>
      <c r="I2649" s="1274" t="str">
        <f t="shared" si="502"/>
        <v/>
      </c>
      <c r="J2649" s="1671" t="str">
        <f t="shared" si="504"/>
        <v/>
      </c>
      <c r="K2649" s="1671" t="str">
        <f t="shared" si="503"/>
        <v/>
      </c>
      <c r="M2649" s="1670"/>
      <c r="R2649" s="1671" t="s">
        <v>2191</v>
      </c>
    </row>
    <row r="2650" spans="1:20" s="1669" customFormat="1" x14ac:dyDescent="0.25">
      <c r="A2650" s="846" t="s">
        <v>1386</v>
      </c>
      <c r="B2650" s="1274" t="str">
        <f>IFERROR(_xlfn.CONCAT("D",('Configurable Tab'!$C$32+5)),"")</f>
        <v>D329</v>
      </c>
      <c r="C2650" s="1274" t="str">
        <f>IFERROR(_xlfn.CONCAT("E",('Configurable Tab'!$C$32+5)),"")</f>
        <v>E329</v>
      </c>
      <c r="D2650" s="826" t="s">
        <v>1350</v>
      </c>
      <c r="E2650" s="826" t="s">
        <v>1742</v>
      </c>
      <c r="F2650" s="1671"/>
      <c r="G2650" s="1671"/>
      <c r="H2650" s="1671"/>
      <c r="I2650" s="1274" t="str">
        <f t="shared" si="502"/>
        <v/>
      </c>
      <c r="J2650" s="1671" t="str">
        <f t="shared" si="504"/>
        <v/>
      </c>
      <c r="K2650" s="1671" t="str">
        <f t="shared" si="503"/>
        <v/>
      </c>
      <c r="M2650" s="1670"/>
      <c r="R2650" s="1671" t="s">
        <v>2191</v>
      </c>
    </row>
    <row r="2651" spans="1:20" s="1669" customFormat="1" x14ac:dyDescent="0.25">
      <c r="A2651" s="846" t="s">
        <v>1396</v>
      </c>
      <c r="B2651" s="1274" t="str">
        <f>IFERROR(_xlfn.CONCAT("G",('Configurable Tab'!$C$32+4)),"")</f>
        <v>G328</v>
      </c>
      <c r="C2651" s="1274" t="str">
        <f>IFERROR(_xlfn.CONCAT("G",('Configurable Tab'!$C$32+5)),"")</f>
        <v>G329</v>
      </c>
      <c r="D2651" s="826" t="s">
        <v>1350</v>
      </c>
      <c r="E2651" s="826" t="s">
        <v>1742</v>
      </c>
      <c r="F2651" s="1671"/>
      <c r="G2651" s="1671"/>
      <c r="H2651" s="1671"/>
      <c r="I2651" s="1274" t="str">
        <f t="shared" si="502"/>
        <v/>
      </c>
      <c r="J2651" s="1671" t="str">
        <f t="shared" si="504"/>
        <v/>
      </c>
      <c r="K2651" s="1671" t="str">
        <f t="shared" si="503"/>
        <v/>
      </c>
      <c r="M2651" s="1670"/>
      <c r="R2651" s="1671" t="s">
        <v>2191</v>
      </c>
    </row>
    <row r="2652" spans="1:20" s="1669" customFormat="1" x14ac:dyDescent="0.25">
      <c r="A2652" s="846" t="s">
        <v>2005</v>
      </c>
      <c r="B2652" s="1274" t="str">
        <f>IFERROR(_xlfn.CONCAT("G",('Configurable Tab'!$C$32+7)),"")</f>
        <v>G331</v>
      </c>
      <c r="C2652" s="1274" t="str">
        <f>IFERROR(_xlfn.CONCAT("G",('Configurable Tab'!$C$32+8)),"")</f>
        <v>G332</v>
      </c>
      <c r="D2652" s="826" t="s">
        <v>1350</v>
      </c>
      <c r="E2652" s="826" t="s">
        <v>1742</v>
      </c>
      <c r="F2652" s="1671"/>
      <c r="G2652" s="1671"/>
      <c r="H2652" s="1671"/>
      <c r="I2652" s="1274" t="str">
        <f t="shared" si="502"/>
        <v/>
      </c>
      <c r="J2652" s="1671" t="str">
        <f t="shared" si="504"/>
        <v/>
      </c>
      <c r="K2652" s="1671" t="str">
        <f t="shared" si="503"/>
        <v/>
      </c>
      <c r="M2652" s="1670"/>
      <c r="R2652" s="1671" t="s">
        <v>2191</v>
      </c>
    </row>
    <row r="2653" spans="1:20" s="1669" customFormat="1" x14ac:dyDescent="0.25">
      <c r="A2653" s="846" t="s">
        <v>1482</v>
      </c>
      <c r="B2653" s="1274" t="str">
        <f>IFERROR(_xlfn.CONCAT("K",('Configurable Tab'!$C$32+7)),"")</f>
        <v>K331</v>
      </c>
      <c r="C2653" s="1274" t="str">
        <f>IFERROR(_xlfn.CONCAT("K",('Configurable Tab'!$C$32+8)),"")</f>
        <v>K332</v>
      </c>
      <c r="D2653" s="826" t="s">
        <v>1350</v>
      </c>
      <c r="E2653" s="826" t="s">
        <v>1742</v>
      </c>
      <c r="F2653" s="1671"/>
      <c r="G2653" s="1671"/>
      <c r="H2653" s="1671"/>
      <c r="I2653" s="1274" t="str">
        <f t="shared" si="502"/>
        <v/>
      </c>
      <c r="J2653" s="1671" t="str">
        <f t="shared" si="504"/>
        <v/>
      </c>
      <c r="K2653" s="1671" t="str">
        <f t="shared" si="503"/>
        <v/>
      </c>
      <c r="M2653" s="1670"/>
      <c r="R2653" s="1671" t="s">
        <v>2191</v>
      </c>
    </row>
    <row r="2654" spans="1:20" s="1669" customFormat="1" x14ac:dyDescent="0.25">
      <c r="A2654" s="846" t="s">
        <v>1397</v>
      </c>
      <c r="B2654" s="1274" t="str">
        <f>IFERROR(_xlfn.CONCAT("K",('Configurable Tab'!$C$32+1)),"")</f>
        <v>K325</v>
      </c>
      <c r="C2654" s="1274" t="str">
        <f>IFERROR(_xlfn.CONCAT("K",('Configurable Tab'!$C$32+2)),"")</f>
        <v>K326</v>
      </c>
      <c r="D2654" s="826" t="s">
        <v>1350</v>
      </c>
      <c r="E2654" s="826" t="s">
        <v>1742</v>
      </c>
      <c r="F2654" s="1671"/>
      <c r="G2654" s="1671"/>
      <c r="H2654" s="1671"/>
      <c r="I2654" s="1274" t="str">
        <f t="shared" si="502"/>
        <v/>
      </c>
      <c r="J2654" s="1671" t="str">
        <f t="shared" si="504"/>
        <v/>
      </c>
      <c r="K2654" s="1671" t="str">
        <f t="shared" si="503"/>
        <v/>
      </c>
      <c r="M2654" s="1670"/>
      <c r="R2654" s="1671" t="s">
        <v>2191</v>
      </c>
    </row>
    <row r="2655" spans="1:20" s="1669" customFormat="1" x14ac:dyDescent="0.25">
      <c r="A2655" s="846" t="s">
        <v>1496</v>
      </c>
      <c r="B2655" s="826" t="str">
        <f ca="1">IFERROR(_xlfn.CONCAT("C",MATCH(A2655,INDIRECT("'"&amp;E2655&amp;"'!C"&amp;$O$2635&amp;":C"&amp;$O$2637),0)+$O$2635-1),"")</f>
        <v>C641</v>
      </c>
      <c r="C2655" s="826" t="str">
        <f ca="1">IFERROR(_xlfn.CONCAT("D",MATCH(A2655,INDIRECT("'"&amp;E2655&amp;"'!C"&amp;$O$2635&amp;":C"&amp;$O$2637),0)+$O$2635-1),"")</f>
        <v>D641</v>
      </c>
      <c r="D2655" s="826" t="s">
        <v>1350</v>
      </c>
      <c r="E2655" s="826" t="s">
        <v>1516</v>
      </c>
      <c r="F2655" s="1671" t="s">
        <v>1496</v>
      </c>
      <c r="G2655" s="1671" t="str">
        <f t="shared" ref="G2655" si="505">IF(T2655&lt;&gt;"","AS","")</f>
        <v/>
      </c>
      <c r="H2655" s="1671" t="s">
        <v>1990</v>
      </c>
      <c r="I2655" s="1274" t="str">
        <f t="shared" si="502"/>
        <v/>
      </c>
      <c r="J2655" s="1671"/>
      <c r="K2655" s="1671" t="str">
        <f t="shared" si="503"/>
        <v/>
      </c>
      <c r="L2655" s="826"/>
      <c r="M2655" s="1672"/>
      <c r="N2655" s="1671"/>
      <c r="R2655" s="1671" t="s">
        <v>2191</v>
      </c>
      <c r="T2655" s="1671" t="str">
        <f>IF(Q$2635="Yes",45,"")</f>
        <v/>
      </c>
    </row>
    <row r="2656" spans="1:20" s="1669" customFormat="1" x14ac:dyDescent="0.25">
      <c r="A2656" s="847" t="s">
        <v>1495</v>
      </c>
      <c r="B2656" s="826" t="str">
        <f ca="1">IFERROR(_xlfn.CONCAT("C",MATCH(A2656,INDIRECT("'"&amp;E2656&amp;"'!C"&amp;$O$2635&amp;":C"&amp;$O$2637),0)+$O$2635-1),"")</f>
        <v>C639</v>
      </c>
      <c r="C2656" s="826" t="str">
        <f ca="1">IFERROR(_xlfn.CONCAT("D",MATCH(A2656,INDIRECT("'"&amp;E2656&amp;"'!C"&amp;$O$2635&amp;":C"&amp;$O$2637),0)+$O$2635-1),"")</f>
        <v>D639</v>
      </c>
      <c r="D2656" s="826" t="s">
        <v>1350</v>
      </c>
      <c r="E2656" s="826" t="s">
        <v>1516</v>
      </c>
      <c r="F2656" s="1671" t="s">
        <v>1495</v>
      </c>
      <c r="G2656" s="1671" t="str">
        <f>IF(T2656&lt;&gt;"","AN","")</f>
        <v/>
      </c>
      <c r="H2656" s="1671" t="s">
        <v>1990</v>
      </c>
      <c r="I2656" s="1274"/>
      <c r="J2656" s="1671"/>
      <c r="K2656" s="1671"/>
      <c r="L2656" s="826"/>
      <c r="M2656" s="1672"/>
      <c r="N2656" s="1671"/>
      <c r="O2656" s="1561"/>
      <c r="P2656" s="603"/>
      <c r="Q2656" s="603"/>
      <c r="R2656" s="1671" t="s">
        <v>2191</v>
      </c>
      <c r="T2656" s="1671" t="str">
        <f t="shared" ref="T2656:T2663" si="506">IF(Q$2635="Yes",45,"")</f>
        <v/>
      </c>
    </row>
    <row r="2657" spans="1:20" s="1669" customFormat="1" x14ac:dyDescent="0.25">
      <c r="A2657" s="847" t="s">
        <v>1492</v>
      </c>
      <c r="B2657" s="826" t="str">
        <f ca="1">_xlfn.CONCAT(IFERROR(SUBSTITUTE(ADDRESS(1,MATCH(A2657,INDIRECT("'"&amp;E2657&amp;"'"&amp;"!A" &amp; $O$2635+ 8 &amp; ":Z" &amp; $O$2635 + 8),0),4),1,""),""),$O$2635 + 8)</f>
        <v>H637</v>
      </c>
      <c r="C2657" s="826" t="str">
        <f ca="1">_xlfn.CONCAT(IFERROR(SUBSTITUTE(ADDRESS(1,MATCH(A2657,INDIRECT("'"&amp;E2657&amp;"'"&amp;"!A" &amp; $O$2635+ 8 &amp; ":Z" &amp; $O$2635 + 8),0),4),1,""),""),$O$2635 + 9)</f>
        <v>H638</v>
      </c>
      <c r="D2657" s="826" t="s">
        <v>1350</v>
      </c>
      <c r="E2657" s="826" t="s">
        <v>1516</v>
      </c>
      <c r="F2657" s="1671" t="s">
        <v>1492</v>
      </c>
      <c r="G2657" s="1671" t="str">
        <f>IF(T2657&lt;&gt;"","AL","")</f>
        <v/>
      </c>
      <c r="H2657" s="1671" t="s">
        <v>1990</v>
      </c>
      <c r="I2657" s="1274"/>
      <c r="J2657" s="1671"/>
      <c r="K2657" s="1671"/>
      <c r="L2657" s="826"/>
      <c r="M2657" s="1672"/>
      <c r="N2657" s="1671"/>
      <c r="O2657" s="603"/>
      <c r="P2657" s="603"/>
      <c r="Q2657" s="603"/>
      <c r="R2657" s="1671" t="s">
        <v>2191</v>
      </c>
      <c r="T2657" s="1671" t="str">
        <f t="shared" si="506"/>
        <v/>
      </c>
    </row>
    <row r="2658" spans="1:20" s="1669" customFormat="1" x14ac:dyDescent="0.25">
      <c r="A2658" s="847" t="s">
        <v>1380</v>
      </c>
      <c r="B2658" s="826" t="str">
        <f ca="1">_xlfn.CONCAT(IFERROR(SUBSTITUTE(ADDRESS(1,MATCH(A2658,INDIRECT("'"&amp;E2658&amp;"'"&amp;"!A" &amp; $O$2635+ 2 &amp; ":Z" &amp; $O$2635 + 2),0),4),1,""),""),$O$2635+ 2)</f>
        <v>H631</v>
      </c>
      <c r="C2658" s="826" t="str">
        <f ca="1">_xlfn.CONCAT(IFERROR(SUBSTITUTE(ADDRESS(1,MATCH(A2658,INDIRECT("'"&amp;E2658&amp;"'"&amp;"!A" &amp; $O$2635+ 2 &amp; ":Z" &amp; $O$2635 + 2),0),4),1,""),""),$O$2635+ 3)</f>
        <v>H632</v>
      </c>
      <c r="D2658" s="826" t="s">
        <v>1350</v>
      </c>
      <c r="E2658" s="826" t="s">
        <v>1516</v>
      </c>
      <c r="F2658" s="1671" t="s">
        <v>1991</v>
      </c>
      <c r="G2658" s="1671" t="str">
        <f>IF(T2658&lt;&gt;"","E","")</f>
        <v/>
      </c>
      <c r="H2658" s="1671" t="s">
        <v>1990</v>
      </c>
      <c r="I2658" s="1274"/>
      <c r="J2658" s="1671"/>
      <c r="K2658" s="1671"/>
      <c r="L2658" s="826"/>
      <c r="M2658" s="1672"/>
      <c r="N2658" s="1671"/>
      <c r="O2658" s="603"/>
      <c r="P2658" s="603"/>
      <c r="Q2658" s="603"/>
      <c r="R2658" s="1671" t="s">
        <v>2191</v>
      </c>
      <c r="T2658" s="1671" t="str">
        <f t="shared" si="506"/>
        <v/>
      </c>
    </row>
    <row r="2659" spans="1:20" s="1669" customFormat="1" x14ac:dyDescent="0.25">
      <c r="A2659" s="847" t="s">
        <v>1487</v>
      </c>
      <c r="B2659" s="826" t="str">
        <f ca="1">_xlfn.CONCAT(IFERROR(SUBSTITUTE(ADDRESS(1,MATCH(A2659,INDIRECT("'"&amp;E2659&amp;"'"&amp;"!A" &amp; $O$2635+ 2 &amp; ":Z" &amp; $O$2635 + 2),0),4),1,""),""),$O$2635+ 2)</f>
        <v>R631</v>
      </c>
      <c r="C2659" s="826" t="str">
        <f ca="1">_xlfn.CONCAT(IFERROR(SUBSTITUTE(ADDRESS(1,MATCH(A2659,INDIRECT("'"&amp;E2659&amp;"'"&amp;"!A" &amp; $O$2635+ 2 &amp; ":Z" &amp; $O$2635 + 2),0),4),1,""),""),$O$2635+ 3)</f>
        <v>R632</v>
      </c>
      <c r="D2659" s="826" t="s">
        <v>1350</v>
      </c>
      <c r="E2659" s="826" t="s">
        <v>1516</v>
      </c>
      <c r="F2659" s="1671" t="s">
        <v>1995</v>
      </c>
      <c r="G2659" s="1671" t="str">
        <f>IF(T2659&lt;&gt;"","G","")</f>
        <v/>
      </c>
      <c r="H2659" s="1671" t="s">
        <v>1990</v>
      </c>
      <c r="I2659" s="1274"/>
      <c r="J2659" s="1671"/>
      <c r="K2659" s="1671"/>
      <c r="L2659" s="826"/>
      <c r="M2659" s="1672"/>
      <c r="N2659" s="1671"/>
      <c r="O2659" s="603"/>
      <c r="P2659" s="603"/>
      <c r="Q2659" s="603"/>
      <c r="R2659" s="1671" t="s">
        <v>2191</v>
      </c>
      <c r="T2659" s="1671" t="str">
        <f t="shared" si="506"/>
        <v/>
      </c>
    </row>
    <row r="2660" spans="1:20" s="1669" customFormat="1" x14ac:dyDescent="0.25">
      <c r="A2660" s="847" t="s">
        <v>1488</v>
      </c>
      <c r="B2660" s="826" t="str">
        <f ca="1">_xlfn.CONCAT(IFERROR(SUBSTITUTE(ADDRESS(1,MATCH(A2660,INDIRECT("'"&amp;E2660&amp;"'"&amp;"!A" &amp; $O$2635+ 2 &amp; ":Z" &amp; $O$2635 + 2),0),4),1,""),""),$O$2635+ 2)</f>
        <v>T631</v>
      </c>
      <c r="C2660" s="826" t="str">
        <f ca="1">_xlfn.CONCAT(IFERROR(SUBSTITUTE(ADDRESS(1,MATCH(A2660,INDIRECT("'"&amp;E2660&amp;"'"&amp;"!A" &amp; $O$2635+ 2 &amp; ":Z" &amp; $O$2635 + 2),0),4),1,""),""),$O$2635+ 3)</f>
        <v>T632</v>
      </c>
      <c r="D2660" s="826" t="s">
        <v>1350</v>
      </c>
      <c r="E2660" s="826" t="s">
        <v>1516</v>
      </c>
      <c r="F2660" s="841" t="s">
        <v>1488</v>
      </c>
      <c r="G2660" s="1671" t="str">
        <f>IF(T2660&lt;&gt;"","AW","")</f>
        <v/>
      </c>
      <c r="H2660" s="1671" t="s">
        <v>1990</v>
      </c>
      <c r="I2660" s="1274"/>
      <c r="J2660" s="1671"/>
      <c r="K2660" s="1671"/>
      <c r="L2660" s="826"/>
      <c r="M2660" s="1672"/>
      <c r="N2660" s="1671"/>
      <c r="O2660" s="603"/>
      <c r="P2660" s="603"/>
      <c r="Q2660" s="603"/>
      <c r="R2660" s="1671" t="s">
        <v>2191</v>
      </c>
      <c r="T2660" s="1671" t="str">
        <f t="shared" si="506"/>
        <v/>
      </c>
    </row>
    <row r="2661" spans="1:20" s="1669" customFormat="1" x14ac:dyDescent="0.25">
      <c r="A2661" s="847" t="s">
        <v>1603</v>
      </c>
      <c r="B2661" s="826" t="str">
        <f ca="1">_xlfn.CONCAT(IFERROR(SUBSTITUTE(ADDRESS(1,MATCH(A2661,INDIRECT("'"&amp;E2661&amp;"'"&amp;"!A" &amp; $O$2635+ 5 &amp; ":Z" &amp; $O$2635 + 5),0),4),1,""),""),$O$2635+ 5)</f>
        <v>R634</v>
      </c>
      <c r="C2661" s="826" t="str">
        <f ca="1">_xlfn.CONCAT(IFERROR(SUBSTITUTE(ADDRESS(1,MATCH(A2661,INDIRECT("'"&amp;E2661&amp;"'"&amp;"!A" &amp; $O$2635+ 5 &amp; ":Z" &amp; $O$2635 + 5),0),4),1,""),""),$O$2635+ 6)</f>
        <v>R635</v>
      </c>
      <c r="D2661" s="826" t="s">
        <v>1350</v>
      </c>
      <c r="E2661" s="826" t="s">
        <v>1516</v>
      </c>
      <c r="F2661" s="1671" t="s">
        <v>1999</v>
      </c>
      <c r="G2661" s="1671" t="str">
        <f t="shared" ref="G2661" si="507">IF(T2661&lt;&gt;"","AB","")</f>
        <v/>
      </c>
      <c r="H2661" s="1671" t="s">
        <v>1990</v>
      </c>
      <c r="I2661" s="1274"/>
      <c r="J2661" s="1671"/>
      <c r="K2661" s="1671"/>
      <c r="L2661" s="826"/>
      <c r="M2661" s="1672"/>
      <c r="N2661" s="1671"/>
      <c r="O2661" s="603"/>
      <c r="P2661" s="603"/>
      <c r="Q2661" s="603"/>
      <c r="R2661" s="1671" t="s">
        <v>2191</v>
      </c>
      <c r="T2661" s="1671" t="str">
        <f t="shared" si="506"/>
        <v/>
      </c>
    </row>
    <row r="2662" spans="1:20" s="1669" customFormat="1" x14ac:dyDescent="0.25">
      <c r="A2662" s="847" t="s">
        <v>1604</v>
      </c>
      <c r="B2662" s="826" t="str">
        <f ca="1">_xlfn.CONCAT(IFERROR(SUBSTITUTE(ADDRESS(1,MATCH(A2662,INDIRECT("'"&amp;E2662&amp;"'"&amp;"!A" &amp; $O$2635+ 5 &amp; ":Z" &amp; $O$2635 + 5),0),4),1,""),""),$O$2635+ 5)</f>
        <v>T634</v>
      </c>
      <c r="C2662" s="826" t="str">
        <f ca="1">_xlfn.CONCAT(IFERROR(SUBSTITUTE(ADDRESS(1,MATCH(A2662,INDIRECT("'"&amp;E2662&amp;"'"&amp;"!A" &amp; $O$2635+ 5 &amp; ":Z" &amp; $O$2635 + 5),0),4),1,""),""),$O$2635+ 6)</f>
        <v>T635</v>
      </c>
      <c r="D2662" s="826" t="s">
        <v>1350</v>
      </c>
      <c r="E2662" s="826" t="s">
        <v>1516</v>
      </c>
      <c r="F2662" s="1671" t="s">
        <v>1604</v>
      </c>
      <c r="G2662" s="1671" t="str">
        <f t="shared" ref="G2662" si="508">IF(T2662&lt;&gt;"","AP","")</f>
        <v/>
      </c>
      <c r="H2662" s="1671" t="s">
        <v>1990</v>
      </c>
      <c r="I2662" s="1274"/>
      <c r="J2662" s="1671"/>
      <c r="K2662" s="1671"/>
      <c r="L2662" s="826"/>
      <c r="M2662" s="1672"/>
      <c r="N2662" s="1671"/>
      <c r="O2662" s="603"/>
      <c r="P2662" s="603"/>
      <c r="Q2662" s="603"/>
      <c r="R2662" s="1671" t="s">
        <v>2191</v>
      </c>
      <c r="T2662" s="1671" t="str">
        <f t="shared" si="506"/>
        <v/>
      </c>
    </row>
    <row r="2663" spans="1:20" s="1669" customFormat="1" x14ac:dyDescent="0.25">
      <c r="A2663" s="847" t="s">
        <v>2135</v>
      </c>
      <c r="B2663" s="826" t="str">
        <f ca="1">_xlfn.CONCAT(IFERROR(SUBSTITUTE(ADDRESS(1,MATCH(A2663,INDIRECT("'"&amp;E2663&amp;"'"&amp;"!A" &amp; $O$2635+ 8 &amp; ":Z" &amp; $O$2635 + 8),0),4),1,""),""),$O$2635 + 8)</f>
        <v>L637</v>
      </c>
      <c r="C2663" s="826" t="str">
        <f ca="1">_xlfn.CONCAT(IFERROR(SUBSTITUTE(ADDRESS(1,MATCH(A2663,INDIRECT("'"&amp;E2663&amp;"'"&amp;"!A" &amp; $O$2635+ 8 &amp; ":Z" &amp; $O$2635 + 8),0),4),1,""),""),$O$2635 + 9)</f>
        <v>L638</v>
      </c>
      <c r="D2663" s="826" t="s">
        <v>1350</v>
      </c>
      <c r="E2663" s="826" t="s">
        <v>1516</v>
      </c>
      <c r="F2663" s="1671" t="s">
        <v>2135</v>
      </c>
      <c r="G2663" s="1671" t="str">
        <f>IF(T2663&lt;&gt;"","AZ","")</f>
        <v/>
      </c>
      <c r="H2663" s="1671" t="s">
        <v>1990</v>
      </c>
      <c r="I2663" s="1274"/>
      <c r="J2663" s="1671"/>
      <c r="K2663" s="1671"/>
      <c r="L2663" s="826" t="s">
        <v>2135</v>
      </c>
      <c r="M2663" s="1672">
        <v>1628</v>
      </c>
      <c r="N2663" s="1671"/>
      <c r="O2663" s="603"/>
      <c r="P2663" s="603"/>
      <c r="Q2663" s="603"/>
      <c r="R2663" s="1671" t="s">
        <v>2191</v>
      </c>
      <c r="T2663" s="1671" t="str">
        <f t="shared" si="506"/>
        <v/>
      </c>
    </row>
    <row r="2664" spans="1:20" s="1669" customFormat="1" x14ac:dyDescent="0.25">
      <c r="A2664" s="1673" t="s">
        <v>1491</v>
      </c>
      <c r="B2664" s="826" t="str">
        <f ca="1">IFERROR(_xlfn.CONCAT("C",MATCH(A2664,INDIRECT("'"&amp;E2664&amp;"'!C"&amp;$O$2665&amp;":C"&amp;$O$2667),0)+$O$2665-1),"")</f>
        <v>C647</v>
      </c>
      <c r="C2664" s="826" t="str">
        <f ca="1">IFERROR(_xlfn.CONCAT("D",MATCH(A2664,INDIRECT("'"&amp;E2664&amp;"'!C"&amp;$O$2665&amp;":C"&amp;$O$2667),0)+$O$2665-1),"")</f>
        <v>D647</v>
      </c>
      <c r="D2664" s="826" t="s">
        <v>1350</v>
      </c>
      <c r="E2664" s="826" t="s">
        <v>1516</v>
      </c>
      <c r="F2664" s="826" t="s">
        <v>1491</v>
      </c>
      <c r="G2664" s="1671" t="str">
        <f>IF(T2664&lt;&gt;"","A","")</f>
        <v/>
      </c>
      <c r="H2664" s="1671" t="s">
        <v>1990</v>
      </c>
      <c r="I2664" s="826"/>
      <c r="J2664" s="826"/>
      <c r="K2664" s="826"/>
      <c r="L2664" s="826" t="s">
        <v>1491</v>
      </c>
      <c r="M2664" s="1332">
        <v>1629</v>
      </c>
      <c r="N2664" s="826"/>
      <c r="O2664" s="1669" t="s">
        <v>725</v>
      </c>
      <c r="R2664" s="1671" t="s">
        <v>2193</v>
      </c>
      <c r="T2664" s="1671" t="str">
        <f>IF(Q$2665="Yes",46,"")</f>
        <v/>
      </c>
    </row>
    <row r="2665" spans="1:20" s="1669" customFormat="1" x14ac:dyDescent="0.25">
      <c r="A2665" s="1673" t="s">
        <v>1705</v>
      </c>
      <c r="B2665" s="826" t="str">
        <f ca="1">_xlfn.CONCAT(IFERROR(SUBSTITUTE(ADDRESS(1,MATCH(A2665,INDIRECT("'"&amp;E2665&amp;"'"&amp;"!A" &amp; $O$2665+ 11 &amp; ":Z" &amp; $O$2665 + 11),0),4),1,""),""),$O$2665+ 11)</f>
        <v>T654</v>
      </c>
      <c r="C2665" s="826" t="str">
        <f ca="1">_xlfn.CONCAT(IFERROR(SUBSTITUTE(ADDRESS(1,MATCH(A2665,INDIRECT("'"&amp;E2665&amp;"'"&amp;"!A" &amp; $O$2665+ 11 &amp; ":Z" &amp; $O$2665 + 11),0),4),1,""),""),$O$2665+ 12)</f>
        <v>T655</v>
      </c>
      <c r="D2665" s="826" t="s">
        <v>1350</v>
      </c>
      <c r="E2665" s="826" t="s">
        <v>1516</v>
      </c>
      <c r="F2665" s="826"/>
      <c r="G2665" s="1671"/>
      <c r="H2665" s="1671"/>
      <c r="I2665" s="826"/>
      <c r="J2665" s="826"/>
      <c r="K2665" s="826"/>
      <c r="L2665" s="826" t="s">
        <v>1705</v>
      </c>
      <c r="M2665" s="1332">
        <v>1630</v>
      </c>
      <c r="N2665" s="826"/>
      <c r="O2665" s="1669">
        <f>'Configurable Tab'!H48</f>
        <v>643</v>
      </c>
      <c r="P2665" s="18" t="str">
        <f>'Configurable Tab'!J48</f>
        <v>No</v>
      </c>
      <c r="Q2665" s="1669" t="s">
        <v>648</v>
      </c>
      <c r="R2665" s="1671" t="s">
        <v>2193</v>
      </c>
      <c r="T2665" s="1671" t="str">
        <f t="shared" ref="T2665:T2674" si="509">IF(Q$2665="Yes",46,"")</f>
        <v/>
      </c>
    </row>
    <row r="2666" spans="1:20" s="1669" customFormat="1" x14ac:dyDescent="0.25">
      <c r="A2666" s="1673" t="s">
        <v>1383</v>
      </c>
      <c r="B2666" s="826" t="str">
        <f ca="1">IFERROR(_xlfn.CONCAT("C",MATCH(A2666,INDIRECT("'"&amp;E2666&amp;"'!C"&amp;$O$2665&amp;":C"&amp;$O$2667),0)+$O$2665-1),"")</f>
        <v>C645</v>
      </c>
      <c r="C2666" s="826" t="str">
        <f ca="1">IFERROR(_xlfn.CONCAT("D",MATCH(A2666,INDIRECT("'"&amp;E2666&amp;"'!C"&amp;$O$2665&amp;":C"&amp;$O$2667),0)+$O$2665-1),"")</f>
        <v>D645</v>
      </c>
      <c r="D2666" s="826" t="s">
        <v>1350</v>
      </c>
      <c r="E2666" s="826" t="s">
        <v>1516</v>
      </c>
      <c r="F2666" s="826" t="s">
        <v>1383</v>
      </c>
      <c r="G2666" s="1671" t="str">
        <f>IF(T2666&lt;&gt;"","B","")</f>
        <v/>
      </c>
      <c r="H2666" s="1671" t="s">
        <v>1990</v>
      </c>
      <c r="I2666" s="826"/>
      <c r="J2666" s="826"/>
      <c r="K2666" s="826"/>
      <c r="L2666" s="826" t="s">
        <v>1383</v>
      </c>
      <c r="M2666" s="1332">
        <v>1631</v>
      </c>
      <c r="N2666" s="826"/>
      <c r="O2666" s="1669" t="s">
        <v>726</v>
      </c>
      <c r="R2666" s="1671" t="s">
        <v>2193</v>
      </c>
      <c r="T2666" s="1671" t="str">
        <f t="shared" si="509"/>
        <v/>
      </c>
    </row>
    <row r="2667" spans="1:20" s="1669" customFormat="1" x14ac:dyDescent="0.25">
      <c r="A2667" s="1673" t="s">
        <v>1381</v>
      </c>
      <c r="B2667" s="826" t="str">
        <f ca="1">_xlfn.CONCAT(IFERROR(SUBSTITUTE(ADDRESS(1,MATCH(A2667,INDIRECT("'"&amp;E2667&amp;"'"&amp;"!A" &amp; $O$2665+ 2 &amp; ":Z" &amp; $O$2665 + 2),0),4),1,""),""),$O$2665+ 2)</f>
        <v>J645</v>
      </c>
      <c r="C2667" s="826" t="str">
        <f ca="1">_xlfn.CONCAT(IFERROR(SUBSTITUTE(ADDRESS(1,MATCH(A2667,INDIRECT("'"&amp;E2667&amp;"'"&amp;"!A" &amp; $O$2665+ 2 &amp; ":Z" &amp; $O$2665 + 2),0),4),1,""),""),$O$2665+ 3)</f>
        <v>J646</v>
      </c>
      <c r="D2667" s="826" t="s">
        <v>1350</v>
      </c>
      <c r="E2667" s="826" t="s">
        <v>1516</v>
      </c>
      <c r="F2667" s="826" t="s">
        <v>1992</v>
      </c>
      <c r="G2667" s="1671" t="str">
        <f>IF(T2667&lt;&gt;"","I","")</f>
        <v/>
      </c>
      <c r="H2667" s="1671" t="s">
        <v>1990</v>
      </c>
      <c r="I2667" s="826"/>
      <c r="J2667" s="826"/>
      <c r="K2667" s="826"/>
      <c r="L2667" s="826" t="s">
        <v>1381</v>
      </c>
      <c r="M2667" s="1332">
        <v>1632</v>
      </c>
      <c r="N2667" s="826"/>
      <c r="O2667" s="1669">
        <f>'Configurable Tab'!I48</f>
        <v>656</v>
      </c>
      <c r="R2667" s="1671" t="s">
        <v>2193</v>
      </c>
      <c r="T2667" s="1671" t="str">
        <f t="shared" si="509"/>
        <v/>
      </c>
    </row>
    <row r="2668" spans="1:20" s="1669" customFormat="1" x14ac:dyDescent="0.25">
      <c r="A2668" s="1673" t="s">
        <v>1382</v>
      </c>
      <c r="B2668" s="826" t="str">
        <f ca="1">_xlfn.CONCAT(IFERROR(SUBSTITUTE(ADDRESS(1,MATCH(A2668,INDIRECT("'"&amp;E2668&amp;"'"&amp;"!A" &amp; $O$2665+ 2 &amp; ":Z" &amp; $O$2665 + 2),0),4),1,""),""),$O$2665+ 2)</f>
        <v>N645</v>
      </c>
      <c r="C2668" s="826" t="str">
        <f ca="1">_xlfn.CONCAT(IFERROR(SUBSTITUTE(ADDRESS(1,MATCH(A2668,INDIRECT("'"&amp;E2668&amp;"'"&amp;"!A" &amp; $O$2665+ 2 &amp; ":Z" &amp; $O$2665 + 2),0),4),1,""),""),$O$2665+ 3)</f>
        <v>N646</v>
      </c>
      <c r="D2668" s="826" t="s">
        <v>1350</v>
      </c>
      <c r="E2668" s="826" t="s">
        <v>1516</v>
      </c>
      <c r="F2668" s="826" t="s">
        <v>1382</v>
      </c>
      <c r="G2668" s="1671" t="str">
        <f>IF(T2668&lt;&gt;"",IF(Q2667="Credit Memo","J",IF(Q2667="Check","K","")),"")</f>
        <v/>
      </c>
      <c r="H2668" s="1671" t="s">
        <v>1990</v>
      </c>
      <c r="I2668" s="826"/>
      <c r="J2668" s="826"/>
      <c r="K2668" s="826"/>
      <c r="L2668" s="826" t="s">
        <v>1382</v>
      </c>
      <c r="M2668" s="1332">
        <v>1633</v>
      </c>
      <c r="N2668" s="826"/>
      <c r="O2668" s="1669" t="s">
        <v>2203</v>
      </c>
      <c r="R2668" s="1671" t="s">
        <v>2193</v>
      </c>
      <c r="T2668" s="1671" t="str">
        <f t="shared" si="509"/>
        <v/>
      </c>
    </row>
    <row r="2669" spans="1:20" s="1669" customFormat="1" x14ac:dyDescent="0.25">
      <c r="A2669" s="1673" t="s">
        <v>1385</v>
      </c>
      <c r="B2669" s="826" t="str">
        <f ca="1">IFERROR(_xlfn.CONCAT("C",MATCH(A2669,INDIRECT("'"&amp;E2669&amp;"'!C"&amp;$O$2665&amp;":C"&amp;$O$2667),0)+$O$2665-1),"")</f>
        <v>C649</v>
      </c>
      <c r="C2669" s="826" t="str">
        <f ca="1">IFERROR(_xlfn.CONCAT("D",MATCH(A2669,INDIRECT("'"&amp;E2669&amp;"'!C"&amp;$O$2665&amp;":C"&amp;$O$2667),0)+$O$2665-1),"")</f>
        <v>D649</v>
      </c>
      <c r="D2669" s="826" t="s">
        <v>1350</v>
      </c>
      <c r="E2669" s="826" t="s">
        <v>1516</v>
      </c>
      <c r="F2669" s="826" t="s">
        <v>1385</v>
      </c>
      <c r="G2669" s="1671" t="str">
        <f>IF(T2669&lt;&gt;"","C","")</f>
        <v/>
      </c>
      <c r="H2669" s="1671" t="s">
        <v>1990</v>
      </c>
      <c r="I2669" s="826"/>
      <c r="J2669" s="826"/>
      <c r="K2669" s="826"/>
      <c r="L2669" s="826" t="s">
        <v>1385</v>
      </c>
      <c r="M2669" s="1332">
        <v>1634</v>
      </c>
      <c r="N2669" s="826"/>
      <c r="R2669" s="1671" t="s">
        <v>2193</v>
      </c>
      <c r="T2669" s="1671" t="str">
        <f t="shared" si="509"/>
        <v/>
      </c>
    </row>
    <row r="2670" spans="1:20" s="1669" customFormat="1" x14ac:dyDescent="0.25">
      <c r="A2670" s="1673" t="s">
        <v>1386</v>
      </c>
      <c r="B2670" s="826" t="str">
        <f ca="1">IFERROR(_xlfn.CONCAT("C",MATCH(A2670,INDIRECT("'"&amp;E2670&amp;"'!C"&amp;$O$2665&amp;":C"&amp;$O$2667),0)+$O$2665-1),"")</f>
        <v>C651</v>
      </c>
      <c r="C2670" s="826" t="str">
        <f ca="1">IFERROR(_xlfn.CONCAT("D",MATCH(A2670,INDIRECT("'"&amp;E2670&amp;"'!C"&amp;$O$2665&amp;":C"&amp;$O$2667),0)+$O$2665-1),"")</f>
        <v>D651</v>
      </c>
      <c r="D2670" s="826" t="s">
        <v>1350</v>
      </c>
      <c r="E2670" s="826" t="s">
        <v>1516</v>
      </c>
      <c r="F2670" s="826" t="s">
        <v>1386</v>
      </c>
      <c r="G2670" s="1671" t="str">
        <f>IF(T2670&lt;&gt;"","D","")</f>
        <v/>
      </c>
      <c r="H2670" s="1671" t="s">
        <v>1990</v>
      </c>
      <c r="I2670" s="826"/>
      <c r="J2670" s="826"/>
      <c r="K2670" s="826"/>
      <c r="L2670" s="826" t="s">
        <v>1386</v>
      </c>
      <c r="M2670" s="1332">
        <v>1635</v>
      </c>
      <c r="N2670" s="826"/>
      <c r="R2670" s="1671" t="s">
        <v>2193</v>
      </c>
      <c r="T2670" s="1671" t="str">
        <f t="shared" si="509"/>
        <v/>
      </c>
    </row>
    <row r="2671" spans="1:20" s="1669" customFormat="1" x14ac:dyDescent="0.25">
      <c r="A2671" s="1673" t="s">
        <v>1396</v>
      </c>
      <c r="B2671" s="826" t="str">
        <f ca="1">_xlfn.CONCAT(IFERROR(SUBSTITUTE(ADDRESS(1,MATCH(A2671,INDIRECT("'"&amp;E2671&amp;"'"&amp;"!A" &amp; $O$2665+ 5 &amp; ":Z" &amp; $O$2665 + 5),0),4),1,""),""),$O$2665+ 5)</f>
        <v>H648</v>
      </c>
      <c r="C2671" s="826" t="str">
        <f ca="1">_xlfn.CONCAT(IFERROR(SUBSTITUTE(ADDRESS(1,MATCH(A2671,INDIRECT("'"&amp;E2671&amp;"'"&amp;"!A" &amp; $O$2665+ 5 &amp; ":Z" &amp; $O$2665 + 5),0),4),1,""),""),$O$2665+ 6)</f>
        <v>H649</v>
      </c>
      <c r="D2671" s="826" t="s">
        <v>1350</v>
      </c>
      <c r="E2671" s="826" t="s">
        <v>1516</v>
      </c>
      <c r="F2671" s="1671" t="s">
        <v>1396</v>
      </c>
      <c r="G2671" s="1671" t="str">
        <f>IF(T2671&lt;&gt;"","S","")</f>
        <v/>
      </c>
      <c r="H2671" s="1671" t="s">
        <v>1990</v>
      </c>
      <c r="I2671" s="826"/>
      <c r="J2671" s="826"/>
      <c r="K2671" s="826"/>
      <c r="L2671" s="826" t="s">
        <v>1396</v>
      </c>
      <c r="M2671" s="1332">
        <v>1636</v>
      </c>
      <c r="N2671" s="826"/>
      <c r="R2671" s="1671" t="s">
        <v>2193</v>
      </c>
      <c r="T2671" s="1671" t="str">
        <f t="shared" si="509"/>
        <v/>
      </c>
    </row>
    <row r="2672" spans="1:20" s="1669" customFormat="1" x14ac:dyDescent="0.25">
      <c r="A2672" s="1673" t="s">
        <v>2005</v>
      </c>
      <c r="B2672" s="826" t="str">
        <f ca="1">_xlfn.CONCAT(IFERROR(SUBSTITUTE(ADDRESS(1,MATCH(A2672,INDIRECT("'"&amp;E2672&amp;"'"&amp;"!A" &amp; $O$2665+ 8 &amp; ":Z" &amp; $O$2665 + 8),0),4),1,""),""),$O$2665 + 8)</f>
        <v>J651</v>
      </c>
      <c r="C2672" s="826" t="str">
        <f ca="1">_xlfn.CONCAT(IFERROR(SUBSTITUTE(ADDRESS(1,MATCH(A2672,INDIRECT("'"&amp;E2672&amp;"'"&amp;"!A" &amp; $O$2665+ 8 &amp; ":Z" &amp; $O$2665 + 8),0),4),1,""),""),$O$2665 + 9)</f>
        <v>J652</v>
      </c>
      <c r="D2672" s="826" t="s">
        <v>1350</v>
      </c>
      <c r="E2672" s="826" t="s">
        <v>1516</v>
      </c>
      <c r="F2672" s="826" t="s">
        <v>2005</v>
      </c>
      <c r="G2672" s="1671" t="str">
        <f>IF(T2672&lt;&gt;"","AQ","")</f>
        <v/>
      </c>
      <c r="H2672" s="1671" t="s">
        <v>1990</v>
      </c>
      <c r="I2672" s="826"/>
      <c r="J2672" s="826"/>
      <c r="K2672" s="826"/>
      <c r="L2672" s="826" t="s">
        <v>2005</v>
      </c>
      <c r="M2672" s="1332">
        <v>1637</v>
      </c>
      <c r="N2672" s="826"/>
      <c r="R2672" s="1671" t="s">
        <v>2193</v>
      </c>
      <c r="T2672" s="1671" t="str">
        <f t="shared" si="509"/>
        <v/>
      </c>
    </row>
    <row r="2673" spans="1:20" s="1669" customFormat="1" x14ac:dyDescent="0.25">
      <c r="A2673" s="1673" t="s">
        <v>1482</v>
      </c>
      <c r="B2673" s="826" t="str">
        <f ca="1">_xlfn.CONCAT(IFERROR(SUBSTITUTE(ADDRESS(1,MATCH(A2673,INDIRECT("'"&amp;E2673&amp;"'"&amp;"!A" &amp; $O$2665+ 8 &amp; ":Z" &amp; $O$2665 + 8),0),4),1,""),""),$O$2665 + 8)</f>
        <v>N651</v>
      </c>
      <c r="C2673" s="826" t="str">
        <f ca="1">_xlfn.CONCAT(IFERROR(SUBSTITUTE(ADDRESS(1,MATCH(A2673,INDIRECT("'"&amp;E2673&amp;"'"&amp;"!A" &amp; $O$2665+ 8 &amp; ":Z" &amp; $O$2665 + 8),0),4),1,""),""),$O$2665 + 9)</f>
        <v>N652</v>
      </c>
      <c r="D2673" s="826" t="s">
        <v>1350</v>
      </c>
      <c r="E2673" s="826" t="s">
        <v>1516</v>
      </c>
      <c r="F2673" s="826" t="s">
        <v>2054</v>
      </c>
      <c r="G2673" s="1671" t="str">
        <f>IF(T2673&lt;&gt;"","AA","")</f>
        <v/>
      </c>
      <c r="H2673" s="1671" t="s">
        <v>1990</v>
      </c>
      <c r="I2673" s="826"/>
      <c r="J2673" s="826"/>
      <c r="K2673" s="826"/>
      <c r="L2673" s="826" t="s">
        <v>2006</v>
      </c>
      <c r="M2673" s="1332">
        <v>1638</v>
      </c>
      <c r="N2673" s="826"/>
      <c r="R2673" s="1671" t="s">
        <v>2193</v>
      </c>
      <c r="T2673" s="1671" t="str">
        <f t="shared" si="509"/>
        <v/>
      </c>
    </row>
    <row r="2674" spans="1:20" s="1669" customFormat="1" x14ac:dyDescent="0.25">
      <c r="A2674" s="1673" t="s">
        <v>1397</v>
      </c>
      <c r="B2674" s="826" t="str">
        <f ca="1">_xlfn.CONCAT(IFERROR(SUBSTITUTE(ADDRESS(1,MATCH(A2674,INDIRECT("'"&amp;E2674&amp;"'"&amp;"!A" &amp; $O$2665+ 2 &amp; ":Z" &amp; $O$2665 + 2),0),4),1,""),""),$O$2665 + 2)</f>
        <v>L645</v>
      </c>
      <c r="C2674" s="826" t="str">
        <f ca="1">_xlfn.CONCAT(IFERROR(SUBSTITUTE(ADDRESS(1,MATCH(A2674,INDIRECT("'"&amp;E2674&amp;"'"&amp;"!A" &amp; $O$2665+ 2 &amp; ":Z" &amp; $O$2665 + 2),0),4),1,""),""),$O$2665 + 3)</f>
        <v>L646</v>
      </c>
      <c r="D2674" s="826" t="s">
        <v>1350</v>
      </c>
      <c r="E2674" s="826" t="s">
        <v>1516</v>
      </c>
      <c r="F2674" s="826" t="s">
        <v>1993</v>
      </c>
      <c r="G2674" s="1671" t="str">
        <f>IF(T2674&lt;&gt;"","H","")</f>
        <v/>
      </c>
      <c r="H2674" s="1671" t="s">
        <v>1990</v>
      </c>
      <c r="I2674" s="826"/>
      <c r="J2674" s="826"/>
      <c r="K2674" s="826"/>
      <c r="L2674" s="826" t="s">
        <v>1397</v>
      </c>
      <c r="M2674" s="1332">
        <v>1639</v>
      </c>
      <c r="N2674" s="826"/>
      <c r="R2674" s="1671" t="s">
        <v>2193</v>
      </c>
      <c r="T2674" s="1671" t="str">
        <f t="shared" si="509"/>
        <v/>
      </c>
    </row>
    <row r="2675" spans="1:20" s="1669" customFormat="1" x14ac:dyDescent="0.25">
      <c r="A2675" s="1673" t="s">
        <v>1705</v>
      </c>
      <c r="B2675" s="1274" t="str">
        <f>IFERROR(_xlfn.CONCAT("D",('Configurable Tab'!$C$33+1)),"")</f>
        <v>D336</v>
      </c>
      <c r="C2675" s="1274" t="str">
        <f>IFERROR(_xlfn.CONCAT("E",('Configurable Tab'!$C$33+1)),"")</f>
        <v>E336</v>
      </c>
      <c r="D2675" s="826" t="s">
        <v>1350</v>
      </c>
      <c r="E2675" s="826" t="s">
        <v>1742</v>
      </c>
      <c r="F2675" s="1671"/>
      <c r="G2675" s="1671"/>
      <c r="H2675" s="1671"/>
      <c r="I2675" s="1274" t="str">
        <f t="shared" ref="I2675:I2685" si="510">IF(J2675&lt;&gt;"",A2675,"")</f>
        <v/>
      </c>
      <c r="J2675" s="1671" t="str">
        <f t="shared" ref="J2675:J2684" si="511">IFERROR(IF($Q$2665="Yes",Q$1&amp;M2665,""),"")</f>
        <v/>
      </c>
      <c r="K2675" s="1671" t="str">
        <f t="shared" ref="K2675:K2685" si="512">IF(J2675&lt;&gt;"",E2675,"")</f>
        <v/>
      </c>
      <c r="M2675" s="1670"/>
      <c r="Q2675" s="1274" t="str">
        <f>IFERROR(_xlfn.CONCAT("C",('Configurable Tab'!$C33+1)),"")</f>
        <v>C336</v>
      </c>
      <c r="R2675" s="1671" t="s">
        <v>2193</v>
      </c>
    </row>
    <row r="2676" spans="1:20" s="1669" customFormat="1" x14ac:dyDescent="0.25">
      <c r="A2676" s="1673" t="s">
        <v>1383</v>
      </c>
      <c r="B2676" s="1274" t="str">
        <f>IFERROR(_xlfn.CONCAT("D",('Configurable Tab'!$C$33+2)),"")</f>
        <v>D337</v>
      </c>
      <c r="C2676" s="1274" t="str">
        <f>IFERROR(_xlfn.CONCAT("E",('Configurable Tab'!$C$33+2)),"")</f>
        <v>E337</v>
      </c>
      <c r="D2676" s="826" t="s">
        <v>1350</v>
      </c>
      <c r="E2676" s="826" t="s">
        <v>1742</v>
      </c>
      <c r="F2676" s="1671"/>
      <c r="G2676" s="1671"/>
      <c r="H2676" s="1671"/>
      <c r="I2676" s="1274" t="str">
        <f t="shared" si="510"/>
        <v/>
      </c>
      <c r="J2676" s="1671" t="str">
        <f t="shared" si="511"/>
        <v/>
      </c>
      <c r="K2676" s="1671" t="str">
        <f t="shared" si="512"/>
        <v/>
      </c>
      <c r="M2676" s="1670"/>
      <c r="R2676" s="1671" t="s">
        <v>2193</v>
      </c>
    </row>
    <row r="2677" spans="1:20" s="1669" customFormat="1" x14ac:dyDescent="0.25">
      <c r="A2677" s="1673" t="s">
        <v>1381</v>
      </c>
      <c r="B2677" s="1274" t="str">
        <f>IFERROR(_xlfn.CONCAT("I",('Configurable Tab'!$C$33+1)),"")</f>
        <v>I336</v>
      </c>
      <c r="C2677" s="1274" t="str">
        <f>IFERROR(_xlfn.CONCAT("I",('Configurable Tab'!$C$33+2)),"")</f>
        <v>I337</v>
      </c>
      <c r="D2677" s="826" t="s">
        <v>1350</v>
      </c>
      <c r="E2677" s="826" t="s">
        <v>1742</v>
      </c>
      <c r="F2677" s="1671"/>
      <c r="G2677" s="1671"/>
      <c r="H2677" s="1671"/>
      <c r="I2677" s="1274" t="str">
        <f t="shared" si="510"/>
        <v/>
      </c>
      <c r="J2677" s="1671" t="str">
        <f t="shared" si="511"/>
        <v/>
      </c>
      <c r="K2677" s="1671" t="str">
        <f t="shared" si="512"/>
        <v/>
      </c>
      <c r="M2677" s="1670"/>
      <c r="R2677" s="1671" t="s">
        <v>2193</v>
      </c>
    </row>
    <row r="2678" spans="1:20" s="1669" customFormat="1" x14ac:dyDescent="0.25">
      <c r="A2678" s="1673" t="s">
        <v>1382</v>
      </c>
      <c r="B2678" s="1274" t="str">
        <f>IFERROR(_xlfn.CONCAT("M",('Configurable Tab'!$C$33+1)),"")</f>
        <v>M336</v>
      </c>
      <c r="C2678" s="1274" t="str">
        <f>IFERROR(_xlfn.CONCAT("M",('Configurable Tab'!$C$33+2)),"")</f>
        <v>M337</v>
      </c>
      <c r="D2678" s="826" t="s">
        <v>1350</v>
      </c>
      <c r="E2678" s="826" t="s">
        <v>1742</v>
      </c>
      <c r="F2678" s="1671"/>
      <c r="G2678" s="1671"/>
      <c r="H2678" s="1671"/>
      <c r="I2678" s="1274" t="str">
        <f t="shared" si="510"/>
        <v/>
      </c>
      <c r="J2678" s="1671" t="str">
        <f t="shared" si="511"/>
        <v/>
      </c>
      <c r="K2678" s="1671" t="str">
        <f t="shared" si="512"/>
        <v/>
      </c>
      <c r="M2678" s="1670"/>
      <c r="R2678" s="1671" t="s">
        <v>2193</v>
      </c>
    </row>
    <row r="2679" spans="1:20" s="1669" customFormat="1" x14ac:dyDescent="0.25">
      <c r="A2679" s="1673" t="s">
        <v>1385</v>
      </c>
      <c r="B2679" s="1274" t="str">
        <f>IFERROR(_xlfn.CONCAT("D",('Configurable Tab'!$C$33+4)),"")</f>
        <v>D339</v>
      </c>
      <c r="C2679" s="1274" t="str">
        <f>IFERROR(_xlfn.CONCAT("E",('Configurable Tab'!$C$33+4)),"")</f>
        <v>E339</v>
      </c>
      <c r="D2679" s="826" t="s">
        <v>1350</v>
      </c>
      <c r="E2679" s="826" t="s">
        <v>1742</v>
      </c>
      <c r="F2679" s="1671"/>
      <c r="G2679" s="1671"/>
      <c r="H2679" s="1671"/>
      <c r="I2679" s="1274" t="str">
        <f t="shared" si="510"/>
        <v/>
      </c>
      <c r="J2679" s="1671" t="str">
        <f t="shared" si="511"/>
        <v/>
      </c>
      <c r="K2679" s="1671" t="str">
        <f t="shared" si="512"/>
        <v/>
      </c>
      <c r="M2679" s="1670"/>
      <c r="R2679" s="1671" t="s">
        <v>2193</v>
      </c>
    </row>
    <row r="2680" spans="1:20" s="1669" customFormat="1" x14ac:dyDescent="0.25">
      <c r="A2680" s="1673" t="s">
        <v>1386</v>
      </c>
      <c r="B2680" s="1274" t="str">
        <f>IFERROR(_xlfn.CONCAT("D",('Configurable Tab'!$C$33+5)),"")</f>
        <v>D340</v>
      </c>
      <c r="C2680" s="1274" t="str">
        <f>IFERROR(_xlfn.CONCAT("E",('Configurable Tab'!$C$33+5)),"")</f>
        <v>E340</v>
      </c>
      <c r="D2680" s="826" t="s">
        <v>1350</v>
      </c>
      <c r="E2680" s="826" t="s">
        <v>1742</v>
      </c>
      <c r="F2680" s="1671"/>
      <c r="G2680" s="1671"/>
      <c r="H2680" s="1671"/>
      <c r="I2680" s="1274" t="str">
        <f t="shared" si="510"/>
        <v/>
      </c>
      <c r="J2680" s="1671" t="str">
        <f t="shared" si="511"/>
        <v/>
      </c>
      <c r="K2680" s="1671" t="str">
        <f t="shared" si="512"/>
        <v/>
      </c>
      <c r="M2680" s="1670"/>
      <c r="R2680" s="1671" t="s">
        <v>2193</v>
      </c>
    </row>
    <row r="2681" spans="1:20" s="1669" customFormat="1" x14ac:dyDescent="0.25">
      <c r="A2681" s="1673" t="s">
        <v>1396</v>
      </c>
      <c r="B2681" s="1274" t="str">
        <f>IFERROR(_xlfn.CONCAT("G",('Configurable Tab'!$C$33+4)),"")</f>
        <v>G339</v>
      </c>
      <c r="C2681" s="1274" t="str">
        <f>IFERROR(_xlfn.CONCAT("G",('Configurable Tab'!$C$33+5)),"")</f>
        <v>G340</v>
      </c>
      <c r="D2681" s="826" t="s">
        <v>1350</v>
      </c>
      <c r="E2681" s="826" t="s">
        <v>1742</v>
      </c>
      <c r="F2681" s="1671"/>
      <c r="G2681" s="1671"/>
      <c r="H2681" s="1671"/>
      <c r="I2681" s="1274" t="str">
        <f t="shared" si="510"/>
        <v/>
      </c>
      <c r="J2681" s="1671" t="str">
        <f t="shared" si="511"/>
        <v/>
      </c>
      <c r="K2681" s="1671" t="str">
        <f t="shared" si="512"/>
        <v/>
      </c>
      <c r="M2681" s="1670"/>
      <c r="R2681" s="1671" t="s">
        <v>2193</v>
      </c>
    </row>
    <row r="2682" spans="1:20" s="1669" customFormat="1" x14ac:dyDescent="0.25">
      <c r="A2682" s="1673" t="s">
        <v>2005</v>
      </c>
      <c r="B2682" s="1274" t="str">
        <f>IFERROR(_xlfn.CONCAT("G",('Configurable Tab'!$C$33+7)),"")</f>
        <v>G342</v>
      </c>
      <c r="C2682" s="1274" t="str">
        <f>IFERROR(_xlfn.CONCAT("G",('Configurable Tab'!$C$33+8)),"")</f>
        <v>G343</v>
      </c>
      <c r="D2682" s="826" t="s">
        <v>1350</v>
      </c>
      <c r="E2682" s="826" t="s">
        <v>1742</v>
      </c>
      <c r="F2682" s="1671"/>
      <c r="G2682" s="1671"/>
      <c r="H2682" s="1671"/>
      <c r="I2682" s="1274" t="str">
        <f t="shared" si="510"/>
        <v/>
      </c>
      <c r="J2682" s="1671" t="str">
        <f t="shared" si="511"/>
        <v/>
      </c>
      <c r="K2682" s="1671" t="str">
        <f t="shared" si="512"/>
        <v/>
      </c>
      <c r="M2682" s="1670"/>
      <c r="R2682" s="1671" t="s">
        <v>2193</v>
      </c>
    </row>
    <row r="2683" spans="1:20" s="1669" customFormat="1" x14ac:dyDescent="0.25">
      <c r="A2683" s="1673" t="s">
        <v>1482</v>
      </c>
      <c r="B2683" s="1274" t="str">
        <f>IFERROR(_xlfn.CONCAT("K",('Configurable Tab'!$C$33+7)),"")</f>
        <v>K342</v>
      </c>
      <c r="C2683" s="1274" t="str">
        <f>IFERROR(_xlfn.CONCAT("K",('Configurable Tab'!$C$33+8)),"")</f>
        <v>K343</v>
      </c>
      <c r="D2683" s="826" t="s">
        <v>1350</v>
      </c>
      <c r="E2683" s="826" t="s">
        <v>1742</v>
      </c>
      <c r="F2683" s="1671"/>
      <c r="G2683" s="1671"/>
      <c r="H2683" s="1671"/>
      <c r="I2683" s="1274" t="str">
        <f t="shared" si="510"/>
        <v/>
      </c>
      <c r="J2683" s="1671" t="str">
        <f t="shared" si="511"/>
        <v/>
      </c>
      <c r="K2683" s="1671" t="str">
        <f t="shared" si="512"/>
        <v/>
      </c>
      <c r="M2683" s="1670"/>
      <c r="R2683" s="1671" t="s">
        <v>2193</v>
      </c>
    </row>
    <row r="2684" spans="1:20" s="1669" customFormat="1" x14ac:dyDescent="0.25">
      <c r="A2684" s="1673" t="s">
        <v>1397</v>
      </c>
      <c r="B2684" s="1274" t="str">
        <f>IFERROR(_xlfn.CONCAT("K",('Configurable Tab'!$C$33+1)),"")</f>
        <v>K336</v>
      </c>
      <c r="C2684" s="1274" t="str">
        <f>IFERROR(_xlfn.CONCAT("K",('Configurable Tab'!$C$33+2)),"")</f>
        <v>K337</v>
      </c>
      <c r="D2684" s="826" t="s">
        <v>1350</v>
      </c>
      <c r="E2684" s="826" t="s">
        <v>1742</v>
      </c>
      <c r="F2684" s="1671"/>
      <c r="G2684" s="1671"/>
      <c r="H2684" s="1671"/>
      <c r="I2684" s="1274" t="str">
        <f t="shared" si="510"/>
        <v/>
      </c>
      <c r="J2684" s="1671" t="str">
        <f t="shared" si="511"/>
        <v/>
      </c>
      <c r="K2684" s="1671" t="str">
        <f t="shared" si="512"/>
        <v/>
      </c>
      <c r="M2684" s="1670"/>
      <c r="R2684" s="1671" t="s">
        <v>2193</v>
      </c>
    </row>
    <row r="2685" spans="1:20" s="1669" customFormat="1" x14ac:dyDescent="0.25">
      <c r="A2685" s="1673" t="s">
        <v>1496</v>
      </c>
      <c r="B2685" s="826" t="str">
        <f ca="1">IFERROR(_xlfn.CONCAT("C",MATCH(A2685,INDIRECT("'"&amp;E2685&amp;"'!C"&amp;$O$2665&amp;":C"&amp;$O$2667),0)+$O$2665-1),"")</f>
        <v>C655</v>
      </c>
      <c r="C2685" s="826" t="str">
        <f ca="1">IFERROR(_xlfn.CONCAT("D",MATCH(A2685,INDIRECT("'"&amp;E2685&amp;"'!C"&amp;$O$2665&amp;":C"&amp;$O$2667),0)+$O$2665-1),"")</f>
        <v>D655</v>
      </c>
      <c r="D2685" s="826" t="s">
        <v>1350</v>
      </c>
      <c r="E2685" s="826" t="s">
        <v>1516</v>
      </c>
      <c r="F2685" s="1671" t="s">
        <v>1496</v>
      </c>
      <c r="G2685" s="1671" t="str">
        <f t="shared" ref="G2685" si="513">IF(T2685&lt;&gt;"","AS","")</f>
        <v/>
      </c>
      <c r="H2685" s="1671" t="s">
        <v>1990</v>
      </c>
      <c r="I2685" s="1274" t="str">
        <f t="shared" si="510"/>
        <v/>
      </c>
      <c r="J2685" s="1671"/>
      <c r="K2685" s="1671" t="str">
        <f t="shared" si="512"/>
        <v/>
      </c>
      <c r="L2685" s="826"/>
      <c r="M2685" s="1672"/>
      <c r="N2685" s="1671"/>
      <c r="R2685" s="1671" t="s">
        <v>2193</v>
      </c>
      <c r="T2685" s="1671" t="str">
        <f>IF(Q$2665="Yes",46,"")</f>
        <v/>
      </c>
    </row>
    <row r="2686" spans="1:20" s="1669" customFormat="1" x14ac:dyDescent="0.25">
      <c r="A2686" s="1674" t="s">
        <v>1495</v>
      </c>
      <c r="B2686" s="826" t="str">
        <f ca="1">IFERROR(_xlfn.CONCAT("C",MATCH(A2686,INDIRECT("'"&amp;E2686&amp;"'!C"&amp;$O$2665&amp;":C"&amp;$O$2667),0)+$O$2665-1),"")</f>
        <v>C653</v>
      </c>
      <c r="C2686" s="826" t="str">
        <f ca="1">IFERROR(_xlfn.CONCAT("D",MATCH(A2686,INDIRECT("'"&amp;E2686&amp;"'!C"&amp;$O$2665&amp;":C"&amp;$O$2667),0)+$O$2665-1),"")</f>
        <v>D653</v>
      </c>
      <c r="D2686" s="826" t="s">
        <v>1350</v>
      </c>
      <c r="E2686" s="826" t="s">
        <v>1516</v>
      </c>
      <c r="F2686" s="1671" t="s">
        <v>1495</v>
      </c>
      <c r="G2686" s="1671" t="str">
        <f>IF(T2686&lt;&gt;"","AN","")</f>
        <v/>
      </c>
      <c r="H2686" s="1671" t="s">
        <v>1990</v>
      </c>
      <c r="I2686" s="1274"/>
      <c r="J2686" s="1671"/>
      <c r="K2686" s="1671"/>
      <c r="L2686" s="826"/>
      <c r="M2686" s="1672"/>
      <c r="N2686" s="1671"/>
      <c r="O2686" s="1561"/>
      <c r="P2686" s="603"/>
      <c r="Q2686" s="603"/>
      <c r="R2686" s="1671" t="s">
        <v>2193</v>
      </c>
      <c r="T2686" s="1671" t="str">
        <f t="shared" ref="T2686:T2693" si="514">IF(Q$2665="Yes",46,"")</f>
        <v/>
      </c>
    </row>
    <row r="2687" spans="1:20" s="1669" customFormat="1" x14ac:dyDescent="0.25">
      <c r="A2687" s="1674" t="s">
        <v>1492</v>
      </c>
      <c r="B2687" s="826" t="str">
        <f ca="1">_xlfn.CONCAT(IFERROR(SUBSTITUTE(ADDRESS(1,MATCH(A2687,INDIRECT("'"&amp;E2687&amp;"'"&amp;"!A" &amp; $O$2665+ 8 &amp; ":Z" &amp; $O$2665 + 8),0),4),1,""),""),$O$2665 + 8)</f>
        <v>H651</v>
      </c>
      <c r="C2687" s="826" t="str">
        <f ca="1">_xlfn.CONCAT(IFERROR(SUBSTITUTE(ADDRESS(1,MATCH(A2687,INDIRECT("'"&amp;E2687&amp;"'"&amp;"!A" &amp; $O$2665+ 8 &amp; ":Z" &amp; $O$2665 + 8),0),4),1,""),""),$O$2665 + 9)</f>
        <v>H652</v>
      </c>
      <c r="D2687" s="826" t="s">
        <v>1350</v>
      </c>
      <c r="E2687" s="826" t="s">
        <v>1516</v>
      </c>
      <c r="F2687" s="1671" t="s">
        <v>1492</v>
      </c>
      <c r="G2687" s="1671" t="str">
        <f>IF(T2687&lt;&gt;"","AL","")</f>
        <v/>
      </c>
      <c r="H2687" s="1671" t="s">
        <v>1990</v>
      </c>
      <c r="I2687" s="1274"/>
      <c r="J2687" s="1671"/>
      <c r="K2687" s="1671"/>
      <c r="L2687" s="826"/>
      <c r="M2687" s="1672"/>
      <c r="N2687" s="1671"/>
      <c r="O2687" s="603"/>
      <c r="P2687" s="603"/>
      <c r="Q2687" s="603"/>
      <c r="R2687" s="1671" t="s">
        <v>2193</v>
      </c>
      <c r="T2687" s="1671" t="str">
        <f t="shared" si="514"/>
        <v/>
      </c>
    </row>
    <row r="2688" spans="1:20" s="1669" customFormat="1" x14ac:dyDescent="0.25">
      <c r="A2688" s="1674" t="s">
        <v>1380</v>
      </c>
      <c r="B2688" s="826" t="str">
        <f ca="1">_xlfn.CONCAT(IFERROR(SUBSTITUTE(ADDRESS(1,MATCH(A2688,INDIRECT("'"&amp;E2688&amp;"'"&amp;"!A" &amp; $O$2665+ 2 &amp; ":Z" &amp; $O$2665 + 2),0),4),1,""),""),$O$2665+ 2)</f>
        <v>H645</v>
      </c>
      <c r="C2688" s="826" t="str">
        <f ca="1">_xlfn.CONCAT(IFERROR(SUBSTITUTE(ADDRESS(1,MATCH(A2688,INDIRECT("'"&amp;E2688&amp;"'"&amp;"!A" &amp; $O$2665+ 2 &amp; ":Z" &amp; $O$2665 + 2),0),4),1,""),""),$O$2665+ 3)</f>
        <v>H646</v>
      </c>
      <c r="D2688" s="826" t="s">
        <v>1350</v>
      </c>
      <c r="E2688" s="826" t="s">
        <v>1516</v>
      </c>
      <c r="F2688" s="1671" t="s">
        <v>1991</v>
      </c>
      <c r="G2688" s="1671" t="str">
        <f>IF(T2688&lt;&gt;"","E","")</f>
        <v/>
      </c>
      <c r="H2688" s="1671" t="s">
        <v>1990</v>
      </c>
      <c r="I2688" s="1274"/>
      <c r="J2688" s="1671"/>
      <c r="K2688" s="1671"/>
      <c r="L2688" s="826"/>
      <c r="M2688" s="1672"/>
      <c r="N2688" s="1671"/>
      <c r="O2688" s="603"/>
      <c r="P2688" s="603"/>
      <c r="Q2688" s="603"/>
      <c r="R2688" s="1671" t="s">
        <v>2193</v>
      </c>
      <c r="T2688" s="1671" t="str">
        <f t="shared" si="514"/>
        <v/>
      </c>
    </row>
    <row r="2689" spans="1:20" s="1669" customFormat="1" x14ac:dyDescent="0.25">
      <c r="A2689" s="1674" t="s">
        <v>1487</v>
      </c>
      <c r="B2689" s="826" t="str">
        <f ca="1">_xlfn.CONCAT(IFERROR(SUBSTITUTE(ADDRESS(1,MATCH(A2689,INDIRECT("'"&amp;E2689&amp;"'"&amp;"!A" &amp; $O$2665+ 2 &amp; ":Z" &amp; $O$2665 + 2),0),4),1,""),""),$O$2665+ 2)</f>
        <v>R645</v>
      </c>
      <c r="C2689" s="826" t="str">
        <f ca="1">_xlfn.CONCAT(IFERROR(SUBSTITUTE(ADDRESS(1,MATCH(A2689,INDIRECT("'"&amp;E2689&amp;"'"&amp;"!A" &amp; $O$2665+ 2 &amp; ":Z" &amp; $O$2665 + 2),0),4),1,""),""),$O$2665+ 3)</f>
        <v>R646</v>
      </c>
      <c r="D2689" s="826" t="s">
        <v>1350</v>
      </c>
      <c r="E2689" s="826" t="s">
        <v>1516</v>
      </c>
      <c r="F2689" s="1671" t="s">
        <v>1995</v>
      </c>
      <c r="G2689" s="1671" t="str">
        <f>IF(T2689&lt;&gt;"","G","")</f>
        <v/>
      </c>
      <c r="H2689" s="1671" t="s">
        <v>1990</v>
      </c>
      <c r="I2689" s="1274"/>
      <c r="J2689" s="1671"/>
      <c r="K2689" s="1671"/>
      <c r="L2689" s="826"/>
      <c r="M2689" s="1672"/>
      <c r="N2689" s="1671"/>
      <c r="O2689" s="603"/>
      <c r="P2689" s="603"/>
      <c r="Q2689" s="603"/>
      <c r="R2689" s="1671" t="s">
        <v>2193</v>
      </c>
      <c r="T2689" s="1671" t="str">
        <f t="shared" si="514"/>
        <v/>
      </c>
    </row>
    <row r="2690" spans="1:20" s="1669" customFormat="1" x14ac:dyDescent="0.25">
      <c r="A2690" s="1674" t="s">
        <v>1488</v>
      </c>
      <c r="B2690" s="826" t="str">
        <f ca="1">_xlfn.CONCAT(IFERROR(SUBSTITUTE(ADDRESS(1,MATCH(A2690,INDIRECT("'"&amp;E2690&amp;"'"&amp;"!A" &amp; $O$2665+ 2 &amp; ":Z" &amp; $O$2665 + 2),0),4),1,""),""),$O$2665+ 2)</f>
        <v>T645</v>
      </c>
      <c r="C2690" s="826" t="str">
        <f ca="1">_xlfn.CONCAT(IFERROR(SUBSTITUTE(ADDRESS(1,MATCH(A2690,INDIRECT("'"&amp;E2690&amp;"'"&amp;"!A" &amp; $O$2665+ 2 &amp; ":Z" &amp; $O$2665 + 2),0),4),1,""),""),$O$2665+ 3)</f>
        <v>T646</v>
      </c>
      <c r="D2690" s="826" t="s">
        <v>1350</v>
      </c>
      <c r="E2690" s="826" t="s">
        <v>1516</v>
      </c>
      <c r="F2690" s="841" t="s">
        <v>1488</v>
      </c>
      <c r="G2690" s="1671" t="str">
        <f>IF(T2690&lt;&gt;"","AW","")</f>
        <v/>
      </c>
      <c r="H2690" s="1671" t="s">
        <v>1990</v>
      </c>
      <c r="I2690" s="1274"/>
      <c r="J2690" s="1671"/>
      <c r="K2690" s="1671"/>
      <c r="L2690" s="826"/>
      <c r="M2690" s="1672"/>
      <c r="N2690" s="1671"/>
      <c r="O2690" s="603"/>
      <c r="P2690" s="603"/>
      <c r="Q2690" s="603"/>
      <c r="R2690" s="1671" t="s">
        <v>2193</v>
      </c>
      <c r="T2690" s="1671" t="str">
        <f t="shared" si="514"/>
        <v/>
      </c>
    </row>
    <row r="2691" spans="1:20" s="1669" customFormat="1" x14ac:dyDescent="0.25">
      <c r="A2691" s="1674" t="s">
        <v>1603</v>
      </c>
      <c r="B2691" s="826" t="str">
        <f ca="1">_xlfn.CONCAT(IFERROR(SUBSTITUTE(ADDRESS(1,MATCH(A2691,INDIRECT("'"&amp;E2691&amp;"'"&amp;"!A" &amp; $O$2665+ 5 &amp; ":Z" &amp; $O$2665 + 5),0),4),1,""),""),$O$2665+ 5)</f>
        <v>R648</v>
      </c>
      <c r="C2691" s="826" t="str">
        <f ca="1">_xlfn.CONCAT(IFERROR(SUBSTITUTE(ADDRESS(1,MATCH(A2691,INDIRECT("'"&amp;E2691&amp;"'"&amp;"!A" &amp; $O$2665+ 5 &amp; ":Z" &amp; $O$2665 + 5),0),4),1,""),""),$O$2665+ 6)</f>
        <v>R649</v>
      </c>
      <c r="D2691" s="826" t="s">
        <v>1350</v>
      </c>
      <c r="E2691" s="826" t="s">
        <v>1516</v>
      </c>
      <c r="F2691" s="1671" t="s">
        <v>1999</v>
      </c>
      <c r="G2691" s="1671" t="str">
        <f t="shared" ref="G2691" si="515">IF(T2691&lt;&gt;"","AB","")</f>
        <v/>
      </c>
      <c r="H2691" s="1671" t="s">
        <v>1990</v>
      </c>
      <c r="I2691" s="1274"/>
      <c r="J2691" s="1671"/>
      <c r="K2691" s="1671"/>
      <c r="L2691" s="826"/>
      <c r="M2691" s="1672"/>
      <c r="N2691" s="1671"/>
      <c r="O2691" s="603"/>
      <c r="P2691" s="603"/>
      <c r="Q2691" s="603"/>
      <c r="R2691" s="1671" t="s">
        <v>2193</v>
      </c>
      <c r="T2691" s="1671" t="str">
        <f t="shared" si="514"/>
        <v/>
      </c>
    </row>
    <row r="2692" spans="1:20" s="1669" customFormat="1" x14ac:dyDescent="0.25">
      <c r="A2692" s="1674" t="s">
        <v>1604</v>
      </c>
      <c r="B2692" s="826" t="str">
        <f ca="1">_xlfn.CONCAT(IFERROR(SUBSTITUTE(ADDRESS(1,MATCH(A2692,INDIRECT("'"&amp;E2692&amp;"'"&amp;"!A" &amp; $O$2665+ 5 &amp; ":Z" &amp; $O$2665 + 5),0),4),1,""),""),$O$2665+ 5)</f>
        <v>T648</v>
      </c>
      <c r="C2692" s="826" t="str">
        <f ca="1">_xlfn.CONCAT(IFERROR(SUBSTITUTE(ADDRESS(1,MATCH(A2692,INDIRECT("'"&amp;E2692&amp;"'"&amp;"!A" &amp; $O$2665+ 5 &amp; ":Z" &amp; $O$2665 + 5),0),4),1,""),""),$O$2665+ 6)</f>
        <v>T649</v>
      </c>
      <c r="D2692" s="826" t="s">
        <v>1350</v>
      </c>
      <c r="E2692" s="826" t="s">
        <v>1516</v>
      </c>
      <c r="F2692" s="1671" t="s">
        <v>1604</v>
      </c>
      <c r="G2692" s="1671" t="str">
        <f t="shared" ref="G2692" si="516">IF(T2692&lt;&gt;"","AP","")</f>
        <v/>
      </c>
      <c r="H2692" s="1671" t="s">
        <v>1990</v>
      </c>
      <c r="I2692" s="1274"/>
      <c r="J2692" s="1671"/>
      <c r="K2692" s="1671"/>
      <c r="L2692" s="826"/>
      <c r="M2692" s="1672"/>
      <c r="N2692" s="1671"/>
      <c r="O2692" s="603"/>
      <c r="P2692" s="603"/>
      <c r="Q2692" s="603"/>
      <c r="R2692" s="1671" t="s">
        <v>2193</v>
      </c>
      <c r="T2692" s="1671" t="str">
        <f t="shared" si="514"/>
        <v/>
      </c>
    </row>
    <row r="2693" spans="1:20" s="1669" customFormat="1" x14ac:dyDescent="0.25">
      <c r="A2693" s="1674" t="s">
        <v>2135</v>
      </c>
      <c r="B2693" s="826" t="str">
        <f ca="1">_xlfn.CONCAT(IFERROR(SUBSTITUTE(ADDRESS(1,MATCH(A2693,INDIRECT("'"&amp;E2693&amp;"'"&amp;"!A" &amp; $O$2665+ 8 &amp; ":Z" &amp; $O$2665 + 8),0),4),1,""),""),$O$2665 + 8)</f>
        <v>L651</v>
      </c>
      <c r="C2693" s="826" t="str">
        <f ca="1">_xlfn.CONCAT(IFERROR(SUBSTITUTE(ADDRESS(1,MATCH(A2693,INDIRECT("'"&amp;E2693&amp;"'"&amp;"!A" &amp; $O$2665+ 8 &amp; ":Z" &amp; $O$2665 + 8),0),4),1,""),""),$O$2665 + 9)</f>
        <v>L652</v>
      </c>
      <c r="D2693" s="826" t="s">
        <v>1350</v>
      </c>
      <c r="E2693" s="826" t="s">
        <v>1516</v>
      </c>
      <c r="F2693" s="1671" t="s">
        <v>2135</v>
      </c>
      <c r="G2693" s="1671" t="str">
        <f>IF(T2693&lt;&gt;"","AZ","")</f>
        <v/>
      </c>
      <c r="H2693" s="1671" t="s">
        <v>1990</v>
      </c>
      <c r="I2693" s="1274"/>
      <c r="J2693" s="1671"/>
      <c r="K2693" s="1671"/>
      <c r="L2693" s="826" t="s">
        <v>2135</v>
      </c>
      <c r="M2693" s="1672">
        <v>1640</v>
      </c>
      <c r="N2693" s="1671"/>
      <c r="O2693" s="603"/>
      <c r="P2693" s="603"/>
      <c r="Q2693" s="603"/>
      <c r="R2693" s="1671" t="s">
        <v>2193</v>
      </c>
      <c r="T2693" s="1671" t="str">
        <f t="shared" si="514"/>
        <v/>
      </c>
    </row>
    <row r="2694" spans="1:20" s="1669" customFormat="1" x14ac:dyDescent="0.25">
      <c r="A2694" s="846" t="s">
        <v>1491</v>
      </c>
      <c r="B2694" s="826" t="str">
        <f ca="1">IFERROR(_xlfn.CONCAT("C",MATCH(A2694,INDIRECT("'"&amp;E2694&amp;"'!C"&amp;$O$2695&amp;":C"&amp;$O$2697),0)+$O$2695-1),"")</f>
        <v>C661</v>
      </c>
      <c r="C2694" s="826" t="str">
        <f ca="1">IFERROR(_xlfn.CONCAT("D",MATCH(A2694,INDIRECT("'"&amp;E2694&amp;"'!C"&amp;$O$2695&amp;":C"&amp;$O$2697),0)+$O$2695-1),"")</f>
        <v>D661</v>
      </c>
      <c r="D2694" s="826" t="s">
        <v>1350</v>
      </c>
      <c r="E2694" s="826" t="s">
        <v>1516</v>
      </c>
      <c r="F2694" s="826" t="s">
        <v>1491</v>
      </c>
      <c r="G2694" s="1671" t="str">
        <f>IF(T2694&lt;&gt;"","A","")</f>
        <v/>
      </c>
      <c r="H2694" s="1671" t="s">
        <v>1990</v>
      </c>
      <c r="I2694" s="826"/>
      <c r="J2694" s="826"/>
      <c r="K2694" s="826"/>
      <c r="L2694" s="826" t="s">
        <v>1491</v>
      </c>
      <c r="M2694" s="1332">
        <v>1641</v>
      </c>
      <c r="N2694" s="826"/>
      <c r="O2694" s="1669" t="s">
        <v>725</v>
      </c>
      <c r="R2694" s="1671" t="s">
        <v>2194</v>
      </c>
      <c r="T2694" s="1671" t="str">
        <f>IF(Q$2695="Yes",47,"")</f>
        <v/>
      </c>
    </row>
    <row r="2695" spans="1:20" s="1669" customFormat="1" x14ac:dyDescent="0.25">
      <c r="A2695" s="846" t="s">
        <v>1705</v>
      </c>
      <c r="B2695" s="826" t="str">
        <f ca="1">_xlfn.CONCAT(IFERROR(SUBSTITUTE(ADDRESS(1,MATCH(A2695,INDIRECT("'"&amp;E2695&amp;"'"&amp;"!A" &amp; $O$2695+ 11 &amp; ":Z" &amp; $O$2695 + 11),0),4),1,""),""),$O$2695+ 11)</f>
        <v>T668</v>
      </c>
      <c r="C2695" s="826" t="str">
        <f ca="1">_xlfn.CONCAT(IFERROR(SUBSTITUTE(ADDRESS(1,MATCH(A2695,INDIRECT("'"&amp;E2695&amp;"'"&amp;"!A" &amp; $O$2695+ 11 &amp; ":Z" &amp; $O$2695 + 11),0),4),1,""),""),$O$2695+ 12)</f>
        <v>T669</v>
      </c>
      <c r="D2695" s="826" t="s">
        <v>1350</v>
      </c>
      <c r="E2695" s="826" t="s">
        <v>1516</v>
      </c>
      <c r="F2695" s="826"/>
      <c r="G2695" s="1671"/>
      <c r="H2695" s="1671"/>
      <c r="I2695" s="826"/>
      <c r="J2695" s="826"/>
      <c r="K2695" s="826"/>
      <c r="L2695" s="826" t="s">
        <v>1705</v>
      </c>
      <c r="M2695" s="1332">
        <v>1642</v>
      </c>
      <c r="N2695" s="826"/>
      <c r="O2695" s="1669">
        <f>'Configurable Tab'!H49</f>
        <v>657</v>
      </c>
      <c r="P2695" s="18" t="str">
        <f>'Configurable Tab'!J48</f>
        <v>No</v>
      </c>
      <c r="Q2695" s="1669" t="s">
        <v>648</v>
      </c>
      <c r="R2695" s="1671" t="s">
        <v>2194</v>
      </c>
      <c r="T2695" s="1671" t="str">
        <f t="shared" ref="T2695:T2704" si="517">IF(Q$2695="Yes",47,"")</f>
        <v/>
      </c>
    </row>
    <row r="2696" spans="1:20" s="1669" customFormat="1" x14ac:dyDescent="0.25">
      <c r="A2696" s="846" t="s">
        <v>1383</v>
      </c>
      <c r="B2696" s="826" t="str">
        <f ca="1">IFERROR(_xlfn.CONCAT("C",MATCH(A2696,INDIRECT("'"&amp;E2696&amp;"'!C"&amp;$O$2695&amp;":C"&amp;$O$2697),0)+$O$2695-1),"")</f>
        <v>C659</v>
      </c>
      <c r="C2696" s="826" t="str">
        <f ca="1">IFERROR(_xlfn.CONCAT("D",MATCH(A2696,INDIRECT("'"&amp;E2696&amp;"'!C"&amp;$O$2695&amp;":C"&amp;$O$2697),0)+$O$2695-1),"")</f>
        <v>D659</v>
      </c>
      <c r="D2696" s="826" t="s">
        <v>1350</v>
      </c>
      <c r="E2696" s="826" t="s">
        <v>1516</v>
      </c>
      <c r="F2696" s="826" t="s">
        <v>1383</v>
      </c>
      <c r="G2696" s="1671" t="str">
        <f>IF(T2696&lt;&gt;"","B","")</f>
        <v/>
      </c>
      <c r="H2696" s="1671" t="s">
        <v>1990</v>
      </c>
      <c r="I2696" s="826"/>
      <c r="J2696" s="826"/>
      <c r="K2696" s="826"/>
      <c r="L2696" s="826" t="s">
        <v>1383</v>
      </c>
      <c r="M2696" s="1332">
        <v>1643</v>
      </c>
      <c r="N2696" s="826"/>
      <c r="O2696" s="1669" t="s">
        <v>726</v>
      </c>
      <c r="R2696" s="1671" t="s">
        <v>2194</v>
      </c>
      <c r="T2696" s="1671" t="str">
        <f t="shared" si="517"/>
        <v/>
      </c>
    </row>
    <row r="2697" spans="1:20" s="1669" customFormat="1" x14ac:dyDescent="0.25">
      <c r="A2697" s="846" t="s">
        <v>1381</v>
      </c>
      <c r="B2697" s="826" t="str">
        <f ca="1">_xlfn.CONCAT(IFERROR(SUBSTITUTE(ADDRESS(1,MATCH(A2697,INDIRECT("'"&amp;E2697&amp;"'"&amp;"!A" &amp; $O$2695+ 2 &amp; ":Z" &amp; $O$2695 + 2),0),4),1,""),""),$O$2695+ 2)</f>
        <v>J659</v>
      </c>
      <c r="C2697" s="826" t="str">
        <f ca="1">_xlfn.CONCAT(IFERROR(SUBSTITUTE(ADDRESS(1,MATCH(A2697,INDIRECT("'"&amp;E2697&amp;"'"&amp;"!A" &amp; $O$2695+ 2 &amp; ":Z" &amp; $O$2695 + 2),0),4),1,""),""),$O$2695+ 3)</f>
        <v>J660</v>
      </c>
      <c r="D2697" s="826" t="s">
        <v>1350</v>
      </c>
      <c r="E2697" s="826" t="s">
        <v>1516</v>
      </c>
      <c r="F2697" s="826" t="s">
        <v>1992</v>
      </c>
      <c r="G2697" s="1671" t="str">
        <f>IF(T2697&lt;&gt;"","I","")</f>
        <v/>
      </c>
      <c r="H2697" s="1671" t="s">
        <v>1990</v>
      </c>
      <c r="I2697" s="826"/>
      <c r="J2697" s="826"/>
      <c r="K2697" s="826"/>
      <c r="L2697" s="826" t="s">
        <v>1381</v>
      </c>
      <c r="M2697" s="1332">
        <v>1644</v>
      </c>
      <c r="N2697" s="826"/>
      <c r="O2697" s="1669">
        <f>'Configurable Tab'!I49</f>
        <v>670</v>
      </c>
      <c r="R2697" s="1671" t="s">
        <v>2194</v>
      </c>
      <c r="T2697" s="1671" t="str">
        <f t="shared" si="517"/>
        <v/>
      </c>
    </row>
    <row r="2698" spans="1:20" s="1669" customFormat="1" x14ac:dyDescent="0.25">
      <c r="A2698" s="846" t="s">
        <v>1382</v>
      </c>
      <c r="B2698" s="826" t="str">
        <f ca="1">_xlfn.CONCAT(IFERROR(SUBSTITUTE(ADDRESS(1,MATCH(A2698,INDIRECT("'"&amp;E2698&amp;"'"&amp;"!A" &amp; $O$2695+ 2 &amp; ":Z" &amp; $O$2695 + 2),0),4),1,""),""),$O$2695+ 2)</f>
        <v>N659</v>
      </c>
      <c r="C2698" s="826" t="str">
        <f ca="1">_xlfn.CONCAT(IFERROR(SUBSTITUTE(ADDRESS(1,MATCH(A2698,INDIRECT("'"&amp;E2698&amp;"'"&amp;"!A" &amp; $O$2695+ 2 &amp; ":Z" &amp; $O$2695 + 2),0),4),1,""),""),$O$2695+ 3)</f>
        <v>N660</v>
      </c>
      <c r="D2698" s="826" t="s">
        <v>1350</v>
      </c>
      <c r="E2698" s="826" t="s">
        <v>1516</v>
      </c>
      <c r="F2698" s="826" t="s">
        <v>1382</v>
      </c>
      <c r="G2698" s="1671" t="str">
        <f>IF(T2698&lt;&gt;"",IF(Q2697="Credit Memo","J",IF(Q2697="Check","K","")),"")</f>
        <v/>
      </c>
      <c r="H2698" s="1671" t="s">
        <v>1990</v>
      </c>
      <c r="I2698" s="826"/>
      <c r="J2698" s="826"/>
      <c r="K2698" s="826"/>
      <c r="L2698" s="826" t="s">
        <v>1382</v>
      </c>
      <c r="M2698" s="1332">
        <v>1645</v>
      </c>
      <c r="N2698" s="826"/>
      <c r="O2698" s="1669" t="s">
        <v>2202</v>
      </c>
      <c r="R2698" s="1671" t="s">
        <v>2194</v>
      </c>
      <c r="T2698" s="1671" t="str">
        <f t="shared" si="517"/>
        <v/>
      </c>
    </row>
    <row r="2699" spans="1:20" s="1669" customFormat="1" x14ac:dyDescent="0.25">
      <c r="A2699" s="846" t="s">
        <v>1385</v>
      </c>
      <c r="B2699" s="826" t="str">
        <f ca="1">IFERROR(_xlfn.CONCAT("C",MATCH(A2699,INDIRECT("'"&amp;E2699&amp;"'!C"&amp;$O$2695&amp;":C"&amp;$O$2697),0)+$O$2695-1),"")</f>
        <v>C663</v>
      </c>
      <c r="C2699" s="826" t="str">
        <f ca="1">IFERROR(_xlfn.CONCAT("D",MATCH(A2699,INDIRECT("'"&amp;E2699&amp;"'!C"&amp;$O$2695&amp;":C"&amp;$O$2697),0)+$O$2695-1),"")</f>
        <v>D663</v>
      </c>
      <c r="D2699" s="826" t="s">
        <v>1350</v>
      </c>
      <c r="E2699" s="826" t="s">
        <v>1516</v>
      </c>
      <c r="F2699" s="826" t="s">
        <v>1385</v>
      </c>
      <c r="G2699" s="1671" t="str">
        <f>IF(T2699&lt;&gt;"","C","")</f>
        <v/>
      </c>
      <c r="H2699" s="1671" t="s">
        <v>1990</v>
      </c>
      <c r="I2699" s="826"/>
      <c r="J2699" s="826"/>
      <c r="K2699" s="826"/>
      <c r="L2699" s="826" t="s">
        <v>1385</v>
      </c>
      <c r="M2699" s="1332">
        <v>1646</v>
      </c>
      <c r="N2699" s="826"/>
      <c r="R2699" s="1671" t="s">
        <v>2194</v>
      </c>
      <c r="T2699" s="1671" t="str">
        <f t="shared" si="517"/>
        <v/>
      </c>
    </row>
    <row r="2700" spans="1:20" s="1669" customFormat="1" x14ac:dyDescent="0.25">
      <c r="A2700" s="846" t="s">
        <v>1386</v>
      </c>
      <c r="B2700" s="826" t="str">
        <f ca="1">IFERROR(_xlfn.CONCAT("C",MATCH(A2700,INDIRECT("'"&amp;E2700&amp;"'!C"&amp;$O$2695&amp;":C"&amp;$O$2697),0)+$O$2695-1),"")</f>
        <v>C665</v>
      </c>
      <c r="C2700" s="826" t="str">
        <f ca="1">IFERROR(_xlfn.CONCAT("D",MATCH(A2700,INDIRECT("'"&amp;E2700&amp;"'!C"&amp;$O$2695&amp;":C"&amp;$O$2697),0)+$O$2695-1),"")</f>
        <v>D665</v>
      </c>
      <c r="D2700" s="826" t="s">
        <v>1350</v>
      </c>
      <c r="E2700" s="826" t="s">
        <v>1516</v>
      </c>
      <c r="F2700" s="826" t="s">
        <v>1386</v>
      </c>
      <c r="G2700" s="1671" t="str">
        <f>IF(T2700&lt;&gt;"","D","")</f>
        <v/>
      </c>
      <c r="H2700" s="1671" t="s">
        <v>1990</v>
      </c>
      <c r="I2700" s="826"/>
      <c r="J2700" s="826"/>
      <c r="K2700" s="826"/>
      <c r="L2700" s="826" t="s">
        <v>1386</v>
      </c>
      <c r="M2700" s="1332">
        <v>1647</v>
      </c>
      <c r="N2700" s="826"/>
      <c r="R2700" s="1671" t="s">
        <v>2194</v>
      </c>
      <c r="T2700" s="1671" t="str">
        <f t="shared" si="517"/>
        <v/>
      </c>
    </row>
    <row r="2701" spans="1:20" s="1669" customFormat="1" x14ac:dyDescent="0.25">
      <c r="A2701" s="846" t="s">
        <v>1396</v>
      </c>
      <c r="B2701" s="826" t="str">
        <f ca="1">_xlfn.CONCAT(IFERROR(SUBSTITUTE(ADDRESS(1,MATCH(A2701,INDIRECT("'"&amp;E2701&amp;"'"&amp;"!A" &amp; $O$2695+ 5 &amp; ":Z" &amp; $O$2695 + 5),0),4),1,""),""),$O$2695+ 5)</f>
        <v>H662</v>
      </c>
      <c r="C2701" s="826" t="str">
        <f ca="1">_xlfn.CONCAT(IFERROR(SUBSTITUTE(ADDRESS(1,MATCH(A2701,INDIRECT("'"&amp;E2701&amp;"'"&amp;"!A" &amp; $O$2695+ 5 &amp; ":Z" &amp; $O$2695 + 5),0),4),1,""),""),$O$2695+ 6)</f>
        <v>H663</v>
      </c>
      <c r="D2701" s="826" t="s">
        <v>1350</v>
      </c>
      <c r="E2701" s="826" t="s">
        <v>1516</v>
      </c>
      <c r="F2701" s="1671" t="s">
        <v>1396</v>
      </c>
      <c r="G2701" s="1671" t="str">
        <f>IF(T2701&lt;&gt;"","S","")</f>
        <v/>
      </c>
      <c r="H2701" s="1671" t="s">
        <v>1990</v>
      </c>
      <c r="I2701" s="826"/>
      <c r="J2701" s="826"/>
      <c r="K2701" s="826"/>
      <c r="L2701" s="826" t="s">
        <v>1396</v>
      </c>
      <c r="M2701" s="1332">
        <v>1648</v>
      </c>
      <c r="N2701" s="826"/>
      <c r="R2701" s="1671" t="s">
        <v>2194</v>
      </c>
      <c r="T2701" s="1671" t="str">
        <f t="shared" si="517"/>
        <v/>
      </c>
    </row>
    <row r="2702" spans="1:20" s="1669" customFormat="1" x14ac:dyDescent="0.25">
      <c r="A2702" s="846" t="s">
        <v>2005</v>
      </c>
      <c r="B2702" s="826" t="str">
        <f ca="1">_xlfn.CONCAT(IFERROR(SUBSTITUTE(ADDRESS(1,MATCH(A2702,INDIRECT("'"&amp;E2702&amp;"'"&amp;"!A" &amp; $O$2695+ 8 &amp; ":Z" &amp; $O$2695 + 8),0),4),1,""),""),$O$2695 + 8)</f>
        <v>J665</v>
      </c>
      <c r="C2702" s="826" t="str">
        <f ca="1">_xlfn.CONCAT(IFERROR(SUBSTITUTE(ADDRESS(1,MATCH(A2702,INDIRECT("'"&amp;E2702&amp;"'"&amp;"!A" &amp; $O$2695+ 8 &amp; ":Z" &amp; $O$2695 + 8),0),4),1,""),""),$O$2695 + 9)</f>
        <v>J666</v>
      </c>
      <c r="D2702" s="826" t="s">
        <v>1350</v>
      </c>
      <c r="E2702" s="826" t="s">
        <v>1516</v>
      </c>
      <c r="F2702" s="826" t="s">
        <v>2005</v>
      </c>
      <c r="G2702" s="1671" t="str">
        <f>IF(T2702&lt;&gt;"","AQ","")</f>
        <v/>
      </c>
      <c r="H2702" s="1671" t="s">
        <v>1990</v>
      </c>
      <c r="I2702" s="826"/>
      <c r="J2702" s="826"/>
      <c r="K2702" s="826"/>
      <c r="L2702" s="826" t="s">
        <v>2005</v>
      </c>
      <c r="M2702" s="1332">
        <v>1649</v>
      </c>
      <c r="N2702" s="826"/>
      <c r="R2702" s="1671" t="s">
        <v>2194</v>
      </c>
      <c r="T2702" s="1671" t="str">
        <f t="shared" si="517"/>
        <v/>
      </c>
    </row>
    <row r="2703" spans="1:20" s="1669" customFormat="1" x14ac:dyDescent="0.25">
      <c r="A2703" s="846" t="s">
        <v>1482</v>
      </c>
      <c r="B2703" s="826" t="str">
        <f ca="1">_xlfn.CONCAT(IFERROR(SUBSTITUTE(ADDRESS(1,MATCH(A2703,INDIRECT("'"&amp;E2703&amp;"'"&amp;"!A" &amp; $O$2695+ 8 &amp; ":Z" &amp; $O$2695 + 8),0),4),1,""),""),$O$2695 + 8)</f>
        <v>N665</v>
      </c>
      <c r="C2703" s="826" t="str">
        <f ca="1">_xlfn.CONCAT(IFERROR(SUBSTITUTE(ADDRESS(1,MATCH(A2703,INDIRECT("'"&amp;E2703&amp;"'"&amp;"!A" &amp; $O$2695+ 8 &amp; ":Z" &amp; $O$2695 + 8),0),4),1,""),""),$O$2695 + 9)</f>
        <v>N666</v>
      </c>
      <c r="D2703" s="826" t="s">
        <v>1350</v>
      </c>
      <c r="E2703" s="826" t="s">
        <v>1516</v>
      </c>
      <c r="F2703" s="826" t="s">
        <v>2054</v>
      </c>
      <c r="G2703" s="1671" t="str">
        <f>IF(T2703&lt;&gt;"","AA","")</f>
        <v/>
      </c>
      <c r="H2703" s="1671" t="s">
        <v>1990</v>
      </c>
      <c r="I2703" s="826"/>
      <c r="J2703" s="826"/>
      <c r="K2703" s="826"/>
      <c r="L2703" s="826" t="s">
        <v>2006</v>
      </c>
      <c r="M2703" s="1332">
        <v>1650</v>
      </c>
      <c r="N2703" s="826"/>
      <c r="R2703" s="1671" t="s">
        <v>2194</v>
      </c>
      <c r="T2703" s="1671" t="str">
        <f t="shared" si="517"/>
        <v/>
      </c>
    </row>
    <row r="2704" spans="1:20" s="1669" customFormat="1" x14ac:dyDescent="0.25">
      <c r="A2704" s="846" t="s">
        <v>1397</v>
      </c>
      <c r="B2704" s="826" t="str">
        <f ca="1">_xlfn.CONCAT(IFERROR(SUBSTITUTE(ADDRESS(1,MATCH(A2704,INDIRECT("'"&amp;E2704&amp;"'"&amp;"!A" &amp; $O$2695+ 2 &amp; ":Z" &amp; $O$2695 + 2),0),4),1,""),""),$O$2695 + 2)</f>
        <v>L659</v>
      </c>
      <c r="C2704" s="826" t="str">
        <f ca="1">_xlfn.CONCAT(IFERROR(SUBSTITUTE(ADDRESS(1,MATCH(A2704,INDIRECT("'"&amp;E2704&amp;"'"&amp;"!A" &amp; $O$2695+ 2 &amp; ":Z" &amp; $O$2695 + 2),0),4),1,""),""),$O$2695 + 3)</f>
        <v>L660</v>
      </c>
      <c r="D2704" s="826" t="s">
        <v>1350</v>
      </c>
      <c r="E2704" s="826" t="s">
        <v>1516</v>
      </c>
      <c r="F2704" s="826" t="s">
        <v>1993</v>
      </c>
      <c r="G2704" s="1671" t="str">
        <f>IF(T2704&lt;&gt;"","H","")</f>
        <v/>
      </c>
      <c r="H2704" s="1671" t="s">
        <v>1990</v>
      </c>
      <c r="I2704" s="826"/>
      <c r="J2704" s="826"/>
      <c r="K2704" s="826"/>
      <c r="L2704" s="826" t="s">
        <v>1397</v>
      </c>
      <c r="M2704" s="1332">
        <v>1651</v>
      </c>
      <c r="N2704" s="826"/>
      <c r="R2704" s="1671" t="s">
        <v>2194</v>
      </c>
      <c r="T2704" s="1671" t="str">
        <f t="shared" si="517"/>
        <v/>
      </c>
    </row>
    <row r="2705" spans="1:20" s="1669" customFormat="1" x14ac:dyDescent="0.25">
      <c r="A2705" s="846" t="s">
        <v>1705</v>
      </c>
      <c r="B2705" s="1274" t="str">
        <f>IFERROR(_xlfn.CONCAT("D",('Configurable Tab'!$C$34+1)),"")</f>
        <v>D347</v>
      </c>
      <c r="C2705" s="1274" t="str">
        <f>IFERROR(_xlfn.CONCAT("E",('Configurable Tab'!$C$34+1)),"")</f>
        <v>E347</v>
      </c>
      <c r="D2705" s="826" t="s">
        <v>1350</v>
      </c>
      <c r="E2705" s="826" t="s">
        <v>1742</v>
      </c>
      <c r="F2705" s="1671"/>
      <c r="G2705" s="1671"/>
      <c r="H2705" s="1671"/>
      <c r="I2705" s="1274" t="str">
        <f t="shared" ref="I2705:I2715" si="518">IF(J2705&lt;&gt;"",A2705,"")</f>
        <v/>
      </c>
      <c r="J2705" s="1671" t="str">
        <f t="shared" ref="J2705:J2714" si="519">IFERROR(IF($Q$2695="Yes",Q$1&amp;M2695,""),"")</f>
        <v/>
      </c>
      <c r="K2705" s="1671" t="str">
        <f t="shared" ref="K2705:K2715" si="520">IF(J2705&lt;&gt;"",E2705,"")</f>
        <v/>
      </c>
      <c r="M2705" s="1670"/>
      <c r="Q2705" s="1274" t="str">
        <f>IFERROR(_xlfn.CONCAT("C",('Configurable Tab'!$C34+1)),"")</f>
        <v>C347</v>
      </c>
      <c r="R2705" s="1671" t="s">
        <v>2194</v>
      </c>
    </row>
    <row r="2706" spans="1:20" s="1669" customFormat="1" x14ac:dyDescent="0.25">
      <c r="A2706" s="846" t="s">
        <v>1383</v>
      </c>
      <c r="B2706" s="1274" t="str">
        <f>IFERROR(_xlfn.CONCAT("D",('Configurable Tab'!$C$34+2)),"")</f>
        <v>D348</v>
      </c>
      <c r="C2706" s="1274" t="str">
        <f>IFERROR(_xlfn.CONCAT("E",('Configurable Tab'!$C$34+2)),"")</f>
        <v>E348</v>
      </c>
      <c r="D2706" s="826" t="s">
        <v>1350</v>
      </c>
      <c r="E2706" s="826" t="s">
        <v>1742</v>
      </c>
      <c r="F2706" s="1671"/>
      <c r="G2706" s="1671"/>
      <c r="H2706" s="1671"/>
      <c r="I2706" s="1274" t="str">
        <f t="shared" si="518"/>
        <v/>
      </c>
      <c r="J2706" s="1671" t="str">
        <f t="shared" si="519"/>
        <v/>
      </c>
      <c r="K2706" s="1671" t="str">
        <f t="shared" si="520"/>
        <v/>
      </c>
      <c r="M2706" s="1670"/>
      <c r="R2706" s="1671" t="s">
        <v>2194</v>
      </c>
    </row>
    <row r="2707" spans="1:20" s="1669" customFormat="1" x14ac:dyDescent="0.25">
      <c r="A2707" s="846" t="s">
        <v>1381</v>
      </c>
      <c r="B2707" s="1274" t="str">
        <f>IFERROR(_xlfn.CONCAT("I",('Configurable Tab'!$C$34+1)),"")</f>
        <v>I347</v>
      </c>
      <c r="C2707" s="1274" t="str">
        <f>IFERROR(_xlfn.CONCAT("I",('Configurable Tab'!$C$34+2)),"")</f>
        <v>I348</v>
      </c>
      <c r="D2707" s="826" t="s">
        <v>1350</v>
      </c>
      <c r="E2707" s="826" t="s">
        <v>1742</v>
      </c>
      <c r="F2707" s="1671"/>
      <c r="G2707" s="1671"/>
      <c r="H2707" s="1671"/>
      <c r="I2707" s="1274" t="str">
        <f t="shared" si="518"/>
        <v/>
      </c>
      <c r="J2707" s="1671" t="str">
        <f t="shared" si="519"/>
        <v/>
      </c>
      <c r="K2707" s="1671" t="str">
        <f t="shared" si="520"/>
        <v/>
      </c>
      <c r="M2707" s="1670"/>
      <c r="R2707" s="1671" t="s">
        <v>2194</v>
      </c>
    </row>
    <row r="2708" spans="1:20" s="1669" customFormat="1" x14ac:dyDescent="0.25">
      <c r="A2708" s="846" t="s">
        <v>1382</v>
      </c>
      <c r="B2708" s="1274" t="str">
        <f>IFERROR(_xlfn.CONCAT("M",('Configurable Tab'!$C$34+1)),"")</f>
        <v>M347</v>
      </c>
      <c r="C2708" s="1274" t="str">
        <f>IFERROR(_xlfn.CONCAT("M",('Configurable Tab'!$C$34+2)),"")</f>
        <v>M348</v>
      </c>
      <c r="D2708" s="826" t="s">
        <v>1350</v>
      </c>
      <c r="E2708" s="826" t="s">
        <v>1742</v>
      </c>
      <c r="F2708" s="1671"/>
      <c r="G2708" s="1671"/>
      <c r="H2708" s="1671"/>
      <c r="I2708" s="1274" t="str">
        <f t="shared" si="518"/>
        <v/>
      </c>
      <c r="J2708" s="1671" t="str">
        <f t="shared" si="519"/>
        <v/>
      </c>
      <c r="K2708" s="1671" t="str">
        <f t="shared" si="520"/>
        <v/>
      </c>
      <c r="M2708" s="1670"/>
      <c r="R2708" s="1671" t="s">
        <v>2194</v>
      </c>
    </row>
    <row r="2709" spans="1:20" s="1669" customFormat="1" x14ac:dyDescent="0.25">
      <c r="A2709" s="846" t="s">
        <v>1385</v>
      </c>
      <c r="B2709" s="1274" t="str">
        <f>IFERROR(_xlfn.CONCAT("D",('Configurable Tab'!$C$34+4)),"")</f>
        <v>D350</v>
      </c>
      <c r="C2709" s="1274" t="str">
        <f>IFERROR(_xlfn.CONCAT("E",('Configurable Tab'!$C$34+4)),"")</f>
        <v>E350</v>
      </c>
      <c r="D2709" s="826" t="s">
        <v>1350</v>
      </c>
      <c r="E2709" s="826" t="s">
        <v>1742</v>
      </c>
      <c r="F2709" s="1671"/>
      <c r="G2709" s="1671"/>
      <c r="H2709" s="1671"/>
      <c r="I2709" s="1274" t="str">
        <f t="shared" si="518"/>
        <v/>
      </c>
      <c r="J2709" s="1671" t="str">
        <f t="shared" si="519"/>
        <v/>
      </c>
      <c r="K2709" s="1671" t="str">
        <f t="shared" si="520"/>
        <v/>
      </c>
      <c r="M2709" s="1670"/>
      <c r="R2709" s="1671" t="s">
        <v>2194</v>
      </c>
    </row>
    <row r="2710" spans="1:20" s="1669" customFormat="1" x14ac:dyDescent="0.25">
      <c r="A2710" s="846" t="s">
        <v>1386</v>
      </c>
      <c r="B2710" s="1274" t="str">
        <f>IFERROR(_xlfn.CONCAT("D",('Configurable Tab'!$C$34+5)),"")</f>
        <v>D351</v>
      </c>
      <c r="C2710" s="1274" t="str">
        <f>IFERROR(_xlfn.CONCAT("E",('Configurable Tab'!$C$34+5)),"")</f>
        <v>E351</v>
      </c>
      <c r="D2710" s="826" t="s">
        <v>1350</v>
      </c>
      <c r="E2710" s="826" t="s">
        <v>1742</v>
      </c>
      <c r="F2710" s="1671"/>
      <c r="G2710" s="1671"/>
      <c r="H2710" s="1671"/>
      <c r="I2710" s="1274" t="str">
        <f t="shared" si="518"/>
        <v/>
      </c>
      <c r="J2710" s="1671" t="str">
        <f t="shared" si="519"/>
        <v/>
      </c>
      <c r="K2710" s="1671" t="str">
        <f t="shared" si="520"/>
        <v/>
      </c>
      <c r="M2710" s="1670"/>
      <c r="R2710" s="1671" t="s">
        <v>2194</v>
      </c>
    </row>
    <row r="2711" spans="1:20" s="1669" customFormat="1" x14ac:dyDescent="0.25">
      <c r="A2711" s="846" t="s">
        <v>1396</v>
      </c>
      <c r="B2711" s="1274" t="str">
        <f>IFERROR(_xlfn.CONCAT("G",('Configurable Tab'!$C$34+4)),"")</f>
        <v>G350</v>
      </c>
      <c r="C2711" s="1274" t="str">
        <f>IFERROR(_xlfn.CONCAT("G",('Configurable Tab'!$C$34+5)),"")</f>
        <v>G351</v>
      </c>
      <c r="D2711" s="826" t="s">
        <v>1350</v>
      </c>
      <c r="E2711" s="826" t="s">
        <v>1742</v>
      </c>
      <c r="F2711" s="1671"/>
      <c r="G2711" s="1671"/>
      <c r="H2711" s="1671"/>
      <c r="I2711" s="1274" t="str">
        <f t="shared" si="518"/>
        <v/>
      </c>
      <c r="J2711" s="1671" t="str">
        <f t="shared" si="519"/>
        <v/>
      </c>
      <c r="K2711" s="1671" t="str">
        <f t="shared" si="520"/>
        <v/>
      </c>
      <c r="M2711" s="1670"/>
      <c r="R2711" s="1671" t="s">
        <v>2194</v>
      </c>
    </row>
    <row r="2712" spans="1:20" s="1669" customFormat="1" x14ac:dyDescent="0.25">
      <c r="A2712" s="846" t="s">
        <v>2005</v>
      </c>
      <c r="B2712" s="1274" t="str">
        <f>IFERROR(_xlfn.CONCAT("G",('Configurable Tab'!$C$34+7)),"")</f>
        <v>G353</v>
      </c>
      <c r="C2712" s="1274" t="str">
        <f>IFERROR(_xlfn.CONCAT("G",('Configurable Tab'!$C$34+8)),"")</f>
        <v>G354</v>
      </c>
      <c r="D2712" s="826" t="s">
        <v>1350</v>
      </c>
      <c r="E2712" s="826" t="s">
        <v>1742</v>
      </c>
      <c r="F2712" s="1671"/>
      <c r="G2712" s="1671"/>
      <c r="H2712" s="1671"/>
      <c r="I2712" s="1274" t="str">
        <f t="shared" si="518"/>
        <v/>
      </c>
      <c r="J2712" s="1671" t="str">
        <f t="shared" si="519"/>
        <v/>
      </c>
      <c r="K2712" s="1671" t="str">
        <f t="shared" si="520"/>
        <v/>
      </c>
      <c r="M2712" s="1670"/>
      <c r="R2712" s="1671" t="s">
        <v>2194</v>
      </c>
    </row>
    <row r="2713" spans="1:20" s="1669" customFormat="1" x14ac:dyDescent="0.25">
      <c r="A2713" s="846" t="s">
        <v>1482</v>
      </c>
      <c r="B2713" s="1274" t="str">
        <f>IFERROR(_xlfn.CONCAT("K",('Configurable Tab'!$C$34+7)),"")</f>
        <v>K353</v>
      </c>
      <c r="C2713" s="1274" t="str">
        <f>IFERROR(_xlfn.CONCAT("K",('Configurable Tab'!$C$34+8)),"")</f>
        <v>K354</v>
      </c>
      <c r="D2713" s="826" t="s">
        <v>1350</v>
      </c>
      <c r="E2713" s="826" t="s">
        <v>1742</v>
      </c>
      <c r="F2713" s="1671"/>
      <c r="G2713" s="1671"/>
      <c r="H2713" s="1671"/>
      <c r="I2713" s="1274" t="str">
        <f t="shared" si="518"/>
        <v/>
      </c>
      <c r="J2713" s="1671" t="str">
        <f t="shared" si="519"/>
        <v/>
      </c>
      <c r="K2713" s="1671" t="str">
        <f t="shared" si="520"/>
        <v/>
      </c>
      <c r="M2713" s="1670"/>
      <c r="R2713" s="1671" t="s">
        <v>2194</v>
      </c>
    </row>
    <row r="2714" spans="1:20" s="1669" customFormat="1" x14ac:dyDescent="0.25">
      <c r="A2714" s="846" t="s">
        <v>1397</v>
      </c>
      <c r="B2714" s="1274" t="str">
        <f>IFERROR(_xlfn.CONCAT("K",('Configurable Tab'!$C$34+1)),"")</f>
        <v>K347</v>
      </c>
      <c r="C2714" s="1274" t="str">
        <f>IFERROR(_xlfn.CONCAT("K",('Configurable Tab'!$C$34+2)),"")</f>
        <v>K348</v>
      </c>
      <c r="D2714" s="826" t="s">
        <v>1350</v>
      </c>
      <c r="E2714" s="826" t="s">
        <v>1742</v>
      </c>
      <c r="F2714" s="1671"/>
      <c r="G2714" s="1671"/>
      <c r="H2714" s="1671"/>
      <c r="I2714" s="1274" t="str">
        <f t="shared" si="518"/>
        <v/>
      </c>
      <c r="J2714" s="1671" t="str">
        <f t="shared" si="519"/>
        <v/>
      </c>
      <c r="K2714" s="1671" t="str">
        <f t="shared" si="520"/>
        <v/>
      </c>
      <c r="M2714" s="1670"/>
      <c r="R2714" s="1671" t="s">
        <v>2194</v>
      </c>
    </row>
    <row r="2715" spans="1:20" s="1669" customFormat="1" x14ac:dyDescent="0.25">
      <c r="A2715" s="846" t="s">
        <v>1496</v>
      </c>
      <c r="B2715" s="826" t="str">
        <f ca="1">IFERROR(_xlfn.CONCAT("C",MATCH(A2715,INDIRECT("'"&amp;E2715&amp;"'!C"&amp;$O$2695&amp;":C"&amp;$O$2697),0)+$O$2695-1),"")</f>
        <v>C669</v>
      </c>
      <c r="C2715" s="826" t="str">
        <f ca="1">IFERROR(_xlfn.CONCAT("D",MATCH(A2715,INDIRECT("'"&amp;E2715&amp;"'!C"&amp;$O$2695&amp;":C"&amp;$O$2697),0)+$O$2695-1),"")</f>
        <v>D669</v>
      </c>
      <c r="D2715" s="826" t="s">
        <v>1350</v>
      </c>
      <c r="E2715" s="826" t="s">
        <v>1516</v>
      </c>
      <c r="F2715" s="1671" t="s">
        <v>1496</v>
      </c>
      <c r="G2715" s="1671" t="str">
        <f t="shared" ref="G2715" si="521">IF(T2715&lt;&gt;"","AS","")</f>
        <v/>
      </c>
      <c r="H2715" s="1671" t="s">
        <v>1990</v>
      </c>
      <c r="I2715" s="1274" t="str">
        <f t="shared" si="518"/>
        <v/>
      </c>
      <c r="J2715" s="1671"/>
      <c r="K2715" s="1671" t="str">
        <f t="shared" si="520"/>
        <v/>
      </c>
      <c r="L2715" s="826"/>
      <c r="M2715" s="1672"/>
      <c r="N2715" s="1671"/>
      <c r="R2715" s="1671" t="s">
        <v>2194</v>
      </c>
      <c r="T2715" s="1671" t="str">
        <f t="shared" ref="T2715:T2723" si="522">IF(Q$2695="Yes",47,"")</f>
        <v/>
      </c>
    </row>
    <row r="2716" spans="1:20" s="1669" customFormat="1" x14ac:dyDescent="0.25">
      <c r="A2716" s="847" t="s">
        <v>1495</v>
      </c>
      <c r="B2716" s="826" t="str">
        <f ca="1">IFERROR(_xlfn.CONCAT("C",MATCH(A2716,INDIRECT("'"&amp;E2716&amp;"'!C"&amp;$O$2695&amp;":C"&amp;$O$2697),0)+$O$2695-1),"")</f>
        <v>C667</v>
      </c>
      <c r="C2716" s="826" t="str">
        <f ca="1">IFERROR(_xlfn.CONCAT("D",MATCH(A2716,INDIRECT("'"&amp;E2716&amp;"'!C"&amp;$O$2695&amp;":C"&amp;$O$2697),0)+$O$2695-1),"")</f>
        <v>D667</v>
      </c>
      <c r="D2716" s="826" t="s">
        <v>1350</v>
      </c>
      <c r="E2716" s="826" t="s">
        <v>1516</v>
      </c>
      <c r="F2716" s="1671" t="s">
        <v>1495</v>
      </c>
      <c r="G2716" s="1671" t="str">
        <f>IF(T2716&lt;&gt;"","AN","")</f>
        <v/>
      </c>
      <c r="H2716" s="1671" t="s">
        <v>1990</v>
      </c>
      <c r="I2716" s="1274"/>
      <c r="J2716" s="1671"/>
      <c r="K2716" s="1671"/>
      <c r="L2716" s="826"/>
      <c r="M2716" s="1672"/>
      <c r="N2716" s="1671"/>
      <c r="O2716" s="1561"/>
      <c r="P2716" s="603"/>
      <c r="Q2716" s="603"/>
      <c r="R2716" s="1671" t="s">
        <v>2194</v>
      </c>
      <c r="T2716" s="1671" t="str">
        <f t="shared" si="522"/>
        <v/>
      </c>
    </row>
    <row r="2717" spans="1:20" s="1669" customFormat="1" x14ac:dyDescent="0.25">
      <c r="A2717" s="847" t="s">
        <v>1492</v>
      </c>
      <c r="B2717" s="826" t="str">
        <f ca="1">_xlfn.CONCAT(IFERROR(SUBSTITUTE(ADDRESS(1,MATCH(A2717,INDIRECT("'"&amp;E2717&amp;"'"&amp;"!A" &amp; $O$2695+ 8 &amp; ":Z" &amp; $O$2695 + 8),0),4),1,""),""),$O$2695 + 8)</f>
        <v>H665</v>
      </c>
      <c r="C2717" s="826" t="str">
        <f ca="1">_xlfn.CONCAT(IFERROR(SUBSTITUTE(ADDRESS(1,MATCH(A2717,INDIRECT("'"&amp;E2717&amp;"'"&amp;"!A" &amp; $O$2695+ 8 &amp; ":Z" &amp; $O$2695 + 8),0),4),1,""),""),$O$2695 + 9)</f>
        <v>H666</v>
      </c>
      <c r="D2717" s="826" t="s">
        <v>1350</v>
      </c>
      <c r="E2717" s="826" t="s">
        <v>1516</v>
      </c>
      <c r="F2717" s="1671" t="s">
        <v>1492</v>
      </c>
      <c r="G2717" s="1671" t="str">
        <f>IF(T2717&lt;&gt;"","AL","")</f>
        <v/>
      </c>
      <c r="H2717" s="1671" t="s">
        <v>1990</v>
      </c>
      <c r="I2717" s="1274"/>
      <c r="J2717" s="1671"/>
      <c r="K2717" s="1671"/>
      <c r="L2717" s="826"/>
      <c r="M2717" s="1672"/>
      <c r="N2717" s="1671"/>
      <c r="O2717" s="603"/>
      <c r="P2717" s="603"/>
      <c r="Q2717" s="603"/>
      <c r="R2717" s="1671" t="s">
        <v>2194</v>
      </c>
      <c r="T2717" s="1671" t="str">
        <f t="shared" si="522"/>
        <v/>
      </c>
    </row>
    <row r="2718" spans="1:20" s="1669" customFormat="1" x14ac:dyDescent="0.25">
      <c r="A2718" s="847" t="s">
        <v>1380</v>
      </c>
      <c r="B2718" s="826" t="str">
        <f ca="1">_xlfn.CONCAT(IFERROR(SUBSTITUTE(ADDRESS(1,MATCH(A2718,INDIRECT("'"&amp;E2718&amp;"'"&amp;"!A" &amp; $O$2695+ 2 &amp; ":Z" &amp; $O$2695 + 2),0),4),1,""),""),$O$2695+ 2)</f>
        <v>H659</v>
      </c>
      <c r="C2718" s="826" t="str">
        <f ca="1">_xlfn.CONCAT(IFERROR(SUBSTITUTE(ADDRESS(1,MATCH(A2718,INDIRECT("'"&amp;E2718&amp;"'"&amp;"!A" &amp; $O$2695+ 2 &amp; ":Z" &amp; $O$2695 + 2),0),4),1,""),""),$O$2695+ 3)</f>
        <v>H660</v>
      </c>
      <c r="D2718" s="826" t="s">
        <v>1350</v>
      </c>
      <c r="E2718" s="826" t="s">
        <v>1516</v>
      </c>
      <c r="F2718" s="1671" t="s">
        <v>1991</v>
      </c>
      <c r="G2718" s="1671" t="str">
        <f>IF(T2718&lt;&gt;"","E","")</f>
        <v/>
      </c>
      <c r="H2718" s="1671" t="s">
        <v>1990</v>
      </c>
      <c r="I2718" s="1274"/>
      <c r="J2718" s="1671"/>
      <c r="K2718" s="1671"/>
      <c r="L2718" s="826"/>
      <c r="M2718" s="1672"/>
      <c r="N2718" s="1671"/>
      <c r="O2718" s="603"/>
      <c r="P2718" s="603"/>
      <c r="Q2718" s="603"/>
      <c r="R2718" s="1671" t="s">
        <v>2194</v>
      </c>
      <c r="T2718" s="1671" t="str">
        <f t="shared" si="522"/>
        <v/>
      </c>
    </row>
    <row r="2719" spans="1:20" s="1669" customFormat="1" x14ac:dyDescent="0.25">
      <c r="A2719" s="847" t="s">
        <v>1487</v>
      </c>
      <c r="B2719" s="826" t="str">
        <f ca="1">_xlfn.CONCAT(IFERROR(SUBSTITUTE(ADDRESS(1,MATCH(A2719,INDIRECT("'"&amp;E2719&amp;"'"&amp;"!A" &amp; $O$2695+ 2 &amp; ":Z" &amp; $O$2695 + 2),0),4),1,""),""),$O$2695+ 2)</f>
        <v>R659</v>
      </c>
      <c r="C2719" s="826" t="str">
        <f ca="1">_xlfn.CONCAT(IFERROR(SUBSTITUTE(ADDRESS(1,MATCH(A2719,INDIRECT("'"&amp;E2719&amp;"'"&amp;"!A" &amp; $O$2695+ 2 &amp; ":Z" &amp; $O$2695 + 2),0),4),1,""),""),$O$2695+ 3)</f>
        <v>R660</v>
      </c>
      <c r="D2719" s="826" t="s">
        <v>1350</v>
      </c>
      <c r="E2719" s="826" t="s">
        <v>1516</v>
      </c>
      <c r="F2719" s="1671" t="s">
        <v>1995</v>
      </c>
      <c r="G2719" s="1671" t="str">
        <f>IF(T2719&lt;&gt;"","G","")</f>
        <v/>
      </c>
      <c r="H2719" s="1671" t="s">
        <v>1990</v>
      </c>
      <c r="I2719" s="1274"/>
      <c r="J2719" s="1671"/>
      <c r="K2719" s="1671"/>
      <c r="L2719" s="826"/>
      <c r="M2719" s="1672"/>
      <c r="N2719" s="1671"/>
      <c r="O2719" s="603"/>
      <c r="P2719" s="603"/>
      <c r="Q2719" s="603"/>
      <c r="R2719" s="1671" t="s">
        <v>2194</v>
      </c>
      <c r="T2719" s="1671" t="str">
        <f t="shared" si="522"/>
        <v/>
      </c>
    </row>
    <row r="2720" spans="1:20" s="1669" customFormat="1" x14ac:dyDescent="0.25">
      <c r="A2720" s="847" t="s">
        <v>1488</v>
      </c>
      <c r="B2720" s="826" t="str">
        <f ca="1">_xlfn.CONCAT(IFERROR(SUBSTITUTE(ADDRESS(1,MATCH(A2720,INDIRECT("'"&amp;E2720&amp;"'"&amp;"!A" &amp; $O$2695+ 2 &amp; ":Z" &amp; $O$2695 + 2),0),4),1,""),""),$O$2695+ 2)</f>
        <v>T659</v>
      </c>
      <c r="C2720" s="826" t="str">
        <f ca="1">_xlfn.CONCAT(IFERROR(SUBSTITUTE(ADDRESS(1,MATCH(A2720,INDIRECT("'"&amp;E2720&amp;"'"&amp;"!A" &amp; $O$2695+ 2 &amp; ":Z" &amp; $O$2695 + 2),0),4),1,""),""),$O$2695+ 3)</f>
        <v>T660</v>
      </c>
      <c r="D2720" s="826" t="s">
        <v>1350</v>
      </c>
      <c r="E2720" s="826" t="s">
        <v>1516</v>
      </c>
      <c r="F2720" s="841" t="s">
        <v>1488</v>
      </c>
      <c r="G2720" s="1671" t="str">
        <f>IF(T2720&lt;&gt;"","AW","")</f>
        <v/>
      </c>
      <c r="H2720" s="1671" t="s">
        <v>1990</v>
      </c>
      <c r="I2720" s="1274"/>
      <c r="J2720" s="1671"/>
      <c r="K2720" s="1671"/>
      <c r="L2720" s="826"/>
      <c r="M2720" s="1672"/>
      <c r="N2720" s="1671"/>
      <c r="O2720" s="603"/>
      <c r="P2720" s="603"/>
      <c r="Q2720" s="603"/>
      <c r="R2720" s="1671" t="s">
        <v>2194</v>
      </c>
      <c r="T2720" s="1671" t="str">
        <f t="shared" si="522"/>
        <v/>
      </c>
    </row>
    <row r="2721" spans="1:20" s="1669" customFormat="1" x14ac:dyDescent="0.25">
      <c r="A2721" s="847" t="s">
        <v>1603</v>
      </c>
      <c r="B2721" s="826" t="str">
        <f ca="1">_xlfn.CONCAT(IFERROR(SUBSTITUTE(ADDRESS(1,MATCH(A2721,INDIRECT("'"&amp;E2721&amp;"'"&amp;"!A" &amp; $O$2695+ 5 &amp; ":Z" &amp; $O$2695 + 5),0),4),1,""),""),$O$2695+ 5)</f>
        <v>R662</v>
      </c>
      <c r="C2721" s="826" t="str">
        <f ca="1">_xlfn.CONCAT(IFERROR(SUBSTITUTE(ADDRESS(1,MATCH(A2721,INDIRECT("'"&amp;E2721&amp;"'"&amp;"!A" &amp; $O$2695+ 5 &amp; ":Z" &amp; $O$2695 + 5),0),4),1,""),""),$O$2695+ 6)</f>
        <v>R663</v>
      </c>
      <c r="D2721" s="826" t="s">
        <v>1350</v>
      </c>
      <c r="E2721" s="826" t="s">
        <v>1516</v>
      </c>
      <c r="F2721" s="1671" t="s">
        <v>1999</v>
      </c>
      <c r="G2721" s="1671" t="str">
        <f t="shared" ref="G2721" si="523">IF(T2721&lt;&gt;"","AB","")</f>
        <v/>
      </c>
      <c r="H2721" s="1671" t="s">
        <v>1990</v>
      </c>
      <c r="I2721" s="1274"/>
      <c r="J2721" s="1671"/>
      <c r="K2721" s="1671"/>
      <c r="L2721" s="826"/>
      <c r="M2721" s="1672"/>
      <c r="N2721" s="1671"/>
      <c r="O2721" s="603"/>
      <c r="P2721" s="603"/>
      <c r="Q2721" s="603"/>
      <c r="R2721" s="1671" t="s">
        <v>2194</v>
      </c>
      <c r="T2721" s="1671" t="str">
        <f t="shared" si="522"/>
        <v/>
      </c>
    </row>
    <row r="2722" spans="1:20" s="1669" customFormat="1" x14ac:dyDescent="0.25">
      <c r="A2722" s="847" t="s">
        <v>1604</v>
      </c>
      <c r="B2722" s="826" t="str">
        <f ca="1">_xlfn.CONCAT(IFERROR(SUBSTITUTE(ADDRESS(1,MATCH(A2722,INDIRECT("'"&amp;E2722&amp;"'"&amp;"!A" &amp; $O$2695+ 5 &amp; ":Z" &amp; $O$2695 + 5),0),4),1,""),""),$O$2695+ 5)</f>
        <v>T662</v>
      </c>
      <c r="C2722" s="826" t="str">
        <f ca="1">_xlfn.CONCAT(IFERROR(SUBSTITUTE(ADDRESS(1,MATCH(A2722,INDIRECT("'"&amp;E2722&amp;"'"&amp;"!A" &amp; $O$2695+ 5 &amp; ":Z" &amp; $O$2695 + 5),0),4),1,""),""),$O$2695+ 6)</f>
        <v>T663</v>
      </c>
      <c r="D2722" s="826" t="s">
        <v>1350</v>
      </c>
      <c r="E2722" s="826" t="s">
        <v>1516</v>
      </c>
      <c r="F2722" s="1671" t="s">
        <v>1604</v>
      </c>
      <c r="G2722" s="1671" t="str">
        <f t="shared" ref="G2722" si="524">IF(T2722&lt;&gt;"","AP","")</f>
        <v/>
      </c>
      <c r="H2722" s="1671" t="s">
        <v>1990</v>
      </c>
      <c r="I2722" s="1274"/>
      <c r="J2722" s="1671"/>
      <c r="K2722" s="1671"/>
      <c r="L2722" s="826"/>
      <c r="M2722" s="1672"/>
      <c r="N2722" s="1671"/>
      <c r="O2722" s="603"/>
      <c r="P2722" s="603"/>
      <c r="Q2722" s="603"/>
      <c r="R2722" s="1671" t="s">
        <v>2194</v>
      </c>
      <c r="T2722" s="1671" t="str">
        <f t="shared" si="522"/>
        <v/>
      </c>
    </row>
    <row r="2723" spans="1:20" s="1669" customFormat="1" x14ac:dyDescent="0.25">
      <c r="A2723" s="847" t="s">
        <v>2135</v>
      </c>
      <c r="B2723" s="826" t="str">
        <f ca="1">_xlfn.CONCAT(IFERROR(SUBSTITUTE(ADDRESS(1,MATCH(A2723,INDIRECT("'"&amp;E2723&amp;"'"&amp;"!A" &amp; $O$2695+ 8 &amp; ":Z" &amp; $O$2695 + 8),0),4),1,""),""),$O$2695 + 8)</f>
        <v>L665</v>
      </c>
      <c r="C2723" s="826" t="str">
        <f ca="1">_xlfn.CONCAT(IFERROR(SUBSTITUTE(ADDRESS(1,MATCH(A2723,INDIRECT("'"&amp;E2723&amp;"'"&amp;"!A" &amp; $O$2695+ 8 &amp; ":Z" &amp; $O$2695 + 8),0),4),1,""),""),$O$2695 + 9)</f>
        <v>L666</v>
      </c>
      <c r="D2723" s="826" t="s">
        <v>1350</v>
      </c>
      <c r="E2723" s="826" t="s">
        <v>1516</v>
      </c>
      <c r="F2723" s="1671" t="s">
        <v>2135</v>
      </c>
      <c r="G2723" s="1671" t="str">
        <f>IF(T2723&lt;&gt;"","AZ","")</f>
        <v/>
      </c>
      <c r="H2723" s="1671" t="s">
        <v>1990</v>
      </c>
      <c r="I2723" s="1274"/>
      <c r="J2723" s="1671"/>
      <c r="K2723" s="1671"/>
      <c r="L2723" s="826" t="s">
        <v>2135</v>
      </c>
      <c r="M2723" s="1672">
        <v>1652</v>
      </c>
      <c r="N2723" s="1671"/>
      <c r="O2723" s="603"/>
      <c r="P2723" s="603"/>
      <c r="Q2723" s="603"/>
      <c r="R2723" s="1671" t="s">
        <v>2194</v>
      </c>
      <c r="T2723" s="1671" t="str">
        <f t="shared" si="522"/>
        <v/>
      </c>
    </row>
    <row r="2724" spans="1:20" s="1669" customFormat="1" x14ac:dyDescent="0.25">
      <c r="A2724" s="1673" t="s">
        <v>1491</v>
      </c>
      <c r="B2724" s="826" t="str">
        <f ca="1">IFERROR(_xlfn.CONCAT("C",MATCH(A2724,INDIRECT("'"&amp;E2724&amp;"'!C"&amp;$O$2725&amp;":C"&amp;$O$2727),0)+$O$2725-1),"")</f>
        <v>C675</v>
      </c>
      <c r="C2724" s="826" t="str">
        <f ca="1">IFERROR(_xlfn.CONCAT("D",MATCH(A2724,INDIRECT("'"&amp;E2724&amp;"'!C"&amp;$O$2725&amp;":C"&amp;$O$2727),0)+$O$2725-1),"")</f>
        <v>D675</v>
      </c>
      <c r="D2724" s="826" t="s">
        <v>1350</v>
      </c>
      <c r="E2724" s="826" t="s">
        <v>1516</v>
      </c>
      <c r="F2724" s="826" t="s">
        <v>1491</v>
      </c>
      <c r="G2724" s="1671" t="str">
        <f>IF(T2724&lt;&gt;"","A","")</f>
        <v/>
      </c>
      <c r="H2724" s="1671" t="s">
        <v>1990</v>
      </c>
      <c r="I2724" s="826"/>
      <c r="J2724" s="826"/>
      <c r="K2724" s="826"/>
      <c r="L2724" s="826" t="s">
        <v>1491</v>
      </c>
      <c r="M2724" s="1332">
        <v>1653</v>
      </c>
      <c r="N2724" s="826"/>
      <c r="O2724" s="1669" t="s">
        <v>725</v>
      </c>
      <c r="R2724" s="1671" t="s">
        <v>2195</v>
      </c>
      <c r="T2724" s="1671" t="str">
        <f>IF(Q$2725="Yes",48,"")</f>
        <v/>
      </c>
    </row>
    <row r="2725" spans="1:20" s="1669" customFormat="1" x14ac:dyDescent="0.25">
      <c r="A2725" s="1673" t="s">
        <v>1705</v>
      </c>
      <c r="B2725" s="826" t="str">
        <f ca="1">_xlfn.CONCAT(IFERROR(SUBSTITUTE(ADDRESS(1,MATCH(A2725,INDIRECT("'"&amp;E2725&amp;"'"&amp;"!A" &amp; $O$2725+ 11 &amp; ":Z" &amp; $O$2725 + 11),0),4),1,""),""),$O$2725+ 11)</f>
        <v>T682</v>
      </c>
      <c r="C2725" s="826" t="str">
        <f ca="1">_xlfn.CONCAT(IFERROR(SUBSTITUTE(ADDRESS(1,MATCH(A2725,INDIRECT("'"&amp;E2725&amp;"'"&amp;"!A" &amp; $O$2725+ 11 &amp; ":Z" &amp; $O$2725 + 11),0),4),1,""),""),$O$2725+ 12)</f>
        <v>T683</v>
      </c>
      <c r="D2725" s="826" t="s">
        <v>1350</v>
      </c>
      <c r="E2725" s="826" t="s">
        <v>1516</v>
      </c>
      <c r="F2725" s="826"/>
      <c r="G2725" s="1671"/>
      <c r="H2725" s="1671"/>
      <c r="I2725" s="826"/>
      <c r="J2725" s="826"/>
      <c r="K2725" s="826"/>
      <c r="L2725" s="826" t="s">
        <v>1705</v>
      </c>
      <c r="M2725" s="1332">
        <v>1654</v>
      </c>
      <c r="N2725" s="826"/>
      <c r="O2725" s="1669">
        <f>'Configurable Tab'!H50</f>
        <v>671</v>
      </c>
      <c r="P2725" s="18" t="str">
        <f>'Configurable Tab'!J50</f>
        <v>No</v>
      </c>
      <c r="Q2725" s="1669" t="s">
        <v>648</v>
      </c>
      <c r="R2725" s="1671" t="s">
        <v>2195</v>
      </c>
      <c r="T2725" s="1671" t="str">
        <f t="shared" ref="T2725:T2734" si="525">IF(Q$2725="Yes",48,"")</f>
        <v/>
      </c>
    </row>
    <row r="2726" spans="1:20" s="1669" customFormat="1" x14ac:dyDescent="0.25">
      <c r="A2726" s="1673" t="s">
        <v>1383</v>
      </c>
      <c r="B2726" s="826" t="str">
        <f ca="1">IFERROR(_xlfn.CONCAT("C",MATCH(A2726,INDIRECT("'"&amp;E2726&amp;"'!C"&amp;$O$2725&amp;":C"&amp;$O$2727),0)+$O$2725-1),"")</f>
        <v>C673</v>
      </c>
      <c r="C2726" s="826" t="str">
        <f ca="1">IFERROR(_xlfn.CONCAT("D",MATCH(A2726,INDIRECT("'"&amp;E2726&amp;"'!C"&amp;$O$2725&amp;":C"&amp;$O$2727),0)+$O$2725-1),"")</f>
        <v>D673</v>
      </c>
      <c r="D2726" s="826" t="s">
        <v>1350</v>
      </c>
      <c r="E2726" s="826" t="s">
        <v>1516</v>
      </c>
      <c r="F2726" s="826" t="s">
        <v>1383</v>
      </c>
      <c r="G2726" s="1671" t="str">
        <f>IF(T2726&lt;&gt;"","B","")</f>
        <v/>
      </c>
      <c r="H2726" s="1671" t="s">
        <v>1990</v>
      </c>
      <c r="I2726" s="826"/>
      <c r="J2726" s="826"/>
      <c r="K2726" s="826"/>
      <c r="L2726" s="826" t="s">
        <v>1383</v>
      </c>
      <c r="M2726" s="1332">
        <v>1655</v>
      </c>
      <c r="N2726" s="826"/>
      <c r="O2726" s="1669" t="s">
        <v>726</v>
      </c>
      <c r="R2726" s="1671" t="s">
        <v>2195</v>
      </c>
      <c r="T2726" s="1671" t="str">
        <f t="shared" si="525"/>
        <v/>
      </c>
    </row>
    <row r="2727" spans="1:20" s="1669" customFormat="1" x14ac:dyDescent="0.25">
      <c r="A2727" s="1673" t="s">
        <v>1381</v>
      </c>
      <c r="B2727" s="826" t="str">
        <f ca="1">_xlfn.CONCAT(IFERROR(SUBSTITUTE(ADDRESS(1,MATCH(A2727,INDIRECT("'"&amp;E2727&amp;"'"&amp;"!A" &amp; $O$2725+ 2 &amp; ":Z" &amp; $O$2725 + 2),0),4),1,""),""),$O$2725+ 2)</f>
        <v>J673</v>
      </c>
      <c r="C2727" s="826" t="str">
        <f ca="1">_xlfn.CONCAT(IFERROR(SUBSTITUTE(ADDRESS(1,MATCH(A2727,INDIRECT("'"&amp;E2727&amp;"'"&amp;"!A" &amp; $O$2725+ 2 &amp; ":Z" &amp; $O$2725 + 2),0),4),1,""),""),$O$2725+ 3)</f>
        <v>J674</v>
      </c>
      <c r="D2727" s="826" t="s">
        <v>1350</v>
      </c>
      <c r="E2727" s="826" t="s">
        <v>1516</v>
      </c>
      <c r="F2727" s="826" t="s">
        <v>1992</v>
      </c>
      <c r="G2727" s="1671" t="str">
        <f>IF(T2727&lt;&gt;"","I","")</f>
        <v/>
      </c>
      <c r="H2727" s="1671" t="s">
        <v>1990</v>
      </c>
      <c r="I2727" s="826"/>
      <c r="J2727" s="826"/>
      <c r="K2727" s="826"/>
      <c r="L2727" s="826" t="s">
        <v>1381</v>
      </c>
      <c r="M2727" s="1332">
        <v>1656</v>
      </c>
      <c r="N2727" s="826"/>
      <c r="O2727" s="1669">
        <f>'Configurable Tab'!I50</f>
        <v>684</v>
      </c>
      <c r="R2727" s="1671" t="s">
        <v>2195</v>
      </c>
      <c r="T2727" s="1671" t="str">
        <f t="shared" si="525"/>
        <v/>
      </c>
    </row>
    <row r="2728" spans="1:20" s="1669" customFormat="1" x14ac:dyDescent="0.25">
      <c r="A2728" s="1673" t="s">
        <v>1382</v>
      </c>
      <c r="B2728" s="826" t="str">
        <f ca="1">_xlfn.CONCAT(IFERROR(SUBSTITUTE(ADDRESS(1,MATCH(A2728,INDIRECT("'"&amp;E2728&amp;"'"&amp;"!A" &amp; $O$2725+ 2 &amp; ":Z" &amp; $O$2725 + 2),0),4),1,""),""),$O$2725+ 2)</f>
        <v>N673</v>
      </c>
      <c r="C2728" s="826" t="str">
        <f ca="1">_xlfn.CONCAT(IFERROR(SUBSTITUTE(ADDRESS(1,MATCH(A2728,INDIRECT("'"&amp;E2728&amp;"'"&amp;"!A" &amp; $O$2725+ 2 &amp; ":Z" &amp; $O$2725 + 2),0),4),1,""),""),$O$2725+ 3)</f>
        <v>N674</v>
      </c>
      <c r="D2728" s="826" t="s">
        <v>1350</v>
      </c>
      <c r="E2728" s="826" t="s">
        <v>1516</v>
      </c>
      <c r="F2728" s="826" t="s">
        <v>1382</v>
      </c>
      <c r="G2728" s="1671" t="str">
        <f>IF(T2728&lt;&gt;"",IF(Q2727="Credit Memo","J",IF(Q2727="Check","K","")),"")</f>
        <v/>
      </c>
      <c r="H2728" s="1671" t="s">
        <v>1990</v>
      </c>
      <c r="I2728" s="826"/>
      <c r="J2728" s="826"/>
      <c r="K2728" s="826"/>
      <c r="L2728" s="826" t="s">
        <v>1382</v>
      </c>
      <c r="M2728" s="1332">
        <v>1657</v>
      </c>
      <c r="N2728" s="826"/>
      <c r="O2728" s="1669" t="s">
        <v>2204</v>
      </c>
      <c r="R2728" s="1671" t="s">
        <v>2195</v>
      </c>
      <c r="T2728" s="1671" t="str">
        <f t="shared" si="525"/>
        <v/>
      </c>
    </row>
    <row r="2729" spans="1:20" s="1669" customFormat="1" x14ac:dyDescent="0.25">
      <c r="A2729" s="1673" t="s">
        <v>1385</v>
      </c>
      <c r="B2729" s="826" t="str">
        <f ca="1">IFERROR(_xlfn.CONCAT("C",MATCH(A2729,INDIRECT("'"&amp;E2729&amp;"'!C"&amp;$O$2725&amp;":C"&amp;$O$2727),0)+$O$2725-1),"")</f>
        <v>C677</v>
      </c>
      <c r="C2729" s="826" t="str">
        <f ca="1">IFERROR(_xlfn.CONCAT("D",MATCH(A2729,INDIRECT("'"&amp;E2729&amp;"'!C"&amp;$O$2725&amp;":C"&amp;$O$2727),0)+$O$2725-1),"")</f>
        <v>D677</v>
      </c>
      <c r="D2729" s="826" t="s">
        <v>1350</v>
      </c>
      <c r="E2729" s="826" t="s">
        <v>1516</v>
      </c>
      <c r="F2729" s="826" t="s">
        <v>1385</v>
      </c>
      <c r="G2729" s="1671" t="str">
        <f>IF(T2729&lt;&gt;"","C","")</f>
        <v/>
      </c>
      <c r="H2729" s="1671" t="s">
        <v>1990</v>
      </c>
      <c r="I2729" s="826"/>
      <c r="J2729" s="826"/>
      <c r="K2729" s="826"/>
      <c r="L2729" s="826" t="s">
        <v>1385</v>
      </c>
      <c r="M2729" s="1332">
        <v>1658</v>
      </c>
      <c r="N2729" s="826"/>
      <c r="R2729" s="1671" t="s">
        <v>2195</v>
      </c>
      <c r="T2729" s="1671" t="str">
        <f t="shared" si="525"/>
        <v/>
      </c>
    </row>
    <row r="2730" spans="1:20" s="1669" customFormat="1" x14ac:dyDescent="0.25">
      <c r="A2730" s="1673" t="s">
        <v>1386</v>
      </c>
      <c r="B2730" s="826" t="str">
        <f ca="1">IFERROR(_xlfn.CONCAT("C",MATCH(A2730,INDIRECT("'"&amp;E2730&amp;"'!C"&amp;$O$2725&amp;":C"&amp;$O$2727),0)+$O$2725-1),"")</f>
        <v>C679</v>
      </c>
      <c r="C2730" s="826" t="str">
        <f ca="1">IFERROR(_xlfn.CONCAT("D",MATCH(A2730,INDIRECT("'"&amp;E2730&amp;"'!C"&amp;$O$2725&amp;":C"&amp;$O$2727),0)+$O$2725-1),"")</f>
        <v>D679</v>
      </c>
      <c r="D2730" s="826" t="s">
        <v>1350</v>
      </c>
      <c r="E2730" s="826" t="s">
        <v>1516</v>
      </c>
      <c r="F2730" s="826" t="s">
        <v>1386</v>
      </c>
      <c r="G2730" s="1671" t="str">
        <f>IF(T2730&lt;&gt;"","D","")</f>
        <v/>
      </c>
      <c r="H2730" s="1671" t="s">
        <v>1990</v>
      </c>
      <c r="I2730" s="826"/>
      <c r="J2730" s="826"/>
      <c r="K2730" s="826"/>
      <c r="L2730" s="826" t="s">
        <v>1386</v>
      </c>
      <c r="M2730" s="1332">
        <v>1659</v>
      </c>
      <c r="N2730" s="826"/>
      <c r="R2730" s="1671" t="s">
        <v>2195</v>
      </c>
      <c r="T2730" s="1671" t="str">
        <f t="shared" si="525"/>
        <v/>
      </c>
    </row>
    <row r="2731" spans="1:20" s="1669" customFormat="1" x14ac:dyDescent="0.25">
      <c r="A2731" s="1673" t="s">
        <v>1396</v>
      </c>
      <c r="B2731" s="826" t="str">
        <f ca="1">_xlfn.CONCAT(IFERROR(SUBSTITUTE(ADDRESS(1,MATCH(A2731,INDIRECT("'"&amp;E2731&amp;"'"&amp;"!A" &amp; $O$2725+ 5 &amp; ":Z" &amp; $O$2725 + 5),0),4),1,""),""),$O$2725+ 5)</f>
        <v>H676</v>
      </c>
      <c r="C2731" s="826" t="str">
        <f ca="1">_xlfn.CONCAT(IFERROR(SUBSTITUTE(ADDRESS(1,MATCH(A2731,INDIRECT("'"&amp;E2731&amp;"'"&amp;"!A" &amp; $O$2725+ 5 &amp; ":Z" &amp; $O$2725 + 5),0),4),1,""),""),$O$2725+ 6)</f>
        <v>H677</v>
      </c>
      <c r="D2731" s="826" t="s">
        <v>1350</v>
      </c>
      <c r="E2731" s="826" t="s">
        <v>1516</v>
      </c>
      <c r="F2731" s="1671" t="s">
        <v>1396</v>
      </c>
      <c r="G2731" s="1671" t="str">
        <f>IF(T2731&lt;&gt;"","S","")</f>
        <v/>
      </c>
      <c r="H2731" s="1671" t="s">
        <v>1990</v>
      </c>
      <c r="I2731" s="826"/>
      <c r="J2731" s="826"/>
      <c r="K2731" s="826"/>
      <c r="L2731" s="826" t="s">
        <v>1396</v>
      </c>
      <c r="M2731" s="1332">
        <v>1660</v>
      </c>
      <c r="N2731" s="826"/>
      <c r="R2731" s="1671" t="s">
        <v>2195</v>
      </c>
      <c r="T2731" s="1671" t="str">
        <f t="shared" si="525"/>
        <v/>
      </c>
    </row>
    <row r="2732" spans="1:20" s="1669" customFormat="1" x14ac:dyDescent="0.25">
      <c r="A2732" s="1673" t="s">
        <v>2005</v>
      </c>
      <c r="B2732" s="826" t="str">
        <f ca="1">_xlfn.CONCAT(IFERROR(SUBSTITUTE(ADDRESS(1,MATCH(A2732,INDIRECT("'"&amp;E2732&amp;"'"&amp;"!A" &amp; $O$2725+ 8 &amp; ":Z" &amp; $O$2725 + 8),0),4),1,""),""),$O$2725 + 8)</f>
        <v>J679</v>
      </c>
      <c r="C2732" s="826" t="str">
        <f ca="1">_xlfn.CONCAT(IFERROR(SUBSTITUTE(ADDRESS(1,MATCH(A2732,INDIRECT("'"&amp;E2732&amp;"'"&amp;"!A" &amp; $O$2725+ 8 &amp; ":Z" &amp; $O$2725 + 8),0),4),1,""),""),$O$2725 + 9)</f>
        <v>J680</v>
      </c>
      <c r="D2732" s="826" t="s">
        <v>1350</v>
      </c>
      <c r="E2732" s="826" t="s">
        <v>1516</v>
      </c>
      <c r="F2732" s="826" t="s">
        <v>2005</v>
      </c>
      <c r="G2732" s="1671" t="str">
        <f>IF(T2732&lt;&gt;"","AQ","")</f>
        <v/>
      </c>
      <c r="H2732" s="1671" t="s">
        <v>1990</v>
      </c>
      <c r="I2732" s="826"/>
      <c r="J2732" s="826"/>
      <c r="K2732" s="826"/>
      <c r="L2732" s="826" t="s">
        <v>2005</v>
      </c>
      <c r="M2732" s="1332">
        <v>1661</v>
      </c>
      <c r="N2732" s="826"/>
      <c r="R2732" s="1671" t="s">
        <v>2195</v>
      </c>
      <c r="T2732" s="1671" t="str">
        <f t="shared" si="525"/>
        <v/>
      </c>
    </row>
    <row r="2733" spans="1:20" s="1669" customFormat="1" x14ac:dyDescent="0.25">
      <c r="A2733" s="1673" t="s">
        <v>1482</v>
      </c>
      <c r="B2733" s="826" t="str">
        <f ca="1">_xlfn.CONCAT(IFERROR(SUBSTITUTE(ADDRESS(1,MATCH(A2733,INDIRECT("'"&amp;E2733&amp;"'"&amp;"!A" &amp; $O$2725+ 8 &amp; ":Z" &amp; $O$2725 + 8),0),4),1,""),""),$O$2725 + 8)</f>
        <v>N679</v>
      </c>
      <c r="C2733" s="826" t="str">
        <f ca="1">_xlfn.CONCAT(IFERROR(SUBSTITUTE(ADDRESS(1,MATCH(A2733,INDIRECT("'"&amp;E2733&amp;"'"&amp;"!A" &amp; $O$2725+ 8 &amp; ":Z" &amp; $O$2725 + 8),0),4),1,""),""),$O$2725 + 9)</f>
        <v>N680</v>
      </c>
      <c r="D2733" s="826" t="s">
        <v>1350</v>
      </c>
      <c r="E2733" s="826" t="s">
        <v>1516</v>
      </c>
      <c r="F2733" s="826" t="s">
        <v>2054</v>
      </c>
      <c r="G2733" s="1671" t="str">
        <f>IF(T2733&lt;&gt;"","AA","")</f>
        <v/>
      </c>
      <c r="H2733" s="1671" t="s">
        <v>1990</v>
      </c>
      <c r="I2733" s="826"/>
      <c r="J2733" s="826"/>
      <c r="K2733" s="826"/>
      <c r="L2733" s="826" t="s">
        <v>2006</v>
      </c>
      <c r="M2733" s="1332">
        <v>1662</v>
      </c>
      <c r="N2733" s="826"/>
      <c r="R2733" s="1671" t="s">
        <v>2195</v>
      </c>
      <c r="T2733" s="1671" t="str">
        <f t="shared" si="525"/>
        <v/>
      </c>
    </row>
    <row r="2734" spans="1:20" s="1669" customFormat="1" x14ac:dyDescent="0.25">
      <c r="A2734" s="1673" t="s">
        <v>1397</v>
      </c>
      <c r="B2734" s="826" t="str">
        <f ca="1">_xlfn.CONCAT(IFERROR(SUBSTITUTE(ADDRESS(1,MATCH(A2734,INDIRECT("'"&amp;E2734&amp;"'"&amp;"!A" &amp; $O$2725+ 2 &amp; ":Z" &amp; $O$2725 + 2),0),4),1,""),""),$O$2725 + 2)</f>
        <v>L673</v>
      </c>
      <c r="C2734" s="826" t="str">
        <f ca="1">_xlfn.CONCAT(IFERROR(SUBSTITUTE(ADDRESS(1,MATCH(A2734,INDIRECT("'"&amp;E2734&amp;"'"&amp;"!A" &amp; $O$2725+ 2 &amp; ":Z" &amp; $O$2725 + 2),0),4),1,""),""),$O$2725 + 3)</f>
        <v>L674</v>
      </c>
      <c r="D2734" s="826" t="s">
        <v>1350</v>
      </c>
      <c r="E2734" s="826" t="s">
        <v>1516</v>
      </c>
      <c r="F2734" s="826" t="s">
        <v>1993</v>
      </c>
      <c r="G2734" s="1671" t="str">
        <f>IF(T2734&lt;&gt;"","H","")</f>
        <v/>
      </c>
      <c r="H2734" s="1671" t="s">
        <v>1990</v>
      </c>
      <c r="I2734" s="826"/>
      <c r="J2734" s="826"/>
      <c r="K2734" s="826"/>
      <c r="L2734" s="826" t="s">
        <v>1397</v>
      </c>
      <c r="M2734" s="1332">
        <v>1663</v>
      </c>
      <c r="N2734" s="826"/>
      <c r="R2734" s="1671" t="s">
        <v>2195</v>
      </c>
      <c r="T2734" s="1671" t="str">
        <f t="shared" si="525"/>
        <v/>
      </c>
    </row>
    <row r="2735" spans="1:20" s="1669" customFormat="1" x14ac:dyDescent="0.25">
      <c r="A2735" s="1673" t="s">
        <v>1705</v>
      </c>
      <c r="B2735" s="1274" t="str">
        <f>IFERROR(_xlfn.CONCAT("D",('Configurable Tab'!$C$35+1)),"")</f>
        <v>D358</v>
      </c>
      <c r="C2735" s="1274" t="str">
        <f>IFERROR(_xlfn.CONCAT("E",('Configurable Tab'!$C$35+1)),"")</f>
        <v>E358</v>
      </c>
      <c r="D2735" s="826" t="s">
        <v>1350</v>
      </c>
      <c r="E2735" s="826" t="s">
        <v>1742</v>
      </c>
      <c r="F2735" s="1671"/>
      <c r="G2735" s="1671"/>
      <c r="H2735" s="1671"/>
      <c r="I2735" s="1274" t="str">
        <f t="shared" ref="I2735:I2745" si="526">IF(J2735&lt;&gt;"",A2735,"")</f>
        <v/>
      </c>
      <c r="J2735" s="1671" t="str">
        <f t="shared" ref="J2735:J2744" si="527">IFERROR(IF($Q$2725="Yes",Q$1&amp;M2725,""),"")</f>
        <v/>
      </c>
      <c r="K2735" s="1671" t="str">
        <f t="shared" ref="K2735:K2745" si="528">IF(J2735&lt;&gt;"",E2735,"")</f>
        <v/>
      </c>
      <c r="M2735" s="1670"/>
      <c r="Q2735" s="1274" t="str">
        <f>IFERROR(_xlfn.CONCAT("C",('Configurable Tab'!$C35+1)),"")</f>
        <v>C358</v>
      </c>
      <c r="R2735" s="1671" t="s">
        <v>2195</v>
      </c>
    </row>
    <row r="2736" spans="1:20" s="1669" customFormat="1" x14ac:dyDescent="0.25">
      <c r="A2736" s="1673" t="s">
        <v>1383</v>
      </c>
      <c r="B2736" s="1274" t="str">
        <f>IFERROR(_xlfn.CONCAT("D",('Configurable Tab'!$C$35+2)),"")</f>
        <v>D359</v>
      </c>
      <c r="C2736" s="1274" t="str">
        <f>IFERROR(_xlfn.CONCAT("E",('Configurable Tab'!$C$35+2)),"")</f>
        <v>E359</v>
      </c>
      <c r="D2736" s="826" t="s">
        <v>1350</v>
      </c>
      <c r="E2736" s="826" t="s">
        <v>1742</v>
      </c>
      <c r="F2736" s="1671"/>
      <c r="G2736" s="1671"/>
      <c r="H2736" s="1671"/>
      <c r="I2736" s="1274" t="str">
        <f t="shared" si="526"/>
        <v/>
      </c>
      <c r="J2736" s="1671" t="str">
        <f t="shared" si="527"/>
        <v/>
      </c>
      <c r="K2736" s="1671" t="str">
        <f t="shared" si="528"/>
        <v/>
      </c>
      <c r="M2736" s="1670"/>
      <c r="R2736" s="1671" t="s">
        <v>2195</v>
      </c>
    </row>
    <row r="2737" spans="1:20" s="1669" customFormat="1" x14ac:dyDescent="0.25">
      <c r="A2737" s="1673" t="s">
        <v>1381</v>
      </c>
      <c r="B2737" s="1274" t="str">
        <f>IFERROR(_xlfn.CONCAT("I",('Configurable Tab'!$C$35+1)),"")</f>
        <v>I358</v>
      </c>
      <c r="C2737" s="1274" t="str">
        <f>IFERROR(_xlfn.CONCAT("I",('Configurable Tab'!$C$35+2)),"")</f>
        <v>I359</v>
      </c>
      <c r="D2737" s="826" t="s">
        <v>1350</v>
      </c>
      <c r="E2737" s="826" t="s">
        <v>1742</v>
      </c>
      <c r="F2737" s="1671"/>
      <c r="G2737" s="1671"/>
      <c r="H2737" s="1671"/>
      <c r="I2737" s="1274" t="str">
        <f t="shared" si="526"/>
        <v/>
      </c>
      <c r="J2737" s="1671" t="str">
        <f t="shared" si="527"/>
        <v/>
      </c>
      <c r="K2737" s="1671" t="str">
        <f t="shared" si="528"/>
        <v/>
      </c>
      <c r="M2737" s="1670"/>
      <c r="R2737" s="1671" t="s">
        <v>2195</v>
      </c>
    </row>
    <row r="2738" spans="1:20" s="1669" customFormat="1" x14ac:dyDescent="0.25">
      <c r="A2738" s="1673" t="s">
        <v>1382</v>
      </c>
      <c r="B2738" s="1274" t="str">
        <f>IFERROR(_xlfn.CONCAT("M",('Configurable Tab'!$C$35+1)),"")</f>
        <v>M358</v>
      </c>
      <c r="C2738" s="1274" t="str">
        <f>IFERROR(_xlfn.CONCAT("M",('Configurable Tab'!$C$35+2)),"")</f>
        <v>M359</v>
      </c>
      <c r="D2738" s="826" t="s">
        <v>1350</v>
      </c>
      <c r="E2738" s="826" t="s">
        <v>1742</v>
      </c>
      <c r="F2738" s="1671"/>
      <c r="G2738" s="1671"/>
      <c r="H2738" s="1671"/>
      <c r="I2738" s="1274" t="str">
        <f t="shared" si="526"/>
        <v/>
      </c>
      <c r="J2738" s="1671" t="str">
        <f t="shared" si="527"/>
        <v/>
      </c>
      <c r="K2738" s="1671" t="str">
        <f t="shared" si="528"/>
        <v/>
      </c>
      <c r="M2738" s="1670"/>
      <c r="R2738" s="1671" t="s">
        <v>2195</v>
      </c>
    </row>
    <row r="2739" spans="1:20" s="1669" customFormat="1" x14ac:dyDescent="0.25">
      <c r="A2739" s="1673" t="s">
        <v>1385</v>
      </c>
      <c r="B2739" s="1274" t="str">
        <f>IFERROR(_xlfn.CONCAT("D",('Configurable Tab'!$C$35+4)),"")</f>
        <v>D361</v>
      </c>
      <c r="C2739" s="1274" t="str">
        <f>IFERROR(_xlfn.CONCAT("E",('Configurable Tab'!$C$35+4)),"")</f>
        <v>E361</v>
      </c>
      <c r="D2739" s="826" t="s">
        <v>1350</v>
      </c>
      <c r="E2739" s="826" t="s">
        <v>1742</v>
      </c>
      <c r="F2739" s="1671"/>
      <c r="G2739" s="1671"/>
      <c r="H2739" s="1671"/>
      <c r="I2739" s="1274" t="str">
        <f t="shared" si="526"/>
        <v/>
      </c>
      <c r="J2739" s="1671" t="str">
        <f t="shared" si="527"/>
        <v/>
      </c>
      <c r="K2739" s="1671" t="str">
        <f t="shared" si="528"/>
        <v/>
      </c>
      <c r="M2739" s="1670"/>
      <c r="R2739" s="1671" t="s">
        <v>2195</v>
      </c>
    </row>
    <row r="2740" spans="1:20" s="1669" customFormat="1" x14ac:dyDescent="0.25">
      <c r="A2740" s="1673" t="s">
        <v>1386</v>
      </c>
      <c r="B2740" s="1274" t="str">
        <f>IFERROR(_xlfn.CONCAT("D",('Configurable Tab'!$C$35+5)),"")</f>
        <v>D362</v>
      </c>
      <c r="C2740" s="1274" t="str">
        <f>IFERROR(_xlfn.CONCAT("E",('Configurable Tab'!$C$35+5)),"")</f>
        <v>E362</v>
      </c>
      <c r="D2740" s="826" t="s">
        <v>1350</v>
      </c>
      <c r="E2740" s="826" t="s">
        <v>1742</v>
      </c>
      <c r="F2740" s="1671"/>
      <c r="G2740" s="1671"/>
      <c r="H2740" s="1671"/>
      <c r="I2740" s="1274" t="str">
        <f t="shared" si="526"/>
        <v/>
      </c>
      <c r="J2740" s="1671" t="str">
        <f t="shared" si="527"/>
        <v/>
      </c>
      <c r="K2740" s="1671" t="str">
        <f t="shared" si="528"/>
        <v/>
      </c>
      <c r="M2740" s="1670"/>
      <c r="R2740" s="1671" t="s">
        <v>2195</v>
      </c>
    </row>
    <row r="2741" spans="1:20" s="1669" customFormat="1" x14ac:dyDescent="0.25">
      <c r="A2741" s="1673" t="s">
        <v>1396</v>
      </c>
      <c r="B2741" s="1274" t="str">
        <f>IFERROR(_xlfn.CONCAT("G",('Configurable Tab'!$C$35+4)),"")</f>
        <v>G361</v>
      </c>
      <c r="C2741" s="1274" t="str">
        <f>IFERROR(_xlfn.CONCAT("G",('Configurable Tab'!$C$35+5)),"")</f>
        <v>G362</v>
      </c>
      <c r="D2741" s="826" t="s">
        <v>1350</v>
      </c>
      <c r="E2741" s="826" t="s">
        <v>1742</v>
      </c>
      <c r="F2741" s="1671"/>
      <c r="G2741" s="1671"/>
      <c r="H2741" s="1671"/>
      <c r="I2741" s="1274" t="str">
        <f t="shared" si="526"/>
        <v/>
      </c>
      <c r="J2741" s="1671" t="str">
        <f t="shared" si="527"/>
        <v/>
      </c>
      <c r="K2741" s="1671" t="str">
        <f t="shared" si="528"/>
        <v/>
      </c>
      <c r="M2741" s="1670"/>
      <c r="R2741" s="1671" t="s">
        <v>2195</v>
      </c>
    </row>
    <row r="2742" spans="1:20" s="1669" customFormat="1" x14ac:dyDescent="0.25">
      <c r="A2742" s="1673" t="s">
        <v>2005</v>
      </c>
      <c r="B2742" s="1274" t="str">
        <f>IFERROR(_xlfn.CONCAT("G",('Configurable Tab'!$C$35+7)),"")</f>
        <v>G364</v>
      </c>
      <c r="C2742" s="1274" t="str">
        <f>IFERROR(_xlfn.CONCAT("G",('Configurable Tab'!$C$35+8)),"")</f>
        <v>G365</v>
      </c>
      <c r="D2742" s="826" t="s">
        <v>1350</v>
      </c>
      <c r="E2742" s="826" t="s">
        <v>1742</v>
      </c>
      <c r="F2742" s="1671"/>
      <c r="G2742" s="1671"/>
      <c r="H2742" s="1671"/>
      <c r="I2742" s="1274" t="str">
        <f t="shared" si="526"/>
        <v/>
      </c>
      <c r="J2742" s="1671" t="str">
        <f t="shared" si="527"/>
        <v/>
      </c>
      <c r="K2742" s="1671" t="str">
        <f t="shared" si="528"/>
        <v/>
      </c>
      <c r="M2742" s="1670"/>
      <c r="R2742" s="1671" t="s">
        <v>2195</v>
      </c>
    </row>
    <row r="2743" spans="1:20" s="1669" customFormat="1" x14ac:dyDescent="0.25">
      <c r="A2743" s="1673" t="s">
        <v>1482</v>
      </c>
      <c r="B2743" s="1274" t="str">
        <f>IFERROR(_xlfn.CONCAT("K",('Configurable Tab'!$C$35+7)),"")</f>
        <v>K364</v>
      </c>
      <c r="C2743" s="1274" t="str">
        <f>IFERROR(_xlfn.CONCAT("K",('Configurable Tab'!$C$35+8)),"")</f>
        <v>K365</v>
      </c>
      <c r="D2743" s="826" t="s">
        <v>1350</v>
      </c>
      <c r="E2743" s="826" t="s">
        <v>1742</v>
      </c>
      <c r="F2743" s="1671"/>
      <c r="G2743" s="1671"/>
      <c r="H2743" s="1671"/>
      <c r="I2743" s="1274" t="str">
        <f t="shared" si="526"/>
        <v/>
      </c>
      <c r="J2743" s="1671" t="str">
        <f t="shared" si="527"/>
        <v/>
      </c>
      <c r="K2743" s="1671" t="str">
        <f t="shared" si="528"/>
        <v/>
      </c>
      <c r="M2743" s="1670"/>
      <c r="R2743" s="1671" t="s">
        <v>2195</v>
      </c>
    </row>
    <row r="2744" spans="1:20" s="1669" customFormat="1" x14ac:dyDescent="0.25">
      <c r="A2744" s="1673" t="s">
        <v>1397</v>
      </c>
      <c r="B2744" s="1274" t="str">
        <f>IFERROR(_xlfn.CONCAT("K",('Configurable Tab'!$C$35+1)),"")</f>
        <v>K358</v>
      </c>
      <c r="C2744" s="1274" t="str">
        <f>IFERROR(_xlfn.CONCAT("K",('Configurable Tab'!$C$35+2)),"")</f>
        <v>K359</v>
      </c>
      <c r="D2744" s="826" t="s">
        <v>1350</v>
      </c>
      <c r="E2744" s="826" t="s">
        <v>1742</v>
      </c>
      <c r="F2744" s="1671"/>
      <c r="G2744" s="1671"/>
      <c r="H2744" s="1671"/>
      <c r="I2744" s="1274" t="str">
        <f t="shared" si="526"/>
        <v/>
      </c>
      <c r="J2744" s="1671" t="str">
        <f t="shared" si="527"/>
        <v/>
      </c>
      <c r="K2744" s="1671" t="str">
        <f t="shared" si="528"/>
        <v/>
      </c>
      <c r="M2744" s="1670"/>
      <c r="R2744" s="1671" t="s">
        <v>2195</v>
      </c>
    </row>
    <row r="2745" spans="1:20" s="1669" customFormat="1" x14ac:dyDescent="0.25">
      <c r="A2745" s="1673" t="s">
        <v>1496</v>
      </c>
      <c r="B2745" s="826" t="str">
        <f ca="1">IFERROR(_xlfn.CONCAT("C",MATCH(A2745,INDIRECT("'"&amp;E2745&amp;"'!C"&amp;$O$2725&amp;":C"&amp;$O$2727),0)+$O$2725-1),"")</f>
        <v>C683</v>
      </c>
      <c r="C2745" s="826" t="str">
        <f ca="1">IFERROR(_xlfn.CONCAT("D",MATCH(A2745,INDIRECT("'"&amp;E2745&amp;"'!C"&amp;$O$2725&amp;":C"&amp;$O$2727),0)+$O$2725-1),"")</f>
        <v>D683</v>
      </c>
      <c r="D2745" s="826" t="s">
        <v>1350</v>
      </c>
      <c r="E2745" s="826" t="s">
        <v>1516</v>
      </c>
      <c r="F2745" s="1671" t="s">
        <v>1496</v>
      </c>
      <c r="G2745" s="1671" t="str">
        <f t="shared" ref="G2745" si="529">IF(T2745&lt;&gt;"","AS","")</f>
        <v/>
      </c>
      <c r="H2745" s="1671" t="s">
        <v>1990</v>
      </c>
      <c r="I2745" s="1274" t="str">
        <f t="shared" si="526"/>
        <v/>
      </c>
      <c r="J2745" s="1671"/>
      <c r="K2745" s="1671" t="str">
        <f t="shared" si="528"/>
        <v/>
      </c>
      <c r="L2745" s="826"/>
      <c r="M2745" s="1672"/>
      <c r="N2745" s="1671"/>
      <c r="R2745" s="1671" t="s">
        <v>2195</v>
      </c>
      <c r="T2745" s="1671" t="str">
        <f t="shared" ref="T2745:T2753" si="530">IF(Q$2725="Yes",48,"")</f>
        <v/>
      </c>
    </row>
    <row r="2746" spans="1:20" s="1669" customFormat="1" x14ac:dyDescent="0.25">
      <c r="A2746" s="1674" t="s">
        <v>1495</v>
      </c>
      <c r="B2746" s="826" t="str">
        <f ca="1">IFERROR(_xlfn.CONCAT("C",MATCH(A2746,INDIRECT("'"&amp;E2746&amp;"'!C"&amp;$O$2725&amp;":C"&amp;$O$2727),0)+$O$2725-1),"")</f>
        <v>C681</v>
      </c>
      <c r="C2746" s="826" t="str">
        <f ca="1">IFERROR(_xlfn.CONCAT("D",MATCH(A2746,INDIRECT("'"&amp;E2746&amp;"'!C"&amp;$O$2725&amp;":C"&amp;$O$2727),0)+$O$2725-1),"")</f>
        <v>D681</v>
      </c>
      <c r="D2746" s="826" t="s">
        <v>1350</v>
      </c>
      <c r="E2746" s="826" t="s">
        <v>1516</v>
      </c>
      <c r="F2746" s="1671" t="s">
        <v>1495</v>
      </c>
      <c r="G2746" s="1671" t="str">
        <f>IF(T2746&lt;&gt;"","AN","")</f>
        <v/>
      </c>
      <c r="H2746" s="1671" t="s">
        <v>1990</v>
      </c>
      <c r="I2746" s="1274"/>
      <c r="J2746" s="1671"/>
      <c r="K2746" s="1671"/>
      <c r="L2746" s="826"/>
      <c r="M2746" s="1672"/>
      <c r="N2746" s="1671"/>
      <c r="O2746" s="1561"/>
      <c r="P2746" s="603"/>
      <c r="Q2746" s="603"/>
      <c r="R2746" s="1671" t="s">
        <v>2195</v>
      </c>
      <c r="T2746" s="1671" t="str">
        <f t="shared" si="530"/>
        <v/>
      </c>
    </row>
    <row r="2747" spans="1:20" s="1669" customFormat="1" x14ac:dyDescent="0.25">
      <c r="A2747" s="1674" t="s">
        <v>1492</v>
      </c>
      <c r="B2747" s="826" t="str">
        <f ca="1">_xlfn.CONCAT(IFERROR(SUBSTITUTE(ADDRESS(1,MATCH(A2747,INDIRECT("'"&amp;E2747&amp;"'"&amp;"!A" &amp; $O$2725+ 8 &amp; ":Z" &amp; $O$2725 + 8),0),4),1,""),""),$O$2725 + 8)</f>
        <v>H679</v>
      </c>
      <c r="C2747" s="826" t="str">
        <f ca="1">_xlfn.CONCAT(IFERROR(SUBSTITUTE(ADDRESS(1,MATCH(A2747,INDIRECT("'"&amp;E2747&amp;"'"&amp;"!A" &amp; $O$2725+ 8 &amp; ":Z" &amp; $O$2725 + 8),0),4),1,""),""),$O$2725 + 9)</f>
        <v>H680</v>
      </c>
      <c r="D2747" s="826" t="s">
        <v>1350</v>
      </c>
      <c r="E2747" s="826" t="s">
        <v>1516</v>
      </c>
      <c r="F2747" s="1671" t="s">
        <v>1492</v>
      </c>
      <c r="G2747" s="1671" t="str">
        <f>IF(T2747&lt;&gt;"","AL","")</f>
        <v/>
      </c>
      <c r="H2747" s="1671" t="s">
        <v>1990</v>
      </c>
      <c r="I2747" s="1274"/>
      <c r="J2747" s="1671"/>
      <c r="K2747" s="1671"/>
      <c r="L2747" s="826"/>
      <c r="M2747" s="1672"/>
      <c r="N2747" s="1671"/>
      <c r="O2747" s="603"/>
      <c r="P2747" s="603"/>
      <c r="Q2747" s="603"/>
      <c r="R2747" s="1671" t="s">
        <v>2195</v>
      </c>
      <c r="T2747" s="1671" t="str">
        <f t="shared" si="530"/>
        <v/>
      </c>
    </row>
    <row r="2748" spans="1:20" s="1669" customFormat="1" x14ac:dyDescent="0.25">
      <c r="A2748" s="1674" t="s">
        <v>1380</v>
      </c>
      <c r="B2748" s="826" t="str">
        <f ca="1">_xlfn.CONCAT(IFERROR(SUBSTITUTE(ADDRESS(1,MATCH(A2748,INDIRECT("'"&amp;E2748&amp;"'"&amp;"!A" &amp; $O$2725+ 2 &amp; ":Z" &amp; $O$2725 + 2),0),4),1,""),""),$O$2725+ 2)</f>
        <v>H673</v>
      </c>
      <c r="C2748" s="826" t="str">
        <f ca="1">_xlfn.CONCAT(IFERROR(SUBSTITUTE(ADDRESS(1,MATCH(A2748,INDIRECT("'"&amp;E2748&amp;"'"&amp;"!A" &amp; $O$2725+ 2 &amp; ":Z" &amp; $O$2725 + 2),0),4),1,""),""),$O$2725+ 3)</f>
        <v>H674</v>
      </c>
      <c r="D2748" s="826" t="s">
        <v>1350</v>
      </c>
      <c r="E2748" s="826" t="s">
        <v>1516</v>
      </c>
      <c r="F2748" s="1671" t="s">
        <v>1991</v>
      </c>
      <c r="G2748" s="1671" t="str">
        <f>IF(T2748&lt;&gt;"","E","")</f>
        <v/>
      </c>
      <c r="H2748" s="1671" t="s">
        <v>1990</v>
      </c>
      <c r="I2748" s="1274"/>
      <c r="J2748" s="1671"/>
      <c r="K2748" s="1671"/>
      <c r="L2748" s="826"/>
      <c r="M2748" s="1672"/>
      <c r="N2748" s="1671"/>
      <c r="O2748" s="603"/>
      <c r="P2748" s="603"/>
      <c r="Q2748" s="603"/>
      <c r="R2748" s="1671" t="s">
        <v>2195</v>
      </c>
      <c r="T2748" s="1671" t="str">
        <f t="shared" si="530"/>
        <v/>
      </c>
    </row>
    <row r="2749" spans="1:20" s="1669" customFormat="1" x14ac:dyDescent="0.25">
      <c r="A2749" s="1674" t="s">
        <v>1487</v>
      </c>
      <c r="B2749" s="826" t="str">
        <f ca="1">_xlfn.CONCAT(IFERROR(SUBSTITUTE(ADDRESS(1,MATCH(A2749,INDIRECT("'"&amp;E2749&amp;"'"&amp;"!A" &amp; $O$2725+ 2 &amp; ":Z" &amp; $O$2725 + 2),0),4),1,""),""),$O$2725+ 2)</f>
        <v>R673</v>
      </c>
      <c r="C2749" s="826" t="str">
        <f ca="1">_xlfn.CONCAT(IFERROR(SUBSTITUTE(ADDRESS(1,MATCH(A2749,INDIRECT("'"&amp;E2749&amp;"'"&amp;"!A" &amp; $O$2725+ 2 &amp; ":Z" &amp; $O$2725 + 2),0),4),1,""),""),$O$2725+ 3)</f>
        <v>R674</v>
      </c>
      <c r="D2749" s="826" t="s">
        <v>1350</v>
      </c>
      <c r="E2749" s="826" t="s">
        <v>1516</v>
      </c>
      <c r="F2749" s="1671" t="s">
        <v>1995</v>
      </c>
      <c r="G2749" s="1671" t="str">
        <f>IF(T2749&lt;&gt;"","G","")</f>
        <v/>
      </c>
      <c r="H2749" s="1671" t="s">
        <v>1990</v>
      </c>
      <c r="I2749" s="1274"/>
      <c r="J2749" s="1671"/>
      <c r="K2749" s="1671"/>
      <c r="L2749" s="826"/>
      <c r="M2749" s="1672"/>
      <c r="N2749" s="1671"/>
      <c r="O2749" s="603"/>
      <c r="P2749" s="603"/>
      <c r="Q2749" s="603"/>
      <c r="R2749" s="1671" t="s">
        <v>2195</v>
      </c>
      <c r="T2749" s="1671" t="str">
        <f t="shared" si="530"/>
        <v/>
      </c>
    </row>
    <row r="2750" spans="1:20" s="1669" customFormat="1" x14ac:dyDescent="0.25">
      <c r="A2750" s="1674" t="s">
        <v>1488</v>
      </c>
      <c r="B2750" s="826" t="str">
        <f ca="1">_xlfn.CONCAT(IFERROR(SUBSTITUTE(ADDRESS(1,MATCH(A2750,INDIRECT("'"&amp;E2750&amp;"'"&amp;"!A" &amp; $O$2725+ 2 &amp; ":Z" &amp; $O$2725 + 2),0),4),1,""),""),$O$2725+ 2)</f>
        <v>T673</v>
      </c>
      <c r="C2750" s="826" t="str">
        <f ca="1">_xlfn.CONCAT(IFERROR(SUBSTITUTE(ADDRESS(1,MATCH(A2750,INDIRECT("'"&amp;E2750&amp;"'"&amp;"!A" &amp; $O$2725+ 2 &amp; ":Z" &amp; $O$2725 + 2),0),4),1,""),""),$O$2725+ 3)</f>
        <v>T674</v>
      </c>
      <c r="D2750" s="826" t="s">
        <v>1350</v>
      </c>
      <c r="E2750" s="826" t="s">
        <v>1516</v>
      </c>
      <c r="F2750" s="841" t="s">
        <v>1488</v>
      </c>
      <c r="G2750" s="1671" t="str">
        <f>IF(T2750&lt;&gt;"","AW","")</f>
        <v/>
      </c>
      <c r="H2750" s="1671" t="s">
        <v>1990</v>
      </c>
      <c r="I2750" s="1274"/>
      <c r="J2750" s="1671"/>
      <c r="K2750" s="1671"/>
      <c r="L2750" s="826"/>
      <c r="M2750" s="1672"/>
      <c r="N2750" s="1671"/>
      <c r="O2750" s="603"/>
      <c r="P2750" s="603"/>
      <c r="Q2750" s="603"/>
      <c r="R2750" s="1671" t="s">
        <v>2195</v>
      </c>
      <c r="T2750" s="1671" t="str">
        <f t="shared" si="530"/>
        <v/>
      </c>
    </row>
    <row r="2751" spans="1:20" s="1669" customFormat="1" x14ac:dyDescent="0.25">
      <c r="A2751" s="1674" t="s">
        <v>1603</v>
      </c>
      <c r="B2751" s="826" t="str">
        <f ca="1">_xlfn.CONCAT(IFERROR(SUBSTITUTE(ADDRESS(1,MATCH(A2751,INDIRECT("'"&amp;E2751&amp;"'"&amp;"!A" &amp; $O$2725+ 5 &amp; ":Z" &amp; $O$2725 + 5),0),4),1,""),""),$O$2725+ 5)</f>
        <v>R676</v>
      </c>
      <c r="C2751" s="826" t="str">
        <f ca="1">_xlfn.CONCAT(IFERROR(SUBSTITUTE(ADDRESS(1,MATCH(A2751,INDIRECT("'"&amp;E2751&amp;"'"&amp;"!A" &amp; $O$2725+ 5 &amp; ":Z" &amp; $O$2725 + 5),0),4),1,""),""),$O$2725+ 6)</f>
        <v>R677</v>
      </c>
      <c r="D2751" s="826" t="s">
        <v>1350</v>
      </c>
      <c r="E2751" s="826" t="s">
        <v>1516</v>
      </c>
      <c r="F2751" s="1671" t="s">
        <v>1999</v>
      </c>
      <c r="G2751" s="1671" t="str">
        <f t="shared" ref="G2751" si="531">IF(T2751&lt;&gt;"","AB","")</f>
        <v/>
      </c>
      <c r="H2751" s="1671" t="s">
        <v>1990</v>
      </c>
      <c r="I2751" s="1274"/>
      <c r="J2751" s="1671"/>
      <c r="K2751" s="1671"/>
      <c r="L2751" s="826"/>
      <c r="M2751" s="1672"/>
      <c r="N2751" s="1671"/>
      <c r="O2751" s="603"/>
      <c r="P2751" s="603"/>
      <c r="Q2751" s="603"/>
      <c r="R2751" s="1671" t="s">
        <v>2195</v>
      </c>
      <c r="T2751" s="1671" t="str">
        <f t="shared" si="530"/>
        <v/>
      </c>
    </row>
    <row r="2752" spans="1:20" s="1669" customFormat="1" x14ac:dyDescent="0.25">
      <c r="A2752" s="1674" t="s">
        <v>1604</v>
      </c>
      <c r="B2752" s="826" t="str">
        <f ca="1">_xlfn.CONCAT(IFERROR(SUBSTITUTE(ADDRESS(1,MATCH(A2752,INDIRECT("'"&amp;E2752&amp;"'"&amp;"!A" &amp; $O$2725+ 5 &amp; ":Z" &amp; $O$2725 + 5),0),4),1,""),""),$O$2725+ 5)</f>
        <v>T676</v>
      </c>
      <c r="C2752" s="826" t="str">
        <f ca="1">_xlfn.CONCAT(IFERROR(SUBSTITUTE(ADDRESS(1,MATCH(A2752,INDIRECT("'"&amp;E2752&amp;"'"&amp;"!A" &amp; $O$2725+ 5 &amp; ":Z" &amp; $O$2725 + 5),0),4),1,""),""),$O$2725+ 6)</f>
        <v>T677</v>
      </c>
      <c r="D2752" s="826" t="s">
        <v>1350</v>
      </c>
      <c r="E2752" s="826" t="s">
        <v>1516</v>
      </c>
      <c r="F2752" s="1671" t="s">
        <v>1604</v>
      </c>
      <c r="G2752" s="1671" t="str">
        <f t="shared" ref="G2752" si="532">IF(T2752&lt;&gt;"","AP","")</f>
        <v/>
      </c>
      <c r="H2752" s="1671" t="s">
        <v>1990</v>
      </c>
      <c r="I2752" s="1274"/>
      <c r="J2752" s="1671"/>
      <c r="K2752" s="1671"/>
      <c r="L2752" s="826"/>
      <c r="M2752" s="1672"/>
      <c r="N2752" s="1671"/>
      <c r="O2752" s="603"/>
      <c r="P2752" s="603"/>
      <c r="Q2752" s="603"/>
      <c r="R2752" s="1671" t="s">
        <v>2195</v>
      </c>
      <c r="T2752" s="1671" t="str">
        <f t="shared" si="530"/>
        <v/>
      </c>
    </row>
    <row r="2753" spans="1:20" s="1669" customFormat="1" x14ac:dyDescent="0.25">
      <c r="A2753" s="1674" t="s">
        <v>2135</v>
      </c>
      <c r="B2753" s="826" t="str">
        <f ca="1">_xlfn.CONCAT(IFERROR(SUBSTITUTE(ADDRESS(1,MATCH(A2753,INDIRECT("'"&amp;E2753&amp;"'"&amp;"!A" &amp; $O$2725+ 8 &amp; ":Z" &amp; $O$2725 + 8),0),4),1,""),""),$O$2725 + 8)</f>
        <v>L679</v>
      </c>
      <c r="C2753" s="826" t="str">
        <f ca="1">_xlfn.CONCAT(IFERROR(SUBSTITUTE(ADDRESS(1,MATCH(A2753,INDIRECT("'"&amp;E2753&amp;"'"&amp;"!A" &amp; $O$2725+ 8 &amp; ":Z" &amp; $O$2725 + 8),0),4),1,""),""),$O$2725 + 9)</f>
        <v>L680</v>
      </c>
      <c r="D2753" s="826" t="s">
        <v>1350</v>
      </c>
      <c r="E2753" s="826" t="s">
        <v>1516</v>
      </c>
      <c r="F2753" s="1671" t="s">
        <v>2135</v>
      </c>
      <c r="G2753" s="1671" t="str">
        <f>IF(T2753&lt;&gt;"","AZ","")</f>
        <v/>
      </c>
      <c r="H2753" s="1671" t="s">
        <v>1990</v>
      </c>
      <c r="I2753" s="1274"/>
      <c r="J2753" s="1671"/>
      <c r="K2753" s="1671"/>
      <c r="L2753" s="826" t="s">
        <v>2135</v>
      </c>
      <c r="M2753" s="1672">
        <v>1664</v>
      </c>
      <c r="N2753" s="1671"/>
      <c r="O2753" s="603"/>
      <c r="P2753" s="603"/>
      <c r="Q2753" s="603"/>
      <c r="R2753" s="1671" t="s">
        <v>2195</v>
      </c>
      <c r="T2753" s="1671" t="str">
        <f t="shared" si="530"/>
        <v/>
      </c>
    </row>
    <row r="2754" spans="1:20" s="1669" customFormat="1" x14ac:dyDescent="0.25">
      <c r="A2754" s="846" t="s">
        <v>1491</v>
      </c>
      <c r="B2754" s="826" t="str">
        <f ca="1">IFERROR(_xlfn.CONCAT("C",MATCH(A2754,INDIRECT("'"&amp;E2754&amp;"'!C"&amp;$O$2755&amp;":C"&amp;$O$2757),0)+$O$2755-1),"")</f>
        <v>C689</v>
      </c>
      <c r="C2754" s="826" t="str">
        <f ca="1">IFERROR(_xlfn.CONCAT("D",MATCH(A2754,INDIRECT("'"&amp;E2754&amp;"'!C"&amp;$O$2755&amp;":C"&amp;$O$2757),0)+$O$2755-1),"")</f>
        <v>D689</v>
      </c>
      <c r="D2754" s="826" t="s">
        <v>1350</v>
      </c>
      <c r="E2754" s="826" t="s">
        <v>1516</v>
      </c>
      <c r="F2754" s="826" t="s">
        <v>1491</v>
      </c>
      <c r="G2754" s="1671" t="str">
        <f>IF(T2754&lt;&gt;"","A","")</f>
        <v/>
      </c>
      <c r="H2754" s="1671" t="s">
        <v>1990</v>
      </c>
      <c r="I2754" s="826"/>
      <c r="J2754" s="826"/>
      <c r="K2754" s="826"/>
      <c r="L2754" s="826" t="s">
        <v>1491</v>
      </c>
      <c r="M2754" s="1332">
        <v>1665</v>
      </c>
      <c r="N2754" s="826"/>
      <c r="O2754" s="1669" t="s">
        <v>725</v>
      </c>
      <c r="R2754" s="1671" t="s">
        <v>2196</v>
      </c>
      <c r="T2754" s="1671" t="str">
        <f>IF(Q$2755="Yes",49,"")</f>
        <v/>
      </c>
    </row>
    <row r="2755" spans="1:20" s="1669" customFormat="1" x14ac:dyDescent="0.25">
      <c r="A2755" s="846" t="s">
        <v>1705</v>
      </c>
      <c r="B2755" s="826" t="str">
        <f ca="1">_xlfn.CONCAT(IFERROR(SUBSTITUTE(ADDRESS(1,MATCH(A2755,INDIRECT("'"&amp;E2755&amp;"'"&amp;"!A" &amp; $O$2755+ 11 &amp; ":Z" &amp; $O$2755 + 11),0),4),1,""),""),$O$2755+ 11)</f>
        <v>T696</v>
      </c>
      <c r="C2755" s="826" t="str">
        <f ca="1">_xlfn.CONCAT(IFERROR(SUBSTITUTE(ADDRESS(1,MATCH(A2755,INDIRECT("'"&amp;E2755&amp;"'"&amp;"!A" &amp; $O$2755+ 11 &amp; ":Z" &amp; $O$2755 + 11),0),4),1,""),""),$O$2755+ 12)</f>
        <v>T697</v>
      </c>
      <c r="D2755" s="826" t="s">
        <v>1350</v>
      </c>
      <c r="E2755" s="826" t="s">
        <v>1516</v>
      </c>
      <c r="F2755" s="826"/>
      <c r="G2755" s="1671"/>
      <c r="H2755" s="1671"/>
      <c r="I2755" s="826"/>
      <c r="J2755" s="826"/>
      <c r="K2755" s="826"/>
      <c r="L2755" s="826" t="s">
        <v>1705</v>
      </c>
      <c r="M2755" s="1332">
        <v>1666</v>
      </c>
      <c r="N2755" s="826"/>
      <c r="O2755" s="1669">
        <f>'Configurable Tab'!H51</f>
        <v>685</v>
      </c>
      <c r="P2755" s="18" t="str">
        <f>'Configurable Tab'!J51</f>
        <v>No</v>
      </c>
      <c r="Q2755" s="1669" t="s">
        <v>648</v>
      </c>
      <c r="R2755" s="1671" t="s">
        <v>2196</v>
      </c>
      <c r="T2755" s="1730" t="str">
        <f t="shared" ref="T2755:T2764" si="533">IF(Q$2755="Yes",49,"")</f>
        <v/>
      </c>
    </row>
    <row r="2756" spans="1:20" s="1669" customFormat="1" x14ac:dyDescent="0.25">
      <c r="A2756" s="846" t="s">
        <v>1383</v>
      </c>
      <c r="B2756" s="826" t="str">
        <f ca="1">IFERROR(_xlfn.CONCAT("C",MATCH(A2756,INDIRECT("'"&amp;E2756&amp;"'!C"&amp;$O$2755&amp;":C"&amp;$O$2757),0)+$O$2755-1),"")</f>
        <v>C687</v>
      </c>
      <c r="C2756" s="826" t="str">
        <f ca="1">IFERROR(_xlfn.CONCAT("D",MATCH(A2756,INDIRECT("'"&amp;E2756&amp;"'!C"&amp;$O$2755&amp;":C"&amp;$O$2757),0)+$O$2755-1),"")</f>
        <v>D687</v>
      </c>
      <c r="D2756" s="826" t="s">
        <v>1350</v>
      </c>
      <c r="E2756" s="826" t="s">
        <v>1516</v>
      </c>
      <c r="F2756" s="826" t="s">
        <v>1383</v>
      </c>
      <c r="G2756" s="1671" t="str">
        <f>IF(T2756&lt;&gt;"","B","")</f>
        <v/>
      </c>
      <c r="H2756" s="1671" t="s">
        <v>1990</v>
      </c>
      <c r="I2756" s="826"/>
      <c r="J2756" s="826"/>
      <c r="K2756" s="826"/>
      <c r="L2756" s="826" t="s">
        <v>1383</v>
      </c>
      <c r="M2756" s="1332">
        <v>1667</v>
      </c>
      <c r="N2756" s="826"/>
      <c r="O2756" s="1669" t="s">
        <v>726</v>
      </c>
      <c r="R2756" s="1671" t="s">
        <v>2196</v>
      </c>
      <c r="T2756" s="1730" t="str">
        <f t="shared" si="533"/>
        <v/>
      </c>
    </row>
    <row r="2757" spans="1:20" s="1669" customFormat="1" x14ac:dyDescent="0.25">
      <c r="A2757" s="846" t="s">
        <v>1381</v>
      </c>
      <c r="B2757" s="826" t="str">
        <f ca="1">_xlfn.CONCAT(IFERROR(SUBSTITUTE(ADDRESS(1,MATCH(A2757,INDIRECT("'"&amp;E2757&amp;"'"&amp;"!A" &amp; $O$2755+ 2 &amp; ":Z" &amp; $O$2755 + 2),0),4),1,""),""),$O$2755+ 2)</f>
        <v>J687</v>
      </c>
      <c r="C2757" s="826" t="str">
        <f ca="1">_xlfn.CONCAT(IFERROR(SUBSTITUTE(ADDRESS(1,MATCH(A2757,INDIRECT("'"&amp;E2757&amp;"'"&amp;"!A" &amp; $O$2755+ 2 &amp; ":Z" &amp; $O$2755 + 2),0),4),1,""),""),$O$2755+ 3)</f>
        <v>J688</v>
      </c>
      <c r="D2757" s="826" t="s">
        <v>1350</v>
      </c>
      <c r="E2757" s="826" t="s">
        <v>1516</v>
      </c>
      <c r="F2757" s="826" t="s">
        <v>1992</v>
      </c>
      <c r="G2757" s="1671" t="str">
        <f>IF(T2757&lt;&gt;"","I","")</f>
        <v/>
      </c>
      <c r="H2757" s="1671" t="s">
        <v>1990</v>
      </c>
      <c r="I2757" s="826"/>
      <c r="J2757" s="826"/>
      <c r="K2757" s="826"/>
      <c r="L2757" s="826" t="s">
        <v>1381</v>
      </c>
      <c r="M2757" s="1332">
        <v>1668</v>
      </c>
      <c r="N2757" s="826"/>
      <c r="O2757" s="1669">
        <f>'Configurable Tab'!I51</f>
        <v>698</v>
      </c>
      <c r="R2757" s="1671" t="s">
        <v>2196</v>
      </c>
      <c r="T2757" s="1730" t="str">
        <f t="shared" si="533"/>
        <v/>
      </c>
    </row>
    <row r="2758" spans="1:20" s="1669" customFormat="1" x14ac:dyDescent="0.25">
      <c r="A2758" s="846" t="s">
        <v>1382</v>
      </c>
      <c r="B2758" s="826" t="str">
        <f ca="1">_xlfn.CONCAT(IFERROR(SUBSTITUTE(ADDRESS(1,MATCH(A2758,INDIRECT("'"&amp;E2758&amp;"'"&amp;"!A" &amp; $O$2755+ 2 &amp; ":Z" &amp; $O$2755 + 2),0),4),1,""),""),$O$2755+ 2)</f>
        <v>N687</v>
      </c>
      <c r="C2758" s="826" t="str">
        <f ca="1">_xlfn.CONCAT(IFERROR(SUBSTITUTE(ADDRESS(1,MATCH(A2758,INDIRECT("'"&amp;E2758&amp;"'"&amp;"!A" &amp; $O$2755+ 2 &amp; ":Z" &amp; $O$2755 + 2),0),4),1,""),""),$O$2755+ 3)</f>
        <v>N688</v>
      </c>
      <c r="D2758" s="826" t="s">
        <v>1350</v>
      </c>
      <c r="E2758" s="826" t="s">
        <v>1516</v>
      </c>
      <c r="F2758" s="826" t="s">
        <v>1382</v>
      </c>
      <c r="G2758" s="1671" t="str">
        <f>IF(T2758&lt;&gt;"",IF(Q2757="Credit Memo","J",IF(Q2757="Check","K","")),"")</f>
        <v/>
      </c>
      <c r="H2758" s="1671" t="s">
        <v>1990</v>
      </c>
      <c r="I2758" s="826"/>
      <c r="J2758" s="826"/>
      <c r="K2758" s="826"/>
      <c r="L2758" s="826" t="s">
        <v>1382</v>
      </c>
      <c r="M2758" s="1332">
        <v>1669</v>
      </c>
      <c r="N2758" s="826"/>
      <c r="O2758" s="1669" t="s">
        <v>2205</v>
      </c>
      <c r="R2758" s="1671" t="s">
        <v>2196</v>
      </c>
      <c r="T2758" s="1730" t="str">
        <f t="shared" si="533"/>
        <v/>
      </c>
    </row>
    <row r="2759" spans="1:20" s="1669" customFormat="1" x14ac:dyDescent="0.25">
      <c r="A2759" s="846" t="s">
        <v>1385</v>
      </c>
      <c r="B2759" s="826" t="str">
        <f ca="1">IFERROR(_xlfn.CONCAT("C",MATCH(A2759,INDIRECT("'"&amp;E2759&amp;"'!C"&amp;$O$2755&amp;":C"&amp;$O$2757),0)+$O$2755-1),"")</f>
        <v>C691</v>
      </c>
      <c r="C2759" s="826" t="str">
        <f ca="1">IFERROR(_xlfn.CONCAT("D",MATCH(A2759,INDIRECT("'"&amp;E2759&amp;"'!C"&amp;$O$2755&amp;":C"&amp;$O$2757),0)+$O$2755-1),"")</f>
        <v>D691</v>
      </c>
      <c r="D2759" s="826" t="s">
        <v>1350</v>
      </c>
      <c r="E2759" s="826" t="s">
        <v>1516</v>
      </c>
      <c r="F2759" s="826" t="s">
        <v>1385</v>
      </c>
      <c r="G2759" s="1671" t="str">
        <f>IF(T2759&lt;&gt;"","C","")</f>
        <v/>
      </c>
      <c r="H2759" s="1671" t="s">
        <v>1990</v>
      </c>
      <c r="I2759" s="826"/>
      <c r="J2759" s="826"/>
      <c r="K2759" s="826"/>
      <c r="L2759" s="826" t="s">
        <v>1385</v>
      </c>
      <c r="M2759" s="1332">
        <v>1670</v>
      </c>
      <c r="N2759" s="826"/>
      <c r="R2759" s="1671" t="s">
        <v>2196</v>
      </c>
      <c r="T2759" s="1730" t="str">
        <f t="shared" si="533"/>
        <v/>
      </c>
    </row>
    <row r="2760" spans="1:20" s="1669" customFormat="1" x14ac:dyDescent="0.25">
      <c r="A2760" s="846" t="s">
        <v>1386</v>
      </c>
      <c r="B2760" s="826" t="str">
        <f ca="1">IFERROR(_xlfn.CONCAT("C",MATCH(A2760,INDIRECT("'"&amp;E2760&amp;"'!C"&amp;$O$2755&amp;":C"&amp;$O$2757),0)+$O$2755-1),"")</f>
        <v>C693</v>
      </c>
      <c r="C2760" s="826" t="str">
        <f ca="1">IFERROR(_xlfn.CONCAT("D",MATCH(A2760,INDIRECT("'"&amp;E2760&amp;"'!C"&amp;$O$2755&amp;":C"&amp;$O$2757),0)+$O$2755-1),"")</f>
        <v>D693</v>
      </c>
      <c r="D2760" s="826" t="s">
        <v>1350</v>
      </c>
      <c r="E2760" s="826" t="s">
        <v>1516</v>
      </c>
      <c r="F2760" s="826" t="s">
        <v>1386</v>
      </c>
      <c r="G2760" s="1671" t="str">
        <f>IF(T2760&lt;&gt;"","D","")</f>
        <v/>
      </c>
      <c r="H2760" s="1671" t="s">
        <v>1990</v>
      </c>
      <c r="I2760" s="826"/>
      <c r="J2760" s="826"/>
      <c r="K2760" s="826"/>
      <c r="L2760" s="826" t="s">
        <v>1386</v>
      </c>
      <c r="M2760" s="1332">
        <v>1671</v>
      </c>
      <c r="N2760" s="826"/>
      <c r="R2760" s="1671" t="s">
        <v>2196</v>
      </c>
      <c r="T2760" s="1730" t="str">
        <f t="shared" si="533"/>
        <v/>
      </c>
    </row>
    <row r="2761" spans="1:20" s="1669" customFormat="1" x14ac:dyDescent="0.25">
      <c r="A2761" s="846" t="s">
        <v>1396</v>
      </c>
      <c r="B2761" s="826" t="str">
        <f ca="1">_xlfn.CONCAT(IFERROR(SUBSTITUTE(ADDRESS(1,MATCH(A2761,INDIRECT("'"&amp;E2761&amp;"'"&amp;"!A" &amp; $O$2755+ 5 &amp; ":Z" &amp; $O$2755 + 5),0),4),1,""),""),$O$2755+ 5)</f>
        <v>H690</v>
      </c>
      <c r="C2761" s="826" t="str">
        <f ca="1">_xlfn.CONCAT(IFERROR(SUBSTITUTE(ADDRESS(1,MATCH(A2761,INDIRECT("'"&amp;E2761&amp;"'"&amp;"!A" &amp; $O$2755+ 5 &amp; ":Z" &amp; $O$2755 + 5),0),4),1,""),""),$O$2755+ 6)</f>
        <v>H691</v>
      </c>
      <c r="D2761" s="826" t="s">
        <v>1350</v>
      </c>
      <c r="E2761" s="826" t="s">
        <v>1516</v>
      </c>
      <c r="F2761" s="1671" t="s">
        <v>1396</v>
      </c>
      <c r="G2761" s="1671" t="str">
        <f>IF(T2761&lt;&gt;"","S","")</f>
        <v/>
      </c>
      <c r="H2761" s="1671" t="s">
        <v>1990</v>
      </c>
      <c r="I2761" s="826"/>
      <c r="J2761" s="826"/>
      <c r="K2761" s="826"/>
      <c r="L2761" s="826" t="s">
        <v>1396</v>
      </c>
      <c r="M2761" s="1332">
        <v>1672</v>
      </c>
      <c r="N2761" s="826"/>
      <c r="R2761" s="1671" t="s">
        <v>2196</v>
      </c>
      <c r="T2761" s="1730" t="str">
        <f t="shared" si="533"/>
        <v/>
      </c>
    </row>
    <row r="2762" spans="1:20" s="1669" customFormat="1" x14ac:dyDescent="0.25">
      <c r="A2762" s="846" t="s">
        <v>2005</v>
      </c>
      <c r="B2762" s="826" t="str">
        <f ca="1">_xlfn.CONCAT(IFERROR(SUBSTITUTE(ADDRESS(1,MATCH(A2762,INDIRECT("'"&amp;E2762&amp;"'"&amp;"!A" &amp; $O$2755+ 8 &amp; ":Z" &amp; $O$2755 + 8),0),4),1,""),""),$O$2755 + 8)</f>
        <v>J693</v>
      </c>
      <c r="C2762" s="826" t="str">
        <f ca="1">_xlfn.CONCAT(IFERROR(SUBSTITUTE(ADDRESS(1,MATCH(A2762,INDIRECT("'"&amp;E2762&amp;"'"&amp;"!A" &amp; $O$2755+ 8 &amp; ":Z" &amp; $O$2755 + 8),0),4),1,""),""),$O$2755 + 9)</f>
        <v>J694</v>
      </c>
      <c r="D2762" s="826" t="s">
        <v>1350</v>
      </c>
      <c r="E2762" s="826" t="s">
        <v>1516</v>
      </c>
      <c r="F2762" s="826" t="s">
        <v>2005</v>
      </c>
      <c r="G2762" s="1671" t="str">
        <f>IF(T2762&lt;&gt;"","AQ","")</f>
        <v/>
      </c>
      <c r="H2762" s="1671" t="s">
        <v>1990</v>
      </c>
      <c r="I2762" s="826"/>
      <c r="J2762" s="826"/>
      <c r="K2762" s="826"/>
      <c r="L2762" s="826" t="s">
        <v>2005</v>
      </c>
      <c r="M2762" s="1332">
        <v>1673</v>
      </c>
      <c r="N2762" s="826"/>
      <c r="R2762" s="1671" t="s">
        <v>2196</v>
      </c>
      <c r="T2762" s="1730" t="str">
        <f t="shared" si="533"/>
        <v/>
      </c>
    </row>
    <row r="2763" spans="1:20" s="1669" customFormat="1" x14ac:dyDescent="0.25">
      <c r="A2763" s="846" t="s">
        <v>1482</v>
      </c>
      <c r="B2763" s="826" t="str">
        <f ca="1">_xlfn.CONCAT(IFERROR(SUBSTITUTE(ADDRESS(1,MATCH(A2763,INDIRECT("'"&amp;E2763&amp;"'"&amp;"!A" &amp; $O$2755+ 8 &amp; ":Z" &amp; $O$2755 + 8),0),4),1,""),""),$O$2755 + 8)</f>
        <v>N693</v>
      </c>
      <c r="C2763" s="826" t="str">
        <f ca="1">_xlfn.CONCAT(IFERROR(SUBSTITUTE(ADDRESS(1,MATCH(A2763,INDIRECT("'"&amp;E2763&amp;"'"&amp;"!A" &amp; $O$2755+ 8 &amp; ":Z" &amp; $O$2755 + 8),0),4),1,""),""),$O$2755 + 9)</f>
        <v>N694</v>
      </c>
      <c r="D2763" s="826" t="s">
        <v>1350</v>
      </c>
      <c r="E2763" s="826" t="s">
        <v>1516</v>
      </c>
      <c r="F2763" s="826" t="s">
        <v>2054</v>
      </c>
      <c r="G2763" s="1671" t="str">
        <f>IF(T2763&lt;&gt;"","AA","")</f>
        <v/>
      </c>
      <c r="H2763" s="1671" t="s">
        <v>1990</v>
      </c>
      <c r="I2763" s="826"/>
      <c r="J2763" s="826"/>
      <c r="K2763" s="826"/>
      <c r="L2763" s="826" t="s">
        <v>2006</v>
      </c>
      <c r="M2763" s="1332">
        <v>1674</v>
      </c>
      <c r="N2763" s="826"/>
      <c r="R2763" s="1671" t="s">
        <v>2196</v>
      </c>
      <c r="T2763" s="1730" t="str">
        <f t="shared" si="533"/>
        <v/>
      </c>
    </row>
    <row r="2764" spans="1:20" s="1669" customFormat="1" x14ac:dyDescent="0.25">
      <c r="A2764" s="846" t="s">
        <v>1397</v>
      </c>
      <c r="B2764" s="826" t="str">
        <f ca="1">_xlfn.CONCAT(IFERROR(SUBSTITUTE(ADDRESS(1,MATCH(A2764,INDIRECT("'"&amp;E2764&amp;"'"&amp;"!A" &amp; $O$2755+ 2 &amp; ":Z" &amp; $O$2755 + 2),0),4),1,""),""),$O$2755 + 2)</f>
        <v>L687</v>
      </c>
      <c r="C2764" s="826" t="str">
        <f ca="1">_xlfn.CONCAT(IFERROR(SUBSTITUTE(ADDRESS(1,MATCH(A2764,INDIRECT("'"&amp;E2764&amp;"'"&amp;"!A" &amp; $O$2755+ 2 &amp; ":Z" &amp; $O$2755 + 2),0),4),1,""),""),$O$2755 + 3)</f>
        <v>L688</v>
      </c>
      <c r="D2764" s="826" t="s">
        <v>1350</v>
      </c>
      <c r="E2764" s="826" t="s">
        <v>1516</v>
      </c>
      <c r="F2764" s="826" t="s">
        <v>1993</v>
      </c>
      <c r="G2764" s="1671" t="str">
        <f>IF(T2764&lt;&gt;"","H","")</f>
        <v/>
      </c>
      <c r="H2764" s="1671" t="s">
        <v>1990</v>
      </c>
      <c r="I2764" s="826"/>
      <c r="J2764" s="826"/>
      <c r="K2764" s="826"/>
      <c r="L2764" s="826" t="s">
        <v>1397</v>
      </c>
      <c r="M2764" s="1332">
        <v>1675</v>
      </c>
      <c r="N2764" s="826"/>
      <c r="R2764" s="1671" t="s">
        <v>2196</v>
      </c>
      <c r="T2764" s="1730" t="str">
        <f t="shared" si="533"/>
        <v/>
      </c>
    </row>
    <row r="2765" spans="1:20" s="1669" customFormat="1" x14ac:dyDescent="0.25">
      <c r="A2765" s="846" t="s">
        <v>1705</v>
      </c>
      <c r="B2765" s="1274" t="str">
        <f>IFERROR(_xlfn.CONCAT("D",('Configurable Tab'!$C$36+1)),"")</f>
        <v>D369</v>
      </c>
      <c r="C2765" s="1274" t="str">
        <f>IFERROR(_xlfn.CONCAT("E",('Configurable Tab'!$C$36+1)),"")</f>
        <v>E369</v>
      </c>
      <c r="D2765" s="826" t="s">
        <v>1350</v>
      </c>
      <c r="E2765" s="826" t="s">
        <v>1742</v>
      </c>
      <c r="F2765" s="1671"/>
      <c r="G2765" s="1671"/>
      <c r="H2765" s="1671"/>
      <c r="I2765" s="1274" t="str">
        <f t="shared" ref="I2765:I2775" si="534">IF(J2765&lt;&gt;"",A2765,"")</f>
        <v/>
      </c>
      <c r="J2765" s="1671" t="str">
        <f t="shared" ref="J2765:J2774" si="535">IFERROR(IF($Q$2755="Yes",Q$1&amp;M2755,""),"")</f>
        <v/>
      </c>
      <c r="K2765" s="1671" t="str">
        <f t="shared" ref="K2765:K2775" si="536">IF(J2765&lt;&gt;"",E2765,"")</f>
        <v/>
      </c>
      <c r="M2765" s="1670"/>
      <c r="Q2765" s="1274" t="str">
        <f>IFERROR(_xlfn.CONCAT("C",('Configurable Tab'!$C36+1)),"")</f>
        <v>C369</v>
      </c>
      <c r="R2765" s="1671" t="s">
        <v>2196</v>
      </c>
    </row>
    <row r="2766" spans="1:20" s="1669" customFormat="1" x14ac:dyDescent="0.25">
      <c r="A2766" s="846" t="s">
        <v>1383</v>
      </c>
      <c r="B2766" s="1274" t="str">
        <f>IFERROR(_xlfn.CONCAT("D",('Configurable Tab'!$C$36+2)),"")</f>
        <v>D370</v>
      </c>
      <c r="C2766" s="1274" t="str">
        <f>IFERROR(_xlfn.CONCAT("E",('Configurable Tab'!$C$36+2)),"")</f>
        <v>E370</v>
      </c>
      <c r="D2766" s="826" t="s">
        <v>1350</v>
      </c>
      <c r="E2766" s="826" t="s">
        <v>1742</v>
      </c>
      <c r="F2766" s="1671"/>
      <c r="G2766" s="1671"/>
      <c r="H2766" s="1671"/>
      <c r="I2766" s="1274" t="str">
        <f t="shared" si="534"/>
        <v/>
      </c>
      <c r="J2766" s="1671" t="str">
        <f t="shared" si="535"/>
        <v/>
      </c>
      <c r="K2766" s="1671" t="str">
        <f t="shared" si="536"/>
        <v/>
      </c>
      <c r="M2766" s="1670"/>
      <c r="R2766" s="1671" t="s">
        <v>2196</v>
      </c>
    </row>
    <row r="2767" spans="1:20" s="1669" customFormat="1" x14ac:dyDescent="0.25">
      <c r="A2767" s="846" t="s">
        <v>1381</v>
      </c>
      <c r="B2767" s="1274" t="str">
        <f>IFERROR(_xlfn.CONCAT("I",('Configurable Tab'!$C$36+1)),"")</f>
        <v>I369</v>
      </c>
      <c r="C2767" s="1274" t="str">
        <f>IFERROR(_xlfn.CONCAT("I",('Configurable Tab'!$C$36+2)),"")</f>
        <v>I370</v>
      </c>
      <c r="D2767" s="826" t="s">
        <v>1350</v>
      </c>
      <c r="E2767" s="826" t="s">
        <v>1742</v>
      </c>
      <c r="F2767" s="1671"/>
      <c r="G2767" s="1671"/>
      <c r="H2767" s="1671"/>
      <c r="I2767" s="1274" t="str">
        <f t="shared" si="534"/>
        <v/>
      </c>
      <c r="J2767" s="1671" t="str">
        <f t="shared" si="535"/>
        <v/>
      </c>
      <c r="K2767" s="1671" t="str">
        <f t="shared" si="536"/>
        <v/>
      </c>
      <c r="M2767" s="1670"/>
      <c r="R2767" s="1671" t="s">
        <v>2196</v>
      </c>
    </row>
    <row r="2768" spans="1:20" s="1669" customFormat="1" x14ac:dyDescent="0.25">
      <c r="A2768" s="846" t="s">
        <v>1382</v>
      </c>
      <c r="B2768" s="1274" t="str">
        <f>IFERROR(_xlfn.CONCAT("M",('Configurable Tab'!$C$36+1)),"")</f>
        <v>M369</v>
      </c>
      <c r="C2768" s="1274" t="str">
        <f>IFERROR(_xlfn.CONCAT("M",('Configurable Tab'!$C$36+2)),"")</f>
        <v>M370</v>
      </c>
      <c r="D2768" s="826" t="s">
        <v>1350</v>
      </c>
      <c r="E2768" s="826" t="s">
        <v>1742</v>
      </c>
      <c r="F2768" s="1671"/>
      <c r="G2768" s="1671"/>
      <c r="H2768" s="1671"/>
      <c r="I2768" s="1274" t="str">
        <f t="shared" si="534"/>
        <v/>
      </c>
      <c r="J2768" s="1671" t="str">
        <f t="shared" si="535"/>
        <v/>
      </c>
      <c r="K2768" s="1671" t="str">
        <f t="shared" si="536"/>
        <v/>
      </c>
      <c r="M2768" s="1670"/>
      <c r="R2768" s="1671" t="s">
        <v>2196</v>
      </c>
    </row>
    <row r="2769" spans="1:20" s="1669" customFormat="1" x14ac:dyDescent="0.25">
      <c r="A2769" s="846" t="s">
        <v>1385</v>
      </c>
      <c r="B2769" s="1274" t="str">
        <f>IFERROR(_xlfn.CONCAT("D",('Configurable Tab'!$C$36+4)),"")</f>
        <v>D372</v>
      </c>
      <c r="C2769" s="1274" t="str">
        <f>IFERROR(_xlfn.CONCAT("E",('Configurable Tab'!$C$36+4)),"")</f>
        <v>E372</v>
      </c>
      <c r="D2769" s="826" t="s">
        <v>1350</v>
      </c>
      <c r="E2769" s="826" t="s">
        <v>1742</v>
      </c>
      <c r="F2769" s="1671"/>
      <c r="G2769" s="1671"/>
      <c r="H2769" s="1671"/>
      <c r="I2769" s="1274" t="str">
        <f t="shared" si="534"/>
        <v/>
      </c>
      <c r="J2769" s="1671" t="str">
        <f t="shared" si="535"/>
        <v/>
      </c>
      <c r="K2769" s="1671" t="str">
        <f t="shared" si="536"/>
        <v/>
      </c>
      <c r="M2769" s="1670"/>
      <c r="R2769" s="1671" t="s">
        <v>2196</v>
      </c>
    </row>
    <row r="2770" spans="1:20" s="1669" customFormat="1" x14ac:dyDescent="0.25">
      <c r="A2770" s="846" t="s">
        <v>1386</v>
      </c>
      <c r="B2770" s="1274" t="str">
        <f>IFERROR(_xlfn.CONCAT("D",('Configurable Tab'!$C$36+5)),"")</f>
        <v>D373</v>
      </c>
      <c r="C2770" s="1274" t="str">
        <f>IFERROR(_xlfn.CONCAT("E",('Configurable Tab'!$C$36+5)),"")</f>
        <v>E373</v>
      </c>
      <c r="D2770" s="826" t="s">
        <v>1350</v>
      </c>
      <c r="E2770" s="826" t="s">
        <v>1742</v>
      </c>
      <c r="F2770" s="1671"/>
      <c r="G2770" s="1671"/>
      <c r="H2770" s="1671"/>
      <c r="I2770" s="1274" t="str">
        <f t="shared" si="534"/>
        <v/>
      </c>
      <c r="J2770" s="1671" t="str">
        <f t="shared" si="535"/>
        <v/>
      </c>
      <c r="K2770" s="1671" t="str">
        <f t="shared" si="536"/>
        <v/>
      </c>
      <c r="M2770" s="1670"/>
      <c r="R2770" s="1671" t="s">
        <v>2196</v>
      </c>
    </row>
    <row r="2771" spans="1:20" s="1669" customFormat="1" x14ac:dyDescent="0.25">
      <c r="A2771" s="846" t="s">
        <v>1396</v>
      </c>
      <c r="B2771" s="1274" t="str">
        <f>IFERROR(_xlfn.CONCAT("G",('Configurable Tab'!$C$36+4)),"")</f>
        <v>G372</v>
      </c>
      <c r="C2771" s="1274" t="str">
        <f>IFERROR(_xlfn.CONCAT("G",('Configurable Tab'!$C$36+5)),"")</f>
        <v>G373</v>
      </c>
      <c r="D2771" s="826" t="s">
        <v>1350</v>
      </c>
      <c r="E2771" s="826" t="s">
        <v>1742</v>
      </c>
      <c r="F2771" s="1671"/>
      <c r="G2771" s="1671"/>
      <c r="H2771" s="1671"/>
      <c r="I2771" s="1274" t="str">
        <f t="shared" si="534"/>
        <v/>
      </c>
      <c r="J2771" s="1671" t="str">
        <f t="shared" si="535"/>
        <v/>
      </c>
      <c r="K2771" s="1671" t="str">
        <f t="shared" si="536"/>
        <v/>
      </c>
      <c r="M2771" s="1670"/>
      <c r="R2771" s="1671" t="s">
        <v>2196</v>
      </c>
    </row>
    <row r="2772" spans="1:20" s="1669" customFormat="1" x14ac:dyDescent="0.25">
      <c r="A2772" s="846" t="s">
        <v>2005</v>
      </c>
      <c r="B2772" s="1274" t="str">
        <f>IFERROR(_xlfn.CONCAT("G",('Configurable Tab'!$C$36+7)),"")</f>
        <v>G375</v>
      </c>
      <c r="C2772" s="1274" t="str">
        <f>IFERROR(_xlfn.CONCAT("G",('Configurable Tab'!$C$36+8)),"")</f>
        <v>G376</v>
      </c>
      <c r="D2772" s="826" t="s">
        <v>1350</v>
      </c>
      <c r="E2772" s="826" t="s">
        <v>1742</v>
      </c>
      <c r="F2772" s="1671"/>
      <c r="G2772" s="1671"/>
      <c r="H2772" s="1671"/>
      <c r="I2772" s="1274" t="str">
        <f t="shared" si="534"/>
        <v/>
      </c>
      <c r="J2772" s="1671" t="str">
        <f t="shared" si="535"/>
        <v/>
      </c>
      <c r="K2772" s="1671" t="str">
        <f t="shared" si="536"/>
        <v/>
      </c>
      <c r="M2772" s="1670"/>
      <c r="R2772" s="1671" t="s">
        <v>2196</v>
      </c>
    </row>
    <row r="2773" spans="1:20" s="1669" customFormat="1" x14ac:dyDescent="0.25">
      <c r="A2773" s="846" t="s">
        <v>1482</v>
      </c>
      <c r="B2773" s="1274" t="str">
        <f>IFERROR(_xlfn.CONCAT("K",('Configurable Tab'!$C$36+7)),"")</f>
        <v>K375</v>
      </c>
      <c r="C2773" s="1274" t="str">
        <f>IFERROR(_xlfn.CONCAT("K",('Configurable Tab'!$C$36+8)),"")</f>
        <v>K376</v>
      </c>
      <c r="D2773" s="826" t="s">
        <v>1350</v>
      </c>
      <c r="E2773" s="826" t="s">
        <v>1742</v>
      </c>
      <c r="F2773" s="1671"/>
      <c r="G2773" s="1671"/>
      <c r="H2773" s="1671"/>
      <c r="I2773" s="1274" t="str">
        <f t="shared" si="534"/>
        <v/>
      </c>
      <c r="J2773" s="1671" t="str">
        <f t="shared" si="535"/>
        <v/>
      </c>
      <c r="K2773" s="1671" t="str">
        <f t="shared" si="536"/>
        <v/>
      </c>
      <c r="M2773" s="1670"/>
      <c r="R2773" s="1671" t="s">
        <v>2196</v>
      </c>
    </row>
    <row r="2774" spans="1:20" s="1669" customFormat="1" x14ac:dyDescent="0.25">
      <c r="A2774" s="846" t="s">
        <v>1397</v>
      </c>
      <c r="B2774" s="1274" t="str">
        <f>IFERROR(_xlfn.CONCAT("K",('Configurable Tab'!$C$36+1)),"")</f>
        <v>K369</v>
      </c>
      <c r="C2774" s="1274" t="str">
        <f>IFERROR(_xlfn.CONCAT("K",('Configurable Tab'!$C$36+2)),"")</f>
        <v>K370</v>
      </c>
      <c r="D2774" s="826" t="s">
        <v>1350</v>
      </c>
      <c r="E2774" s="826" t="s">
        <v>1742</v>
      </c>
      <c r="F2774" s="1671"/>
      <c r="G2774" s="1671"/>
      <c r="H2774" s="1671"/>
      <c r="I2774" s="1274" t="str">
        <f t="shared" si="534"/>
        <v/>
      </c>
      <c r="J2774" s="1671" t="str">
        <f t="shared" si="535"/>
        <v/>
      </c>
      <c r="K2774" s="1671" t="str">
        <f t="shared" si="536"/>
        <v/>
      </c>
      <c r="M2774" s="1670"/>
      <c r="R2774" s="1671" t="s">
        <v>2196</v>
      </c>
    </row>
    <row r="2775" spans="1:20" s="1669" customFormat="1" x14ac:dyDescent="0.25">
      <c r="A2775" s="846" t="s">
        <v>1496</v>
      </c>
      <c r="B2775" s="826" t="str">
        <f ca="1">IFERROR(_xlfn.CONCAT("C",MATCH(A2775,INDIRECT("'"&amp;E2775&amp;"'!C"&amp;$O$2755&amp;":C"&amp;$O$2757),0)+$O$2755-1),"")</f>
        <v>C697</v>
      </c>
      <c r="C2775" s="826" t="str">
        <f ca="1">IFERROR(_xlfn.CONCAT("D",MATCH(A2775,INDIRECT("'"&amp;E2775&amp;"'!C"&amp;$O$2755&amp;":C"&amp;$O$2757),0)+$O$2755-1),"")</f>
        <v>D697</v>
      </c>
      <c r="D2775" s="826" t="s">
        <v>1350</v>
      </c>
      <c r="E2775" s="826" t="s">
        <v>1516</v>
      </c>
      <c r="F2775" s="1671" t="s">
        <v>1496</v>
      </c>
      <c r="G2775" s="1671" t="str">
        <f t="shared" ref="G2775" si="537">IF(T2775&lt;&gt;"","AS","")</f>
        <v/>
      </c>
      <c r="H2775" s="1671" t="s">
        <v>1990</v>
      </c>
      <c r="I2775" s="1274" t="str">
        <f t="shared" si="534"/>
        <v/>
      </c>
      <c r="J2775" s="1671"/>
      <c r="K2775" s="1671" t="str">
        <f t="shared" si="536"/>
        <v/>
      </c>
      <c r="L2775" s="826"/>
      <c r="M2775" s="1672"/>
      <c r="N2775" s="1671"/>
      <c r="R2775" s="1671" t="s">
        <v>2196</v>
      </c>
      <c r="T2775" s="1671" t="str">
        <f>IF(Q$2755="Yes",49,"")</f>
        <v/>
      </c>
    </row>
    <row r="2776" spans="1:20" s="1669" customFormat="1" x14ac:dyDescent="0.25">
      <c r="A2776" s="847" t="s">
        <v>1495</v>
      </c>
      <c r="B2776" s="826" t="str">
        <f ca="1">IFERROR(_xlfn.CONCAT("C",MATCH(A2776,INDIRECT("'"&amp;E2776&amp;"'!C"&amp;$O$2755&amp;":C"&amp;$O$2757),0)+$O$2755-1),"")</f>
        <v>C695</v>
      </c>
      <c r="C2776" s="826" t="str">
        <f ca="1">IFERROR(_xlfn.CONCAT("D",MATCH(A2776,INDIRECT("'"&amp;E2776&amp;"'!C"&amp;$O$2755&amp;":C"&amp;$O$2757),0)+$O$2755-1),"")</f>
        <v>D695</v>
      </c>
      <c r="D2776" s="826" t="s">
        <v>1350</v>
      </c>
      <c r="E2776" s="826" t="s">
        <v>1516</v>
      </c>
      <c r="F2776" s="1671" t="s">
        <v>1495</v>
      </c>
      <c r="G2776" s="1671" t="str">
        <f>IF(T2776&lt;&gt;"","AN","")</f>
        <v/>
      </c>
      <c r="H2776" s="1671" t="s">
        <v>1990</v>
      </c>
      <c r="I2776" s="1274"/>
      <c r="J2776" s="1671"/>
      <c r="K2776" s="1671"/>
      <c r="L2776" s="826"/>
      <c r="M2776" s="1672"/>
      <c r="N2776" s="1671"/>
      <c r="O2776" s="1561"/>
      <c r="P2776" s="603"/>
      <c r="Q2776" s="603"/>
      <c r="R2776" s="1671" t="s">
        <v>2196</v>
      </c>
      <c r="T2776" s="1730" t="str">
        <f t="shared" ref="T2776:T2783" si="538">IF(Q$2755="Yes",49,"")</f>
        <v/>
      </c>
    </row>
    <row r="2777" spans="1:20" s="1669" customFormat="1" x14ac:dyDescent="0.25">
      <c r="A2777" s="847" t="s">
        <v>1492</v>
      </c>
      <c r="B2777" s="826" t="str">
        <f ca="1">_xlfn.CONCAT(IFERROR(SUBSTITUTE(ADDRESS(1,MATCH(A2777,INDIRECT("'"&amp;E2777&amp;"'"&amp;"!A" &amp; $O$2755+ 8 &amp; ":Z" &amp; $O$2755 + 8),0),4),1,""),""),$O$2755 + 8)</f>
        <v>H693</v>
      </c>
      <c r="C2777" s="826" t="str">
        <f ca="1">_xlfn.CONCAT(IFERROR(SUBSTITUTE(ADDRESS(1,MATCH(A2777,INDIRECT("'"&amp;E2777&amp;"'"&amp;"!A" &amp; $O$2755+ 8 &amp; ":Z" &amp; $O$2755 + 8),0),4),1,""),""),$O$2755 + 9)</f>
        <v>H694</v>
      </c>
      <c r="D2777" s="826" t="s">
        <v>1350</v>
      </c>
      <c r="E2777" s="826" t="s">
        <v>1516</v>
      </c>
      <c r="F2777" s="1671" t="s">
        <v>1492</v>
      </c>
      <c r="G2777" s="1671" t="str">
        <f>IF(T2777&lt;&gt;"","AL","")</f>
        <v/>
      </c>
      <c r="H2777" s="1671" t="s">
        <v>1990</v>
      </c>
      <c r="I2777" s="1274"/>
      <c r="J2777" s="1671"/>
      <c r="K2777" s="1671"/>
      <c r="L2777" s="826"/>
      <c r="M2777" s="1672"/>
      <c r="N2777" s="1671"/>
      <c r="O2777" s="603"/>
      <c r="P2777" s="603"/>
      <c r="Q2777" s="603"/>
      <c r="R2777" s="1671" t="s">
        <v>2196</v>
      </c>
      <c r="T2777" s="1730" t="str">
        <f t="shared" si="538"/>
        <v/>
      </c>
    </row>
    <row r="2778" spans="1:20" s="1669" customFormat="1" x14ac:dyDescent="0.25">
      <c r="A2778" s="847" t="s">
        <v>1380</v>
      </c>
      <c r="B2778" s="826" t="str">
        <f ca="1">_xlfn.CONCAT(IFERROR(SUBSTITUTE(ADDRESS(1,MATCH(A2778,INDIRECT("'"&amp;E2778&amp;"'"&amp;"!A" &amp; $O$2755+ 2 &amp; ":Z" &amp; $O$2755 + 2),0),4),1,""),""),$O$2755+ 2)</f>
        <v>H687</v>
      </c>
      <c r="C2778" s="826" t="str">
        <f ca="1">_xlfn.CONCAT(IFERROR(SUBSTITUTE(ADDRESS(1,MATCH(A2778,INDIRECT("'"&amp;E2778&amp;"'"&amp;"!A" &amp; $O$2755+ 2 &amp; ":Z" &amp; $O$2755 + 2),0),4),1,""),""),$O$2755+ 3)</f>
        <v>H688</v>
      </c>
      <c r="D2778" s="826" t="s">
        <v>1350</v>
      </c>
      <c r="E2778" s="826" t="s">
        <v>1516</v>
      </c>
      <c r="F2778" s="1671" t="s">
        <v>1991</v>
      </c>
      <c r="G2778" s="1671" t="str">
        <f>IF(T2778&lt;&gt;"","E","")</f>
        <v/>
      </c>
      <c r="H2778" s="1671" t="s">
        <v>1990</v>
      </c>
      <c r="I2778" s="1274"/>
      <c r="J2778" s="1671"/>
      <c r="K2778" s="1671"/>
      <c r="L2778" s="826"/>
      <c r="M2778" s="1672"/>
      <c r="N2778" s="1671"/>
      <c r="O2778" s="603"/>
      <c r="P2778" s="603"/>
      <c r="Q2778" s="603"/>
      <c r="R2778" s="1671" t="s">
        <v>2196</v>
      </c>
      <c r="T2778" s="1730" t="str">
        <f t="shared" si="538"/>
        <v/>
      </c>
    </row>
    <row r="2779" spans="1:20" s="1669" customFormat="1" x14ac:dyDescent="0.25">
      <c r="A2779" s="847" t="s">
        <v>1487</v>
      </c>
      <c r="B2779" s="826" t="str">
        <f ca="1">_xlfn.CONCAT(IFERROR(SUBSTITUTE(ADDRESS(1,MATCH(A2779,INDIRECT("'"&amp;E2779&amp;"'"&amp;"!A" &amp; $O$2755+ 2 &amp; ":Z" &amp; $O$2755 + 2),0),4),1,""),""),$O$2755+ 2)</f>
        <v>R687</v>
      </c>
      <c r="C2779" s="826" t="str">
        <f ca="1">_xlfn.CONCAT(IFERROR(SUBSTITUTE(ADDRESS(1,MATCH(A2779,INDIRECT("'"&amp;E2779&amp;"'"&amp;"!A" &amp; $O$2755+ 2 &amp; ":Z" &amp; $O$2755 + 2),0),4),1,""),""),$O$2755+ 3)</f>
        <v>R688</v>
      </c>
      <c r="D2779" s="826" t="s">
        <v>1350</v>
      </c>
      <c r="E2779" s="826" t="s">
        <v>1516</v>
      </c>
      <c r="F2779" s="1671" t="s">
        <v>1995</v>
      </c>
      <c r="G2779" s="1671" t="str">
        <f>IF(T2779&lt;&gt;"","G","")</f>
        <v/>
      </c>
      <c r="H2779" s="1671" t="s">
        <v>1990</v>
      </c>
      <c r="I2779" s="1274"/>
      <c r="J2779" s="1671"/>
      <c r="K2779" s="1671"/>
      <c r="L2779" s="826"/>
      <c r="M2779" s="1672"/>
      <c r="N2779" s="1671"/>
      <c r="O2779" s="603"/>
      <c r="P2779" s="603"/>
      <c r="Q2779" s="603"/>
      <c r="R2779" s="1671" t="s">
        <v>2196</v>
      </c>
      <c r="T2779" s="1730" t="str">
        <f t="shared" si="538"/>
        <v/>
      </c>
    </row>
    <row r="2780" spans="1:20" s="1669" customFormat="1" x14ac:dyDescent="0.25">
      <c r="A2780" s="847" t="s">
        <v>1488</v>
      </c>
      <c r="B2780" s="826" t="str">
        <f ca="1">_xlfn.CONCAT(IFERROR(SUBSTITUTE(ADDRESS(1,MATCH(A2780,INDIRECT("'"&amp;E2780&amp;"'"&amp;"!A" &amp; $O$2755+ 2 &amp; ":Z" &amp; $O$2755 + 2),0),4),1,""),""),$O$2755+ 2)</f>
        <v>T687</v>
      </c>
      <c r="C2780" s="826" t="str">
        <f ca="1">_xlfn.CONCAT(IFERROR(SUBSTITUTE(ADDRESS(1,MATCH(A2780,INDIRECT("'"&amp;E2780&amp;"'"&amp;"!A" &amp; $O$2755+ 2 &amp; ":Z" &amp; $O$2755 + 2),0),4),1,""),""),$O$2755+ 3)</f>
        <v>T688</v>
      </c>
      <c r="D2780" s="826" t="s">
        <v>1350</v>
      </c>
      <c r="E2780" s="826" t="s">
        <v>1516</v>
      </c>
      <c r="F2780" s="841" t="s">
        <v>1488</v>
      </c>
      <c r="G2780" s="1671" t="str">
        <f>IF(T2780&lt;&gt;"","AW","")</f>
        <v/>
      </c>
      <c r="H2780" s="1671" t="s">
        <v>1990</v>
      </c>
      <c r="I2780" s="1274"/>
      <c r="J2780" s="1671"/>
      <c r="K2780" s="1671"/>
      <c r="L2780" s="826"/>
      <c r="M2780" s="1672"/>
      <c r="N2780" s="1671"/>
      <c r="O2780" s="603"/>
      <c r="P2780" s="603"/>
      <c r="Q2780" s="603"/>
      <c r="R2780" s="1671" t="s">
        <v>2196</v>
      </c>
      <c r="T2780" s="1730" t="str">
        <f t="shared" si="538"/>
        <v/>
      </c>
    </row>
    <row r="2781" spans="1:20" s="1669" customFormat="1" x14ac:dyDescent="0.25">
      <c r="A2781" s="847" t="s">
        <v>1603</v>
      </c>
      <c r="B2781" s="826" t="str">
        <f ca="1">_xlfn.CONCAT(IFERROR(SUBSTITUTE(ADDRESS(1,MATCH(A2781,INDIRECT("'"&amp;E2781&amp;"'"&amp;"!A" &amp; $O$2755+ 5 &amp; ":Z" &amp; $O$2755 + 5),0),4),1,""),""),$O$2755+ 5)</f>
        <v>R690</v>
      </c>
      <c r="C2781" s="826" t="str">
        <f ca="1">_xlfn.CONCAT(IFERROR(SUBSTITUTE(ADDRESS(1,MATCH(A2781,INDIRECT("'"&amp;E2781&amp;"'"&amp;"!A" &amp; $O$2755+ 5 &amp; ":Z" &amp; $O$2755 + 5),0),4),1,""),""),$O$2755+ 6)</f>
        <v>R691</v>
      </c>
      <c r="D2781" s="826" t="s">
        <v>1350</v>
      </c>
      <c r="E2781" s="826" t="s">
        <v>1516</v>
      </c>
      <c r="F2781" s="1671" t="s">
        <v>1999</v>
      </c>
      <c r="G2781" s="1671" t="str">
        <f t="shared" ref="G2781" si="539">IF(T2781&lt;&gt;"","AB","")</f>
        <v/>
      </c>
      <c r="H2781" s="1671" t="s">
        <v>1990</v>
      </c>
      <c r="I2781" s="1274"/>
      <c r="J2781" s="1671"/>
      <c r="K2781" s="1671"/>
      <c r="L2781" s="826"/>
      <c r="M2781" s="1672"/>
      <c r="N2781" s="1671"/>
      <c r="O2781" s="603"/>
      <c r="P2781" s="603"/>
      <c r="Q2781" s="603"/>
      <c r="R2781" s="1671" t="s">
        <v>2196</v>
      </c>
      <c r="T2781" s="1730" t="str">
        <f t="shared" si="538"/>
        <v/>
      </c>
    </row>
    <row r="2782" spans="1:20" s="1669" customFormat="1" x14ac:dyDescent="0.25">
      <c r="A2782" s="847" t="s">
        <v>1604</v>
      </c>
      <c r="B2782" s="826" t="str">
        <f ca="1">_xlfn.CONCAT(IFERROR(SUBSTITUTE(ADDRESS(1,MATCH(A2782,INDIRECT("'"&amp;E2782&amp;"'"&amp;"!A" &amp; $O$2755+ 5 &amp; ":Z" &amp; $O$2755 + 5),0),4),1,""),""),$O$2755+ 5)</f>
        <v>T690</v>
      </c>
      <c r="C2782" s="826" t="str">
        <f ca="1">_xlfn.CONCAT(IFERROR(SUBSTITUTE(ADDRESS(1,MATCH(A2782,INDIRECT("'"&amp;E2782&amp;"'"&amp;"!A" &amp; $O$2755+ 5 &amp; ":Z" &amp; $O$2755 + 5),0),4),1,""),""),$O$2755+ 6)</f>
        <v>T691</v>
      </c>
      <c r="D2782" s="826" t="s">
        <v>1350</v>
      </c>
      <c r="E2782" s="826" t="s">
        <v>1516</v>
      </c>
      <c r="F2782" s="1671" t="s">
        <v>1604</v>
      </c>
      <c r="G2782" s="1671" t="str">
        <f t="shared" ref="G2782" si="540">IF(T2782&lt;&gt;"","AP","")</f>
        <v/>
      </c>
      <c r="H2782" s="1671" t="s">
        <v>1990</v>
      </c>
      <c r="I2782" s="1274"/>
      <c r="J2782" s="1671"/>
      <c r="K2782" s="1671"/>
      <c r="L2782" s="826"/>
      <c r="M2782" s="1672"/>
      <c r="N2782" s="1671"/>
      <c r="O2782" s="603"/>
      <c r="P2782" s="603"/>
      <c r="Q2782" s="603"/>
      <c r="R2782" s="1671" t="s">
        <v>2196</v>
      </c>
      <c r="T2782" s="1730" t="str">
        <f t="shared" si="538"/>
        <v/>
      </c>
    </row>
    <row r="2783" spans="1:20" s="1669" customFormat="1" x14ac:dyDescent="0.25">
      <c r="A2783" s="847" t="s">
        <v>2135</v>
      </c>
      <c r="B2783" s="826" t="str">
        <f ca="1">_xlfn.CONCAT(IFERROR(SUBSTITUTE(ADDRESS(1,MATCH(A2783,INDIRECT("'"&amp;E2783&amp;"'"&amp;"!A" &amp; $O$2755+ 8 &amp; ":Z" &amp; $O$2755 + 8),0),4),1,""),""),$O$2755 + 8)</f>
        <v>L693</v>
      </c>
      <c r="C2783" s="826" t="str">
        <f ca="1">_xlfn.CONCAT(IFERROR(SUBSTITUTE(ADDRESS(1,MATCH(A2783,INDIRECT("'"&amp;E2783&amp;"'"&amp;"!A" &amp; $O$2755+ 8 &amp; ":Z" &amp; $O$2755 + 8),0),4),1,""),""),$O$2755 + 9)</f>
        <v>L694</v>
      </c>
      <c r="D2783" s="826" t="s">
        <v>1350</v>
      </c>
      <c r="E2783" s="826" t="s">
        <v>1516</v>
      </c>
      <c r="F2783" s="1671" t="s">
        <v>2135</v>
      </c>
      <c r="G2783" s="1671" t="str">
        <f>IF(T2783&lt;&gt;"","AZ","")</f>
        <v/>
      </c>
      <c r="H2783" s="1671" t="s">
        <v>1990</v>
      </c>
      <c r="I2783" s="1274"/>
      <c r="J2783" s="1671"/>
      <c r="K2783" s="1671"/>
      <c r="L2783" s="826" t="s">
        <v>2135</v>
      </c>
      <c r="M2783" s="1672">
        <v>1676</v>
      </c>
      <c r="N2783" s="1671"/>
      <c r="O2783" s="603"/>
      <c r="P2783" s="603"/>
      <c r="Q2783" s="603"/>
      <c r="R2783" s="1671" t="s">
        <v>2196</v>
      </c>
      <c r="T2783" s="1730" t="str">
        <f t="shared" si="538"/>
        <v/>
      </c>
    </row>
    <row r="2784" spans="1:20" s="1669" customFormat="1" x14ac:dyDescent="0.25">
      <c r="A2784" s="1673" t="s">
        <v>1491</v>
      </c>
      <c r="B2784" s="826" t="str">
        <f ca="1">IFERROR(_xlfn.CONCAT("C",MATCH(A2784,INDIRECT("'"&amp;E2784&amp;"'!C"&amp;$O$2785&amp;":C"&amp;$O$2787),0)+$O$2785-1),"")</f>
        <v>C703</v>
      </c>
      <c r="C2784" s="826" t="str">
        <f ca="1">IFERROR(_xlfn.CONCAT("D",MATCH(A2784,INDIRECT("'"&amp;E2784&amp;"'!C"&amp;$O$2785&amp;":C"&amp;$O$2787),0)+$O$2785-1),"")</f>
        <v>D703</v>
      </c>
      <c r="D2784" s="826" t="s">
        <v>1350</v>
      </c>
      <c r="E2784" s="826" t="s">
        <v>1516</v>
      </c>
      <c r="F2784" s="826" t="s">
        <v>1491</v>
      </c>
      <c r="G2784" s="1671" t="str">
        <f>IF(T2784&lt;&gt;"","A","")</f>
        <v/>
      </c>
      <c r="H2784" s="1671" t="s">
        <v>1990</v>
      </c>
      <c r="I2784" s="826"/>
      <c r="J2784" s="826"/>
      <c r="K2784" s="826"/>
      <c r="L2784" s="826" t="s">
        <v>1491</v>
      </c>
      <c r="M2784" s="1332">
        <v>1677</v>
      </c>
      <c r="N2784" s="826"/>
      <c r="O2784" s="1669" t="s">
        <v>725</v>
      </c>
      <c r="R2784" s="1671" t="s">
        <v>2197</v>
      </c>
      <c r="T2784" s="1671" t="str">
        <f>IF(Q$2785="Yes",50,"")</f>
        <v/>
      </c>
    </row>
    <row r="2785" spans="1:20" s="1669" customFormat="1" x14ac:dyDescent="0.25">
      <c r="A2785" s="1673" t="s">
        <v>1705</v>
      </c>
      <c r="B2785" s="826" t="str">
        <f ca="1">_xlfn.CONCAT(IFERROR(SUBSTITUTE(ADDRESS(1,MATCH(A2785,INDIRECT("'"&amp;E2785&amp;"'"&amp;"!A" &amp; $O$2785+ 11 &amp; ":Z" &amp; $O$2785 + 11),0),4),1,""),""),$O$2785+ 11)</f>
        <v>T710</v>
      </c>
      <c r="C2785" s="826" t="str">
        <f ca="1">_xlfn.CONCAT(IFERROR(SUBSTITUTE(ADDRESS(1,MATCH(A2785,INDIRECT("'"&amp;E2785&amp;"'"&amp;"!A" &amp; $O$2785+ 11 &amp; ":Z" &amp; $O$2785 + 11),0),4),1,""),""),$O$2785+ 12)</f>
        <v>T711</v>
      </c>
      <c r="D2785" s="826" t="s">
        <v>1350</v>
      </c>
      <c r="E2785" s="826" t="s">
        <v>1516</v>
      </c>
      <c r="F2785" s="826"/>
      <c r="G2785" s="1671"/>
      <c r="H2785" s="1671"/>
      <c r="I2785" s="826"/>
      <c r="J2785" s="826"/>
      <c r="K2785" s="826"/>
      <c r="L2785" s="826" t="s">
        <v>1705</v>
      </c>
      <c r="M2785" s="1332">
        <v>1678</v>
      </c>
      <c r="N2785" s="826"/>
      <c r="O2785" s="1669">
        <f>'Configurable Tab'!H52</f>
        <v>699</v>
      </c>
      <c r="P2785" s="18" t="str">
        <f>'Configurable Tab'!J52</f>
        <v>No</v>
      </c>
      <c r="Q2785" s="1669" t="s">
        <v>648</v>
      </c>
      <c r="R2785" s="1671" t="s">
        <v>2197</v>
      </c>
      <c r="T2785" s="1730" t="str">
        <f t="shared" ref="T2785:T2794" si="541">IF(Q$2785="Yes",50,"")</f>
        <v/>
      </c>
    </row>
    <row r="2786" spans="1:20" s="1669" customFormat="1" x14ac:dyDescent="0.25">
      <c r="A2786" s="1673" t="s">
        <v>1383</v>
      </c>
      <c r="B2786" s="826" t="str">
        <f ca="1">IFERROR(_xlfn.CONCAT("C",MATCH(A2786,INDIRECT("'"&amp;E2786&amp;"'!C"&amp;$O$2785&amp;":C"&amp;$O$2787),0)+$O$2785-1),"")</f>
        <v>C701</v>
      </c>
      <c r="C2786" s="826" t="str">
        <f ca="1">IFERROR(_xlfn.CONCAT("D",MATCH(A2786,INDIRECT("'"&amp;E2786&amp;"'!C"&amp;$O$2785&amp;":C"&amp;$O$2787),0)+$O$2785-1),"")</f>
        <v>D701</v>
      </c>
      <c r="D2786" s="826" t="s">
        <v>1350</v>
      </c>
      <c r="E2786" s="826" t="s">
        <v>1516</v>
      </c>
      <c r="F2786" s="826" t="s">
        <v>1383</v>
      </c>
      <c r="G2786" s="1671" t="str">
        <f>IF(T2786&lt;&gt;"","B","")</f>
        <v/>
      </c>
      <c r="H2786" s="1671" t="s">
        <v>1990</v>
      </c>
      <c r="I2786" s="826"/>
      <c r="J2786" s="826"/>
      <c r="K2786" s="826"/>
      <c r="L2786" s="826" t="s">
        <v>1383</v>
      </c>
      <c r="M2786" s="1332">
        <v>1679</v>
      </c>
      <c r="N2786" s="826"/>
      <c r="O2786" s="1669" t="s">
        <v>726</v>
      </c>
      <c r="R2786" s="1671" t="s">
        <v>2197</v>
      </c>
      <c r="T2786" s="1730" t="str">
        <f t="shared" si="541"/>
        <v/>
      </c>
    </row>
    <row r="2787" spans="1:20" s="1669" customFormat="1" x14ac:dyDescent="0.25">
      <c r="A2787" s="1673" t="s">
        <v>1381</v>
      </c>
      <c r="B2787" s="826" t="str">
        <f ca="1">_xlfn.CONCAT(IFERROR(SUBSTITUTE(ADDRESS(1,MATCH(A2787,INDIRECT("'"&amp;E2787&amp;"'"&amp;"!A" &amp; $O$2785+ 2 &amp; ":Z" &amp; $O$2785 + 2),0),4),1,""),""),$O$2785+ 2)</f>
        <v>J701</v>
      </c>
      <c r="C2787" s="826" t="str">
        <f ca="1">_xlfn.CONCAT(IFERROR(SUBSTITUTE(ADDRESS(1,MATCH(A2787,INDIRECT("'"&amp;E2787&amp;"'"&amp;"!A" &amp; $O$2785+ 2 &amp; ":Z" &amp; $O$2785 + 2),0),4),1,""),""),$O$2785+ 3)</f>
        <v>J702</v>
      </c>
      <c r="D2787" s="826" t="s">
        <v>1350</v>
      </c>
      <c r="E2787" s="826" t="s">
        <v>1516</v>
      </c>
      <c r="F2787" s="826" t="s">
        <v>1992</v>
      </c>
      <c r="G2787" s="1671" t="str">
        <f>IF(T2787&lt;&gt;"","I","")</f>
        <v/>
      </c>
      <c r="H2787" s="1671" t="s">
        <v>1990</v>
      </c>
      <c r="I2787" s="826"/>
      <c r="J2787" s="826"/>
      <c r="K2787" s="826"/>
      <c r="L2787" s="826" t="s">
        <v>1381</v>
      </c>
      <c r="M2787" s="1332">
        <v>1680</v>
      </c>
      <c r="N2787" s="826"/>
      <c r="O2787" s="1669">
        <f>'Configurable Tab'!I52</f>
        <v>712</v>
      </c>
      <c r="R2787" s="1671" t="s">
        <v>2197</v>
      </c>
      <c r="T2787" s="1730" t="str">
        <f t="shared" si="541"/>
        <v/>
      </c>
    </row>
    <row r="2788" spans="1:20" s="1669" customFormat="1" x14ac:dyDescent="0.25">
      <c r="A2788" s="1673" t="s">
        <v>1382</v>
      </c>
      <c r="B2788" s="826" t="str">
        <f ca="1">_xlfn.CONCAT(IFERROR(SUBSTITUTE(ADDRESS(1,MATCH(A2788,INDIRECT("'"&amp;E2788&amp;"'"&amp;"!A" &amp; $O$2785+ 2 &amp; ":Z" &amp; $O$2785 + 2),0),4),1,""),""),$O$2785+ 2)</f>
        <v>N701</v>
      </c>
      <c r="C2788" s="826" t="str">
        <f ca="1">_xlfn.CONCAT(IFERROR(SUBSTITUTE(ADDRESS(1,MATCH(A2788,INDIRECT("'"&amp;E2788&amp;"'"&amp;"!A" &amp; $O$2785+ 2 &amp; ":Z" &amp; $O$2785 + 2),0),4),1,""),""),$O$2785+ 3)</f>
        <v>N702</v>
      </c>
      <c r="D2788" s="826" t="s">
        <v>1350</v>
      </c>
      <c r="E2788" s="826" t="s">
        <v>1516</v>
      </c>
      <c r="F2788" s="826" t="s">
        <v>1382</v>
      </c>
      <c r="G2788" s="1671" t="str">
        <f>IF(T2788&lt;&gt;"",IF(Q2787="Credit Memo","J",IF(Q2787="Check","K","")),"")</f>
        <v/>
      </c>
      <c r="H2788" s="1671" t="s">
        <v>1990</v>
      </c>
      <c r="I2788" s="826"/>
      <c r="J2788" s="826"/>
      <c r="K2788" s="826"/>
      <c r="L2788" s="826" t="s">
        <v>1382</v>
      </c>
      <c r="M2788" s="1332">
        <v>1681</v>
      </c>
      <c r="N2788" s="826"/>
      <c r="O2788" s="1669" t="s">
        <v>2206</v>
      </c>
      <c r="R2788" s="1671" t="s">
        <v>2197</v>
      </c>
      <c r="T2788" s="1730" t="str">
        <f t="shared" si="541"/>
        <v/>
      </c>
    </row>
    <row r="2789" spans="1:20" s="1669" customFormat="1" x14ac:dyDescent="0.25">
      <c r="A2789" s="1673" t="s">
        <v>1385</v>
      </c>
      <c r="B2789" s="826" t="str">
        <f ca="1">IFERROR(_xlfn.CONCAT("C",MATCH(A2789,INDIRECT("'"&amp;E2789&amp;"'!C"&amp;$O$2785&amp;":C"&amp;$O$2787),0)+$O$2785-1),"")</f>
        <v>C705</v>
      </c>
      <c r="C2789" s="826" t="str">
        <f ca="1">IFERROR(_xlfn.CONCAT("D",MATCH(A2789,INDIRECT("'"&amp;E2789&amp;"'!C"&amp;$O$2785&amp;":C"&amp;$O$2787),0)+$O$2785-1),"")</f>
        <v>D705</v>
      </c>
      <c r="D2789" s="826" t="s">
        <v>1350</v>
      </c>
      <c r="E2789" s="826" t="s">
        <v>1516</v>
      </c>
      <c r="F2789" s="826" t="s">
        <v>1385</v>
      </c>
      <c r="G2789" s="1671" t="str">
        <f>IF(T2789&lt;&gt;"","C","")</f>
        <v/>
      </c>
      <c r="H2789" s="1671" t="s">
        <v>1990</v>
      </c>
      <c r="I2789" s="826"/>
      <c r="J2789" s="826"/>
      <c r="K2789" s="826"/>
      <c r="L2789" s="826" t="s">
        <v>1385</v>
      </c>
      <c r="M2789" s="1332">
        <v>1682</v>
      </c>
      <c r="N2789" s="826"/>
      <c r="R2789" s="1671" t="s">
        <v>2197</v>
      </c>
      <c r="T2789" s="1730" t="str">
        <f t="shared" si="541"/>
        <v/>
      </c>
    </row>
    <row r="2790" spans="1:20" s="1669" customFormat="1" x14ac:dyDescent="0.25">
      <c r="A2790" s="1673" t="s">
        <v>1386</v>
      </c>
      <c r="B2790" s="826" t="str">
        <f ca="1">IFERROR(_xlfn.CONCAT("C",MATCH(A2790,INDIRECT("'"&amp;E2790&amp;"'!C"&amp;$O$2785&amp;":C"&amp;$O$2787),0)+$O$2785-1),"")</f>
        <v>C707</v>
      </c>
      <c r="C2790" s="826" t="str">
        <f ca="1">IFERROR(_xlfn.CONCAT("D",MATCH(A2790,INDIRECT("'"&amp;E2790&amp;"'!C"&amp;$O$2785&amp;":C"&amp;$O$2787),0)+$O$2785-1),"")</f>
        <v>D707</v>
      </c>
      <c r="D2790" s="826" t="s">
        <v>1350</v>
      </c>
      <c r="E2790" s="826" t="s">
        <v>1516</v>
      </c>
      <c r="F2790" s="826" t="s">
        <v>1386</v>
      </c>
      <c r="G2790" s="1671" t="str">
        <f>IF(T2790&lt;&gt;"","D","")</f>
        <v/>
      </c>
      <c r="H2790" s="1671" t="s">
        <v>1990</v>
      </c>
      <c r="I2790" s="826"/>
      <c r="J2790" s="826"/>
      <c r="K2790" s="826"/>
      <c r="L2790" s="826" t="s">
        <v>1386</v>
      </c>
      <c r="M2790" s="1332">
        <v>1683</v>
      </c>
      <c r="N2790" s="826"/>
      <c r="R2790" s="1671" t="s">
        <v>2197</v>
      </c>
      <c r="T2790" s="1730" t="str">
        <f t="shared" si="541"/>
        <v/>
      </c>
    </row>
    <row r="2791" spans="1:20" s="1669" customFormat="1" x14ac:dyDescent="0.25">
      <c r="A2791" s="1673" t="s">
        <v>1396</v>
      </c>
      <c r="B2791" s="826" t="str">
        <f ca="1">_xlfn.CONCAT(IFERROR(SUBSTITUTE(ADDRESS(1,MATCH(A2791,INDIRECT("'"&amp;E2791&amp;"'"&amp;"!A" &amp; $O$2785+ 5 &amp; ":Z" &amp; $O$2785 + 5),0),4),1,""),""),$O$2785+ 5)</f>
        <v>H704</v>
      </c>
      <c r="C2791" s="826" t="str">
        <f ca="1">_xlfn.CONCAT(IFERROR(SUBSTITUTE(ADDRESS(1,MATCH(A2791,INDIRECT("'"&amp;E2791&amp;"'"&amp;"!A" &amp; $O$2785+ 5 &amp; ":Z" &amp; $O$2785 + 5),0),4),1,""),""),$O$2785+ 6)</f>
        <v>H705</v>
      </c>
      <c r="D2791" s="826" t="s">
        <v>1350</v>
      </c>
      <c r="E2791" s="826" t="s">
        <v>1516</v>
      </c>
      <c r="F2791" s="1671" t="s">
        <v>1396</v>
      </c>
      <c r="G2791" s="1671" t="str">
        <f>IF(T2791&lt;&gt;"","S","")</f>
        <v/>
      </c>
      <c r="H2791" s="1671" t="s">
        <v>1990</v>
      </c>
      <c r="I2791" s="826"/>
      <c r="J2791" s="826"/>
      <c r="K2791" s="826"/>
      <c r="L2791" s="826" t="s">
        <v>1396</v>
      </c>
      <c r="M2791" s="1332">
        <v>1684</v>
      </c>
      <c r="N2791" s="826"/>
      <c r="R2791" s="1671" t="s">
        <v>2197</v>
      </c>
      <c r="T2791" s="1730" t="str">
        <f t="shared" si="541"/>
        <v/>
      </c>
    </row>
    <row r="2792" spans="1:20" s="1669" customFormat="1" x14ac:dyDescent="0.25">
      <c r="A2792" s="1673" t="s">
        <v>2005</v>
      </c>
      <c r="B2792" s="826" t="str">
        <f ca="1">_xlfn.CONCAT(IFERROR(SUBSTITUTE(ADDRESS(1,MATCH(A2792,INDIRECT("'"&amp;E2792&amp;"'"&amp;"!A" &amp; $O$2785+ 8 &amp; ":Z" &amp; $O$2785 + 8),0),4),1,""),""),$O$2785 + 8)</f>
        <v>J707</v>
      </c>
      <c r="C2792" s="826" t="str">
        <f ca="1">_xlfn.CONCAT(IFERROR(SUBSTITUTE(ADDRESS(1,MATCH(A2792,INDIRECT("'"&amp;E2792&amp;"'"&amp;"!A" &amp; $O$2785+ 8 &amp; ":Z" &amp; $O$2785 + 8),0),4),1,""),""),$O$2785 + 9)</f>
        <v>J708</v>
      </c>
      <c r="D2792" s="826" t="s">
        <v>1350</v>
      </c>
      <c r="E2792" s="826" t="s">
        <v>1516</v>
      </c>
      <c r="F2792" s="826" t="s">
        <v>2005</v>
      </c>
      <c r="G2792" s="1671" t="str">
        <f>IF(T2792&lt;&gt;"","AQ","")</f>
        <v/>
      </c>
      <c r="H2792" s="1671" t="s">
        <v>1990</v>
      </c>
      <c r="I2792" s="826"/>
      <c r="J2792" s="826"/>
      <c r="K2792" s="826"/>
      <c r="L2792" s="826" t="s">
        <v>2005</v>
      </c>
      <c r="M2792" s="1332">
        <v>1685</v>
      </c>
      <c r="N2792" s="826"/>
      <c r="R2792" s="1671" t="s">
        <v>2197</v>
      </c>
      <c r="T2792" s="1730" t="str">
        <f t="shared" si="541"/>
        <v/>
      </c>
    </row>
    <row r="2793" spans="1:20" s="1669" customFormat="1" x14ac:dyDescent="0.25">
      <c r="A2793" s="1673" t="s">
        <v>1482</v>
      </c>
      <c r="B2793" s="826" t="str">
        <f ca="1">_xlfn.CONCAT(IFERROR(SUBSTITUTE(ADDRESS(1,MATCH(A2793,INDIRECT("'"&amp;E2793&amp;"'"&amp;"!A" &amp; $O$2785+ 8 &amp; ":Z" &amp; $O$2785 + 8),0),4),1,""),""),$O$2785 + 8)</f>
        <v>N707</v>
      </c>
      <c r="C2793" s="826" t="str">
        <f ca="1">_xlfn.CONCAT(IFERROR(SUBSTITUTE(ADDRESS(1,MATCH(A2793,INDIRECT("'"&amp;E2793&amp;"'"&amp;"!A" &amp; $O$2785+ 8 &amp; ":Z" &amp; $O$2785 + 8),0),4),1,""),""),$O$2785 + 9)</f>
        <v>N708</v>
      </c>
      <c r="D2793" s="826" t="s">
        <v>1350</v>
      </c>
      <c r="E2793" s="826" t="s">
        <v>1516</v>
      </c>
      <c r="F2793" s="826" t="s">
        <v>2054</v>
      </c>
      <c r="G2793" s="1671" t="str">
        <f>IF(T2793&lt;&gt;"","AA","")</f>
        <v/>
      </c>
      <c r="H2793" s="1671" t="s">
        <v>1990</v>
      </c>
      <c r="I2793" s="826"/>
      <c r="J2793" s="826"/>
      <c r="K2793" s="826"/>
      <c r="L2793" s="826" t="s">
        <v>2006</v>
      </c>
      <c r="M2793" s="1332">
        <v>1686</v>
      </c>
      <c r="N2793" s="826"/>
      <c r="R2793" s="1671" t="s">
        <v>2197</v>
      </c>
      <c r="T2793" s="1730" t="str">
        <f t="shared" si="541"/>
        <v/>
      </c>
    </row>
    <row r="2794" spans="1:20" s="1669" customFormat="1" x14ac:dyDescent="0.25">
      <c r="A2794" s="1673" t="s">
        <v>1397</v>
      </c>
      <c r="B2794" s="826" t="str">
        <f ca="1">_xlfn.CONCAT(IFERROR(SUBSTITUTE(ADDRESS(1,MATCH(A2794,INDIRECT("'"&amp;E2794&amp;"'"&amp;"!A" &amp; $O$2785+ 2 &amp; ":Z" &amp; $O$2785 + 2),0),4),1,""),""),$O$2785 + 2)</f>
        <v>L701</v>
      </c>
      <c r="C2794" s="826" t="str">
        <f ca="1">_xlfn.CONCAT(IFERROR(SUBSTITUTE(ADDRESS(1,MATCH(A2794,INDIRECT("'"&amp;E2794&amp;"'"&amp;"!A" &amp; $O$2785+ 2 &amp; ":Z" &amp; $O$2785 + 2),0),4),1,""),""),$O$2785 + 3)</f>
        <v>L702</v>
      </c>
      <c r="D2794" s="826" t="s">
        <v>1350</v>
      </c>
      <c r="E2794" s="826" t="s">
        <v>1516</v>
      </c>
      <c r="F2794" s="826" t="s">
        <v>1993</v>
      </c>
      <c r="G2794" s="1671" t="str">
        <f>IF(T2794&lt;&gt;"","H","")</f>
        <v/>
      </c>
      <c r="H2794" s="1671" t="s">
        <v>1990</v>
      </c>
      <c r="I2794" s="826"/>
      <c r="J2794" s="826"/>
      <c r="K2794" s="826"/>
      <c r="L2794" s="826" t="s">
        <v>1397</v>
      </c>
      <c r="M2794" s="1332">
        <v>1687</v>
      </c>
      <c r="N2794" s="826"/>
      <c r="R2794" s="1671" t="s">
        <v>2197</v>
      </c>
      <c r="T2794" s="1730" t="str">
        <f t="shared" si="541"/>
        <v/>
      </c>
    </row>
    <row r="2795" spans="1:20" s="1669" customFormat="1" x14ac:dyDescent="0.25">
      <c r="A2795" s="1673" t="s">
        <v>1705</v>
      </c>
      <c r="B2795" s="1274" t="str">
        <f>IFERROR(_xlfn.CONCAT("D",('Configurable Tab'!$C$37+1)),"")</f>
        <v>D380</v>
      </c>
      <c r="C2795" s="1274" t="str">
        <f>IFERROR(_xlfn.CONCAT("E",('Configurable Tab'!$C$37+1)),"")</f>
        <v>E380</v>
      </c>
      <c r="D2795" s="826" t="s">
        <v>1350</v>
      </c>
      <c r="E2795" s="826" t="s">
        <v>1742</v>
      </c>
      <c r="F2795" s="1671"/>
      <c r="G2795" s="1671"/>
      <c r="H2795" s="1671"/>
      <c r="I2795" s="1274" t="str">
        <f t="shared" ref="I2795:I2805" si="542">IF(J2795&lt;&gt;"",A2795,"")</f>
        <v/>
      </c>
      <c r="J2795" s="1671" t="str">
        <f t="shared" ref="J2795:J2804" si="543">IFERROR(IF($Q$2785="Yes",Q$1&amp;M2785,""),"")</f>
        <v/>
      </c>
      <c r="K2795" s="1671" t="str">
        <f t="shared" ref="K2795:K2805" si="544">IF(J2795&lt;&gt;"",E2795,"")</f>
        <v/>
      </c>
      <c r="M2795" s="1670"/>
      <c r="Q2795" s="1274" t="str">
        <f>IFERROR(_xlfn.CONCAT("C",('Configurable Tab'!$C37+1)),"")</f>
        <v>C380</v>
      </c>
      <c r="R2795" s="1671" t="s">
        <v>2197</v>
      </c>
    </row>
    <row r="2796" spans="1:20" s="1669" customFormat="1" x14ac:dyDescent="0.25">
      <c r="A2796" s="1673" t="s">
        <v>1383</v>
      </c>
      <c r="B2796" s="1274" t="str">
        <f>IFERROR(_xlfn.CONCAT("D",('Configurable Tab'!$C$37+2)),"")</f>
        <v>D381</v>
      </c>
      <c r="C2796" s="1274" t="str">
        <f>IFERROR(_xlfn.CONCAT("E",('Configurable Tab'!$C$37+2)),"")</f>
        <v>E381</v>
      </c>
      <c r="D2796" s="826" t="s">
        <v>1350</v>
      </c>
      <c r="E2796" s="826" t="s">
        <v>1742</v>
      </c>
      <c r="F2796" s="1671"/>
      <c r="G2796" s="1671"/>
      <c r="H2796" s="1671"/>
      <c r="I2796" s="1274" t="str">
        <f t="shared" si="542"/>
        <v/>
      </c>
      <c r="J2796" s="1671" t="str">
        <f t="shared" si="543"/>
        <v/>
      </c>
      <c r="K2796" s="1671" t="str">
        <f t="shared" si="544"/>
        <v/>
      </c>
      <c r="M2796" s="1670"/>
      <c r="R2796" s="1671" t="s">
        <v>2197</v>
      </c>
    </row>
    <row r="2797" spans="1:20" s="1669" customFormat="1" x14ac:dyDescent="0.25">
      <c r="A2797" s="1673" t="s">
        <v>1381</v>
      </c>
      <c r="B2797" s="1274" t="str">
        <f>IFERROR(_xlfn.CONCAT("I",('Configurable Tab'!$C$37+1)),"")</f>
        <v>I380</v>
      </c>
      <c r="C2797" s="1274" t="str">
        <f>IFERROR(_xlfn.CONCAT("I",('Configurable Tab'!$C$37+2)),"")</f>
        <v>I381</v>
      </c>
      <c r="D2797" s="826" t="s">
        <v>1350</v>
      </c>
      <c r="E2797" s="826" t="s">
        <v>1742</v>
      </c>
      <c r="F2797" s="1671"/>
      <c r="G2797" s="1671"/>
      <c r="H2797" s="1671"/>
      <c r="I2797" s="1274" t="str">
        <f t="shared" si="542"/>
        <v/>
      </c>
      <c r="J2797" s="1671" t="str">
        <f t="shared" si="543"/>
        <v/>
      </c>
      <c r="K2797" s="1671" t="str">
        <f t="shared" si="544"/>
        <v/>
      </c>
      <c r="M2797" s="1670"/>
      <c r="R2797" s="1671" t="s">
        <v>2197</v>
      </c>
    </row>
    <row r="2798" spans="1:20" s="1669" customFormat="1" x14ac:dyDescent="0.25">
      <c r="A2798" s="1673" t="s">
        <v>1382</v>
      </c>
      <c r="B2798" s="1274" t="str">
        <f>IFERROR(_xlfn.CONCAT("M",('Configurable Tab'!$C$37+1)),"")</f>
        <v>M380</v>
      </c>
      <c r="C2798" s="1274" t="str">
        <f>IFERROR(_xlfn.CONCAT("M",('Configurable Tab'!$C$37+2)),"")</f>
        <v>M381</v>
      </c>
      <c r="D2798" s="826" t="s">
        <v>1350</v>
      </c>
      <c r="E2798" s="826" t="s">
        <v>1742</v>
      </c>
      <c r="F2798" s="1671"/>
      <c r="G2798" s="1671"/>
      <c r="H2798" s="1671"/>
      <c r="I2798" s="1274" t="str">
        <f t="shared" si="542"/>
        <v/>
      </c>
      <c r="J2798" s="1671" t="str">
        <f t="shared" si="543"/>
        <v/>
      </c>
      <c r="K2798" s="1671" t="str">
        <f t="shared" si="544"/>
        <v/>
      </c>
      <c r="M2798" s="1670"/>
      <c r="R2798" s="1671" t="s">
        <v>2197</v>
      </c>
    </row>
    <row r="2799" spans="1:20" s="1669" customFormat="1" x14ac:dyDescent="0.25">
      <c r="A2799" s="1673" t="s">
        <v>1385</v>
      </c>
      <c r="B2799" s="1274" t="str">
        <f>IFERROR(_xlfn.CONCAT("D",('Configurable Tab'!$C$37+4)),"")</f>
        <v>D383</v>
      </c>
      <c r="C2799" s="1274" t="str">
        <f>IFERROR(_xlfn.CONCAT("E",('Configurable Tab'!$C$37+4)),"")</f>
        <v>E383</v>
      </c>
      <c r="D2799" s="826" t="s">
        <v>1350</v>
      </c>
      <c r="E2799" s="826" t="s">
        <v>1742</v>
      </c>
      <c r="F2799" s="1671"/>
      <c r="G2799" s="1671"/>
      <c r="H2799" s="1671"/>
      <c r="I2799" s="1274" t="str">
        <f t="shared" si="542"/>
        <v/>
      </c>
      <c r="J2799" s="1671" t="str">
        <f t="shared" si="543"/>
        <v/>
      </c>
      <c r="K2799" s="1671" t="str">
        <f t="shared" si="544"/>
        <v/>
      </c>
      <c r="M2799" s="1670"/>
      <c r="R2799" s="1671" t="s">
        <v>2197</v>
      </c>
    </row>
    <row r="2800" spans="1:20" s="1669" customFormat="1" x14ac:dyDescent="0.25">
      <c r="A2800" s="1673" t="s">
        <v>1386</v>
      </c>
      <c r="B2800" s="1274" t="str">
        <f>IFERROR(_xlfn.CONCAT("D",('Configurable Tab'!$C$37+5)),"")</f>
        <v>D384</v>
      </c>
      <c r="C2800" s="1274" t="str">
        <f>IFERROR(_xlfn.CONCAT("E",('Configurable Tab'!$C$37+5)),"")</f>
        <v>E384</v>
      </c>
      <c r="D2800" s="826" t="s">
        <v>1350</v>
      </c>
      <c r="E2800" s="826" t="s">
        <v>1742</v>
      </c>
      <c r="F2800" s="1671"/>
      <c r="G2800" s="1671"/>
      <c r="H2800" s="1671"/>
      <c r="I2800" s="1274" t="str">
        <f t="shared" si="542"/>
        <v/>
      </c>
      <c r="J2800" s="1671" t="str">
        <f t="shared" si="543"/>
        <v/>
      </c>
      <c r="K2800" s="1671" t="str">
        <f t="shared" si="544"/>
        <v/>
      </c>
      <c r="M2800" s="1670"/>
      <c r="R2800" s="1671" t="s">
        <v>2197</v>
      </c>
    </row>
    <row r="2801" spans="1:20" s="1669" customFormat="1" x14ac:dyDescent="0.25">
      <c r="A2801" s="1673" t="s">
        <v>1396</v>
      </c>
      <c r="B2801" s="1274" t="str">
        <f>IFERROR(_xlfn.CONCAT("G",('Configurable Tab'!$C$37+4)),"")</f>
        <v>G383</v>
      </c>
      <c r="C2801" s="1274" t="str">
        <f>IFERROR(_xlfn.CONCAT("G",('Configurable Tab'!$C$37+5)),"")</f>
        <v>G384</v>
      </c>
      <c r="D2801" s="826" t="s">
        <v>1350</v>
      </c>
      <c r="E2801" s="826" t="s">
        <v>1742</v>
      </c>
      <c r="F2801" s="1671"/>
      <c r="G2801" s="1671"/>
      <c r="H2801" s="1671"/>
      <c r="I2801" s="1274" t="str">
        <f t="shared" si="542"/>
        <v/>
      </c>
      <c r="J2801" s="1671" t="str">
        <f t="shared" si="543"/>
        <v/>
      </c>
      <c r="K2801" s="1671" t="str">
        <f t="shared" si="544"/>
        <v/>
      </c>
      <c r="M2801" s="1670"/>
      <c r="R2801" s="1671" t="s">
        <v>2197</v>
      </c>
    </row>
    <row r="2802" spans="1:20" s="1669" customFormat="1" x14ac:dyDescent="0.25">
      <c r="A2802" s="1673" t="s">
        <v>2005</v>
      </c>
      <c r="B2802" s="1274" t="str">
        <f>IFERROR(_xlfn.CONCAT("G",('Configurable Tab'!$C$37+7)),"")</f>
        <v>G386</v>
      </c>
      <c r="C2802" s="1274" t="str">
        <f>IFERROR(_xlfn.CONCAT("G",('Configurable Tab'!$C$37+8)),"")</f>
        <v>G387</v>
      </c>
      <c r="D2802" s="826" t="s">
        <v>1350</v>
      </c>
      <c r="E2802" s="826" t="s">
        <v>1742</v>
      </c>
      <c r="F2802" s="1671"/>
      <c r="G2802" s="1671"/>
      <c r="H2802" s="1671"/>
      <c r="I2802" s="1274" t="str">
        <f t="shared" si="542"/>
        <v/>
      </c>
      <c r="J2802" s="1671" t="str">
        <f t="shared" si="543"/>
        <v/>
      </c>
      <c r="K2802" s="1671" t="str">
        <f t="shared" si="544"/>
        <v/>
      </c>
      <c r="M2802" s="1670"/>
      <c r="R2802" s="1671" t="s">
        <v>2197</v>
      </c>
    </row>
    <row r="2803" spans="1:20" s="1669" customFormat="1" x14ac:dyDescent="0.25">
      <c r="A2803" s="1673" t="s">
        <v>1482</v>
      </c>
      <c r="B2803" s="1274" t="str">
        <f>IFERROR(_xlfn.CONCAT("K",('Configurable Tab'!$C$37+7)),"")</f>
        <v>K386</v>
      </c>
      <c r="C2803" s="1274" t="str">
        <f>IFERROR(_xlfn.CONCAT("K",('Configurable Tab'!$C$37+8)),"")</f>
        <v>K387</v>
      </c>
      <c r="D2803" s="826" t="s">
        <v>1350</v>
      </c>
      <c r="E2803" s="826" t="s">
        <v>1742</v>
      </c>
      <c r="F2803" s="1671"/>
      <c r="G2803" s="1671"/>
      <c r="H2803" s="1671"/>
      <c r="I2803" s="1274" t="str">
        <f t="shared" si="542"/>
        <v/>
      </c>
      <c r="J2803" s="1671" t="str">
        <f t="shared" si="543"/>
        <v/>
      </c>
      <c r="K2803" s="1671" t="str">
        <f t="shared" si="544"/>
        <v/>
      </c>
      <c r="M2803" s="1670"/>
      <c r="R2803" s="1671" t="s">
        <v>2197</v>
      </c>
    </row>
    <row r="2804" spans="1:20" s="1669" customFormat="1" x14ac:dyDescent="0.25">
      <c r="A2804" s="1673" t="s">
        <v>1397</v>
      </c>
      <c r="B2804" s="1274" t="str">
        <f>IFERROR(_xlfn.CONCAT("K",('Configurable Tab'!$C$37+1)),"")</f>
        <v>K380</v>
      </c>
      <c r="C2804" s="1274" t="str">
        <f>IFERROR(_xlfn.CONCAT("K",('Configurable Tab'!$C$37+2)),"")</f>
        <v>K381</v>
      </c>
      <c r="D2804" s="826" t="s">
        <v>1350</v>
      </c>
      <c r="E2804" s="826" t="s">
        <v>1742</v>
      </c>
      <c r="F2804" s="1671"/>
      <c r="G2804" s="1671"/>
      <c r="H2804" s="1671"/>
      <c r="I2804" s="1274" t="str">
        <f t="shared" si="542"/>
        <v/>
      </c>
      <c r="J2804" s="1671" t="str">
        <f t="shared" si="543"/>
        <v/>
      </c>
      <c r="K2804" s="1671" t="str">
        <f t="shared" si="544"/>
        <v/>
      </c>
      <c r="M2804" s="1670"/>
      <c r="R2804" s="1671" t="s">
        <v>2197</v>
      </c>
    </row>
    <row r="2805" spans="1:20" s="1669" customFormat="1" x14ac:dyDescent="0.25">
      <c r="A2805" s="1673" t="s">
        <v>1496</v>
      </c>
      <c r="B2805" s="826" t="str">
        <f ca="1">IFERROR(_xlfn.CONCAT("C",MATCH(A2805,INDIRECT("'"&amp;E2805&amp;"'!C"&amp;$O$2785&amp;":C"&amp;$O$2787),0)+$O$2785-1),"")</f>
        <v>C711</v>
      </c>
      <c r="C2805" s="826" t="str">
        <f ca="1">IFERROR(_xlfn.CONCAT("D",MATCH(A2805,INDIRECT("'"&amp;E2805&amp;"'!C"&amp;$O$2785&amp;":C"&amp;$O$2787),0)+$O$2785-1),"")</f>
        <v>D711</v>
      </c>
      <c r="D2805" s="826" t="s">
        <v>1350</v>
      </c>
      <c r="E2805" s="826" t="s">
        <v>1516</v>
      </c>
      <c r="F2805" s="1671" t="s">
        <v>1496</v>
      </c>
      <c r="G2805" s="1671" t="str">
        <f t="shared" ref="G2805" si="545">IF(T2805&lt;&gt;"","AS","")</f>
        <v/>
      </c>
      <c r="H2805" s="1671" t="s">
        <v>1990</v>
      </c>
      <c r="I2805" s="1274" t="str">
        <f t="shared" si="542"/>
        <v/>
      </c>
      <c r="J2805" s="1671"/>
      <c r="K2805" s="1671" t="str">
        <f t="shared" si="544"/>
        <v/>
      </c>
      <c r="L2805" s="826"/>
      <c r="M2805" s="1672"/>
      <c r="N2805" s="1671"/>
      <c r="R2805" s="1671" t="s">
        <v>2197</v>
      </c>
      <c r="T2805" s="1671" t="str">
        <f>IF(Q$2785="Yes",50,"")</f>
        <v/>
      </c>
    </row>
    <row r="2806" spans="1:20" s="1669" customFormat="1" x14ac:dyDescent="0.25">
      <c r="A2806" s="1674" t="s">
        <v>1495</v>
      </c>
      <c r="B2806" s="826" t="str">
        <f ca="1">IFERROR(_xlfn.CONCAT("C",MATCH(A2806,INDIRECT("'"&amp;E2806&amp;"'!C"&amp;$O$2785&amp;":C"&amp;$O$2787),0)+$O$2785-1),"")</f>
        <v>C709</v>
      </c>
      <c r="C2806" s="826" t="str">
        <f ca="1">IFERROR(_xlfn.CONCAT("D",MATCH(A2806,INDIRECT("'"&amp;E2806&amp;"'!C"&amp;$O$2785&amp;":C"&amp;$O$2787),0)+$O$2785-1),"")</f>
        <v>D709</v>
      </c>
      <c r="D2806" s="826" t="s">
        <v>1350</v>
      </c>
      <c r="E2806" s="826" t="s">
        <v>1516</v>
      </c>
      <c r="F2806" s="1671" t="s">
        <v>1495</v>
      </c>
      <c r="G2806" s="1671" t="str">
        <f>IF(T2806&lt;&gt;"","AN","")</f>
        <v/>
      </c>
      <c r="H2806" s="1671" t="s">
        <v>1990</v>
      </c>
      <c r="I2806" s="1274"/>
      <c r="J2806" s="1671"/>
      <c r="K2806" s="1671"/>
      <c r="L2806" s="826"/>
      <c r="M2806" s="1672"/>
      <c r="N2806" s="1671"/>
      <c r="O2806" s="1561"/>
      <c r="P2806" s="603"/>
      <c r="Q2806" s="603"/>
      <c r="R2806" s="1671" t="s">
        <v>2197</v>
      </c>
      <c r="T2806" s="1730" t="str">
        <f t="shared" ref="T2806:T2813" si="546">IF(Q$2785="Yes",50,"")</f>
        <v/>
      </c>
    </row>
    <row r="2807" spans="1:20" s="1669" customFormat="1" x14ac:dyDescent="0.25">
      <c r="A2807" s="1674" t="s">
        <v>1492</v>
      </c>
      <c r="B2807" s="826" t="str">
        <f ca="1">_xlfn.CONCAT(IFERROR(SUBSTITUTE(ADDRESS(1,MATCH(A2807,INDIRECT("'"&amp;E2807&amp;"'"&amp;"!A" &amp; $O$2785+ 8 &amp; ":Z" &amp; $O$2785 + 8),0),4),1,""),""),$O$2785 + 8)</f>
        <v>H707</v>
      </c>
      <c r="C2807" s="826" t="str">
        <f ca="1">_xlfn.CONCAT(IFERROR(SUBSTITUTE(ADDRESS(1,MATCH(A2807,INDIRECT("'"&amp;E2807&amp;"'"&amp;"!A" &amp; $O$2785+ 8 &amp; ":Z" &amp; $O$2785 + 8),0),4),1,""),""),$O$2785 + 9)</f>
        <v>H708</v>
      </c>
      <c r="D2807" s="826" t="s">
        <v>1350</v>
      </c>
      <c r="E2807" s="826" t="s">
        <v>1516</v>
      </c>
      <c r="F2807" s="1671" t="s">
        <v>1492</v>
      </c>
      <c r="G2807" s="1671" t="str">
        <f>IF(T2807&lt;&gt;"","AL","")</f>
        <v/>
      </c>
      <c r="H2807" s="1671" t="s">
        <v>1990</v>
      </c>
      <c r="I2807" s="1274"/>
      <c r="J2807" s="1671"/>
      <c r="K2807" s="1671"/>
      <c r="L2807" s="826"/>
      <c r="M2807" s="1672"/>
      <c r="N2807" s="1671"/>
      <c r="O2807" s="603"/>
      <c r="P2807" s="603"/>
      <c r="Q2807" s="603"/>
      <c r="R2807" s="1671" t="s">
        <v>2197</v>
      </c>
      <c r="T2807" s="1730" t="str">
        <f t="shared" si="546"/>
        <v/>
      </c>
    </row>
    <row r="2808" spans="1:20" s="1669" customFormat="1" x14ac:dyDescent="0.25">
      <c r="A2808" s="1674" t="s">
        <v>1380</v>
      </c>
      <c r="B2808" s="826" t="str">
        <f ca="1">_xlfn.CONCAT(IFERROR(SUBSTITUTE(ADDRESS(1,MATCH(A2808,INDIRECT("'"&amp;E2808&amp;"'"&amp;"!A" &amp; $O$2785+ 2 &amp; ":Z" &amp; $O$2785 + 2),0),4),1,""),""),$O$2785+ 2)</f>
        <v>H701</v>
      </c>
      <c r="C2808" s="826" t="str">
        <f ca="1">_xlfn.CONCAT(IFERROR(SUBSTITUTE(ADDRESS(1,MATCH(A2808,INDIRECT("'"&amp;E2808&amp;"'"&amp;"!A" &amp; $O$2785+ 2 &amp; ":Z" &amp; $O$2785 + 2),0),4),1,""),""),$O$2785+ 3)</f>
        <v>H702</v>
      </c>
      <c r="D2808" s="826" t="s">
        <v>1350</v>
      </c>
      <c r="E2808" s="826" t="s">
        <v>1516</v>
      </c>
      <c r="F2808" s="1671" t="s">
        <v>1991</v>
      </c>
      <c r="G2808" s="1671" t="str">
        <f>IF(T2808&lt;&gt;"","E","")</f>
        <v/>
      </c>
      <c r="H2808" s="1671" t="s">
        <v>1990</v>
      </c>
      <c r="I2808" s="1274"/>
      <c r="J2808" s="1671"/>
      <c r="K2808" s="1671"/>
      <c r="L2808" s="826"/>
      <c r="M2808" s="1672"/>
      <c r="N2808" s="1671"/>
      <c r="O2808" s="603"/>
      <c r="P2808" s="603"/>
      <c r="Q2808" s="603"/>
      <c r="R2808" s="1671" t="s">
        <v>2197</v>
      </c>
      <c r="T2808" s="1730" t="str">
        <f t="shared" si="546"/>
        <v/>
      </c>
    </row>
    <row r="2809" spans="1:20" s="1669" customFormat="1" x14ac:dyDescent="0.25">
      <c r="A2809" s="1674" t="s">
        <v>1487</v>
      </c>
      <c r="B2809" s="826" t="str">
        <f ca="1">_xlfn.CONCAT(IFERROR(SUBSTITUTE(ADDRESS(1,MATCH(A2809,INDIRECT("'"&amp;E2809&amp;"'"&amp;"!A" &amp; $O$2785+ 2 &amp; ":Z" &amp; $O$2785 + 2),0),4),1,""),""),$O$2785+ 2)</f>
        <v>R701</v>
      </c>
      <c r="C2809" s="826" t="str">
        <f ca="1">_xlfn.CONCAT(IFERROR(SUBSTITUTE(ADDRESS(1,MATCH(A2809,INDIRECT("'"&amp;E2809&amp;"'"&amp;"!A" &amp; $O$2785+ 2 &amp; ":Z" &amp; $O$2785 + 2),0),4),1,""),""),$O$2785+ 3)</f>
        <v>R702</v>
      </c>
      <c r="D2809" s="826" t="s">
        <v>1350</v>
      </c>
      <c r="E2809" s="826" t="s">
        <v>1516</v>
      </c>
      <c r="F2809" s="1671" t="s">
        <v>1995</v>
      </c>
      <c r="G2809" s="1671" t="str">
        <f>IF(T2809&lt;&gt;"","G","")</f>
        <v/>
      </c>
      <c r="H2809" s="1671" t="s">
        <v>1990</v>
      </c>
      <c r="I2809" s="1274"/>
      <c r="J2809" s="1671"/>
      <c r="K2809" s="1671"/>
      <c r="L2809" s="826"/>
      <c r="M2809" s="1672"/>
      <c r="N2809" s="1671"/>
      <c r="O2809" s="603"/>
      <c r="P2809" s="603"/>
      <c r="Q2809" s="603"/>
      <c r="R2809" s="1671" t="s">
        <v>2197</v>
      </c>
      <c r="T2809" s="1730" t="str">
        <f t="shared" si="546"/>
        <v/>
      </c>
    </row>
    <row r="2810" spans="1:20" s="1669" customFormat="1" x14ac:dyDescent="0.25">
      <c r="A2810" s="1674" t="s">
        <v>1488</v>
      </c>
      <c r="B2810" s="826" t="str">
        <f ca="1">_xlfn.CONCAT(IFERROR(SUBSTITUTE(ADDRESS(1,MATCH(A2810,INDIRECT("'"&amp;E2810&amp;"'"&amp;"!A" &amp; $O$2785+ 2 &amp; ":Z" &amp; $O$2785 + 2),0),4),1,""),""),$O$2785+ 2)</f>
        <v>T701</v>
      </c>
      <c r="C2810" s="826" t="str">
        <f ca="1">_xlfn.CONCAT(IFERROR(SUBSTITUTE(ADDRESS(1,MATCH(A2810,INDIRECT("'"&amp;E2810&amp;"'"&amp;"!A" &amp; $O$2785+ 2 &amp; ":Z" &amp; $O$2785 + 2),0),4),1,""),""),$O$2785+ 3)</f>
        <v>T702</v>
      </c>
      <c r="D2810" s="826" t="s">
        <v>1350</v>
      </c>
      <c r="E2810" s="826" t="s">
        <v>1516</v>
      </c>
      <c r="F2810" s="841" t="s">
        <v>1488</v>
      </c>
      <c r="G2810" s="1671" t="str">
        <f>IF(T2810&lt;&gt;"","AW","")</f>
        <v/>
      </c>
      <c r="H2810" s="1671" t="s">
        <v>1990</v>
      </c>
      <c r="I2810" s="1274"/>
      <c r="J2810" s="1671"/>
      <c r="K2810" s="1671"/>
      <c r="L2810" s="826"/>
      <c r="M2810" s="1672"/>
      <c r="N2810" s="1671"/>
      <c r="O2810" s="603"/>
      <c r="P2810" s="603"/>
      <c r="Q2810" s="603"/>
      <c r="R2810" s="1671" t="s">
        <v>2197</v>
      </c>
      <c r="T2810" s="1730" t="str">
        <f t="shared" si="546"/>
        <v/>
      </c>
    </row>
    <row r="2811" spans="1:20" s="1669" customFormat="1" x14ac:dyDescent="0.25">
      <c r="A2811" s="1674" t="s">
        <v>1603</v>
      </c>
      <c r="B2811" s="826" t="str">
        <f ca="1">_xlfn.CONCAT(IFERROR(SUBSTITUTE(ADDRESS(1,MATCH(A2811,INDIRECT("'"&amp;E2811&amp;"'"&amp;"!A" &amp; $O$2785+ 5 &amp; ":Z" &amp; $O$2785 + 5),0),4),1,""),""),$O$2785+ 5)</f>
        <v>R704</v>
      </c>
      <c r="C2811" s="826" t="str">
        <f ca="1">_xlfn.CONCAT(IFERROR(SUBSTITUTE(ADDRESS(1,MATCH(A2811,INDIRECT("'"&amp;E2811&amp;"'"&amp;"!A" &amp; $O$2785+ 5 &amp; ":Z" &amp; $O$2785 + 5),0),4),1,""),""),$O$2785+ 6)</f>
        <v>R705</v>
      </c>
      <c r="D2811" s="826" t="s">
        <v>1350</v>
      </c>
      <c r="E2811" s="826" t="s">
        <v>1516</v>
      </c>
      <c r="F2811" s="1671" t="s">
        <v>1999</v>
      </c>
      <c r="G2811" s="1671" t="str">
        <f t="shared" ref="G2811" si="547">IF(T2811&lt;&gt;"","AB","")</f>
        <v/>
      </c>
      <c r="H2811" s="1671" t="s">
        <v>1990</v>
      </c>
      <c r="I2811" s="1274"/>
      <c r="J2811" s="1671"/>
      <c r="K2811" s="1671"/>
      <c r="L2811" s="826"/>
      <c r="M2811" s="1672"/>
      <c r="N2811" s="1671"/>
      <c r="O2811" s="603"/>
      <c r="P2811" s="603"/>
      <c r="Q2811" s="603"/>
      <c r="R2811" s="1671" t="s">
        <v>2197</v>
      </c>
      <c r="T2811" s="1730" t="str">
        <f t="shared" si="546"/>
        <v/>
      </c>
    </row>
    <row r="2812" spans="1:20" s="1669" customFormat="1" x14ac:dyDescent="0.25">
      <c r="A2812" s="1674" t="s">
        <v>1604</v>
      </c>
      <c r="B2812" s="826" t="str">
        <f ca="1">_xlfn.CONCAT(IFERROR(SUBSTITUTE(ADDRESS(1,MATCH(A2812,INDIRECT("'"&amp;E2812&amp;"'"&amp;"!A" &amp; $O$2785+ 5 &amp; ":Z" &amp; $O$2785 + 5),0),4),1,""),""),$O$2785+ 5)</f>
        <v>T704</v>
      </c>
      <c r="C2812" s="826" t="str">
        <f ca="1">_xlfn.CONCAT(IFERROR(SUBSTITUTE(ADDRESS(1,MATCH(A2812,INDIRECT("'"&amp;E2812&amp;"'"&amp;"!A" &amp; $O$2785+ 5 &amp; ":Z" &amp; $O$2785 + 5),0),4),1,""),""),$O$2785+ 6)</f>
        <v>T705</v>
      </c>
      <c r="D2812" s="826" t="s">
        <v>1350</v>
      </c>
      <c r="E2812" s="826" t="s">
        <v>1516</v>
      </c>
      <c r="F2812" s="1671" t="s">
        <v>1604</v>
      </c>
      <c r="G2812" s="1671" t="str">
        <f t="shared" ref="G2812" si="548">IF(T2812&lt;&gt;"","AP","")</f>
        <v/>
      </c>
      <c r="H2812" s="1671" t="s">
        <v>1990</v>
      </c>
      <c r="I2812" s="1274"/>
      <c r="J2812" s="1671"/>
      <c r="K2812" s="1671"/>
      <c r="L2812" s="826"/>
      <c r="M2812" s="1672"/>
      <c r="N2812" s="1671"/>
      <c r="O2812" s="603"/>
      <c r="P2812" s="603"/>
      <c r="Q2812" s="603"/>
      <c r="R2812" s="1671" t="s">
        <v>2197</v>
      </c>
      <c r="T2812" s="1730" t="str">
        <f t="shared" si="546"/>
        <v/>
      </c>
    </row>
    <row r="2813" spans="1:20" s="1669" customFormat="1" x14ac:dyDescent="0.25">
      <c r="A2813" s="1674" t="s">
        <v>2135</v>
      </c>
      <c r="B2813" s="826" t="str">
        <f ca="1">_xlfn.CONCAT(IFERROR(SUBSTITUTE(ADDRESS(1,MATCH(A2813,INDIRECT("'"&amp;E2813&amp;"'"&amp;"!A" &amp; $O$2785+ 8 &amp; ":Z" &amp; $O$2785 + 8),0),4),1,""),""),$O$2785 + 8)</f>
        <v>L707</v>
      </c>
      <c r="C2813" s="826" t="str">
        <f ca="1">_xlfn.CONCAT(IFERROR(SUBSTITUTE(ADDRESS(1,MATCH(A2813,INDIRECT("'"&amp;E2813&amp;"'"&amp;"!A" &amp; $O$2785+ 8 &amp; ":Z" &amp; $O$2785 + 8),0),4),1,""),""),$O$2785 + 9)</f>
        <v>L708</v>
      </c>
      <c r="D2813" s="826" t="s">
        <v>1350</v>
      </c>
      <c r="E2813" s="826" t="s">
        <v>1516</v>
      </c>
      <c r="F2813" s="1671" t="s">
        <v>2135</v>
      </c>
      <c r="G2813" s="1671" t="str">
        <f>IF(T2813&lt;&gt;"","AZ","")</f>
        <v/>
      </c>
      <c r="H2813" s="1671" t="s">
        <v>1990</v>
      </c>
      <c r="I2813" s="1274"/>
      <c r="J2813" s="1671"/>
      <c r="K2813" s="1671"/>
      <c r="L2813" s="826" t="s">
        <v>2135</v>
      </c>
      <c r="M2813" s="1672">
        <v>1688</v>
      </c>
      <c r="N2813" s="1671"/>
      <c r="O2813" s="603"/>
      <c r="P2813" s="603"/>
      <c r="Q2813" s="603"/>
      <c r="R2813" s="1671" t="s">
        <v>2197</v>
      </c>
      <c r="T2813" s="1730" t="str">
        <f t="shared" si="546"/>
        <v/>
      </c>
    </row>
    <row r="2814" spans="1:20" s="1669" customFormat="1" x14ac:dyDescent="0.25">
      <c r="A2814" s="846" t="s">
        <v>1491</v>
      </c>
      <c r="B2814" s="826" t="str">
        <f ca="1">IFERROR(_xlfn.CONCAT("C",MATCH(A2814,INDIRECT("'"&amp;E2814&amp;"'!C"&amp;$O$2815&amp;":C"&amp;$O$2817),0)+$O$2815-1),"")</f>
        <v>C717</v>
      </c>
      <c r="C2814" s="826" t="str">
        <f ca="1">IFERROR(_xlfn.CONCAT("D",MATCH(A2814,INDIRECT("'"&amp;E2814&amp;"'!C"&amp;$O$2815&amp;":C"&amp;$O$2817),0)+$O$2815-1),"")</f>
        <v>D717</v>
      </c>
      <c r="D2814" s="826" t="s">
        <v>1350</v>
      </c>
      <c r="E2814" s="826" t="s">
        <v>1516</v>
      </c>
      <c r="F2814" s="826" t="s">
        <v>1491</v>
      </c>
      <c r="G2814" s="1671" t="str">
        <f>IF(T2814&lt;&gt;"","A","")</f>
        <v/>
      </c>
      <c r="H2814" s="1671" t="s">
        <v>1990</v>
      </c>
      <c r="I2814" s="826"/>
      <c r="J2814" s="826"/>
      <c r="K2814" s="826"/>
      <c r="L2814" s="826" t="s">
        <v>1491</v>
      </c>
      <c r="M2814" s="1332">
        <v>1689</v>
      </c>
      <c r="N2814" s="826"/>
      <c r="O2814" s="1669" t="s">
        <v>725</v>
      </c>
      <c r="R2814" s="1671" t="s">
        <v>2198</v>
      </c>
      <c r="T2814" s="1671" t="str">
        <f>IF(Q$2815="Yes",51,"")</f>
        <v/>
      </c>
    </row>
    <row r="2815" spans="1:20" s="1669" customFormat="1" x14ac:dyDescent="0.25">
      <c r="A2815" s="846" t="s">
        <v>1705</v>
      </c>
      <c r="B2815" s="826" t="str">
        <f ca="1">_xlfn.CONCAT(IFERROR(SUBSTITUTE(ADDRESS(1,MATCH(A2815,INDIRECT("'"&amp;E2815&amp;"'"&amp;"!A" &amp; $O$2815+ 11 &amp; ":Z" &amp; $O$2815 + 11),0),4),1,""),""),$O$2815+ 11)</f>
        <v>T724</v>
      </c>
      <c r="C2815" s="826" t="str">
        <f ca="1">_xlfn.CONCAT(IFERROR(SUBSTITUTE(ADDRESS(1,MATCH(A2815,INDIRECT("'"&amp;E2815&amp;"'"&amp;"!A" &amp; $O$2815+ 11 &amp; ":Z" &amp; $O$2815 + 11),0),4),1,""),""),$O$2815+ 12)</f>
        <v>T725</v>
      </c>
      <c r="D2815" s="826" t="s">
        <v>1350</v>
      </c>
      <c r="E2815" s="826" t="s">
        <v>1516</v>
      </c>
      <c r="F2815" s="826"/>
      <c r="G2815" s="1671"/>
      <c r="H2815" s="1671"/>
      <c r="I2815" s="826"/>
      <c r="J2815" s="826"/>
      <c r="K2815" s="826"/>
      <c r="L2815" s="826" t="s">
        <v>1705</v>
      </c>
      <c r="M2815" s="1332">
        <v>1690</v>
      </c>
      <c r="N2815" s="826"/>
      <c r="O2815" s="1669">
        <f>'Configurable Tab'!H53</f>
        <v>713</v>
      </c>
      <c r="P2815" s="18" t="str">
        <f>'Configurable Tab'!J53</f>
        <v>No</v>
      </c>
      <c r="Q2815" s="1669" t="s">
        <v>648</v>
      </c>
      <c r="R2815" s="1671" t="s">
        <v>2198</v>
      </c>
      <c r="T2815" s="1730" t="str">
        <f t="shared" ref="T2815:T2824" si="549">IF(Q$2815="Yes",51,"")</f>
        <v/>
      </c>
    </row>
    <row r="2816" spans="1:20" s="1669" customFormat="1" x14ac:dyDescent="0.25">
      <c r="A2816" s="846" t="s">
        <v>1383</v>
      </c>
      <c r="B2816" s="826" t="str">
        <f ca="1">IFERROR(_xlfn.CONCAT("C",MATCH(A2816,INDIRECT("'"&amp;E2816&amp;"'!C"&amp;$O$2815&amp;":C"&amp;$O$2817),0)+$O$2815-1),"")</f>
        <v>C715</v>
      </c>
      <c r="C2816" s="826" t="str">
        <f ca="1">IFERROR(_xlfn.CONCAT("D",MATCH(A2816,INDIRECT("'"&amp;E2816&amp;"'!C"&amp;$O$2815&amp;":C"&amp;$O$2817),0)+$O$2815-1),"")</f>
        <v>D715</v>
      </c>
      <c r="D2816" s="826" t="s">
        <v>1350</v>
      </c>
      <c r="E2816" s="826" t="s">
        <v>1516</v>
      </c>
      <c r="F2816" s="826" t="s">
        <v>1383</v>
      </c>
      <c r="G2816" s="1671" t="str">
        <f>IF(T2816&lt;&gt;"","B","")</f>
        <v/>
      </c>
      <c r="H2816" s="1671" t="s">
        <v>1990</v>
      </c>
      <c r="I2816" s="826"/>
      <c r="J2816" s="826"/>
      <c r="K2816" s="826"/>
      <c r="L2816" s="826" t="s">
        <v>1383</v>
      </c>
      <c r="M2816" s="1332">
        <v>1691</v>
      </c>
      <c r="N2816" s="826"/>
      <c r="O2816" s="1669" t="s">
        <v>726</v>
      </c>
      <c r="R2816" s="1671" t="s">
        <v>2198</v>
      </c>
      <c r="T2816" s="1730" t="str">
        <f t="shared" si="549"/>
        <v/>
      </c>
    </row>
    <row r="2817" spans="1:20" s="1669" customFormat="1" x14ac:dyDescent="0.25">
      <c r="A2817" s="846" t="s">
        <v>1381</v>
      </c>
      <c r="B2817" s="826" t="str">
        <f ca="1">_xlfn.CONCAT(IFERROR(SUBSTITUTE(ADDRESS(1,MATCH(A2817,INDIRECT("'"&amp;E2817&amp;"'"&amp;"!A" &amp; $O$2815+ 2 &amp; ":Z" &amp; $O$2815 + 2),0),4),1,""),""),$O$2815+ 2)</f>
        <v>J715</v>
      </c>
      <c r="C2817" s="826" t="str">
        <f ca="1">_xlfn.CONCAT(IFERROR(SUBSTITUTE(ADDRESS(1,MATCH(A2817,INDIRECT("'"&amp;E2817&amp;"'"&amp;"!A" &amp; $O$2815+ 2 &amp; ":Z" &amp; $O$2815 + 2),0),4),1,""),""),$O$2815+ 3)</f>
        <v>J716</v>
      </c>
      <c r="D2817" s="826" t="s">
        <v>1350</v>
      </c>
      <c r="E2817" s="826" t="s">
        <v>1516</v>
      </c>
      <c r="F2817" s="826" t="s">
        <v>1992</v>
      </c>
      <c r="G2817" s="1671" t="str">
        <f>IF(T2817&lt;&gt;"","I","")</f>
        <v/>
      </c>
      <c r="H2817" s="1671" t="s">
        <v>1990</v>
      </c>
      <c r="I2817" s="826"/>
      <c r="J2817" s="826"/>
      <c r="K2817" s="826"/>
      <c r="L2817" s="826" t="s">
        <v>1381</v>
      </c>
      <c r="M2817" s="1332">
        <v>1692</v>
      </c>
      <c r="N2817" s="826"/>
      <c r="O2817" s="1669">
        <f>'Configurable Tab'!I53</f>
        <v>726</v>
      </c>
      <c r="R2817" s="1671" t="s">
        <v>2198</v>
      </c>
      <c r="T2817" s="1730" t="str">
        <f t="shared" si="549"/>
        <v/>
      </c>
    </row>
    <row r="2818" spans="1:20" s="1669" customFormat="1" x14ac:dyDescent="0.25">
      <c r="A2818" s="846" t="s">
        <v>1382</v>
      </c>
      <c r="B2818" s="826" t="str">
        <f ca="1">_xlfn.CONCAT(IFERROR(SUBSTITUTE(ADDRESS(1,MATCH(A2818,INDIRECT("'"&amp;E2818&amp;"'"&amp;"!A" &amp; $O$2815+ 2 &amp; ":Z" &amp; $O$2815 + 2),0),4),1,""),""),$O$2815+ 2)</f>
        <v>N715</v>
      </c>
      <c r="C2818" s="826" t="str">
        <f ca="1">_xlfn.CONCAT(IFERROR(SUBSTITUTE(ADDRESS(1,MATCH(A2818,INDIRECT("'"&amp;E2818&amp;"'"&amp;"!A" &amp; $O$2815+ 2 &amp; ":Z" &amp; $O$2815 + 2),0),4),1,""),""),$O$2815+ 3)</f>
        <v>N716</v>
      </c>
      <c r="D2818" s="826" t="s">
        <v>1350</v>
      </c>
      <c r="E2818" s="826" t="s">
        <v>1516</v>
      </c>
      <c r="F2818" s="826" t="s">
        <v>1382</v>
      </c>
      <c r="G2818" s="1671" t="str">
        <f>IF(T2818&lt;&gt;"",IF(Q2817="Credit Memo","J",IF(Q2817="Check","K","")),"")</f>
        <v/>
      </c>
      <c r="H2818" s="1671" t="s">
        <v>1990</v>
      </c>
      <c r="I2818" s="826"/>
      <c r="J2818" s="826"/>
      <c r="K2818" s="826"/>
      <c r="L2818" s="826" t="s">
        <v>1382</v>
      </c>
      <c r="M2818" s="1332">
        <v>1693</v>
      </c>
      <c r="N2818" s="826"/>
      <c r="O2818" s="1669" t="s">
        <v>2207</v>
      </c>
      <c r="R2818" s="1671" t="s">
        <v>2198</v>
      </c>
      <c r="T2818" s="1730" t="str">
        <f t="shared" si="549"/>
        <v/>
      </c>
    </row>
    <row r="2819" spans="1:20" s="1669" customFormat="1" x14ac:dyDescent="0.25">
      <c r="A2819" s="846" t="s">
        <v>1385</v>
      </c>
      <c r="B2819" s="826" t="str">
        <f ca="1">IFERROR(_xlfn.CONCAT("C",MATCH(A2819,INDIRECT("'"&amp;E2819&amp;"'!C"&amp;$O$2815&amp;":C"&amp;$O$2817),0)+$O$2815-1),"")</f>
        <v>C719</v>
      </c>
      <c r="C2819" s="826" t="str">
        <f ca="1">IFERROR(_xlfn.CONCAT("D",MATCH(A2819,INDIRECT("'"&amp;E2819&amp;"'!C"&amp;$O$2815&amp;":C"&amp;$O$2817),0)+$O$2815-1),"")</f>
        <v>D719</v>
      </c>
      <c r="D2819" s="826" t="s">
        <v>1350</v>
      </c>
      <c r="E2819" s="826" t="s">
        <v>1516</v>
      </c>
      <c r="F2819" s="826" t="s">
        <v>1385</v>
      </c>
      <c r="G2819" s="1671" t="str">
        <f>IF(T2819&lt;&gt;"","C","")</f>
        <v/>
      </c>
      <c r="H2819" s="1671" t="s">
        <v>1990</v>
      </c>
      <c r="I2819" s="826"/>
      <c r="J2819" s="826"/>
      <c r="K2819" s="826"/>
      <c r="L2819" s="826" t="s">
        <v>1385</v>
      </c>
      <c r="M2819" s="1332">
        <v>1694</v>
      </c>
      <c r="N2819" s="826"/>
      <c r="R2819" s="1671" t="s">
        <v>2198</v>
      </c>
      <c r="T2819" s="1730" t="str">
        <f t="shared" si="549"/>
        <v/>
      </c>
    </row>
    <row r="2820" spans="1:20" s="1669" customFormat="1" x14ac:dyDescent="0.25">
      <c r="A2820" s="846" t="s">
        <v>1386</v>
      </c>
      <c r="B2820" s="826" t="str">
        <f ca="1">IFERROR(_xlfn.CONCAT("C",MATCH(A2820,INDIRECT("'"&amp;E2820&amp;"'!C"&amp;$O$2815&amp;":C"&amp;$O$2817),0)+$O$2815-1),"")</f>
        <v>C721</v>
      </c>
      <c r="C2820" s="826" t="str">
        <f ca="1">IFERROR(_xlfn.CONCAT("D",MATCH(A2820,INDIRECT("'"&amp;E2820&amp;"'!C"&amp;$O$2815&amp;":C"&amp;$O$2817),0)+$O$2815-1),"")</f>
        <v>D721</v>
      </c>
      <c r="D2820" s="826" t="s">
        <v>1350</v>
      </c>
      <c r="E2820" s="826" t="s">
        <v>1516</v>
      </c>
      <c r="F2820" s="826" t="s">
        <v>1386</v>
      </c>
      <c r="G2820" s="1671" t="str">
        <f>IF(T2820&lt;&gt;"","D","")</f>
        <v/>
      </c>
      <c r="H2820" s="1671" t="s">
        <v>1990</v>
      </c>
      <c r="I2820" s="826"/>
      <c r="J2820" s="826"/>
      <c r="K2820" s="826"/>
      <c r="L2820" s="826" t="s">
        <v>1386</v>
      </c>
      <c r="M2820" s="1332">
        <v>1695</v>
      </c>
      <c r="N2820" s="826"/>
      <c r="R2820" s="1671" t="s">
        <v>2198</v>
      </c>
      <c r="T2820" s="1730" t="str">
        <f t="shared" si="549"/>
        <v/>
      </c>
    </row>
    <row r="2821" spans="1:20" s="1669" customFormat="1" x14ac:dyDescent="0.25">
      <c r="A2821" s="846" t="s">
        <v>1396</v>
      </c>
      <c r="B2821" s="826" t="str">
        <f ca="1">_xlfn.CONCAT(IFERROR(SUBSTITUTE(ADDRESS(1,MATCH(A2821,INDIRECT("'"&amp;E2821&amp;"'"&amp;"!A" &amp; $O$2815+ 5 &amp; ":Z" &amp; $O$2815 + 5),0),4),1,""),""),$O$2815+ 5)</f>
        <v>H718</v>
      </c>
      <c r="C2821" s="826" t="str">
        <f ca="1">_xlfn.CONCAT(IFERROR(SUBSTITUTE(ADDRESS(1,MATCH(A2821,INDIRECT("'"&amp;E2821&amp;"'"&amp;"!A" &amp; $O$2815+ 5 &amp; ":Z" &amp; $O$2815 + 5),0),4),1,""),""),$O$2815+ 6)</f>
        <v>H719</v>
      </c>
      <c r="D2821" s="826" t="s">
        <v>1350</v>
      </c>
      <c r="E2821" s="826" t="s">
        <v>1516</v>
      </c>
      <c r="F2821" s="1671" t="s">
        <v>1396</v>
      </c>
      <c r="G2821" s="1671" t="str">
        <f>IF(T2821&lt;&gt;"","S","")</f>
        <v/>
      </c>
      <c r="H2821" s="1671" t="s">
        <v>1990</v>
      </c>
      <c r="I2821" s="826"/>
      <c r="J2821" s="826"/>
      <c r="K2821" s="826"/>
      <c r="L2821" s="826" t="s">
        <v>1396</v>
      </c>
      <c r="M2821" s="1332">
        <v>1696</v>
      </c>
      <c r="N2821" s="826"/>
      <c r="R2821" s="1671" t="s">
        <v>2198</v>
      </c>
      <c r="T2821" s="1730" t="str">
        <f t="shared" si="549"/>
        <v/>
      </c>
    </row>
    <row r="2822" spans="1:20" s="1669" customFormat="1" x14ac:dyDescent="0.25">
      <c r="A2822" s="846" t="s">
        <v>2005</v>
      </c>
      <c r="B2822" s="826" t="str">
        <f ca="1">_xlfn.CONCAT(IFERROR(SUBSTITUTE(ADDRESS(1,MATCH(A2822,INDIRECT("'"&amp;E2822&amp;"'"&amp;"!A" &amp; $O$2815+ 8 &amp; ":Z" &amp; $O$2815 + 8),0),4),1,""),""),$O$2815 + 8)</f>
        <v>J721</v>
      </c>
      <c r="C2822" s="826" t="str">
        <f ca="1">_xlfn.CONCAT(IFERROR(SUBSTITUTE(ADDRESS(1,MATCH(A2822,INDIRECT("'"&amp;E2822&amp;"'"&amp;"!A" &amp; $O$2815+ 8 &amp; ":Z" &amp; $O$2815 + 8),0),4),1,""),""),$O$2815 + 9)</f>
        <v>J722</v>
      </c>
      <c r="D2822" s="826" t="s">
        <v>1350</v>
      </c>
      <c r="E2822" s="826" t="s">
        <v>1516</v>
      </c>
      <c r="F2822" s="826" t="s">
        <v>2005</v>
      </c>
      <c r="G2822" s="1671" t="str">
        <f>IF(T2822&lt;&gt;"","AQ","")</f>
        <v/>
      </c>
      <c r="H2822" s="1671" t="s">
        <v>1990</v>
      </c>
      <c r="I2822" s="826"/>
      <c r="J2822" s="826"/>
      <c r="K2822" s="826"/>
      <c r="L2822" s="826" t="s">
        <v>2005</v>
      </c>
      <c r="M2822" s="1332">
        <v>1697</v>
      </c>
      <c r="N2822" s="826"/>
      <c r="R2822" s="1671" t="s">
        <v>2198</v>
      </c>
      <c r="T2822" s="1730" t="str">
        <f t="shared" si="549"/>
        <v/>
      </c>
    </row>
    <row r="2823" spans="1:20" s="1669" customFormat="1" x14ac:dyDescent="0.25">
      <c r="A2823" s="846" t="s">
        <v>1482</v>
      </c>
      <c r="B2823" s="826" t="str">
        <f ca="1">_xlfn.CONCAT(IFERROR(SUBSTITUTE(ADDRESS(1,MATCH(A2823,INDIRECT("'"&amp;E2823&amp;"'"&amp;"!A" &amp; $O$2815+ 8 &amp; ":Z" &amp; $O$2815 + 8),0),4),1,""),""),$O$2815 + 8)</f>
        <v>N721</v>
      </c>
      <c r="C2823" s="826" t="str">
        <f ca="1">_xlfn.CONCAT(IFERROR(SUBSTITUTE(ADDRESS(1,MATCH(A2823,INDIRECT("'"&amp;E2823&amp;"'"&amp;"!A" &amp; $O$2815+ 8 &amp; ":Z" &amp; $O$2815 + 8),0),4),1,""),""),$O$2815 + 9)</f>
        <v>N722</v>
      </c>
      <c r="D2823" s="826" t="s">
        <v>1350</v>
      </c>
      <c r="E2823" s="826" t="s">
        <v>1516</v>
      </c>
      <c r="F2823" s="826" t="s">
        <v>2054</v>
      </c>
      <c r="G2823" s="1671" t="str">
        <f>IF(T2823&lt;&gt;"","AA","")</f>
        <v/>
      </c>
      <c r="H2823" s="1671" t="s">
        <v>1990</v>
      </c>
      <c r="I2823" s="826"/>
      <c r="J2823" s="826"/>
      <c r="K2823" s="826"/>
      <c r="L2823" s="826" t="s">
        <v>2006</v>
      </c>
      <c r="M2823" s="1332">
        <v>1698</v>
      </c>
      <c r="N2823" s="826"/>
      <c r="R2823" s="1671" t="s">
        <v>2198</v>
      </c>
      <c r="T2823" s="1730" t="str">
        <f t="shared" si="549"/>
        <v/>
      </c>
    </row>
    <row r="2824" spans="1:20" s="1669" customFormat="1" x14ac:dyDescent="0.25">
      <c r="A2824" s="846" t="s">
        <v>1397</v>
      </c>
      <c r="B2824" s="826" t="str">
        <f ca="1">_xlfn.CONCAT(IFERROR(SUBSTITUTE(ADDRESS(1,MATCH(A2824,INDIRECT("'"&amp;E2824&amp;"'"&amp;"!A" &amp; $O$2815+ 2 &amp; ":Z" &amp; $O$2815 + 2),0),4),1,""),""),$O$2815 + 2)</f>
        <v>L715</v>
      </c>
      <c r="C2824" s="826" t="str">
        <f ca="1">_xlfn.CONCAT(IFERROR(SUBSTITUTE(ADDRESS(1,MATCH(A2824,INDIRECT("'"&amp;E2824&amp;"'"&amp;"!A" &amp; $O$2815+ 2 &amp; ":Z" &amp; $O$2815 + 2),0),4),1,""),""),$O$2815 + 3)</f>
        <v>L716</v>
      </c>
      <c r="D2824" s="826" t="s">
        <v>1350</v>
      </c>
      <c r="E2824" s="826" t="s">
        <v>1516</v>
      </c>
      <c r="F2824" s="826" t="s">
        <v>1993</v>
      </c>
      <c r="G2824" s="1671" t="str">
        <f>IF(T2824&lt;&gt;"","H","")</f>
        <v/>
      </c>
      <c r="H2824" s="1671" t="s">
        <v>1990</v>
      </c>
      <c r="I2824" s="826"/>
      <c r="J2824" s="826"/>
      <c r="K2824" s="826"/>
      <c r="L2824" s="826" t="s">
        <v>1397</v>
      </c>
      <c r="M2824" s="1332">
        <v>1699</v>
      </c>
      <c r="N2824" s="826"/>
      <c r="R2824" s="1671" t="s">
        <v>2198</v>
      </c>
      <c r="T2824" s="1730" t="str">
        <f t="shared" si="549"/>
        <v/>
      </c>
    </row>
    <row r="2825" spans="1:20" s="1669" customFormat="1" x14ac:dyDescent="0.25">
      <c r="A2825" s="846" t="s">
        <v>1705</v>
      </c>
      <c r="B2825" s="1274" t="str">
        <f>IFERROR(_xlfn.CONCAT("D",('Configurable Tab'!$C$38+1)),"")</f>
        <v>D391</v>
      </c>
      <c r="C2825" s="1274" t="str">
        <f>IFERROR(_xlfn.CONCAT("E",('Configurable Tab'!$C$38+1)),"")</f>
        <v>E391</v>
      </c>
      <c r="D2825" s="826" t="s">
        <v>1350</v>
      </c>
      <c r="E2825" s="826" t="s">
        <v>1742</v>
      </c>
      <c r="F2825" s="1671"/>
      <c r="G2825" s="1671"/>
      <c r="H2825" s="1671"/>
      <c r="I2825" s="1274" t="str">
        <f t="shared" ref="I2825:I2835" si="550">IF(J2825&lt;&gt;"",A2825,"")</f>
        <v/>
      </c>
      <c r="J2825" s="1671" t="str">
        <f t="shared" ref="J2825:J2834" si="551">IFERROR(IF($Q$2815="Yes",Q$1&amp;M2815,""),"")</f>
        <v/>
      </c>
      <c r="K2825" s="1671" t="str">
        <f t="shared" ref="K2825:K2835" si="552">IF(J2825&lt;&gt;"",E2825,"")</f>
        <v/>
      </c>
      <c r="M2825" s="1670"/>
      <c r="Q2825" s="1274" t="str">
        <f>IFERROR(_xlfn.CONCAT("C",('Configurable Tab'!$C38+1)),"")</f>
        <v>C391</v>
      </c>
      <c r="R2825" s="1671" t="s">
        <v>2198</v>
      </c>
    </row>
    <row r="2826" spans="1:20" s="1669" customFormat="1" x14ac:dyDescent="0.25">
      <c r="A2826" s="846" t="s">
        <v>1383</v>
      </c>
      <c r="B2826" s="1274" t="str">
        <f>IFERROR(_xlfn.CONCAT("D",('Configurable Tab'!$C$38+2)),"")</f>
        <v>D392</v>
      </c>
      <c r="C2826" s="1274" t="str">
        <f>IFERROR(_xlfn.CONCAT("E",('Configurable Tab'!$C$38+2)),"")</f>
        <v>E392</v>
      </c>
      <c r="D2826" s="826" t="s">
        <v>1350</v>
      </c>
      <c r="E2826" s="826" t="s">
        <v>1742</v>
      </c>
      <c r="F2826" s="1671"/>
      <c r="G2826" s="1671"/>
      <c r="H2826" s="1671"/>
      <c r="I2826" s="1274" t="str">
        <f t="shared" si="550"/>
        <v/>
      </c>
      <c r="J2826" s="1671" t="str">
        <f t="shared" si="551"/>
        <v/>
      </c>
      <c r="K2826" s="1671" t="str">
        <f t="shared" si="552"/>
        <v/>
      </c>
      <c r="M2826" s="1670"/>
      <c r="R2826" s="1671" t="s">
        <v>2198</v>
      </c>
    </row>
    <row r="2827" spans="1:20" s="1669" customFormat="1" x14ac:dyDescent="0.25">
      <c r="A2827" s="846" t="s">
        <v>1381</v>
      </c>
      <c r="B2827" s="1274" t="str">
        <f>IFERROR(_xlfn.CONCAT("I",('Configurable Tab'!$C$38+1)),"")</f>
        <v>I391</v>
      </c>
      <c r="C2827" s="1274" t="str">
        <f>IFERROR(_xlfn.CONCAT("I",('Configurable Tab'!$C$38+2)),"")</f>
        <v>I392</v>
      </c>
      <c r="D2827" s="826" t="s">
        <v>1350</v>
      </c>
      <c r="E2827" s="826" t="s">
        <v>1742</v>
      </c>
      <c r="F2827" s="1671"/>
      <c r="G2827" s="1671"/>
      <c r="H2827" s="1671"/>
      <c r="I2827" s="1274" t="str">
        <f t="shared" si="550"/>
        <v/>
      </c>
      <c r="J2827" s="1671" t="str">
        <f t="shared" si="551"/>
        <v/>
      </c>
      <c r="K2827" s="1671" t="str">
        <f t="shared" si="552"/>
        <v/>
      </c>
      <c r="M2827" s="1670"/>
      <c r="R2827" s="1671" t="s">
        <v>2198</v>
      </c>
    </row>
    <row r="2828" spans="1:20" s="1669" customFormat="1" x14ac:dyDescent="0.25">
      <c r="A2828" s="846" t="s">
        <v>1382</v>
      </c>
      <c r="B2828" s="1274" t="str">
        <f>IFERROR(_xlfn.CONCAT("M",('Configurable Tab'!$C$38+1)),"")</f>
        <v>M391</v>
      </c>
      <c r="C2828" s="1274" t="str">
        <f>IFERROR(_xlfn.CONCAT("M",('Configurable Tab'!$C$38+2)),"")</f>
        <v>M392</v>
      </c>
      <c r="D2828" s="826" t="s">
        <v>1350</v>
      </c>
      <c r="E2828" s="826" t="s">
        <v>1742</v>
      </c>
      <c r="F2828" s="1671"/>
      <c r="G2828" s="1671"/>
      <c r="H2828" s="1671"/>
      <c r="I2828" s="1274" t="str">
        <f t="shared" si="550"/>
        <v/>
      </c>
      <c r="J2828" s="1671" t="str">
        <f t="shared" si="551"/>
        <v/>
      </c>
      <c r="K2828" s="1671" t="str">
        <f t="shared" si="552"/>
        <v/>
      </c>
      <c r="M2828" s="1670"/>
      <c r="R2828" s="1671" t="s">
        <v>2198</v>
      </c>
    </row>
    <row r="2829" spans="1:20" s="1669" customFormat="1" x14ac:dyDescent="0.25">
      <c r="A2829" s="846" t="s">
        <v>1385</v>
      </c>
      <c r="B2829" s="1274" t="str">
        <f>IFERROR(_xlfn.CONCAT("D",('Configurable Tab'!$C$38+4)),"")</f>
        <v>D394</v>
      </c>
      <c r="C2829" s="1274" t="str">
        <f>IFERROR(_xlfn.CONCAT("E",('Configurable Tab'!$C$38+4)),"")</f>
        <v>E394</v>
      </c>
      <c r="D2829" s="826" t="s">
        <v>1350</v>
      </c>
      <c r="E2829" s="826" t="s">
        <v>1742</v>
      </c>
      <c r="F2829" s="1671"/>
      <c r="G2829" s="1671"/>
      <c r="H2829" s="1671"/>
      <c r="I2829" s="1274" t="str">
        <f t="shared" si="550"/>
        <v/>
      </c>
      <c r="J2829" s="1671" t="str">
        <f t="shared" si="551"/>
        <v/>
      </c>
      <c r="K2829" s="1671" t="str">
        <f t="shared" si="552"/>
        <v/>
      </c>
      <c r="M2829" s="1670"/>
      <c r="R2829" s="1671" t="s">
        <v>2198</v>
      </c>
    </row>
    <row r="2830" spans="1:20" s="1669" customFormat="1" x14ac:dyDescent="0.25">
      <c r="A2830" s="846" t="s">
        <v>1386</v>
      </c>
      <c r="B2830" s="1274" t="str">
        <f>IFERROR(_xlfn.CONCAT("D",('Configurable Tab'!$C$38+5)),"")</f>
        <v>D395</v>
      </c>
      <c r="C2830" s="1274" t="str">
        <f>IFERROR(_xlfn.CONCAT("E",('Configurable Tab'!$C$38+5)),"")</f>
        <v>E395</v>
      </c>
      <c r="D2830" s="826" t="s">
        <v>1350</v>
      </c>
      <c r="E2830" s="826" t="s">
        <v>1742</v>
      </c>
      <c r="F2830" s="1671"/>
      <c r="G2830" s="1671"/>
      <c r="H2830" s="1671"/>
      <c r="I2830" s="1274" t="str">
        <f t="shared" si="550"/>
        <v/>
      </c>
      <c r="J2830" s="1671" t="str">
        <f t="shared" si="551"/>
        <v/>
      </c>
      <c r="K2830" s="1671" t="str">
        <f t="shared" si="552"/>
        <v/>
      </c>
      <c r="M2830" s="1670"/>
      <c r="R2830" s="1671" t="s">
        <v>2198</v>
      </c>
    </row>
    <row r="2831" spans="1:20" s="1669" customFormat="1" x14ac:dyDescent="0.25">
      <c r="A2831" s="846" t="s">
        <v>1396</v>
      </c>
      <c r="B2831" s="1274" t="str">
        <f>IFERROR(_xlfn.CONCAT("G",('Configurable Tab'!$C$38+4)),"")</f>
        <v>G394</v>
      </c>
      <c r="C2831" s="1274" t="str">
        <f>IFERROR(_xlfn.CONCAT("G",('Configurable Tab'!$C$38+5)),"")</f>
        <v>G395</v>
      </c>
      <c r="D2831" s="826" t="s">
        <v>1350</v>
      </c>
      <c r="E2831" s="826" t="s">
        <v>1742</v>
      </c>
      <c r="F2831" s="1671"/>
      <c r="G2831" s="1671"/>
      <c r="H2831" s="1671"/>
      <c r="I2831" s="1274" t="str">
        <f t="shared" si="550"/>
        <v/>
      </c>
      <c r="J2831" s="1671" t="str">
        <f t="shared" si="551"/>
        <v/>
      </c>
      <c r="K2831" s="1671" t="str">
        <f t="shared" si="552"/>
        <v/>
      </c>
      <c r="M2831" s="1670"/>
      <c r="R2831" s="1671" t="s">
        <v>2198</v>
      </c>
    </row>
    <row r="2832" spans="1:20" s="1669" customFormat="1" x14ac:dyDescent="0.25">
      <c r="A2832" s="846" t="s">
        <v>2005</v>
      </c>
      <c r="B2832" s="1274" t="str">
        <f>IFERROR(_xlfn.CONCAT("G",('Configurable Tab'!$C$38+7)),"")</f>
        <v>G397</v>
      </c>
      <c r="C2832" s="1274" t="str">
        <f>IFERROR(_xlfn.CONCAT("G",('Configurable Tab'!$C$38+8)),"")</f>
        <v>G398</v>
      </c>
      <c r="D2832" s="826" t="s">
        <v>1350</v>
      </c>
      <c r="E2832" s="826" t="s">
        <v>1742</v>
      </c>
      <c r="F2832" s="1671"/>
      <c r="G2832" s="1671"/>
      <c r="H2832" s="1671"/>
      <c r="I2832" s="1274" t="str">
        <f t="shared" si="550"/>
        <v/>
      </c>
      <c r="J2832" s="1671" t="str">
        <f t="shared" si="551"/>
        <v/>
      </c>
      <c r="K2832" s="1671" t="str">
        <f t="shared" si="552"/>
        <v/>
      </c>
      <c r="M2832" s="1670"/>
      <c r="R2832" s="1671" t="s">
        <v>2198</v>
      </c>
    </row>
    <row r="2833" spans="1:20" s="1669" customFormat="1" x14ac:dyDescent="0.25">
      <c r="A2833" s="846" t="s">
        <v>1482</v>
      </c>
      <c r="B2833" s="1274" t="str">
        <f>IFERROR(_xlfn.CONCAT("K",('Configurable Tab'!$C$38+7)),"")</f>
        <v>K397</v>
      </c>
      <c r="C2833" s="1274" t="str">
        <f>IFERROR(_xlfn.CONCAT("K",('Configurable Tab'!$C$38+8)),"")</f>
        <v>K398</v>
      </c>
      <c r="D2833" s="826" t="s">
        <v>1350</v>
      </c>
      <c r="E2833" s="826" t="s">
        <v>1742</v>
      </c>
      <c r="F2833" s="1671"/>
      <c r="G2833" s="1671"/>
      <c r="H2833" s="1671"/>
      <c r="I2833" s="1274" t="str">
        <f t="shared" si="550"/>
        <v/>
      </c>
      <c r="J2833" s="1671" t="str">
        <f t="shared" si="551"/>
        <v/>
      </c>
      <c r="K2833" s="1671" t="str">
        <f t="shared" si="552"/>
        <v/>
      </c>
      <c r="M2833" s="1670"/>
      <c r="R2833" s="1671" t="s">
        <v>2198</v>
      </c>
    </row>
    <row r="2834" spans="1:20" s="1669" customFormat="1" x14ac:dyDescent="0.25">
      <c r="A2834" s="846" t="s">
        <v>1397</v>
      </c>
      <c r="B2834" s="1274" t="str">
        <f>IFERROR(_xlfn.CONCAT("K",('Configurable Tab'!$C$38+1)),"")</f>
        <v>K391</v>
      </c>
      <c r="C2834" s="1274" t="str">
        <f>IFERROR(_xlfn.CONCAT("K",('Configurable Tab'!$C$38+2)),"")</f>
        <v>K392</v>
      </c>
      <c r="D2834" s="826" t="s">
        <v>1350</v>
      </c>
      <c r="E2834" s="826" t="s">
        <v>1742</v>
      </c>
      <c r="F2834" s="1671"/>
      <c r="G2834" s="1671"/>
      <c r="H2834" s="1671"/>
      <c r="I2834" s="1274" t="str">
        <f t="shared" si="550"/>
        <v/>
      </c>
      <c r="J2834" s="1671" t="str">
        <f t="shared" si="551"/>
        <v/>
      </c>
      <c r="K2834" s="1671" t="str">
        <f t="shared" si="552"/>
        <v/>
      </c>
      <c r="M2834" s="1670"/>
      <c r="R2834" s="1671" t="s">
        <v>2198</v>
      </c>
    </row>
    <row r="2835" spans="1:20" s="1669" customFormat="1" x14ac:dyDescent="0.25">
      <c r="A2835" s="846" t="s">
        <v>1496</v>
      </c>
      <c r="B2835" s="826" t="str">
        <f ca="1">IFERROR(_xlfn.CONCAT("C",MATCH(A2835,INDIRECT("'"&amp;E2835&amp;"'!C"&amp;$O$2815&amp;":C"&amp;$O$2817),0)+$O$2815-1),"")</f>
        <v>C725</v>
      </c>
      <c r="C2835" s="826" t="str">
        <f ca="1">IFERROR(_xlfn.CONCAT("D",MATCH(A2835,INDIRECT("'"&amp;E2835&amp;"'!C"&amp;$O$2815&amp;":C"&amp;$O$2817),0)+$O$2815-1),"")</f>
        <v>D725</v>
      </c>
      <c r="D2835" s="826" t="s">
        <v>1350</v>
      </c>
      <c r="E2835" s="826" t="s">
        <v>1516</v>
      </c>
      <c r="F2835" s="1671" t="s">
        <v>1496</v>
      </c>
      <c r="G2835" s="1671" t="str">
        <f t="shared" ref="G2835" si="553">IF(T2835&lt;&gt;"","AS","")</f>
        <v/>
      </c>
      <c r="H2835" s="1671" t="s">
        <v>1990</v>
      </c>
      <c r="I2835" s="1274" t="str">
        <f t="shared" si="550"/>
        <v/>
      </c>
      <c r="J2835" s="1671"/>
      <c r="K2835" s="1671" t="str">
        <f t="shared" si="552"/>
        <v/>
      </c>
      <c r="L2835" s="826"/>
      <c r="M2835" s="1672"/>
      <c r="N2835" s="1671"/>
      <c r="R2835" s="1671" t="s">
        <v>2198</v>
      </c>
      <c r="T2835" s="1671" t="str">
        <f>IF(Q$2815="Yes",51,"")</f>
        <v/>
      </c>
    </row>
    <row r="2836" spans="1:20" s="1669" customFormat="1" x14ac:dyDescent="0.25">
      <c r="A2836" s="847" t="s">
        <v>1495</v>
      </c>
      <c r="B2836" s="826" t="str">
        <f ca="1">IFERROR(_xlfn.CONCAT("C",MATCH(A2836,INDIRECT("'"&amp;E2836&amp;"'!C"&amp;$O$2815&amp;":C"&amp;$O$2817),0)+$O$2815-1),"")</f>
        <v>C723</v>
      </c>
      <c r="C2836" s="826" t="str">
        <f ca="1">IFERROR(_xlfn.CONCAT("D",MATCH(A2836,INDIRECT("'"&amp;E2836&amp;"'!C"&amp;$O$2815&amp;":C"&amp;$O$2817),0)+$O$2815-1),"")</f>
        <v>D723</v>
      </c>
      <c r="D2836" s="826" t="s">
        <v>1350</v>
      </c>
      <c r="E2836" s="826" t="s">
        <v>1516</v>
      </c>
      <c r="F2836" s="1671" t="s">
        <v>1495</v>
      </c>
      <c r="G2836" s="1671" t="str">
        <f>IF(T2836&lt;&gt;"","AN","")</f>
        <v/>
      </c>
      <c r="H2836" s="1671" t="s">
        <v>1990</v>
      </c>
      <c r="I2836" s="1274"/>
      <c r="J2836" s="1671"/>
      <c r="K2836" s="1671"/>
      <c r="L2836" s="826"/>
      <c r="M2836" s="1672"/>
      <c r="N2836" s="1671"/>
      <c r="O2836" s="1561"/>
      <c r="P2836" s="603"/>
      <c r="Q2836" s="603"/>
      <c r="R2836" s="1671" t="s">
        <v>2198</v>
      </c>
      <c r="T2836" s="1730" t="str">
        <f t="shared" ref="T2836:T2843" si="554">IF(Q$2815="Yes",51,"")</f>
        <v/>
      </c>
    </row>
    <row r="2837" spans="1:20" s="1669" customFormat="1" x14ac:dyDescent="0.25">
      <c r="A2837" s="847" t="s">
        <v>1492</v>
      </c>
      <c r="B2837" s="826" t="str">
        <f ca="1">_xlfn.CONCAT(IFERROR(SUBSTITUTE(ADDRESS(1,MATCH(A2837,INDIRECT("'"&amp;E2837&amp;"'"&amp;"!A" &amp; $O$2815+ 8 &amp; ":Z" &amp; $O$2815 + 8),0),4),1,""),""),$O$2815 + 8)</f>
        <v>H721</v>
      </c>
      <c r="C2837" s="826" t="str">
        <f ca="1">_xlfn.CONCAT(IFERROR(SUBSTITUTE(ADDRESS(1,MATCH(A2837,INDIRECT("'"&amp;E2837&amp;"'"&amp;"!A" &amp; $O$2815+ 8 &amp; ":Z" &amp; $O$2815 + 8),0),4),1,""),""),$O$2815 + 9)</f>
        <v>H722</v>
      </c>
      <c r="D2837" s="826" t="s">
        <v>1350</v>
      </c>
      <c r="E2837" s="826" t="s">
        <v>1516</v>
      </c>
      <c r="F2837" s="1671" t="s">
        <v>1492</v>
      </c>
      <c r="G2837" s="1671" t="str">
        <f>IF(T2837&lt;&gt;"","AL","")</f>
        <v/>
      </c>
      <c r="H2837" s="1671" t="s">
        <v>1990</v>
      </c>
      <c r="I2837" s="1274"/>
      <c r="J2837" s="1671"/>
      <c r="K2837" s="1671"/>
      <c r="L2837" s="826"/>
      <c r="M2837" s="1672"/>
      <c r="N2837" s="1671"/>
      <c r="O2837" s="603"/>
      <c r="P2837" s="603"/>
      <c r="Q2837" s="603"/>
      <c r="R2837" s="1671" t="s">
        <v>2198</v>
      </c>
      <c r="T2837" s="1730" t="str">
        <f t="shared" si="554"/>
        <v/>
      </c>
    </row>
    <row r="2838" spans="1:20" s="1669" customFormat="1" x14ac:dyDescent="0.25">
      <c r="A2838" s="847" t="s">
        <v>1380</v>
      </c>
      <c r="B2838" s="826" t="str">
        <f ca="1">_xlfn.CONCAT(IFERROR(SUBSTITUTE(ADDRESS(1,MATCH(A2838,INDIRECT("'"&amp;E2838&amp;"'"&amp;"!A" &amp; $O$2815+ 2 &amp; ":Z" &amp; $O$2815 + 2),0),4),1,""),""),$O$2815+ 2)</f>
        <v>H715</v>
      </c>
      <c r="C2838" s="826" t="str">
        <f ca="1">_xlfn.CONCAT(IFERROR(SUBSTITUTE(ADDRESS(1,MATCH(A2838,INDIRECT("'"&amp;E2838&amp;"'"&amp;"!A" &amp; $O$2815+ 2 &amp; ":Z" &amp; $O$2815 + 2),0),4),1,""),""),$O$2815+ 3)</f>
        <v>H716</v>
      </c>
      <c r="D2838" s="826" t="s">
        <v>1350</v>
      </c>
      <c r="E2838" s="826" t="s">
        <v>1516</v>
      </c>
      <c r="F2838" s="1671" t="s">
        <v>1991</v>
      </c>
      <c r="G2838" s="1671" t="str">
        <f>IF(T2838&lt;&gt;"","E","")</f>
        <v/>
      </c>
      <c r="H2838" s="1671" t="s">
        <v>1990</v>
      </c>
      <c r="I2838" s="1274"/>
      <c r="J2838" s="1671"/>
      <c r="K2838" s="1671"/>
      <c r="L2838" s="826"/>
      <c r="M2838" s="1672"/>
      <c r="N2838" s="1671"/>
      <c r="O2838" s="603"/>
      <c r="P2838" s="603"/>
      <c r="Q2838" s="603"/>
      <c r="R2838" s="1671" t="s">
        <v>2198</v>
      </c>
      <c r="T2838" s="1730" t="str">
        <f t="shared" si="554"/>
        <v/>
      </c>
    </row>
    <row r="2839" spans="1:20" s="1669" customFormat="1" x14ac:dyDescent="0.25">
      <c r="A2839" s="847" t="s">
        <v>1487</v>
      </c>
      <c r="B2839" s="826" t="str">
        <f ca="1">_xlfn.CONCAT(IFERROR(SUBSTITUTE(ADDRESS(1,MATCH(A2839,INDIRECT("'"&amp;E2839&amp;"'"&amp;"!A" &amp; $O$2815+ 2 &amp; ":Z" &amp; $O$2815 + 2),0),4),1,""),""),$O$2815+ 2)</f>
        <v>R715</v>
      </c>
      <c r="C2839" s="826" t="str">
        <f ca="1">_xlfn.CONCAT(IFERROR(SUBSTITUTE(ADDRESS(1,MATCH(A2839,INDIRECT("'"&amp;E2839&amp;"'"&amp;"!A" &amp; $O$2815+ 2 &amp; ":Z" &amp; $O$2815 + 2),0),4),1,""),""),$O$2815+ 3)</f>
        <v>R716</v>
      </c>
      <c r="D2839" s="826" t="s">
        <v>1350</v>
      </c>
      <c r="E2839" s="826" t="s">
        <v>1516</v>
      </c>
      <c r="F2839" s="1671" t="s">
        <v>1995</v>
      </c>
      <c r="G2839" s="1671" t="str">
        <f>IF(T2839&lt;&gt;"","G","")</f>
        <v/>
      </c>
      <c r="H2839" s="1671" t="s">
        <v>1990</v>
      </c>
      <c r="I2839" s="1274"/>
      <c r="J2839" s="1671"/>
      <c r="K2839" s="1671"/>
      <c r="L2839" s="826"/>
      <c r="M2839" s="1672"/>
      <c r="N2839" s="1671"/>
      <c r="O2839" s="603"/>
      <c r="P2839" s="603"/>
      <c r="Q2839" s="603"/>
      <c r="R2839" s="1671" t="s">
        <v>2198</v>
      </c>
      <c r="T2839" s="1730" t="str">
        <f t="shared" si="554"/>
        <v/>
      </c>
    </row>
    <row r="2840" spans="1:20" s="1669" customFormat="1" x14ac:dyDescent="0.25">
      <c r="A2840" s="847" t="s">
        <v>1488</v>
      </c>
      <c r="B2840" s="826" t="str">
        <f ca="1">_xlfn.CONCAT(IFERROR(SUBSTITUTE(ADDRESS(1,MATCH(A2840,INDIRECT("'"&amp;E2840&amp;"'"&amp;"!A" &amp; $O$2815+ 2 &amp; ":Z" &amp; $O$2815 + 2),0),4),1,""),""),$O$2815+ 2)</f>
        <v>T715</v>
      </c>
      <c r="C2840" s="826" t="str">
        <f ca="1">_xlfn.CONCAT(IFERROR(SUBSTITUTE(ADDRESS(1,MATCH(A2840,INDIRECT("'"&amp;E2840&amp;"'"&amp;"!A" &amp; $O$2815+ 2 &amp; ":Z" &amp; $O$2815 + 2),0),4),1,""),""),$O$2815+ 3)</f>
        <v>T716</v>
      </c>
      <c r="D2840" s="826" t="s">
        <v>1350</v>
      </c>
      <c r="E2840" s="826" t="s">
        <v>1516</v>
      </c>
      <c r="F2840" s="841" t="s">
        <v>1488</v>
      </c>
      <c r="G2840" s="1671" t="str">
        <f>IF(T2840&lt;&gt;"","AW","")</f>
        <v/>
      </c>
      <c r="H2840" s="1671" t="s">
        <v>1990</v>
      </c>
      <c r="I2840" s="1274"/>
      <c r="J2840" s="1671"/>
      <c r="K2840" s="1671"/>
      <c r="L2840" s="826"/>
      <c r="M2840" s="1672"/>
      <c r="N2840" s="1671"/>
      <c r="O2840" s="603"/>
      <c r="P2840" s="603"/>
      <c r="Q2840" s="603"/>
      <c r="R2840" s="1671" t="s">
        <v>2198</v>
      </c>
      <c r="T2840" s="1730" t="str">
        <f t="shared" si="554"/>
        <v/>
      </c>
    </row>
    <row r="2841" spans="1:20" s="1669" customFormat="1" x14ac:dyDescent="0.25">
      <c r="A2841" s="847" t="s">
        <v>1603</v>
      </c>
      <c r="B2841" s="826" t="str">
        <f ca="1">_xlfn.CONCAT(IFERROR(SUBSTITUTE(ADDRESS(1,MATCH(A2841,INDIRECT("'"&amp;E2841&amp;"'"&amp;"!A" &amp; $O$2815+ 5 &amp; ":Z" &amp; $O$2815 + 5),0),4),1,""),""),$O$2815+ 5)</f>
        <v>R718</v>
      </c>
      <c r="C2841" s="826" t="str">
        <f ca="1">_xlfn.CONCAT(IFERROR(SUBSTITUTE(ADDRESS(1,MATCH(A2841,INDIRECT("'"&amp;E2841&amp;"'"&amp;"!A" &amp; $O$2815+ 5 &amp; ":Z" &amp; $O$2815 + 5),0),4),1,""),""),$O$2815+ 6)</f>
        <v>R719</v>
      </c>
      <c r="D2841" s="826" t="s">
        <v>1350</v>
      </c>
      <c r="E2841" s="826" t="s">
        <v>1516</v>
      </c>
      <c r="F2841" s="1671" t="s">
        <v>1999</v>
      </c>
      <c r="G2841" s="1671" t="str">
        <f t="shared" ref="G2841" si="555">IF(T2841&lt;&gt;"","AB","")</f>
        <v/>
      </c>
      <c r="H2841" s="1671" t="s">
        <v>1990</v>
      </c>
      <c r="I2841" s="1274"/>
      <c r="J2841" s="1671"/>
      <c r="K2841" s="1671"/>
      <c r="L2841" s="826"/>
      <c r="M2841" s="1672"/>
      <c r="N2841" s="1671"/>
      <c r="O2841" s="603"/>
      <c r="P2841" s="603"/>
      <c r="Q2841" s="603"/>
      <c r="R2841" s="1671" t="s">
        <v>2198</v>
      </c>
      <c r="T2841" s="1730" t="str">
        <f t="shared" si="554"/>
        <v/>
      </c>
    </row>
    <row r="2842" spans="1:20" s="1669" customFormat="1" x14ac:dyDescent="0.25">
      <c r="A2842" s="847" t="s">
        <v>1604</v>
      </c>
      <c r="B2842" s="826" t="str">
        <f ca="1">_xlfn.CONCAT(IFERROR(SUBSTITUTE(ADDRESS(1,MATCH(A2842,INDIRECT("'"&amp;E2842&amp;"'"&amp;"!A" &amp; $O$2815+ 5 &amp; ":Z" &amp; $O$2815 + 5),0),4),1,""),""),$O$2815+ 5)</f>
        <v>T718</v>
      </c>
      <c r="C2842" s="826" t="str">
        <f ca="1">_xlfn.CONCAT(IFERROR(SUBSTITUTE(ADDRESS(1,MATCH(A2842,INDIRECT("'"&amp;E2842&amp;"'"&amp;"!A" &amp; $O$2815+ 5 &amp; ":Z" &amp; $O$2815 + 5),0),4),1,""),""),$O$2815+ 6)</f>
        <v>T719</v>
      </c>
      <c r="D2842" s="826" t="s">
        <v>1350</v>
      </c>
      <c r="E2842" s="826" t="s">
        <v>1516</v>
      </c>
      <c r="F2842" s="1671" t="s">
        <v>1604</v>
      </c>
      <c r="G2842" s="1671" t="str">
        <f t="shared" ref="G2842" si="556">IF(T2842&lt;&gt;"","AP","")</f>
        <v/>
      </c>
      <c r="H2842" s="1671" t="s">
        <v>1990</v>
      </c>
      <c r="I2842" s="1274"/>
      <c r="J2842" s="1671"/>
      <c r="K2842" s="1671"/>
      <c r="L2842" s="826"/>
      <c r="M2842" s="1672"/>
      <c r="N2842" s="1671"/>
      <c r="O2842" s="603"/>
      <c r="P2842" s="603"/>
      <c r="Q2842" s="603"/>
      <c r="R2842" s="1671" t="s">
        <v>2198</v>
      </c>
      <c r="T2842" s="1730" t="str">
        <f t="shared" si="554"/>
        <v/>
      </c>
    </row>
    <row r="2843" spans="1:20" s="1669" customFormat="1" x14ac:dyDescent="0.25">
      <c r="A2843" s="847" t="s">
        <v>2135</v>
      </c>
      <c r="B2843" s="826" t="str">
        <f ca="1">_xlfn.CONCAT(IFERROR(SUBSTITUTE(ADDRESS(1,MATCH(A2843,INDIRECT("'"&amp;E2843&amp;"'"&amp;"!A" &amp; $O$2815+ 8 &amp; ":Z" &amp; $O$2815 + 8),0),4),1,""),""),$O$2815 + 8)</f>
        <v>L721</v>
      </c>
      <c r="C2843" s="826" t="str">
        <f ca="1">_xlfn.CONCAT(IFERROR(SUBSTITUTE(ADDRESS(1,MATCH(A2843,INDIRECT("'"&amp;E2843&amp;"'"&amp;"!A" &amp; $O$2815+ 8 &amp; ":Z" &amp; $O$2815 + 8),0),4),1,""),""),$O$2815 + 9)</f>
        <v>L722</v>
      </c>
      <c r="D2843" s="826" t="s">
        <v>1350</v>
      </c>
      <c r="E2843" s="826" t="s">
        <v>1516</v>
      </c>
      <c r="F2843" s="1671" t="s">
        <v>2135</v>
      </c>
      <c r="G2843" s="1671" t="str">
        <f>IF(T2843&lt;&gt;"","AZ","")</f>
        <v/>
      </c>
      <c r="H2843" s="1671" t="s">
        <v>1990</v>
      </c>
      <c r="I2843" s="1274"/>
      <c r="J2843" s="1671"/>
      <c r="K2843" s="1671"/>
      <c r="L2843" s="826" t="s">
        <v>2135</v>
      </c>
      <c r="M2843" s="1672">
        <v>1700</v>
      </c>
      <c r="N2843" s="1671"/>
      <c r="O2843" s="603"/>
      <c r="P2843" s="603"/>
      <c r="Q2843" s="603"/>
      <c r="R2843" s="1671" t="s">
        <v>2198</v>
      </c>
      <c r="T2843" s="1730" t="str">
        <f t="shared" si="554"/>
        <v/>
      </c>
    </row>
    <row r="2844" spans="1:20" s="1669" customFormat="1" x14ac:dyDescent="0.25">
      <c r="A2844" s="1673" t="s">
        <v>1491</v>
      </c>
      <c r="B2844" s="826" t="str">
        <f ca="1">IFERROR(_xlfn.CONCAT("C",MATCH(A2844,INDIRECT("'"&amp;E2844&amp;"'!C"&amp;$O$2845&amp;":C"&amp;$O$2847),0)+$O$2845-1),"")</f>
        <v>C731</v>
      </c>
      <c r="C2844" s="826" t="str">
        <f ca="1">IFERROR(_xlfn.CONCAT("D",MATCH(A2844,INDIRECT("'"&amp;E2844&amp;"'!C"&amp;$O$2845&amp;":C"&amp;$O$2847),0)+$O$2845-1),"")</f>
        <v>D731</v>
      </c>
      <c r="D2844" s="826" t="s">
        <v>1350</v>
      </c>
      <c r="E2844" s="826" t="s">
        <v>1516</v>
      </c>
      <c r="F2844" s="826" t="s">
        <v>1491</v>
      </c>
      <c r="G2844" s="1671" t="str">
        <f>IF(T2844&lt;&gt;"","A","")</f>
        <v/>
      </c>
      <c r="H2844" s="1671" t="s">
        <v>1990</v>
      </c>
      <c r="I2844" s="826"/>
      <c r="J2844" s="826"/>
      <c r="K2844" s="826"/>
      <c r="L2844" s="826" t="s">
        <v>1491</v>
      </c>
      <c r="M2844" s="1332">
        <v>1701</v>
      </c>
      <c r="N2844" s="826"/>
      <c r="O2844" s="1669" t="s">
        <v>725</v>
      </c>
      <c r="R2844" s="1671" t="s">
        <v>2199</v>
      </c>
      <c r="T2844" s="1671" t="str">
        <f>IF(Q$2845="Yes",52,"")</f>
        <v/>
      </c>
    </row>
    <row r="2845" spans="1:20" s="1669" customFormat="1" x14ac:dyDescent="0.25">
      <c r="A2845" s="1673" t="s">
        <v>1705</v>
      </c>
      <c r="B2845" s="826" t="str">
        <f ca="1">_xlfn.CONCAT(IFERROR(SUBSTITUTE(ADDRESS(1,MATCH(A2845,INDIRECT("'"&amp;E2845&amp;"'"&amp;"!A" &amp; $O$2845+ 11 &amp; ":Z" &amp; $O$2845 + 11),0),4),1,""),""),$O$2845+ 11)</f>
        <v>T738</v>
      </c>
      <c r="C2845" s="826" t="str">
        <f ca="1">_xlfn.CONCAT(IFERROR(SUBSTITUTE(ADDRESS(1,MATCH(A2845,INDIRECT("'"&amp;E2845&amp;"'"&amp;"!A" &amp; $O$2845+ 11 &amp; ":Z" &amp; $O$2845 + 11),0),4),1,""),""),$O$2845+ 12)</f>
        <v>T739</v>
      </c>
      <c r="D2845" s="826" t="s">
        <v>1350</v>
      </c>
      <c r="E2845" s="826" t="s">
        <v>1516</v>
      </c>
      <c r="F2845" s="826"/>
      <c r="G2845" s="1671"/>
      <c r="H2845" s="1671"/>
      <c r="I2845" s="826"/>
      <c r="J2845" s="826"/>
      <c r="K2845" s="826"/>
      <c r="L2845" s="826" t="s">
        <v>1705</v>
      </c>
      <c r="M2845" s="1332">
        <v>1702</v>
      </c>
      <c r="N2845" s="826"/>
      <c r="O2845" s="1669">
        <f>'Configurable Tab'!H54</f>
        <v>727</v>
      </c>
      <c r="P2845" s="18" t="str">
        <f>'Configurable Tab'!J54</f>
        <v>No</v>
      </c>
      <c r="Q2845" s="1669" t="s">
        <v>648</v>
      </c>
      <c r="R2845" s="1671" t="s">
        <v>2199</v>
      </c>
      <c r="T2845" s="1730" t="str">
        <f t="shared" ref="T2845:T2854" si="557">IF(Q$2845="Yes",52,"")</f>
        <v/>
      </c>
    </row>
    <row r="2846" spans="1:20" s="1669" customFormat="1" x14ac:dyDescent="0.25">
      <c r="A2846" s="1673" t="s">
        <v>1383</v>
      </c>
      <c r="B2846" s="826" t="str">
        <f ca="1">IFERROR(_xlfn.CONCAT("C",MATCH(A2846,INDIRECT("'"&amp;E2846&amp;"'!C"&amp;$O$2845&amp;":C"&amp;$O$2847),0)+$O$2845-1),"")</f>
        <v>C729</v>
      </c>
      <c r="C2846" s="826" t="str">
        <f ca="1">IFERROR(_xlfn.CONCAT("D",MATCH(A2846,INDIRECT("'"&amp;E2846&amp;"'!C"&amp;$O$2845&amp;":C"&amp;$O$2847),0)+$O$2845-1),"")</f>
        <v>D729</v>
      </c>
      <c r="D2846" s="826" t="s">
        <v>1350</v>
      </c>
      <c r="E2846" s="826" t="s">
        <v>1516</v>
      </c>
      <c r="F2846" s="826" t="s">
        <v>1383</v>
      </c>
      <c r="G2846" s="1671" t="str">
        <f>IF(T2846&lt;&gt;"","B","")</f>
        <v/>
      </c>
      <c r="H2846" s="1671" t="s">
        <v>1990</v>
      </c>
      <c r="I2846" s="826"/>
      <c r="J2846" s="826"/>
      <c r="K2846" s="826"/>
      <c r="L2846" s="826" t="s">
        <v>1383</v>
      </c>
      <c r="M2846" s="1332">
        <v>1703</v>
      </c>
      <c r="N2846" s="826"/>
      <c r="O2846" s="1669" t="s">
        <v>726</v>
      </c>
      <c r="R2846" s="1671" t="s">
        <v>2199</v>
      </c>
      <c r="T2846" s="1730" t="str">
        <f t="shared" si="557"/>
        <v/>
      </c>
    </row>
    <row r="2847" spans="1:20" s="1669" customFormat="1" x14ac:dyDescent="0.25">
      <c r="A2847" s="1673" t="s">
        <v>1381</v>
      </c>
      <c r="B2847" s="826" t="str">
        <f ca="1">_xlfn.CONCAT(IFERROR(SUBSTITUTE(ADDRESS(1,MATCH(A2847,INDIRECT("'"&amp;E2847&amp;"'"&amp;"!A" &amp; $O$2845+ 2 &amp; ":Z" &amp; $O$2845 + 2),0),4),1,""),""),$O$2845+ 2)</f>
        <v>J729</v>
      </c>
      <c r="C2847" s="826" t="str">
        <f ca="1">_xlfn.CONCAT(IFERROR(SUBSTITUTE(ADDRESS(1,MATCH(A2847,INDIRECT("'"&amp;E2847&amp;"'"&amp;"!A" &amp; $O$2845+ 2 &amp; ":Z" &amp; $O$2845 + 2),0),4),1,""),""),$O$2845+ 3)</f>
        <v>J730</v>
      </c>
      <c r="D2847" s="826" t="s">
        <v>1350</v>
      </c>
      <c r="E2847" s="826" t="s">
        <v>1516</v>
      </c>
      <c r="F2847" s="826" t="s">
        <v>1992</v>
      </c>
      <c r="G2847" s="1671" t="str">
        <f>IF(T2847&lt;&gt;"","I","")</f>
        <v/>
      </c>
      <c r="H2847" s="1671" t="s">
        <v>1990</v>
      </c>
      <c r="I2847" s="826"/>
      <c r="J2847" s="826"/>
      <c r="K2847" s="826"/>
      <c r="L2847" s="826" t="s">
        <v>1381</v>
      </c>
      <c r="M2847" s="1332">
        <v>1704</v>
      </c>
      <c r="N2847" s="826"/>
      <c r="O2847" s="1669">
        <f>'Configurable Tab'!I54</f>
        <v>740</v>
      </c>
      <c r="R2847" s="1671" t="s">
        <v>2199</v>
      </c>
      <c r="T2847" s="1730" t="str">
        <f t="shared" si="557"/>
        <v/>
      </c>
    </row>
    <row r="2848" spans="1:20" s="1669" customFormat="1" x14ac:dyDescent="0.25">
      <c r="A2848" s="1673" t="s">
        <v>1382</v>
      </c>
      <c r="B2848" s="826" t="str">
        <f ca="1">_xlfn.CONCAT(IFERROR(SUBSTITUTE(ADDRESS(1,MATCH(A2848,INDIRECT("'"&amp;E2848&amp;"'"&amp;"!A" &amp; $O$2845+ 2 &amp; ":Z" &amp; $O$2845 + 2),0),4),1,""),""),$O$2845+ 2)</f>
        <v>N729</v>
      </c>
      <c r="C2848" s="826" t="str">
        <f ca="1">_xlfn.CONCAT(IFERROR(SUBSTITUTE(ADDRESS(1,MATCH(A2848,INDIRECT("'"&amp;E2848&amp;"'"&amp;"!A" &amp; $O$2845+ 2 &amp; ":Z" &amp; $O$2845 + 2),0),4),1,""),""),$O$2845+ 3)</f>
        <v>N730</v>
      </c>
      <c r="D2848" s="826" t="s">
        <v>1350</v>
      </c>
      <c r="E2848" s="826" t="s">
        <v>1516</v>
      </c>
      <c r="F2848" s="826" t="s">
        <v>1382</v>
      </c>
      <c r="G2848" s="1671" t="str">
        <f>IF(T2848&lt;&gt;"",IF(Q2847="Credit Memo","J",IF(Q2847="Check","K","")),"")</f>
        <v/>
      </c>
      <c r="H2848" s="1671" t="s">
        <v>1990</v>
      </c>
      <c r="I2848" s="826"/>
      <c r="J2848" s="826"/>
      <c r="K2848" s="826"/>
      <c r="L2848" s="826" t="s">
        <v>1382</v>
      </c>
      <c r="M2848" s="1332">
        <v>1705</v>
      </c>
      <c r="N2848" s="826"/>
      <c r="O2848" s="1669" t="s">
        <v>2208</v>
      </c>
      <c r="R2848" s="1671" t="s">
        <v>2199</v>
      </c>
      <c r="T2848" s="1730" t="str">
        <f t="shared" si="557"/>
        <v/>
      </c>
    </row>
    <row r="2849" spans="1:20" s="1669" customFormat="1" x14ac:dyDescent="0.25">
      <c r="A2849" s="1673" t="s">
        <v>1385</v>
      </c>
      <c r="B2849" s="826" t="str">
        <f ca="1">IFERROR(_xlfn.CONCAT("C",MATCH(A2849,INDIRECT("'"&amp;E2849&amp;"'!C"&amp;$O$2845&amp;":C"&amp;$O$2847),0)+$O$2845-1),"")</f>
        <v>C733</v>
      </c>
      <c r="C2849" s="826" t="str">
        <f ca="1">IFERROR(_xlfn.CONCAT("D",MATCH(A2849,INDIRECT("'"&amp;E2849&amp;"'!C"&amp;$O$2845&amp;":C"&amp;$O$2847),0)+$O$2845-1),"")</f>
        <v>D733</v>
      </c>
      <c r="D2849" s="826" t="s">
        <v>1350</v>
      </c>
      <c r="E2849" s="826" t="s">
        <v>1516</v>
      </c>
      <c r="F2849" s="826" t="s">
        <v>1385</v>
      </c>
      <c r="G2849" s="1671" t="str">
        <f>IF(T2849&lt;&gt;"","C","")</f>
        <v/>
      </c>
      <c r="H2849" s="1671" t="s">
        <v>1990</v>
      </c>
      <c r="I2849" s="826"/>
      <c r="J2849" s="826"/>
      <c r="K2849" s="826"/>
      <c r="L2849" s="826" t="s">
        <v>1385</v>
      </c>
      <c r="M2849" s="1332">
        <v>1706</v>
      </c>
      <c r="N2849" s="826"/>
      <c r="R2849" s="1671" t="s">
        <v>2199</v>
      </c>
      <c r="T2849" s="1730" t="str">
        <f t="shared" si="557"/>
        <v/>
      </c>
    </row>
    <row r="2850" spans="1:20" s="1669" customFormat="1" x14ac:dyDescent="0.25">
      <c r="A2850" s="1673" t="s">
        <v>1386</v>
      </c>
      <c r="B2850" s="826" t="str">
        <f ca="1">IFERROR(_xlfn.CONCAT("C",MATCH(A2850,INDIRECT("'"&amp;E2850&amp;"'!C"&amp;$O$2845&amp;":C"&amp;$O$2847),0)+$O$2845-1),"")</f>
        <v>C735</v>
      </c>
      <c r="C2850" s="826" t="str">
        <f ca="1">IFERROR(_xlfn.CONCAT("D",MATCH(A2850,INDIRECT("'"&amp;E2850&amp;"'!C"&amp;$O$2845&amp;":C"&amp;$O$2847),0)+$O$2845-1),"")</f>
        <v>D735</v>
      </c>
      <c r="D2850" s="826" t="s">
        <v>1350</v>
      </c>
      <c r="E2850" s="826" t="s">
        <v>1516</v>
      </c>
      <c r="F2850" s="826" t="s">
        <v>1386</v>
      </c>
      <c r="G2850" s="1671" t="str">
        <f>IF(T2850&lt;&gt;"","D","")</f>
        <v/>
      </c>
      <c r="H2850" s="1671" t="s">
        <v>1990</v>
      </c>
      <c r="I2850" s="826"/>
      <c r="J2850" s="826"/>
      <c r="K2850" s="826"/>
      <c r="L2850" s="826" t="s">
        <v>1386</v>
      </c>
      <c r="M2850" s="1332">
        <v>1707</v>
      </c>
      <c r="N2850" s="826"/>
      <c r="R2850" s="1671" t="s">
        <v>2199</v>
      </c>
      <c r="T2850" s="1730" t="str">
        <f t="shared" si="557"/>
        <v/>
      </c>
    </row>
    <row r="2851" spans="1:20" s="1669" customFormat="1" x14ac:dyDescent="0.25">
      <c r="A2851" s="1673" t="s">
        <v>1396</v>
      </c>
      <c r="B2851" s="826" t="str">
        <f ca="1">_xlfn.CONCAT(IFERROR(SUBSTITUTE(ADDRESS(1,MATCH(A2851,INDIRECT("'"&amp;E2851&amp;"'"&amp;"!A" &amp; $O$2845+ 5 &amp; ":Z" &amp; $O$2845 + 5),0),4),1,""),""),$O$2845+ 5)</f>
        <v>H732</v>
      </c>
      <c r="C2851" s="826" t="str">
        <f ca="1">_xlfn.CONCAT(IFERROR(SUBSTITUTE(ADDRESS(1,MATCH(A2851,INDIRECT("'"&amp;E2851&amp;"'"&amp;"!A" &amp; $O$2845+ 5 &amp; ":Z" &amp; $O$2845 + 5),0),4),1,""),""),$O$2845+ 6)</f>
        <v>H733</v>
      </c>
      <c r="D2851" s="826" t="s">
        <v>1350</v>
      </c>
      <c r="E2851" s="826" t="s">
        <v>1516</v>
      </c>
      <c r="F2851" s="1671" t="s">
        <v>1396</v>
      </c>
      <c r="G2851" s="1671" t="str">
        <f>IF(T2851&lt;&gt;"","S","")</f>
        <v/>
      </c>
      <c r="H2851" s="1671" t="s">
        <v>1990</v>
      </c>
      <c r="I2851" s="826"/>
      <c r="J2851" s="826"/>
      <c r="K2851" s="826"/>
      <c r="L2851" s="826" t="s">
        <v>1396</v>
      </c>
      <c r="M2851" s="1332">
        <v>1708</v>
      </c>
      <c r="N2851" s="826"/>
      <c r="R2851" s="1671" t="s">
        <v>2199</v>
      </c>
      <c r="T2851" s="1730" t="str">
        <f t="shared" si="557"/>
        <v/>
      </c>
    </row>
    <row r="2852" spans="1:20" s="1669" customFormat="1" x14ac:dyDescent="0.25">
      <c r="A2852" s="1673" t="s">
        <v>2005</v>
      </c>
      <c r="B2852" s="826" t="str">
        <f ca="1">_xlfn.CONCAT(IFERROR(SUBSTITUTE(ADDRESS(1,MATCH(A2852,INDIRECT("'"&amp;E2852&amp;"'"&amp;"!A" &amp; $O$2845+ 8 &amp; ":Z" &amp; $O$2845 + 8),0),4),1,""),""),$O$2845 + 8)</f>
        <v>J735</v>
      </c>
      <c r="C2852" s="826" t="str">
        <f ca="1">_xlfn.CONCAT(IFERROR(SUBSTITUTE(ADDRESS(1,MATCH(A2852,INDIRECT("'"&amp;E2852&amp;"'"&amp;"!A" &amp; $O$2845+ 8 &amp; ":Z" &amp; $O$2845 + 8),0),4),1,""),""),$O$2845 + 9)</f>
        <v>J736</v>
      </c>
      <c r="D2852" s="826" t="s">
        <v>1350</v>
      </c>
      <c r="E2852" s="826" t="s">
        <v>1516</v>
      </c>
      <c r="F2852" s="826" t="s">
        <v>2005</v>
      </c>
      <c r="G2852" s="1671" t="str">
        <f>IF(T2852&lt;&gt;"","AQ","")</f>
        <v/>
      </c>
      <c r="H2852" s="1671" t="s">
        <v>1990</v>
      </c>
      <c r="I2852" s="826"/>
      <c r="J2852" s="826"/>
      <c r="K2852" s="826"/>
      <c r="L2852" s="826" t="s">
        <v>2005</v>
      </c>
      <c r="M2852" s="1332">
        <v>1709</v>
      </c>
      <c r="N2852" s="826"/>
      <c r="R2852" s="1671" t="s">
        <v>2199</v>
      </c>
      <c r="T2852" s="1730" t="str">
        <f t="shared" si="557"/>
        <v/>
      </c>
    </row>
    <row r="2853" spans="1:20" s="1669" customFormat="1" x14ac:dyDescent="0.25">
      <c r="A2853" s="1673" t="s">
        <v>1482</v>
      </c>
      <c r="B2853" s="826" t="str">
        <f ca="1">_xlfn.CONCAT(IFERROR(SUBSTITUTE(ADDRESS(1,MATCH(A2853,INDIRECT("'"&amp;E2853&amp;"'"&amp;"!A" &amp; $O$2845+ 8 &amp; ":Z" &amp; $O$2845 + 8),0),4),1,""),""),$O$2845 + 8)</f>
        <v>N735</v>
      </c>
      <c r="C2853" s="826" t="str">
        <f ca="1">_xlfn.CONCAT(IFERROR(SUBSTITUTE(ADDRESS(1,MATCH(A2853,INDIRECT("'"&amp;E2853&amp;"'"&amp;"!A" &amp; $O$2845+ 8 &amp; ":Z" &amp; $O$2845 + 8),0),4),1,""),""),$O$2845 + 9)</f>
        <v>N736</v>
      </c>
      <c r="D2853" s="826" t="s">
        <v>1350</v>
      </c>
      <c r="E2853" s="826" t="s">
        <v>1516</v>
      </c>
      <c r="F2853" s="826" t="s">
        <v>2054</v>
      </c>
      <c r="G2853" s="1671" t="str">
        <f>IF(T2853&lt;&gt;"","AA","")</f>
        <v/>
      </c>
      <c r="H2853" s="1671" t="s">
        <v>1990</v>
      </c>
      <c r="I2853" s="826"/>
      <c r="J2853" s="826"/>
      <c r="K2853" s="826"/>
      <c r="L2853" s="826" t="s">
        <v>2006</v>
      </c>
      <c r="M2853" s="1332">
        <v>1710</v>
      </c>
      <c r="N2853" s="826"/>
      <c r="R2853" s="1671" t="s">
        <v>2199</v>
      </c>
      <c r="T2853" s="1730" t="str">
        <f t="shared" si="557"/>
        <v/>
      </c>
    </row>
    <row r="2854" spans="1:20" s="1669" customFormat="1" x14ac:dyDescent="0.25">
      <c r="A2854" s="1673" t="s">
        <v>1397</v>
      </c>
      <c r="B2854" s="826" t="str">
        <f ca="1">_xlfn.CONCAT(IFERROR(SUBSTITUTE(ADDRESS(1,MATCH(A2854,INDIRECT("'"&amp;E2854&amp;"'"&amp;"!A" &amp; $O$2845+ 2 &amp; ":Z" &amp; $O$2845 + 2),0),4),1,""),""),$O$2845 + 2)</f>
        <v>L729</v>
      </c>
      <c r="C2854" s="826" t="str">
        <f ca="1">_xlfn.CONCAT(IFERROR(SUBSTITUTE(ADDRESS(1,MATCH(A2854,INDIRECT("'"&amp;E2854&amp;"'"&amp;"!A" &amp; $O$2845+ 2 &amp; ":Z" &amp; $O$2845 + 2),0),4),1,""),""),$O$2845 + 3)</f>
        <v>L730</v>
      </c>
      <c r="D2854" s="826" t="s">
        <v>1350</v>
      </c>
      <c r="E2854" s="826" t="s">
        <v>1516</v>
      </c>
      <c r="F2854" s="826" t="s">
        <v>1993</v>
      </c>
      <c r="G2854" s="1671" t="str">
        <f>IF(T2854&lt;&gt;"","H","")</f>
        <v/>
      </c>
      <c r="H2854" s="1671" t="s">
        <v>1990</v>
      </c>
      <c r="I2854" s="826"/>
      <c r="J2854" s="826"/>
      <c r="K2854" s="826"/>
      <c r="L2854" s="826" t="s">
        <v>1397</v>
      </c>
      <c r="M2854" s="1332">
        <v>1711</v>
      </c>
      <c r="N2854" s="826"/>
      <c r="R2854" s="1671" t="s">
        <v>2199</v>
      </c>
      <c r="T2854" s="1730" t="str">
        <f t="shared" si="557"/>
        <v/>
      </c>
    </row>
    <row r="2855" spans="1:20" s="1669" customFormat="1" x14ac:dyDescent="0.25">
      <c r="A2855" s="1673" t="s">
        <v>1705</v>
      </c>
      <c r="B2855" s="1274" t="str">
        <f>IFERROR(_xlfn.CONCAT("D",('Configurable Tab'!$C$39+1)),"")</f>
        <v>D402</v>
      </c>
      <c r="C2855" s="1274" t="str">
        <f>IFERROR(_xlfn.CONCAT("E",('Configurable Tab'!$C$39+1)),"")</f>
        <v>E402</v>
      </c>
      <c r="D2855" s="826" t="s">
        <v>1350</v>
      </c>
      <c r="E2855" s="826" t="s">
        <v>1742</v>
      </c>
      <c r="F2855" s="1671"/>
      <c r="G2855" s="1671"/>
      <c r="H2855" s="1671"/>
      <c r="I2855" s="1274" t="str">
        <f t="shared" ref="I2855:I2865" si="558">IF(J2855&lt;&gt;"",A2855,"")</f>
        <v/>
      </c>
      <c r="J2855" s="1671" t="str">
        <f t="shared" ref="J2855:J2864" si="559">IFERROR(IF($Q$2845="Yes",Q$1&amp;M2845,""),"")</f>
        <v/>
      </c>
      <c r="K2855" s="1671" t="str">
        <f t="shared" ref="K2855:K2865" si="560">IF(J2855&lt;&gt;"",E2855,"")</f>
        <v/>
      </c>
      <c r="M2855" s="1670"/>
      <c r="Q2855" s="1274" t="str">
        <f>IFERROR(_xlfn.CONCAT("C",('Configurable Tab'!$C39+1)),"")</f>
        <v>C402</v>
      </c>
      <c r="R2855" s="1671" t="s">
        <v>2199</v>
      </c>
    </row>
    <row r="2856" spans="1:20" s="1669" customFormat="1" x14ac:dyDescent="0.25">
      <c r="A2856" s="1673" t="s">
        <v>1383</v>
      </c>
      <c r="B2856" s="1274" t="str">
        <f>IFERROR(_xlfn.CONCAT("D",('Configurable Tab'!$C$39+2)),"")</f>
        <v>D403</v>
      </c>
      <c r="C2856" s="1274" t="str">
        <f>IFERROR(_xlfn.CONCAT("E",('Configurable Tab'!$C$39+2)),"")</f>
        <v>E403</v>
      </c>
      <c r="D2856" s="826" t="s">
        <v>1350</v>
      </c>
      <c r="E2856" s="826" t="s">
        <v>1742</v>
      </c>
      <c r="F2856" s="1671"/>
      <c r="G2856" s="1671"/>
      <c r="H2856" s="1671"/>
      <c r="I2856" s="1274" t="str">
        <f t="shared" si="558"/>
        <v/>
      </c>
      <c r="J2856" s="1671" t="str">
        <f t="shared" si="559"/>
        <v/>
      </c>
      <c r="K2856" s="1671" t="str">
        <f t="shared" si="560"/>
        <v/>
      </c>
      <c r="M2856" s="1670"/>
      <c r="R2856" s="1671" t="s">
        <v>2199</v>
      </c>
    </row>
    <row r="2857" spans="1:20" s="1669" customFormat="1" x14ac:dyDescent="0.25">
      <c r="A2857" s="1673" t="s">
        <v>1381</v>
      </c>
      <c r="B2857" s="1274" t="str">
        <f>IFERROR(_xlfn.CONCAT("I",('Configurable Tab'!$C$39+1)),"")</f>
        <v>I402</v>
      </c>
      <c r="C2857" s="1274" t="str">
        <f>IFERROR(_xlfn.CONCAT("I",('Configurable Tab'!$C$39+2)),"")</f>
        <v>I403</v>
      </c>
      <c r="D2857" s="826" t="s">
        <v>1350</v>
      </c>
      <c r="E2857" s="826" t="s">
        <v>1742</v>
      </c>
      <c r="F2857" s="1671"/>
      <c r="G2857" s="1671"/>
      <c r="H2857" s="1671"/>
      <c r="I2857" s="1274" t="str">
        <f t="shared" si="558"/>
        <v/>
      </c>
      <c r="J2857" s="1671" t="str">
        <f t="shared" si="559"/>
        <v/>
      </c>
      <c r="K2857" s="1671" t="str">
        <f t="shared" si="560"/>
        <v/>
      </c>
      <c r="M2857" s="1670"/>
      <c r="R2857" s="1671" t="s">
        <v>2199</v>
      </c>
    </row>
    <row r="2858" spans="1:20" s="1669" customFormat="1" x14ac:dyDescent="0.25">
      <c r="A2858" s="1673" t="s">
        <v>1382</v>
      </c>
      <c r="B2858" s="1274" t="str">
        <f>IFERROR(_xlfn.CONCAT("M",('Configurable Tab'!$C$39+1)),"")</f>
        <v>M402</v>
      </c>
      <c r="C2858" s="1274" t="str">
        <f>IFERROR(_xlfn.CONCAT("M",('Configurable Tab'!$C$39+2)),"")</f>
        <v>M403</v>
      </c>
      <c r="D2858" s="826" t="s">
        <v>1350</v>
      </c>
      <c r="E2858" s="826" t="s">
        <v>1742</v>
      </c>
      <c r="F2858" s="1671"/>
      <c r="G2858" s="1671"/>
      <c r="H2858" s="1671"/>
      <c r="I2858" s="1274" t="str">
        <f t="shared" si="558"/>
        <v/>
      </c>
      <c r="J2858" s="1671" t="str">
        <f t="shared" si="559"/>
        <v/>
      </c>
      <c r="K2858" s="1671" t="str">
        <f t="shared" si="560"/>
        <v/>
      </c>
      <c r="M2858" s="1670"/>
      <c r="R2858" s="1671" t="s">
        <v>2199</v>
      </c>
    </row>
    <row r="2859" spans="1:20" s="1669" customFormat="1" x14ac:dyDescent="0.25">
      <c r="A2859" s="1673" t="s">
        <v>1385</v>
      </c>
      <c r="B2859" s="1274" t="str">
        <f>IFERROR(_xlfn.CONCAT("D",('Configurable Tab'!$C$39+4)),"")</f>
        <v>D405</v>
      </c>
      <c r="C2859" s="1274" t="str">
        <f>IFERROR(_xlfn.CONCAT("E",('Configurable Tab'!$C$39+4)),"")</f>
        <v>E405</v>
      </c>
      <c r="D2859" s="826" t="s">
        <v>1350</v>
      </c>
      <c r="E2859" s="826" t="s">
        <v>1742</v>
      </c>
      <c r="F2859" s="1671"/>
      <c r="G2859" s="1671"/>
      <c r="H2859" s="1671"/>
      <c r="I2859" s="1274" t="str">
        <f t="shared" si="558"/>
        <v/>
      </c>
      <c r="J2859" s="1671" t="str">
        <f t="shared" si="559"/>
        <v/>
      </c>
      <c r="K2859" s="1671" t="str">
        <f t="shared" si="560"/>
        <v/>
      </c>
      <c r="M2859" s="1670"/>
      <c r="R2859" s="1671" t="s">
        <v>2199</v>
      </c>
    </row>
    <row r="2860" spans="1:20" s="1669" customFormat="1" x14ac:dyDescent="0.25">
      <c r="A2860" s="1673" t="s">
        <v>1386</v>
      </c>
      <c r="B2860" s="1274" t="str">
        <f>IFERROR(_xlfn.CONCAT("D",('Configurable Tab'!$C$39+5)),"")</f>
        <v>D406</v>
      </c>
      <c r="C2860" s="1274" t="str">
        <f>IFERROR(_xlfn.CONCAT("E",('Configurable Tab'!$C$39+5)),"")</f>
        <v>E406</v>
      </c>
      <c r="D2860" s="826" t="s">
        <v>1350</v>
      </c>
      <c r="E2860" s="826" t="s">
        <v>1742</v>
      </c>
      <c r="F2860" s="1671"/>
      <c r="G2860" s="1671"/>
      <c r="H2860" s="1671"/>
      <c r="I2860" s="1274" t="str">
        <f t="shared" si="558"/>
        <v/>
      </c>
      <c r="J2860" s="1671" t="str">
        <f t="shared" si="559"/>
        <v/>
      </c>
      <c r="K2860" s="1671" t="str">
        <f t="shared" si="560"/>
        <v/>
      </c>
      <c r="M2860" s="1670"/>
      <c r="R2860" s="1671" t="s">
        <v>2199</v>
      </c>
    </row>
    <row r="2861" spans="1:20" s="1669" customFormat="1" x14ac:dyDescent="0.25">
      <c r="A2861" s="1673" t="s">
        <v>1396</v>
      </c>
      <c r="B2861" s="1274" t="str">
        <f>IFERROR(_xlfn.CONCAT("G",('Configurable Tab'!$C$39+4)),"")</f>
        <v>G405</v>
      </c>
      <c r="C2861" s="1274" t="str">
        <f>IFERROR(_xlfn.CONCAT("G",('Configurable Tab'!$C$39+5)),"")</f>
        <v>G406</v>
      </c>
      <c r="D2861" s="826" t="s">
        <v>1350</v>
      </c>
      <c r="E2861" s="826" t="s">
        <v>1742</v>
      </c>
      <c r="F2861" s="1671"/>
      <c r="G2861" s="1671"/>
      <c r="H2861" s="1671"/>
      <c r="I2861" s="1274" t="str">
        <f t="shared" si="558"/>
        <v/>
      </c>
      <c r="J2861" s="1671" t="str">
        <f t="shared" si="559"/>
        <v/>
      </c>
      <c r="K2861" s="1671" t="str">
        <f t="shared" si="560"/>
        <v/>
      </c>
      <c r="M2861" s="1670"/>
      <c r="R2861" s="1671" t="s">
        <v>2199</v>
      </c>
    </row>
    <row r="2862" spans="1:20" s="1669" customFormat="1" x14ac:dyDescent="0.25">
      <c r="A2862" s="1673" t="s">
        <v>2005</v>
      </c>
      <c r="B2862" s="1274" t="str">
        <f>IFERROR(_xlfn.CONCAT("G",('Configurable Tab'!$C$39+7)),"")</f>
        <v>G408</v>
      </c>
      <c r="C2862" s="1274" t="str">
        <f>IFERROR(_xlfn.CONCAT("G",('Configurable Tab'!$C$39+8)),"")</f>
        <v>G409</v>
      </c>
      <c r="D2862" s="826" t="s">
        <v>1350</v>
      </c>
      <c r="E2862" s="826" t="s">
        <v>1742</v>
      </c>
      <c r="F2862" s="1671"/>
      <c r="G2862" s="1671"/>
      <c r="H2862" s="1671"/>
      <c r="I2862" s="1274" t="str">
        <f t="shared" si="558"/>
        <v/>
      </c>
      <c r="J2862" s="1671" t="str">
        <f t="shared" si="559"/>
        <v/>
      </c>
      <c r="K2862" s="1671" t="str">
        <f t="shared" si="560"/>
        <v/>
      </c>
      <c r="M2862" s="1670"/>
      <c r="R2862" s="1671" t="s">
        <v>2199</v>
      </c>
    </row>
    <row r="2863" spans="1:20" s="1669" customFormat="1" x14ac:dyDescent="0.25">
      <c r="A2863" s="1673" t="s">
        <v>1482</v>
      </c>
      <c r="B2863" s="1274" t="str">
        <f>IFERROR(_xlfn.CONCAT("K",('Configurable Tab'!$C$39+7)),"")</f>
        <v>K408</v>
      </c>
      <c r="C2863" s="1274" t="str">
        <f>IFERROR(_xlfn.CONCAT("K",('Configurable Tab'!$C$39+8)),"")</f>
        <v>K409</v>
      </c>
      <c r="D2863" s="826" t="s">
        <v>1350</v>
      </c>
      <c r="E2863" s="826" t="s">
        <v>1742</v>
      </c>
      <c r="F2863" s="1671"/>
      <c r="G2863" s="1671"/>
      <c r="H2863" s="1671"/>
      <c r="I2863" s="1274" t="str">
        <f t="shared" si="558"/>
        <v/>
      </c>
      <c r="J2863" s="1671" t="str">
        <f t="shared" si="559"/>
        <v/>
      </c>
      <c r="K2863" s="1671" t="str">
        <f t="shared" si="560"/>
        <v/>
      </c>
      <c r="M2863" s="1670"/>
      <c r="R2863" s="1671" t="s">
        <v>2199</v>
      </c>
    </row>
    <row r="2864" spans="1:20" s="1669" customFormat="1" x14ac:dyDescent="0.25">
      <c r="A2864" s="1673" t="s">
        <v>1397</v>
      </c>
      <c r="B2864" s="1274" t="str">
        <f>IFERROR(_xlfn.CONCAT("K",('Configurable Tab'!$C$39+1)),"")</f>
        <v>K402</v>
      </c>
      <c r="C2864" s="1274" t="str">
        <f>IFERROR(_xlfn.CONCAT("K",('Configurable Tab'!$C$39+2)),"")</f>
        <v>K403</v>
      </c>
      <c r="D2864" s="826" t="s">
        <v>1350</v>
      </c>
      <c r="E2864" s="826" t="s">
        <v>1742</v>
      </c>
      <c r="F2864" s="1671"/>
      <c r="G2864" s="1671"/>
      <c r="H2864" s="1671"/>
      <c r="I2864" s="1274" t="str">
        <f t="shared" si="558"/>
        <v/>
      </c>
      <c r="J2864" s="1671" t="str">
        <f t="shared" si="559"/>
        <v/>
      </c>
      <c r="K2864" s="1671" t="str">
        <f t="shared" si="560"/>
        <v/>
      </c>
      <c r="M2864" s="1670"/>
      <c r="R2864" s="1671" t="s">
        <v>2199</v>
      </c>
    </row>
    <row r="2865" spans="1:20" s="1669" customFormat="1" x14ac:dyDescent="0.25">
      <c r="A2865" s="1673" t="s">
        <v>1496</v>
      </c>
      <c r="B2865" s="826" t="str">
        <f ca="1">IFERROR(_xlfn.CONCAT("C",MATCH(A2865,INDIRECT("'"&amp;E2865&amp;"'!C"&amp;$O$2845&amp;":C"&amp;$O$2847),0)+$O$2845-1),"")</f>
        <v>C739</v>
      </c>
      <c r="C2865" s="826" t="str">
        <f ca="1">IFERROR(_xlfn.CONCAT("D",MATCH(A2865,INDIRECT("'"&amp;E2865&amp;"'!C"&amp;$O$2845&amp;":C"&amp;$O$2847),0)+$O$2845-1),"")</f>
        <v>D739</v>
      </c>
      <c r="D2865" s="826" t="s">
        <v>1350</v>
      </c>
      <c r="E2865" s="826" t="s">
        <v>1516</v>
      </c>
      <c r="F2865" s="1671" t="s">
        <v>1496</v>
      </c>
      <c r="G2865" s="1671" t="str">
        <f t="shared" ref="G2865" si="561">IF(T2865&lt;&gt;"","AS","")</f>
        <v/>
      </c>
      <c r="H2865" s="1671" t="s">
        <v>1990</v>
      </c>
      <c r="I2865" s="1274" t="str">
        <f t="shared" si="558"/>
        <v/>
      </c>
      <c r="J2865" s="1671"/>
      <c r="K2865" s="1671" t="str">
        <f t="shared" si="560"/>
        <v/>
      </c>
      <c r="L2865" s="826"/>
      <c r="M2865" s="1672"/>
      <c r="N2865" s="1671"/>
      <c r="R2865" s="1671" t="s">
        <v>2199</v>
      </c>
      <c r="T2865" s="1671" t="str">
        <f>IF(Q$2845="Yes",52,"")</f>
        <v/>
      </c>
    </row>
    <row r="2866" spans="1:20" s="1669" customFormat="1" x14ac:dyDescent="0.25">
      <c r="A2866" s="1674" t="s">
        <v>1495</v>
      </c>
      <c r="B2866" s="826" t="str">
        <f ca="1">IFERROR(_xlfn.CONCAT("C",MATCH(A2866,INDIRECT("'"&amp;E2866&amp;"'!C"&amp;$O$2845&amp;":C"&amp;$O$2847),0)+$O$2845-1),"")</f>
        <v>C737</v>
      </c>
      <c r="C2866" s="826" t="str">
        <f ca="1">IFERROR(_xlfn.CONCAT("D",MATCH(A2866,INDIRECT("'"&amp;E2866&amp;"'!C"&amp;$O$2845&amp;":C"&amp;$O$2847),0)+$O$2845-1),"")</f>
        <v>D737</v>
      </c>
      <c r="D2866" s="826" t="s">
        <v>1350</v>
      </c>
      <c r="E2866" s="826" t="s">
        <v>1516</v>
      </c>
      <c r="F2866" s="1671" t="s">
        <v>1495</v>
      </c>
      <c r="G2866" s="1671" t="str">
        <f>IF(T2866&lt;&gt;"","AN","")</f>
        <v/>
      </c>
      <c r="H2866" s="1671" t="s">
        <v>1990</v>
      </c>
      <c r="I2866" s="1274"/>
      <c r="J2866" s="1671"/>
      <c r="K2866" s="1671"/>
      <c r="L2866" s="826"/>
      <c r="M2866" s="1672"/>
      <c r="N2866" s="1671"/>
      <c r="O2866" s="1561"/>
      <c r="P2866" s="603"/>
      <c r="Q2866" s="603"/>
      <c r="R2866" s="1671" t="s">
        <v>2199</v>
      </c>
      <c r="T2866" s="1730" t="str">
        <f t="shared" ref="T2866:T2873" si="562">IF(Q$2845="Yes",52,"")</f>
        <v/>
      </c>
    </row>
    <row r="2867" spans="1:20" s="1669" customFormat="1" x14ac:dyDescent="0.25">
      <c r="A2867" s="1674" t="s">
        <v>1492</v>
      </c>
      <c r="B2867" s="826" t="str">
        <f ca="1">_xlfn.CONCAT(IFERROR(SUBSTITUTE(ADDRESS(1,MATCH(A2867,INDIRECT("'"&amp;E2867&amp;"'"&amp;"!A" &amp; $O$2845+ 8 &amp; ":Z" &amp; $O$2845 + 8),0),4),1,""),""),$O$2845 + 8)</f>
        <v>H735</v>
      </c>
      <c r="C2867" s="826" t="str">
        <f ca="1">_xlfn.CONCAT(IFERROR(SUBSTITUTE(ADDRESS(1,MATCH(A2867,INDIRECT("'"&amp;E2867&amp;"'"&amp;"!A" &amp; $O$2845+ 8 &amp; ":Z" &amp; $O$2845 + 8),0),4),1,""),""),$O$2845 + 9)</f>
        <v>H736</v>
      </c>
      <c r="D2867" s="826" t="s">
        <v>1350</v>
      </c>
      <c r="E2867" s="826" t="s">
        <v>1516</v>
      </c>
      <c r="F2867" s="1671" t="s">
        <v>1492</v>
      </c>
      <c r="G2867" s="1671" t="str">
        <f>IF(T2867&lt;&gt;"","AL","")</f>
        <v/>
      </c>
      <c r="H2867" s="1671" t="s">
        <v>1990</v>
      </c>
      <c r="I2867" s="1274"/>
      <c r="J2867" s="1671"/>
      <c r="K2867" s="1671"/>
      <c r="L2867" s="826"/>
      <c r="M2867" s="1672"/>
      <c r="N2867" s="1671"/>
      <c r="O2867" s="603"/>
      <c r="P2867" s="603"/>
      <c r="Q2867" s="603"/>
      <c r="R2867" s="1671" t="s">
        <v>2199</v>
      </c>
      <c r="T2867" s="1730" t="str">
        <f t="shared" si="562"/>
        <v/>
      </c>
    </row>
    <row r="2868" spans="1:20" s="1669" customFormat="1" x14ac:dyDescent="0.25">
      <c r="A2868" s="1674" t="s">
        <v>1380</v>
      </c>
      <c r="B2868" s="826" t="str">
        <f ca="1">_xlfn.CONCAT(IFERROR(SUBSTITUTE(ADDRESS(1,MATCH(A2868,INDIRECT("'"&amp;E2868&amp;"'"&amp;"!A" &amp; $O$2845+ 2 &amp; ":Z" &amp; $O$2845 + 2),0),4),1,""),""),$O$2845+ 2)</f>
        <v>H729</v>
      </c>
      <c r="C2868" s="826" t="str">
        <f ca="1">_xlfn.CONCAT(IFERROR(SUBSTITUTE(ADDRESS(1,MATCH(A2868,INDIRECT("'"&amp;E2868&amp;"'"&amp;"!A" &amp; $O$2845+ 2 &amp; ":Z" &amp; $O$2845 + 2),0),4),1,""),""),$O$2845+ 3)</f>
        <v>H730</v>
      </c>
      <c r="D2868" s="826" t="s">
        <v>1350</v>
      </c>
      <c r="E2868" s="826" t="s">
        <v>1516</v>
      </c>
      <c r="F2868" s="1671" t="s">
        <v>1991</v>
      </c>
      <c r="G2868" s="1671" t="str">
        <f>IF(T2868&lt;&gt;"","E","")</f>
        <v/>
      </c>
      <c r="H2868" s="1671" t="s">
        <v>1990</v>
      </c>
      <c r="I2868" s="1274"/>
      <c r="J2868" s="1671"/>
      <c r="K2868" s="1671"/>
      <c r="L2868" s="826"/>
      <c r="M2868" s="1672"/>
      <c r="N2868" s="1671"/>
      <c r="O2868" s="603"/>
      <c r="P2868" s="603"/>
      <c r="Q2868" s="603"/>
      <c r="R2868" s="1671" t="s">
        <v>2199</v>
      </c>
      <c r="T2868" s="1730" t="str">
        <f t="shared" si="562"/>
        <v/>
      </c>
    </row>
    <row r="2869" spans="1:20" s="1669" customFormat="1" x14ac:dyDescent="0.25">
      <c r="A2869" s="1674" t="s">
        <v>1487</v>
      </c>
      <c r="B2869" s="826" t="str">
        <f ca="1">_xlfn.CONCAT(IFERROR(SUBSTITUTE(ADDRESS(1,MATCH(A2869,INDIRECT("'"&amp;E2869&amp;"'"&amp;"!A" &amp; $O$2845+ 2 &amp; ":Z" &amp; $O$2845 + 2),0),4),1,""),""),$O$2845+ 2)</f>
        <v>R729</v>
      </c>
      <c r="C2869" s="826" t="str">
        <f ca="1">_xlfn.CONCAT(IFERROR(SUBSTITUTE(ADDRESS(1,MATCH(A2869,INDIRECT("'"&amp;E2869&amp;"'"&amp;"!A" &amp; $O$2845+ 2 &amp; ":Z" &amp; $O$2845 + 2),0),4),1,""),""),$O$2845+ 3)</f>
        <v>R730</v>
      </c>
      <c r="D2869" s="826" t="s">
        <v>1350</v>
      </c>
      <c r="E2869" s="826" t="s">
        <v>1516</v>
      </c>
      <c r="F2869" s="1671" t="s">
        <v>1995</v>
      </c>
      <c r="G2869" s="1671" t="str">
        <f>IF(T2869&lt;&gt;"","G","")</f>
        <v/>
      </c>
      <c r="H2869" s="1671" t="s">
        <v>1990</v>
      </c>
      <c r="I2869" s="1274"/>
      <c r="J2869" s="1671"/>
      <c r="K2869" s="1671"/>
      <c r="L2869" s="826"/>
      <c r="M2869" s="1672"/>
      <c r="N2869" s="1671"/>
      <c r="O2869" s="603"/>
      <c r="P2869" s="603"/>
      <c r="Q2869" s="603"/>
      <c r="R2869" s="1671" t="s">
        <v>2199</v>
      </c>
      <c r="T2869" s="1730" t="str">
        <f t="shared" si="562"/>
        <v/>
      </c>
    </row>
    <row r="2870" spans="1:20" s="1669" customFormat="1" x14ac:dyDescent="0.25">
      <c r="A2870" s="1674" t="s">
        <v>1488</v>
      </c>
      <c r="B2870" s="826" t="str">
        <f ca="1">_xlfn.CONCAT(IFERROR(SUBSTITUTE(ADDRESS(1,MATCH(A2870,INDIRECT("'"&amp;E2870&amp;"'"&amp;"!A" &amp; $O$2845+ 2 &amp; ":Z" &amp; $O$2845 + 2),0),4),1,""),""),$O$2845+ 2)</f>
        <v>T729</v>
      </c>
      <c r="C2870" s="826" t="str">
        <f ca="1">_xlfn.CONCAT(IFERROR(SUBSTITUTE(ADDRESS(1,MATCH(A2870,INDIRECT("'"&amp;E2870&amp;"'"&amp;"!A" &amp; $O$2845+ 2 &amp; ":Z" &amp; $O$2845 + 2),0),4),1,""),""),$O$2845+ 3)</f>
        <v>T730</v>
      </c>
      <c r="D2870" s="826" t="s">
        <v>1350</v>
      </c>
      <c r="E2870" s="826" t="s">
        <v>1516</v>
      </c>
      <c r="F2870" s="841" t="s">
        <v>1488</v>
      </c>
      <c r="G2870" s="1671" t="str">
        <f>IF(T2870&lt;&gt;"","AW","")</f>
        <v/>
      </c>
      <c r="H2870" s="1671" t="s">
        <v>1990</v>
      </c>
      <c r="I2870" s="1274"/>
      <c r="J2870" s="1671"/>
      <c r="K2870" s="1671"/>
      <c r="L2870" s="826"/>
      <c r="M2870" s="1672"/>
      <c r="N2870" s="1671"/>
      <c r="O2870" s="603"/>
      <c r="P2870" s="603"/>
      <c r="Q2870" s="603"/>
      <c r="R2870" s="1671" t="s">
        <v>2199</v>
      </c>
      <c r="T2870" s="1730" t="str">
        <f t="shared" si="562"/>
        <v/>
      </c>
    </row>
    <row r="2871" spans="1:20" s="1669" customFormat="1" x14ac:dyDescent="0.25">
      <c r="A2871" s="1674" t="s">
        <v>1603</v>
      </c>
      <c r="B2871" s="826" t="str">
        <f ca="1">_xlfn.CONCAT(IFERROR(SUBSTITUTE(ADDRESS(1,MATCH(A2871,INDIRECT("'"&amp;E2871&amp;"'"&amp;"!A" &amp; $O$2845+ 5 &amp; ":Z" &amp; $O$2845 + 5),0),4),1,""),""),$O$2845+ 5)</f>
        <v>R732</v>
      </c>
      <c r="C2871" s="826" t="str">
        <f ca="1">_xlfn.CONCAT(IFERROR(SUBSTITUTE(ADDRESS(1,MATCH(A2871,INDIRECT("'"&amp;E2871&amp;"'"&amp;"!A" &amp; $O$2845+ 5 &amp; ":Z" &amp; $O$2845 + 5),0),4),1,""),""),$O$2845+ 6)</f>
        <v>R733</v>
      </c>
      <c r="D2871" s="826" t="s">
        <v>1350</v>
      </c>
      <c r="E2871" s="826" t="s">
        <v>1516</v>
      </c>
      <c r="F2871" s="1671" t="s">
        <v>1999</v>
      </c>
      <c r="G2871" s="1671" t="str">
        <f t="shared" ref="G2871" si="563">IF(T2871&lt;&gt;"","AB","")</f>
        <v/>
      </c>
      <c r="H2871" s="1671" t="s">
        <v>1990</v>
      </c>
      <c r="I2871" s="1274"/>
      <c r="J2871" s="1671"/>
      <c r="K2871" s="1671"/>
      <c r="L2871" s="826"/>
      <c r="M2871" s="1672"/>
      <c r="N2871" s="1671"/>
      <c r="O2871" s="603"/>
      <c r="P2871" s="603"/>
      <c r="Q2871" s="603"/>
      <c r="R2871" s="1671" t="s">
        <v>2199</v>
      </c>
      <c r="T2871" s="1730" t="str">
        <f t="shared" si="562"/>
        <v/>
      </c>
    </row>
    <row r="2872" spans="1:20" s="1669" customFormat="1" x14ac:dyDescent="0.25">
      <c r="A2872" s="1674" t="s">
        <v>1604</v>
      </c>
      <c r="B2872" s="826" t="str">
        <f ca="1">_xlfn.CONCAT(IFERROR(SUBSTITUTE(ADDRESS(1,MATCH(A2872,INDIRECT("'"&amp;E2872&amp;"'"&amp;"!A" &amp; $O$2845+ 5 &amp; ":Z" &amp; $O$2845 + 5),0),4),1,""),""),$O$2845+ 5)</f>
        <v>T732</v>
      </c>
      <c r="C2872" s="826" t="str">
        <f ca="1">_xlfn.CONCAT(IFERROR(SUBSTITUTE(ADDRESS(1,MATCH(A2872,INDIRECT("'"&amp;E2872&amp;"'"&amp;"!A" &amp; $O$2845+ 5 &amp; ":Z" &amp; $O$2845 + 5),0),4),1,""),""),$O$2845+ 6)</f>
        <v>T733</v>
      </c>
      <c r="D2872" s="826" t="s">
        <v>1350</v>
      </c>
      <c r="E2872" s="826" t="s">
        <v>1516</v>
      </c>
      <c r="F2872" s="1671" t="s">
        <v>1604</v>
      </c>
      <c r="G2872" s="1671" t="str">
        <f t="shared" ref="G2872" si="564">IF(T2872&lt;&gt;"","AP","")</f>
        <v/>
      </c>
      <c r="H2872" s="1671" t="s">
        <v>1990</v>
      </c>
      <c r="I2872" s="1274"/>
      <c r="J2872" s="1671"/>
      <c r="K2872" s="1671"/>
      <c r="L2872" s="826"/>
      <c r="M2872" s="1672"/>
      <c r="N2872" s="1671"/>
      <c r="O2872" s="603"/>
      <c r="P2872" s="603"/>
      <c r="Q2872" s="603"/>
      <c r="R2872" s="1671" t="s">
        <v>2199</v>
      </c>
      <c r="T2872" s="1730" t="str">
        <f t="shared" si="562"/>
        <v/>
      </c>
    </row>
    <row r="2873" spans="1:20" s="1669" customFormat="1" x14ac:dyDescent="0.25">
      <c r="A2873" s="1674" t="s">
        <v>2135</v>
      </c>
      <c r="B2873" s="826" t="str">
        <f ca="1">_xlfn.CONCAT(IFERROR(SUBSTITUTE(ADDRESS(1,MATCH(A2873,INDIRECT("'"&amp;E2873&amp;"'"&amp;"!A" &amp; $O$2845+ 8 &amp; ":Z" &amp; $O$2845 + 8),0),4),1,""),""),$O$2845 + 8)</f>
        <v>L735</v>
      </c>
      <c r="C2873" s="826" t="str">
        <f ca="1">_xlfn.CONCAT(IFERROR(SUBSTITUTE(ADDRESS(1,MATCH(A2873,INDIRECT("'"&amp;E2873&amp;"'"&amp;"!A" &amp; $O$2845+ 8 &amp; ":Z" &amp; $O$2845 + 8),0),4),1,""),""),$O$2845 + 9)</f>
        <v>L736</v>
      </c>
      <c r="D2873" s="826" t="s">
        <v>1350</v>
      </c>
      <c r="E2873" s="826" t="s">
        <v>1516</v>
      </c>
      <c r="F2873" s="1671" t="s">
        <v>2135</v>
      </c>
      <c r="G2873" s="1671" t="str">
        <f>IF(T2873&lt;&gt;"","AZ","")</f>
        <v/>
      </c>
      <c r="H2873" s="1671" t="s">
        <v>1990</v>
      </c>
      <c r="I2873" s="1274"/>
      <c r="J2873" s="1671"/>
      <c r="K2873" s="1671"/>
      <c r="L2873" s="826" t="s">
        <v>2135</v>
      </c>
      <c r="M2873" s="1672">
        <v>1712</v>
      </c>
      <c r="N2873" s="1671"/>
      <c r="O2873" s="603"/>
      <c r="P2873" s="603"/>
      <c r="Q2873" s="603"/>
      <c r="R2873" s="1671" t="s">
        <v>2199</v>
      </c>
      <c r="T2873" s="1730" t="str">
        <f t="shared" si="562"/>
        <v/>
      </c>
    </row>
    <row r="2874" spans="1:20" s="1669" customFormat="1" x14ac:dyDescent="0.25">
      <c r="A2874" s="846" t="s">
        <v>1491</v>
      </c>
      <c r="B2874" s="826" t="str">
        <f ca="1">IFERROR(_xlfn.CONCAT("C",MATCH(A2874,INDIRECT("'"&amp;E2874&amp;"'!C"&amp;$O$2875&amp;":C"&amp;$O$2877),0)+$O$2875-1),"")</f>
        <v>C745</v>
      </c>
      <c r="C2874" s="826" t="str">
        <f ca="1">IFERROR(_xlfn.CONCAT("D",MATCH(A2874,INDIRECT("'"&amp;E2874&amp;"'!C"&amp;$O$2875&amp;":C"&amp;$O$2877),0)+$O$2875-1),"")</f>
        <v>D745</v>
      </c>
      <c r="D2874" s="826" t="s">
        <v>1350</v>
      </c>
      <c r="E2874" s="826" t="s">
        <v>1516</v>
      </c>
      <c r="F2874" s="826" t="s">
        <v>1491</v>
      </c>
      <c r="G2874" s="1671" t="str">
        <f>IF(T2874&lt;&gt;"","A","")</f>
        <v/>
      </c>
      <c r="H2874" s="1671" t="s">
        <v>1990</v>
      </c>
      <c r="I2874" s="826"/>
      <c r="J2874" s="826"/>
      <c r="K2874" s="826"/>
      <c r="L2874" s="826" t="s">
        <v>1491</v>
      </c>
      <c r="M2874" s="1332">
        <v>1713</v>
      </c>
      <c r="N2874" s="826"/>
      <c r="O2874" s="1669" t="s">
        <v>725</v>
      </c>
      <c r="R2874" s="1671" t="s">
        <v>2200</v>
      </c>
      <c r="T2874" s="1671" t="str">
        <f>IF(Q$2875="Yes",53,"")</f>
        <v/>
      </c>
    </row>
    <row r="2875" spans="1:20" s="1669" customFormat="1" x14ac:dyDescent="0.25">
      <c r="A2875" s="846" t="s">
        <v>1705</v>
      </c>
      <c r="B2875" s="826" t="str">
        <f ca="1">_xlfn.CONCAT(IFERROR(SUBSTITUTE(ADDRESS(1,MATCH(A2875,INDIRECT("'"&amp;E2875&amp;"'"&amp;"!A" &amp; $O$2875+ 11 &amp; ":Z" &amp; $O$2875 + 11),0),4),1,""),""),$O$2875+ 11)</f>
        <v>T752</v>
      </c>
      <c r="C2875" s="826" t="str">
        <f ca="1">_xlfn.CONCAT(IFERROR(SUBSTITUTE(ADDRESS(1,MATCH(A2875,INDIRECT("'"&amp;E2875&amp;"'"&amp;"!A" &amp; $O$2875+ 11 &amp; ":Z" &amp; $O$2875 + 11),0),4),1,""),""),$O$2875+ 12)</f>
        <v>T753</v>
      </c>
      <c r="D2875" s="826" t="s">
        <v>1350</v>
      </c>
      <c r="E2875" s="826" t="s">
        <v>1516</v>
      </c>
      <c r="F2875" s="826"/>
      <c r="G2875" s="1671"/>
      <c r="H2875" s="1671"/>
      <c r="I2875" s="826"/>
      <c r="J2875" s="826"/>
      <c r="K2875" s="826"/>
      <c r="L2875" s="826" t="s">
        <v>1705</v>
      </c>
      <c r="M2875" s="1332">
        <v>1714</v>
      </c>
      <c r="N2875" s="826"/>
      <c r="O2875" s="1669">
        <f>'Configurable Tab'!H55</f>
        <v>741</v>
      </c>
      <c r="P2875" s="18" t="str">
        <f>'Configurable Tab'!J55</f>
        <v>No</v>
      </c>
      <c r="Q2875" s="1669" t="s">
        <v>648</v>
      </c>
      <c r="R2875" s="1671" t="s">
        <v>2200</v>
      </c>
      <c r="T2875" s="1730" t="str">
        <f t="shared" ref="T2875:T2884" si="565">IF(Q$2875="Yes",53,"")</f>
        <v/>
      </c>
    </row>
    <row r="2876" spans="1:20" s="1669" customFormat="1" x14ac:dyDescent="0.25">
      <c r="A2876" s="846" t="s">
        <v>1383</v>
      </c>
      <c r="B2876" s="826" t="str">
        <f ca="1">IFERROR(_xlfn.CONCAT("C",MATCH(A2876,INDIRECT("'"&amp;E2876&amp;"'!C"&amp;$O$2875&amp;":C"&amp;$O$2877),0)+$O$2875-1),"")</f>
        <v>C743</v>
      </c>
      <c r="C2876" s="826" t="str">
        <f ca="1">IFERROR(_xlfn.CONCAT("D",MATCH(A2876,INDIRECT("'"&amp;E2876&amp;"'!C"&amp;$O$2875&amp;":C"&amp;$O$2877),0)+$O$2875-1),"")</f>
        <v>D743</v>
      </c>
      <c r="D2876" s="826" t="s">
        <v>1350</v>
      </c>
      <c r="E2876" s="826" t="s">
        <v>1516</v>
      </c>
      <c r="F2876" s="826" t="s">
        <v>1383</v>
      </c>
      <c r="G2876" s="1671" t="str">
        <f>IF(T2876&lt;&gt;"","B","")</f>
        <v/>
      </c>
      <c r="H2876" s="1671" t="s">
        <v>1990</v>
      </c>
      <c r="I2876" s="826"/>
      <c r="J2876" s="826"/>
      <c r="K2876" s="826"/>
      <c r="L2876" s="826" t="s">
        <v>1383</v>
      </c>
      <c r="M2876" s="1332">
        <v>1715</v>
      </c>
      <c r="N2876" s="826"/>
      <c r="O2876" s="1669" t="s">
        <v>726</v>
      </c>
      <c r="R2876" s="1671" t="s">
        <v>2200</v>
      </c>
      <c r="T2876" s="1730" t="str">
        <f t="shared" si="565"/>
        <v/>
      </c>
    </row>
    <row r="2877" spans="1:20" s="1669" customFormat="1" x14ac:dyDescent="0.25">
      <c r="A2877" s="846" t="s">
        <v>1381</v>
      </c>
      <c r="B2877" s="826" t="str">
        <f ca="1">_xlfn.CONCAT(IFERROR(SUBSTITUTE(ADDRESS(1,MATCH(A2877,INDIRECT("'"&amp;E2877&amp;"'"&amp;"!A" &amp; $O$2875+ 2 &amp; ":Z" &amp; $O$2875 + 2),0),4),1,""),""),$O$2875+ 2)</f>
        <v>J743</v>
      </c>
      <c r="C2877" s="826" t="str">
        <f ca="1">_xlfn.CONCAT(IFERROR(SUBSTITUTE(ADDRESS(1,MATCH(A2877,INDIRECT("'"&amp;E2877&amp;"'"&amp;"!A" &amp; $O$2875+ 2 &amp; ":Z" &amp; $O$2875 + 2),0),4),1,""),""),$O$2875+ 3)</f>
        <v>J744</v>
      </c>
      <c r="D2877" s="826" t="s">
        <v>1350</v>
      </c>
      <c r="E2877" s="826" t="s">
        <v>1516</v>
      </c>
      <c r="F2877" s="826" t="s">
        <v>1992</v>
      </c>
      <c r="G2877" s="1671" t="str">
        <f>IF(T2877&lt;&gt;"","I","")</f>
        <v/>
      </c>
      <c r="H2877" s="1671" t="s">
        <v>1990</v>
      </c>
      <c r="I2877" s="826"/>
      <c r="J2877" s="826"/>
      <c r="K2877" s="826"/>
      <c r="L2877" s="826" t="s">
        <v>1381</v>
      </c>
      <c r="M2877" s="1332">
        <v>1716</v>
      </c>
      <c r="N2877" s="826"/>
      <c r="O2877" s="1669">
        <f>'Configurable Tab'!I55</f>
        <v>754</v>
      </c>
      <c r="R2877" s="1671" t="s">
        <v>2200</v>
      </c>
      <c r="T2877" s="1730" t="str">
        <f t="shared" si="565"/>
        <v/>
      </c>
    </row>
    <row r="2878" spans="1:20" s="1669" customFormat="1" x14ac:dyDescent="0.25">
      <c r="A2878" s="846" t="s">
        <v>1382</v>
      </c>
      <c r="B2878" s="826" t="str">
        <f ca="1">_xlfn.CONCAT(IFERROR(SUBSTITUTE(ADDRESS(1,MATCH(A2878,INDIRECT("'"&amp;E2878&amp;"'"&amp;"!A" &amp; $O$2875+ 2 &amp; ":Z" &amp; $O$2875 + 2),0),4),1,""),""),$O$2875+ 2)</f>
        <v>N743</v>
      </c>
      <c r="C2878" s="826" t="str">
        <f ca="1">_xlfn.CONCAT(IFERROR(SUBSTITUTE(ADDRESS(1,MATCH(A2878,INDIRECT("'"&amp;E2878&amp;"'"&amp;"!A" &amp; $O$2875+ 2 &amp; ":Z" &amp; $O$2875 + 2),0),4),1,""),""),$O$2875+ 3)</f>
        <v>N744</v>
      </c>
      <c r="D2878" s="826" t="s">
        <v>1350</v>
      </c>
      <c r="E2878" s="826" t="s">
        <v>1516</v>
      </c>
      <c r="F2878" s="826" t="s">
        <v>1382</v>
      </c>
      <c r="G2878" s="1671" t="str">
        <f>IF(T2878&lt;&gt;"",IF(Q2877="Credit Memo","J",IF(Q2877="Check","K","")),"")</f>
        <v/>
      </c>
      <c r="H2878" s="1671" t="s">
        <v>1990</v>
      </c>
      <c r="I2878" s="826"/>
      <c r="J2878" s="826"/>
      <c r="K2878" s="826"/>
      <c r="L2878" s="826" t="s">
        <v>1382</v>
      </c>
      <c r="M2878" s="1332">
        <v>1717</v>
      </c>
      <c r="N2878" s="826"/>
      <c r="O2878" s="1669" t="s">
        <v>2209</v>
      </c>
      <c r="R2878" s="1671" t="s">
        <v>2200</v>
      </c>
      <c r="T2878" s="1730" t="str">
        <f t="shared" si="565"/>
        <v/>
      </c>
    </row>
    <row r="2879" spans="1:20" s="1669" customFormat="1" x14ac:dyDescent="0.25">
      <c r="A2879" s="846" t="s">
        <v>1385</v>
      </c>
      <c r="B2879" s="826" t="str">
        <f ca="1">IFERROR(_xlfn.CONCAT("C",MATCH(A2879,INDIRECT("'"&amp;E2879&amp;"'!C"&amp;$O$2875&amp;":C"&amp;$O$2877),0)+$O$2875-1),"")</f>
        <v>C747</v>
      </c>
      <c r="C2879" s="826" t="str">
        <f ca="1">IFERROR(_xlfn.CONCAT("D",MATCH(A2879,INDIRECT("'"&amp;E2879&amp;"'!C"&amp;$O$2875&amp;":C"&amp;$O$2877),0)+$O$2875-1),"")</f>
        <v>D747</v>
      </c>
      <c r="D2879" s="826" t="s">
        <v>1350</v>
      </c>
      <c r="E2879" s="826" t="s">
        <v>1516</v>
      </c>
      <c r="F2879" s="826" t="s">
        <v>1385</v>
      </c>
      <c r="G2879" s="1671" t="str">
        <f>IF(T2879&lt;&gt;"","C","")</f>
        <v/>
      </c>
      <c r="H2879" s="1671" t="s">
        <v>1990</v>
      </c>
      <c r="I2879" s="826"/>
      <c r="J2879" s="826"/>
      <c r="K2879" s="826"/>
      <c r="L2879" s="826" t="s">
        <v>1385</v>
      </c>
      <c r="M2879" s="1332">
        <v>1718</v>
      </c>
      <c r="N2879" s="826"/>
      <c r="R2879" s="1671" t="s">
        <v>2200</v>
      </c>
      <c r="T2879" s="1730" t="str">
        <f t="shared" si="565"/>
        <v/>
      </c>
    </row>
    <row r="2880" spans="1:20" s="1669" customFormat="1" x14ac:dyDescent="0.25">
      <c r="A2880" s="846" t="s">
        <v>1386</v>
      </c>
      <c r="B2880" s="826" t="str">
        <f ca="1">IFERROR(_xlfn.CONCAT("C",MATCH(A2880,INDIRECT("'"&amp;E2880&amp;"'!C"&amp;$O$2875&amp;":C"&amp;$O$2877),0)+$O$2875-1),"")</f>
        <v>C749</v>
      </c>
      <c r="C2880" s="826" t="str">
        <f ca="1">IFERROR(_xlfn.CONCAT("D",MATCH(A2880,INDIRECT("'"&amp;E2880&amp;"'!C"&amp;$O$2875&amp;":C"&amp;$O$2877),0)+$O$2875-1),"")</f>
        <v>D749</v>
      </c>
      <c r="D2880" s="826" t="s">
        <v>1350</v>
      </c>
      <c r="E2880" s="826" t="s">
        <v>1516</v>
      </c>
      <c r="F2880" s="826" t="s">
        <v>1386</v>
      </c>
      <c r="G2880" s="1671" t="str">
        <f>IF(T2880&lt;&gt;"","D","")</f>
        <v/>
      </c>
      <c r="H2880" s="1671" t="s">
        <v>1990</v>
      </c>
      <c r="I2880" s="826"/>
      <c r="J2880" s="826"/>
      <c r="K2880" s="826"/>
      <c r="L2880" s="826" t="s">
        <v>1386</v>
      </c>
      <c r="M2880" s="1332">
        <v>1719</v>
      </c>
      <c r="N2880" s="826"/>
      <c r="R2880" s="1671" t="s">
        <v>2200</v>
      </c>
      <c r="T2880" s="1730" t="str">
        <f t="shared" si="565"/>
        <v/>
      </c>
    </row>
    <row r="2881" spans="1:20" s="1669" customFormat="1" x14ac:dyDescent="0.25">
      <c r="A2881" s="846" t="s">
        <v>1396</v>
      </c>
      <c r="B2881" s="826" t="str">
        <f ca="1">_xlfn.CONCAT(IFERROR(SUBSTITUTE(ADDRESS(1,MATCH(A2881,INDIRECT("'"&amp;E2881&amp;"'"&amp;"!A" &amp; $O$2875+ 5 &amp; ":Z" &amp; $O$2875 + 5),0),4),1,""),""),$O$2875+ 5)</f>
        <v>H746</v>
      </c>
      <c r="C2881" s="826" t="str">
        <f ca="1">_xlfn.CONCAT(IFERROR(SUBSTITUTE(ADDRESS(1,MATCH(A2881,INDIRECT("'"&amp;E2881&amp;"'"&amp;"!A" &amp; $O$2875+ 5 &amp; ":Z" &amp; $O$2875 + 5),0),4),1,""),""),$O$2875+ 6)</f>
        <v>H747</v>
      </c>
      <c r="D2881" s="826" t="s">
        <v>1350</v>
      </c>
      <c r="E2881" s="826" t="s">
        <v>1516</v>
      </c>
      <c r="F2881" s="1671" t="s">
        <v>1396</v>
      </c>
      <c r="G2881" s="1671" t="str">
        <f>IF(T2881&lt;&gt;"","S","")</f>
        <v/>
      </c>
      <c r="H2881" s="1671" t="s">
        <v>1990</v>
      </c>
      <c r="I2881" s="826"/>
      <c r="J2881" s="826"/>
      <c r="K2881" s="826"/>
      <c r="L2881" s="826" t="s">
        <v>1396</v>
      </c>
      <c r="M2881" s="1332">
        <v>1720</v>
      </c>
      <c r="N2881" s="826"/>
      <c r="R2881" s="1671" t="s">
        <v>2200</v>
      </c>
      <c r="T2881" s="1730" t="str">
        <f t="shared" si="565"/>
        <v/>
      </c>
    </row>
    <row r="2882" spans="1:20" s="1669" customFormat="1" x14ac:dyDescent="0.25">
      <c r="A2882" s="846" t="s">
        <v>2005</v>
      </c>
      <c r="B2882" s="826" t="str">
        <f ca="1">_xlfn.CONCAT(IFERROR(SUBSTITUTE(ADDRESS(1,MATCH(A2882,INDIRECT("'"&amp;E2882&amp;"'"&amp;"!A" &amp; $O$2875+ 8 &amp; ":Z" &amp; $O$2875 + 8),0),4),1,""),""),$O$2875 + 8)</f>
        <v>J749</v>
      </c>
      <c r="C2882" s="826" t="str">
        <f ca="1">_xlfn.CONCAT(IFERROR(SUBSTITUTE(ADDRESS(1,MATCH(A2882,INDIRECT("'"&amp;E2882&amp;"'"&amp;"!A" &amp; $O$2875+ 8 &amp; ":Z" &amp; $O$2875 + 8),0),4),1,""),""),$O$2875 + 9)</f>
        <v>J750</v>
      </c>
      <c r="D2882" s="826" t="s">
        <v>1350</v>
      </c>
      <c r="E2882" s="826" t="s">
        <v>1516</v>
      </c>
      <c r="F2882" s="826" t="s">
        <v>2005</v>
      </c>
      <c r="G2882" s="1671" t="str">
        <f>IF(T2882&lt;&gt;"","AQ","")</f>
        <v/>
      </c>
      <c r="H2882" s="1671" t="s">
        <v>1990</v>
      </c>
      <c r="I2882" s="826"/>
      <c r="J2882" s="826"/>
      <c r="K2882" s="826"/>
      <c r="L2882" s="826" t="s">
        <v>2005</v>
      </c>
      <c r="M2882" s="1332">
        <v>1721</v>
      </c>
      <c r="N2882" s="826"/>
      <c r="R2882" s="1671" t="s">
        <v>2200</v>
      </c>
      <c r="T2882" s="1730" t="str">
        <f t="shared" si="565"/>
        <v/>
      </c>
    </row>
    <row r="2883" spans="1:20" s="1669" customFormat="1" x14ac:dyDescent="0.25">
      <c r="A2883" s="846" t="s">
        <v>1482</v>
      </c>
      <c r="B2883" s="826" t="str">
        <f ca="1">_xlfn.CONCAT(IFERROR(SUBSTITUTE(ADDRESS(1,MATCH(A2883,INDIRECT("'"&amp;E2883&amp;"'"&amp;"!A" &amp; $O$2875+ 8 &amp; ":Z" &amp; $O$2875 + 8),0),4),1,""),""),$O$2875 + 8)</f>
        <v>N749</v>
      </c>
      <c r="C2883" s="826" t="str">
        <f ca="1">_xlfn.CONCAT(IFERROR(SUBSTITUTE(ADDRESS(1,MATCH(A2883,INDIRECT("'"&amp;E2883&amp;"'"&amp;"!A" &amp; $O$2875+ 8 &amp; ":Z" &amp; $O$2875 + 8),0),4),1,""),""),$O$2875 + 9)</f>
        <v>N750</v>
      </c>
      <c r="D2883" s="826" t="s">
        <v>1350</v>
      </c>
      <c r="E2883" s="826" t="s">
        <v>1516</v>
      </c>
      <c r="F2883" s="826" t="s">
        <v>2054</v>
      </c>
      <c r="G2883" s="1671" t="str">
        <f>IF(T2883&lt;&gt;"","AA","")</f>
        <v/>
      </c>
      <c r="H2883" s="1671" t="s">
        <v>1990</v>
      </c>
      <c r="I2883" s="826"/>
      <c r="J2883" s="826"/>
      <c r="K2883" s="826"/>
      <c r="L2883" s="826" t="s">
        <v>2006</v>
      </c>
      <c r="M2883" s="1332">
        <v>1722</v>
      </c>
      <c r="N2883" s="826"/>
      <c r="R2883" s="1671" t="s">
        <v>2200</v>
      </c>
      <c r="T2883" s="1730" t="str">
        <f t="shared" si="565"/>
        <v/>
      </c>
    </row>
    <row r="2884" spans="1:20" s="1669" customFormat="1" x14ac:dyDescent="0.25">
      <c r="A2884" s="846" t="s">
        <v>1397</v>
      </c>
      <c r="B2884" s="826" t="str">
        <f ca="1">_xlfn.CONCAT(IFERROR(SUBSTITUTE(ADDRESS(1,MATCH(A2884,INDIRECT("'"&amp;E2884&amp;"'"&amp;"!A" &amp; $O$2875+ 2 &amp; ":Z" &amp; $O$2875 + 2),0),4),1,""),""),$O$2875 + 2)</f>
        <v>L743</v>
      </c>
      <c r="C2884" s="826" t="str">
        <f ca="1">_xlfn.CONCAT(IFERROR(SUBSTITUTE(ADDRESS(1,MATCH(A2884,INDIRECT("'"&amp;E2884&amp;"'"&amp;"!A" &amp; $O$2875+ 2 &amp; ":Z" &amp; $O$2875 + 2),0),4),1,""),""),$O$2875 + 3)</f>
        <v>L744</v>
      </c>
      <c r="D2884" s="826" t="s">
        <v>1350</v>
      </c>
      <c r="E2884" s="826" t="s">
        <v>1516</v>
      </c>
      <c r="F2884" s="826" t="s">
        <v>1993</v>
      </c>
      <c r="G2884" s="1671" t="str">
        <f>IF(T2884&lt;&gt;"","H","")</f>
        <v/>
      </c>
      <c r="H2884" s="1671" t="s">
        <v>1990</v>
      </c>
      <c r="I2884" s="826"/>
      <c r="J2884" s="826"/>
      <c r="K2884" s="826"/>
      <c r="L2884" s="826" t="s">
        <v>1397</v>
      </c>
      <c r="M2884" s="1332">
        <v>1723</v>
      </c>
      <c r="N2884" s="826"/>
      <c r="R2884" s="1671" t="s">
        <v>2200</v>
      </c>
      <c r="T2884" s="1730" t="str">
        <f t="shared" si="565"/>
        <v/>
      </c>
    </row>
    <row r="2885" spans="1:20" s="1669" customFormat="1" x14ac:dyDescent="0.25">
      <c r="A2885" s="846" t="s">
        <v>1705</v>
      </c>
      <c r="B2885" s="1274" t="str">
        <f>IFERROR(_xlfn.CONCAT("D",('Configurable Tab'!$C$40+1)),"")</f>
        <v>D413</v>
      </c>
      <c r="C2885" s="1274" t="str">
        <f>IFERROR(_xlfn.CONCAT("E",('Configurable Tab'!$C$40+1)),"")</f>
        <v>E413</v>
      </c>
      <c r="D2885" s="826" t="s">
        <v>1350</v>
      </c>
      <c r="E2885" s="826" t="s">
        <v>1742</v>
      </c>
      <c r="F2885" s="1671"/>
      <c r="G2885" s="1671"/>
      <c r="H2885" s="1671"/>
      <c r="I2885" s="1274" t="str">
        <f t="shared" ref="I2885:I2895" si="566">IF(J2885&lt;&gt;"",A2885,"")</f>
        <v/>
      </c>
      <c r="J2885" s="1671" t="str">
        <f t="shared" ref="J2885:J2894" si="567">IFERROR(IF($Q$2875="Yes",Q$1&amp;M2875,""),"")</f>
        <v/>
      </c>
      <c r="K2885" s="1671" t="str">
        <f t="shared" ref="K2885:K2895" si="568">IF(J2885&lt;&gt;"",E2885,"")</f>
        <v/>
      </c>
      <c r="M2885" s="1670"/>
      <c r="Q2885" s="1274" t="str">
        <f>IFERROR(_xlfn.CONCAT("C",('Configurable Tab'!$C40+1)),"")</f>
        <v>C413</v>
      </c>
      <c r="R2885" s="1671" t="s">
        <v>2200</v>
      </c>
    </row>
    <row r="2886" spans="1:20" s="1669" customFormat="1" x14ac:dyDescent="0.25">
      <c r="A2886" s="846" t="s">
        <v>1383</v>
      </c>
      <c r="B2886" s="1274" t="str">
        <f>IFERROR(_xlfn.CONCAT("D",('Configurable Tab'!$C$40+2)),"")</f>
        <v>D414</v>
      </c>
      <c r="C2886" s="1274" t="str">
        <f>IFERROR(_xlfn.CONCAT("E",('Configurable Tab'!$C$40+2)),"")</f>
        <v>E414</v>
      </c>
      <c r="D2886" s="826" t="s">
        <v>1350</v>
      </c>
      <c r="E2886" s="826" t="s">
        <v>1742</v>
      </c>
      <c r="F2886" s="1671"/>
      <c r="G2886" s="1671"/>
      <c r="H2886" s="1671"/>
      <c r="I2886" s="1274" t="str">
        <f t="shared" si="566"/>
        <v/>
      </c>
      <c r="J2886" s="1671" t="str">
        <f t="shared" si="567"/>
        <v/>
      </c>
      <c r="K2886" s="1671" t="str">
        <f t="shared" si="568"/>
        <v/>
      </c>
      <c r="M2886" s="1670"/>
      <c r="R2886" s="1671" t="s">
        <v>2200</v>
      </c>
    </row>
    <row r="2887" spans="1:20" s="1669" customFormat="1" x14ac:dyDescent="0.25">
      <c r="A2887" s="846" t="s">
        <v>1381</v>
      </c>
      <c r="B2887" s="1274" t="str">
        <f>IFERROR(_xlfn.CONCAT("I",('Configurable Tab'!$C$40+1)),"")</f>
        <v>I413</v>
      </c>
      <c r="C2887" s="1274" t="str">
        <f>IFERROR(_xlfn.CONCAT("I",('Configurable Tab'!$C$40+2)),"")</f>
        <v>I414</v>
      </c>
      <c r="D2887" s="826" t="s">
        <v>1350</v>
      </c>
      <c r="E2887" s="826" t="s">
        <v>1742</v>
      </c>
      <c r="F2887" s="1671"/>
      <c r="G2887" s="1671"/>
      <c r="H2887" s="1671"/>
      <c r="I2887" s="1274" t="str">
        <f t="shared" si="566"/>
        <v/>
      </c>
      <c r="J2887" s="1671" t="str">
        <f t="shared" si="567"/>
        <v/>
      </c>
      <c r="K2887" s="1671" t="str">
        <f t="shared" si="568"/>
        <v/>
      </c>
      <c r="M2887" s="1670"/>
      <c r="R2887" s="1671" t="s">
        <v>2200</v>
      </c>
    </row>
    <row r="2888" spans="1:20" s="1669" customFormat="1" x14ac:dyDescent="0.25">
      <c r="A2888" s="846" t="s">
        <v>1382</v>
      </c>
      <c r="B2888" s="1274" t="str">
        <f>IFERROR(_xlfn.CONCAT("M",('Configurable Tab'!$C$40+1)),"")</f>
        <v>M413</v>
      </c>
      <c r="C2888" s="1274" t="str">
        <f>IFERROR(_xlfn.CONCAT("M",('Configurable Tab'!$C$40+2)),"")</f>
        <v>M414</v>
      </c>
      <c r="D2888" s="826" t="s">
        <v>1350</v>
      </c>
      <c r="E2888" s="826" t="s">
        <v>1742</v>
      </c>
      <c r="F2888" s="1671"/>
      <c r="G2888" s="1671"/>
      <c r="H2888" s="1671"/>
      <c r="I2888" s="1274" t="str">
        <f t="shared" si="566"/>
        <v/>
      </c>
      <c r="J2888" s="1671" t="str">
        <f t="shared" si="567"/>
        <v/>
      </c>
      <c r="K2888" s="1671" t="str">
        <f t="shared" si="568"/>
        <v/>
      </c>
      <c r="M2888" s="1670"/>
      <c r="R2888" s="1671" t="s">
        <v>2200</v>
      </c>
    </row>
    <row r="2889" spans="1:20" s="1669" customFormat="1" x14ac:dyDescent="0.25">
      <c r="A2889" s="846" t="s">
        <v>1385</v>
      </c>
      <c r="B2889" s="1274" t="str">
        <f>IFERROR(_xlfn.CONCAT("D",('Configurable Tab'!$C$40+4)),"")</f>
        <v>D416</v>
      </c>
      <c r="C2889" s="1274" t="str">
        <f>IFERROR(_xlfn.CONCAT("E",('Configurable Tab'!$C$40+4)),"")</f>
        <v>E416</v>
      </c>
      <c r="D2889" s="826" t="s">
        <v>1350</v>
      </c>
      <c r="E2889" s="826" t="s">
        <v>1742</v>
      </c>
      <c r="F2889" s="1671"/>
      <c r="G2889" s="1671"/>
      <c r="H2889" s="1671"/>
      <c r="I2889" s="1274" t="str">
        <f t="shared" si="566"/>
        <v/>
      </c>
      <c r="J2889" s="1671" t="str">
        <f t="shared" si="567"/>
        <v/>
      </c>
      <c r="K2889" s="1671" t="str">
        <f t="shared" si="568"/>
        <v/>
      </c>
      <c r="M2889" s="1670"/>
      <c r="R2889" s="1671" t="s">
        <v>2200</v>
      </c>
    </row>
    <row r="2890" spans="1:20" s="1669" customFormat="1" x14ac:dyDescent="0.25">
      <c r="A2890" s="846" t="s">
        <v>1386</v>
      </c>
      <c r="B2890" s="1274" t="str">
        <f>IFERROR(_xlfn.CONCAT("D",('Configurable Tab'!$C$40+5)),"")</f>
        <v>D417</v>
      </c>
      <c r="C2890" s="1274" t="str">
        <f>IFERROR(_xlfn.CONCAT("E",('Configurable Tab'!$C$40+5)),"")</f>
        <v>E417</v>
      </c>
      <c r="D2890" s="826" t="s">
        <v>1350</v>
      </c>
      <c r="E2890" s="826" t="s">
        <v>1742</v>
      </c>
      <c r="F2890" s="1671"/>
      <c r="G2890" s="1671"/>
      <c r="H2890" s="1671"/>
      <c r="I2890" s="1274" t="str">
        <f t="shared" si="566"/>
        <v/>
      </c>
      <c r="J2890" s="1671" t="str">
        <f t="shared" si="567"/>
        <v/>
      </c>
      <c r="K2890" s="1671" t="str">
        <f t="shared" si="568"/>
        <v/>
      </c>
      <c r="M2890" s="1670"/>
      <c r="R2890" s="1671" t="s">
        <v>2200</v>
      </c>
    </row>
    <row r="2891" spans="1:20" s="1669" customFormat="1" x14ac:dyDescent="0.25">
      <c r="A2891" s="846" t="s">
        <v>1396</v>
      </c>
      <c r="B2891" s="1274" t="str">
        <f>IFERROR(_xlfn.CONCAT("G",('Configurable Tab'!$C$40+4)),"")</f>
        <v>G416</v>
      </c>
      <c r="C2891" s="1274" t="str">
        <f>IFERROR(_xlfn.CONCAT("G",('Configurable Tab'!$C$40+5)),"")</f>
        <v>G417</v>
      </c>
      <c r="D2891" s="826" t="s">
        <v>1350</v>
      </c>
      <c r="E2891" s="826" t="s">
        <v>1742</v>
      </c>
      <c r="F2891" s="1671"/>
      <c r="G2891" s="1671"/>
      <c r="H2891" s="1671"/>
      <c r="I2891" s="1274" t="str">
        <f t="shared" si="566"/>
        <v/>
      </c>
      <c r="J2891" s="1671" t="str">
        <f t="shared" si="567"/>
        <v/>
      </c>
      <c r="K2891" s="1671" t="str">
        <f t="shared" si="568"/>
        <v/>
      </c>
      <c r="M2891" s="1670"/>
      <c r="R2891" s="1671" t="s">
        <v>2200</v>
      </c>
    </row>
    <row r="2892" spans="1:20" s="1669" customFormat="1" x14ac:dyDescent="0.25">
      <c r="A2892" s="846" t="s">
        <v>2005</v>
      </c>
      <c r="B2892" s="1274" t="str">
        <f>IFERROR(_xlfn.CONCAT("G",('Configurable Tab'!$C$40+7)),"")</f>
        <v>G419</v>
      </c>
      <c r="C2892" s="1274" t="str">
        <f>IFERROR(_xlfn.CONCAT("G",('Configurable Tab'!$C$40+8)),"")</f>
        <v>G420</v>
      </c>
      <c r="D2892" s="826" t="s">
        <v>1350</v>
      </c>
      <c r="E2892" s="826" t="s">
        <v>1742</v>
      </c>
      <c r="F2892" s="1671"/>
      <c r="G2892" s="1671"/>
      <c r="H2892" s="1671"/>
      <c r="I2892" s="1274" t="str">
        <f t="shared" si="566"/>
        <v/>
      </c>
      <c r="J2892" s="1671" t="str">
        <f t="shared" si="567"/>
        <v/>
      </c>
      <c r="K2892" s="1671" t="str">
        <f t="shared" si="568"/>
        <v/>
      </c>
      <c r="M2892" s="1670"/>
      <c r="R2892" s="1671" t="s">
        <v>2200</v>
      </c>
    </row>
    <row r="2893" spans="1:20" s="1669" customFormat="1" x14ac:dyDescent="0.25">
      <c r="A2893" s="846" t="s">
        <v>1482</v>
      </c>
      <c r="B2893" s="1274" t="str">
        <f>IFERROR(_xlfn.CONCAT("K",('Configurable Tab'!$C$40+7)),"")</f>
        <v>K419</v>
      </c>
      <c r="C2893" s="1274" t="str">
        <f>IFERROR(_xlfn.CONCAT("K",('Configurable Tab'!$C$40+8)),"")</f>
        <v>K420</v>
      </c>
      <c r="D2893" s="826" t="s">
        <v>1350</v>
      </c>
      <c r="E2893" s="826" t="s">
        <v>1742</v>
      </c>
      <c r="F2893" s="1671"/>
      <c r="G2893" s="1671"/>
      <c r="H2893" s="1671"/>
      <c r="I2893" s="1274" t="str">
        <f t="shared" si="566"/>
        <v/>
      </c>
      <c r="J2893" s="1671" t="str">
        <f t="shared" si="567"/>
        <v/>
      </c>
      <c r="K2893" s="1671" t="str">
        <f t="shared" si="568"/>
        <v/>
      </c>
      <c r="M2893" s="1670"/>
      <c r="R2893" s="1671" t="s">
        <v>2200</v>
      </c>
    </row>
    <row r="2894" spans="1:20" s="1669" customFormat="1" x14ac:dyDescent="0.25">
      <c r="A2894" s="846" t="s">
        <v>1397</v>
      </c>
      <c r="B2894" s="1274" t="str">
        <f>IFERROR(_xlfn.CONCAT("K",('Configurable Tab'!$C$40+1)),"")</f>
        <v>K413</v>
      </c>
      <c r="C2894" s="1274" t="str">
        <f>IFERROR(_xlfn.CONCAT("K",('Configurable Tab'!$C$40+2)),"")</f>
        <v>K414</v>
      </c>
      <c r="D2894" s="826" t="s">
        <v>1350</v>
      </c>
      <c r="E2894" s="826" t="s">
        <v>1742</v>
      </c>
      <c r="F2894" s="1671"/>
      <c r="G2894" s="1671"/>
      <c r="H2894" s="1671"/>
      <c r="I2894" s="1274" t="str">
        <f t="shared" si="566"/>
        <v/>
      </c>
      <c r="J2894" s="1671" t="str">
        <f t="shared" si="567"/>
        <v/>
      </c>
      <c r="K2894" s="1671" t="str">
        <f t="shared" si="568"/>
        <v/>
      </c>
      <c r="M2894" s="1670"/>
      <c r="R2894" s="1671" t="s">
        <v>2200</v>
      </c>
    </row>
    <row r="2895" spans="1:20" s="1669" customFormat="1" x14ac:dyDescent="0.25">
      <c r="A2895" s="846" t="s">
        <v>1496</v>
      </c>
      <c r="B2895" s="826" t="str">
        <f ca="1">IFERROR(_xlfn.CONCAT("C",MATCH(A2895,INDIRECT("'"&amp;E2895&amp;"'!C"&amp;$O$2875&amp;":C"&amp;$O$2877),0)+$O$2875-1),"")</f>
        <v>C753</v>
      </c>
      <c r="C2895" s="826" t="str">
        <f ca="1">IFERROR(_xlfn.CONCAT("D",MATCH(A2895,INDIRECT("'"&amp;E2895&amp;"'!C"&amp;$O$2875&amp;":C"&amp;$O$2877),0)+$O$2875-1),"")</f>
        <v>D753</v>
      </c>
      <c r="D2895" s="826" t="s">
        <v>1350</v>
      </c>
      <c r="E2895" s="826" t="s">
        <v>1516</v>
      </c>
      <c r="F2895" s="1671" t="s">
        <v>1496</v>
      </c>
      <c r="G2895" s="1671" t="str">
        <f t="shared" ref="G2895" si="569">IF(T2895&lt;&gt;"","AS","")</f>
        <v/>
      </c>
      <c r="H2895" s="1671" t="s">
        <v>1990</v>
      </c>
      <c r="I2895" s="1274" t="str">
        <f t="shared" si="566"/>
        <v/>
      </c>
      <c r="J2895" s="1671"/>
      <c r="K2895" s="1671" t="str">
        <f t="shared" si="568"/>
        <v/>
      </c>
      <c r="L2895" s="826"/>
      <c r="M2895" s="1672"/>
      <c r="N2895" s="1671"/>
      <c r="R2895" s="1671" t="s">
        <v>2200</v>
      </c>
      <c r="T2895" s="1671" t="str">
        <f>IF(Q$2875="Yes",53,"")</f>
        <v/>
      </c>
    </row>
    <row r="2896" spans="1:20" s="1669" customFormat="1" x14ac:dyDescent="0.25">
      <c r="A2896" s="847" t="s">
        <v>1495</v>
      </c>
      <c r="B2896" s="826" t="str">
        <f ca="1">IFERROR(_xlfn.CONCAT("C",MATCH(A2896,INDIRECT("'"&amp;E2896&amp;"'!C"&amp;$O$2875&amp;":C"&amp;$O$2877),0)+$O$2875-1),"")</f>
        <v>C751</v>
      </c>
      <c r="C2896" s="826" t="str">
        <f ca="1">IFERROR(_xlfn.CONCAT("D",MATCH(A2896,INDIRECT("'"&amp;E2896&amp;"'!C"&amp;$O$2875&amp;":C"&amp;$O$2877),0)+$O$2875-1),"")</f>
        <v>D751</v>
      </c>
      <c r="D2896" s="826" t="s">
        <v>1350</v>
      </c>
      <c r="E2896" s="826" t="s">
        <v>1516</v>
      </c>
      <c r="F2896" s="1671" t="s">
        <v>1495</v>
      </c>
      <c r="G2896" s="1671" t="str">
        <f>IF(T2896&lt;&gt;"","AN","")</f>
        <v/>
      </c>
      <c r="H2896" s="1671" t="s">
        <v>1990</v>
      </c>
      <c r="I2896" s="1274"/>
      <c r="J2896" s="1671"/>
      <c r="K2896" s="1671"/>
      <c r="L2896" s="826"/>
      <c r="M2896" s="1672"/>
      <c r="N2896" s="1671"/>
      <c r="O2896" s="1561"/>
      <c r="P2896" s="603"/>
      <c r="Q2896" s="603"/>
      <c r="R2896" s="1671" t="s">
        <v>2200</v>
      </c>
      <c r="T2896" s="1730" t="str">
        <f t="shared" ref="T2896:T2903" si="570">IF(Q$2875="Yes",53,"")</f>
        <v/>
      </c>
    </row>
    <row r="2897" spans="1:20" s="1669" customFormat="1" x14ac:dyDescent="0.25">
      <c r="A2897" s="847" t="s">
        <v>1492</v>
      </c>
      <c r="B2897" s="826" t="str">
        <f ca="1">_xlfn.CONCAT(IFERROR(SUBSTITUTE(ADDRESS(1,MATCH(A2897,INDIRECT("'"&amp;E2897&amp;"'"&amp;"!A" &amp; $O$2875+ 8 &amp; ":Z" &amp; $O$2875 + 8),0),4),1,""),""),$O$2875 + 8)</f>
        <v>H749</v>
      </c>
      <c r="C2897" s="826" t="str">
        <f ca="1">_xlfn.CONCAT(IFERROR(SUBSTITUTE(ADDRESS(1,MATCH(A2897,INDIRECT("'"&amp;E2897&amp;"'"&amp;"!A" &amp; $O$2875+ 8 &amp; ":Z" &amp; $O$2875 + 8),0),4),1,""),""),$O$2875 + 9)</f>
        <v>H750</v>
      </c>
      <c r="D2897" s="826" t="s">
        <v>1350</v>
      </c>
      <c r="E2897" s="826" t="s">
        <v>1516</v>
      </c>
      <c r="F2897" s="1671" t="s">
        <v>1492</v>
      </c>
      <c r="G2897" s="1671" t="str">
        <f>IF(T2897&lt;&gt;"","AL","")</f>
        <v/>
      </c>
      <c r="H2897" s="1671" t="s">
        <v>1990</v>
      </c>
      <c r="I2897" s="1274"/>
      <c r="J2897" s="1671"/>
      <c r="K2897" s="1671"/>
      <c r="L2897" s="826"/>
      <c r="M2897" s="1672"/>
      <c r="N2897" s="1671"/>
      <c r="O2897" s="603"/>
      <c r="P2897" s="603"/>
      <c r="Q2897" s="603"/>
      <c r="R2897" s="1671" t="s">
        <v>2200</v>
      </c>
      <c r="T2897" s="1730" t="str">
        <f t="shared" si="570"/>
        <v/>
      </c>
    </row>
    <row r="2898" spans="1:20" s="1669" customFormat="1" x14ac:dyDescent="0.25">
      <c r="A2898" s="847" t="s">
        <v>1380</v>
      </c>
      <c r="B2898" s="826" t="str">
        <f ca="1">_xlfn.CONCAT(IFERROR(SUBSTITUTE(ADDRESS(1,MATCH(A2898,INDIRECT("'"&amp;E2898&amp;"'"&amp;"!A" &amp; $O$2875+ 2 &amp; ":Z" &amp; $O$2875 + 2),0),4),1,""),""),$O$2875+ 2)</f>
        <v>H743</v>
      </c>
      <c r="C2898" s="826" t="str">
        <f ca="1">_xlfn.CONCAT(IFERROR(SUBSTITUTE(ADDRESS(1,MATCH(A2898,INDIRECT("'"&amp;E2898&amp;"'"&amp;"!A" &amp; $O$2875+ 2 &amp; ":Z" &amp; $O$2875 + 2),0),4),1,""),""),$O$2875+ 3)</f>
        <v>H744</v>
      </c>
      <c r="D2898" s="826" t="s">
        <v>1350</v>
      </c>
      <c r="E2898" s="826" t="s">
        <v>1516</v>
      </c>
      <c r="F2898" s="1671" t="s">
        <v>1991</v>
      </c>
      <c r="G2898" s="1671" t="str">
        <f>IF(T2898&lt;&gt;"","E","")</f>
        <v/>
      </c>
      <c r="H2898" s="1671" t="s">
        <v>1990</v>
      </c>
      <c r="I2898" s="1274"/>
      <c r="J2898" s="1671"/>
      <c r="K2898" s="1671"/>
      <c r="L2898" s="826"/>
      <c r="M2898" s="1672"/>
      <c r="N2898" s="1671"/>
      <c r="O2898" s="603"/>
      <c r="P2898" s="603"/>
      <c r="Q2898" s="603"/>
      <c r="R2898" s="1671" t="s">
        <v>2200</v>
      </c>
      <c r="T2898" s="1730" t="str">
        <f t="shared" si="570"/>
        <v/>
      </c>
    </row>
    <row r="2899" spans="1:20" s="1669" customFormat="1" x14ac:dyDescent="0.25">
      <c r="A2899" s="847" t="s">
        <v>1487</v>
      </c>
      <c r="B2899" s="826" t="str">
        <f ca="1">_xlfn.CONCAT(IFERROR(SUBSTITUTE(ADDRESS(1,MATCH(A2899,INDIRECT("'"&amp;E2899&amp;"'"&amp;"!A" &amp; $O$2875+ 2 &amp; ":Z" &amp; $O$2875 + 2),0),4),1,""),""),$O$2875+ 2)</f>
        <v>R743</v>
      </c>
      <c r="C2899" s="826" t="str">
        <f ca="1">_xlfn.CONCAT(IFERROR(SUBSTITUTE(ADDRESS(1,MATCH(A2899,INDIRECT("'"&amp;E2899&amp;"'"&amp;"!A" &amp; $O$2875+ 2 &amp; ":Z" &amp; $O$2875 + 2),0),4),1,""),""),$O$2875+ 3)</f>
        <v>R744</v>
      </c>
      <c r="D2899" s="826" t="s">
        <v>1350</v>
      </c>
      <c r="E2899" s="826" t="s">
        <v>1516</v>
      </c>
      <c r="F2899" s="1671" t="s">
        <v>1995</v>
      </c>
      <c r="G2899" s="1671" t="str">
        <f>IF(T2899&lt;&gt;"","G","")</f>
        <v/>
      </c>
      <c r="H2899" s="1671" t="s">
        <v>1990</v>
      </c>
      <c r="I2899" s="1274"/>
      <c r="J2899" s="1671"/>
      <c r="K2899" s="1671"/>
      <c r="L2899" s="826"/>
      <c r="M2899" s="1672"/>
      <c r="N2899" s="1671"/>
      <c r="O2899" s="603"/>
      <c r="P2899" s="603"/>
      <c r="Q2899" s="603"/>
      <c r="R2899" s="1671" t="s">
        <v>2200</v>
      </c>
      <c r="T2899" s="1730" t="str">
        <f t="shared" si="570"/>
        <v/>
      </c>
    </row>
    <row r="2900" spans="1:20" s="1669" customFormat="1" x14ac:dyDescent="0.25">
      <c r="A2900" s="847" t="s">
        <v>1488</v>
      </c>
      <c r="B2900" s="826" t="str">
        <f ca="1">_xlfn.CONCAT(IFERROR(SUBSTITUTE(ADDRESS(1,MATCH(A2900,INDIRECT("'"&amp;E2900&amp;"'"&amp;"!A" &amp; $O$2875+ 2 &amp; ":Z" &amp; $O$2875 + 2),0),4),1,""),""),$O$2875+ 2)</f>
        <v>T743</v>
      </c>
      <c r="C2900" s="826" t="str">
        <f ca="1">_xlfn.CONCAT(IFERROR(SUBSTITUTE(ADDRESS(1,MATCH(A2900,INDIRECT("'"&amp;E2900&amp;"'"&amp;"!A" &amp; $O$2875+ 2 &amp; ":Z" &amp; $O$2875 + 2),0),4),1,""),""),$O$2875+ 3)</f>
        <v>T744</v>
      </c>
      <c r="D2900" s="826" t="s">
        <v>1350</v>
      </c>
      <c r="E2900" s="826" t="s">
        <v>1516</v>
      </c>
      <c r="F2900" s="841" t="s">
        <v>1488</v>
      </c>
      <c r="G2900" s="1671" t="str">
        <f>IF(T2900&lt;&gt;"","AW","")</f>
        <v/>
      </c>
      <c r="H2900" s="1671" t="s">
        <v>1990</v>
      </c>
      <c r="I2900" s="1274"/>
      <c r="J2900" s="1671"/>
      <c r="K2900" s="1671"/>
      <c r="L2900" s="826"/>
      <c r="M2900" s="1672"/>
      <c r="N2900" s="1671"/>
      <c r="O2900" s="603"/>
      <c r="P2900" s="603"/>
      <c r="Q2900" s="603"/>
      <c r="R2900" s="1671" t="s">
        <v>2200</v>
      </c>
      <c r="T2900" s="1730" t="str">
        <f t="shared" si="570"/>
        <v/>
      </c>
    </row>
    <row r="2901" spans="1:20" s="1669" customFormat="1" x14ac:dyDescent="0.25">
      <c r="A2901" s="847" t="s">
        <v>1603</v>
      </c>
      <c r="B2901" s="826" t="str">
        <f ca="1">_xlfn.CONCAT(IFERROR(SUBSTITUTE(ADDRESS(1,MATCH(A2901,INDIRECT("'"&amp;E2901&amp;"'"&amp;"!A" &amp; $O$2875+ 5 &amp; ":Z" &amp; $O$2875 + 5),0),4),1,""),""),$O$2875+ 5)</f>
        <v>R746</v>
      </c>
      <c r="C2901" s="826" t="str">
        <f ca="1">_xlfn.CONCAT(IFERROR(SUBSTITUTE(ADDRESS(1,MATCH(A2901,INDIRECT("'"&amp;E2901&amp;"'"&amp;"!A" &amp; $O$2875+ 5 &amp; ":Z" &amp; $O$2875 + 5),0),4),1,""),""),$O$2875+ 6)</f>
        <v>R747</v>
      </c>
      <c r="D2901" s="826" t="s">
        <v>1350</v>
      </c>
      <c r="E2901" s="826" t="s">
        <v>1516</v>
      </c>
      <c r="F2901" s="1671" t="s">
        <v>1999</v>
      </c>
      <c r="G2901" s="1671" t="str">
        <f t="shared" ref="G2901" si="571">IF(T2901&lt;&gt;"","AB","")</f>
        <v/>
      </c>
      <c r="H2901" s="1671" t="s">
        <v>1990</v>
      </c>
      <c r="I2901" s="1274"/>
      <c r="J2901" s="1671"/>
      <c r="K2901" s="1671"/>
      <c r="L2901" s="826"/>
      <c r="M2901" s="1672"/>
      <c r="N2901" s="1671"/>
      <c r="O2901" s="603"/>
      <c r="P2901" s="603"/>
      <c r="Q2901" s="603"/>
      <c r="R2901" s="1671" t="s">
        <v>2200</v>
      </c>
      <c r="T2901" s="1730" t="str">
        <f t="shared" si="570"/>
        <v/>
      </c>
    </row>
    <row r="2902" spans="1:20" s="1669" customFormat="1" x14ac:dyDescent="0.25">
      <c r="A2902" s="847" t="s">
        <v>1604</v>
      </c>
      <c r="B2902" s="826" t="str">
        <f ca="1">_xlfn.CONCAT(IFERROR(SUBSTITUTE(ADDRESS(1,MATCH(A2902,INDIRECT("'"&amp;E2902&amp;"'"&amp;"!A" &amp; $O$2875+ 5 &amp; ":Z" &amp; $O$2875 + 5),0),4),1,""),""),$O$2875+ 5)</f>
        <v>T746</v>
      </c>
      <c r="C2902" s="826" t="str">
        <f ca="1">_xlfn.CONCAT(IFERROR(SUBSTITUTE(ADDRESS(1,MATCH(A2902,INDIRECT("'"&amp;E2902&amp;"'"&amp;"!A" &amp; $O$2875+ 5 &amp; ":Z" &amp; $O$2875 + 5),0),4),1,""),""),$O$2875+ 6)</f>
        <v>T747</v>
      </c>
      <c r="D2902" s="826" t="s">
        <v>1350</v>
      </c>
      <c r="E2902" s="826" t="s">
        <v>1516</v>
      </c>
      <c r="F2902" s="1671" t="s">
        <v>1604</v>
      </c>
      <c r="G2902" s="1671" t="str">
        <f t="shared" ref="G2902" si="572">IF(T2902&lt;&gt;"","AP","")</f>
        <v/>
      </c>
      <c r="H2902" s="1671" t="s">
        <v>1990</v>
      </c>
      <c r="I2902" s="1274"/>
      <c r="J2902" s="1671"/>
      <c r="K2902" s="1671"/>
      <c r="L2902" s="826"/>
      <c r="M2902" s="1672"/>
      <c r="N2902" s="1671"/>
      <c r="O2902" s="603"/>
      <c r="P2902" s="603"/>
      <c r="Q2902" s="603"/>
      <c r="R2902" s="1671" t="s">
        <v>2200</v>
      </c>
      <c r="T2902" s="1730" t="str">
        <f t="shared" si="570"/>
        <v/>
      </c>
    </row>
    <row r="2903" spans="1:20" s="1669" customFormat="1" x14ac:dyDescent="0.25">
      <c r="A2903" s="847" t="s">
        <v>2135</v>
      </c>
      <c r="B2903" s="826" t="str">
        <f ca="1">_xlfn.CONCAT(IFERROR(SUBSTITUTE(ADDRESS(1,MATCH(A2903,INDIRECT("'"&amp;E2903&amp;"'"&amp;"!A" &amp; $O$2875+ 8 &amp; ":Z" &amp; $O$2875 + 8),0),4),1,""),""),$O$2875 + 8)</f>
        <v>L749</v>
      </c>
      <c r="C2903" s="826" t="str">
        <f ca="1">_xlfn.CONCAT(IFERROR(SUBSTITUTE(ADDRESS(1,MATCH(A2903,INDIRECT("'"&amp;E2903&amp;"'"&amp;"!A" &amp; $O$2875+ 8 &amp; ":Z" &amp; $O$2875 + 8),0),4),1,""),""),$O$2875 + 9)</f>
        <v>L750</v>
      </c>
      <c r="D2903" s="826" t="s">
        <v>1350</v>
      </c>
      <c r="E2903" s="826" t="s">
        <v>1516</v>
      </c>
      <c r="F2903" s="1671" t="s">
        <v>2135</v>
      </c>
      <c r="G2903" s="1671" t="str">
        <f>IF(T2903&lt;&gt;"","AZ","")</f>
        <v/>
      </c>
      <c r="H2903" s="1671" t="s">
        <v>1990</v>
      </c>
      <c r="I2903" s="1274"/>
      <c r="J2903" s="1671"/>
      <c r="K2903" s="1671"/>
      <c r="L2903" s="826" t="s">
        <v>2135</v>
      </c>
      <c r="M2903" s="1672">
        <v>1724</v>
      </c>
      <c r="N2903" s="1671"/>
      <c r="O2903" s="603"/>
      <c r="P2903" s="603"/>
      <c r="Q2903" s="603"/>
      <c r="R2903" s="1671" t="s">
        <v>2200</v>
      </c>
      <c r="T2903" s="1730" t="str">
        <f t="shared" si="570"/>
        <v/>
      </c>
    </row>
    <row r="2904" spans="1:20" s="1669" customFormat="1" x14ac:dyDescent="0.25">
      <c r="A2904" s="1673" t="s">
        <v>1491</v>
      </c>
      <c r="B2904" s="826" t="str">
        <f ca="1">IFERROR(_xlfn.CONCAT("C",MATCH(A2904,INDIRECT("'"&amp;E2904&amp;"'!C"&amp;$O$2905&amp;":C"&amp;$O$2907),0)+$O$2905-1),"")</f>
        <v>C759</v>
      </c>
      <c r="C2904" s="826" t="str">
        <f ca="1">IFERROR(_xlfn.CONCAT("D",MATCH(A2904,INDIRECT("'"&amp;E2904&amp;"'!C"&amp;$O$2905&amp;":C"&amp;$O$2907),0)+$O$2905-1),"")</f>
        <v>D759</v>
      </c>
      <c r="D2904" s="826" t="s">
        <v>1350</v>
      </c>
      <c r="E2904" s="826" t="s">
        <v>1516</v>
      </c>
      <c r="F2904" s="826" t="s">
        <v>1491</v>
      </c>
      <c r="G2904" s="1671" t="str">
        <f>IF(T2904&lt;&gt;"","A","")</f>
        <v/>
      </c>
      <c r="H2904" s="1671" t="s">
        <v>1990</v>
      </c>
      <c r="I2904" s="826"/>
      <c r="J2904" s="826"/>
      <c r="K2904" s="826"/>
      <c r="L2904" s="826" t="s">
        <v>1491</v>
      </c>
      <c r="M2904" s="1332">
        <v>1725</v>
      </c>
      <c r="N2904" s="826"/>
      <c r="O2904" s="1669" t="s">
        <v>725</v>
      </c>
      <c r="R2904" s="1671" t="s">
        <v>2201</v>
      </c>
      <c r="T2904" s="1671" t="str">
        <f>IF(Q$2905="Yes",54,"")</f>
        <v/>
      </c>
    </row>
    <row r="2905" spans="1:20" s="1669" customFormat="1" x14ac:dyDescent="0.25">
      <c r="A2905" s="1673" t="s">
        <v>1705</v>
      </c>
      <c r="B2905" s="826" t="str">
        <f ca="1">_xlfn.CONCAT(IFERROR(SUBSTITUTE(ADDRESS(1,MATCH(A2905,INDIRECT("'"&amp;E2905&amp;"'"&amp;"!A" &amp; $O$2905+ 11 &amp; ":Z" &amp; $O$2905 + 11),0),4),1,""),""),$O$2905+ 11)</f>
        <v>T766</v>
      </c>
      <c r="C2905" s="826" t="str">
        <f ca="1">_xlfn.CONCAT(IFERROR(SUBSTITUTE(ADDRESS(1,MATCH(A2905,INDIRECT("'"&amp;E2905&amp;"'"&amp;"!A" &amp; $O$2905+ 11 &amp; ":Z" &amp; $O$2905 + 11),0),4),1,""),""),$O$2905+ 12)</f>
        <v>T767</v>
      </c>
      <c r="D2905" s="826" t="s">
        <v>1350</v>
      </c>
      <c r="E2905" s="826" t="s">
        <v>1516</v>
      </c>
      <c r="F2905" s="826"/>
      <c r="G2905" s="1671"/>
      <c r="H2905" s="1671"/>
      <c r="I2905" s="826"/>
      <c r="J2905" s="826"/>
      <c r="K2905" s="826"/>
      <c r="L2905" s="826" t="s">
        <v>1705</v>
      </c>
      <c r="M2905" s="1332">
        <v>1726</v>
      </c>
      <c r="N2905" s="826"/>
      <c r="O2905" s="1669">
        <f>'Configurable Tab'!H56</f>
        <v>755</v>
      </c>
      <c r="P2905" s="18" t="str">
        <f>'Configurable Tab'!J56</f>
        <v>No</v>
      </c>
      <c r="Q2905" s="1669" t="s">
        <v>648</v>
      </c>
      <c r="R2905" s="1671" t="s">
        <v>2201</v>
      </c>
      <c r="T2905" s="1730" t="str">
        <f t="shared" ref="T2905:T2914" si="573">IF(Q$2905="Yes",54,"")</f>
        <v/>
      </c>
    </row>
    <row r="2906" spans="1:20" s="1669" customFormat="1" x14ac:dyDescent="0.25">
      <c r="A2906" s="1673" t="s">
        <v>1383</v>
      </c>
      <c r="B2906" s="826" t="str">
        <f ca="1">IFERROR(_xlfn.CONCAT("C",MATCH(A2906,INDIRECT("'"&amp;E2906&amp;"'!C"&amp;$O$2905&amp;":C"&amp;$O$2907),0)+$O$2905-1),"")</f>
        <v>C757</v>
      </c>
      <c r="C2906" s="826" t="str">
        <f ca="1">IFERROR(_xlfn.CONCAT("D",MATCH(A2906,INDIRECT("'"&amp;E2906&amp;"'!C"&amp;$O$2905&amp;":C"&amp;$O$2907),0)+$O$2905-1),"")</f>
        <v>D757</v>
      </c>
      <c r="D2906" s="826" t="s">
        <v>1350</v>
      </c>
      <c r="E2906" s="826" t="s">
        <v>1516</v>
      </c>
      <c r="F2906" s="826" t="s">
        <v>1383</v>
      </c>
      <c r="G2906" s="1671" t="str">
        <f>IF(T2906&lt;&gt;"","B","")</f>
        <v/>
      </c>
      <c r="H2906" s="1671" t="s">
        <v>1990</v>
      </c>
      <c r="I2906" s="826"/>
      <c r="J2906" s="826"/>
      <c r="K2906" s="826"/>
      <c r="L2906" s="826" t="s">
        <v>1383</v>
      </c>
      <c r="M2906" s="1332">
        <v>1727</v>
      </c>
      <c r="N2906" s="826"/>
      <c r="O2906" s="1669" t="s">
        <v>726</v>
      </c>
      <c r="R2906" s="1671" t="s">
        <v>2201</v>
      </c>
      <c r="T2906" s="1730" t="str">
        <f t="shared" si="573"/>
        <v/>
      </c>
    </row>
    <row r="2907" spans="1:20" s="1669" customFormat="1" x14ac:dyDescent="0.25">
      <c r="A2907" s="1673" t="s">
        <v>1381</v>
      </c>
      <c r="B2907" s="826" t="str">
        <f ca="1">_xlfn.CONCAT(IFERROR(SUBSTITUTE(ADDRESS(1,MATCH(A2907,INDIRECT("'"&amp;E2907&amp;"'"&amp;"!A" &amp; $O$2905+ 2 &amp; ":Z" &amp; $O$2905 + 2),0),4),1,""),""),$O$2905+ 2)</f>
        <v>J757</v>
      </c>
      <c r="C2907" s="826" t="str">
        <f ca="1">_xlfn.CONCAT(IFERROR(SUBSTITUTE(ADDRESS(1,MATCH(A2907,INDIRECT("'"&amp;E2907&amp;"'"&amp;"!A" &amp; $O$2905+ 2 &amp; ":Z" &amp; $O$2905 + 2),0),4),1,""),""),$O$2905+ 3)</f>
        <v>J758</v>
      </c>
      <c r="D2907" s="826" t="s">
        <v>1350</v>
      </c>
      <c r="E2907" s="826" t="s">
        <v>1516</v>
      </c>
      <c r="F2907" s="826" t="s">
        <v>1992</v>
      </c>
      <c r="G2907" s="1671" t="str">
        <f>IF(T2907&lt;&gt;"","I","")</f>
        <v/>
      </c>
      <c r="H2907" s="1671" t="s">
        <v>1990</v>
      </c>
      <c r="I2907" s="826"/>
      <c r="J2907" s="826"/>
      <c r="K2907" s="826"/>
      <c r="L2907" s="826" t="s">
        <v>1381</v>
      </c>
      <c r="M2907" s="1332">
        <v>1728</v>
      </c>
      <c r="N2907" s="826"/>
      <c r="O2907" s="1669">
        <f>'Configurable Tab'!I56</f>
        <v>768</v>
      </c>
      <c r="R2907" s="1671" t="s">
        <v>2201</v>
      </c>
      <c r="T2907" s="1730" t="str">
        <f t="shared" si="573"/>
        <v/>
      </c>
    </row>
    <row r="2908" spans="1:20" s="1669" customFormat="1" x14ac:dyDescent="0.25">
      <c r="A2908" s="1673" t="s">
        <v>1382</v>
      </c>
      <c r="B2908" s="826" t="str">
        <f ca="1">_xlfn.CONCAT(IFERROR(SUBSTITUTE(ADDRESS(1,MATCH(A2908,INDIRECT("'"&amp;E2908&amp;"'"&amp;"!A" &amp; $O$2905+ 2 &amp; ":Z" &amp; $O$2905 + 2),0),4),1,""),""),$O$2905+ 2)</f>
        <v>N757</v>
      </c>
      <c r="C2908" s="826" t="str">
        <f ca="1">_xlfn.CONCAT(IFERROR(SUBSTITUTE(ADDRESS(1,MATCH(A2908,INDIRECT("'"&amp;E2908&amp;"'"&amp;"!A" &amp; $O$2905+ 2 &amp; ":Z" &amp; $O$2905 + 2),0),4),1,""),""),$O$2905+ 3)</f>
        <v>N758</v>
      </c>
      <c r="D2908" s="826" t="s">
        <v>1350</v>
      </c>
      <c r="E2908" s="826" t="s">
        <v>1516</v>
      </c>
      <c r="F2908" s="826" t="s">
        <v>1382</v>
      </c>
      <c r="G2908" s="1671" t="str">
        <f>IF(T2908&lt;&gt;"",IF(Q2907="Credit Memo","J",IF(Q2907="Check","K","")),"")</f>
        <v/>
      </c>
      <c r="H2908" s="1671" t="s">
        <v>1990</v>
      </c>
      <c r="I2908" s="826"/>
      <c r="J2908" s="826"/>
      <c r="K2908" s="826"/>
      <c r="L2908" s="826" t="s">
        <v>1382</v>
      </c>
      <c r="M2908" s="1332">
        <v>1729</v>
      </c>
      <c r="N2908" s="826"/>
      <c r="O2908" s="1669" t="s">
        <v>2210</v>
      </c>
      <c r="R2908" s="1671" t="s">
        <v>2201</v>
      </c>
      <c r="T2908" s="1730" t="str">
        <f t="shared" si="573"/>
        <v/>
      </c>
    </row>
    <row r="2909" spans="1:20" s="1669" customFormat="1" x14ac:dyDescent="0.25">
      <c r="A2909" s="1673" t="s">
        <v>1385</v>
      </c>
      <c r="B2909" s="826" t="str">
        <f ca="1">IFERROR(_xlfn.CONCAT("C",MATCH(A2909,INDIRECT("'"&amp;E2909&amp;"'!C"&amp;$O$2905&amp;":C"&amp;$O$2907),0)+$O$2905-1),"")</f>
        <v>C761</v>
      </c>
      <c r="C2909" s="826" t="str">
        <f ca="1">IFERROR(_xlfn.CONCAT("D",MATCH(A2909,INDIRECT("'"&amp;E2909&amp;"'!C"&amp;$O$2905&amp;":C"&amp;$O$2907),0)+$O$2905-1),"")</f>
        <v>D761</v>
      </c>
      <c r="D2909" s="826" t="s">
        <v>1350</v>
      </c>
      <c r="E2909" s="826" t="s">
        <v>1516</v>
      </c>
      <c r="F2909" s="826" t="s">
        <v>1385</v>
      </c>
      <c r="G2909" s="1671" t="str">
        <f>IF(T2909&lt;&gt;"","C","")</f>
        <v/>
      </c>
      <c r="H2909" s="1671" t="s">
        <v>1990</v>
      </c>
      <c r="I2909" s="826"/>
      <c r="J2909" s="826"/>
      <c r="K2909" s="826"/>
      <c r="L2909" s="826" t="s">
        <v>1385</v>
      </c>
      <c r="M2909" s="1332">
        <v>1730</v>
      </c>
      <c r="N2909" s="826"/>
      <c r="R2909" s="1671" t="s">
        <v>2201</v>
      </c>
      <c r="T2909" s="1730" t="str">
        <f t="shared" si="573"/>
        <v/>
      </c>
    </row>
    <row r="2910" spans="1:20" s="1669" customFormat="1" x14ac:dyDescent="0.25">
      <c r="A2910" s="1673" t="s">
        <v>1386</v>
      </c>
      <c r="B2910" s="826" t="str">
        <f ca="1">IFERROR(_xlfn.CONCAT("C",MATCH(A2910,INDIRECT("'"&amp;E2910&amp;"'!C"&amp;$O$2905&amp;":C"&amp;$O$2907),0)+$O$2905-1),"")</f>
        <v>C763</v>
      </c>
      <c r="C2910" s="826" t="str">
        <f ca="1">IFERROR(_xlfn.CONCAT("D",MATCH(A2910,INDIRECT("'"&amp;E2910&amp;"'!C"&amp;$O$2905&amp;":C"&amp;$O$2907),0)+$O$2905-1),"")</f>
        <v>D763</v>
      </c>
      <c r="D2910" s="826" t="s">
        <v>1350</v>
      </c>
      <c r="E2910" s="826" t="s">
        <v>1516</v>
      </c>
      <c r="F2910" s="826" t="s">
        <v>1386</v>
      </c>
      <c r="G2910" s="1671" t="str">
        <f>IF(T2910&lt;&gt;"","D","")</f>
        <v/>
      </c>
      <c r="H2910" s="1671" t="s">
        <v>1990</v>
      </c>
      <c r="I2910" s="826"/>
      <c r="J2910" s="826"/>
      <c r="K2910" s="826"/>
      <c r="L2910" s="826" t="s">
        <v>1386</v>
      </c>
      <c r="M2910" s="1332">
        <v>1731</v>
      </c>
      <c r="N2910" s="826"/>
      <c r="R2910" s="1671" t="s">
        <v>2201</v>
      </c>
      <c r="T2910" s="1730" t="str">
        <f t="shared" si="573"/>
        <v/>
      </c>
    </row>
    <row r="2911" spans="1:20" s="1669" customFormat="1" x14ac:dyDescent="0.25">
      <c r="A2911" s="1673" t="s">
        <v>1396</v>
      </c>
      <c r="B2911" s="826" t="str">
        <f ca="1">_xlfn.CONCAT(IFERROR(SUBSTITUTE(ADDRESS(1,MATCH(A2911,INDIRECT("'"&amp;E2911&amp;"'"&amp;"!A" &amp; $O$2905+ 5 &amp; ":Z" &amp; $O$2905 + 5),0),4),1,""),""),$O$2905+ 5)</f>
        <v>H760</v>
      </c>
      <c r="C2911" s="826" t="str">
        <f ca="1">_xlfn.CONCAT(IFERROR(SUBSTITUTE(ADDRESS(1,MATCH(A2911,INDIRECT("'"&amp;E2911&amp;"'"&amp;"!A" &amp; $O$2905+ 5 &amp; ":Z" &amp; $O$2905 + 5),0),4),1,""),""),$O$2905+ 6)</f>
        <v>H761</v>
      </c>
      <c r="D2911" s="826" t="s">
        <v>1350</v>
      </c>
      <c r="E2911" s="826" t="s">
        <v>1516</v>
      </c>
      <c r="F2911" s="1671" t="s">
        <v>1396</v>
      </c>
      <c r="G2911" s="1671" t="str">
        <f>IF(T2911&lt;&gt;"","S","")</f>
        <v/>
      </c>
      <c r="H2911" s="1671" t="s">
        <v>1990</v>
      </c>
      <c r="I2911" s="826"/>
      <c r="J2911" s="826"/>
      <c r="K2911" s="826"/>
      <c r="L2911" s="826" t="s">
        <v>1396</v>
      </c>
      <c r="M2911" s="1332">
        <v>1732</v>
      </c>
      <c r="N2911" s="826"/>
      <c r="R2911" s="1671" t="s">
        <v>2201</v>
      </c>
      <c r="T2911" s="1730" t="str">
        <f t="shared" si="573"/>
        <v/>
      </c>
    </row>
    <row r="2912" spans="1:20" s="1669" customFormat="1" x14ac:dyDescent="0.25">
      <c r="A2912" s="1673" t="s">
        <v>2005</v>
      </c>
      <c r="B2912" s="826" t="str">
        <f ca="1">_xlfn.CONCAT(IFERROR(SUBSTITUTE(ADDRESS(1,MATCH(A2912,INDIRECT("'"&amp;E2912&amp;"'"&amp;"!A" &amp; $O$2905+ 8 &amp; ":Z" &amp; $O$2905 + 8),0),4),1,""),""),$O$2905 + 8)</f>
        <v>J763</v>
      </c>
      <c r="C2912" s="826" t="str">
        <f ca="1">_xlfn.CONCAT(IFERROR(SUBSTITUTE(ADDRESS(1,MATCH(A2912,INDIRECT("'"&amp;E2912&amp;"'"&amp;"!A" &amp; $O$2905+ 8 &amp; ":Z" &amp; $O$2905 + 8),0),4),1,""),""),$O$2905 + 9)</f>
        <v>J764</v>
      </c>
      <c r="D2912" s="826" t="s">
        <v>1350</v>
      </c>
      <c r="E2912" s="826" t="s">
        <v>1516</v>
      </c>
      <c r="F2912" s="826" t="s">
        <v>2005</v>
      </c>
      <c r="G2912" s="1671" t="str">
        <f>IF(T2912&lt;&gt;"","AQ","")</f>
        <v/>
      </c>
      <c r="H2912" s="1671" t="s">
        <v>1990</v>
      </c>
      <c r="I2912" s="826"/>
      <c r="J2912" s="826"/>
      <c r="K2912" s="826"/>
      <c r="L2912" s="826" t="s">
        <v>2005</v>
      </c>
      <c r="M2912" s="1332">
        <v>1733</v>
      </c>
      <c r="N2912" s="826"/>
      <c r="R2912" s="1671" t="s">
        <v>2201</v>
      </c>
      <c r="T2912" s="1730" t="str">
        <f t="shared" si="573"/>
        <v/>
      </c>
    </row>
    <row r="2913" spans="1:20" s="1669" customFormat="1" x14ac:dyDescent="0.25">
      <c r="A2913" s="1673" t="s">
        <v>1482</v>
      </c>
      <c r="B2913" s="826" t="str">
        <f ca="1">_xlfn.CONCAT(IFERROR(SUBSTITUTE(ADDRESS(1,MATCH(A2913,INDIRECT("'"&amp;E2913&amp;"'"&amp;"!A" &amp; $O$2905+ 8 &amp; ":Z" &amp; $O$2905 + 8),0),4),1,""),""),$O$2905 + 8)</f>
        <v>N763</v>
      </c>
      <c r="C2913" s="826" t="str">
        <f ca="1">_xlfn.CONCAT(IFERROR(SUBSTITUTE(ADDRESS(1,MATCH(A2913,INDIRECT("'"&amp;E2913&amp;"'"&amp;"!A" &amp; $O$2905+ 8 &amp; ":Z" &amp; $O$2905 + 8),0),4),1,""),""),$O$2905 + 9)</f>
        <v>N764</v>
      </c>
      <c r="D2913" s="826" t="s">
        <v>1350</v>
      </c>
      <c r="E2913" s="826" t="s">
        <v>1516</v>
      </c>
      <c r="F2913" s="826" t="s">
        <v>2054</v>
      </c>
      <c r="G2913" s="1671" t="str">
        <f>IF(T2913&lt;&gt;"","AA","")</f>
        <v/>
      </c>
      <c r="H2913" s="1671" t="s">
        <v>1990</v>
      </c>
      <c r="I2913" s="826"/>
      <c r="J2913" s="826"/>
      <c r="K2913" s="826"/>
      <c r="L2913" s="826" t="s">
        <v>2006</v>
      </c>
      <c r="M2913" s="1332">
        <v>1734</v>
      </c>
      <c r="N2913" s="826"/>
      <c r="R2913" s="1671" t="s">
        <v>2201</v>
      </c>
      <c r="T2913" s="1730" t="str">
        <f t="shared" si="573"/>
        <v/>
      </c>
    </row>
    <row r="2914" spans="1:20" s="1669" customFormat="1" x14ac:dyDescent="0.25">
      <c r="A2914" s="1673" t="s">
        <v>1397</v>
      </c>
      <c r="B2914" s="826" t="str">
        <f ca="1">_xlfn.CONCAT(IFERROR(SUBSTITUTE(ADDRESS(1,MATCH(A2914,INDIRECT("'"&amp;E2914&amp;"'"&amp;"!A" &amp; $O$2905+ 2 &amp; ":Z" &amp; $O$2905 + 2),0),4),1,""),""),$O$2905 + 2)</f>
        <v>L757</v>
      </c>
      <c r="C2914" s="826" t="str">
        <f ca="1">_xlfn.CONCAT(IFERROR(SUBSTITUTE(ADDRESS(1,MATCH(A2914,INDIRECT("'"&amp;E2914&amp;"'"&amp;"!A" &amp; $O$2905+ 2 &amp; ":Z" &amp; $O$2905 + 2),0),4),1,""),""),$O$2905 + 3)</f>
        <v>L758</v>
      </c>
      <c r="D2914" s="826" t="s">
        <v>1350</v>
      </c>
      <c r="E2914" s="826" t="s">
        <v>1516</v>
      </c>
      <c r="F2914" s="826" t="s">
        <v>1993</v>
      </c>
      <c r="G2914" s="1671" t="str">
        <f>IF(T2914&lt;&gt;"","H","")</f>
        <v/>
      </c>
      <c r="H2914" s="1671" t="s">
        <v>1990</v>
      </c>
      <c r="I2914" s="826"/>
      <c r="J2914" s="826"/>
      <c r="K2914" s="826"/>
      <c r="L2914" s="826" t="s">
        <v>1397</v>
      </c>
      <c r="M2914" s="1332">
        <v>1735</v>
      </c>
      <c r="N2914" s="826"/>
      <c r="R2914" s="1671" t="s">
        <v>2201</v>
      </c>
      <c r="T2914" s="1730" t="str">
        <f t="shared" si="573"/>
        <v/>
      </c>
    </row>
    <row r="2915" spans="1:20" s="1669" customFormat="1" x14ac:dyDescent="0.25">
      <c r="A2915" s="1673" t="s">
        <v>1705</v>
      </c>
      <c r="B2915" s="1274" t="str">
        <f>IFERROR(_xlfn.CONCAT("D",('Configurable Tab'!$C$41+1)),"")</f>
        <v>D424</v>
      </c>
      <c r="C2915" s="1274" t="str">
        <f>IFERROR(_xlfn.CONCAT("E",('Configurable Tab'!$C$41+1)),"")</f>
        <v>E424</v>
      </c>
      <c r="D2915" s="826" t="s">
        <v>1350</v>
      </c>
      <c r="E2915" s="826" t="s">
        <v>1742</v>
      </c>
      <c r="F2915" s="1671"/>
      <c r="G2915" s="1671"/>
      <c r="H2915" s="1671"/>
      <c r="I2915" s="1274" t="str">
        <f t="shared" ref="I2915:I2925" si="574">IF(J2915&lt;&gt;"",A2915,"")</f>
        <v/>
      </c>
      <c r="J2915" s="1671" t="str">
        <f t="shared" ref="J2915:J2924" si="575">IFERROR(IF($Q$2905="Yes",Q$1&amp;M2905,""),"")</f>
        <v/>
      </c>
      <c r="K2915" s="1671" t="str">
        <f t="shared" ref="K2915:K2925" si="576">IF(J2915&lt;&gt;"",E2915,"")</f>
        <v/>
      </c>
      <c r="M2915" s="1670"/>
      <c r="Q2915" s="1274" t="str">
        <f>IFERROR(_xlfn.CONCAT("C",('Configurable Tab'!$C41+1)),"")</f>
        <v>C424</v>
      </c>
      <c r="R2915" s="1671" t="s">
        <v>2201</v>
      </c>
    </row>
    <row r="2916" spans="1:20" s="1669" customFormat="1" x14ac:dyDescent="0.25">
      <c r="A2916" s="1673" t="s">
        <v>1383</v>
      </c>
      <c r="B2916" s="1274" t="str">
        <f>IFERROR(_xlfn.CONCAT("D",('Configurable Tab'!$C$41+2)),"")</f>
        <v>D425</v>
      </c>
      <c r="C2916" s="1274" t="str">
        <f>IFERROR(_xlfn.CONCAT("E",('Configurable Tab'!$C$41+2)),"")</f>
        <v>E425</v>
      </c>
      <c r="D2916" s="826" t="s">
        <v>1350</v>
      </c>
      <c r="E2916" s="826" t="s">
        <v>1742</v>
      </c>
      <c r="F2916" s="1671"/>
      <c r="G2916" s="1671"/>
      <c r="H2916" s="1671"/>
      <c r="I2916" s="1274" t="str">
        <f t="shared" si="574"/>
        <v/>
      </c>
      <c r="J2916" s="1671" t="str">
        <f t="shared" si="575"/>
        <v/>
      </c>
      <c r="K2916" s="1671" t="str">
        <f t="shared" si="576"/>
        <v/>
      </c>
      <c r="M2916" s="1670"/>
      <c r="R2916" s="1671" t="s">
        <v>2201</v>
      </c>
    </row>
    <row r="2917" spans="1:20" s="1669" customFormat="1" x14ac:dyDescent="0.25">
      <c r="A2917" s="1673" t="s">
        <v>1381</v>
      </c>
      <c r="B2917" s="1274" t="str">
        <f>IFERROR(_xlfn.CONCAT("I",('Configurable Tab'!$C$41+1)),"")</f>
        <v>I424</v>
      </c>
      <c r="C2917" s="1274" t="str">
        <f>IFERROR(_xlfn.CONCAT("I",('Configurable Tab'!$C$41+2)),"")</f>
        <v>I425</v>
      </c>
      <c r="D2917" s="826" t="s">
        <v>1350</v>
      </c>
      <c r="E2917" s="826" t="s">
        <v>1742</v>
      </c>
      <c r="F2917" s="1671"/>
      <c r="G2917" s="1671"/>
      <c r="H2917" s="1671"/>
      <c r="I2917" s="1274" t="str">
        <f t="shared" si="574"/>
        <v/>
      </c>
      <c r="J2917" s="1671" t="str">
        <f t="shared" si="575"/>
        <v/>
      </c>
      <c r="K2917" s="1671" t="str">
        <f t="shared" si="576"/>
        <v/>
      </c>
      <c r="M2917" s="1670"/>
      <c r="R2917" s="1671" t="s">
        <v>2201</v>
      </c>
    </row>
    <row r="2918" spans="1:20" s="1669" customFormat="1" x14ac:dyDescent="0.25">
      <c r="A2918" s="1673" t="s">
        <v>1382</v>
      </c>
      <c r="B2918" s="1274" t="str">
        <f>IFERROR(_xlfn.CONCAT("M",('Configurable Tab'!$C$41+1)),"")</f>
        <v>M424</v>
      </c>
      <c r="C2918" s="1274" t="str">
        <f>IFERROR(_xlfn.CONCAT("M",('Configurable Tab'!$C$41+2)),"")</f>
        <v>M425</v>
      </c>
      <c r="D2918" s="826" t="s">
        <v>1350</v>
      </c>
      <c r="E2918" s="826" t="s">
        <v>1742</v>
      </c>
      <c r="F2918" s="1671"/>
      <c r="G2918" s="1671"/>
      <c r="H2918" s="1671"/>
      <c r="I2918" s="1274" t="str">
        <f t="shared" si="574"/>
        <v/>
      </c>
      <c r="J2918" s="1671" t="str">
        <f t="shared" si="575"/>
        <v/>
      </c>
      <c r="K2918" s="1671" t="str">
        <f t="shared" si="576"/>
        <v/>
      </c>
      <c r="M2918" s="1670"/>
      <c r="R2918" s="1671" t="s">
        <v>2201</v>
      </c>
    </row>
    <row r="2919" spans="1:20" s="1669" customFormat="1" x14ac:dyDescent="0.25">
      <c r="A2919" s="1673" t="s">
        <v>1385</v>
      </c>
      <c r="B2919" s="1274" t="str">
        <f>IFERROR(_xlfn.CONCAT("D",('Configurable Tab'!$C$41+4)),"")</f>
        <v>D427</v>
      </c>
      <c r="C2919" s="1274" t="str">
        <f>IFERROR(_xlfn.CONCAT("E",('Configurable Tab'!$C$41+4)),"")</f>
        <v>E427</v>
      </c>
      <c r="D2919" s="826" t="s">
        <v>1350</v>
      </c>
      <c r="E2919" s="826" t="s">
        <v>1742</v>
      </c>
      <c r="F2919" s="1671"/>
      <c r="G2919" s="1671"/>
      <c r="H2919" s="1671"/>
      <c r="I2919" s="1274" t="str">
        <f t="shared" si="574"/>
        <v/>
      </c>
      <c r="J2919" s="1671" t="str">
        <f t="shared" si="575"/>
        <v/>
      </c>
      <c r="K2919" s="1671" t="str">
        <f t="shared" si="576"/>
        <v/>
      </c>
      <c r="M2919" s="1670"/>
      <c r="R2919" s="1671" t="s">
        <v>2201</v>
      </c>
    </row>
    <row r="2920" spans="1:20" s="1669" customFormat="1" x14ac:dyDescent="0.25">
      <c r="A2920" s="1673" t="s">
        <v>1386</v>
      </c>
      <c r="B2920" s="1274" t="str">
        <f>IFERROR(_xlfn.CONCAT("D",('Configurable Tab'!$C$41+5)),"")</f>
        <v>D428</v>
      </c>
      <c r="C2920" s="1274" t="str">
        <f>IFERROR(_xlfn.CONCAT("E",('Configurable Tab'!$C$41+5)),"")</f>
        <v>E428</v>
      </c>
      <c r="D2920" s="826" t="s">
        <v>1350</v>
      </c>
      <c r="E2920" s="826" t="s">
        <v>1742</v>
      </c>
      <c r="F2920" s="1671"/>
      <c r="G2920" s="1671"/>
      <c r="H2920" s="1671"/>
      <c r="I2920" s="1274" t="str">
        <f t="shared" si="574"/>
        <v/>
      </c>
      <c r="J2920" s="1671" t="str">
        <f t="shared" si="575"/>
        <v/>
      </c>
      <c r="K2920" s="1671" t="str">
        <f t="shared" si="576"/>
        <v/>
      </c>
      <c r="M2920" s="1670"/>
      <c r="R2920" s="1671" t="s">
        <v>2201</v>
      </c>
    </row>
    <row r="2921" spans="1:20" s="1669" customFormat="1" x14ac:dyDescent="0.25">
      <c r="A2921" s="1673" t="s">
        <v>1396</v>
      </c>
      <c r="B2921" s="1274" t="str">
        <f>IFERROR(_xlfn.CONCAT("G",('Configurable Tab'!$C$41+4)),"")</f>
        <v>G427</v>
      </c>
      <c r="C2921" s="1274" t="str">
        <f>IFERROR(_xlfn.CONCAT("G",('Configurable Tab'!$C$41+5)),"")</f>
        <v>G428</v>
      </c>
      <c r="D2921" s="826" t="s">
        <v>1350</v>
      </c>
      <c r="E2921" s="826" t="s">
        <v>1742</v>
      </c>
      <c r="F2921" s="1671"/>
      <c r="G2921" s="1671"/>
      <c r="H2921" s="1671"/>
      <c r="I2921" s="1274" t="str">
        <f t="shared" si="574"/>
        <v/>
      </c>
      <c r="J2921" s="1671" t="str">
        <f t="shared" si="575"/>
        <v/>
      </c>
      <c r="K2921" s="1671" t="str">
        <f t="shared" si="576"/>
        <v/>
      </c>
      <c r="M2921" s="1670"/>
      <c r="R2921" s="1671" t="s">
        <v>2201</v>
      </c>
    </row>
    <row r="2922" spans="1:20" s="1669" customFormat="1" x14ac:dyDescent="0.25">
      <c r="A2922" s="1673" t="s">
        <v>2005</v>
      </c>
      <c r="B2922" s="1274" t="str">
        <f>IFERROR(_xlfn.CONCAT("G",('Configurable Tab'!$C$41+7)),"")</f>
        <v>G430</v>
      </c>
      <c r="C2922" s="1274" t="str">
        <f>IFERROR(_xlfn.CONCAT("G",('Configurable Tab'!$C$41+8)),"")</f>
        <v>G431</v>
      </c>
      <c r="D2922" s="826" t="s">
        <v>1350</v>
      </c>
      <c r="E2922" s="826" t="s">
        <v>1742</v>
      </c>
      <c r="F2922" s="1671"/>
      <c r="G2922" s="1671"/>
      <c r="H2922" s="1671"/>
      <c r="I2922" s="1274" t="str">
        <f t="shared" si="574"/>
        <v/>
      </c>
      <c r="J2922" s="1671" t="str">
        <f t="shared" si="575"/>
        <v/>
      </c>
      <c r="K2922" s="1671" t="str">
        <f t="shared" si="576"/>
        <v/>
      </c>
      <c r="M2922" s="1670"/>
      <c r="R2922" s="1671" t="s">
        <v>2201</v>
      </c>
    </row>
    <row r="2923" spans="1:20" s="1669" customFormat="1" x14ac:dyDescent="0.25">
      <c r="A2923" s="1673" t="s">
        <v>1482</v>
      </c>
      <c r="B2923" s="1274" t="str">
        <f>IFERROR(_xlfn.CONCAT("K",('Configurable Tab'!$C$41+7)),"")</f>
        <v>K430</v>
      </c>
      <c r="C2923" s="1274" t="str">
        <f>IFERROR(_xlfn.CONCAT("K",('Configurable Tab'!$C$41+8)),"")</f>
        <v>K431</v>
      </c>
      <c r="D2923" s="826" t="s">
        <v>1350</v>
      </c>
      <c r="E2923" s="826" t="s">
        <v>1742</v>
      </c>
      <c r="F2923" s="1671"/>
      <c r="G2923" s="1671"/>
      <c r="H2923" s="1671"/>
      <c r="I2923" s="1274" t="str">
        <f t="shared" si="574"/>
        <v/>
      </c>
      <c r="J2923" s="1671" t="str">
        <f t="shared" si="575"/>
        <v/>
      </c>
      <c r="K2923" s="1671" t="str">
        <f t="shared" si="576"/>
        <v/>
      </c>
      <c r="M2923" s="1670"/>
      <c r="R2923" s="1671" t="s">
        <v>2201</v>
      </c>
    </row>
    <row r="2924" spans="1:20" s="1669" customFormat="1" x14ac:dyDescent="0.25">
      <c r="A2924" s="1673" t="s">
        <v>1397</v>
      </c>
      <c r="B2924" s="1274" t="str">
        <f>IFERROR(_xlfn.CONCAT("K",('Configurable Tab'!$C$41+1)),"")</f>
        <v>K424</v>
      </c>
      <c r="C2924" s="1274" t="str">
        <f>IFERROR(_xlfn.CONCAT("K",('Configurable Tab'!$C$41+2)),"")</f>
        <v>K425</v>
      </c>
      <c r="D2924" s="826" t="s">
        <v>1350</v>
      </c>
      <c r="E2924" s="826" t="s">
        <v>1742</v>
      </c>
      <c r="F2924" s="1671"/>
      <c r="G2924" s="1671"/>
      <c r="H2924" s="1671"/>
      <c r="I2924" s="1274" t="str">
        <f t="shared" si="574"/>
        <v/>
      </c>
      <c r="J2924" s="1671" t="str">
        <f t="shared" si="575"/>
        <v/>
      </c>
      <c r="K2924" s="1671" t="str">
        <f t="shared" si="576"/>
        <v/>
      </c>
      <c r="M2924" s="1670"/>
      <c r="R2924" s="1671" t="s">
        <v>2201</v>
      </c>
    </row>
    <row r="2925" spans="1:20" s="1669" customFormat="1" x14ac:dyDescent="0.25">
      <c r="A2925" s="1673" t="s">
        <v>1496</v>
      </c>
      <c r="B2925" s="826" t="str">
        <f ca="1">IFERROR(_xlfn.CONCAT("C",MATCH(A2925,INDIRECT("'"&amp;E2925&amp;"'!C"&amp;$O$2905&amp;":C"&amp;$O$2907),0)+$O$2905-1),"")</f>
        <v>C767</v>
      </c>
      <c r="C2925" s="826" t="str">
        <f ca="1">IFERROR(_xlfn.CONCAT("D",MATCH(A2925,INDIRECT("'"&amp;E2925&amp;"'!C"&amp;$O$2905&amp;":C"&amp;$O$2907),0)+$O$2905-1),"")</f>
        <v>D767</v>
      </c>
      <c r="D2925" s="826" t="s">
        <v>1350</v>
      </c>
      <c r="E2925" s="826" t="s">
        <v>1516</v>
      </c>
      <c r="F2925" s="1671" t="s">
        <v>1496</v>
      </c>
      <c r="G2925" s="1671" t="str">
        <f t="shared" ref="G2925" si="577">IF(T2925&lt;&gt;"","AS","")</f>
        <v/>
      </c>
      <c r="H2925" s="1671" t="s">
        <v>1990</v>
      </c>
      <c r="I2925" s="1274" t="str">
        <f t="shared" si="574"/>
        <v/>
      </c>
      <c r="J2925" s="1671"/>
      <c r="K2925" s="1671" t="str">
        <f t="shared" si="576"/>
        <v/>
      </c>
      <c r="L2925" s="826"/>
      <c r="M2925" s="1672"/>
      <c r="N2925" s="1671"/>
      <c r="R2925" s="1671" t="s">
        <v>2201</v>
      </c>
      <c r="T2925" s="1671" t="str">
        <f>IF(Q$2905="Yes",54,"")</f>
        <v/>
      </c>
    </row>
    <row r="2926" spans="1:20" s="1669" customFormat="1" x14ac:dyDescent="0.25">
      <c r="A2926" s="1674" t="s">
        <v>1495</v>
      </c>
      <c r="B2926" s="826" t="str">
        <f ca="1">IFERROR(_xlfn.CONCAT("C",MATCH(A2926,INDIRECT("'"&amp;E2926&amp;"'!C"&amp;$O$2905&amp;":C"&amp;$O$2907),0)+$O$2905-1),"")</f>
        <v>C765</v>
      </c>
      <c r="C2926" s="826" t="str">
        <f ca="1">IFERROR(_xlfn.CONCAT("D",MATCH(A2926,INDIRECT("'"&amp;E2926&amp;"'!C"&amp;$O$2905&amp;":C"&amp;$O$2907),0)+$O$2905-1),"")</f>
        <v>D765</v>
      </c>
      <c r="D2926" s="826" t="s">
        <v>1350</v>
      </c>
      <c r="E2926" s="826" t="s">
        <v>1516</v>
      </c>
      <c r="F2926" s="1671" t="s">
        <v>1495</v>
      </c>
      <c r="G2926" s="1671" t="str">
        <f>IF(T2926&lt;&gt;"","AN","")</f>
        <v/>
      </c>
      <c r="H2926" s="1671" t="s">
        <v>1990</v>
      </c>
      <c r="I2926" s="1274"/>
      <c r="J2926" s="1671"/>
      <c r="K2926" s="1671"/>
      <c r="L2926" s="826"/>
      <c r="M2926" s="1672"/>
      <c r="N2926" s="1671"/>
      <c r="O2926" s="1561"/>
      <c r="P2926" s="603"/>
      <c r="Q2926" s="603"/>
      <c r="R2926" s="1671" t="s">
        <v>2201</v>
      </c>
      <c r="T2926" s="1730" t="str">
        <f t="shared" ref="T2926:T2933" si="578">IF(Q$2905="Yes",54,"")</f>
        <v/>
      </c>
    </row>
    <row r="2927" spans="1:20" s="1669" customFormat="1" x14ac:dyDescent="0.25">
      <c r="A2927" s="1674" t="s">
        <v>1492</v>
      </c>
      <c r="B2927" s="826" t="str">
        <f ca="1">_xlfn.CONCAT(IFERROR(SUBSTITUTE(ADDRESS(1,MATCH(A2927,INDIRECT("'"&amp;E2927&amp;"'"&amp;"!A" &amp; $O$2905+ 8 &amp; ":Z" &amp; $O$2905 + 8),0),4),1,""),""),$O$2905 + 8)</f>
        <v>H763</v>
      </c>
      <c r="C2927" s="826" t="str">
        <f ca="1">_xlfn.CONCAT(IFERROR(SUBSTITUTE(ADDRESS(1,MATCH(A2927,INDIRECT("'"&amp;E2927&amp;"'"&amp;"!A" &amp; $O$2905+ 8 &amp; ":Z" &amp; $O$2905 + 8),0),4),1,""),""),$O$2905 + 9)</f>
        <v>H764</v>
      </c>
      <c r="D2927" s="826" t="s">
        <v>1350</v>
      </c>
      <c r="E2927" s="826" t="s">
        <v>1516</v>
      </c>
      <c r="F2927" s="1671" t="s">
        <v>1492</v>
      </c>
      <c r="G2927" s="1671" t="str">
        <f>IF(T2927&lt;&gt;"","AL","")</f>
        <v/>
      </c>
      <c r="H2927" s="1671" t="s">
        <v>1990</v>
      </c>
      <c r="I2927" s="1274"/>
      <c r="J2927" s="1671"/>
      <c r="K2927" s="1671"/>
      <c r="L2927" s="826"/>
      <c r="M2927" s="1672"/>
      <c r="N2927" s="1671"/>
      <c r="O2927" s="603"/>
      <c r="P2927" s="603"/>
      <c r="Q2927" s="603"/>
      <c r="R2927" s="1671" t="s">
        <v>2201</v>
      </c>
      <c r="T2927" s="1730" t="str">
        <f t="shared" si="578"/>
        <v/>
      </c>
    </row>
    <row r="2928" spans="1:20" s="1669" customFormat="1" x14ac:dyDescent="0.25">
      <c r="A2928" s="1674" t="s">
        <v>1380</v>
      </c>
      <c r="B2928" s="826" t="str">
        <f ca="1">_xlfn.CONCAT(IFERROR(SUBSTITUTE(ADDRESS(1,MATCH(A2928,INDIRECT("'"&amp;E2928&amp;"'"&amp;"!A" &amp; $O$2905+ 2 &amp; ":Z" &amp; $O$2905 + 2),0),4),1,""),""),$O$2905+ 2)</f>
        <v>H757</v>
      </c>
      <c r="C2928" s="826" t="str">
        <f ca="1">_xlfn.CONCAT(IFERROR(SUBSTITUTE(ADDRESS(1,MATCH(A2928,INDIRECT("'"&amp;E2928&amp;"'"&amp;"!A" &amp; $O$2905+ 2 &amp; ":Z" &amp; $O$2905 + 2),0),4),1,""),""),$O$2905+ 3)</f>
        <v>H758</v>
      </c>
      <c r="D2928" s="826" t="s">
        <v>1350</v>
      </c>
      <c r="E2928" s="826" t="s">
        <v>1516</v>
      </c>
      <c r="F2928" s="1671" t="s">
        <v>1991</v>
      </c>
      <c r="G2928" s="1671" t="str">
        <f>IF(T2928&lt;&gt;"","E","")</f>
        <v/>
      </c>
      <c r="H2928" s="1671" t="s">
        <v>1990</v>
      </c>
      <c r="I2928" s="1274"/>
      <c r="J2928" s="1671"/>
      <c r="K2928" s="1671"/>
      <c r="L2928" s="826"/>
      <c r="M2928" s="1672"/>
      <c r="N2928" s="1671"/>
      <c r="O2928" s="603"/>
      <c r="P2928" s="603"/>
      <c r="Q2928" s="603"/>
      <c r="R2928" s="1671" t="s">
        <v>2201</v>
      </c>
      <c r="T2928" s="1730" t="str">
        <f t="shared" si="578"/>
        <v/>
      </c>
    </row>
    <row r="2929" spans="1:20" s="1669" customFormat="1" x14ac:dyDescent="0.25">
      <c r="A2929" s="1674" t="s">
        <v>1487</v>
      </c>
      <c r="B2929" s="826" t="str">
        <f ca="1">_xlfn.CONCAT(IFERROR(SUBSTITUTE(ADDRESS(1,MATCH(A2929,INDIRECT("'"&amp;E2929&amp;"'"&amp;"!A" &amp; $O$2905+ 2 &amp; ":Z" &amp; $O$2905 + 2),0),4),1,""),""),$O$2905+ 2)</f>
        <v>R757</v>
      </c>
      <c r="C2929" s="826" t="str">
        <f ca="1">_xlfn.CONCAT(IFERROR(SUBSTITUTE(ADDRESS(1,MATCH(A2929,INDIRECT("'"&amp;E2929&amp;"'"&amp;"!A" &amp; $O$2905+ 2 &amp; ":Z" &amp; $O$2905 + 2),0),4),1,""),""),$O$2905+ 3)</f>
        <v>R758</v>
      </c>
      <c r="D2929" s="826" t="s">
        <v>1350</v>
      </c>
      <c r="E2929" s="826" t="s">
        <v>1516</v>
      </c>
      <c r="F2929" s="1671" t="s">
        <v>1995</v>
      </c>
      <c r="G2929" s="1671" t="str">
        <f>IF(T2929&lt;&gt;"","G","")</f>
        <v/>
      </c>
      <c r="H2929" s="1671" t="s">
        <v>1990</v>
      </c>
      <c r="I2929" s="1274"/>
      <c r="J2929" s="1671"/>
      <c r="K2929" s="1671"/>
      <c r="L2929" s="826"/>
      <c r="M2929" s="1672"/>
      <c r="N2929" s="1671"/>
      <c r="O2929" s="603"/>
      <c r="P2929" s="603"/>
      <c r="Q2929" s="603"/>
      <c r="R2929" s="1671" t="s">
        <v>2201</v>
      </c>
      <c r="T2929" s="1730" t="str">
        <f t="shared" si="578"/>
        <v/>
      </c>
    </row>
    <row r="2930" spans="1:20" s="1669" customFormat="1" x14ac:dyDescent="0.25">
      <c r="A2930" s="1674" t="s">
        <v>1488</v>
      </c>
      <c r="B2930" s="826" t="str">
        <f ca="1">_xlfn.CONCAT(IFERROR(SUBSTITUTE(ADDRESS(1,MATCH(A2930,INDIRECT("'"&amp;E2930&amp;"'"&amp;"!A" &amp; $O$2905+ 2 &amp; ":Z" &amp; $O$2905 + 2),0),4),1,""),""),$O$2905+ 2)</f>
        <v>T757</v>
      </c>
      <c r="C2930" s="826" t="str">
        <f ca="1">_xlfn.CONCAT(IFERROR(SUBSTITUTE(ADDRESS(1,MATCH(A2930,INDIRECT("'"&amp;E2930&amp;"'"&amp;"!A" &amp; $O$2905+ 2 &amp; ":Z" &amp; $O$2905 + 2),0),4),1,""),""),$O$2905+ 3)</f>
        <v>T758</v>
      </c>
      <c r="D2930" s="826" t="s">
        <v>1350</v>
      </c>
      <c r="E2930" s="826" t="s">
        <v>1516</v>
      </c>
      <c r="F2930" s="841" t="s">
        <v>1488</v>
      </c>
      <c r="G2930" s="1671" t="str">
        <f>IF(T2930&lt;&gt;"","AW","")</f>
        <v/>
      </c>
      <c r="H2930" s="1671" t="s">
        <v>1990</v>
      </c>
      <c r="I2930" s="1274"/>
      <c r="J2930" s="1671"/>
      <c r="K2930" s="1671"/>
      <c r="L2930" s="826"/>
      <c r="M2930" s="1672"/>
      <c r="N2930" s="1671"/>
      <c r="O2930" s="603"/>
      <c r="P2930" s="603"/>
      <c r="Q2930" s="603"/>
      <c r="R2930" s="1671" t="s">
        <v>2201</v>
      </c>
      <c r="T2930" s="1730" t="str">
        <f t="shared" si="578"/>
        <v/>
      </c>
    </row>
    <row r="2931" spans="1:20" s="1669" customFormat="1" x14ac:dyDescent="0.25">
      <c r="A2931" s="1674" t="s">
        <v>1603</v>
      </c>
      <c r="B2931" s="826" t="str">
        <f ca="1">_xlfn.CONCAT(IFERROR(SUBSTITUTE(ADDRESS(1,MATCH(A2931,INDIRECT("'"&amp;E2931&amp;"'"&amp;"!A" &amp; $O$2905+ 5 &amp; ":Z" &amp; $O$2905 + 5),0),4),1,""),""),$O$2905+ 5)</f>
        <v>R760</v>
      </c>
      <c r="C2931" s="826" t="str">
        <f ca="1">_xlfn.CONCAT(IFERROR(SUBSTITUTE(ADDRESS(1,MATCH(A2931,INDIRECT("'"&amp;E2931&amp;"'"&amp;"!A" &amp; $O$2905+ 5 &amp; ":Z" &amp; $O$2905 + 5),0),4),1,""),""),$O$2905+ 6)</f>
        <v>R761</v>
      </c>
      <c r="D2931" s="826" t="s">
        <v>1350</v>
      </c>
      <c r="E2931" s="826" t="s">
        <v>1516</v>
      </c>
      <c r="F2931" s="1671" t="s">
        <v>1999</v>
      </c>
      <c r="G2931" s="1671" t="str">
        <f t="shared" ref="G2931" si="579">IF(T2931&lt;&gt;"","AB","")</f>
        <v/>
      </c>
      <c r="H2931" s="1671" t="s">
        <v>1990</v>
      </c>
      <c r="I2931" s="1274"/>
      <c r="J2931" s="1671"/>
      <c r="K2931" s="1671"/>
      <c r="L2931" s="826"/>
      <c r="M2931" s="1672"/>
      <c r="N2931" s="1671"/>
      <c r="O2931" s="603"/>
      <c r="P2931" s="603"/>
      <c r="Q2931" s="603"/>
      <c r="R2931" s="1671" t="s">
        <v>2201</v>
      </c>
      <c r="T2931" s="1730" t="str">
        <f t="shared" si="578"/>
        <v/>
      </c>
    </row>
    <row r="2932" spans="1:20" s="1669" customFormat="1" x14ac:dyDescent="0.25">
      <c r="A2932" s="1674" t="s">
        <v>1604</v>
      </c>
      <c r="B2932" s="826" t="str">
        <f ca="1">_xlfn.CONCAT(IFERROR(SUBSTITUTE(ADDRESS(1,MATCH(A2932,INDIRECT("'"&amp;E2932&amp;"'"&amp;"!A" &amp; $O$2905+ 5 &amp; ":Z" &amp; $O$2905 + 5),0),4),1,""),""),$O$2905+ 5)</f>
        <v>T760</v>
      </c>
      <c r="C2932" s="826" t="str">
        <f ca="1">_xlfn.CONCAT(IFERROR(SUBSTITUTE(ADDRESS(1,MATCH(A2932,INDIRECT("'"&amp;E2932&amp;"'"&amp;"!A" &amp; $O$2905+ 5 &amp; ":Z" &amp; $O$2905 + 5),0),4),1,""),""),$O$2905+ 6)</f>
        <v>T761</v>
      </c>
      <c r="D2932" s="826" t="s">
        <v>1350</v>
      </c>
      <c r="E2932" s="826" t="s">
        <v>1516</v>
      </c>
      <c r="F2932" s="1671" t="s">
        <v>1604</v>
      </c>
      <c r="G2932" s="1671" t="str">
        <f t="shared" ref="G2932" si="580">IF(T2932&lt;&gt;"","AP","")</f>
        <v/>
      </c>
      <c r="H2932" s="1671" t="s">
        <v>1990</v>
      </c>
      <c r="I2932" s="1274"/>
      <c r="J2932" s="1671"/>
      <c r="K2932" s="1671"/>
      <c r="L2932" s="826"/>
      <c r="M2932" s="1672"/>
      <c r="N2932" s="1671"/>
      <c r="O2932" s="603"/>
      <c r="P2932" s="603"/>
      <c r="Q2932" s="603"/>
      <c r="R2932" s="1671" t="s">
        <v>2201</v>
      </c>
      <c r="T2932" s="1730" t="str">
        <f t="shared" si="578"/>
        <v/>
      </c>
    </row>
    <row r="2933" spans="1:20" s="1669" customFormat="1" x14ac:dyDescent="0.25">
      <c r="A2933" s="1674" t="s">
        <v>2135</v>
      </c>
      <c r="B2933" s="826" t="str">
        <f ca="1">_xlfn.CONCAT(IFERROR(SUBSTITUTE(ADDRESS(1,MATCH(A2933,INDIRECT("'"&amp;E2933&amp;"'"&amp;"!A" &amp; $O$2905+ 8 &amp; ":Z" &amp; $O$2905 + 8),0),4),1,""),""),$O$2905 + 8)</f>
        <v>L763</v>
      </c>
      <c r="C2933" s="826" t="str">
        <f ca="1">_xlfn.CONCAT(IFERROR(SUBSTITUTE(ADDRESS(1,MATCH(A2933,INDIRECT("'"&amp;E2933&amp;"'"&amp;"!A" &amp; $O$2905+ 8 &amp; ":Z" &amp; $O$2905 + 8),0),4),1,""),""),$O$2905 + 9)</f>
        <v>L764</v>
      </c>
      <c r="D2933" s="826" t="s">
        <v>1350</v>
      </c>
      <c r="E2933" s="826" t="s">
        <v>1516</v>
      </c>
      <c r="F2933" s="1671" t="s">
        <v>2135</v>
      </c>
      <c r="G2933" s="1671" t="str">
        <f>IF(T2933&lt;&gt;"","AZ","")</f>
        <v/>
      </c>
      <c r="H2933" s="1671" t="s">
        <v>1990</v>
      </c>
      <c r="I2933" s="1274"/>
      <c r="J2933" s="1671"/>
      <c r="K2933" s="1671"/>
      <c r="L2933" s="826" t="s">
        <v>2135</v>
      </c>
      <c r="M2933" s="1672">
        <v>1736</v>
      </c>
      <c r="N2933" s="1671"/>
      <c r="O2933" s="603"/>
      <c r="P2933" s="603"/>
      <c r="Q2933" s="603"/>
      <c r="R2933" s="1671" t="s">
        <v>2201</v>
      </c>
      <c r="T2933" s="1730" t="str">
        <f t="shared" si="578"/>
        <v/>
      </c>
    </row>
  </sheetData>
  <autoFilter ref="A2:Z2933" xr:uid="{094E0E93-7911-4950-98E2-6E7A8A0BBC0D}"/>
  <mergeCells count="4">
    <mergeCell ref="A1:E1"/>
    <mergeCell ref="F1:H1"/>
    <mergeCell ref="I1:K1"/>
    <mergeCell ref="L1:N1"/>
  </mergeCells>
  <conditionalFormatting sqref="A1241 A1602:A1603">
    <cfRule type="expression" dxfId="74" priority="74">
      <formula>$G1241="EXCLUDE"</formula>
    </cfRule>
  </conditionalFormatting>
  <conditionalFormatting sqref="A1242">
    <cfRule type="expression" dxfId="73" priority="73">
      <formula>$G1242="EXCLUDE"</formula>
    </cfRule>
  </conditionalFormatting>
  <conditionalFormatting sqref="A1243">
    <cfRule type="expression" dxfId="72" priority="72">
      <formula>$G1243="EXCLUDE"</formula>
    </cfRule>
  </conditionalFormatting>
  <conditionalFormatting sqref="A1244">
    <cfRule type="expression" dxfId="71" priority="71">
      <formula>$G1244="EXCLUDE"</formula>
    </cfRule>
  </conditionalFormatting>
  <conditionalFormatting sqref="A1245">
    <cfRule type="expression" dxfId="70" priority="70">
      <formula>$G1245="EXCLUDE"</formula>
    </cfRule>
  </conditionalFormatting>
  <conditionalFormatting sqref="A1246">
    <cfRule type="expression" dxfId="69" priority="69">
      <formula>$G1246="EXCLUDE"</formula>
    </cfRule>
  </conditionalFormatting>
  <conditionalFormatting sqref="A1247">
    <cfRule type="expression" dxfId="68" priority="68">
      <formula>$G1247="EXCLUDE"</formula>
    </cfRule>
  </conditionalFormatting>
  <conditionalFormatting sqref="A1248">
    <cfRule type="expression" dxfId="67" priority="67">
      <formula>$G1248="EXCLUDE"</formula>
    </cfRule>
  </conditionalFormatting>
  <conditionalFormatting sqref="A1249">
    <cfRule type="expression" dxfId="66" priority="66">
      <formula>$G1249="EXCLUDE"</formula>
    </cfRule>
  </conditionalFormatting>
  <conditionalFormatting sqref="A1250">
    <cfRule type="expression" dxfId="65" priority="65">
      <formula>$G1250="EXCLUDE"</formula>
    </cfRule>
  </conditionalFormatting>
  <conditionalFormatting sqref="A1251">
    <cfRule type="expression" dxfId="64" priority="64">
      <formula>$G1251="EXCLUDE"</formula>
    </cfRule>
  </conditionalFormatting>
  <conditionalFormatting sqref="A1252">
    <cfRule type="expression" dxfId="63" priority="63">
      <formula>$G1252="EXCLUDE"</formula>
    </cfRule>
  </conditionalFormatting>
  <conditionalFormatting sqref="A1253">
    <cfRule type="expression" dxfId="62" priority="62">
      <formula>$G1253="EXCLUDE"</formula>
    </cfRule>
  </conditionalFormatting>
  <conditionalFormatting sqref="A1254">
    <cfRule type="expression" dxfId="61" priority="61">
      <formula>$G1254="EXCLUDE"</formula>
    </cfRule>
  </conditionalFormatting>
  <conditionalFormatting sqref="A1255">
    <cfRule type="expression" dxfId="60" priority="60">
      <formula>$G1255="EXCLUDE"</formula>
    </cfRule>
  </conditionalFormatting>
  <conditionalFormatting sqref="A1256">
    <cfRule type="expression" dxfId="59" priority="59">
      <formula>$G1256="EXCLUDE"</formula>
    </cfRule>
  </conditionalFormatting>
  <conditionalFormatting sqref="A1257">
    <cfRule type="expression" dxfId="58" priority="58">
      <formula>$G1257="EXCLUDE"</formula>
    </cfRule>
  </conditionalFormatting>
  <conditionalFormatting sqref="A1258">
    <cfRule type="expression" dxfId="57" priority="57">
      <formula>$G1258="EXCLUDE"</formula>
    </cfRule>
  </conditionalFormatting>
  <conditionalFormatting sqref="A1259">
    <cfRule type="expression" dxfId="56" priority="56">
      <formula>$G1259="EXCLUDE"</formula>
    </cfRule>
  </conditionalFormatting>
  <conditionalFormatting sqref="A1260">
    <cfRule type="expression" dxfId="55" priority="55">
      <formula>$G1260="EXCLUDE"</formula>
    </cfRule>
  </conditionalFormatting>
  <conditionalFormatting sqref="A1261">
    <cfRule type="expression" dxfId="54" priority="54">
      <formula>$G1261="EXCLUDE"</formula>
    </cfRule>
  </conditionalFormatting>
  <conditionalFormatting sqref="A1262">
    <cfRule type="expression" dxfId="53" priority="53">
      <formula>$G1262="EXCLUDE"</formula>
    </cfRule>
  </conditionalFormatting>
  <conditionalFormatting sqref="A1263">
    <cfRule type="expression" dxfId="52" priority="52">
      <formula>$G1263="EXCLUDE"</formula>
    </cfRule>
  </conditionalFormatting>
  <conditionalFormatting sqref="A1282">
    <cfRule type="expression" dxfId="51" priority="51">
      <formula>$G1282="EXCLUDE"</formula>
    </cfRule>
  </conditionalFormatting>
  <conditionalFormatting sqref="A1264">
    <cfRule type="expression" dxfId="50" priority="50">
      <formula>$G1264="EXCLUDE"</formula>
    </cfRule>
  </conditionalFormatting>
  <conditionalFormatting sqref="A1265">
    <cfRule type="expression" dxfId="49" priority="49">
      <formula>$G1265="EXCLUDE"</formula>
    </cfRule>
  </conditionalFormatting>
  <conditionalFormatting sqref="A1266">
    <cfRule type="expression" dxfId="48" priority="48">
      <formula>$G1266="EXCLUDE"</formula>
    </cfRule>
  </conditionalFormatting>
  <conditionalFormatting sqref="A1267">
    <cfRule type="expression" dxfId="47" priority="47">
      <formula>$G1267="EXCLUDE"</formula>
    </cfRule>
  </conditionalFormatting>
  <conditionalFormatting sqref="A1268">
    <cfRule type="expression" dxfId="46" priority="46">
      <formula>$G1268="EXCLUDE"</formula>
    </cfRule>
  </conditionalFormatting>
  <conditionalFormatting sqref="A1269">
    <cfRule type="expression" dxfId="45" priority="45">
      <formula>$G1269="EXCLUDE"</formula>
    </cfRule>
  </conditionalFormatting>
  <conditionalFormatting sqref="A1270">
    <cfRule type="expression" dxfId="44" priority="44">
      <formula>$G1270="EXCLUDE"</formula>
    </cfRule>
  </conditionalFormatting>
  <conditionalFormatting sqref="A1271">
    <cfRule type="expression" dxfId="43" priority="43">
      <formula>$G1271="EXCLUDE"</formula>
    </cfRule>
  </conditionalFormatting>
  <conditionalFormatting sqref="A1272">
    <cfRule type="expression" dxfId="42" priority="42">
      <formula>$G1272="EXCLUDE"</formula>
    </cfRule>
  </conditionalFormatting>
  <conditionalFormatting sqref="A1273">
    <cfRule type="expression" dxfId="41" priority="41">
      <formula>$G1273="EXCLUDE"</formula>
    </cfRule>
  </conditionalFormatting>
  <conditionalFormatting sqref="A1274">
    <cfRule type="expression" dxfId="40" priority="40">
      <formula>$G1274="EXCLUDE"</formula>
    </cfRule>
  </conditionalFormatting>
  <conditionalFormatting sqref="A1275">
    <cfRule type="expression" dxfId="39" priority="39">
      <formula>$G1275="EXCLUDE"</formula>
    </cfRule>
  </conditionalFormatting>
  <conditionalFormatting sqref="A1276">
    <cfRule type="expression" dxfId="38" priority="38">
      <formula>$G1276="EXCLUDE"</formula>
    </cfRule>
  </conditionalFormatting>
  <conditionalFormatting sqref="A1277">
    <cfRule type="expression" dxfId="37" priority="37">
      <formula>$G1277="EXCLUDE"</formula>
    </cfRule>
  </conditionalFormatting>
  <conditionalFormatting sqref="A1278">
    <cfRule type="expression" dxfId="36" priority="36">
      <formula>$G1278="EXCLUDE"</formula>
    </cfRule>
  </conditionalFormatting>
  <conditionalFormatting sqref="A1279">
    <cfRule type="expression" dxfId="35" priority="35">
      <formula>$G1279="EXCLUDE"</formula>
    </cfRule>
  </conditionalFormatting>
  <conditionalFormatting sqref="A1280">
    <cfRule type="expression" dxfId="34" priority="34">
      <formula>$G1280="EXCLUDE"</formula>
    </cfRule>
  </conditionalFormatting>
  <conditionalFormatting sqref="A1281">
    <cfRule type="expression" dxfId="33" priority="33">
      <formula>$G1281="EXCLUDE"</formula>
    </cfRule>
  </conditionalFormatting>
  <conditionalFormatting sqref="A161:A163">
    <cfRule type="expression" dxfId="32" priority="30">
      <formula>#REF!="EXCLUDE"</formula>
    </cfRule>
  </conditionalFormatting>
  <conditionalFormatting sqref="A160">
    <cfRule type="expression" dxfId="31" priority="31">
      <formula>#REF!="EXCLUDE"</formula>
    </cfRule>
  </conditionalFormatting>
  <conditionalFormatting sqref="A164:A166">
    <cfRule type="expression" dxfId="30" priority="32">
      <formula>#REF!="EXCLUDE"</formula>
    </cfRule>
  </conditionalFormatting>
  <conditionalFormatting sqref="A279:A281">
    <cfRule type="expression" dxfId="29" priority="29">
      <formula>$G279="EXCLUDE"</formula>
    </cfRule>
  </conditionalFormatting>
  <conditionalFormatting sqref="A291:A293">
    <cfRule type="expression" dxfId="28" priority="28">
      <formula>$G291="EXCLUDE"</formula>
    </cfRule>
  </conditionalFormatting>
  <conditionalFormatting sqref="A303:A305">
    <cfRule type="expression" dxfId="27" priority="27">
      <formula>$G303="EXCLUDE"</formula>
    </cfRule>
  </conditionalFormatting>
  <conditionalFormatting sqref="A315:A317">
    <cfRule type="expression" dxfId="26" priority="26">
      <formula>$G315="EXCLUDE"</formula>
    </cfRule>
  </conditionalFormatting>
  <conditionalFormatting sqref="A327:A329">
    <cfRule type="expression" dxfId="25" priority="25">
      <formula>$G327="EXCLUDE"</formula>
    </cfRule>
  </conditionalFormatting>
  <conditionalFormatting sqref="A339:A341">
    <cfRule type="expression" dxfId="24" priority="24">
      <formula>$G339="EXCLUDE"</formula>
    </cfRule>
  </conditionalFormatting>
  <conditionalFormatting sqref="A351:A353">
    <cfRule type="expression" dxfId="23" priority="23">
      <formula>$G351="EXCLUDE"</formula>
    </cfRule>
  </conditionalFormatting>
  <conditionalFormatting sqref="A363:A365">
    <cfRule type="expression" dxfId="22" priority="22">
      <formula>$G363="EXCLUDE"</formula>
    </cfRule>
  </conditionalFormatting>
  <conditionalFormatting sqref="A375:A377">
    <cfRule type="expression" dxfId="21" priority="21">
      <formula>$G375="EXCLUDE"</formula>
    </cfRule>
  </conditionalFormatting>
  <conditionalFormatting sqref="A387:A389">
    <cfRule type="expression" dxfId="20" priority="20">
      <formula>$G387="EXCLUDE"</formula>
    </cfRule>
  </conditionalFormatting>
  <conditionalFormatting sqref="A399:A401">
    <cfRule type="expression" dxfId="19" priority="19">
      <formula>$G399="EXCLUDE"</formula>
    </cfRule>
  </conditionalFormatting>
  <conditionalFormatting sqref="A411:A413">
    <cfRule type="expression" dxfId="18" priority="18">
      <formula>$G411="EXCLUDE"</formula>
    </cfRule>
  </conditionalFormatting>
  <conditionalFormatting sqref="A423:A425">
    <cfRule type="expression" dxfId="17" priority="17">
      <formula>$G423="EXCLUDE"</formula>
    </cfRule>
  </conditionalFormatting>
  <conditionalFormatting sqref="A435:A437">
    <cfRule type="expression" dxfId="16" priority="16">
      <formula>$G435="EXCLUDE"</formula>
    </cfRule>
  </conditionalFormatting>
  <conditionalFormatting sqref="A447:A449">
    <cfRule type="expression" dxfId="15" priority="15">
      <formula>$G447="EXCLUDE"</formula>
    </cfRule>
  </conditionalFormatting>
  <conditionalFormatting sqref="A459:A461">
    <cfRule type="expression" dxfId="14" priority="14">
      <formula>$G459="EXCLUDE"</formula>
    </cfRule>
  </conditionalFormatting>
  <conditionalFormatting sqref="A471:A473">
    <cfRule type="expression" dxfId="13" priority="13">
      <formula>$G471="EXCLUDE"</formula>
    </cfRule>
  </conditionalFormatting>
  <conditionalFormatting sqref="A483:A485">
    <cfRule type="expression" dxfId="12" priority="12">
      <formula>$G483="EXCLUDE"</formula>
    </cfRule>
  </conditionalFormatting>
  <conditionalFormatting sqref="A495:A497">
    <cfRule type="expression" dxfId="11" priority="11">
      <formula>$G495="EXCLUDE"</formula>
    </cfRule>
  </conditionalFormatting>
  <conditionalFormatting sqref="A507:A509">
    <cfRule type="expression" dxfId="10" priority="10">
      <formula>$G507="EXCLUDE"</formula>
    </cfRule>
  </conditionalFormatting>
  <conditionalFormatting sqref="A519:A521">
    <cfRule type="expression" dxfId="9" priority="9">
      <formula>$G519="EXCLUDE"</formula>
    </cfRule>
  </conditionalFormatting>
  <conditionalFormatting sqref="L161:L163">
    <cfRule type="expression" dxfId="8" priority="6">
      <formula>#REF!="EXCLUDE"</formula>
    </cfRule>
  </conditionalFormatting>
  <conditionalFormatting sqref="L160">
    <cfRule type="expression" dxfId="7" priority="7">
      <formula>#REF!="EXCLUDE"</formula>
    </cfRule>
  </conditionalFormatting>
  <conditionalFormatting sqref="L164:L166">
    <cfRule type="expression" dxfId="6" priority="8">
      <formula>#REF!="EXCLUDE"</formula>
    </cfRule>
  </conditionalFormatting>
  <conditionalFormatting sqref="L279:L281 L303:L305 L315:L317 L339:L341 L351:L353 L363:L365 L375:L377 L387:L389 L399:L401 L411:L413 L423:L425 L435:L437 L447:L449 L459:L461 L471:L473 L483:L485 L495:L497 L507:L509 L519:L521 L291:L293 L327:L329">
    <cfRule type="expression" dxfId="5" priority="5">
      <formula>$G279="EXCLUDE"</formula>
    </cfRule>
  </conditionalFormatting>
  <conditionalFormatting sqref="A1559:A1561">
    <cfRule type="expression" dxfId="4" priority="4">
      <formula>$G1559="EXCLUDE"</formula>
    </cfRule>
  </conditionalFormatting>
  <conditionalFormatting sqref="A1566">
    <cfRule type="expression" dxfId="3" priority="3">
      <formula>$G1566="EXCLUDE"</formula>
    </cfRule>
  </conditionalFormatting>
  <conditionalFormatting sqref="F1566">
    <cfRule type="expression" dxfId="2" priority="2">
      <formula>$G1566="EXCLUDE"</formula>
    </cfRule>
  </conditionalFormatting>
  <conditionalFormatting sqref="F1607">
    <cfRule type="expression" dxfId="1" priority="1">
      <formula>$G1607="EXCLUDE"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DE896B-9EAE-4C50-989E-68DFBF7A5FFF}">
  <sheetPr codeName="Sheet24"/>
  <dimension ref="A1:R61"/>
  <sheetViews>
    <sheetView topLeftCell="H1" workbookViewId="0">
      <selection activeCell="O31" sqref="O31"/>
    </sheetView>
  </sheetViews>
  <sheetFormatPr defaultRowHeight="15" x14ac:dyDescent="0.25"/>
  <cols>
    <col min="1" max="1" width="37.85546875" style="697" customWidth="1"/>
    <col min="2" max="2" width="25.28515625" style="697" customWidth="1"/>
    <col min="3" max="3" width="8" style="697" customWidth="1"/>
    <col min="4" max="4" width="9.140625" style="697"/>
    <col min="5" max="5" width="22.42578125" style="1576" customWidth="1"/>
    <col min="6" max="6" width="42.28515625" style="697" customWidth="1"/>
    <col min="7" max="7" width="27.28515625" style="697" customWidth="1"/>
    <col min="8" max="8" width="19.28515625" style="697" customWidth="1"/>
    <col min="9" max="9" width="9.140625" style="697" customWidth="1"/>
    <col min="10" max="10" width="20.5703125" style="1576" customWidth="1"/>
    <col min="11" max="11" width="18.28515625" style="1574" customWidth="1"/>
    <col min="12" max="12" width="19.140625" style="697" customWidth="1"/>
    <col min="13" max="13" width="23" style="697" customWidth="1"/>
    <col min="14" max="14" width="23" style="1577" customWidth="1"/>
    <col min="15" max="15" width="25" style="1739" customWidth="1"/>
    <col min="16" max="16" width="27.28515625" style="1036" customWidth="1"/>
    <col min="17" max="17" width="27.85546875" style="1036" customWidth="1"/>
    <col min="18" max="18" width="17" style="1036" customWidth="1"/>
    <col min="19" max="16384" width="9.140625" style="1036"/>
  </cols>
  <sheetData>
    <row r="1" spans="1:18" ht="30.75" thickBot="1" x14ac:dyDescent="0.3">
      <c r="A1" s="2152" t="s">
        <v>1728</v>
      </c>
      <c r="B1" s="2153"/>
      <c r="C1" s="2153"/>
      <c r="D1" s="2153"/>
      <c r="E1" s="2154"/>
      <c r="F1" s="2155" t="s">
        <v>1729</v>
      </c>
      <c r="G1" s="2156"/>
      <c r="H1" s="2156"/>
      <c r="I1" s="2156"/>
      <c r="J1" s="2156"/>
      <c r="K1" s="2156"/>
      <c r="L1" s="2156"/>
      <c r="M1" s="2157"/>
      <c r="N1" s="1664"/>
      <c r="O1" s="1736"/>
      <c r="P1" s="1667"/>
      <c r="Q1" s="1665" t="s">
        <v>2170</v>
      </c>
      <c r="R1" s="1734" t="s">
        <v>2105</v>
      </c>
    </row>
    <row r="2" spans="1:18" ht="15.75" thickBot="1" x14ac:dyDescent="0.3">
      <c r="A2" s="1631" t="s">
        <v>1728</v>
      </c>
      <c r="B2" s="1632" t="s">
        <v>1733</v>
      </c>
      <c r="C2" s="1632" t="s">
        <v>1730</v>
      </c>
      <c r="D2" s="1633" t="s">
        <v>1731</v>
      </c>
      <c r="E2" s="1634" t="s">
        <v>1599</v>
      </c>
      <c r="F2" s="1635" t="s">
        <v>1383</v>
      </c>
      <c r="G2" s="1636" t="s">
        <v>1732</v>
      </c>
      <c r="H2" s="1637" t="s">
        <v>1730</v>
      </c>
      <c r="I2" s="1638" t="s">
        <v>1731</v>
      </c>
      <c r="J2" s="1639" t="s">
        <v>1599</v>
      </c>
      <c r="K2" s="1572" t="s">
        <v>2138</v>
      </c>
      <c r="L2" s="1581" t="s">
        <v>2138</v>
      </c>
      <c r="M2" s="1639" t="s">
        <v>2139</v>
      </c>
      <c r="N2" s="1663" t="s">
        <v>2140</v>
      </c>
      <c r="O2" s="1737" t="s">
        <v>2228</v>
      </c>
      <c r="P2" s="1668"/>
      <c r="Q2" s="1666">
        <f>MAX('Customer Inputs'!C:C)</f>
        <v>20</v>
      </c>
      <c r="R2" s="1735">
        <v>4.2</v>
      </c>
    </row>
    <row r="3" spans="1:18" ht="35.25" customHeight="1" x14ac:dyDescent="0.25">
      <c r="A3" s="1625" t="s">
        <v>851</v>
      </c>
      <c r="B3" s="1625">
        <v>1</v>
      </c>
      <c r="C3" s="1625">
        <v>12</v>
      </c>
      <c r="D3" s="1625">
        <v>24</v>
      </c>
      <c r="E3" s="1626" t="str">
        <f>J3</f>
        <v>Yes</v>
      </c>
      <c r="F3" s="1625" t="s">
        <v>1485</v>
      </c>
      <c r="G3" s="1625">
        <v>1201</v>
      </c>
      <c r="H3" s="1625">
        <v>3</v>
      </c>
      <c r="I3" s="1625">
        <v>16</v>
      </c>
      <c r="J3" s="1627" t="str">
        <f>'Incentives Worksheet'!T12</f>
        <v>Yes</v>
      </c>
      <c r="K3" s="1628" t="str">
        <f t="shared" ref="K3:K47" si="0">_xlfn.CONCAT(_xlfn.CONCAT("D",H3+10), _xlfn.CONCAT(":E",H3+10))</f>
        <v>D13:E13</v>
      </c>
      <c r="L3" s="1625" t="str">
        <f>_xlfn.CONCAT("F",I3-1)</f>
        <v>F15</v>
      </c>
      <c r="M3" s="1629" t="str">
        <f>'Incentives Worksheet'!T15</f>
        <v>No</v>
      </c>
      <c r="N3" s="1630">
        <f>'Incentives Worksheet'!F15</f>
        <v>0</v>
      </c>
      <c r="O3" s="1738"/>
    </row>
    <row r="4" spans="1:18" x14ac:dyDescent="0.25">
      <c r="A4" s="1573" t="s">
        <v>851</v>
      </c>
      <c r="B4" s="1573">
        <v>2</v>
      </c>
      <c r="C4" s="1573">
        <v>26</v>
      </c>
      <c r="D4" s="1573">
        <v>38</v>
      </c>
      <c r="E4" s="1620" t="str">
        <f>J3</f>
        <v>Yes</v>
      </c>
      <c r="F4" s="1573" t="s">
        <v>1485</v>
      </c>
      <c r="G4" s="1573">
        <v>1202</v>
      </c>
      <c r="H4" s="1573">
        <v>17</v>
      </c>
      <c r="I4" s="1573">
        <v>30</v>
      </c>
      <c r="J4" s="1619" t="str">
        <f>'Incentives Worksheet'!T26</f>
        <v>Yes</v>
      </c>
      <c r="K4" s="1622" t="str">
        <f t="shared" si="0"/>
        <v>D27:E27</v>
      </c>
      <c r="L4" s="1573" t="str">
        <f t="shared" ref="L4:L47" si="1">_xlfn.CONCAT("F",I4-1)</f>
        <v>F29</v>
      </c>
      <c r="M4" s="1623" t="str">
        <f>'Incentives Worksheet'!T29</f>
        <v>No</v>
      </c>
      <c r="N4" s="1624">
        <f>'Incentives Worksheet'!F29</f>
        <v>0</v>
      </c>
      <c r="O4" s="1738"/>
    </row>
    <row r="5" spans="1:18" x14ac:dyDescent="0.25">
      <c r="A5" s="1575" t="s">
        <v>851</v>
      </c>
      <c r="B5" s="1575">
        <v>3</v>
      </c>
      <c r="C5" s="1575">
        <v>40</v>
      </c>
      <c r="D5" s="1573">
        <v>52</v>
      </c>
      <c r="E5" s="1620" t="str">
        <f>J3</f>
        <v>Yes</v>
      </c>
      <c r="F5" s="1573" t="s">
        <v>1500</v>
      </c>
      <c r="G5" s="1573">
        <v>1401</v>
      </c>
      <c r="H5" s="1573">
        <v>31</v>
      </c>
      <c r="I5" s="1573">
        <v>44</v>
      </c>
      <c r="J5" s="1619" t="str">
        <f>'Incentives Worksheet'!T40</f>
        <v>Yes</v>
      </c>
      <c r="K5" s="1622" t="str">
        <f t="shared" si="0"/>
        <v>D41:E41</v>
      </c>
      <c r="L5" s="1573" t="str">
        <f t="shared" si="1"/>
        <v>F43</v>
      </c>
      <c r="M5" s="1623" t="str">
        <f>'Incentives Worksheet'!T43</f>
        <v>No</v>
      </c>
      <c r="N5" s="1624">
        <f>'Incentives Worksheet'!F43</f>
        <v>0</v>
      </c>
      <c r="O5" s="1738"/>
    </row>
    <row r="6" spans="1:18" x14ac:dyDescent="0.25">
      <c r="A6" s="1575" t="s">
        <v>217</v>
      </c>
      <c r="B6" s="1575">
        <v>1</v>
      </c>
      <c r="C6" s="1575">
        <v>54</v>
      </c>
      <c r="D6" s="1573">
        <v>66</v>
      </c>
      <c r="E6" s="1620" t="str">
        <f>J9</f>
        <v>Yes</v>
      </c>
      <c r="F6" s="1573" t="s">
        <v>1500</v>
      </c>
      <c r="G6" s="1573">
        <v>1402</v>
      </c>
      <c r="H6" s="1573">
        <v>45</v>
      </c>
      <c r="I6" s="1573">
        <v>58</v>
      </c>
      <c r="J6" s="1619" t="str">
        <f>'Incentives Worksheet'!T54</f>
        <v>Yes</v>
      </c>
      <c r="K6" s="1622" t="str">
        <f t="shared" si="0"/>
        <v>D55:E55</v>
      </c>
      <c r="L6" s="1573" t="str">
        <f t="shared" si="1"/>
        <v>F57</v>
      </c>
      <c r="M6" s="1623" t="str">
        <f>'Incentives Worksheet'!T57</f>
        <v>No</v>
      </c>
      <c r="N6" s="1624">
        <f>'Incentives Worksheet'!F57</f>
        <v>0</v>
      </c>
      <c r="O6" s="1738"/>
    </row>
    <row r="7" spans="1:18" x14ac:dyDescent="0.25">
      <c r="A7" s="1575" t="s">
        <v>217</v>
      </c>
      <c r="B7" s="1575">
        <v>2</v>
      </c>
      <c r="C7" s="1575">
        <v>68</v>
      </c>
      <c r="D7" s="1573">
        <v>80</v>
      </c>
      <c r="E7" s="1620" t="str">
        <f>J9</f>
        <v>Yes</v>
      </c>
      <c r="F7" s="1573" t="s">
        <v>1513</v>
      </c>
      <c r="G7" s="1573">
        <v>1501</v>
      </c>
      <c r="H7" s="1573">
        <v>59</v>
      </c>
      <c r="I7" s="1573">
        <v>74</v>
      </c>
      <c r="J7" s="1619" t="str">
        <f>'Incentives Worksheet'!T68</f>
        <v>Yes</v>
      </c>
      <c r="K7" s="1622" t="str">
        <f>_xlfn.CONCAT(_xlfn.CONCAT("D",H7+12), _xlfn.CONCAT(":E",H7+12))</f>
        <v>D71:E71</v>
      </c>
      <c r="L7" s="1573" t="str">
        <f>_xlfn.CONCAT("F",I7-2)</f>
        <v>F72</v>
      </c>
      <c r="M7" s="1623" t="str">
        <f>'Incentives Worksheet'!T72</f>
        <v>No</v>
      </c>
      <c r="N7" s="1624">
        <f>'Incentives Worksheet'!F72</f>
        <v>0</v>
      </c>
      <c r="O7" s="1738"/>
    </row>
    <row r="8" spans="1:18" x14ac:dyDescent="0.25">
      <c r="A8" s="1575" t="s">
        <v>525</v>
      </c>
      <c r="B8" s="1575">
        <v>1</v>
      </c>
      <c r="C8" s="1575">
        <v>82</v>
      </c>
      <c r="D8" s="1573">
        <v>94</v>
      </c>
      <c r="E8" s="1620" t="str">
        <f>J13</f>
        <v>Yes</v>
      </c>
      <c r="F8" s="1573" t="s">
        <v>1513</v>
      </c>
      <c r="G8" s="1573">
        <v>1502</v>
      </c>
      <c r="H8" s="1573">
        <v>75</v>
      </c>
      <c r="I8" s="1573">
        <v>90</v>
      </c>
      <c r="J8" s="1619" t="str">
        <f>'Incentives Worksheet'!T84</f>
        <v>Yes</v>
      </c>
      <c r="K8" s="1622" t="str">
        <f>_xlfn.CONCAT(_xlfn.CONCAT("D",H8+12), _xlfn.CONCAT(":E",H8+12))</f>
        <v>D87:E87</v>
      </c>
      <c r="L8" s="1573" t="str">
        <f>_xlfn.CONCAT("F",I8-2)</f>
        <v>F88</v>
      </c>
      <c r="M8" s="1623" t="str">
        <f>'Incentives Worksheet'!T88</f>
        <v>No</v>
      </c>
      <c r="N8" s="1624">
        <f>'Incentives Worksheet'!F88</f>
        <v>0</v>
      </c>
      <c r="O8" s="1738"/>
    </row>
    <row r="9" spans="1:18" x14ac:dyDescent="0.25">
      <c r="A9" s="1575" t="s">
        <v>525</v>
      </c>
      <c r="B9" s="1575">
        <v>2</v>
      </c>
      <c r="C9" s="1575">
        <v>96</v>
      </c>
      <c r="D9" s="1573">
        <v>108</v>
      </c>
      <c r="E9" s="1620" t="str">
        <f>J13</f>
        <v>Yes</v>
      </c>
      <c r="F9" s="1573" t="s">
        <v>1522</v>
      </c>
      <c r="G9" s="1573">
        <v>5501</v>
      </c>
      <c r="H9" s="1573">
        <v>91</v>
      </c>
      <c r="I9" s="1573">
        <v>104</v>
      </c>
      <c r="J9" s="1619" t="str">
        <f>'Incentives Worksheet'!T100</f>
        <v>Yes</v>
      </c>
      <c r="K9" s="1622" t="str">
        <f t="shared" si="0"/>
        <v>D101:E101</v>
      </c>
      <c r="L9" s="1573" t="str">
        <f t="shared" si="1"/>
        <v>F103</v>
      </c>
      <c r="M9" s="1623" t="str">
        <f>'Incentives Worksheet'!T103</f>
        <v>No</v>
      </c>
      <c r="N9" s="1624">
        <f>'Incentives Worksheet'!F103</f>
        <v>0</v>
      </c>
      <c r="O9" s="1738"/>
    </row>
    <row r="10" spans="1:18" x14ac:dyDescent="0.25">
      <c r="A10" s="1575" t="s">
        <v>1105</v>
      </c>
      <c r="B10" s="1575">
        <v>1</v>
      </c>
      <c r="C10" s="1575">
        <v>110</v>
      </c>
      <c r="D10" s="1573">
        <v>116</v>
      </c>
      <c r="E10" s="1620"/>
      <c r="F10" s="1573" t="s">
        <v>1522</v>
      </c>
      <c r="G10" s="1573">
        <v>5502</v>
      </c>
      <c r="H10" s="1573">
        <v>105</v>
      </c>
      <c r="I10" s="1573">
        <v>118</v>
      </c>
      <c r="J10" s="1619" t="str">
        <f>'Incentives Worksheet'!T114</f>
        <v>Yes</v>
      </c>
      <c r="K10" s="1622" t="str">
        <f t="shared" si="0"/>
        <v>D115:E115</v>
      </c>
      <c r="L10" s="1573" t="str">
        <f t="shared" si="1"/>
        <v>F117</v>
      </c>
      <c r="M10" s="1623" t="str">
        <f>'Incentives Worksheet'!T117</f>
        <v>No</v>
      </c>
      <c r="N10" s="1624">
        <f>'Incentives Worksheet'!F117</f>
        <v>0</v>
      </c>
      <c r="O10" s="1738"/>
    </row>
    <row r="11" spans="1:18" x14ac:dyDescent="0.25">
      <c r="A11" s="1575" t="s">
        <v>1105</v>
      </c>
      <c r="B11" s="1575">
        <v>2</v>
      </c>
      <c r="C11" s="1575">
        <v>118</v>
      </c>
      <c r="D11" s="1573">
        <v>124</v>
      </c>
      <c r="E11" s="1620"/>
      <c r="F11" s="1573" t="s">
        <v>1523</v>
      </c>
      <c r="G11" s="1573">
        <v>2801</v>
      </c>
      <c r="H11" s="1573">
        <v>119</v>
      </c>
      <c r="I11" s="1573">
        <v>134</v>
      </c>
      <c r="J11" s="1619" t="str">
        <f>'Incentives Worksheet'!T128</f>
        <v>Yes</v>
      </c>
      <c r="K11" s="1622" t="str">
        <f>_xlfn.CONCAT(_xlfn.CONCAT("D",H11+12), _xlfn.CONCAT(":E",H11+12))</f>
        <v>D131:E131</v>
      </c>
      <c r="L11" s="1573" t="str">
        <f>_xlfn.CONCAT("F",I11-2)</f>
        <v>F132</v>
      </c>
      <c r="M11" s="1623" t="str">
        <f>'Incentives Worksheet'!T132</f>
        <v>No</v>
      </c>
      <c r="N11" s="1624">
        <f>'Incentives Worksheet'!F132</f>
        <v>0</v>
      </c>
      <c r="O11" s="1738"/>
    </row>
    <row r="12" spans="1:18" x14ac:dyDescent="0.25">
      <c r="A12" s="1575" t="s">
        <v>1105</v>
      </c>
      <c r="B12" s="1575">
        <v>3</v>
      </c>
      <c r="C12" s="1575">
        <v>126</v>
      </c>
      <c r="D12" s="1573">
        <v>132</v>
      </c>
      <c r="E12" s="1620"/>
      <c r="F12" s="1573" t="s">
        <v>1523</v>
      </c>
      <c r="G12" s="1573">
        <v>2802</v>
      </c>
      <c r="H12" s="1573">
        <v>135</v>
      </c>
      <c r="I12" s="1573">
        <v>150</v>
      </c>
      <c r="J12" s="1619" t="str">
        <f>'Incentives Worksheet'!T144</f>
        <v>Yes</v>
      </c>
      <c r="K12" s="1622" t="str">
        <f>_xlfn.CONCAT(_xlfn.CONCAT("D",H12+12), _xlfn.CONCAT(":E",H12+12))</f>
        <v>D147:E147</v>
      </c>
      <c r="L12" s="1573" t="str">
        <f>_xlfn.CONCAT("F",I12-2)</f>
        <v>F148</v>
      </c>
      <c r="M12" s="1623" t="str">
        <f>'Incentives Worksheet'!T148</f>
        <v>No</v>
      </c>
      <c r="N12" s="1624">
        <f>'Incentives Worksheet'!F148</f>
        <v>0</v>
      </c>
      <c r="O12" s="1738"/>
    </row>
    <row r="13" spans="1:18" x14ac:dyDescent="0.25">
      <c r="A13" s="1575" t="s">
        <v>1105</v>
      </c>
      <c r="B13" s="1575">
        <v>4</v>
      </c>
      <c r="C13" s="1575">
        <v>134</v>
      </c>
      <c r="D13" s="1573">
        <v>140</v>
      </c>
      <c r="E13" s="1620"/>
      <c r="F13" s="1573" t="s">
        <v>1530</v>
      </c>
      <c r="G13" s="1573">
        <v>3401</v>
      </c>
      <c r="H13" s="1573">
        <v>151</v>
      </c>
      <c r="I13" s="1573">
        <v>164</v>
      </c>
      <c r="J13" s="1619" t="str">
        <f>'Incentives Worksheet'!T160</f>
        <v>Yes</v>
      </c>
      <c r="K13" s="1622" t="str">
        <f t="shared" si="0"/>
        <v>D161:E161</v>
      </c>
      <c r="L13" s="1573" t="str">
        <f t="shared" si="1"/>
        <v>F163</v>
      </c>
      <c r="M13" s="1623" t="str">
        <f>'Incentives Worksheet'!T163</f>
        <v>No</v>
      </c>
      <c r="N13" s="1624">
        <f>'Incentives Worksheet'!F163</f>
        <v>0</v>
      </c>
      <c r="O13" s="1738"/>
    </row>
    <row r="14" spans="1:18" x14ac:dyDescent="0.25">
      <c r="A14" s="1575" t="s">
        <v>1105</v>
      </c>
      <c r="B14" s="1575">
        <v>5</v>
      </c>
      <c r="C14" s="1575">
        <v>142</v>
      </c>
      <c r="D14" s="1573">
        <v>148</v>
      </c>
      <c r="E14" s="1620"/>
      <c r="F14" s="1573" t="s">
        <v>1530</v>
      </c>
      <c r="G14" s="1573">
        <v>3402</v>
      </c>
      <c r="H14" s="1573">
        <v>165</v>
      </c>
      <c r="I14" s="1573">
        <v>178</v>
      </c>
      <c r="J14" s="1619" t="str">
        <f>'Incentives Worksheet'!T174</f>
        <v>Yes</v>
      </c>
      <c r="K14" s="1622" t="str">
        <f t="shared" si="0"/>
        <v>D175:E175</v>
      </c>
      <c r="L14" s="1573" t="str">
        <f t="shared" si="1"/>
        <v>F177</v>
      </c>
      <c r="M14" s="1623" t="str">
        <f>'Incentives Worksheet'!T177</f>
        <v>No</v>
      </c>
      <c r="N14" s="1624">
        <f>'Incentives Worksheet'!F177</f>
        <v>0</v>
      </c>
      <c r="O14" s="1738"/>
    </row>
    <row r="15" spans="1:18" x14ac:dyDescent="0.25">
      <c r="A15" s="1575" t="s">
        <v>717</v>
      </c>
      <c r="B15" s="1575">
        <v>1</v>
      </c>
      <c r="C15" s="1575">
        <v>150</v>
      </c>
      <c r="D15" s="1573">
        <v>156</v>
      </c>
      <c r="E15" s="1620" t="str">
        <f t="shared" ref="E15:E16" si="2">J24</f>
        <v>Yes</v>
      </c>
      <c r="F15" s="1573" t="s">
        <v>1534</v>
      </c>
      <c r="G15" s="1573">
        <v>3501</v>
      </c>
      <c r="H15" s="1573">
        <v>179</v>
      </c>
      <c r="I15" s="1573">
        <v>192</v>
      </c>
      <c r="J15" s="1619" t="str">
        <f>'Incentives Worksheet'!T188</f>
        <v>Yes</v>
      </c>
      <c r="K15" s="1622" t="str">
        <f t="shared" si="0"/>
        <v>D189:E189</v>
      </c>
      <c r="L15" s="1573" t="str">
        <f t="shared" si="1"/>
        <v>F191</v>
      </c>
      <c r="M15" s="1623" t="str">
        <f>'Incentives Worksheet'!T191</f>
        <v>No</v>
      </c>
      <c r="N15" s="1624">
        <f>'Incentives Worksheet'!F191</f>
        <v>0</v>
      </c>
      <c r="O15" s="1738"/>
    </row>
    <row r="16" spans="1:18" x14ac:dyDescent="0.25">
      <c r="A16" s="1575" t="s">
        <v>1095</v>
      </c>
      <c r="B16" s="1575">
        <v>1</v>
      </c>
      <c r="C16" s="1575">
        <v>158</v>
      </c>
      <c r="D16" s="1573">
        <v>164</v>
      </c>
      <c r="E16" s="1620" t="str">
        <f t="shared" si="2"/>
        <v>No</v>
      </c>
      <c r="F16" s="1573" t="s">
        <v>1534</v>
      </c>
      <c r="G16" s="1573">
        <v>3502</v>
      </c>
      <c r="H16" s="1573">
        <v>193</v>
      </c>
      <c r="I16" s="1573">
        <v>206</v>
      </c>
      <c r="J16" s="1619" t="str">
        <f>'Incentives Worksheet'!T202</f>
        <v>Yes</v>
      </c>
      <c r="K16" s="1622" t="str">
        <f t="shared" si="0"/>
        <v>D203:E203</v>
      </c>
      <c r="L16" s="1573" t="str">
        <f t="shared" si="1"/>
        <v>F205</v>
      </c>
      <c r="M16" s="1623" t="str">
        <f>'Incentives Worksheet'!T205</f>
        <v>No</v>
      </c>
      <c r="N16" s="1624">
        <f>'Incentives Worksheet'!F205</f>
        <v>0</v>
      </c>
      <c r="O16" s="1738"/>
    </row>
    <row r="17" spans="1:15" x14ac:dyDescent="0.25">
      <c r="A17" s="1575" t="s">
        <v>1095</v>
      </c>
      <c r="B17" s="1575">
        <v>2</v>
      </c>
      <c r="C17" s="1575">
        <v>166</v>
      </c>
      <c r="D17" s="1573">
        <v>172</v>
      </c>
      <c r="E17" s="1621" t="str">
        <f>J25</f>
        <v>No</v>
      </c>
      <c r="F17" s="1573" t="s">
        <v>1537</v>
      </c>
      <c r="G17" s="1573">
        <v>3601</v>
      </c>
      <c r="H17" s="1573">
        <v>207</v>
      </c>
      <c r="I17" s="1573">
        <v>222</v>
      </c>
      <c r="J17" s="1619" t="str">
        <f>'Incentives Worksheet'!T216</f>
        <v>Yes</v>
      </c>
      <c r="K17" s="1622" t="str">
        <f>_xlfn.CONCAT(_xlfn.CONCAT("D",H17+12), _xlfn.CONCAT(":E",H17+12))</f>
        <v>D219:E219</v>
      </c>
      <c r="L17" s="1573" t="str">
        <f>_xlfn.CONCAT("F",I17-2)</f>
        <v>F220</v>
      </c>
      <c r="M17" s="1623" t="str">
        <f>'Incentives Worksheet'!T220</f>
        <v>No</v>
      </c>
      <c r="N17" s="1624">
        <f>'Incentives Worksheet'!F220</f>
        <v>0</v>
      </c>
      <c r="O17" s="1738"/>
    </row>
    <row r="18" spans="1:15" x14ac:dyDescent="0.25">
      <c r="A18" s="1575" t="s">
        <v>999</v>
      </c>
      <c r="B18" s="1575">
        <v>1</v>
      </c>
      <c r="C18" s="1575">
        <v>174</v>
      </c>
      <c r="D18" s="1573">
        <v>180</v>
      </c>
      <c r="E18" s="1621" t="str">
        <f>J28</f>
        <v>No</v>
      </c>
      <c r="F18" s="1573" t="s">
        <v>1537</v>
      </c>
      <c r="G18" s="1573">
        <v>3602</v>
      </c>
      <c r="H18" s="1573">
        <v>223</v>
      </c>
      <c r="I18" s="1573">
        <v>238</v>
      </c>
      <c r="J18" s="1619" t="str">
        <f>'Incentives Worksheet'!T232</f>
        <v>Yes</v>
      </c>
      <c r="K18" s="1622" t="str">
        <f>_xlfn.CONCAT(_xlfn.CONCAT("D",H18+12), _xlfn.CONCAT(":E",H18+12))</f>
        <v>D235:E235</v>
      </c>
      <c r="L18" s="1573" t="str">
        <f>_xlfn.CONCAT("F",I18-2)</f>
        <v>F236</v>
      </c>
      <c r="M18" s="1623" t="str">
        <f>'Incentives Worksheet'!T236</f>
        <v>No</v>
      </c>
      <c r="N18" s="1624">
        <f>'Incentives Worksheet'!F236</f>
        <v>0</v>
      </c>
      <c r="O18" s="1738"/>
    </row>
    <row r="19" spans="1:15" x14ac:dyDescent="0.25">
      <c r="A19" s="1575" t="s">
        <v>1473</v>
      </c>
      <c r="B19" s="1575">
        <v>1</v>
      </c>
      <c r="C19" s="1575">
        <v>182</v>
      </c>
      <c r="D19" s="1573">
        <v>191</v>
      </c>
      <c r="E19" s="1621" t="str">
        <f>J29</f>
        <v>No</v>
      </c>
      <c r="F19" s="1573" t="s">
        <v>1539</v>
      </c>
      <c r="G19" s="1573">
        <v>1301</v>
      </c>
      <c r="H19" s="1573">
        <v>239</v>
      </c>
      <c r="I19" s="1573">
        <v>252</v>
      </c>
      <c r="J19" s="1619"/>
      <c r="K19" s="1622" t="str">
        <f t="shared" si="0"/>
        <v>D249:E249</v>
      </c>
      <c r="L19" s="1573" t="str">
        <f t="shared" si="1"/>
        <v>F251</v>
      </c>
      <c r="M19" s="1623" t="str">
        <f>'Incentives Worksheet'!T251</f>
        <v>No</v>
      </c>
      <c r="N19" s="1624">
        <f>'Incentives Worksheet'!F251</f>
        <v>0</v>
      </c>
      <c r="O19" s="1738"/>
    </row>
    <row r="20" spans="1:15" x14ac:dyDescent="0.25">
      <c r="A20" s="1575" t="s">
        <v>1099</v>
      </c>
      <c r="B20" s="1575">
        <v>1</v>
      </c>
      <c r="C20" s="1575">
        <v>193</v>
      </c>
      <c r="D20" s="1573">
        <v>203</v>
      </c>
      <c r="E20" s="1621" t="str">
        <f>J31</f>
        <v>No</v>
      </c>
      <c r="F20" s="1573" t="s">
        <v>1539</v>
      </c>
      <c r="G20" s="1573">
        <v>1302</v>
      </c>
      <c r="H20" s="1573">
        <v>253</v>
      </c>
      <c r="I20" s="1573">
        <v>266</v>
      </c>
      <c r="J20" s="1619"/>
      <c r="K20" s="1622" t="str">
        <f t="shared" si="0"/>
        <v>D263:E263</v>
      </c>
      <c r="L20" s="1573" t="str">
        <f t="shared" si="1"/>
        <v>F265</v>
      </c>
      <c r="M20" s="1623" t="str">
        <f>'Incentives Worksheet'!T265</f>
        <v>No</v>
      </c>
      <c r="N20" s="1624">
        <f>'Incentives Worksheet'!F265</f>
        <v>0</v>
      </c>
      <c r="O20" s="1738"/>
    </row>
    <row r="21" spans="1:15" x14ac:dyDescent="0.25">
      <c r="A21" s="1575" t="s">
        <v>1099</v>
      </c>
      <c r="B21" s="1575">
        <v>2</v>
      </c>
      <c r="C21" s="1575">
        <v>205</v>
      </c>
      <c r="D21" s="1573">
        <v>215</v>
      </c>
      <c r="E21" s="1621" t="str">
        <f>J31</f>
        <v>No</v>
      </c>
      <c r="F21" s="1573" t="s">
        <v>1539</v>
      </c>
      <c r="G21" s="1573">
        <v>1303</v>
      </c>
      <c r="H21" s="1573">
        <v>267</v>
      </c>
      <c r="I21" s="1573">
        <v>280</v>
      </c>
      <c r="J21" s="1619"/>
      <c r="K21" s="1622" t="str">
        <f t="shared" si="0"/>
        <v>D277:E277</v>
      </c>
      <c r="L21" s="1573" t="str">
        <f t="shared" si="1"/>
        <v>F279</v>
      </c>
      <c r="M21" s="1623" t="str">
        <f>'Incentives Worksheet'!T279</f>
        <v>No</v>
      </c>
      <c r="N21" s="1624">
        <f>'Incentives Worksheet'!F279</f>
        <v>0</v>
      </c>
      <c r="O21" s="1738"/>
    </row>
    <row r="22" spans="1:15" x14ac:dyDescent="0.25">
      <c r="A22" s="1575" t="s">
        <v>1483</v>
      </c>
      <c r="B22" s="1575">
        <v>1</v>
      </c>
      <c r="C22" s="1575">
        <v>217</v>
      </c>
      <c r="D22" s="1573">
        <v>223</v>
      </c>
      <c r="E22" s="1621" t="str">
        <f>J37</f>
        <v>No</v>
      </c>
      <c r="F22" s="1573" t="s">
        <v>1539</v>
      </c>
      <c r="G22" s="1573">
        <v>1304</v>
      </c>
      <c r="H22" s="1573">
        <v>281</v>
      </c>
      <c r="I22" s="1573">
        <v>294</v>
      </c>
      <c r="J22" s="1619"/>
      <c r="K22" s="1622" t="str">
        <f t="shared" si="0"/>
        <v>D291:E291</v>
      </c>
      <c r="L22" s="1573" t="str">
        <f t="shared" si="1"/>
        <v>F293</v>
      </c>
      <c r="M22" s="1623" t="str">
        <f>'Incentives Worksheet'!T293</f>
        <v>No</v>
      </c>
      <c r="N22" s="1624">
        <f>'Incentives Worksheet'!F293</f>
        <v>0</v>
      </c>
      <c r="O22" s="1738"/>
    </row>
    <row r="23" spans="1:15" x14ac:dyDescent="0.25">
      <c r="A23" s="1575" t="s">
        <v>1775</v>
      </c>
      <c r="B23" s="1575">
        <v>1</v>
      </c>
      <c r="C23" s="1575">
        <v>225</v>
      </c>
      <c r="D23" s="1575">
        <v>234</v>
      </c>
      <c r="E23" s="1621" t="str">
        <f>J38</f>
        <v>No</v>
      </c>
      <c r="F23" s="1573" t="s">
        <v>1539</v>
      </c>
      <c r="G23" s="1573">
        <v>1305</v>
      </c>
      <c r="H23" s="1573">
        <v>295</v>
      </c>
      <c r="I23" s="1573">
        <v>308</v>
      </c>
      <c r="J23" s="1619"/>
      <c r="K23" s="1622" t="str">
        <f t="shared" si="0"/>
        <v>D305:E305</v>
      </c>
      <c r="L23" s="1573" t="str">
        <f t="shared" si="1"/>
        <v>F307</v>
      </c>
      <c r="M23" s="1623" t="str">
        <f>'Incentives Worksheet'!T307</f>
        <v>No</v>
      </c>
      <c r="N23" s="1624">
        <f>'Incentives Worksheet'!F307</f>
        <v>0</v>
      </c>
      <c r="O23" s="1738" t="str">
        <f>Incentives!E232</f>
        <v/>
      </c>
    </row>
    <row r="24" spans="1:15" x14ac:dyDescent="0.25">
      <c r="A24" s="1575" t="s">
        <v>1775</v>
      </c>
      <c r="B24" s="1575">
        <v>2</v>
      </c>
      <c r="C24" s="1575">
        <v>236</v>
      </c>
      <c r="D24" s="1575">
        <v>245</v>
      </c>
      <c r="E24" s="1621" t="str">
        <f t="shared" ref="E24:E31" si="3">J39</f>
        <v>No</v>
      </c>
      <c r="F24" s="1573" t="s">
        <v>1540</v>
      </c>
      <c r="G24" s="1573">
        <v>4001</v>
      </c>
      <c r="H24" s="1573">
        <v>309</v>
      </c>
      <c r="I24" s="1573">
        <v>322</v>
      </c>
      <c r="J24" s="1618" t="str">
        <f>'Incentives Worksheet'!T318</f>
        <v>Yes</v>
      </c>
      <c r="K24" s="1622" t="str">
        <f t="shared" si="0"/>
        <v>D319:E319</v>
      </c>
      <c r="L24" s="1573" t="str">
        <f t="shared" si="1"/>
        <v>F321</v>
      </c>
      <c r="M24" s="1623" t="str">
        <f>'Incentives Worksheet'!T321</f>
        <v>No</v>
      </c>
      <c r="N24" s="1624">
        <f>'Incentives Worksheet'!F321</f>
        <v>0</v>
      </c>
      <c r="O24" s="1738" t="str">
        <f>Incentives!E243</f>
        <v/>
      </c>
    </row>
    <row r="25" spans="1:15" x14ac:dyDescent="0.25">
      <c r="A25" s="1575" t="s">
        <v>1775</v>
      </c>
      <c r="B25" s="1575">
        <v>3</v>
      </c>
      <c r="C25" s="1575">
        <v>247</v>
      </c>
      <c r="D25" s="1575">
        <v>256</v>
      </c>
      <c r="E25" s="1621" t="str">
        <f t="shared" si="3"/>
        <v>No</v>
      </c>
      <c r="F25" s="1573" t="s">
        <v>1600</v>
      </c>
      <c r="G25" s="1573">
        <v>4601</v>
      </c>
      <c r="H25" s="1573">
        <v>323</v>
      </c>
      <c r="I25" s="1573">
        <v>336</v>
      </c>
      <c r="J25" s="1618" t="str">
        <f>'Incentives Worksheet'!T332</f>
        <v>No</v>
      </c>
      <c r="K25" s="1622" t="str">
        <f t="shared" si="0"/>
        <v>D333:E333</v>
      </c>
      <c r="L25" s="1573" t="str">
        <f t="shared" si="1"/>
        <v>F335</v>
      </c>
      <c r="M25" s="1623" t="str">
        <f>'Incentives Worksheet'!T335</f>
        <v>No</v>
      </c>
      <c r="N25" s="1624">
        <f>'Incentives Worksheet'!F335</f>
        <v>0</v>
      </c>
      <c r="O25" s="1738" t="str">
        <f>Incentives!E254</f>
        <v/>
      </c>
    </row>
    <row r="26" spans="1:15" x14ac:dyDescent="0.25">
      <c r="A26" s="1575" t="s">
        <v>1775</v>
      </c>
      <c r="B26" s="1575">
        <v>4</v>
      </c>
      <c r="C26" s="1575">
        <v>258</v>
      </c>
      <c r="D26" s="1575">
        <v>267</v>
      </c>
      <c r="E26" s="1621" t="str">
        <f t="shared" si="3"/>
        <v>No</v>
      </c>
      <c r="F26" s="1573" t="s">
        <v>1600</v>
      </c>
      <c r="G26" s="1573">
        <v>4602</v>
      </c>
      <c r="H26" s="1573">
        <v>337</v>
      </c>
      <c r="I26" s="1573">
        <v>350</v>
      </c>
      <c r="J26" s="1618" t="str">
        <f>'Incentives Worksheet'!T346</f>
        <v>No</v>
      </c>
      <c r="K26" s="1622" t="str">
        <f t="shared" si="0"/>
        <v>D347:E347</v>
      </c>
      <c r="L26" s="1573" t="str">
        <f t="shared" si="1"/>
        <v>F349</v>
      </c>
      <c r="M26" s="1623" t="str">
        <f>'Incentives Worksheet'!T349</f>
        <v>No</v>
      </c>
      <c r="N26" s="1624">
        <f>'Incentives Worksheet'!F349</f>
        <v>0</v>
      </c>
      <c r="O26" s="1738" t="str">
        <f>Incentives!E265</f>
        <v/>
      </c>
    </row>
    <row r="27" spans="1:15" x14ac:dyDescent="0.25">
      <c r="A27" s="1575" t="s">
        <v>1775</v>
      </c>
      <c r="B27" s="1575">
        <v>5</v>
      </c>
      <c r="C27" s="1575">
        <v>269</v>
      </c>
      <c r="D27" s="1575">
        <v>278</v>
      </c>
      <c r="E27" s="1621" t="str">
        <f t="shared" si="3"/>
        <v>No</v>
      </c>
      <c r="F27" s="1573" t="s">
        <v>1761</v>
      </c>
      <c r="G27" s="1573">
        <v>4901</v>
      </c>
      <c r="H27" s="1573">
        <v>351</v>
      </c>
      <c r="I27" s="1573">
        <v>364</v>
      </c>
      <c r="J27" s="1618" t="str">
        <f>'Incentives Worksheet'!T360</f>
        <v>No</v>
      </c>
      <c r="K27" s="1622" t="str">
        <f t="shared" si="0"/>
        <v>D361:E361</v>
      </c>
      <c r="L27" s="1573" t="str">
        <f t="shared" si="1"/>
        <v>F363</v>
      </c>
      <c r="M27" s="1623" t="str">
        <f>'Incentives Worksheet'!T363</f>
        <v>No</v>
      </c>
      <c r="N27" s="1624">
        <f>'Incentives Worksheet'!F363</f>
        <v>0</v>
      </c>
      <c r="O27" s="1738" t="str">
        <f>Incentives!E276</f>
        <v/>
      </c>
    </row>
    <row r="28" spans="1:15" x14ac:dyDescent="0.25">
      <c r="A28" s="1575" t="s">
        <v>1775</v>
      </c>
      <c r="B28" s="1575">
        <v>6</v>
      </c>
      <c r="C28" s="1575">
        <v>280</v>
      </c>
      <c r="D28" s="1575">
        <v>289</v>
      </c>
      <c r="E28" s="1621" t="str">
        <f t="shared" si="3"/>
        <v>No</v>
      </c>
      <c r="F28" s="1573" t="s">
        <v>1608</v>
      </c>
      <c r="G28" s="1573">
        <v>5001</v>
      </c>
      <c r="H28" s="1573">
        <v>365</v>
      </c>
      <c r="I28" s="1573">
        <v>378</v>
      </c>
      <c r="J28" s="1618" t="str">
        <f>'Incentives Worksheet'!T374</f>
        <v>No</v>
      </c>
      <c r="K28" s="1622" t="str">
        <f t="shared" si="0"/>
        <v>D375:E375</v>
      </c>
      <c r="L28" s="1573" t="str">
        <f t="shared" si="1"/>
        <v>F377</v>
      </c>
      <c r="M28" s="1623" t="str">
        <f>'Incentives Worksheet'!T377</f>
        <v>No</v>
      </c>
      <c r="N28" s="1624">
        <f>'Incentives Worksheet'!F377</f>
        <v>0</v>
      </c>
      <c r="O28" s="1738" t="str">
        <f>Incentives!E287</f>
        <v/>
      </c>
    </row>
    <row r="29" spans="1:15" x14ac:dyDescent="0.25">
      <c r="A29" s="1575" t="s">
        <v>1775</v>
      </c>
      <c r="B29" s="1575">
        <v>7</v>
      </c>
      <c r="C29" s="1575">
        <v>291</v>
      </c>
      <c r="D29" s="1575">
        <v>300</v>
      </c>
      <c r="E29" s="1621" t="str">
        <f t="shared" si="3"/>
        <v>No</v>
      </c>
      <c r="F29" s="1573" t="s">
        <v>1133</v>
      </c>
      <c r="G29" s="1573">
        <v>801</v>
      </c>
      <c r="H29" s="1573">
        <v>379</v>
      </c>
      <c r="I29" s="1573">
        <v>392</v>
      </c>
      <c r="J29" s="1618" t="str">
        <f>'Incentives Worksheet'!T388</f>
        <v>No</v>
      </c>
      <c r="K29" s="1622" t="str">
        <f t="shared" si="0"/>
        <v>D389:E389</v>
      </c>
      <c r="L29" s="1573" t="str">
        <f t="shared" si="1"/>
        <v>F391</v>
      </c>
      <c r="M29" s="1623" t="str">
        <f>'Incentives Worksheet'!T391</f>
        <v>No</v>
      </c>
      <c r="N29" s="1624">
        <f>'Incentives Worksheet'!F391</f>
        <v>0</v>
      </c>
      <c r="O29" s="1738" t="str">
        <f>Incentives!E298</f>
        <v/>
      </c>
    </row>
    <row r="30" spans="1:15" x14ac:dyDescent="0.25">
      <c r="A30" s="1575" t="s">
        <v>1775</v>
      </c>
      <c r="B30" s="1575">
        <v>8</v>
      </c>
      <c r="C30" s="1575">
        <v>302</v>
      </c>
      <c r="D30" s="1575">
        <v>311</v>
      </c>
      <c r="E30" s="1621" t="str">
        <f t="shared" si="3"/>
        <v>No</v>
      </c>
      <c r="F30" s="1573" t="s">
        <v>1612</v>
      </c>
      <c r="G30" s="1573">
        <v>901</v>
      </c>
      <c r="H30" s="1573">
        <v>393</v>
      </c>
      <c r="I30" s="1573">
        <v>406</v>
      </c>
      <c r="J30" s="1618" t="str">
        <f>'Incentives Worksheet'!T402</f>
        <v>No</v>
      </c>
      <c r="K30" s="1622" t="str">
        <f t="shared" si="0"/>
        <v>D403:E403</v>
      </c>
      <c r="L30" s="1573" t="str">
        <f t="shared" si="1"/>
        <v>F405</v>
      </c>
      <c r="M30" s="1623" t="str">
        <f>'Incentives Worksheet'!T405</f>
        <v>No</v>
      </c>
      <c r="N30" s="1624">
        <f>'Incentives Worksheet'!F405</f>
        <v>0</v>
      </c>
      <c r="O30" s="1738" t="str">
        <f>Incentives!E309</f>
        <v/>
      </c>
    </row>
    <row r="31" spans="1:15" x14ac:dyDescent="0.25">
      <c r="A31" s="1575" t="s">
        <v>1775</v>
      </c>
      <c r="B31" s="1575">
        <v>9</v>
      </c>
      <c r="C31" s="1575">
        <v>313</v>
      </c>
      <c r="D31" s="1575">
        <v>322</v>
      </c>
      <c r="E31" s="1621" t="str">
        <f t="shared" si="3"/>
        <v>No</v>
      </c>
      <c r="F31" s="1573" t="s">
        <v>1614</v>
      </c>
      <c r="G31" s="1573">
        <v>501</v>
      </c>
      <c r="H31" s="1573">
        <v>407</v>
      </c>
      <c r="I31" s="1573">
        <v>420</v>
      </c>
      <c r="J31" s="1618" t="str">
        <f>'Incentives Worksheet'!T416</f>
        <v>No</v>
      </c>
      <c r="K31" s="1622" t="str">
        <f t="shared" si="0"/>
        <v>D417:E417</v>
      </c>
      <c r="L31" s="1573" t="str">
        <f t="shared" si="1"/>
        <v>F419</v>
      </c>
      <c r="M31" s="1623" t="str">
        <f>'Incentives Worksheet'!T419</f>
        <v>No</v>
      </c>
      <c r="N31" s="1624">
        <f>'Incentives Worksheet'!F419</f>
        <v>0</v>
      </c>
      <c r="O31" s="1738" t="str">
        <f>Incentives!E320</f>
        <v/>
      </c>
    </row>
    <row r="32" spans="1:15" x14ac:dyDescent="0.25">
      <c r="A32" s="1575" t="s">
        <v>1775</v>
      </c>
      <c r="B32" s="1575">
        <v>10</v>
      </c>
      <c r="C32" s="1575">
        <v>324</v>
      </c>
      <c r="D32" s="1575">
        <v>333</v>
      </c>
      <c r="E32" s="1621" t="str">
        <f>J47</f>
        <v>No</v>
      </c>
      <c r="F32" s="1573" t="s">
        <v>1614</v>
      </c>
      <c r="G32" s="1573">
        <v>502</v>
      </c>
      <c r="H32" s="1573">
        <v>421</v>
      </c>
      <c r="I32" s="1573">
        <v>434</v>
      </c>
      <c r="J32" s="1618" t="str">
        <f>'Incentives Worksheet'!T430</f>
        <v>No</v>
      </c>
      <c r="K32" s="1622" t="str">
        <f t="shared" si="0"/>
        <v>D431:E431</v>
      </c>
      <c r="L32" s="1573" t="str">
        <f t="shared" si="1"/>
        <v>F433</v>
      </c>
      <c r="M32" s="1623" t="str">
        <f>'Incentives Worksheet'!T433</f>
        <v>No</v>
      </c>
      <c r="N32" s="1624">
        <f>'Incentives Worksheet'!F433</f>
        <v>0</v>
      </c>
      <c r="O32" s="1738" t="str">
        <f>Incentives!E331</f>
        <v/>
      </c>
    </row>
    <row r="33" spans="1:15" x14ac:dyDescent="0.25">
      <c r="A33" s="1575" t="s">
        <v>1775</v>
      </c>
      <c r="B33" s="1575">
        <v>11</v>
      </c>
      <c r="C33" s="1575">
        <v>335</v>
      </c>
      <c r="D33" s="1575">
        <v>344</v>
      </c>
      <c r="E33" s="1621" t="str">
        <f t="shared" ref="E33:E40" si="4">J48</f>
        <v>No</v>
      </c>
      <c r="F33" s="1573" t="s">
        <v>1617</v>
      </c>
      <c r="G33" s="1573">
        <v>5601</v>
      </c>
      <c r="H33" s="1573">
        <v>435</v>
      </c>
      <c r="I33" s="1573">
        <v>448</v>
      </c>
      <c r="J33" s="1618" t="str">
        <f>'Incentives Worksheet'!T444</f>
        <v>No</v>
      </c>
      <c r="K33" s="1622" t="str">
        <f t="shared" si="0"/>
        <v>D445:E445</v>
      </c>
      <c r="L33" s="1573" t="str">
        <f t="shared" si="1"/>
        <v>F447</v>
      </c>
      <c r="M33" s="1623" t="str">
        <f>'Incentives Worksheet'!T447</f>
        <v>No</v>
      </c>
      <c r="N33" s="1624">
        <f>'Incentives Worksheet'!F447</f>
        <v>0</v>
      </c>
      <c r="O33" s="1738" t="str">
        <f>Incentives!E342</f>
        <v/>
      </c>
    </row>
    <row r="34" spans="1:15" x14ac:dyDescent="0.25">
      <c r="A34" s="1575" t="s">
        <v>1775</v>
      </c>
      <c r="B34" s="1575">
        <v>12</v>
      </c>
      <c r="C34" s="1575">
        <v>346</v>
      </c>
      <c r="D34" s="1575">
        <v>355</v>
      </c>
      <c r="E34" s="1621" t="str">
        <f t="shared" si="4"/>
        <v>No</v>
      </c>
      <c r="F34" s="1573" t="s">
        <v>1617</v>
      </c>
      <c r="G34" s="1573">
        <v>5602</v>
      </c>
      <c r="H34" s="1573">
        <v>449</v>
      </c>
      <c r="I34" s="1573">
        <v>462</v>
      </c>
      <c r="J34" s="1618" t="str">
        <f>'Incentives Worksheet'!T458</f>
        <v>No</v>
      </c>
      <c r="K34" s="1622" t="str">
        <f t="shared" si="0"/>
        <v>D459:E459</v>
      </c>
      <c r="L34" s="1573" t="str">
        <f t="shared" si="1"/>
        <v>F461</v>
      </c>
      <c r="M34" s="1623" t="str">
        <f>'Incentives Worksheet'!T461</f>
        <v>No</v>
      </c>
      <c r="N34" s="1624">
        <f>'Incentives Worksheet'!F461</f>
        <v>0</v>
      </c>
      <c r="O34" s="1738" t="str">
        <f>Incentives!E353</f>
        <v/>
      </c>
    </row>
    <row r="35" spans="1:15" x14ac:dyDescent="0.25">
      <c r="A35" s="1575" t="s">
        <v>1775</v>
      </c>
      <c r="B35" s="1575">
        <v>13</v>
      </c>
      <c r="C35" s="1575">
        <v>357</v>
      </c>
      <c r="D35" s="1575">
        <v>366</v>
      </c>
      <c r="E35" s="1621" t="str">
        <f t="shared" si="4"/>
        <v>No</v>
      </c>
      <c r="F35" s="1573" t="s">
        <v>1620</v>
      </c>
      <c r="G35" s="1573">
        <v>601</v>
      </c>
      <c r="H35" s="1573">
        <v>463</v>
      </c>
      <c r="I35" s="1573">
        <v>476</v>
      </c>
      <c r="J35" s="1618" t="str">
        <f>'Incentives Worksheet'!T472</f>
        <v>No</v>
      </c>
      <c r="K35" s="1622" t="str">
        <f t="shared" si="0"/>
        <v>D473:E473</v>
      </c>
      <c r="L35" s="1573" t="str">
        <f t="shared" si="1"/>
        <v>F475</v>
      </c>
      <c r="M35" s="1623" t="str">
        <f>'Incentives Worksheet'!T475</f>
        <v>No</v>
      </c>
      <c r="N35" s="1624">
        <f>'Incentives Worksheet'!F475</f>
        <v>0</v>
      </c>
      <c r="O35" s="1738" t="str">
        <f>Incentives!E364</f>
        <v/>
      </c>
    </row>
    <row r="36" spans="1:15" x14ac:dyDescent="0.25">
      <c r="A36" s="1575" t="s">
        <v>1775</v>
      </c>
      <c r="B36" s="1575">
        <v>14</v>
      </c>
      <c r="C36" s="1575">
        <v>368</v>
      </c>
      <c r="D36" s="1575">
        <v>377</v>
      </c>
      <c r="E36" s="1621" t="str">
        <f t="shared" si="4"/>
        <v>No</v>
      </c>
      <c r="F36" s="1573" t="s">
        <v>1620</v>
      </c>
      <c r="G36" s="1573">
        <v>602</v>
      </c>
      <c r="H36" s="1573">
        <v>477</v>
      </c>
      <c r="I36" s="1573">
        <v>490</v>
      </c>
      <c r="J36" s="1618" t="str">
        <f>'Incentives Worksheet'!T486</f>
        <v>No</v>
      </c>
      <c r="K36" s="1622" t="str">
        <f t="shared" si="0"/>
        <v>D487:E487</v>
      </c>
      <c r="L36" s="1573" t="str">
        <f t="shared" si="1"/>
        <v>F489</v>
      </c>
      <c r="M36" s="1623" t="str">
        <f>'Incentives Worksheet'!T489</f>
        <v>No</v>
      </c>
      <c r="N36" s="1624">
        <f>'Incentives Worksheet'!F489</f>
        <v>0</v>
      </c>
      <c r="O36" s="1738" t="str">
        <f>Incentives!E375</f>
        <v/>
      </c>
    </row>
    <row r="37" spans="1:15" x14ac:dyDescent="0.25">
      <c r="A37" s="1575" t="s">
        <v>1775</v>
      </c>
      <c r="B37" s="1575">
        <v>15</v>
      </c>
      <c r="C37" s="1575">
        <v>379</v>
      </c>
      <c r="D37" s="1575">
        <v>388</v>
      </c>
      <c r="E37" s="1621" t="str">
        <f t="shared" si="4"/>
        <v>No</v>
      </c>
      <c r="F37" s="1573" t="s">
        <v>1629</v>
      </c>
      <c r="G37" s="1573">
        <v>1001</v>
      </c>
      <c r="H37" s="1573">
        <v>491</v>
      </c>
      <c r="I37" s="1573">
        <v>502</v>
      </c>
      <c r="J37" s="1618" t="str">
        <f>'Incentives Worksheet'!T497</f>
        <v>No</v>
      </c>
      <c r="K37" s="1622" t="str">
        <f t="shared" si="0"/>
        <v>D501:E501</v>
      </c>
      <c r="L37" s="1573" t="str">
        <f t="shared" si="1"/>
        <v>F501</v>
      </c>
      <c r="M37" s="1623" t="str">
        <f>'Incentives Worksheet'!T501</f>
        <v>No</v>
      </c>
      <c r="N37" s="1624">
        <f>'Incentives Worksheet'!F501</f>
        <v>0</v>
      </c>
      <c r="O37" s="1738" t="str">
        <f>Incentives!E386</f>
        <v/>
      </c>
    </row>
    <row r="38" spans="1:15" x14ac:dyDescent="0.25">
      <c r="A38" s="1575" t="s">
        <v>1775</v>
      </c>
      <c r="B38" s="1575">
        <v>16</v>
      </c>
      <c r="C38" s="1575">
        <v>390</v>
      </c>
      <c r="D38" s="1575">
        <v>399</v>
      </c>
      <c r="E38" s="1621" t="str">
        <f t="shared" si="4"/>
        <v>No</v>
      </c>
      <c r="F38" s="1573" t="s">
        <v>1775</v>
      </c>
      <c r="G38" s="1573">
        <v>5301</v>
      </c>
      <c r="H38" s="1573">
        <v>503</v>
      </c>
      <c r="I38" s="1573">
        <v>516</v>
      </c>
      <c r="J38" s="1618" t="str">
        <f>'Incentives Worksheet'!T512</f>
        <v>No</v>
      </c>
      <c r="K38" s="1622" t="str">
        <f t="shared" si="0"/>
        <v>D513:E513</v>
      </c>
      <c r="L38" s="1573" t="str">
        <f t="shared" si="1"/>
        <v>F515</v>
      </c>
      <c r="M38" s="1623" t="str">
        <f>'Incentives Worksheet'!T515</f>
        <v>No</v>
      </c>
      <c r="N38" s="1624">
        <f>'Incentives Worksheet'!F515</f>
        <v>0</v>
      </c>
      <c r="O38" s="1738" t="str">
        <f>Incentives!E397</f>
        <v/>
      </c>
    </row>
    <row r="39" spans="1:15" x14ac:dyDescent="0.25">
      <c r="A39" s="1575" t="s">
        <v>1775</v>
      </c>
      <c r="B39" s="1575">
        <v>17</v>
      </c>
      <c r="C39" s="1575">
        <v>401</v>
      </c>
      <c r="D39" s="1575">
        <v>410</v>
      </c>
      <c r="E39" s="1621" t="str">
        <f t="shared" si="4"/>
        <v>No</v>
      </c>
      <c r="F39" s="1573" t="s">
        <v>1775</v>
      </c>
      <c r="G39" s="1573">
        <v>5302</v>
      </c>
      <c r="H39" s="1573">
        <v>517</v>
      </c>
      <c r="I39" s="1573">
        <v>530</v>
      </c>
      <c r="J39" s="1618" t="str">
        <f>'Incentives Worksheet'!T526</f>
        <v>No</v>
      </c>
      <c r="K39" s="1622" t="str">
        <f t="shared" si="0"/>
        <v>D527:E527</v>
      </c>
      <c r="L39" s="1573" t="str">
        <f t="shared" si="1"/>
        <v>F529</v>
      </c>
      <c r="M39" s="1623" t="str">
        <f>'Incentives Worksheet'!T529</f>
        <v>No</v>
      </c>
      <c r="N39" s="1624">
        <f>'Incentives Worksheet'!F529</f>
        <v>0</v>
      </c>
      <c r="O39" s="1738" t="str">
        <f>Incentives!E408</f>
        <v/>
      </c>
    </row>
    <row r="40" spans="1:15" x14ac:dyDescent="0.25">
      <c r="A40" s="1575" t="s">
        <v>1775</v>
      </c>
      <c r="B40" s="1575">
        <v>18</v>
      </c>
      <c r="C40" s="1575">
        <v>412</v>
      </c>
      <c r="D40" s="1575">
        <v>421</v>
      </c>
      <c r="E40" s="1621" t="str">
        <f t="shared" si="4"/>
        <v>No</v>
      </c>
      <c r="F40" s="1573" t="s">
        <v>1775</v>
      </c>
      <c r="G40" s="1573">
        <v>5303</v>
      </c>
      <c r="H40" s="1573">
        <v>531</v>
      </c>
      <c r="I40" s="1573">
        <v>544</v>
      </c>
      <c r="J40" s="1618" t="str">
        <f>'Incentives Worksheet'!T540</f>
        <v>No</v>
      </c>
      <c r="K40" s="1622" t="str">
        <f t="shared" si="0"/>
        <v>D541:E541</v>
      </c>
      <c r="L40" s="1573" t="str">
        <f t="shared" si="1"/>
        <v>F543</v>
      </c>
      <c r="M40" s="1623" t="str">
        <f>'Incentives Worksheet'!T543</f>
        <v>No</v>
      </c>
      <c r="N40" s="1624">
        <f>'Incentives Worksheet'!F543</f>
        <v>0</v>
      </c>
      <c r="O40" s="1738" t="str">
        <f>Incentives!E419</f>
        <v/>
      </c>
    </row>
    <row r="41" spans="1:15" x14ac:dyDescent="0.25">
      <c r="A41" s="1575" t="s">
        <v>1775</v>
      </c>
      <c r="B41" s="1575">
        <v>19</v>
      </c>
      <c r="C41" s="1575">
        <v>423</v>
      </c>
      <c r="D41" s="1575">
        <v>432</v>
      </c>
      <c r="E41" s="1621" t="str">
        <f t="shared" ref="E41" si="5">J56</f>
        <v>No</v>
      </c>
      <c r="F41" s="1573" t="s">
        <v>1775</v>
      </c>
      <c r="G41" s="1573">
        <v>5304</v>
      </c>
      <c r="H41" s="1573">
        <v>545</v>
      </c>
      <c r="I41" s="1573">
        <v>558</v>
      </c>
      <c r="J41" s="1618" t="str">
        <f>'Incentives Worksheet'!T554</f>
        <v>No</v>
      </c>
      <c r="K41" s="1622" t="str">
        <f t="shared" si="0"/>
        <v>D555:E555</v>
      </c>
      <c r="L41" s="1573" t="str">
        <f t="shared" si="1"/>
        <v>F557</v>
      </c>
      <c r="M41" s="1623" t="str">
        <f>'Incentives Worksheet'!T557</f>
        <v>No</v>
      </c>
      <c r="N41" s="1624">
        <f>'Incentives Worksheet'!F557</f>
        <v>0</v>
      </c>
      <c r="O41" s="1738" t="str">
        <f>Incentives!E430</f>
        <v/>
      </c>
    </row>
    <row r="42" spans="1:15" x14ac:dyDescent="0.25">
      <c r="A42" s="1575" t="s">
        <v>2141</v>
      </c>
      <c r="B42" s="1575">
        <v>1</v>
      </c>
      <c r="C42" s="1575">
        <v>434</v>
      </c>
      <c r="D42" s="1575">
        <v>440</v>
      </c>
      <c r="E42" s="1621" t="str">
        <f t="shared" ref="E42:E46" si="6">J57</f>
        <v>Yes</v>
      </c>
      <c r="F42" s="1573" t="s">
        <v>1775</v>
      </c>
      <c r="G42" s="1573">
        <v>5305</v>
      </c>
      <c r="H42" s="1573">
        <v>559</v>
      </c>
      <c r="I42" s="1573">
        <v>572</v>
      </c>
      <c r="J42" s="1618" t="str">
        <f>'Incentives Worksheet'!T568</f>
        <v>No</v>
      </c>
      <c r="K42" s="1622" t="str">
        <f t="shared" si="0"/>
        <v>D569:E569</v>
      </c>
      <c r="L42" s="1573" t="str">
        <f t="shared" si="1"/>
        <v>F571</v>
      </c>
      <c r="M42" s="1623" t="str">
        <f>'Incentives Worksheet'!T571</f>
        <v>No</v>
      </c>
      <c r="N42" s="1624">
        <f>'Incentives Worksheet'!F571</f>
        <v>0</v>
      </c>
      <c r="O42" s="1738"/>
    </row>
    <row r="43" spans="1:15" x14ac:dyDescent="0.25">
      <c r="A43" s="1575" t="s">
        <v>2141</v>
      </c>
      <c r="B43" s="1575">
        <v>2</v>
      </c>
      <c r="C43" s="1575">
        <v>442</v>
      </c>
      <c r="D43" s="1575">
        <v>448</v>
      </c>
      <c r="E43" s="1621" t="str">
        <f t="shared" si="6"/>
        <v>Yes</v>
      </c>
      <c r="F43" s="1573" t="s">
        <v>1775</v>
      </c>
      <c r="G43" s="1573">
        <v>5306</v>
      </c>
      <c r="H43" s="1573">
        <v>573</v>
      </c>
      <c r="I43" s="1573">
        <v>586</v>
      </c>
      <c r="J43" s="1618" t="str">
        <f>'Incentives Worksheet'!T582</f>
        <v>No</v>
      </c>
      <c r="K43" s="1622" t="str">
        <f t="shared" si="0"/>
        <v>D583:E583</v>
      </c>
      <c r="L43" s="1573" t="str">
        <f t="shared" si="1"/>
        <v>F585</v>
      </c>
      <c r="M43" s="1623" t="str">
        <f>'Incentives Worksheet'!T585</f>
        <v>No</v>
      </c>
      <c r="N43" s="1624">
        <f>'Incentives Worksheet'!F585</f>
        <v>0</v>
      </c>
      <c r="O43" s="1738"/>
    </row>
    <row r="44" spans="1:15" x14ac:dyDescent="0.25">
      <c r="A44" s="1575" t="s">
        <v>2141</v>
      </c>
      <c r="B44" s="1575">
        <v>3</v>
      </c>
      <c r="C44" s="1575">
        <v>450</v>
      </c>
      <c r="D44" s="1575">
        <v>456</v>
      </c>
      <c r="E44" s="1621" t="str">
        <f t="shared" si="6"/>
        <v>Yes</v>
      </c>
      <c r="F44" s="1573" t="s">
        <v>1775</v>
      </c>
      <c r="G44" s="1573">
        <v>5307</v>
      </c>
      <c r="H44" s="1573">
        <v>587</v>
      </c>
      <c r="I44" s="1573">
        <v>600</v>
      </c>
      <c r="J44" s="1618" t="str">
        <f>'Incentives Worksheet'!T596</f>
        <v>No</v>
      </c>
      <c r="K44" s="1622" t="str">
        <f t="shared" si="0"/>
        <v>D597:E597</v>
      </c>
      <c r="L44" s="1573" t="str">
        <f t="shared" si="1"/>
        <v>F599</v>
      </c>
      <c r="M44" s="1623" t="str">
        <f>'Incentives Worksheet'!T599</f>
        <v>No</v>
      </c>
      <c r="N44" s="1624">
        <f>'Incentives Worksheet'!F599</f>
        <v>0</v>
      </c>
      <c r="O44" s="1738"/>
    </row>
    <row r="45" spans="1:15" x14ac:dyDescent="0.25">
      <c r="A45" s="1575" t="s">
        <v>2141</v>
      </c>
      <c r="B45" s="1575">
        <v>4</v>
      </c>
      <c r="C45" s="1575">
        <v>458</v>
      </c>
      <c r="D45" s="1575">
        <v>464</v>
      </c>
      <c r="E45" s="1621" t="str">
        <f t="shared" si="6"/>
        <v>Yes</v>
      </c>
      <c r="F45" s="1573" t="s">
        <v>1775</v>
      </c>
      <c r="G45" s="1573">
        <v>5308</v>
      </c>
      <c r="H45" s="1573">
        <v>601</v>
      </c>
      <c r="I45" s="1573">
        <v>614</v>
      </c>
      <c r="J45" s="1618" t="str">
        <f>'Incentives Worksheet'!T610</f>
        <v>No</v>
      </c>
      <c r="K45" s="1622" t="str">
        <f t="shared" si="0"/>
        <v>D611:E611</v>
      </c>
      <c r="L45" s="1573" t="str">
        <f t="shared" si="1"/>
        <v>F613</v>
      </c>
      <c r="M45" s="1623" t="str">
        <f>'Incentives Worksheet'!T613</f>
        <v>No</v>
      </c>
      <c r="N45" s="1624">
        <f>'Incentives Worksheet'!F613</f>
        <v>0</v>
      </c>
      <c r="O45" s="1738"/>
    </row>
    <row r="46" spans="1:15" x14ac:dyDescent="0.25">
      <c r="A46" s="1575" t="s">
        <v>2141</v>
      </c>
      <c r="B46" s="1575">
        <v>5</v>
      </c>
      <c r="C46" s="1575">
        <v>466</v>
      </c>
      <c r="D46" s="1575">
        <v>472</v>
      </c>
      <c r="E46" s="1621" t="str">
        <f t="shared" si="6"/>
        <v>Yes</v>
      </c>
      <c r="F46" s="1573" t="s">
        <v>1775</v>
      </c>
      <c r="G46" s="1573">
        <v>5309</v>
      </c>
      <c r="H46" s="1573">
        <v>615</v>
      </c>
      <c r="I46" s="1573">
        <v>628</v>
      </c>
      <c r="J46" s="1618" t="str">
        <f>'Incentives Worksheet'!T624</f>
        <v>No</v>
      </c>
      <c r="K46" s="1622" t="str">
        <f t="shared" si="0"/>
        <v>D625:E625</v>
      </c>
      <c r="L46" s="1573" t="str">
        <f t="shared" si="1"/>
        <v>F627</v>
      </c>
      <c r="M46" s="1623" t="str">
        <f>'Incentives Worksheet'!T627</f>
        <v>No</v>
      </c>
      <c r="N46" s="1624">
        <f>'Incentives Worksheet'!F627</f>
        <v>0</v>
      </c>
      <c r="O46" s="1738"/>
    </row>
    <row r="47" spans="1:15" x14ac:dyDescent="0.25">
      <c r="F47" s="1573" t="s">
        <v>1775</v>
      </c>
      <c r="G47" s="1573">
        <v>5310</v>
      </c>
      <c r="H47" s="1617">
        <v>629</v>
      </c>
      <c r="I47" s="1617">
        <v>642</v>
      </c>
      <c r="J47" s="1618" t="str">
        <f>'Incentives Worksheet'!T638</f>
        <v>No</v>
      </c>
      <c r="K47" s="1622" t="str">
        <f t="shared" si="0"/>
        <v>D639:E639</v>
      </c>
      <c r="L47" s="1573" t="str">
        <f t="shared" si="1"/>
        <v>F641</v>
      </c>
      <c r="M47" s="1654" t="str">
        <f>'Incentives Worksheet'!T641</f>
        <v>No</v>
      </c>
      <c r="N47" s="1655">
        <f>'Incentives Worksheet'!F641</f>
        <v>0</v>
      </c>
    </row>
    <row r="48" spans="1:15" x14ac:dyDescent="0.25">
      <c r="F48" s="1573" t="s">
        <v>1775</v>
      </c>
      <c r="G48" s="1573">
        <v>5311</v>
      </c>
      <c r="H48" s="1573">
        <v>643</v>
      </c>
      <c r="I48" s="1573">
        <v>656</v>
      </c>
      <c r="J48" s="1618" t="str">
        <f>'Incentives Worksheet'!T652</f>
        <v>No</v>
      </c>
      <c r="K48" s="1622" t="str">
        <f t="shared" ref="K48:K56" si="7">_xlfn.CONCAT(_xlfn.CONCAT("D",H48+10), _xlfn.CONCAT(":E",H48+10))</f>
        <v>D653:E653</v>
      </c>
      <c r="L48" s="1573" t="str">
        <f t="shared" ref="L48:L56" si="8">_xlfn.CONCAT("F",I48-1)</f>
        <v>F655</v>
      </c>
      <c r="M48" s="1654" t="str">
        <f>'Incentives Worksheet'!T655</f>
        <v>No</v>
      </c>
      <c r="N48" s="1655">
        <f>'Incentives Worksheet'!F655</f>
        <v>0</v>
      </c>
    </row>
    <row r="49" spans="1:15" s="1645" customFormat="1" x14ac:dyDescent="0.25">
      <c r="A49" s="697"/>
      <c r="B49" s="697"/>
      <c r="C49" s="697"/>
      <c r="D49" s="697"/>
      <c r="E49" s="1576"/>
      <c r="F49" s="1573" t="s">
        <v>1775</v>
      </c>
      <c r="G49" s="1573">
        <v>5312</v>
      </c>
      <c r="H49" s="1617">
        <v>657</v>
      </c>
      <c r="I49" s="1617">
        <v>670</v>
      </c>
      <c r="J49" s="1618" t="str">
        <f>'Incentives Worksheet'!T666</f>
        <v>No</v>
      </c>
      <c r="K49" s="1622" t="str">
        <f t="shared" si="7"/>
        <v>D667:E667</v>
      </c>
      <c r="L49" s="1573" t="str">
        <f t="shared" si="8"/>
        <v>F669</v>
      </c>
      <c r="M49" s="1654" t="str">
        <f>'Incentives Worksheet'!T669</f>
        <v>No</v>
      </c>
      <c r="N49" s="1655">
        <f>'Incentives Worksheet'!F669</f>
        <v>0</v>
      </c>
      <c r="O49" s="1739"/>
    </row>
    <row r="50" spans="1:15" s="1645" customFormat="1" x14ac:dyDescent="0.25">
      <c r="A50" s="697"/>
      <c r="B50" s="697"/>
      <c r="C50" s="697"/>
      <c r="D50" s="697"/>
      <c r="E50" s="1576"/>
      <c r="F50" s="1573" t="s">
        <v>1775</v>
      </c>
      <c r="G50" s="1573">
        <v>5313</v>
      </c>
      <c r="H50" s="1617">
        <v>671</v>
      </c>
      <c r="I50" s="1617">
        <v>684</v>
      </c>
      <c r="J50" s="1618" t="str">
        <f>'Incentives Worksheet'!T680</f>
        <v>No</v>
      </c>
      <c r="K50" s="1622" t="str">
        <f t="shared" si="7"/>
        <v>D681:E681</v>
      </c>
      <c r="L50" s="1573" t="str">
        <f t="shared" si="8"/>
        <v>F683</v>
      </c>
      <c r="M50" s="1654" t="str">
        <f>'Incentives Worksheet'!T683</f>
        <v>No</v>
      </c>
      <c r="N50" s="1655">
        <f>'Incentives Worksheet'!F683</f>
        <v>0</v>
      </c>
      <c r="O50" s="1739"/>
    </row>
    <row r="51" spans="1:15" s="1645" customFormat="1" x14ac:dyDescent="0.25">
      <c r="A51" s="697"/>
      <c r="B51" s="697"/>
      <c r="C51" s="697"/>
      <c r="D51" s="697"/>
      <c r="E51" s="1576"/>
      <c r="F51" s="1573" t="s">
        <v>1775</v>
      </c>
      <c r="G51" s="1573">
        <v>5314</v>
      </c>
      <c r="H51" s="1617">
        <v>685</v>
      </c>
      <c r="I51" s="1617">
        <v>698</v>
      </c>
      <c r="J51" s="1618" t="str">
        <f>'Incentives Worksheet'!T694</f>
        <v>No</v>
      </c>
      <c r="K51" s="1622" t="str">
        <f t="shared" si="7"/>
        <v>D695:E695</v>
      </c>
      <c r="L51" s="1573" t="str">
        <f t="shared" si="8"/>
        <v>F697</v>
      </c>
      <c r="M51" s="1654" t="str">
        <f>'Incentives Worksheet'!T697</f>
        <v>No</v>
      </c>
      <c r="N51" s="1655">
        <f>'Incentives Worksheet'!F697</f>
        <v>0</v>
      </c>
      <c r="O51" s="1739"/>
    </row>
    <row r="52" spans="1:15" x14ac:dyDescent="0.25">
      <c r="F52" s="1573" t="s">
        <v>1775</v>
      </c>
      <c r="G52" s="1573">
        <v>5315</v>
      </c>
      <c r="H52" s="1617">
        <v>699</v>
      </c>
      <c r="I52" s="1617">
        <v>712</v>
      </c>
      <c r="J52" s="1618" t="str">
        <f>'Incentives Worksheet'!T708</f>
        <v>No</v>
      </c>
      <c r="K52" s="1622" t="str">
        <f t="shared" si="7"/>
        <v>D709:E709</v>
      </c>
      <c r="L52" s="1617" t="str">
        <f t="shared" si="8"/>
        <v>F711</v>
      </c>
      <c r="M52" s="1654" t="str">
        <f>'Incentives Worksheet'!T711</f>
        <v>No</v>
      </c>
      <c r="N52" s="1655">
        <f>'Incentives Worksheet'!F711</f>
        <v>0</v>
      </c>
    </row>
    <row r="53" spans="1:15" x14ac:dyDescent="0.25">
      <c r="F53" s="1573" t="s">
        <v>1775</v>
      </c>
      <c r="G53" s="1573">
        <v>5316</v>
      </c>
      <c r="H53" s="1617">
        <v>713</v>
      </c>
      <c r="I53" s="1617">
        <v>726</v>
      </c>
      <c r="J53" s="1618" t="str">
        <f>'Incentives Worksheet'!T722</f>
        <v>No</v>
      </c>
      <c r="K53" s="1622" t="str">
        <f t="shared" si="7"/>
        <v>D723:E723</v>
      </c>
      <c r="L53" s="1617" t="str">
        <f t="shared" si="8"/>
        <v>F725</v>
      </c>
      <c r="M53" s="1654" t="str">
        <f>'Incentives Worksheet'!T725</f>
        <v>No</v>
      </c>
      <c r="N53" s="1655">
        <f>'Incentives Worksheet'!F725</f>
        <v>0</v>
      </c>
    </row>
    <row r="54" spans="1:15" x14ac:dyDescent="0.25">
      <c r="F54" s="1573" t="s">
        <v>1775</v>
      </c>
      <c r="G54" s="1573">
        <v>5317</v>
      </c>
      <c r="H54" s="1617">
        <v>727</v>
      </c>
      <c r="I54" s="1617">
        <v>740</v>
      </c>
      <c r="J54" s="1618" t="str">
        <f>'Incentives Worksheet'!T736</f>
        <v>No</v>
      </c>
      <c r="K54" s="1622" t="str">
        <f t="shared" si="7"/>
        <v>D737:E737</v>
      </c>
      <c r="L54" s="1617" t="str">
        <f t="shared" si="8"/>
        <v>F739</v>
      </c>
      <c r="M54" s="1654" t="str">
        <f>'Incentives Worksheet'!T739</f>
        <v>No</v>
      </c>
      <c r="N54" s="1655">
        <f>'Incentives Worksheet'!F739</f>
        <v>0</v>
      </c>
    </row>
    <row r="55" spans="1:15" x14ac:dyDescent="0.25">
      <c r="F55" s="1573" t="s">
        <v>1775</v>
      </c>
      <c r="G55" s="1573">
        <v>5318</v>
      </c>
      <c r="H55" s="1617">
        <v>741</v>
      </c>
      <c r="I55" s="1617">
        <v>754</v>
      </c>
      <c r="J55" s="1618" t="str">
        <f>'Incentives Worksheet'!T750</f>
        <v>No</v>
      </c>
      <c r="K55" s="1622" t="str">
        <f t="shared" si="7"/>
        <v>D751:E751</v>
      </c>
      <c r="L55" s="1617" t="str">
        <f t="shared" si="8"/>
        <v>F753</v>
      </c>
      <c r="M55" s="1654" t="str">
        <f>'Incentives Worksheet'!T753</f>
        <v>No</v>
      </c>
      <c r="N55" s="1655">
        <f>'Incentives Worksheet'!F753</f>
        <v>0</v>
      </c>
    </row>
    <row r="56" spans="1:15" x14ac:dyDescent="0.25">
      <c r="F56" s="1573" t="s">
        <v>1775</v>
      </c>
      <c r="G56" s="1573">
        <v>5319</v>
      </c>
      <c r="H56" s="1617">
        <v>755</v>
      </c>
      <c r="I56" s="1617">
        <v>768</v>
      </c>
      <c r="J56" s="1618" t="str">
        <f>'Incentives Worksheet'!T764</f>
        <v>No</v>
      </c>
      <c r="K56" s="1622" t="str">
        <f t="shared" si="7"/>
        <v>D765:E765</v>
      </c>
      <c r="L56" s="1617" t="str">
        <f t="shared" si="8"/>
        <v>F767</v>
      </c>
      <c r="M56" s="1654" t="str">
        <f>'Incentives Worksheet'!T767</f>
        <v>No</v>
      </c>
      <c r="N56" s="1655">
        <f>'Incentives Worksheet'!F767</f>
        <v>0</v>
      </c>
    </row>
    <row r="57" spans="1:15" x14ac:dyDescent="0.25">
      <c r="F57" s="1617" t="s">
        <v>2141</v>
      </c>
      <c r="G57" s="1617">
        <v>5201</v>
      </c>
      <c r="H57" s="1617">
        <v>769</v>
      </c>
      <c r="I57" s="1617">
        <v>782</v>
      </c>
      <c r="J57" s="1618" t="str">
        <f>'Incentives Worksheet'!T778</f>
        <v>Yes</v>
      </c>
      <c r="K57" s="1622" t="str">
        <f t="shared" ref="K57:K61" si="9">_xlfn.CONCAT(_xlfn.CONCAT("D",H57+10), _xlfn.CONCAT(":E",H57+10))</f>
        <v>D779:E779</v>
      </c>
      <c r="L57" s="1573" t="str">
        <f t="shared" ref="L57:L61" si="10">_xlfn.CONCAT("F",I57-1)</f>
        <v>F781</v>
      </c>
      <c r="M57" s="1654" t="str">
        <f>'Incentives Worksheet'!T781</f>
        <v>No</v>
      </c>
      <c r="N57" s="1624">
        <f>'Incentives Worksheet'!F781</f>
        <v>0</v>
      </c>
    </row>
    <row r="58" spans="1:15" x14ac:dyDescent="0.25">
      <c r="F58" s="1573" t="s">
        <v>2141</v>
      </c>
      <c r="G58" s="1573">
        <v>5202</v>
      </c>
      <c r="H58" s="1573">
        <v>783</v>
      </c>
      <c r="I58" s="1573">
        <v>796</v>
      </c>
      <c r="J58" s="1619" t="str">
        <f>'Incentives Worksheet'!T792</f>
        <v>Yes</v>
      </c>
      <c r="K58" s="1622" t="str">
        <f t="shared" si="9"/>
        <v>D793:E793</v>
      </c>
      <c r="L58" s="1573" t="str">
        <f t="shared" si="10"/>
        <v>F795</v>
      </c>
      <c r="M58" s="1622" t="str">
        <f>'Incentives Worksheet'!T795</f>
        <v>No</v>
      </c>
      <c r="N58" s="1655">
        <f>'Incentives Worksheet'!F795</f>
        <v>0</v>
      </c>
    </row>
    <row r="59" spans="1:15" x14ac:dyDescent="0.25">
      <c r="F59" s="1617" t="s">
        <v>2141</v>
      </c>
      <c r="G59" s="1617">
        <v>5203</v>
      </c>
      <c r="H59" s="1617">
        <v>797</v>
      </c>
      <c r="I59" s="1617">
        <v>810</v>
      </c>
      <c r="J59" s="1618" t="str">
        <f>'Incentives Worksheet'!T806</f>
        <v>Yes</v>
      </c>
      <c r="K59" s="1622" t="str">
        <f t="shared" si="9"/>
        <v>D807:E807</v>
      </c>
      <c r="L59" s="1573" t="str">
        <f t="shared" si="10"/>
        <v>F809</v>
      </c>
      <c r="M59" s="1654" t="str">
        <f>'Incentives Worksheet'!T809</f>
        <v>No</v>
      </c>
      <c r="N59" s="1655">
        <f>'Incentives Worksheet'!F809</f>
        <v>0</v>
      </c>
    </row>
    <row r="60" spans="1:15" x14ac:dyDescent="0.25">
      <c r="F60" s="1617" t="s">
        <v>2141</v>
      </c>
      <c r="G60" s="1617">
        <v>5204</v>
      </c>
      <c r="H60" s="1617">
        <v>811</v>
      </c>
      <c r="I60" s="1617">
        <v>824</v>
      </c>
      <c r="J60" s="1618" t="str">
        <f>'Incentives Worksheet'!T820</f>
        <v>Yes</v>
      </c>
      <c r="K60" s="1622" t="str">
        <f t="shared" si="9"/>
        <v>D821:E821</v>
      </c>
      <c r="L60" s="1573" t="str">
        <f t="shared" si="10"/>
        <v>F823</v>
      </c>
      <c r="M60" s="1654" t="str">
        <f>'Incentives Worksheet'!T823</f>
        <v>No</v>
      </c>
      <c r="N60" s="1655">
        <f>'Incentives Worksheet'!F823</f>
        <v>0</v>
      </c>
    </row>
    <row r="61" spans="1:15" x14ac:dyDescent="0.25">
      <c r="F61" s="1617" t="s">
        <v>2141</v>
      </c>
      <c r="G61" s="1617">
        <v>5205</v>
      </c>
      <c r="H61" s="1617">
        <v>825</v>
      </c>
      <c r="I61" s="1617">
        <v>838</v>
      </c>
      <c r="J61" s="1618" t="str">
        <f>'Incentives Worksheet'!T834</f>
        <v>Yes</v>
      </c>
      <c r="K61" s="1622" t="str">
        <f t="shared" si="9"/>
        <v>D835:E835</v>
      </c>
      <c r="L61" s="1573" t="str">
        <f t="shared" si="10"/>
        <v>F837</v>
      </c>
      <c r="M61" s="1654" t="str">
        <f>'Incentives Worksheet'!T837</f>
        <v>No</v>
      </c>
      <c r="N61" s="1655">
        <f>'Incentives Worksheet'!F837</f>
        <v>0</v>
      </c>
    </row>
  </sheetData>
  <sheetProtection algorithmName="SHA-512" hashValue="plVEaSdJrPuBlL6FsCJdxWm9o+A0ZPHNp0y0OMiEOYYa33hI2NP8ns7xwYiURsVPRW3aPK66jF8mdqcOn1VnqQ==" saltValue="NdcGJeZQXpaRhmcTZ7HGHw==" spinCount="100000" sheet="1" objects="1" scenarios="1"/>
  <mergeCells count="2">
    <mergeCell ref="A1:E1"/>
    <mergeCell ref="F1:M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heetViews>
  <sheetFormatPr defaultColWidth="9.140625" defaultRowHeight="15" x14ac:dyDescent="0.25"/>
  <cols>
    <col min="1" max="1" width="10.28515625" style="595" bestFit="1" customWidth="1"/>
    <col min="2" max="2" width="31.42578125" style="595" bestFit="1" customWidth="1"/>
    <col min="3" max="5" width="9.140625" style="595" customWidth="1"/>
    <col min="6" max="16384" width="9.140625" style="595"/>
  </cols>
  <sheetData>
    <row r="1" spans="1:2" x14ac:dyDescent="0.25">
      <c r="A1" s="597" t="s">
        <v>1007</v>
      </c>
      <c r="B1" s="597" t="s">
        <v>1006</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599" bestFit="1" customWidth="1"/>
    <col min="2" max="2" width="31.42578125" style="599" bestFit="1" customWidth="1"/>
    <col min="3" max="16384" width="9.140625" style="599"/>
  </cols>
  <sheetData>
    <row r="1" spans="1:4" x14ac:dyDescent="0.25">
      <c r="A1" s="597" t="s">
        <v>1007</v>
      </c>
      <c r="B1" s="597" t="s">
        <v>1006</v>
      </c>
      <c r="C1" s="599" t="s">
        <v>1002</v>
      </c>
      <c r="D1" s="599" t="s">
        <v>1003</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671" bestFit="1" customWidth="1"/>
    <col min="2" max="2" width="31.85546875" style="671" bestFit="1" customWidth="1"/>
    <col min="3" max="3" width="31.7109375" style="671" bestFit="1" customWidth="1"/>
    <col min="4" max="4" width="29.140625" style="671" bestFit="1" customWidth="1"/>
    <col min="5" max="5" width="16" style="671" bestFit="1" customWidth="1"/>
    <col min="6" max="7" width="53.28515625" style="671" bestFit="1" customWidth="1"/>
    <col min="8" max="8" width="42.42578125" style="671" bestFit="1" customWidth="1"/>
    <col min="9" max="9" width="10" style="671" bestFit="1" customWidth="1"/>
    <col min="10" max="10" width="6.7109375" style="671" bestFit="1" customWidth="1"/>
    <col min="11" max="11" width="14.7109375" style="671" bestFit="1" customWidth="1"/>
    <col min="12" max="12" width="15.85546875" style="671" bestFit="1" customWidth="1"/>
    <col min="13" max="13" width="18.85546875" style="671" bestFit="1" customWidth="1"/>
    <col min="14" max="14" width="24.42578125" style="671" bestFit="1" customWidth="1"/>
    <col min="15" max="15" width="10" style="671" bestFit="1" customWidth="1"/>
    <col min="16" max="16" width="27" style="671" bestFit="1" customWidth="1"/>
    <col min="17" max="17" width="29.140625" style="671" bestFit="1" customWidth="1"/>
    <col min="18" max="18" width="17" style="671" bestFit="1" customWidth="1"/>
    <col min="19" max="19" width="24.5703125" style="671" bestFit="1" customWidth="1"/>
    <col min="20" max="20" width="36.28515625" style="671" bestFit="1" customWidth="1"/>
    <col min="21" max="21" width="37.42578125" style="671" bestFit="1" customWidth="1"/>
    <col min="22" max="22" width="9" style="671" bestFit="1" customWidth="1"/>
    <col min="23" max="23" width="24.140625" style="671" bestFit="1" customWidth="1"/>
    <col min="24" max="24" width="6.28515625" style="671" bestFit="1" customWidth="1"/>
    <col min="25" max="25" width="28.5703125" style="671" bestFit="1" customWidth="1"/>
    <col min="26" max="26" width="23.85546875" style="671" bestFit="1" customWidth="1"/>
    <col min="27" max="27" width="16.42578125" style="671" bestFit="1" customWidth="1"/>
    <col min="28" max="28" width="10.5703125" style="671" bestFit="1" customWidth="1"/>
    <col min="29" max="29" width="27" style="671" bestFit="1" customWidth="1"/>
    <col min="30" max="30" width="36.7109375" style="671" customWidth="1"/>
    <col min="31" max="16384" width="9.140625" style="671"/>
  </cols>
  <sheetData>
    <row r="1" spans="1:30" x14ac:dyDescent="0.25">
      <c r="A1" s="597" t="s">
        <v>1007</v>
      </c>
      <c r="B1" s="597" t="s">
        <v>1006</v>
      </c>
      <c r="C1" s="597" t="s">
        <v>1026</v>
      </c>
      <c r="D1" s="597" t="s">
        <v>1027</v>
      </c>
      <c r="E1" s="597" t="s">
        <v>1028</v>
      </c>
      <c r="F1" s="597" t="s">
        <v>1029</v>
      </c>
      <c r="G1" s="597" t="s">
        <v>1030</v>
      </c>
      <c r="H1" s="597" t="s">
        <v>1031</v>
      </c>
      <c r="I1" s="597" t="s">
        <v>1025</v>
      </c>
      <c r="J1" s="597" t="s">
        <v>1032</v>
      </c>
      <c r="K1" s="597" t="s">
        <v>1033</v>
      </c>
      <c r="L1" s="597" t="s">
        <v>1034</v>
      </c>
      <c r="M1" s="597" t="s">
        <v>1035</v>
      </c>
      <c r="N1" s="597" t="s">
        <v>1036</v>
      </c>
      <c r="O1" s="597" t="s">
        <v>1037</v>
      </c>
      <c r="P1" s="597" t="s">
        <v>1038</v>
      </c>
      <c r="Q1" s="597" t="s">
        <v>1039</v>
      </c>
      <c r="R1" s="597" t="s">
        <v>1040</v>
      </c>
      <c r="S1" s="597" t="s">
        <v>1041</v>
      </c>
      <c r="T1" s="597" t="s">
        <v>1042</v>
      </c>
      <c r="U1" s="597" t="s">
        <v>1043</v>
      </c>
      <c r="V1" s="597" t="s">
        <v>397</v>
      </c>
      <c r="W1" s="597" t="s">
        <v>1023</v>
      </c>
      <c r="X1" s="597" t="s">
        <v>1044</v>
      </c>
      <c r="Y1" s="597" t="s">
        <v>1045</v>
      </c>
      <c r="Z1" s="597" t="s">
        <v>1046</v>
      </c>
      <c r="AA1" s="597" t="s">
        <v>1047</v>
      </c>
      <c r="AB1" s="597" t="s">
        <v>1001</v>
      </c>
      <c r="AC1" s="597" t="s">
        <v>1153</v>
      </c>
      <c r="AD1" s="597" t="s">
        <v>1340</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595" bestFit="1" customWidth="1"/>
    <col min="2" max="2" width="10.28515625" style="595" bestFit="1" customWidth="1"/>
    <col min="3" max="3" width="33.42578125" style="595" bestFit="1" customWidth="1"/>
    <col min="4" max="4" width="32.28515625" style="595" bestFit="1" customWidth="1"/>
    <col min="5" max="5" width="36.85546875" style="595" bestFit="1" customWidth="1"/>
    <col min="6" max="6" width="14.5703125" style="595" bestFit="1" customWidth="1"/>
    <col min="7" max="7" width="17.5703125" style="595" customWidth="1"/>
    <col min="8" max="8" width="19.7109375" style="595" bestFit="1" customWidth="1"/>
    <col min="9" max="9" width="17.85546875" style="595" bestFit="1" customWidth="1"/>
    <col min="10" max="10" width="18.140625" style="595" bestFit="1" customWidth="1"/>
    <col min="11" max="11" width="21.85546875" style="595" bestFit="1" customWidth="1"/>
    <col min="12" max="12" width="19.7109375" style="595" bestFit="1" customWidth="1"/>
    <col min="13" max="16384" width="9.140625" style="595"/>
  </cols>
  <sheetData>
    <row r="1" spans="1:12" x14ac:dyDescent="0.25">
      <c r="A1" s="597" t="s">
        <v>1006</v>
      </c>
      <c r="B1" s="597" t="s">
        <v>1007</v>
      </c>
      <c r="C1" s="597" t="s">
        <v>1064</v>
      </c>
      <c r="D1" s="597" t="s">
        <v>1065</v>
      </c>
      <c r="E1" s="597" t="s">
        <v>1066</v>
      </c>
      <c r="F1" s="597" t="s">
        <v>1067</v>
      </c>
      <c r="G1" s="597" t="s">
        <v>1299</v>
      </c>
      <c r="H1" s="597" t="s">
        <v>1300</v>
      </c>
      <c r="I1" s="597" t="s">
        <v>1301</v>
      </c>
      <c r="J1" s="597" t="s">
        <v>1302</v>
      </c>
      <c r="K1" s="597" t="s">
        <v>1303</v>
      </c>
      <c r="L1" s="597" t="s">
        <v>1304</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595" bestFit="1" customWidth="1"/>
    <col min="2" max="2" width="31.85546875" style="595" bestFit="1" customWidth="1"/>
    <col min="3" max="3" width="30" style="595" bestFit="1" customWidth="1"/>
    <col min="4" max="4" width="19.85546875" style="595" bestFit="1" customWidth="1"/>
    <col min="5" max="5" width="4.140625" style="595" bestFit="1" customWidth="1"/>
    <col min="6" max="6" width="9.5703125" style="595" bestFit="1" customWidth="1"/>
    <col min="7" max="16384" width="9.140625" style="595"/>
  </cols>
  <sheetData>
    <row r="1" spans="1:6" x14ac:dyDescent="0.25">
      <c r="A1" s="597" t="s">
        <v>1007</v>
      </c>
      <c r="B1" s="597" t="s">
        <v>1006</v>
      </c>
      <c r="C1" s="597" t="s">
        <v>1022</v>
      </c>
      <c r="D1" s="597" t="s">
        <v>1023</v>
      </c>
      <c r="E1" s="597" t="s">
        <v>1024</v>
      </c>
      <c r="F1" s="597" t="s">
        <v>1025</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595" bestFit="1" customWidth="1"/>
    <col min="2" max="2" width="40.28515625" style="595" bestFit="1" customWidth="1"/>
    <col min="3" max="3" width="15.140625" style="595" bestFit="1" customWidth="1"/>
    <col min="4" max="4" width="8.85546875" style="595" bestFit="1" customWidth="1"/>
    <col min="5" max="5" width="29.140625" style="595" bestFit="1" customWidth="1"/>
    <col min="6" max="6" width="18.85546875" style="595" bestFit="1" customWidth="1"/>
    <col min="7" max="7" width="18" style="595" bestFit="1" customWidth="1"/>
    <col min="8" max="8" width="31" style="595" bestFit="1" customWidth="1"/>
    <col min="9" max="9" width="32.5703125" style="595" bestFit="1" customWidth="1"/>
    <col min="10" max="10" width="27.140625" style="595" bestFit="1" customWidth="1"/>
    <col min="11" max="11" width="29.7109375" style="595" bestFit="1" customWidth="1"/>
    <col min="12" max="12" width="20.140625" style="595" bestFit="1" customWidth="1"/>
    <col min="13" max="13" width="20.5703125" style="595" bestFit="1" customWidth="1"/>
    <col min="14" max="15" width="22.140625" style="595" bestFit="1" customWidth="1"/>
    <col min="16" max="16384" width="9.140625" style="595"/>
  </cols>
  <sheetData>
    <row r="1" spans="1:15" x14ac:dyDescent="0.25">
      <c r="A1" s="597" t="s">
        <v>1001</v>
      </c>
      <c r="B1" s="597" t="s">
        <v>242</v>
      </c>
      <c r="C1" s="597" t="s">
        <v>1048</v>
      </c>
      <c r="D1" s="597" t="s">
        <v>1002</v>
      </c>
      <c r="E1" s="597" t="s">
        <v>1003</v>
      </c>
      <c r="F1" s="597" t="s">
        <v>1004</v>
      </c>
      <c r="G1" s="597" t="s">
        <v>1005</v>
      </c>
      <c r="H1" s="597" t="s">
        <v>1049</v>
      </c>
      <c r="I1" s="597" t="s">
        <v>1050</v>
      </c>
      <c r="J1" s="597" t="s">
        <v>1051</v>
      </c>
      <c r="K1" s="597" t="s">
        <v>1052</v>
      </c>
      <c r="L1" s="597" t="s">
        <v>1053</v>
      </c>
      <c r="M1" s="597" t="s">
        <v>1054</v>
      </c>
      <c r="N1" s="597" t="s">
        <v>1055</v>
      </c>
      <c r="O1" s="597" t="s">
        <v>1055</v>
      </c>
    </row>
    <row r="2" spans="1:15" x14ac:dyDescent="0.25">
      <c r="A2" s="666"/>
      <c r="B2" s="666"/>
      <c r="C2" s="666"/>
      <c r="D2" s="666"/>
      <c r="E2" s="666"/>
      <c r="F2" s="666"/>
      <c r="G2" s="666"/>
      <c r="H2" s="666"/>
      <c r="I2" s="666"/>
      <c r="J2" s="666"/>
      <c r="K2" s="666"/>
      <c r="L2" s="666"/>
      <c r="M2" s="666"/>
      <c r="N2" s="666"/>
      <c r="O2" s="666"/>
    </row>
    <row r="3" spans="1:15" x14ac:dyDescent="0.25">
      <c r="A3" s="666"/>
      <c r="B3" s="666"/>
      <c r="C3" s="666"/>
      <c r="D3" s="666"/>
      <c r="E3" s="666"/>
      <c r="F3" s="666"/>
      <c r="G3" s="666"/>
      <c r="H3" s="666"/>
      <c r="I3" s="666"/>
      <c r="J3" s="666"/>
      <c r="K3" s="666"/>
      <c r="L3" s="666"/>
      <c r="M3" s="666"/>
      <c r="N3" s="666"/>
      <c r="O3" s="666"/>
    </row>
    <row r="4" spans="1:15" x14ac:dyDescent="0.25">
      <c r="A4" s="666"/>
      <c r="B4" s="666"/>
      <c r="C4" s="666"/>
      <c r="D4" s="666"/>
      <c r="E4" s="666"/>
      <c r="F4" s="666"/>
      <c r="G4" s="666"/>
      <c r="H4" s="666"/>
      <c r="I4" s="666"/>
      <c r="J4" s="666"/>
      <c r="K4" s="666"/>
      <c r="L4" s="666"/>
      <c r="M4" s="666"/>
      <c r="N4" s="666"/>
      <c r="O4" s="666"/>
    </row>
    <row r="5" spans="1:15" x14ac:dyDescent="0.25">
      <c r="A5" s="666"/>
      <c r="B5" s="666"/>
      <c r="C5" s="666"/>
      <c r="D5" s="666"/>
      <c r="E5" s="666"/>
      <c r="F5" s="666"/>
      <c r="G5" s="666"/>
      <c r="H5" s="666"/>
      <c r="I5" s="666"/>
      <c r="J5" s="666"/>
      <c r="K5" s="666"/>
      <c r="L5" s="666"/>
      <c r="M5" s="666"/>
      <c r="N5" s="666"/>
      <c r="O5" s="666"/>
    </row>
    <row r="6" spans="1:15" x14ac:dyDescent="0.25">
      <c r="A6" s="666"/>
      <c r="B6" s="666"/>
      <c r="C6" s="666"/>
      <c r="D6" s="666"/>
      <c r="E6" s="666"/>
      <c r="F6" s="666"/>
      <c r="G6" s="666"/>
      <c r="H6" s="666"/>
      <c r="I6" s="666"/>
      <c r="J6" s="666"/>
      <c r="K6" s="666"/>
      <c r="L6" s="666"/>
      <c r="M6" s="666"/>
      <c r="N6" s="666"/>
      <c r="O6" s="666"/>
    </row>
    <row r="7" spans="1:15" x14ac:dyDescent="0.25">
      <c r="A7" s="666"/>
      <c r="B7" s="666"/>
      <c r="C7" s="666"/>
      <c r="D7" s="666"/>
      <c r="E7" s="666"/>
      <c r="F7" s="666"/>
      <c r="G7" s="666"/>
      <c r="H7" s="666"/>
      <c r="I7" s="666"/>
      <c r="J7" s="666"/>
      <c r="K7" s="666"/>
      <c r="L7" s="666"/>
      <c r="M7" s="666"/>
      <c r="N7" s="666"/>
      <c r="O7" s="666"/>
    </row>
    <row r="8" spans="1:15" x14ac:dyDescent="0.25">
      <c r="A8" s="666"/>
      <c r="B8" s="666"/>
      <c r="C8" s="666"/>
      <c r="D8" s="666"/>
      <c r="E8" s="666"/>
      <c r="F8" s="666"/>
      <c r="G8" s="666"/>
      <c r="H8" s="666"/>
      <c r="I8" s="666"/>
      <c r="J8" s="666"/>
      <c r="K8" s="666"/>
      <c r="L8" s="666"/>
      <c r="M8" s="666"/>
      <c r="N8" s="666"/>
      <c r="O8" s="666"/>
    </row>
    <row r="9" spans="1:15" x14ac:dyDescent="0.25">
      <c r="A9" s="666"/>
      <c r="B9" s="666"/>
      <c r="C9" s="666"/>
      <c r="D9" s="666"/>
      <c r="E9" s="666"/>
      <c r="F9" s="666"/>
      <c r="G9" s="666"/>
      <c r="H9" s="666"/>
      <c r="I9" s="666"/>
      <c r="J9" s="666"/>
      <c r="K9" s="666"/>
      <c r="L9" s="666"/>
      <c r="M9" s="666"/>
      <c r="N9" s="666"/>
      <c r="O9" s="666"/>
    </row>
    <row r="10" spans="1:15" x14ac:dyDescent="0.25">
      <c r="A10" s="666"/>
      <c r="B10" s="666"/>
      <c r="C10" s="666"/>
      <c r="D10" s="666"/>
      <c r="E10" s="666"/>
      <c r="F10" s="666"/>
      <c r="G10" s="666"/>
      <c r="H10" s="666"/>
      <c r="I10" s="666"/>
      <c r="J10" s="666"/>
      <c r="K10" s="666"/>
      <c r="L10" s="666"/>
      <c r="M10" s="666"/>
      <c r="N10" s="666"/>
      <c r="O10" s="666"/>
    </row>
    <row r="11" spans="1:15" x14ac:dyDescent="0.25">
      <c r="A11" s="666"/>
      <c r="B11" s="666"/>
      <c r="C11" s="666"/>
      <c r="D11" s="666"/>
      <c r="E11" s="666"/>
      <c r="F11" s="666"/>
      <c r="G11" s="666"/>
      <c r="H11" s="666"/>
      <c r="I11" s="666"/>
      <c r="J11" s="666"/>
      <c r="K11" s="666"/>
      <c r="L11" s="666"/>
      <c r="M11" s="666"/>
      <c r="N11" s="666"/>
      <c r="O11" s="666"/>
    </row>
    <row r="12" spans="1:15" x14ac:dyDescent="0.25">
      <c r="A12" s="666"/>
      <c r="B12" s="666"/>
      <c r="C12" s="666"/>
      <c r="D12" s="666"/>
      <c r="E12" s="666"/>
      <c r="F12" s="666"/>
      <c r="G12" s="666"/>
      <c r="H12" s="666"/>
      <c r="I12" s="666"/>
      <c r="J12" s="666"/>
      <c r="K12" s="666"/>
      <c r="L12" s="666"/>
      <c r="M12" s="666"/>
      <c r="N12" s="666"/>
      <c r="O12" s="666"/>
    </row>
    <row r="13" spans="1:15" x14ac:dyDescent="0.25">
      <c r="A13" s="666"/>
      <c r="B13" s="666"/>
      <c r="C13" s="666"/>
      <c r="D13" s="666"/>
      <c r="E13" s="666"/>
      <c r="F13" s="666"/>
      <c r="G13" s="666"/>
      <c r="H13" s="666"/>
      <c r="I13" s="666"/>
      <c r="J13" s="666"/>
      <c r="K13" s="666"/>
      <c r="L13" s="666"/>
      <c r="M13" s="666"/>
      <c r="N13" s="666"/>
      <c r="O13" s="666"/>
    </row>
    <row r="14" spans="1:15" x14ac:dyDescent="0.25">
      <c r="A14" s="666"/>
      <c r="B14" s="666"/>
      <c r="C14" s="666"/>
      <c r="D14" s="666"/>
      <c r="E14" s="666"/>
      <c r="F14" s="666"/>
      <c r="G14" s="666"/>
      <c r="H14" s="666"/>
      <c r="I14" s="666"/>
      <c r="J14" s="666"/>
      <c r="K14" s="666"/>
      <c r="L14" s="666"/>
      <c r="M14" s="666"/>
      <c r="N14" s="666"/>
      <c r="O14" s="666"/>
    </row>
    <row r="15" spans="1:15" x14ac:dyDescent="0.25">
      <c r="A15" s="666"/>
      <c r="B15" s="666"/>
      <c r="C15" s="666"/>
      <c r="D15" s="666"/>
      <c r="E15" s="666"/>
      <c r="F15" s="666"/>
      <c r="G15" s="666"/>
      <c r="H15" s="666"/>
      <c r="I15" s="666"/>
      <c r="J15" s="666"/>
      <c r="K15" s="666"/>
      <c r="L15" s="666"/>
      <c r="M15" s="666"/>
      <c r="N15" s="666"/>
      <c r="O15" s="666"/>
    </row>
    <row r="16" spans="1:15" x14ac:dyDescent="0.25">
      <c r="A16" s="666"/>
      <c r="B16" s="666"/>
      <c r="C16" s="666"/>
      <c r="D16" s="666"/>
      <c r="E16" s="666"/>
      <c r="F16" s="666"/>
      <c r="G16" s="666"/>
      <c r="H16" s="666"/>
      <c r="I16" s="666"/>
      <c r="J16" s="666"/>
      <c r="K16" s="666"/>
      <c r="L16" s="666"/>
      <c r="M16" s="666"/>
      <c r="N16" s="666"/>
      <c r="O16" s="666"/>
    </row>
    <row r="17" spans="1:15" x14ac:dyDescent="0.25">
      <c r="A17" s="666"/>
      <c r="B17" s="666"/>
      <c r="C17" s="666"/>
      <c r="D17" s="666"/>
      <c r="E17" s="666"/>
      <c r="F17" s="666"/>
      <c r="G17" s="666"/>
      <c r="H17" s="666"/>
      <c r="I17" s="666"/>
      <c r="J17" s="666"/>
      <c r="K17" s="666"/>
      <c r="L17" s="666"/>
      <c r="M17" s="666"/>
      <c r="N17" s="666"/>
      <c r="O17" s="666"/>
    </row>
    <row r="18" spans="1:15" x14ac:dyDescent="0.25">
      <c r="A18" s="666"/>
      <c r="B18" s="666"/>
      <c r="C18" s="666"/>
      <c r="D18" s="666"/>
      <c r="E18" s="666"/>
      <c r="F18" s="666"/>
      <c r="G18" s="666"/>
      <c r="H18" s="666"/>
      <c r="I18" s="666"/>
      <c r="J18" s="666"/>
      <c r="K18" s="666"/>
      <c r="L18" s="666"/>
      <c r="M18" s="666"/>
      <c r="N18" s="666"/>
      <c r="O18" s="666"/>
    </row>
    <row r="19" spans="1:15" x14ac:dyDescent="0.25">
      <c r="A19" s="666"/>
      <c r="B19" s="666"/>
      <c r="C19" s="666"/>
      <c r="D19" s="666"/>
      <c r="E19" s="666"/>
      <c r="F19" s="666"/>
      <c r="G19" s="666"/>
      <c r="H19" s="666"/>
      <c r="I19" s="666"/>
      <c r="J19" s="666"/>
      <c r="K19" s="666"/>
      <c r="L19" s="666"/>
      <c r="M19" s="666"/>
      <c r="N19" s="666"/>
      <c r="O19" s="666"/>
    </row>
    <row r="20" spans="1:15" x14ac:dyDescent="0.25">
      <c r="A20" s="666"/>
      <c r="B20" s="666"/>
      <c r="C20" s="666"/>
      <c r="D20" s="666"/>
      <c r="E20" s="666"/>
      <c r="F20" s="666"/>
      <c r="G20" s="666"/>
      <c r="H20" s="666"/>
      <c r="I20" s="666"/>
      <c r="J20" s="666"/>
      <c r="K20" s="666"/>
      <c r="L20" s="666"/>
      <c r="M20" s="666"/>
      <c r="N20" s="666"/>
      <c r="O20" s="666"/>
    </row>
    <row r="21" spans="1:15" x14ac:dyDescent="0.25">
      <c r="A21" s="666"/>
      <c r="B21" s="666"/>
      <c r="C21" s="666"/>
      <c r="D21" s="666"/>
      <c r="E21" s="666"/>
      <c r="F21" s="666"/>
      <c r="G21" s="666"/>
      <c r="H21" s="666"/>
      <c r="I21" s="666"/>
      <c r="J21" s="666"/>
      <c r="K21" s="666"/>
      <c r="L21" s="666"/>
      <c r="M21" s="666"/>
      <c r="N21" s="666"/>
      <c r="O21" s="666"/>
    </row>
    <row r="22" spans="1:15" x14ac:dyDescent="0.25">
      <c r="A22" s="666"/>
      <c r="B22" s="666"/>
      <c r="C22" s="666"/>
      <c r="D22" s="666"/>
      <c r="E22" s="666"/>
      <c r="F22" s="666"/>
      <c r="G22" s="666"/>
      <c r="H22" s="666"/>
      <c r="I22" s="666"/>
      <c r="J22" s="666"/>
      <c r="K22" s="666"/>
      <c r="L22" s="666"/>
      <c r="M22" s="666"/>
      <c r="N22" s="666"/>
      <c r="O22" s="666"/>
    </row>
    <row r="23" spans="1:15" x14ac:dyDescent="0.25">
      <c r="A23" s="666"/>
      <c r="B23" s="666"/>
      <c r="C23" s="666"/>
      <c r="D23" s="666"/>
      <c r="E23" s="666"/>
      <c r="F23" s="666"/>
      <c r="G23" s="666"/>
      <c r="H23" s="666"/>
      <c r="I23" s="666"/>
      <c r="J23" s="666"/>
      <c r="K23" s="666"/>
      <c r="L23" s="666"/>
      <c r="M23" s="666"/>
      <c r="N23" s="666"/>
      <c r="O23" s="666"/>
    </row>
    <row r="24" spans="1:15" x14ac:dyDescent="0.25">
      <c r="A24" s="666"/>
      <c r="B24" s="666"/>
      <c r="C24" s="666"/>
      <c r="D24" s="666"/>
      <c r="E24" s="666"/>
      <c r="F24" s="666"/>
      <c r="G24" s="666"/>
      <c r="H24" s="666"/>
      <c r="I24" s="666"/>
      <c r="J24" s="666"/>
      <c r="K24" s="666"/>
      <c r="L24" s="666"/>
      <c r="M24" s="666"/>
      <c r="N24" s="666"/>
      <c r="O24" s="666"/>
    </row>
    <row r="25" spans="1:15" x14ac:dyDescent="0.25">
      <c r="A25" s="666"/>
      <c r="B25" s="666"/>
      <c r="C25" s="666"/>
      <c r="D25" s="666"/>
      <c r="E25" s="666"/>
      <c r="F25" s="666"/>
      <c r="G25" s="666"/>
      <c r="H25" s="666"/>
      <c r="I25" s="666"/>
      <c r="J25" s="666"/>
      <c r="K25" s="666"/>
      <c r="L25" s="666"/>
      <c r="M25" s="666"/>
      <c r="N25" s="666"/>
      <c r="O25" s="666"/>
    </row>
    <row r="26" spans="1:15" x14ac:dyDescent="0.25">
      <c r="A26" s="666"/>
      <c r="B26" s="666"/>
      <c r="C26" s="666"/>
      <c r="D26" s="666"/>
      <c r="E26" s="666"/>
      <c r="F26" s="666"/>
      <c r="G26" s="666"/>
      <c r="H26" s="666"/>
      <c r="I26" s="666"/>
      <c r="J26" s="666"/>
      <c r="K26" s="666"/>
      <c r="L26" s="666"/>
      <c r="M26" s="666"/>
      <c r="N26" s="666"/>
      <c r="O26" s="666"/>
    </row>
    <row r="27" spans="1:15" x14ac:dyDescent="0.25">
      <c r="A27" s="666"/>
      <c r="B27" s="666"/>
      <c r="C27" s="666"/>
      <c r="D27" s="666"/>
      <c r="E27" s="666"/>
      <c r="F27" s="666"/>
      <c r="G27" s="666"/>
      <c r="H27" s="666"/>
      <c r="I27" s="666"/>
      <c r="J27" s="666"/>
      <c r="K27" s="666"/>
      <c r="L27" s="666"/>
      <c r="M27" s="666"/>
      <c r="N27" s="666"/>
      <c r="O27" s="666"/>
    </row>
    <row r="28" spans="1:15" x14ac:dyDescent="0.25">
      <c r="A28" s="666"/>
      <c r="B28" s="666"/>
      <c r="C28" s="666"/>
      <c r="D28" s="666"/>
      <c r="E28" s="666"/>
      <c r="F28" s="666"/>
      <c r="G28" s="666"/>
      <c r="H28" s="666"/>
      <c r="I28" s="666"/>
      <c r="J28" s="666"/>
      <c r="K28" s="666"/>
      <c r="L28" s="666"/>
      <c r="M28" s="666"/>
      <c r="N28" s="666"/>
      <c r="O28" s="666"/>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A2" sqref="A2"/>
    </sheetView>
  </sheetViews>
  <sheetFormatPr defaultColWidth="9.140625" defaultRowHeight="15" x14ac:dyDescent="0.25"/>
  <cols>
    <col min="1" max="1" width="18.85546875" style="595" bestFit="1" customWidth="1"/>
    <col min="2" max="2" width="10.5703125" style="595" bestFit="1" customWidth="1"/>
    <col min="3" max="3" width="8.85546875" style="595" bestFit="1" customWidth="1"/>
    <col min="4" max="4" width="9.140625" style="595"/>
    <col min="5" max="5" width="29.7109375" style="595" bestFit="1" customWidth="1"/>
    <col min="6" max="6" width="16.42578125" style="595" bestFit="1" customWidth="1"/>
    <col min="7" max="7" width="27.140625" style="595" bestFit="1" customWidth="1"/>
    <col min="8" max="8" width="35" style="595" bestFit="1" customWidth="1"/>
    <col min="9" max="9" width="38.42578125" style="595" bestFit="1" customWidth="1"/>
    <col min="10" max="10" width="33.85546875" style="595" bestFit="1" customWidth="1"/>
    <col min="11" max="11" width="26.140625" style="595" bestFit="1" customWidth="1"/>
    <col min="12" max="12" width="17.42578125" style="595" bestFit="1" customWidth="1"/>
    <col min="13" max="13" width="12" style="595" bestFit="1" customWidth="1"/>
    <col min="14" max="16384" width="9.140625" style="595"/>
  </cols>
  <sheetData>
    <row r="1" spans="1:13" x14ac:dyDescent="0.25">
      <c r="A1" s="597" t="s">
        <v>1004</v>
      </c>
      <c r="B1" s="597" t="s">
        <v>1001</v>
      </c>
      <c r="C1" s="597" t="s">
        <v>1002</v>
      </c>
      <c r="D1" s="597" t="s">
        <v>1008</v>
      </c>
      <c r="E1" s="597" t="s">
        <v>1052</v>
      </c>
      <c r="F1" s="597" t="s">
        <v>1056</v>
      </c>
      <c r="G1" s="597" t="s">
        <v>1051</v>
      </c>
      <c r="H1" s="597" t="s">
        <v>1068</v>
      </c>
      <c r="I1" s="597" t="s">
        <v>1069</v>
      </c>
      <c r="J1" s="597" t="s">
        <v>1070</v>
      </c>
      <c r="K1" s="597" t="s">
        <v>1009</v>
      </c>
      <c r="L1" s="597" t="s">
        <v>1010</v>
      </c>
      <c r="M1" s="597" t="s">
        <v>1011</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595" bestFit="1" customWidth="1"/>
    <col min="2" max="2" width="12.85546875" style="595" bestFit="1" customWidth="1"/>
    <col min="3" max="3" width="10.5703125" style="595" bestFit="1" customWidth="1"/>
    <col min="4" max="4" width="21.5703125" style="595" bestFit="1" customWidth="1"/>
    <col min="5" max="5" width="12.7109375" style="595" bestFit="1" customWidth="1"/>
    <col min="6" max="6" width="25.7109375" style="595" bestFit="1" customWidth="1"/>
    <col min="7" max="16384" width="9.140625" style="595"/>
  </cols>
  <sheetData>
    <row r="1" spans="1:6" x14ac:dyDescent="0.25">
      <c r="A1" s="597" t="s">
        <v>242</v>
      </c>
      <c r="B1" s="597" t="s">
        <v>1062</v>
      </c>
      <c r="C1" s="597" t="s">
        <v>1001</v>
      </c>
      <c r="D1" s="597" t="s">
        <v>1058</v>
      </c>
      <c r="E1" s="597" t="s">
        <v>1059</v>
      </c>
      <c r="F1" s="597" t="s">
        <v>1060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595" bestFit="1" customWidth="1"/>
    <col min="2" max="2" width="12.85546875" style="595" bestFit="1" customWidth="1"/>
    <col min="3" max="3" width="10.5703125" style="595" bestFit="1" customWidth="1"/>
    <col min="4" max="4" width="21.5703125" style="595" bestFit="1" customWidth="1"/>
    <col min="5" max="5" width="12.7109375" style="595" bestFit="1" customWidth="1"/>
    <col min="6" max="6" width="25.7109375" style="595" bestFit="1" customWidth="1"/>
    <col min="7" max="16384" width="9.140625" style="595"/>
  </cols>
  <sheetData>
    <row r="1" spans="1:6" x14ac:dyDescent="0.25">
      <c r="A1" s="597" t="s">
        <v>242</v>
      </c>
      <c r="B1" s="597" t="s">
        <v>1061</v>
      </c>
      <c r="C1" s="597" t="s">
        <v>1001</v>
      </c>
      <c r="D1" s="597" t="s">
        <v>1058</v>
      </c>
      <c r="E1" s="597" t="s">
        <v>1059</v>
      </c>
      <c r="F1" s="597" t="s">
        <v>1060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40625" defaultRowHeight="15" x14ac:dyDescent="0.25"/>
  <cols>
    <col min="1" max="1" width="8.42578125" style="595" bestFit="1" customWidth="1"/>
    <col min="2" max="2" width="12.85546875" style="595" bestFit="1" customWidth="1"/>
    <col min="3" max="3" width="10.5703125" style="595" bestFit="1" customWidth="1"/>
    <col min="4" max="4" width="21.5703125" style="595" bestFit="1" customWidth="1"/>
    <col min="5" max="5" width="12.7109375" style="595" bestFit="1" customWidth="1"/>
    <col min="6" max="6" width="25.7109375" style="595" bestFit="1" customWidth="1"/>
    <col min="7" max="16384" width="9.140625" style="595"/>
  </cols>
  <sheetData>
    <row r="1" spans="1:6" x14ac:dyDescent="0.25">
      <c r="A1" s="597" t="s">
        <v>242</v>
      </c>
      <c r="B1" s="597" t="s">
        <v>1057</v>
      </c>
      <c r="C1" s="597" t="s">
        <v>1001</v>
      </c>
      <c r="D1" s="597" t="s">
        <v>1058</v>
      </c>
      <c r="E1" s="597" t="s">
        <v>1059</v>
      </c>
      <c r="F1" s="597" t="s">
        <v>1060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D11"/>
  <sheetViews>
    <sheetView workbookViewId="0">
      <selection activeCell="D11" sqref="D11"/>
    </sheetView>
  </sheetViews>
  <sheetFormatPr defaultRowHeight="15" x14ac:dyDescent="0.25"/>
  <cols>
    <col min="1" max="1" width="33.5703125" customWidth="1"/>
    <col min="2" max="3" width="20" customWidth="1"/>
    <col min="4" max="4" width="20.28515625" customWidth="1"/>
  </cols>
  <sheetData>
    <row r="1" spans="1:4" ht="19.5" customHeight="1" x14ac:dyDescent="0.25">
      <c r="A1" s="1481" t="s">
        <v>871</v>
      </c>
      <c r="B1" s="1481" t="s">
        <v>1312</v>
      </c>
      <c r="C1" s="1481" t="s">
        <v>1313</v>
      </c>
      <c r="D1" s="1481" t="s">
        <v>1310</v>
      </c>
    </row>
    <row r="2" spans="1:4" ht="18" customHeight="1" x14ac:dyDescent="0.25">
      <c r="A2" s="1482" t="s">
        <v>1</v>
      </c>
      <c r="B2" s="1482">
        <v>0.9</v>
      </c>
      <c r="C2" s="1482">
        <v>2.66</v>
      </c>
      <c r="D2" s="1483">
        <v>500</v>
      </c>
    </row>
    <row r="3" spans="1:4" x14ac:dyDescent="0.25">
      <c r="A3" s="1482" t="s">
        <v>117</v>
      </c>
      <c r="B3" s="1482">
        <v>0.32</v>
      </c>
      <c r="C3" s="1482">
        <v>0.48</v>
      </c>
      <c r="D3" s="1483">
        <v>500</v>
      </c>
    </row>
    <row r="4" spans="1:4" ht="17.25" customHeight="1" x14ac:dyDescent="0.25">
      <c r="A4" s="1482" t="s">
        <v>113</v>
      </c>
      <c r="B4" s="1482">
        <v>0.87</v>
      </c>
      <c r="C4" s="1482">
        <v>2.15</v>
      </c>
      <c r="D4" s="1483">
        <v>500</v>
      </c>
    </row>
    <row r="5" spans="1:4" ht="16.5" customHeight="1" x14ac:dyDescent="0.25">
      <c r="A5" s="1482" t="s">
        <v>114</v>
      </c>
      <c r="B5" s="1482">
        <v>0.81</v>
      </c>
      <c r="C5" s="1482">
        <v>2.5299999999999998</v>
      </c>
      <c r="D5" s="1483">
        <v>500</v>
      </c>
    </row>
    <row r="6" spans="1:4" ht="17.25" customHeight="1" x14ac:dyDescent="0.25">
      <c r="A6" s="1482" t="s">
        <v>116</v>
      </c>
      <c r="B6" s="1482">
        <v>0.94</v>
      </c>
      <c r="C6" s="1482">
        <v>2.08</v>
      </c>
      <c r="D6" s="1483">
        <v>500</v>
      </c>
    </row>
    <row r="7" spans="1:4" ht="15" customHeight="1" x14ac:dyDescent="0.25">
      <c r="A7" s="1482" t="s">
        <v>112</v>
      </c>
      <c r="B7" s="1482">
        <v>0.93</v>
      </c>
      <c r="C7" s="1482">
        <v>1.41</v>
      </c>
      <c r="D7" s="1483">
        <v>500</v>
      </c>
    </row>
    <row r="8" spans="1:4" ht="21.75" customHeight="1" x14ac:dyDescent="0.25">
      <c r="A8" s="1482" t="s">
        <v>111</v>
      </c>
      <c r="B8" s="1482">
        <v>0.87</v>
      </c>
      <c r="C8" s="1482">
        <v>3.68</v>
      </c>
      <c r="D8" s="1483">
        <v>500</v>
      </c>
    </row>
    <row r="9" spans="1:4" x14ac:dyDescent="0.25">
      <c r="A9" s="1482" t="s">
        <v>118</v>
      </c>
      <c r="B9" s="1482">
        <v>0.9</v>
      </c>
      <c r="C9" s="1482">
        <v>2.76</v>
      </c>
      <c r="D9" s="1483">
        <v>500</v>
      </c>
    </row>
    <row r="10" spans="1:4" ht="18.75" customHeight="1" x14ac:dyDescent="0.25">
      <c r="A10" s="1482" t="s">
        <v>115</v>
      </c>
      <c r="B10" s="1482">
        <v>0.82</v>
      </c>
      <c r="C10" s="1482">
        <v>2.48</v>
      </c>
      <c r="D10" s="1483">
        <v>500</v>
      </c>
    </row>
    <row r="11" spans="1:4" ht="18.75" customHeight="1" x14ac:dyDescent="0.25">
      <c r="A11" s="1482" t="s">
        <v>2079</v>
      </c>
      <c r="B11" s="1482">
        <v>0.9</v>
      </c>
      <c r="C11" s="1482">
        <v>1.6</v>
      </c>
      <c r="D11" s="1483">
        <v>500</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252</v>
      </c>
      <c r="C1" s="2" t="s">
        <v>913</v>
      </c>
      <c r="D1" s="2" t="s">
        <v>216</v>
      </c>
      <c r="E1" s="2"/>
      <c r="F1" s="2" t="s">
        <v>215</v>
      </c>
      <c r="G1" s="2"/>
      <c r="H1" s="2" t="s">
        <v>202</v>
      </c>
    </row>
    <row r="2" spans="1:14" x14ac:dyDescent="0.25">
      <c r="A2" t="s">
        <v>267</v>
      </c>
      <c r="B2" t="s">
        <v>99</v>
      </c>
      <c r="C2" s="2" t="s">
        <v>212</v>
      </c>
      <c r="D2" s="24">
        <v>0.03</v>
      </c>
      <c r="E2" s="24">
        <v>0.08</v>
      </c>
      <c r="F2" s="24">
        <v>0.09</v>
      </c>
      <c r="G2" s="24">
        <v>0.11</v>
      </c>
      <c r="H2" s="24">
        <v>0.16</v>
      </c>
      <c r="J2" s="24"/>
      <c r="K2" s="24"/>
      <c r="L2" s="24"/>
      <c r="M2" s="24"/>
      <c r="N2" s="24"/>
    </row>
    <row r="3" spans="1:14" x14ac:dyDescent="0.25">
      <c r="A3" t="s">
        <v>268</v>
      </c>
      <c r="B3" t="s">
        <v>99</v>
      </c>
      <c r="C3" s="2" t="s">
        <v>213</v>
      </c>
      <c r="D3" s="24">
        <v>0.04</v>
      </c>
      <c r="E3" s="24">
        <v>0.08</v>
      </c>
      <c r="F3" s="24">
        <v>0.09</v>
      </c>
      <c r="G3" s="24">
        <v>0.11</v>
      </c>
      <c r="H3" s="24">
        <v>0.16</v>
      </c>
      <c r="J3" s="24"/>
      <c r="K3" s="24"/>
      <c r="L3" s="24"/>
      <c r="M3" s="24"/>
      <c r="N3" s="24"/>
    </row>
    <row r="4" spans="1:14" x14ac:dyDescent="0.25">
      <c r="A4" t="s">
        <v>269</v>
      </c>
      <c r="B4" t="s">
        <v>99</v>
      </c>
      <c r="C4" s="2" t="s">
        <v>214</v>
      </c>
      <c r="D4" s="24">
        <v>0.03</v>
      </c>
      <c r="E4" s="24">
        <v>7.0000000000000007E-2</v>
      </c>
      <c r="F4" s="24">
        <v>0.09</v>
      </c>
      <c r="G4" s="24">
        <v>0.1</v>
      </c>
      <c r="H4" s="24">
        <v>0.16</v>
      </c>
      <c r="J4" s="24"/>
      <c r="K4" s="24"/>
      <c r="L4" s="24"/>
      <c r="M4" s="24"/>
      <c r="N4" s="24"/>
    </row>
    <row r="5" spans="1:14" x14ac:dyDescent="0.25">
      <c r="A5" t="s">
        <v>270</v>
      </c>
      <c r="B5" t="s">
        <v>99</v>
      </c>
      <c r="C5" s="2" t="s">
        <v>265</v>
      </c>
      <c r="D5" s="24">
        <v>0.01</v>
      </c>
      <c r="E5" s="24">
        <v>7.0000000000000007E-2</v>
      </c>
      <c r="F5" s="24">
        <v>0.08</v>
      </c>
      <c r="G5" s="24">
        <v>0.11</v>
      </c>
      <c r="H5" s="24">
        <v>0.15</v>
      </c>
      <c r="J5" s="24"/>
      <c r="K5" s="24"/>
      <c r="L5" s="24"/>
      <c r="M5" s="24"/>
      <c r="N5" s="24"/>
    </row>
    <row r="6" spans="1:14" x14ac:dyDescent="0.25">
      <c r="A6" t="s">
        <v>271</v>
      </c>
      <c r="B6" t="s">
        <v>99</v>
      </c>
      <c r="C6" s="2" t="s">
        <v>266</v>
      </c>
      <c r="D6" s="24">
        <v>0.02</v>
      </c>
      <c r="E6" s="24">
        <v>0.06</v>
      </c>
      <c r="F6" s="24">
        <v>0.08</v>
      </c>
      <c r="G6" s="24">
        <v>0.09</v>
      </c>
      <c r="H6" s="24">
        <v>0.14000000000000001</v>
      </c>
      <c r="J6" s="24"/>
      <c r="K6" s="24"/>
      <c r="L6" s="24"/>
      <c r="M6" s="24"/>
      <c r="N6" s="24"/>
    </row>
    <row r="7" spans="1:14" x14ac:dyDescent="0.25">
      <c r="A7" t="s">
        <v>506</v>
      </c>
      <c r="B7" t="s">
        <v>504</v>
      </c>
      <c r="C7" s="2" t="s">
        <v>212</v>
      </c>
      <c r="D7" s="24">
        <v>0</v>
      </c>
      <c r="E7" s="24">
        <v>0.04</v>
      </c>
      <c r="F7" s="24">
        <v>7.0000000000000007E-2</v>
      </c>
      <c r="G7" s="24">
        <v>0.09</v>
      </c>
      <c r="H7" s="24">
        <v>0.16</v>
      </c>
      <c r="J7" s="24"/>
      <c r="K7" s="24"/>
      <c r="L7" s="24"/>
      <c r="M7" s="24"/>
      <c r="N7" s="24"/>
    </row>
    <row r="8" spans="1:14" x14ac:dyDescent="0.25">
      <c r="A8" t="s">
        <v>507</v>
      </c>
      <c r="B8" t="s">
        <v>504</v>
      </c>
      <c r="C8" s="2" t="s">
        <v>213</v>
      </c>
      <c r="D8" s="24">
        <v>0</v>
      </c>
      <c r="E8" s="24">
        <v>0.04</v>
      </c>
      <c r="F8" s="24">
        <v>0.06</v>
      </c>
      <c r="G8" s="24">
        <v>0.08</v>
      </c>
      <c r="H8" s="24">
        <v>0.15</v>
      </c>
      <c r="J8" s="24"/>
      <c r="K8" s="24"/>
      <c r="L8" s="24"/>
      <c r="M8" s="24"/>
      <c r="N8" s="24"/>
    </row>
    <row r="9" spans="1:14" x14ac:dyDescent="0.25">
      <c r="A9" t="s">
        <v>508</v>
      </c>
      <c r="B9" t="s">
        <v>504</v>
      </c>
      <c r="C9" s="2" t="s">
        <v>214</v>
      </c>
      <c r="D9" s="24">
        <v>0</v>
      </c>
      <c r="E9" s="24">
        <v>0.04</v>
      </c>
      <c r="F9" s="24">
        <v>0.06</v>
      </c>
      <c r="G9" s="24">
        <v>0.08</v>
      </c>
      <c r="H9" s="24">
        <v>0.14000000000000001</v>
      </c>
      <c r="J9" s="24"/>
      <c r="K9" s="24"/>
      <c r="L9" s="24"/>
      <c r="M9" s="24"/>
      <c r="N9" s="24"/>
    </row>
    <row r="10" spans="1:14" x14ac:dyDescent="0.25">
      <c r="A10" t="s">
        <v>509</v>
      </c>
      <c r="B10" t="s">
        <v>504</v>
      </c>
      <c r="C10" s="2" t="s">
        <v>265</v>
      </c>
      <c r="D10" s="24">
        <v>0</v>
      </c>
      <c r="E10" s="24">
        <v>0.04</v>
      </c>
      <c r="F10" s="24">
        <v>0.05</v>
      </c>
      <c r="G10" s="24">
        <v>7.0000000000000007E-2</v>
      </c>
      <c r="H10" s="24">
        <v>0.12</v>
      </c>
      <c r="J10" s="24"/>
      <c r="K10" s="24"/>
      <c r="L10" s="24"/>
      <c r="M10" s="24"/>
      <c r="N10" s="24"/>
    </row>
    <row r="11" spans="1:14" x14ac:dyDescent="0.25">
      <c r="A11" t="s">
        <v>510</v>
      </c>
      <c r="B11" t="s">
        <v>504</v>
      </c>
      <c r="C11" s="2" t="s">
        <v>266</v>
      </c>
      <c r="D11" s="24">
        <v>0</v>
      </c>
      <c r="E11" s="24">
        <v>0.03</v>
      </c>
      <c r="F11" s="24">
        <v>0.04</v>
      </c>
      <c r="G11" s="24">
        <v>0.06</v>
      </c>
      <c r="H11" s="24">
        <v>0.1</v>
      </c>
      <c r="J11" s="24"/>
      <c r="K11" s="24"/>
      <c r="L11" s="24"/>
      <c r="M11" s="24"/>
      <c r="N11" s="24"/>
    </row>
    <row r="12" spans="1:14" x14ac:dyDescent="0.25">
      <c r="A12" t="s">
        <v>511</v>
      </c>
      <c r="B12" t="s">
        <v>505</v>
      </c>
      <c r="C12" s="2" t="s">
        <v>212</v>
      </c>
      <c r="D12" s="24">
        <v>0</v>
      </c>
      <c r="E12" s="24">
        <v>0.05</v>
      </c>
      <c r="F12" s="24">
        <v>0.08</v>
      </c>
      <c r="G12" s="24">
        <v>0.09</v>
      </c>
      <c r="H12" s="24">
        <v>0.14000000000000001</v>
      </c>
      <c r="J12" s="24"/>
      <c r="K12" s="24"/>
      <c r="L12" s="24"/>
      <c r="M12" s="24"/>
      <c r="N12" s="24"/>
    </row>
    <row r="13" spans="1:14" x14ac:dyDescent="0.25">
      <c r="A13" t="s">
        <v>512</v>
      </c>
      <c r="B13" t="s">
        <v>505</v>
      </c>
      <c r="C13" s="2" t="s">
        <v>213</v>
      </c>
      <c r="D13" s="24">
        <v>0</v>
      </c>
      <c r="E13" s="24">
        <v>0.05</v>
      </c>
      <c r="F13" s="24">
        <v>7.0000000000000007E-2</v>
      </c>
      <c r="G13" s="24">
        <v>0.09</v>
      </c>
      <c r="H13" s="24">
        <v>0.14000000000000001</v>
      </c>
      <c r="J13" s="24"/>
      <c r="K13" s="24"/>
      <c r="L13" s="24"/>
      <c r="M13" s="24"/>
      <c r="N13" s="24"/>
    </row>
    <row r="14" spans="1:14" x14ac:dyDescent="0.25">
      <c r="A14" t="s">
        <v>513</v>
      </c>
      <c r="B14" t="s">
        <v>505</v>
      </c>
      <c r="C14" s="2" t="s">
        <v>214</v>
      </c>
      <c r="D14" s="24">
        <v>0</v>
      </c>
      <c r="E14" s="24">
        <v>0.05</v>
      </c>
      <c r="F14" s="24">
        <v>0.06</v>
      </c>
      <c r="G14" s="24">
        <v>0.08</v>
      </c>
      <c r="H14" s="24">
        <v>0.13</v>
      </c>
      <c r="J14" s="24"/>
      <c r="K14" s="24"/>
      <c r="L14" s="24"/>
      <c r="M14" s="24"/>
      <c r="N14" s="24"/>
    </row>
    <row r="15" spans="1:14" x14ac:dyDescent="0.25">
      <c r="A15" t="s">
        <v>514</v>
      </c>
      <c r="B15" t="s">
        <v>505</v>
      </c>
      <c r="C15" s="2" t="s">
        <v>265</v>
      </c>
      <c r="D15" s="55">
        <v>0</v>
      </c>
      <c r="E15" s="55">
        <v>0.04</v>
      </c>
      <c r="F15" s="55">
        <v>0.05</v>
      </c>
      <c r="G15" s="55">
        <v>7.0000000000000007E-2</v>
      </c>
      <c r="H15" s="55">
        <v>0.11</v>
      </c>
      <c r="J15" s="55"/>
      <c r="K15" s="55"/>
      <c r="L15" s="55"/>
      <c r="M15" s="55"/>
      <c r="N15" s="55"/>
    </row>
    <row r="16" spans="1:14" x14ac:dyDescent="0.25">
      <c r="A16" t="s">
        <v>515</v>
      </c>
      <c r="B16" t="s">
        <v>505</v>
      </c>
      <c r="C16" s="2" t="s">
        <v>266</v>
      </c>
      <c r="D16" s="55">
        <v>0</v>
      </c>
      <c r="E16" s="55">
        <v>0.04</v>
      </c>
      <c r="F16" s="55">
        <v>0.05</v>
      </c>
      <c r="G16" s="55">
        <v>7.0000000000000007E-2</v>
      </c>
      <c r="H16" s="55">
        <v>0.09</v>
      </c>
      <c r="J16" s="55"/>
      <c r="K16" s="55"/>
      <c r="L16" s="55"/>
      <c r="M16" s="55"/>
      <c r="N16" s="55"/>
    </row>
    <row r="17" spans="1:14" x14ac:dyDescent="0.25">
      <c r="A17" t="s">
        <v>272</v>
      </c>
      <c r="B17" t="s">
        <v>102</v>
      </c>
      <c r="C17" s="2" t="s">
        <v>212</v>
      </c>
      <c r="D17" s="24">
        <v>0.03</v>
      </c>
      <c r="E17" s="24">
        <v>0.09</v>
      </c>
      <c r="F17" s="24">
        <v>0.11</v>
      </c>
      <c r="G17" s="24">
        <v>0.13</v>
      </c>
      <c r="H17" s="24">
        <v>0.2</v>
      </c>
      <c r="J17" s="24"/>
      <c r="K17" s="24"/>
      <c r="L17" s="24"/>
      <c r="M17" s="24"/>
      <c r="N17" s="24"/>
    </row>
    <row r="18" spans="1:14" x14ac:dyDescent="0.25">
      <c r="A18" t="s">
        <v>273</v>
      </c>
      <c r="B18" t="s">
        <v>102</v>
      </c>
      <c r="C18" s="2" t="s">
        <v>213</v>
      </c>
      <c r="D18" s="24">
        <v>0.03</v>
      </c>
      <c r="E18" s="24">
        <v>0.08</v>
      </c>
      <c r="F18" s="24">
        <v>0.1</v>
      </c>
      <c r="G18" s="24">
        <v>0.12</v>
      </c>
      <c r="H18" s="24">
        <v>0.19</v>
      </c>
      <c r="J18" s="24"/>
      <c r="K18" s="24"/>
      <c r="L18" s="24"/>
      <c r="M18" s="24"/>
      <c r="N18" s="24"/>
    </row>
    <row r="19" spans="1:14" x14ac:dyDescent="0.25">
      <c r="A19" t="s">
        <v>274</v>
      </c>
      <c r="B19" t="s">
        <v>102</v>
      </c>
      <c r="C19" s="2" t="s">
        <v>214</v>
      </c>
      <c r="D19" s="24">
        <v>0.02</v>
      </c>
      <c r="E19" s="24">
        <v>7.0000000000000007E-2</v>
      </c>
      <c r="F19" s="24">
        <v>0.09</v>
      </c>
      <c r="G19" s="24">
        <v>0.11</v>
      </c>
      <c r="H19" s="24">
        <v>0.18</v>
      </c>
      <c r="J19" s="24"/>
      <c r="K19" s="24"/>
      <c r="L19" s="24"/>
      <c r="M19" s="24"/>
      <c r="N19" s="24"/>
    </row>
    <row r="20" spans="1:14" x14ac:dyDescent="0.25">
      <c r="A20" t="s">
        <v>275</v>
      </c>
      <c r="B20" t="s">
        <v>102</v>
      </c>
      <c r="C20" s="2" t="s">
        <v>265</v>
      </c>
      <c r="D20" s="24">
        <v>0.02</v>
      </c>
      <c r="E20" s="24">
        <v>0.06</v>
      </c>
      <c r="F20" s="24">
        <v>0.08</v>
      </c>
      <c r="G20" s="24">
        <v>0.1</v>
      </c>
      <c r="H20" s="24">
        <v>0.16</v>
      </c>
      <c r="J20" s="24"/>
      <c r="K20" s="24"/>
      <c r="L20" s="24"/>
      <c r="M20" s="24"/>
      <c r="N20" s="24"/>
    </row>
    <row r="21" spans="1:14" x14ac:dyDescent="0.25">
      <c r="A21" t="s">
        <v>276</v>
      </c>
      <c r="B21" t="s">
        <v>102</v>
      </c>
      <c r="C21" s="2" t="s">
        <v>266</v>
      </c>
      <c r="D21" s="24">
        <v>0.02</v>
      </c>
      <c r="E21" s="24">
        <v>0.05</v>
      </c>
      <c r="F21" s="24">
        <v>0.06</v>
      </c>
      <c r="G21" s="24">
        <v>0.09</v>
      </c>
      <c r="H21" s="24">
        <v>0.13</v>
      </c>
      <c r="J21" s="24"/>
      <c r="K21" s="24"/>
      <c r="L21" s="24"/>
      <c r="M21" s="24"/>
      <c r="N21" s="24"/>
    </row>
    <row r="22" spans="1:14" x14ac:dyDescent="0.25">
      <c r="A22" t="s">
        <v>277</v>
      </c>
      <c r="B22" t="s">
        <v>100</v>
      </c>
      <c r="C22" s="2" t="s">
        <v>212</v>
      </c>
      <c r="D22" s="24">
        <v>0.03</v>
      </c>
      <c r="E22" s="24">
        <v>0.09</v>
      </c>
      <c r="F22" s="24">
        <v>0.11</v>
      </c>
      <c r="G22" s="24">
        <v>0.14000000000000001</v>
      </c>
      <c r="H22" s="24">
        <v>0.21</v>
      </c>
      <c r="J22" s="24"/>
      <c r="K22" s="24"/>
      <c r="L22" s="24"/>
      <c r="M22" s="24"/>
      <c r="N22" s="24"/>
    </row>
    <row r="23" spans="1:14" x14ac:dyDescent="0.25">
      <c r="A23" t="s">
        <v>278</v>
      </c>
      <c r="B23" t="s">
        <v>100</v>
      </c>
      <c r="C23" s="2" t="s">
        <v>213</v>
      </c>
      <c r="D23" s="24">
        <v>0.03</v>
      </c>
      <c r="E23" s="24">
        <v>0.08</v>
      </c>
      <c r="F23" s="24">
        <v>0.1</v>
      </c>
      <c r="G23" s="24">
        <v>0.12</v>
      </c>
      <c r="H23" s="24">
        <v>0.17</v>
      </c>
      <c r="J23" s="24"/>
      <c r="K23" s="24"/>
      <c r="L23" s="24"/>
      <c r="M23" s="24"/>
      <c r="N23" s="24"/>
    </row>
    <row r="24" spans="1:14" x14ac:dyDescent="0.25">
      <c r="A24" t="s">
        <v>279</v>
      </c>
      <c r="B24" t="s">
        <v>100</v>
      </c>
      <c r="C24" s="2" t="s">
        <v>214</v>
      </c>
      <c r="D24" s="24">
        <v>0.03</v>
      </c>
      <c r="E24" s="24">
        <v>7.0000000000000007E-2</v>
      </c>
      <c r="F24" s="24">
        <v>0.09</v>
      </c>
      <c r="G24" s="24">
        <v>0.11</v>
      </c>
      <c r="H24" s="24">
        <v>0.16</v>
      </c>
      <c r="J24" s="24"/>
      <c r="K24" s="24"/>
      <c r="L24" s="24"/>
      <c r="M24" s="24"/>
      <c r="N24" s="24"/>
    </row>
    <row r="25" spans="1:14" x14ac:dyDescent="0.25">
      <c r="A25" t="s">
        <v>280</v>
      </c>
      <c r="B25" t="s">
        <v>100</v>
      </c>
      <c r="C25" s="2" t="s">
        <v>265</v>
      </c>
      <c r="D25" s="24">
        <v>0.02</v>
      </c>
      <c r="E25" s="24">
        <v>7.0000000000000007E-2</v>
      </c>
      <c r="F25" s="24">
        <v>0.08</v>
      </c>
      <c r="G25" s="24">
        <v>0.1</v>
      </c>
      <c r="H25" s="24">
        <v>0.15</v>
      </c>
      <c r="J25" s="24"/>
      <c r="K25" s="24"/>
      <c r="L25" s="24"/>
      <c r="M25" s="24"/>
      <c r="N25" s="24"/>
    </row>
    <row r="26" spans="1:14" x14ac:dyDescent="0.25">
      <c r="A26" t="s">
        <v>281</v>
      </c>
      <c r="B26" t="s">
        <v>100</v>
      </c>
      <c r="C26" s="2" t="s">
        <v>266</v>
      </c>
      <c r="D26" s="24">
        <v>0</v>
      </c>
      <c r="E26" s="24">
        <v>0.05</v>
      </c>
      <c r="F26" s="24">
        <v>7.0000000000000007E-2</v>
      </c>
      <c r="G26" s="24">
        <v>0.1</v>
      </c>
      <c r="H26" s="24">
        <v>0.16</v>
      </c>
      <c r="J26" s="24"/>
      <c r="K26" s="24"/>
      <c r="L26" s="24"/>
      <c r="M26" s="24"/>
      <c r="N26" s="24"/>
    </row>
    <row r="27" spans="1:14" x14ac:dyDescent="0.25">
      <c r="A27" t="s">
        <v>282</v>
      </c>
      <c r="B27" t="s">
        <v>104</v>
      </c>
      <c r="C27" s="2" t="s">
        <v>212</v>
      </c>
      <c r="D27" s="24">
        <v>0.04</v>
      </c>
      <c r="E27" s="24">
        <v>0.1</v>
      </c>
      <c r="F27" s="24">
        <v>0.12</v>
      </c>
      <c r="G27" s="24">
        <v>0.14000000000000001</v>
      </c>
      <c r="H27" s="24">
        <v>0.19</v>
      </c>
      <c r="J27" s="24"/>
      <c r="K27" s="24"/>
      <c r="L27" s="24"/>
      <c r="M27" s="24"/>
      <c r="N27" s="24"/>
    </row>
    <row r="28" spans="1:14" x14ac:dyDescent="0.25">
      <c r="A28" t="s">
        <v>283</v>
      </c>
      <c r="B28" t="s">
        <v>104</v>
      </c>
      <c r="C28" s="2" t="s">
        <v>213</v>
      </c>
      <c r="D28" s="24">
        <v>0.04</v>
      </c>
      <c r="E28" s="24">
        <v>0.1</v>
      </c>
      <c r="F28" s="24">
        <v>0.11</v>
      </c>
      <c r="G28" s="24">
        <v>0.14000000000000001</v>
      </c>
      <c r="H28" s="24">
        <v>0.2</v>
      </c>
      <c r="J28" s="24"/>
      <c r="K28" s="24"/>
      <c r="L28" s="24"/>
      <c r="M28" s="24"/>
      <c r="N28" s="24"/>
    </row>
    <row r="29" spans="1:14" x14ac:dyDescent="0.25">
      <c r="A29" t="s">
        <v>284</v>
      </c>
      <c r="B29" t="s">
        <v>104</v>
      </c>
      <c r="C29" s="2" t="s">
        <v>214</v>
      </c>
      <c r="D29" s="24">
        <v>0.05</v>
      </c>
      <c r="E29" s="24">
        <v>0.1</v>
      </c>
      <c r="F29" s="24">
        <v>0.11</v>
      </c>
      <c r="G29" s="24">
        <v>0.13</v>
      </c>
      <c r="H29" s="24">
        <v>0.17</v>
      </c>
      <c r="J29" s="24"/>
      <c r="K29" s="24"/>
      <c r="L29" s="24"/>
      <c r="M29" s="24"/>
      <c r="N29" s="24"/>
    </row>
    <row r="30" spans="1:14" x14ac:dyDescent="0.25">
      <c r="A30" t="s">
        <v>285</v>
      </c>
      <c r="B30" t="s">
        <v>104</v>
      </c>
      <c r="C30" s="2" t="s">
        <v>265</v>
      </c>
      <c r="D30" s="24">
        <v>0.06</v>
      </c>
      <c r="E30" s="24">
        <v>0.09</v>
      </c>
      <c r="F30" s="24">
        <v>0.11</v>
      </c>
      <c r="G30" s="24">
        <v>0.12</v>
      </c>
      <c r="H30" s="24">
        <v>0.16</v>
      </c>
      <c r="J30" s="24"/>
      <c r="K30" s="24"/>
      <c r="L30" s="24"/>
      <c r="M30" s="24"/>
      <c r="N30" s="24"/>
    </row>
    <row r="31" spans="1:14" x14ac:dyDescent="0.25">
      <c r="A31" t="s">
        <v>286</v>
      </c>
      <c r="B31" t="s">
        <v>104</v>
      </c>
      <c r="C31" s="2" t="s">
        <v>266</v>
      </c>
      <c r="D31" s="24">
        <v>7.0000000000000007E-2</v>
      </c>
      <c r="E31" s="24">
        <v>0.1</v>
      </c>
      <c r="F31" s="24">
        <v>0.11</v>
      </c>
      <c r="G31" s="24">
        <v>0.11</v>
      </c>
      <c r="H31" s="24">
        <v>0.14000000000000001</v>
      </c>
      <c r="J31" s="24"/>
      <c r="K31" s="24"/>
      <c r="L31" s="24"/>
      <c r="M31" s="24"/>
      <c r="N31" s="24"/>
    </row>
    <row r="32" spans="1:14" x14ac:dyDescent="0.25">
      <c r="A32" t="s">
        <v>287</v>
      </c>
      <c r="B32" t="s">
        <v>98</v>
      </c>
      <c r="C32" s="2" t="s">
        <v>212</v>
      </c>
      <c r="D32" s="24">
        <v>0.05</v>
      </c>
      <c r="E32" s="24">
        <v>0.08</v>
      </c>
      <c r="F32" s="24">
        <v>0.1</v>
      </c>
      <c r="G32" s="24">
        <v>0.12</v>
      </c>
      <c r="H32" s="24">
        <v>0.18</v>
      </c>
      <c r="J32" s="24"/>
      <c r="K32" s="24"/>
      <c r="L32" s="24"/>
      <c r="M32" s="24"/>
      <c r="N32" s="24"/>
    </row>
    <row r="33" spans="1:14" x14ac:dyDescent="0.25">
      <c r="A33" t="s">
        <v>288</v>
      </c>
      <c r="B33" t="s">
        <v>98</v>
      </c>
      <c r="C33" s="2" t="s">
        <v>213</v>
      </c>
      <c r="D33" s="24">
        <v>0.04</v>
      </c>
      <c r="E33" s="24">
        <v>0.08</v>
      </c>
      <c r="F33" s="24">
        <v>0.1</v>
      </c>
      <c r="G33" s="24">
        <v>0.11</v>
      </c>
      <c r="H33" s="24">
        <v>0.16</v>
      </c>
      <c r="J33" s="24"/>
      <c r="K33" s="24"/>
      <c r="L33" s="24"/>
      <c r="M33" s="24"/>
      <c r="N33" s="24"/>
    </row>
    <row r="34" spans="1:14" x14ac:dyDescent="0.25">
      <c r="A34" t="s">
        <v>289</v>
      </c>
      <c r="B34" t="s">
        <v>98</v>
      </c>
      <c r="C34" s="2" t="s">
        <v>214</v>
      </c>
      <c r="D34" s="24">
        <v>0.04</v>
      </c>
      <c r="E34" s="24">
        <v>0.08</v>
      </c>
      <c r="F34" s="24">
        <v>0.09</v>
      </c>
      <c r="G34" s="24">
        <v>0.11</v>
      </c>
      <c r="H34" s="24">
        <v>0.15</v>
      </c>
      <c r="J34" s="24"/>
      <c r="K34" s="24"/>
      <c r="L34" s="24"/>
      <c r="M34" s="24"/>
      <c r="N34" s="24"/>
    </row>
    <row r="35" spans="1:14" x14ac:dyDescent="0.25">
      <c r="A35" t="s">
        <v>290</v>
      </c>
      <c r="B35" t="s">
        <v>98</v>
      </c>
      <c r="C35" s="2" t="s">
        <v>265</v>
      </c>
      <c r="D35" s="24">
        <v>0.04</v>
      </c>
      <c r="E35" s="24">
        <v>0.08</v>
      </c>
      <c r="F35" s="24">
        <v>0.09</v>
      </c>
      <c r="G35" s="24">
        <v>0.11</v>
      </c>
      <c r="H35" s="24">
        <v>0.16</v>
      </c>
      <c r="J35" s="24"/>
      <c r="K35" s="24"/>
      <c r="L35" s="24"/>
      <c r="M35" s="24"/>
      <c r="N35" s="24"/>
    </row>
    <row r="36" spans="1:14" x14ac:dyDescent="0.25">
      <c r="A36" t="s">
        <v>291</v>
      </c>
      <c r="B36" t="s">
        <v>98</v>
      </c>
      <c r="C36" s="2" t="s">
        <v>266</v>
      </c>
      <c r="D36" s="24">
        <v>0.02</v>
      </c>
      <c r="E36" s="24">
        <v>0.06</v>
      </c>
      <c r="F36" s="24">
        <v>0.08</v>
      </c>
      <c r="G36" s="24">
        <v>0.1</v>
      </c>
      <c r="H36" s="24">
        <v>0.15</v>
      </c>
      <c r="J36" s="24"/>
      <c r="K36" s="24"/>
      <c r="L36" s="24"/>
      <c r="M36" s="24"/>
      <c r="N36" s="24"/>
    </row>
    <row r="37" spans="1:14" x14ac:dyDescent="0.25">
      <c r="A37" t="s">
        <v>292</v>
      </c>
      <c r="B37" t="s">
        <v>95</v>
      </c>
      <c r="C37" s="2" t="s">
        <v>212</v>
      </c>
      <c r="D37" s="24">
        <v>0.02</v>
      </c>
      <c r="E37" s="24">
        <v>0.08</v>
      </c>
      <c r="F37" s="24">
        <v>0.1</v>
      </c>
      <c r="G37" s="24">
        <v>0.13</v>
      </c>
      <c r="H37" s="24">
        <v>0.18</v>
      </c>
      <c r="J37" s="24"/>
      <c r="K37" s="24"/>
      <c r="L37" s="24"/>
      <c r="M37" s="24"/>
      <c r="N37" s="24"/>
    </row>
    <row r="38" spans="1:14" x14ac:dyDescent="0.25">
      <c r="A38" t="s">
        <v>293</v>
      </c>
      <c r="B38" t="s">
        <v>95</v>
      </c>
      <c r="C38" s="2" t="s">
        <v>213</v>
      </c>
      <c r="D38" s="24">
        <v>0.04</v>
      </c>
      <c r="E38" s="24">
        <v>0.08</v>
      </c>
      <c r="F38" s="24">
        <v>0.1</v>
      </c>
      <c r="G38" s="24">
        <v>0.12</v>
      </c>
      <c r="H38" s="24">
        <v>0.18</v>
      </c>
      <c r="J38" s="24"/>
      <c r="K38" s="24"/>
      <c r="L38" s="24"/>
      <c r="M38" s="24"/>
      <c r="N38" s="24"/>
    </row>
    <row r="39" spans="1:14" x14ac:dyDescent="0.25">
      <c r="A39" t="s">
        <v>294</v>
      </c>
      <c r="B39" t="s">
        <v>95</v>
      </c>
      <c r="C39" s="2" t="s">
        <v>214</v>
      </c>
      <c r="D39" s="24">
        <v>0.02</v>
      </c>
      <c r="E39" s="24">
        <v>0.08</v>
      </c>
      <c r="F39" s="24">
        <v>0.09</v>
      </c>
      <c r="G39" s="24">
        <v>0.12</v>
      </c>
      <c r="H39" s="24">
        <v>0.18</v>
      </c>
      <c r="J39" s="24"/>
      <c r="K39" s="24"/>
      <c r="L39" s="24"/>
      <c r="M39" s="24"/>
      <c r="N39" s="24"/>
    </row>
    <row r="40" spans="1:14" x14ac:dyDescent="0.25">
      <c r="A40" t="s">
        <v>295</v>
      </c>
      <c r="B40" t="s">
        <v>95</v>
      </c>
      <c r="C40" s="2" t="s">
        <v>265</v>
      </c>
      <c r="D40" s="24">
        <v>0.01</v>
      </c>
      <c r="E40" s="24">
        <v>7.0000000000000007E-2</v>
      </c>
      <c r="F40" s="24">
        <v>0.09</v>
      </c>
      <c r="G40" s="24">
        <v>0.11</v>
      </c>
      <c r="H40" s="24">
        <v>0.17</v>
      </c>
      <c r="J40" s="24"/>
      <c r="K40" s="24"/>
      <c r="L40" s="24"/>
      <c r="M40" s="24"/>
      <c r="N40" s="24"/>
    </row>
    <row r="41" spans="1:14" x14ac:dyDescent="0.25">
      <c r="A41" t="s">
        <v>296</v>
      </c>
      <c r="B41" t="s">
        <v>95</v>
      </c>
      <c r="C41" s="2" t="s">
        <v>266</v>
      </c>
      <c r="D41" s="24">
        <v>0.03</v>
      </c>
      <c r="E41" s="24">
        <v>7.0000000000000007E-2</v>
      </c>
      <c r="F41" s="24">
        <v>0.09</v>
      </c>
      <c r="G41" s="24">
        <v>0.11</v>
      </c>
      <c r="H41" s="24">
        <v>0.16</v>
      </c>
      <c r="J41" s="24"/>
      <c r="K41" s="24"/>
      <c r="L41" s="24"/>
      <c r="M41" s="24"/>
      <c r="N41" s="24"/>
    </row>
    <row r="42" spans="1:14" x14ac:dyDescent="0.25">
      <c r="A42" t="s">
        <v>297</v>
      </c>
      <c r="B42" t="s">
        <v>96</v>
      </c>
      <c r="C42" s="2" t="s">
        <v>212</v>
      </c>
      <c r="D42" s="24">
        <v>0.04</v>
      </c>
      <c r="E42" s="24">
        <v>0.1</v>
      </c>
      <c r="F42" s="24">
        <v>0.13</v>
      </c>
      <c r="G42" s="24">
        <v>0.16</v>
      </c>
      <c r="H42" s="24">
        <v>0.25</v>
      </c>
      <c r="J42" s="24"/>
      <c r="K42" s="24"/>
      <c r="L42" s="24"/>
      <c r="M42" s="24"/>
      <c r="N42" s="24"/>
    </row>
    <row r="43" spans="1:14" x14ac:dyDescent="0.25">
      <c r="A43" t="s">
        <v>298</v>
      </c>
      <c r="B43" t="s">
        <v>96</v>
      </c>
      <c r="C43" s="2" t="s">
        <v>213</v>
      </c>
      <c r="D43" s="24">
        <v>0.03</v>
      </c>
      <c r="E43" s="24">
        <v>0.11</v>
      </c>
      <c r="F43" s="24">
        <v>0.13</v>
      </c>
      <c r="G43" s="24">
        <v>0.16</v>
      </c>
      <c r="H43" s="24">
        <v>0.23</v>
      </c>
      <c r="J43" s="24"/>
      <c r="K43" s="24"/>
      <c r="L43" s="24"/>
      <c r="M43" s="24"/>
      <c r="N43" s="24"/>
    </row>
    <row r="44" spans="1:14" x14ac:dyDescent="0.25">
      <c r="A44" t="s">
        <v>299</v>
      </c>
      <c r="B44" t="s">
        <v>96</v>
      </c>
      <c r="C44" s="2" t="s">
        <v>214</v>
      </c>
      <c r="D44" s="24">
        <v>0.02</v>
      </c>
      <c r="E44" s="24">
        <v>0.09</v>
      </c>
      <c r="F44" s="24">
        <v>0.11</v>
      </c>
      <c r="G44" s="24">
        <v>0.14000000000000001</v>
      </c>
      <c r="H44" s="24">
        <v>0.2</v>
      </c>
      <c r="J44" s="24"/>
      <c r="K44" s="24"/>
      <c r="L44" s="24"/>
      <c r="M44" s="24"/>
      <c r="N44" s="24"/>
    </row>
    <row r="45" spans="1:14" x14ac:dyDescent="0.25">
      <c r="A45" t="s">
        <v>300</v>
      </c>
      <c r="B45" t="s">
        <v>96</v>
      </c>
      <c r="C45" s="2" t="s">
        <v>265</v>
      </c>
      <c r="D45" s="24">
        <v>0.03</v>
      </c>
      <c r="E45" s="24">
        <v>0.08</v>
      </c>
      <c r="F45" s="24">
        <v>0.11</v>
      </c>
      <c r="G45" s="24">
        <v>0.13</v>
      </c>
      <c r="H45" s="24">
        <v>0.2</v>
      </c>
      <c r="J45" s="24"/>
      <c r="K45" s="24"/>
      <c r="L45" s="24"/>
      <c r="M45" s="24"/>
      <c r="N45" s="24"/>
    </row>
    <row r="46" spans="1:14" x14ac:dyDescent="0.25">
      <c r="A46" t="s">
        <v>301</v>
      </c>
      <c r="B46" t="s">
        <v>96</v>
      </c>
      <c r="C46" s="2" t="s">
        <v>266</v>
      </c>
      <c r="D46" s="24">
        <v>0.03</v>
      </c>
      <c r="E46" s="24">
        <v>0.08</v>
      </c>
      <c r="F46" s="24">
        <v>0.11</v>
      </c>
      <c r="G46" s="24">
        <v>0.12</v>
      </c>
      <c r="H46" s="24">
        <v>0.19</v>
      </c>
      <c r="J46" s="24"/>
      <c r="K46" s="24"/>
      <c r="L46" s="24"/>
      <c r="M46" s="24"/>
      <c r="N46" s="24"/>
    </row>
    <row r="47" spans="1:14" x14ac:dyDescent="0.25">
      <c r="A47" t="s">
        <v>302</v>
      </c>
      <c r="B47" t="s">
        <v>101</v>
      </c>
      <c r="C47" s="2" t="s">
        <v>212</v>
      </c>
      <c r="D47" s="24">
        <v>0.04</v>
      </c>
      <c r="E47" s="24">
        <v>0.09</v>
      </c>
      <c r="F47" s="24">
        <v>0.1</v>
      </c>
      <c r="G47" s="24">
        <v>0.13</v>
      </c>
      <c r="H47" s="24">
        <v>0.18</v>
      </c>
      <c r="J47" s="24"/>
      <c r="K47" s="24"/>
      <c r="L47" s="24"/>
      <c r="M47" s="24"/>
      <c r="N47" s="24"/>
    </row>
    <row r="48" spans="1:14" x14ac:dyDescent="0.25">
      <c r="A48" t="s">
        <v>303</v>
      </c>
      <c r="B48" t="s">
        <v>101</v>
      </c>
      <c r="C48" s="2" t="s">
        <v>213</v>
      </c>
      <c r="D48" s="24">
        <v>0.04</v>
      </c>
      <c r="E48" s="24">
        <v>0.08</v>
      </c>
      <c r="F48" s="24">
        <v>0.1</v>
      </c>
      <c r="G48" s="24">
        <v>0.12</v>
      </c>
      <c r="H48" s="24">
        <v>0.18</v>
      </c>
      <c r="J48" s="24"/>
      <c r="K48" s="24"/>
      <c r="L48" s="24"/>
      <c r="M48" s="24"/>
      <c r="N48" s="24"/>
    </row>
    <row r="49" spans="1:14" x14ac:dyDescent="0.25">
      <c r="A49" t="s">
        <v>304</v>
      </c>
      <c r="B49" t="s">
        <v>101</v>
      </c>
      <c r="C49" s="2" t="s">
        <v>214</v>
      </c>
      <c r="D49" s="24">
        <v>0.04</v>
      </c>
      <c r="E49" s="24">
        <v>0.08</v>
      </c>
      <c r="F49" s="24">
        <v>0.09</v>
      </c>
      <c r="G49" s="24">
        <v>0.11</v>
      </c>
      <c r="H49" s="24">
        <v>0.15</v>
      </c>
      <c r="J49" s="24"/>
      <c r="K49" s="24"/>
      <c r="L49" s="24"/>
      <c r="M49" s="24"/>
      <c r="N49" s="24"/>
    </row>
    <row r="50" spans="1:14" x14ac:dyDescent="0.25">
      <c r="A50" t="s">
        <v>305</v>
      </c>
      <c r="B50" t="s">
        <v>101</v>
      </c>
      <c r="C50" s="2" t="s">
        <v>265</v>
      </c>
      <c r="D50" s="24">
        <v>0.04</v>
      </c>
      <c r="E50" s="24">
        <v>0.08</v>
      </c>
      <c r="F50" s="24">
        <v>0.09</v>
      </c>
      <c r="G50" s="24">
        <v>0.1</v>
      </c>
      <c r="H50" s="24">
        <v>0.15</v>
      </c>
      <c r="J50" s="24"/>
      <c r="K50" s="24"/>
      <c r="L50" s="24"/>
      <c r="M50" s="24"/>
      <c r="N50" s="24"/>
    </row>
    <row r="51" spans="1:14" x14ac:dyDescent="0.25">
      <c r="A51" t="s">
        <v>306</v>
      </c>
      <c r="B51" t="s">
        <v>101</v>
      </c>
      <c r="C51" s="2" t="s">
        <v>266</v>
      </c>
      <c r="D51" s="24">
        <v>0.03</v>
      </c>
      <c r="E51" s="24">
        <v>7.0000000000000007E-2</v>
      </c>
      <c r="F51" s="24">
        <v>0.08</v>
      </c>
      <c r="G51" s="24">
        <v>0.09</v>
      </c>
      <c r="H51" s="24">
        <v>0.13</v>
      </c>
      <c r="J51" s="24"/>
      <c r="K51" s="24"/>
      <c r="L51" s="24"/>
      <c r="M51" s="24"/>
      <c r="N51" s="24"/>
    </row>
    <row r="52" spans="1:14" x14ac:dyDescent="0.25">
      <c r="A52" t="s">
        <v>307</v>
      </c>
      <c r="B52" t="s">
        <v>97</v>
      </c>
      <c r="C52" s="2" t="s">
        <v>212</v>
      </c>
      <c r="D52" s="24">
        <v>0.04</v>
      </c>
      <c r="E52" s="24">
        <v>0.09</v>
      </c>
      <c r="F52" s="24">
        <v>0.1</v>
      </c>
      <c r="G52" s="24">
        <v>0.13</v>
      </c>
      <c r="H52" s="24">
        <v>0.17</v>
      </c>
      <c r="J52" s="24"/>
      <c r="K52" s="24"/>
      <c r="L52" s="24"/>
      <c r="M52" s="24"/>
      <c r="N52" s="24"/>
    </row>
    <row r="53" spans="1:14" x14ac:dyDescent="0.25">
      <c r="A53" t="s">
        <v>308</v>
      </c>
      <c r="B53" t="s">
        <v>97</v>
      </c>
      <c r="C53" s="2" t="s">
        <v>213</v>
      </c>
      <c r="D53" s="24">
        <v>0.05</v>
      </c>
      <c r="E53" s="24">
        <v>0.09</v>
      </c>
      <c r="F53" s="24">
        <v>0.1</v>
      </c>
      <c r="G53" s="24">
        <v>0.12</v>
      </c>
      <c r="H53" s="24">
        <v>0.16</v>
      </c>
      <c r="J53" s="24"/>
      <c r="K53" s="24"/>
      <c r="L53" s="24"/>
      <c r="M53" s="24"/>
      <c r="N53" s="24"/>
    </row>
    <row r="54" spans="1:14" x14ac:dyDescent="0.25">
      <c r="A54" t="s">
        <v>309</v>
      </c>
      <c r="B54" t="s">
        <v>97</v>
      </c>
      <c r="C54" s="2" t="s">
        <v>214</v>
      </c>
      <c r="D54" s="24">
        <v>0.04</v>
      </c>
      <c r="E54" s="24">
        <v>0.08</v>
      </c>
      <c r="F54" s="24">
        <v>0.1</v>
      </c>
      <c r="G54" s="24">
        <v>0.11</v>
      </c>
      <c r="H54" s="24">
        <v>0.16</v>
      </c>
      <c r="J54" s="24"/>
      <c r="K54" s="24"/>
      <c r="L54" s="24"/>
      <c r="M54" s="24"/>
      <c r="N54" s="24"/>
    </row>
    <row r="55" spans="1:14" x14ac:dyDescent="0.25">
      <c r="A55" t="s">
        <v>310</v>
      </c>
      <c r="B55" t="s">
        <v>97</v>
      </c>
      <c r="C55" s="2" t="s">
        <v>265</v>
      </c>
      <c r="D55" s="24">
        <v>0.02</v>
      </c>
      <c r="E55" s="24">
        <v>7.0000000000000007E-2</v>
      </c>
      <c r="F55" s="24">
        <v>0.09</v>
      </c>
      <c r="G55" s="24">
        <v>0.11</v>
      </c>
      <c r="H55" s="24">
        <v>0.16</v>
      </c>
      <c r="J55" s="24"/>
      <c r="K55" s="24"/>
      <c r="L55" s="24"/>
      <c r="M55" s="24"/>
      <c r="N55" s="24"/>
    </row>
    <row r="56" spans="1:14" x14ac:dyDescent="0.25">
      <c r="A56" t="s">
        <v>311</v>
      </c>
      <c r="B56" t="s">
        <v>97</v>
      </c>
      <c r="C56" s="2" t="s">
        <v>266</v>
      </c>
      <c r="D56" s="24">
        <v>0.03</v>
      </c>
      <c r="E56" s="24">
        <v>7.0000000000000007E-2</v>
      </c>
      <c r="F56" s="24">
        <v>0.08</v>
      </c>
      <c r="G56" s="24">
        <v>0.1</v>
      </c>
      <c r="H56" s="24">
        <v>0.15</v>
      </c>
      <c r="J56" s="24"/>
      <c r="K56" s="24"/>
      <c r="L56" s="24"/>
      <c r="M56" s="24"/>
      <c r="N56" s="24"/>
    </row>
    <row r="57" spans="1:14" x14ac:dyDescent="0.25">
      <c r="A57" t="s">
        <v>312</v>
      </c>
      <c r="B57" t="s">
        <v>93</v>
      </c>
      <c r="C57" s="2" t="s">
        <v>212</v>
      </c>
      <c r="D57" s="24">
        <v>0.04</v>
      </c>
      <c r="E57" s="24">
        <v>0.08</v>
      </c>
      <c r="F57" s="24">
        <v>0.1</v>
      </c>
      <c r="G57" s="24">
        <v>0.12</v>
      </c>
      <c r="H57" s="24">
        <v>0.17</v>
      </c>
      <c r="J57" s="24"/>
      <c r="K57" s="24"/>
      <c r="L57" s="24"/>
      <c r="M57" s="24"/>
      <c r="N57" s="24"/>
    </row>
    <row r="58" spans="1:14" x14ac:dyDescent="0.25">
      <c r="A58" t="s">
        <v>313</v>
      </c>
      <c r="B58" t="s">
        <v>93</v>
      </c>
      <c r="C58" s="2" t="s">
        <v>213</v>
      </c>
      <c r="D58" s="24">
        <v>0.04</v>
      </c>
      <c r="E58" s="24">
        <v>0.08</v>
      </c>
      <c r="F58" s="24">
        <v>0.1</v>
      </c>
      <c r="G58" s="24">
        <v>0.11</v>
      </c>
      <c r="H58" s="24">
        <v>0.15</v>
      </c>
      <c r="J58" s="24"/>
      <c r="K58" s="24"/>
      <c r="L58" s="24"/>
      <c r="M58" s="24"/>
      <c r="N58" s="24"/>
    </row>
    <row r="59" spans="1:14" x14ac:dyDescent="0.25">
      <c r="A59" t="s">
        <v>314</v>
      </c>
      <c r="B59" t="s">
        <v>93</v>
      </c>
      <c r="C59" s="2" t="s">
        <v>214</v>
      </c>
      <c r="D59" s="24">
        <v>0.05</v>
      </c>
      <c r="E59" s="24">
        <v>0.08</v>
      </c>
      <c r="F59" s="24">
        <v>0.09</v>
      </c>
      <c r="G59" s="24">
        <v>0.1</v>
      </c>
      <c r="H59" s="24">
        <v>0.14000000000000001</v>
      </c>
      <c r="J59" s="24"/>
      <c r="K59" s="24"/>
      <c r="L59" s="24"/>
      <c r="M59" s="24"/>
      <c r="N59" s="24"/>
    </row>
    <row r="60" spans="1:14" x14ac:dyDescent="0.25">
      <c r="A60" t="s">
        <v>315</v>
      </c>
      <c r="B60" t="s">
        <v>93</v>
      </c>
      <c r="C60" s="2" t="s">
        <v>265</v>
      </c>
      <c r="D60" s="24">
        <v>0.03</v>
      </c>
      <c r="E60" s="24">
        <v>7.0000000000000007E-2</v>
      </c>
      <c r="F60" s="24">
        <v>0.08</v>
      </c>
      <c r="G60" s="24">
        <v>0.1</v>
      </c>
      <c r="H60" s="24">
        <v>0.14000000000000001</v>
      </c>
      <c r="J60" s="24"/>
      <c r="K60" s="24"/>
      <c r="L60" s="24"/>
      <c r="M60" s="24"/>
      <c r="N60" s="24"/>
    </row>
    <row r="61" spans="1:14" x14ac:dyDescent="0.25">
      <c r="A61" t="s">
        <v>316</v>
      </c>
      <c r="B61" t="s">
        <v>93</v>
      </c>
      <c r="C61" s="2" t="s">
        <v>266</v>
      </c>
      <c r="D61" s="24">
        <v>0.02</v>
      </c>
      <c r="E61" s="24">
        <v>0.06</v>
      </c>
      <c r="F61" s="24">
        <v>0.08</v>
      </c>
      <c r="G61" s="24">
        <v>0.09</v>
      </c>
      <c r="H61" s="24">
        <v>0.14000000000000001</v>
      </c>
      <c r="J61" s="24"/>
      <c r="K61" s="24"/>
      <c r="L61" s="24"/>
      <c r="M61" s="24"/>
      <c r="N61" s="24"/>
    </row>
    <row r="62" spans="1:14" x14ac:dyDescent="0.25">
      <c r="A62" t="s">
        <v>317</v>
      </c>
      <c r="B62" t="s">
        <v>105</v>
      </c>
      <c r="C62" s="2" t="s">
        <v>212</v>
      </c>
      <c r="D62" s="24">
        <v>0.03</v>
      </c>
      <c r="E62" s="24">
        <v>7.0000000000000007E-2</v>
      </c>
      <c r="F62" s="24">
        <v>0.08</v>
      </c>
      <c r="G62" s="24">
        <v>0.11</v>
      </c>
      <c r="H62" s="24">
        <v>0.17</v>
      </c>
      <c r="J62" s="24"/>
      <c r="K62" s="24"/>
      <c r="L62" s="24"/>
      <c r="M62" s="24"/>
      <c r="N62" s="24"/>
    </row>
    <row r="63" spans="1:14" x14ac:dyDescent="0.25">
      <c r="A63" t="s">
        <v>318</v>
      </c>
      <c r="B63" t="s">
        <v>105</v>
      </c>
      <c r="C63" s="2" t="s">
        <v>213</v>
      </c>
      <c r="D63" s="24">
        <v>0.03</v>
      </c>
      <c r="E63" s="24">
        <v>0.06</v>
      </c>
      <c r="F63" s="24">
        <v>0.08</v>
      </c>
      <c r="G63" s="24">
        <v>0.1</v>
      </c>
      <c r="H63" s="24">
        <v>0.15</v>
      </c>
      <c r="J63" s="24"/>
      <c r="K63" s="24"/>
      <c r="L63" s="24"/>
      <c r="M63" s="24"/>
      <c r="N63" s="24"/>
    </row>
    <row r="64" spans="1:14" x14ac:dyDescent="0.25">
      <c r="A64" t="s">
        <v>319</v>
      </c>
      <c r="B64" t="s">
        <v>105</v>
      </c>
      <c r="C64" s="2" t="s">
        <v>214</v>
      </c>
      <c r="D64" s="24">
        <v>0.02</v>
      </c>
      <c r="E64" s="24">
        <v>0.06</v>
      </c>
      <c r="F64" s="24">
        <v>0.08</v>
      </c>
      <c r="G64" s="24">
        <v>0.1</v>
      </c>
      <c r="H64" s="24">
        <v>0.16</v>
      </c>
      <c r="J64" s="24"/>
      <c r="K64" s="24"/>
      <c r="L64" s="24"/>
      <c r="M64" s="24"/>
      <c r="N64" s="24"/>
    </row>
    <row r="65" spans="1:14" x14ac:dyDescent="0.25">
      <c r="A65" t="s">
        <v>320</v>
      </c>
      <c r="B65" t="s">
        <v>105</v>
      </c>
      <c r="C65" s="2" t="s">
        <v>265</v>
      </c>
      <c r="D65" s="24">
        <v>0.02</v>
      </c>
      <c r="E65" s="24">
        <v>0.05</v>
      </c>
      <c r="F65" s="24">
        <v>0.09</v>
      </c>
      <c r="G65" s="24">
        <v>0.1</v>
      </c>
      <c r="H65" s="24">
        <v>0.17</v>
      </c>
      <c r="J65" s="24"/>
      <c r="K65" s="24"/>
      <c r="L65" s="24"/>
      <c r="M65" s="24"/>
      <c r="N65" s="24"/>
    </row>
    <row r="66" spans="1:14" x14ac:dyDescent="0.25">
      <c r="A66" t="s">
        <v>321</v>
      </c>
      <c r="B66" t="s">
        <v>105</v>
      </c>
      <c r="C66" s="2" t="s">
        <v>266</v>
      </c>
      <c r="D66" s="24">
        <v>0.01</v>
      </c>
      <c r="E66" s="24">
        <v>0.06</v>
      </c>
      <c r="F66" s="24">
        <v>0.08</v>
      </c>
      <c r="G66" s="24">
        <v>0.1</v>
      </c>
      <c r="H66" s="24">
        <v>0.15</v>
      </c>
      <c r="J66" s="24"/>
      <c r="K66" s="24"/>
      <c r="L66" s="24"/>
      <c r="M66" s="24"/>
      <c r="N66" s="24"/>
    </row>
    <row r="67" spans="1:14" x14ac:dyDescent="0.25">
      <c r="A67" t="s">
        <v>322</v>
      </c>
      <c r="B67" t="s">
        <v>92</v>
      </c>
      <c r="C67" s="2" t="s">
        <v>212</v>
      </c>
      <c r="D67" s="24">
        <v>0.04</v>
      </c>
      <c r="E67" s="24">
        <v>0.08</v>
      </c>
      <c r="F67" s="24">
        <v>0.1</v>
      </c>
      <c r="G67" s="24">
        <v>0.12</v>
      </c>
      <c r="H67" s="24">
        <v>0.17</v>
      </c>
      <c r="J67" s="24"/>
      <c r="K67" s="24"/>
      <c r="L67" s="24"/>
      <c r="M67" s="24"/>
      <c r="N67" s="24"/>
    </row>
    <row r="68" spans="1:14" x14ac:dyDescent="0.25">
      <c r="A68" t="s">
        <v>323</v>
      </c>
      <c r="B68" t="s">
        <v>92</v>
      </c>
      <c r="C68" s="2" t="s">
        <v>213</v>
      </c>
      <c r="D68" s="24">
        <v>0.04</v>
      </c>
      <c r="E68" s="24">
        <v>0.08</v>
      </c>
      <c r="F68" s="24">
        <v>0.09</v>
      </c>
      <c r="G68" s="24">
        <v>0.11</v>
      </c>
      <c r="H68" s="24">
        <v>0.15</v>
      </c>
      <c r="J68" s="24"/>
      <c r="K68" s="24"/>
      <c r="L68" s="24"/>
      <c r="M68" s="24"/>
      <c r="N68" s="24"/>
    </row>
    <row r="69" spans="1:14" x14ac:dyDescent="0.25">
      <c r="A69" t="s">
        <v>324</v>
      </c>
      <c r="B69" t="s">
        <v>92</v>
      </c>
      <c r="C69" s="2" t="s">
        <v>214</v>
      </c>
      <c r="D69" s="24">
        <v>0.03</v>
      </c>
      <c r="E69" s="24">
        <v>7.0000000000000007E-2</v>
      </c>
      <c r="F69" s="24">
        <v>0.09</v>
      </c>
      <c r="G69" s="24">
        <v>0.1</v>
      </c>
      <c r="H69" s="24">
        <v>0.15</v>
      </c>
      <c r="J69" s="24"/>
      <c r="K69" s="24"/>
      <c r="L69" s="24"/>
      <c r="M69" s="24"/>
      <c r="N69" s="24"/>
    </row>
    <row r="70" spans="1:14" x14ac:dyDescent="0.25">
      <c r="A70" t="s">
        <v>325</v>
      </c>
      <c r="B70" t="s">
        <v>92</v>
      </c>
      <c r="C70" s="2" t="s">
        <v>265</v>
      </c>
      <c r="D70" s="24">
        <v>0.03</v>
      </c>
      <c r="E70" s="24">
        <v>0.08</v>
      </c>
      <c r="F70" s="24">
        <v>0.09</v>
      </c>
      <c r="G70" s="24">
        <v>0.1</v>
      </c>
      <c r="H70" s="24">
        <v>0.15</v>
      </c>
      <c r="J70" s="24"/>
      <c r="K70" s="24"/>
      <c r="L70" s="24"/>
      <c r="M70" s="24"/>
      <c r="N70" s="24"/>
    </row>
    <row r="71" spans="1:14" x14ac:dyDescent="0.25">
      <c r="A71" t="s">
        <v>326</v>
      </c>
      <c r="B71" t="s">
        <v>92</v>
      </c>
      <c r="C71" s="2" t="s">
        <v>266</v>
      </c>
      <c r="D71" s="24">
        <v>0.02</v>
      </c>
      <c r="E71" s="24">
        <v>0.06</v>
      </c>
      <c r="F71" s="24">
        <v>0.08</v>
      </c>
      <c r="G71" s="24">
        <v>0.09</v>
      </c>
      <c r="H71" s="24">
        <v>0.14000000000000001</v>
      </c>
      <c r="J71" s="24"/>
      <c r="K71" s="24"/>
      <c r="L71" s="24"/>
      <c r="M71" s="24"/>
      <c r="N71" s="24"/>
    </row>
    <row r="72" spans="1:14" x14ac:dyDescent="0.25">
      <c r="A72" t="s">
        <v>327</v>
      </c>
      <c r="B72" t="s">
        <v>91</v>
      </c>
      <c r="C72" s="2" t="s">
        <v>212</v>
      </c>
      <c r="D72" s="24">
        <v>0.01</v>
      </c>
      <c r="E72" s="24">
        <v>7.0000000000000007E-2</v>
      </c>
      <c r="F72" s="24">
        <v>0.08</v>
      </c>
      <c r="G72" s="24">
        <v>0.11</v>
      </c>
      <c r="H72" s="24">
        <v>0.17</v>
      </c>
      <c r="J72" s="24"/>
      <c r="K72" s="24"/>
      <c r="L72" s="24"/>
      <c r="M72" s="24"/>
      <c r="N72" s="24"/>
    </row>
    <row r="73" spans="1:14" x14ac:dyDescent="0.25">
      <c r="A73" t="s">
        <v>328</v>
      </c>
      <c r="B73" t="s">
        <v>91</v>
      </c>
      <c r="C73" s="2" t="s">
        <v>213</v>
      </c>
      <c r="D73" s="24">
        <v>0.03</v>
      </c>
      <c r="E73" s="24">
        <v>7.0000000000000007E-2</v>
      </c>
      <c r="F73" s="24">
        <v>0.09</v>
      </c>
      <c r="G73" s="24">
        <v>0.11</v>
      </c>
      <c r="H73" s="24">
        <v>0.15</v>
      </c>
      <c r="J73" s="24"/>
      <c r="K73" s="24"/>
      <c r="L73" s="24"/>
      <c r="M73" s="24"/>
      <c r="N73" s="24"/>
    </row>
    <row r="74" spans="1:14" x14ac:dyDescent="0.25">
      <c r="A74" t="s">
        <v>329</v>
      </c>
      <c r="B74" t="s">
        <v>91</v>
      </c>
      <c r="C74" s="2" t="s">
        <v>214</v>
      </c>
      <c r="D74" s="24">
        <v>0.03</v>
      </c>
      <c r="E74" s="24">
        <v>0.06</v>
      </c>
      <c r="F74" s="24">
        <v>0.08</v>
      </c>
      <c r="G74" s="24">
        <v>0.1</v>
      </c>
      <c r="H74" s="24">
        <v>0.15</v>
      </c>
      <c r="J74" s="24"/>
      <c r="K74" s="24"/>
      <c r="L74" s="24"/>
      <c r="M74" s="24"/>
      <c r="N74" s="24"/>
    </row>
    <row r="75" spans="1:14" x14ac:dyDescent="0.25">
      <c r="A75" t="s">
        <v>330</v>
      </c>
      <c r="B75" t="s">
        <v>91</v>
      </c>
      <c r="C75" s="2" t="s">
        <v>265</v>
      </c>
      <c r="D75" s="24">
        <v>0.02</v>
      </c>
      <c r="E75" s="24">
        <v>0.06</v>
      </c>
      <c r="F75" s="24">
        <v>7.0000000000000007E-2</v>
      </c>
      <c r="G75" s="24">
        <v>0.09</v>
      </c>
      <c r="H75" s="24">
        <v>0.14000000000000001</v>
      </c>
      <c r="J75" s="24"/>
      <c r="K75" s="24"/>
      <c r="L75" s="24"/>
      <c r="M75" s="24"/>
      <c r="N75" s="24"/>
    </row>
    <row r="76" spans="1:14" x14ac:dyDescent="0.25">
      <c r="A76" t="s">
        <v>331</v>
      </c>
      <c r="B76" t="s">
        <v>91</v>
      </c>
      <c r="C76" s="2" t="s">
        <v>266</v>
      </c>
      <c r="D76" s="24">
        <v>0.01</v>
      </c>
      <c r="E76" s="24">
        <v>0.04</v>
      </c>
      <c r="F76" s="24">
        <v>0.06</v>
      </c>
      <c r="G76" s="24">
        <v>0.08</v>
      </c>
      <c r="H76" s="24">
        <v>0.13</v>
      </c>
      <c r="J76" s="24"/>
      <c r="K76" s="24"/>
      <c r="L76" s="24"/>
      <c r="M76" s="24"/>
      <c r="N76" s="24"/>
    </row>
    <row r="77" spans="1:14" x14ac:dyDescent="0.25">
      <c r="A77" t="s">
        <v>332</v>
      </c>
      <c r="B77" t="s">
        <v>90</v>
      </c>
      <c r="C77" s="2" t="s">
        <v>212</v>
      </c>
      <c r="D77" s="24">
        <v>0.02</v>
      </c>
      <c r="E77" s="24">
        <v>0.06</v>
      </c>
      <c r="F77" s="24">
        <v>7.0000000000000007E-2</v>
      </c>
      <c r="G77" s="24">
        <v>0.09</v>
      </c>
      <c r="H77" s="24">
        <v>0.13</v>
      </c>
      <c r="J77" s="24"/>
      <c r="K77" s="24"/>
      <c r="L77" s="24"/>
      <c r="M77" s="24"/>
      <c r="N77" s="24"/>
    </row>
    <row r="78" spans="1:14" x14ac:dyDescent="0.25">
      <c r="A78" t="s">
        <v>333</v>
      </c>
      <c r="B78" t="s">
        <v>90</v>
      </c>
      <c r="C78" s="2" t="s">
        <v>213</v>
      </c>
      <c r="D78" s="24">
        <v>0.01</v>
      </c>
      <c r="E78" s="24">
        <v>0.05</v>
      </c>
      <c r="F78" s="24">
        <v>7.0000000000000007E-2</v>
      </c>
      <c r="G78" s="24">
        <v>0.08</v>
      </c>
      <c r="H78" s="24">
        <v>0.13</v>
      </c>
      <c r="J78" s="24"/>
      <c r="K78" s="24"/>
      <c r="L78" s="24"/>
      <c r="M78" s="24"/>
      <c r="N78" s="24"/>
    </row>
    <row r="79" spans="1:14" x14ac:dyDescent="0.25">
      <c r="A79" t="s">
        <v>334</v>
      </c>
      <c r="B79" t="s">
        <v>90</v>
      </c>
      <c r="C79" s="2" t="s">
        <v>214</v>
      </c>
      <c r="D79" s="24">
        <v>0.01</v>
      </c>
      <c r="E79" s="24">
        <v>0.05</v>
      </c>
      <c r="F79" s="24">
        <v>7.0000000000000007E-2</v>
      </c>
      <c r="G79" s="24">
        <v>0.08</v>
      </c>
      <c r="H79" s="24">
        <v>0.12</v>
      </c>
      <c r="J79" s="24"/>
      <c r="K79" s="24"/>
      <c r="L79" s="24"/>
      <c r="M79" s="24"/>
      <c r="N79" s="24"/>
    </row>
    <row r="80" spans="1:14" x14ac:dyDescent="0.25">
      <c r="A80" t="s">
        <v>335</v>
      </c>
      <c r="B80" t="s">
        <v>90</v>
      </c>
      <c r="C80" s="2" t="s">
        <v>265</v>
      </c>
      <c r="D80" s="24">
        <v>0.01</v>
      </c>
      <c r="E80" s="24">
        <v>0.04</v>
      </c>
      <c r="F80" s="24">
        <v>0.06</v>
      </c>
      <c r="G80" s="24">
        <v>7.0000000000000007E-2</v>
      </c>
      <c r="H80" s="24">
        <v>0.11</v>
      </c>
      <c r="J80" s="24"/>
      <c r="K80" s="24"/>
      <c r="L80" s="24"/>
      <c r="M80" s="24"/>
      <c r="N80" s="24"/>
    </row>
    <row r="81" spans="1:14" x14ac:dyDescent="0.25">
      <c r="A81" t="s">
        <v>336</v>
      </c>
      <c r="B81" t="s">
        <v>90</v>
      </c>
      <c r="C81" s="2" t="s">
        <v>266</v>
      </c>
      <c r="D81" s="24">
        <v>0</v>
      </c>
      <c r="E81" s="24">
        <v>0.04</v>
      </c>
      <c r="F81" s="24">
        <v>0.05</v>
      </c>
      <c r="G81" s="24">
        <v>7.0000000000000007E-2</v>
      </c>
      <c r="H81" s="24">
        <v>0.1</v>
      </c>
      <c r="J81" s="24"/>
      <c r="K81" s="24"/>
      <c r="L81" s="24"/>
      <c r="M81" s="24"/>
      <c r="N81" s="24"/>
    </row>
    <row r="82" spans="1:14" x14ac:dyDescent="0.25">
      <c r="A82" t="s">
        <v>337</v>
      </c>
      <c r="B82" t="s">
        <v>89</v>
      </c>
      <c r="C82" s="2" t="s">
        <v>212</v>
      </c>
      <c r="D82" s="24">
        <v>0.02</v>
      </c>
      <c r="E82" s="24">
        <v>7.0000000000000007E-2</v>
      </c>
      <c r="F82" s="24">
        <v>0.09</v>
      </c>
      <c r="G82" s="24">
        <v>0.11</v>
      </c>
      <c r="H82" s="24">
        <v>0.17</v>
      </c>
      <c r="J82" s="24"/>
      <c r="K82" s="24"/>
      <c r="L82" s="24"/>
      <c r="M82" s="24"/>
      <c r="N82" s="24"/>
    </row>
    <row r="83" spans="1:14" x14ac:dyDescent="0.25">
      <c r="A83" t="s">
        <v>338</v>
      </c>
      <c r="B83" t="s">
        <v>89</v>
      </c>
      <c r="C83" s="2" t="s">
        <v>213</v>
      </c>
      <c r="D83" s="24">
        <v>0.03</v>
      </c>
      <c r="E83" s="24">
        <v>7.0000000000000007E-2</v>
      </c>
      <c r="F83" s="24">
        <v>0.09</v>
      </c>
      <c r="G83" s="24">
        <v>0.1</v>
      </c>
      <c r="H83" s="24">
        <v>0.15</v>
      </c>
      <c r="J83" s="24"/>
      <c r="K83" s="24"/>
      <c r="L83" s="24"/>
      <c r="M83" s="24"/>
      <c r="N83" s="24"/>
    </row>
    <row r="84" spans="1:14" x14ac:dyDescent="0.25">
      <c r="A84" t="s">
        <v>339</v>
      </c>
      <c r="B84" t="s">
        <v>89</v>
      </c>
      <c r="C84" s="2" t="s">
        <v>214</v>
      </c>
      <c r="D84" s="24">
        <v>0.03</v>
      </c>
      <c r="E84" s="24">
        <v>0.06</v>
      </c>
      <c r="F84" s="24">
        <v>0.08</v>
      </c>
      <c r="G84" s="24">
        <v>0.1</v>
      </c>
      <c r="H84" s="24">
        <v>0.16</v>
      </c>
      <c r="J84" s="24"/>
      <c r="K84" s="24"/>
      <c r="L84" s="24"/>
      <c r="M84" s="24"/>
      <c r="N84" s="24"/>
    </row>
    <row r="85" spans="1:14" x14ac:dyDescent="0.25">
      <c r="A85" t="s">
        <v>340</v>
      </c>
      <c r="B85" t="s">
        <v>89</v>
      </c>
      <c r="C85" s="2" t="s">
        <v>265</v>
      </c>
      <c r="D85" s="24">
        <v>0.01</v>
      </c>
      <c r="E85" s="24">
        <v>0.06</v>
      </c>
      <c r="F85" s="24">
        <v>0.08</v>
      </c>
      <c r="G85" s="24">
        <v>0.09</v>
      </c>
      <c r="H85" s="24">
        <v>0.14000000000000001</v>
      </c>
      <c r="J85" s="24"/>
      <c r="K85" s="24"/>
      <c r="L85" s="24"/>
      <c r="M85" s="24"/>
      <c r="N85" s="24"/>
    </row>
    <row r="86" spans="1:14" x14ac:dyDescent="0.25">
      <c r="A86" t="s">
        <v>341</v>
      </c>
      <c r="B86" t="s">
        <v>89</v>
      </c>
      <c r="C86" s="2" t="s">
        <v>266</v>
      </c>
      <c r="D86" s="24">
        <v>0.01</v>
      </c>
      <c r="E86" s="24">
        <v>0.05</v>
      </c>
      <c r="F86" s="24">
        <v>7.0000000000000007E-2</v>
      </c>
      <c r="G86" s="24">
        <v>0.09</v>
      </c>
      <c r="H86" s="24">
        <v>0.14000000000000001</v>
      </c>
      <c r="J86" s="24"/>
      <c r="K86" s="24"/>
      <c r="L86" s="24"/>
      <c r="M86" s="24"/>
      <c r="N86" s="24"/>
    </row>
    <row r="87" spans="1:14" x14ac:dyDescent="0.25">
      <c r="A87" t="s">
        <v>342</v>
      </c>
      <c r="B87" t="s">
        <v>94</v>
      </c>
      <c r="C87" s="2" t="s">
        <v>212</v>
      </c>
      <c r="D87" s="24">
        <v>0.01</v>
      </c>
      <c r="E87" s="24">
        <v>0.09</v>
      </c>
      <c r="F87" s="24">
        <v>0.12</v>
      </c>
      <c r="G87" s="24">
        <v>0.15</v>
      </c>
      <c r="H87" s="24">
        <v>0.24</v>
      </c>
      <c r="J87" s="24"/>
      <c r="K87" s="24"/>
      <c r="L87" s="24"/>
      <c r="M87" s="24"/>
      <c r="N87" s="24"/>
    </row>
    <row r="88" spans="1:14" x14ac:dyDescent="0.25">
      <c r="A88" t="s">
        <v>343</v>
      </c>
      <c r="B88" t="s">
        <v>94</v>
      </c>
      <c r="C88" s="2" t="s">
        <v>213</v>
      </c>
      <c r="D88" s="24">
        <v>0.05</v>
      </c>
      <c r="E88" s="24">
        <v>0.11</v>
      </c>
      <c r="F88" s="24">
        <v>0.13</v>
      </c>
      <c r="G88" s="24">
        <v>0.15</v>
      </c>
      <c r="H88" s="24">
        <v>0.21</v>
      </c>
      <c r="J88" s="24"/>
      <c r="K88" s="24"/>
      <c r="L88" s="24"/>
      <c r="M88" s="24"/>
      <c r="N88" s="24"/>
    </row>
    <row r="89" spans="1:14" x14ac:dyDescent="0.25">
      <c r="A89" t="s">
        <v>344</v>
      </c>
      <c r="B89" t="s">
        <v>94</v>
      </c>
      <c r="C89" s="2" t="s">
        <v>214</v>
      </c>
      <c r="D89" s="24">
        <v>0.04</v>
      </c>
      <c r="E89" s="24">
        <v>0.1</v>
      </c>
      <c r="F89" s="24">
        <v>0.12</v>
      </c>
      <c r="G89" s="24">
        <v>0.15</v>
      </c>
      <c r="H89" s="24">
        <v>0.21</v>
      </c>
      <c r="J89" s="24"/>
      <c r="K89" s="24"/>
      <c r="L89" s="24"/>
      <c r="M89" s="24"/>
      <c r="N89" s="24"/>
    </row>
    <row r="90" spans="1:14" x14ac:dyDescent="0.25">
      <c r="A90" t="s">
        <v>345</v>
      </c>
      <c r="B90" t="s">
        <v>94</v>
      </c>
      <c r="C90" s="2" t="s">
        <v>265</v>
      </c>
      <c r="D90" s="24">
        <v>0.05</v>
      </c>
      <c r="E90" s="24">
        <v>0.1</v>
      </c>
      <c r="F90" s="24">
        <v>0.12</v>
      </c>
      <c r="G90" s="24">
        <v>0.14000000000000001</v>
      </c>
      <c r="H90" s="24">
        <v>0.2</v>
      </c>
      <c r="J90" s="24"/>
      <c r="K90" s="24"/>
      <c r="L90" s="24"/>
      <c r="M90" s="24"/>
      <c r="N90" s="24"/>
    </row>
    <row r="91" spans="1:14" x14ac:dyDescent="0.25">
      <c r="A91" t="s">
        <v>346</v>
      </c>
      <c r="B91" t="s">
        <v>94</v>
      </c>
      <c r="C91" s="2" t="s">
        <v>266</v>
      </c>
      <c r="D91" s="24">
        <v>0.02</v>
      </c>
      <c r="E91" s="24">
        <v>7.0000000000000007E-2</v>
      </c>
      <c r="F91" s="24">
        <v>0.08</v>
      </c>
      <c r="G91" s="24">
        <v>0.1</v>
      </c>
      <c r="H91" s="24">
        <v>0.13</v>
      </c>
      <c r="J91" s="24"/>
      <c r="K91" s="24"/>
      <c r="L91" s="24"/>
      <c r="M91" s="24"/>
      <c r="N91" s="24"/>
    </row>
    <row r="92" spans="1:14" x14ac:dyDescent="0.25">
      <c r="A92" t="s">
        <v>347</v>
      </c>
      <c r="B92" t="s">
        <v>86</v>
      </c>
      <c r="C92" s="2" t="s">
        <v>212</v>
      </c>
      <c r="D92" s="24">
        <v>0.05</v>
      </c>
      <c r="E92" s="24">
        <v>0.08</v>
      </c>
      <c r="F92" s="24">
        <v>0.1</v>
      </c>
      <c r="G92" s="24">
        <v>0.12</v>
      </c>
      <c r="H92" s="24">
        <v>0.17</v>
      </c>
      <c r="J92" s="24"/>
      <c r="K92" s="24"/>
      <c r="L92" s="24"/>
      <c r="M92" s="24"/>
      <c r="N92" s="24"/>
    </row>
    <row r="93" spans="1:14" x14ac:dyDescent="0.25">
      <c r="A93" t="s">
        <v>348</v>
      </c>
      <c r="B93" t="s">
        <v>86</v>
      </c>
      <c r="C93" s="2" t="s">
        <v>213</v>
      </c>
      <c r="D93" s="24">
        <v>0.03</v>
      </c>
      <c r="E93" s="24">
        <v>0.08</v>
      </c>
      <c r="F93" s="24">
        <v>0.1</v>
      </c>
      <c r="G93" s="24">
        <v>0.12</v>
      </c>
      <c r="H93" s="24">
        <v>0.17</v>
      </c>
      <c r="J93" s="24"/>
      <c r="K93" s="24"/>
      <c r="L93" s="24"/>
      <c r="M93" s="24"/>
      <c r="N93" s="24"/>
    </row>
    <row r="94" spans="1:14" x14ac:dyDescent="0.25">
      <c r="A94" t="s">
        <v>349</v>
      </c>
      <c r="B94" t="s">
        <v>86</v>
      </c>
      <c r="C94" s="2" t="s">
        <v>214</v>
      </c>
      <c r="D94" s="24">
        <v>0.03</v>
      </c>
      <c r="E94" s="24">
        <v>0.08</v>
      </c>
      <c r="F94" s="24">
        <v>0.1</v>
      </c>
      <c r="G94" s="24">
        <v>0.11</v>
      </c>
      <c r="H94" s="24">
        <v>0.16</v>
      </c>
      <c r="J94" s="24"/>
      <c r="K94" s="24"/>
      <c r="L94" s="24"/>
      <c r="M94" s="24"/>
      <c r="N94" s="24"/>
    </row>
    <row r="95" spans="1:14" x14ac:dyDescent="0.25">
      <c r="A95" t="s">
        <v>350</v>
      </c>
      <c r="B95" t="s">
        <v>86</v>
      </c>
      <c r="C95" s="2" t="s">
        <v>265</v>
      </c>
      <c r="D95" s="24">
        <v>0.02</v>
      </c>
      <c r="E95" s="24">
        <v>0.06</v>
      </c>
      <c r="F95" s="24">
        <v>0.08</v>
      </c>
      <c r="G95" s="24">
        <v>0.11</v>
      </c>
      <c r="H95" s="24">
        <v>0.18</v>
      </c>
      <c r="J95" s="24"/>
      <c r="K95" s="24"/>
      <c r="L95" s="24"/>
      <c r="M95" s="24"/>
      <c r="N95" s="24"/>
    </row>
    <row r="96" spans="1:14" x14ac:dyDescent="0.25">
      <c r="A96" t="s">
        <v>351</v>
      </c>
      <c r="B96" t="s">
        <v>86</v>
      </c>
      <c r="C96" s="2" t="s">
        <v>266</v>
      </c>
      <c r="D96" s="24">
        <v>0.02</v>
      </c>
      <c r="E96" s="24">
        <v>7.0000000000000007E-2</v>
      </c>
      <c r="F96" s="24">
        <v>0.08</v>
      </c>
      <c r="G96" s="24">
        <v>0.1</v>
      </c>
      <c r="H96" s="24">
        <v>0.13</v>
      </c>
      <c r="J96" s="24"/>
      <c r="K96" s="24"/>
      <c r="L96" s="24"/>
      <c r="M96" s="24"/>
      <c r="N96" s="24"/>
    </row>
    <row r="97" spans="1:14" x14ac:dyDescent="0.25">
      <c r="A97" t="s">
        <v>352</v>
      </c>
      <c r="B97" t="s">
        <v>88</v>
      </c>
      <c r="C97" s="2" t="s">
        <v>212</v>
      </c>
      <c r="D97" s="24">
        <v>0.01</v>
      </c>
      <c r="E97" s="24">
        <v>0.06</v>
      </c>
      <c r="F97" s="24">
        <v>0.08</v>
      </c>
      <c r="G97" s="24">
        <v>0.1</v>
      </c>
      <c r="H97" s="24">
        <v>0.15</v>
      </c>
      <c r="J97" s="24"/>
      <c r="K97" s="24"/>
      <c r="L97" s="24"/>
      <c r="M97" s="24"/>
      <c r="N97" s="24"/>
    </row>
    <row r="98" spans="1:14" x14ac:dyDescent="0.25">
      <c r="A98" t="s">
        <v>353</v>
      </c>
      <c r="B98" t="s">
        <v>88</v>
      </c>
      <c r="C98" s="2" t="s">
        <v>213</v>
      </c>
      <c r="D98" s="24">
        <v>0.01</v>
      </c>
      <c r="E98" s="24">
        <v>0.05</v>
      </c>
      <c r="F98" s="24">
        <v>7.0000000000000007E-2</v>
      </c>
      <c r="G98" s="24">
        <v>0.09</v>
      </c>
      <c r="H98" s="24">
        <v>0.14000000000000001</v>
      </c>
      <c r="J98" s="24"/>
      <c r="K98" s="24"/>
      <c r="L98" s="24"/>
      <c r="M98" s="24"/>
      <c r="N98" s="24"/>
    </row>
    <row r="99" spans="1:14" x14ac:dyDescent="0.25">
      <c r="A99" t="s">
        <v>354</v>
      </c>
      <c r="B99" t="s">
        <v>88</v>
      </c>
      <c r="C99" s="2" t="s">
        <v>214</v>
      </c>
      <c r="D99" s="24">
        <v>0.01</v>
      </c>
      <c r="E99" s="24">
        <v>0.05</v>
      </c>
      <c r="F99" s="24">
        <v>7.0000000000000007E-2</v>
      </c>
      <c r="G99" s="24">
        <v>0.08</v>
      </c>
      <c r="H99" s="24">
        <v>0.12</v>
      </c>
      <c r="J99" s="24"/>
      <c r="K99" s="24"/>
      <c r="L99" s="24"/>
      <c r="M99" s="24"/>
      <c r="N99" s="24"/>
    </row>
    <row r="100" spans="1:14" x14ac:dyDescent="0.25">
      <c r="A100" t="s">
        <v>355</v>
      </c>
      <c r="B100" t="s">
        <v>88</v>
      </c>
      <c r="C100" s="2" t="s">
        <v>265</v>
      </c>
      <c r="D100" s="24">
        <v>0.01</v>
      </c>
      <c r="E100" s="24">
        <v>0.05</v>
      </c>
      <c r="F100" s="24">
        <v>0.06</v>
      </c>
      <c r="G100" s="24">
        <v>0.08</v>
      </c>
      <c r="H100" s="24">
        <v>0.13</v>
      </c>
      <c r="J100" s="24"/>
      <c r="K100" s="24"/>
      <c r="L100" s="24"/>
      <c r="M100" s="24"/>
      <c r="N100" s="24"/>
    </row>
    <row r="101" spans="1:14" x14ac:dyDescent="0.25">
      <c r="A101" t="s">
        <v>356</v>
      </c>
      <c r="B101" t="s">
        <v>88</v>
      </c>
      <c r="C101" s="2" t="s">
        <v>266</v>
      </c>
      <c r="D101" s="24">
        <v>0</v>
      </c>
      <c r="E101" s="24">
        <v>0.03</v>
      </c>
      <c r="F101" s="24">
        <v>0.05</v>
      </c>
      <c r="G101" s="24">
        <v>7.0000000000000007E-2</v>
      </c>
      <c r="H101" s="24">
        <v>0.12</v>
      </c>
      <c r="J101" s="24"/>
      <c r="K101" s="24"/>
      <c r="L101" s="24"/>
      <c r="M101" s="24"/>
      <c r="N101" s="24"/>
    </row>
    <row r="102" spans="1:14" x14ac:dyDescent="0.25">
      <c r="A102" t="s">
        <v>357</v>
      </c>
      <c r="B102" t="s">
        <v>87</v>
      </c>
      <c r="C102" s="2" t="s">
        <v>212</v>
      </c>
      <c r="D102" s="24">
        <v>0</v>
      </c>
      <c r="E102" s="24">
        <v>0.06</v>
      </c>
      <c r="F102" s="24">
        <v>0.09</v>
      </c>
      <c r="G102" s="24">
        <v>0.1</v>
      </c>
      <c r="H102" s="24">
        <v>0.16</v>
      </c>
      <c r="J102" s="24"/>
      <c r="K102" s="24"/>
      <c r="L102" s="24"/>
      <c r="M102" s="24"/>
      <c r="N102" s="24"/>
    </row>
    <row r="103" spans="1:14" x14ac:dyDescent="0.25">
      <c r="A103" t="s">
        <v>358</v>
      </c>
      <c r="B103" t="s">
        <v>87</v>
      </c>
      <c r="C103" s="2" t="s">
        <v>213</v>
      </c>
      <c r="D103" s="24">
        <v>0.01</v>
      </c>
      <c r="E103" s="24">
        <v>0.06</v>
      </c>
      <c r="F103" s="24">
        <v>0.08</v>
      </c>
      <c r="G103" s="24">
        <v>0.1</v>
      </c>
      <c r="H103" s="24">
        <v>0.16</v>
      </c>
      <c r="J103" s="24"/>
      <c r="K103" s="24"/>
      <c r="L103" s="24"/>
      <c r="M103" s="24"/>
      <c r="N103" s="24"/>
    </row>
    <row r="104" spans="1:14" x14ac:dyDescent="0.25">
      <c r="A104" t="s">
        <v>359</v>
      </c>
      <c r="B104" t="s">
        <v>87</v>
      </c>
      <c r="C104" s="2" t="s">
        <v>214</v>
      </c>
      <c r="D104" s="24">
        <v>0.01</v>
      </c>
      <c r="E104" s="24">
        <v>0.05</v>
      </c>
      <c r="F104" s="24">
        <v>0.08</v>
      </c>
      <c r="G104" s="24">
        <v>0.1</v>
      </c>
      <c r="H104" s="24">
        <v>0.14000000000000001</v>
      </c>
      <c r="J104" s="24"/>
      <c r="K104" s="24"/>
      <c r="L104" s="24"/>
      <c r="M104" s="24"/>
      <c r="N104" s="24"/>
    </row>
    <row r="105" spans="1:14" x14ac:dyDescent="0.25">
      <c r="A105" t="s">
        <v>360</v>
      </c>
      <c r="B105" t="s">
        <v>87</v>
      </c>
      <c r="C105" s="2" t="s">
        <v>265</v>
      </c>
      <c r="D105" s="24">
        <v>0.01</v>
      </c>
      <c r="E105" s="24">
        <v>0.05</v>
      </c>
      <c r="F105" s="24">
        <v>7.0000000000000007E-2</v>
      </c>
      <c r="G105" s="24">
        <v>0.1</v>
      </c>
      <c r="H105" s="24">
        <v>0.15</v>
      </c>
      <c r="J105" s="24"/>
      <c r="K105" s="24"/>
      <c r="L105" s="24"/>
      <c r="M105" s="24"/>
      <c r="N105" s="24"/>
    </row>
    <row r="106" spans="1:14" x14ac:dyDescent="0.25">
      <c r="A106" t="s">
        <v>361</v>
      </c>
      <c r="B106" t="s">
        <v>87</v>
      </c>
      <c r="C106" s="2" t="s">
        <v>266</v>
      </c>
      <c r="D106" s="24">
        <v>0.01</v>
      </c>
      <c r="E106" s="24">
        <v>0.03</v>
      </c>
      <c r="F106" s="24">
        <v>7.0000000000000007E-2</v>
      </c>
      <c r="G106" s="24">
        <v>0.09</v>
      </c>
      <c r="H106" s="24">
        <v>0.17</v>
      </c>
      <c r="J106" s="24"/>
      <c r="K106" s="24"/>
      <c r="L106" s="24"/>
      <c r="M106" s="24"/>
      <c r="N106" s="24"/>
    </row>
    <row r="107" spans="1:14" x14ac:dyDescent="0.25">
      <c r="A107" t="s">
        <v>362</v>
      </c>
      <c r="B107" t="s">
        <v>253</v>
      </c>
      <c r="C107" s="2" t="s">
        <v>212</v>
      </c>
      <c r="D107" s="24"/>
      <c r="E107" s="24"/>
      <c r="F107" s="24"/>
      <c r="G107" s="24"/>
      <c r="H107" s="24"/>
    </row>
    <row r="108" spans="1:14" x14ac:dyDescent="0.25">
      <c r="A108" t="s">
        <v>363</v>
      </c>
      <c r="B108" t="s">
        <v>253</v>
      </c>
      <c r="C108" s="2" t="s">
        <v>213</v>
      </c>
      <c r="D108" s="24"/>
      <c r="E108" s="24"/>
      <c r="F108" s="24"/>
      <c r="G108" s="24"/>
      <c r="H108" s="24"/>
    </row>
    <row r="109" spans="1:14" x14ac:dyDescent="0.25">
      <c r="A109" t="s">
        <v>364</v>
      </c>
      <c r="B109" t="s">
        <v>253</v>
      </c>
      <c r="C109" s="2" t="s">
        <v>214</v>
      </c>
      <c r="D109" s="24"/>
      <c r="E109" s="24"/>
      <c r="F109" s="24"/>
      <c r="G109" s="24"/>
      <c r="H109" s="24"/>
    </row>
    <row r="110" spans="1:14" x14ac:dyDescent="0.25">
      <c r="A110" t="s">
        <v>365</v>
      </c>
      <c r="B110" t="s">
        <v>253</v>
      </c>
      <c r="C110" s="2" t="s">
        <v>265</v>
      </c>
      <c r="D110" s="24"/>
      <c r="E110" s="24"/>
      <c r="F110" s="24"/>
      <c r="G110" s="24"/>
      <c r="H110" s="24"/>
    </row>
    <row r="111" spans="1:14" x14ac:dyDescent="0.25">
      <c r="A111" t="s">
        <v>366</v>
      </c>
      <c r="B111" t="s">
        <v>253</v>
      </c>
      <c r="C111" s="2" t="s">
        <v>266</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242</v>
      </c>
      <c r="B1" t="s">
        <v>252</v>
      </c>
      <c r="C1" s="2" t="s">
        <v>913</v>
      </c>
      <c r="D1" s="2" t="s">
        <v>216</v>
      </c>
      <c r="E1" s="2"/>
      <c r="F1" s="2" t="s">
        <v>215</v>
      </c>
    </row>
    <row r="2" spans="1:14" x14ac:dyDescent="0.25">
      <c r="A2" t="s">
        <v>267</v>
      </c>
      <c r="B2" t="s">
        <v>99</v>
      </c>
      <c r="C2" s="2" t="s">
        <v>212</v>
      </c>
      <c r="D2" s="24">
        <v>0</v>
      </c>
      <c r="E2" s="24">
        <v>0.1</v>
      </c>
      <c r="F2" s="24">
        <v>0.14000000000000001</v>
      </c>
      <c r="G2" s="24"/>
      <c r="H2" s="24"/>
      <c r="I2" s="24"/>
      <c r="J2" s="24"/>
      <c r="L2" s="24"/>
      <c r="M2" s="24"/>
      <c r="N2" s="24"/>
    </row>
    <row r="3" spans="1:14" x14ac:dyDescent="0.25">
      <c r="A3" t="s">
        <v>268</v>
      </c>
      <c r="B3" t="s">
        <v>99</v>
      </c>
      <c r="C3" s="2" t="s">
        <v>213</v>
      </c>
      <c r="D3" s="24">
        <v>0</v>
      </c>
      <c r="E3" s="24">
        <v>0.08</v>
      </c>
      <c r="F3" s="24">
        <v>0.13</v>
      </c>
      <c r="G3" s="24"/>
      <c r="H3" s="24"/>
      <c r="I3" s="24"/>
      <c r="J3" s="24"/>
      <c r="L3" s="24"/>
      <c r="M3" s="24"/>
      <c r="N3" s="24"/>
    </row>
    <row r="4" spans="1:14" x14ac:dyDescent="0.25">
      <c r="A4" t="s">
        <v>269</v>
      </c>
      <c r="B4" t="s">
        <v>99</v>
      </c>
      <c r="C4" s="2" t="s">
        <v>214</v>
      </c>
      <c r="D4" s="24">
        <v>0</v>
      </c>
      <c r="E4" s="24">
        <v>0.08</v>
      </c>
      <c r="F4" s="24">
        <v>0.11</v>
      </c>
      <c r="G4" s="24"/>
      <c r="H4" s="24"/>
      <c r="I4" s="24"/>
      <c r="J4" s="24"/>
      <c r="L4" s="24"/>
      <c r="M4" s="24"/>
      <c r="N4" s="24"/>
    </row>
    <row r="5" spans="1:14" x14ac:dyDescent="0.25">
      <c r="A5" t="s">
        <v>270</v>
      </c>
      <c r="B5" t="s">
        <v>99</v>
      </c>
      <c r="C5" s="2" t="s">
        <v>265</v>
      </c>
      <c r="D5" s="24">
        <v>0</v>
      </c>
      <c r="E5" s="24">
        <v>7.0000000000000007E-2</v>
      </c>
      <c r="F5" s="24">
        <v>0.1</v>
      </c>
      <c r="G5" s="24"/>
      <c r="H5" s="24"/>
      <c r="I5" s="24"/>
      <c r="J5" s="24"/>
      <c r="L5" s="24"/>
      <c r="M5" s="24"/>
      <c r="N5" s="24"/>
    </row>
    <row r="6" spans="1:14" x14ac:dyDescent="0.25">
      <c r="A6" t="s">
        <v>271</v>
      </c>
      <c r="B6" t="s">
        <v>99</v>
      </c>
      <c r="C6" s="2" t="s">
        <v>266</v>
      </c>
      <c r="D6" s="24">
        <v>0</v>
      </c>
      <c r="E6" s="24">
        <v>0.06</v>
      </c>
      <c r="F6" s="24">
        <v>0.09</v>
      </c>
      <c r="G6" s="24"/>
      <c r="H6" s="24"/>
      <c r="I6" s="24"/>
      <c r="J6" s="24"/>
      <c r="L6" s="24"/>
      <c r="M6" s="24"/>
      <c r="N6" s="24"/>
    </row>
    <row r="7" spans="1:14" x14ac:dyDescent="0.25">
      <c r="A7" t="s">
        <v>1333</v>
      </c>
      <c r="B7" t="s">
        <v>103</v>
      </c>
      <c r="C7" s="2" t="s">
        <v>212</v>
      </c>
      <c r="D7" s="24">
        <v>0</v>
      </c>
      <c r="E7" s="24">
        <v>7.0000000000000007E-2</v>
      </c>
      <c r="F7" s="24">
        <v>0.1</v>
      </c>
      <c r="G7" s="24"/>
      <c r="H7" s="24"/>
      <c r="I7" s="24"/>
      <c r="J7" s="24"/>
      <c r="L7" s="24"/>
      <c r="M7" s="24"/>
      <c r="N7" s="24"/>
    </row>
    <row r="8" spans="1:14" x14ac:dyDescent="0.25">
      <c r="A8" t="s">
        <v>1329</v>
      </c>
      <c r="B8" t="s">
        <v>103</v>
      </c>
      <c r="C8" s="2" t="s">
        <v>213</v>
      </c>
      <c r="D8" s="24">
        <v>0</v>
      </c>
      <c r="E8" s="24">
        <v>7.0000000000000007E-2</v>
      </c>
      <c r="F8" s="24">
        <v>0.09</v>
      </c>
      <c r="G8" s="24"/>
      <c r="H8" s="24"/>
      <c r="I8" s="24"/>
      <c r="J8" s="24"/>
      <c r="L8" s="24"/>
      <c r="M8" s="24"/>
      <c r="N8" s="24"/>
    </row>
    <row r="9" spans="1:14" x14ac:dyDescent="0.25">
      <c r="A9" t="s">
        <v>1330</v>
      </c>
      <c r="B9" t="s">
        <v>103</v>
      </c>
      <c r="C9" s="2" t="s">
        <v>214</v>
      </c>
      <c r="D9" s="24">
        <v>0</v>
      </c>
      <c r="E9" s="24">
        <v>0.06</v>
      </c>
      <c r="F9" s="24">
        <v>0.08</v>
      </c>
      <c r="G9" s="24"/>
      <c r="H9" s="24"/>
      <c r="I9" s="24"/>
      <c r="J9" s="24"/>
      <c r="L9" s="24"/>
      <c r="M9" s="24"/>
      <c r="N9" s="24"/>
    </row>
    <row r="10" spans="1:14" x14ac:dyDescent="0.25">
      <c r="A10" t="s">
        <v>1331</v>
      </c>
      <c r="B10" t="s">
        <v>103</v>
      </c>
      <c r="C10" s="2" t="s">
        <v>265</v>
      </c>
      <c r="D10" s="24">
        <v>0</v>
      </c>
      <c r="E10" s="24">
        <v>0.05</v>
      </c>
      <c r="F10" s="24">
        <v>7.0000000000000007E-2</v>
      </c>
      <c r="G10" s="24"/>
      <c r="H10" s="24"/>
      <c r="I10" s="24"/>
      <c r="J10" s="24"/>
      <c r="L10" s="24"/>
      <c r="M10" s="24"/>
      <c r="N10" s="24"/>
    </row>
    <row r="11" spans="1:14" x14ac:dyDescent="0.25">
      <c r="A11" t="s">
        <v>1332</v>
      </c>
      <c r="B11" t="s">
        <v>103</v>
      </c>
      <c r="C11" s="2" t="s">
        <v>266</v>
      </c>
      <c r="D11" s="24">
        <v>0</v>
      </c>
      <c r="E11" s="24">
        <v>0.04</v>
      </c>
      <c r="F11" s="24">
        <v>0.06</v>
      </c>
      <c r="G11" s="24"/>
      <c r="H11" s="24"/>
      <c r="I11" s="24"/>
      <c r="J11" s="24"/>
      <c r="L11" s="24"/>
      <c r="M11" s="24"/>
      <c r="N11" s="24"/>
    </row>
    <row r="12" spans="1:14" x14ac:dyDescent="0.25">
      <c r="A12" t="s">
        <v>1338</v>
      </c>
      <c r="B12" t="s">
        <v>1296</v>
      </c>
      <c r="C12" s="2" t="s">
        <v>212</v>
      </c>
      <c r="D12" s="24">
        <v>0</v>
      </c>
      <c r="E12" s="24">
        <v>7.0000000000000007E-2</v>
      </c>
      <c r="F12" s="24">
        <v>0.09</v>
      </c>
      <c r="G12" s="24"/>
      <c r="H12" s="24"/>
      <c r="I12" s="24"/>
      <c r="J12" s="24"/>
      <c r="L12" s="24"/>
      <c r="M12" s="24"/>
      <c r="N12" s="24"/>
    </row>
    <row r="13" spans="1:14" x14ac:dyDescent="0.25">
      <c r="A13" t="s">
        <v>1334</v>
      </c>
      <c r="B13" t="s">
        <v>1296</v>
      </c>
      <c r="C13" s="2" t="s">
        <v>213</v>
      </c>
      <c r="D13" s="24">
        <v>0</v>
      </c>
      <c r="E13" s="24">
        <v>7.0000000000000007E-2</v>
      </c>
      <c r="F13" s="24">
        <v>0.08</v>
      </c>
      <c r="G13" s="24"/>
      <c r="H13" s="24"/>
      <c r="I13" s="24"/>
      <c r="J13" s="24"/>
      <c r="L13" s="24"/>
      <c r="M13" s="24"/>
      <c r="N13" s="24"/>
    </row>
    <row r="14" spans="1:14" x14ac:dyDescent="0.25">
      <c r="A14" t="s">
        <v>1335</v>
      </c>
      <c r="B14" t="s">
        <v>1296</v>
      </c>
      <c r="C14" s="2" t="s">
        <v>214</v>
      </c>
      <c r="D14" s="24">
        <v>0</v>
      </c>
      <c r="E14" s="24">
        <v>0.06</v>
      </c>
      <c r="F14" s="24">
        <v>7.0000000000000007E-2</v>
      </c>
      <c r="G14" s="24"/>
      <c r="H14" s="24"/>
      <c r="I14" s="24"/>
      <c r="J14" s="24"/>
      <c r="L14" s="24"/>
      <c r="M14" s="24"/>
      <c r="N14" s="24"/>
    </row>
    <row r="15" spans="1:14" x14ac:dyDescent="0.25">
      <c r="A15" t="s">
        <v>1336</v>
      </c>
      <c r="B15" t="s">
        <v>1296</v>
      </c>
      <c r="C15" s="2" t="s">
        <v>265</v>
      </c>
      <c r="D15" s="24">
        <v>0</v>
      </c>
      <c r="E15" s="24">
        <v>0.05</v>
      </c>
      <c r="F15" s="24">
        <v>0.06</v>
      </c>
      <c r="G15" s="24"/>
      <c r="H15" s="24"/>
      <c r="I15" s="24"/>
      <c r="J15" s="24"/>
      <c r="L15" s="24"/>
      <c r="M15" s="24"/>
      <c r="N15" s="24"/>
    </row>
    <row r="16" spans="1:14" x14ac:dyDescent="0.25">
      <c r="A16" t="s">
        <v>1337</v>
      </c>
      <c r="B16" t="s">
        <v>1296</v>
      </c>
      <c r="C16" s="2" t="s">
        <v>266</v>
      </c>
      <c r="D16" s="24">
        <v>0</v>
      </c>
      <c r="E16" s="24">
        <v>0.05</v>
      </c>
      <c r="F16" s="24">
        <v>0.05</v>
      </c>
      <c r="G16" s="24"/>
      <c r="H16" s="24"/>
      <c r="I16" s="24"/>
      <c r="J16" s="24"/>
      <c r="L16" s="24"/>
      <c r="M16" s="24"/>
      <c r="N16" s="24"/>
    </row>
    <row r="17" spans="1:14" x14ac:dyDescent="0.25">
      <c r="A17" t="s">
        <v>272</v>
      </c>
      <c r="B17" t="s">
        <v>102</v>
      </c>
      <c r="C17" s="2" t="s">
        <v>212</v>
      </c>
      <c r="D17" s="24">
        <v>0</v>
      </c>
      <c r="E17" s="24">
        <v>0.13</v>
      </c>
      <c r="F17" s="24">
        <v>0.18</v>
      </c>
      <c r="G17" s="24"/>
      <c r="H17" s="24"/>
      <c r="I17" s="24"/>
      <c r="J17" s="24"/>
      <c r="L17" s="24"/>
      <c r="M17" s="24"/>
      <c r="N17" s="24"/>
    </row>
    <row r="18" spans="1:14" x14ac:dyDescent="0.25">
      <c r="A18" t="s">
        <v>273</v>
      </c>
      <c r="B18" t="s">
        <v>102</v>
      </c>
      <c r="C18" s="2" t="s">
        <v>213</v>
      </c>
      <c r="D18" s="24">
        <v>0</v>
      </c>
      <c r="E18" s="24">
        <v>0.12</v>
      </c>
      <c r="F18" s="24">
        <v>0.17</v>
      </c>
      <c r="G18" s="24"/>
      <c r="H18" s="24"/>
      <c r="I18" s="24"/>
      <c r="J18" s="24"/>
      <c r="L18" s="24"/>
      <c r="M18" s="24"/>
      <c r="N18" s="24"/>
    </row>
    <row r="19" spans="1:14" x14ac:dyDescent="0.25">
      <c r="A19" t="s">
        <v>274</v>
      </c>
      <c r="B19" t="s">
        <v>102</v>
      </c>
      <c r="C19" s="2" t="s">
        <v>214</v>
      </c>
      <c r="D19" s="24">
        <v>0</v>
      </c>
      <c r="E19" s="24">
        <v>0.09</v>
      </c>
      <c r="F19" s="24">
        <v>0.13</v>
      </c>
      <c r="G19" s="24"/>
      <c r="H19" s="24"/>
      <c r="I19" s="24"/>
      <c r="J19" s="24"/>
      <c r="L19" s="24"/>
      <c r="M19" s="24"/>
      <c r="N19" s="24"/>
    </row>
    <row r="20" spans="1:14" x14ac:dyDescent="0.25">
      <c r="A20" t="s">
        <v>275</v>
      </c>
      <c r="B20" t="s">
        <v>102</v>
      </c>
      <c r="C20" s="2" t="s">
        <v>265</v>
      </c>
      <c r="D20" s="24">
        <v>0</v>
      </c>
      <c r="E20" s="24">
        <v>7.0000000000000007E-2</v>
      </c>
      <c r="F20" s="24">
        <v>0.11</v>
      </c>
      <c r="G20" s="24"/>
      <c r="H20" s="24"/>
      <c r="I20" s="24"/>
      <c r="J20" s="24"/>
      <c r="L20" s="24"/>
      <c r="M20" s="24"/>
      <c r="N20" s="24"/>
    </row>
    <row r="21" spans="1:14" x14ac:dyDescent="0.25">
      <c r="A21" t="s">
        <v>276</v>
      </c>
      <c r="B21" t="s">
        <v>102</v>
      </c>
      <c r="C21" s="2" t="s">
        <v>266</v>
      </c>
      <c r="D21" s="24">
        <v>0</v>
      </c>
      <c r="E21" s="24">
        <v>0.06</v>
      </c>
      <c r="F21" s="24">
        <v>0.09</v>
      </c>
      <c r="G21" s="24"/>
      <c r="H21" s="24"/>
      <c r="I21" s="24"/>
      <c r="J21" s="24"/>
      <c r="L21" s="24"/>
      <c r="M21" s="24"/>
      <c r="N21" s="24"/>
    </row>
    <row r="22" spans="1:14" x14ac:dyDescent="0.25">
      <c r="A22" t="s">
        <v>277</v>
      </c>
      <c r="B22" t="s">
        <v>100</v>
      </c>
      <c r="C22" s="2" t="s">
        <v>212</v>
      </c>
      <c r="D22" s="24">
        <v>0</v>
      </c>
      <c r="E22" s="24">
        <v>0.13</v>
      </c>
      <c r="F22" s="24">
        <v>0.18</v>
      </c>
      <c r="G22" s="24"/>
      <c r="H22" s="24"/>
      <c r="I22" s="24"/>
      <c r="J22" s="24"/>
      <c r="L22" s="24"/>
      <c r="M22" s="24"/>
      <c r="N22" s="24"/>
    </row>
    <row r="23" spans="1:14" x14ac:dyDescent="0.25">
      <c r="A23" t="s">
        <v>278</v>
      </c>
      <c r="B23" t="s">
        <v>100</v>
      </c>
      <c r="C23" s="2" t="s">
        <v>213</v>
      </c>
      <c r="D23" s="24">
        <v>0</v>
      </c>
      <c r="E23" s="24">
        <v>0.12</v>
      </c>
      <c r="F23" s="24">
        <v>0.17</v>
      </c>
      <c r="G23" s="24"/>
      <c r="H23" s="24"/>
      <c r="I23" s="24"/>
      <c r="J23" s="24"/>
      <c r="L23" s="24"/>
      <c r="M23" s="24"/>
      <c r="N23" s="24"/>
    </row>
    <row r="24" spans="1:14" x14ac:dyDescent="0.25">
      <c r="A24" t="s">
        <v>279</v>
      </c>
      <c r="B24" t="s">
        <v>100</v>
      </c>
      <c r="C24" s="2" t="s">
        <v>214</v>
      </c>
      <c r="D24" s="24">
        <v>0</v>
      </c>
      <c r="E24" s="24">
        <v>0.1</v>
      </c>
      <c r="F24" s="24">
        <v>0.16</v>
      </c>
      <c r="G24" s="24"/>
      <c r="H24" s="24"/>
      <c r="I24" s="24"/>
      <c r="J24" s="24"/>
      <c r="L24" s="24"/>
      <c r="M24" s="24"/>
      <c r="N24" s="24"/>
    </row>
    <row r="25" spans="1:14" x14ac:dyDescent="0.25">
      <c r="A25" t="s">
        <v>280</v>
      </c>
      <c r="B25" t="s">
        <v>100</v>
      </c>
      <c r="C25" s="2" t="s">
        <v>265</v>
      </c>
      <c r="D25" s="24">
        <v>0</v>
      </c>
      <c r="E25" s="24">
        <v>7.0000000000000007E-2</v>
      </c>
      <c r="F25" s="24">
        <v>0.11</v>
      </c>
      <c r="G25" s="24"/>
      <c r="H25" s="24"/>
      <c r="I25" s="24"/>
      <c r="J25" s="24"/>
      <c r="L25" s="24"/>
      <c r="M25" s="24"/>
      <c r="N25" s="24"/>
    </row>
    <row r="26" spans="1:14" x14ac:dyDescent="0.25">
      <c r="A26" t="s">
        <v>281</v>
      </c>
      <c r="B26" t="s">
        <v>100</v>
      </c>
      <c r="C26" s="2" t="s">
        <v>266</v>
      </c>
      <c r="D26" s="24">
        <v>0</v>
      </c>
      <c r="E26" s="24">
        <v>0.06</v>
      </c>
      <c r="F26" s="24">
        <v>0.08</v>
      </c>
      <c r="G26" s="24"/>
      <c r="H26" s="24"/>
      <c r="I26" s="24"/>
      <c r="J26" s="24"/>
      <c r="L26" s="24"/>
      <c r="M26" s="24"/>
      <c r="N26" s="24"/>
    </row>
    <row r="27" spans="1:14" x14ac:dyDescent="0.25">
      <c r="A27" t="s">
        <v>282</v>
      </c>
      <c r="B27" t="s">
        <v>104</v>
      </c>
      <c r="C27" s="2" t="s">
        <v>212</v>
      </c>
      <c r="D27" s="24">
        <v>0</v>
      </c>
      <c r="E27" s="24">
        <v>0.15</v>
      </c>
      <c r="F27" s="24">
        <v>0.18</v>
      </c>
      <c r="G27" s="24"/>
      <c r="H27" s="24"/>
      <c r="I27" s="24"/>
      <c r="J27" s="24"/>
      <c r="L27" s="24"/>
      <c r="M27" s="24"/>
      <c r="N27" s="24"/>
    </row>
    <row r="28" spans="1:14" x14ac:dyDescent="0.25">
      <c r="A28" t="s">
        <v>283</v>
      </c>
      <c r="B28" t="s">
        <v>104</v>
      </c>
      <c r="C28" s="2" t="s">
        <v>213</v>
      </c>
      <c r="D28" s="24">
        <v>0</v>
      </c>
      <c r="E28" s="24">
        <v>0.13</v>
      </c>
      <c r="F28" s="24">
        <v>0.18</v>
      </c>
      <c r="G28" s="24"/>
      <c r="H28" s="24"/>
      <c r="I28" s="24"/>
      <c r="J28" s="24"/>
      <c r="L28" s="24"/>
      <c r="M28" s="24"/>
      <c r="N28" s="24"/>
    </row>
    <row r="29" spans="1:14" x14ac:dyDescent="0.25">
      <c r="A29" t="s">
        <v>284</v>
      </c>
      <c r="B29" t="s">
        <v>104</v>
      </c>
      <c r="C29" s="2" t="s">
        <v>214</v>
      </c>
      <c r="D29" s="24">
        <v>0</v>
      </c>
      <c r="E29" s="24">
        <v>0.12</v>
      </c>
      <c r="F29" s="24">
        <v>0.16</v>
      </c>
      <c r="G29" s="24"/>
      <c r="H29" s="24"/>
      <c r="I29" s="24"/>
      <c r="J29" s="24"/>
      <c r="L29" s="24"/>
      <c r="M29" s="24"/>
      <c r="N29" s="24"/>
    </row>
    <row r="30" spans="1:14" x14ac:dyDescent="0.25">
      <c r="A30" t="s">
        <v>285</v>
      </c>
      <c r="B30" t="s">
        <v>104</v>
      </c>
      <c r="C30" s="2" t="s">
        <v>265</v>
      </c>
      <c r="D30" s="24">
        <v>0</v>
      </c>
      <c r="E30" s="24">
        <v>0.12</v>
      </c>
      <c r="F30" s="24">
        <v>0.15</v>
      </c>
      <c r="G30" s="24"/>
      <c r="H30" s="24"/>
      <c r="I30" s="24"/>
      <c r="J30" s="24"/>
      <c r="L30" s="24"/>
      <c r="M30" s="24"/>
      <c r="N30" s="24"/>
    </row>
    <row r="31" spans="1:14" x14ac:dyDescent="0.25">
      <c r="A31" t="s">
        <v>286</v>
      </c>
      <c r="B31" t="s">
        <v>104</v>
      </c>
      <c r="C31" s="2" t="s">
        <v>266</v>
      </c>
      <c r="D31" s="24">
        <v>0</v>
      </c>
      <c r="E31" s="24">
        <v>0.11</v>
      </c>
      <c r="F31" s="24">
        <v>0.12</v>
      </c>
      <c r="G31" s="24"/>
      <c r="H31" s="24"/>
      <c r="I31" s="24"/>
      <c r="J31" s="24"/>
      <c r="L31" s="24"/>
      <c r="M31" s="24"/>
      <c r="N31" s="24"/>
    </row>
    <row r="32" spans="1:14" x14ac:dyDescent="0.25">
      <c r="A32" t="s">
        <v>287</v>
      </c>
      <c r="B32" t="s">
        <v>98</v>
      </c>
      <c r="C32" s="2" t="s">
        <v>212</v>
      </c>
      <c r="D32" s="24">
        <v>0</v>
      </c>
      <c r="E32" s="24">
        <v>0.11</v>
      </c>
      <c r="F32" s="24">
        <v>0.17</v>
      </c>
      <c r="G32" s="24"/>
      <c r="H32" s="24"/>
      <c r="I32" s="24"/>
      <c r="J32" s="24"/>
      <c r="L32" s="24"/>
      <c r="M32" s="24"/>
      <c r="N32" s="24"/>
    </row>
    <row r="33" spans="1:14" x14ac:dyDescent="0.25">
      <c r="A33" t="s">
        <v>288</v>
      </c>
      <c r="B33" t="s">
        <v>98</v>
      </c>
      <c r="C33" s="2" t="s">
        <v>213</v>
      </c>
      <c r="D33" s="24">
        <v>0</v>
      </c>
      <c r="E33" s="24">
        <v>0.09</v>
      </c>
      <c r="F33" s="24">
        <v>0.14000000000000001</v>
      </c>
      <c r="G33" s="24"/>
      <c r="H33" s="24"/>
      <c r="I33" s="24"/>
      <c r="J33" s="24"/>
      <c r="L33" s="24"/>
      <c r="M33" s="24"/>
      <c r="N33" s="24"/>
    </row>
    <row r="34" spans="1:14" x14ac:dyDescent="0.25">
      <c r="A34" t="s">
        <v>289</v>
      </c>
      <c r="B34" t="s">
        <v>98</v>
      </c>
      <c r="C34" s="2" t="s">
        <v>214</v>
      </c>
      <c r="D34" s="24">
        <v>0</v>
      </c>
      <c r="E34" s="24">
        <v>0.09</v>
      </c>
      <c r="F34" s="24">
        <v>0.13</v>
      </c>
      <c r="G34" s="24"/>
      <c r="H34" s="24"/>
      <c r="I34" s="24"/>
      <c r="J34" s="24"/>
      <c r="L34" s="24"/>
      <c r="M34" s="24"/>
      <c r="N34" s="24"/>
    </row>
    <row r="35" spans="1:14" x14ac:dyDescent="0.25">
      <c r="A35" t="s">
        <v>290</v>
      </c>
      <c r="B35" t="s">
        <v>98</v>
      </c>
      <c r="C35" s="2" t="s">
        <v>265</v>
      </c>
      <c r="D35" s="24">
        <v>0</v>
      </c>
      <c r="E35" s="24">
        <v>0.08</v>
      </c>
      <c r="F35" s="24">
        <v>0.12</v>
      </c>
      <c r="G35" s="24"/>
      <c r="H35" s="24"/>
      <c r="I35" s="24"/>
      <c r="J35" s="24"/>
      <c r="L35" s="24"/>
      <c r="M35" s="24"/>
      <c r="N35" s="24"/>
    </row>
    <row r="36" spans="1:14" x14ac:dyDescent="0.25">
      <c r="A36" t="s">
        <v>291</v>
      </c>
      <c r="B36" t="s">
        <v>98</v>
      </c>
      <c r="C36" s="2" t="s">
        <v>266</v>
      </c>
      <c r="D36" s="24">
        <v>0</v>
      </c>
      <c r="E36" s="24">
        <v>0.08</v>
      </c>
      <c r="F36" s="24">
        <v>0.11</v>
      </c>
      <c r="G36" s="24"/>
      <c r="H36" s="24"/>
      <c r="I36" s="24"/>
      <c r="J36" s="24"/>
      <c r="L36" s="24"/>
      <c r="M36" s="24"/>
      <c r="N36" s="24"/>
    </row>
    <row r="37" spans="1:14" x14ac:dyDescent="0.25">
      <c r="A37" t="s">
        <v>292</v>
      </c>
      <c r="B37" t="s">
        <v>95</v>
      </c>
      <c r="C37" s="2" t="s">
        <v>212</v>
      </c>
      <c r="D37" s="24">
        <v>0</v>
      </c>
      <c r="E37" s="24">
        <v>7.0000000000000007E-2</v>
      </c>
      <c r="F37" s="24">
        <v>0.12</v>
      </c>
      <c r="G37" s="24"/>
      <c r="H37" s="24"/>
      <c r="I37" s="24"/>
      <c r="J37" s="24"/>
      <c r="L37" s="24"/>
      <c r="M37" s="24"/>
      <c r="N37" s="24"/>
    </row>
    <row r="38" spans="1:14" x14ac:dyDescent="0.25">
      <c r="A38" t="s">
        <v>293</v>
      </c>
      <c r="B38" t="s">
        <v>95</v>
      </c>
      <c r="C38" s="2" t="s">
        <v>213</v>
      </c>
      <c r="D38" s="24">
        <v>0</v>
      </c>
      <c r="E38" s="24">
        <v>0.06</v>
      </c>
      <c r="F38" s="24">
        <v>0.12</v>
      </c>
      <c r="G38" s="24"/>
      <c r="H38" s="24"/>
      <c r="I38" s="24"/>
      <c r="J38" s="24"/>
      <c r="L38" s="24"/>
      <c r="M38" s="24"/>
      <c r="N38" s="24"/>
    </row>
    <row r="39" spans="1:14" x14ac:dyDescent="0.25">
      <c r="A39" t="s">
        <v>294</v>
      </c>
      <c r="B39" t="s">
        <v>95</v>
      </c>
      <c r="C39" s="2" t="s">
        <v>214</v>
      </c>
      <c r="D39" s="24">
        <v>0</v>
      </c>
      <c r="E39" s="24">
        <v>0.06</v>
      </c>
      <c r="F39" s="24">
        <v>0.11</v>
      </c>
      <c r="G39" s="24"/>
      <c r="H39" s="24"/>
      <c r="I39" s="24"/>
      <c r="J39" s="24"/>
      <c r="L39" s="24"/>
      <c r="M39" s="24"/>
      <c r="N39" s="24"/>
    </row>
    <row r="40" spans="1:14" x14ac:dyDescent="0.25">
      <c r="A40" t="s">
        <v>295</v>
      </c>
      <c r="B40" t="s">
        <v>95</v>
      </c>
      <c r="C40" s="2" t="s">
        <v>265</v>
      </c>
      <c r="D40" s="24">
        <v>0</v>
      </c>
      <c r="E40" s="24">
        <v>0.06</v>
      </c>
      <c r="F40" s="24">
        <v>0.11</v>
      </c>
      <c r="G40" s="24"/>
      <c r="H40" s="24"/>
      <c r="I40" s="24"/>
      <c r="J40" s="24"/>
      <c r="L40" s="24"/>
      <c r="M40" s="24"/>
      <c r="N40" s="24"/>
    </row>
    <row r="41" spans="1:14" x14ac:dyDescent="0.25">
      <c r="A41" t="s">
        <v>296</v>
      </c>
      <c r="B41" t="s">
        <v>95</v>
      </c>
      <c r="C41" s="2" t="s">
        <v>266</v>
      </c>
      <c r="D41" s="24">
        <v>0</v>
      </c>
      <c r="E41" s="24">
        <v>0.06</v>
      </c>
      <c r="F41" s="24">
        <v>0.1</v>
      </c>
      <c r="G41" s="24"/>
      <c r="H41" s="24"/>
      <c r="I41" s="24"/>
      <c r="J41" s="24"/>
      <c r="L41" s="24"/>
      <c r="M41" s="24"/>
      <c r="N41" s="24"/>
    </row>
    <row r="42" spans="1:14" x14ac:dyDescent="0.25">
      <c r="A42" t="s">
        <v>297</v>
      </c>
      <c r="B42" t="s">
        <v>96</v>
      </c>
      <c r="C42" s="2" t="s">
        <v>212</v>
      </c>
      <c r="D42" s="24">
        <v>0</v>
      </c>
      <c r="E42" s="24">
        <v>0.13</v>
      </c>
      <c r="F42" s="24">
        <v>0.18</v>
      </c>
      <c r="G42" s="24"/>
      <c r="H42" s="24"/>
      <c r="I42" s="24"/>
      <c r="J42" s="24"/>
      <c r="L42" s="24"/>
      <c r="M42" s="24"/>
      <c r="N42" s="24"/>
    </row>
    <row r="43" spans="1:14" x14ac:dyDescent="0.25">
      <c r="A43" t="s">
        <v>298</v>
      </c>
      <c r="B43" t="s">
        <v>96</v>
      </c>
      <c r="C43" s="2" t="s">
        <v>213</v>
      </c>
      <c r="D43" s="24">
        <v>0</v>
      </c>
      <c r="E43" s="24">
        <v>0.12</v>
      </c>
      <c r="F43" s="24">
        <v>0.17</v>
      </c>
      <c r="G43" s="24"/>
      <c r="H43" s="24"/>
      <c r="I43" s="24"/>
      <c r="J43" s="24"/>
      <c r="L43" s="24"/>
      <c r="M43" s="24"/>
      <c r="N43" s="24"/>
    </row>
    <row r="44" spans="1:14" x14ac:dyDescent="0.25">
      <c r="A44" t="s">
        <v>299</v>
      </c>
      <c r="B44" t="s">
        <v>96</v>
      </c>
      <c r="C44" s="2" t="s">
        <v>214</v>
      </c>
      <c r="D44" s="24">
        <v>0</v>
      </c>
      <c r="E44" s="24">
        <v>0.12</v>
      </c>
      <c r="F44" s="24">
        <v>0.16</v>
      </c>
      <c r="G44" s="24"/>
      <c r="H44" s="24"/>
      <c r="I44" s="24"/>
      <c r="J44" s="24"/>
      <c r="L44" s="24"/>
      <c r="M44" s="24"/>
      <c r="N44" s="24"/>
    </row>
    <row r="45" spans="1:14" x14ac:dyDescent="0.25">
      <c r="A45" t="s">
        <v>300</v>
      </c>
      <c r="B45" t="s">
        <v>96</v>
      </c>
      <c r="C45" s="2" t="s">
        <v>265</v>
      </c>
      <c r="D45" s="24">
        <v>0</v>
      </c>
      <c r="E45" s="24">
        <v>0.11</v>
      </c>
      <c r="F45" s="24">
        <v>0.14000000000000001</v>
      </c>
      <c r="G45" s="24"/>
      <c r="H45" s="24"/>
      <c r="I45" s="24"/>
      <c r="J45" s="24"/>
      <c r="L45" s="24"/>
      <c r="M45" s="24"/>
      <c r="N45" s="24"/>
    </row>
    <row r="46" spans="1:14" x14ac:dyDescent="0.25">
      <c r="A46" t="s">
        <v>301</v>
      </c>
      <c r="B46" t="s">
        <v>96</v>
      </c>
      <c r="C46" s="2" t="s">
        <v>266</v>
      </c>
      <c r="D46" s="24">
        <v>0</v>
      </c>
      <c r="E46" s="24">
        <v>0.09</v>
      </c>
      <c r="F46" s="24">
        <v>0.13</v>
      </c>
      <c r="G46" s="24"/>
      <c r="H46" s="24"/>
      <c r="I46" s="24"/>
      <c r="J46" s="24"/>
      <c r="L46" s="24"/>
      <c r="M46" s="24"/>
      <c r="N46" s="24"/>
    </row>
    <row r="47" spans="1:14" x14ac:dyDescent="0.25">
      <c r="A47" t="s">
        <v>302</v>
      </c>
      <c r="B47" t="s">
        <v>101</v>
      </c>
      <c r="C47" s="2" t="s">
        <v>212</v>
      </c>
      <c r="D47" s="24">
        <v>0</v>
      </c>
      <c r="E47" s="24">
        <v>0.12</v>
      </c>
      <c r="F47" s="24">
        <v>0.18</v>
      </c>
      <c r="G47" s="24"/>
      <c r="H47" s="24"/>
      <c r="I47" s="24"/>
      <c r="J47" s="24"/>
      <c r="L47" s="24"/>
      <c r="M47" s="24"/>
      <c r="N47" s="24"/>
    </row>
    <row r="48" spans="1:14" x14ac:dyDescent="0.25">
      <c r="A48" t="s">
        <v>303</v>
      </c>
      <c r="B48" t="s">
        <v>101</v>
      </c>
      <c r="C48" s="2" t="s">
        <v>213</v>
      </c>
      <c r="D48" s="24">
        <v>0</v>
      </c>
      <c r="E48" s="24">
        <v>0.12</v>
      </c>
      <c r="F48" s="24">
        <v>0.17</v>
      </c>
      <c r="G48" s="24"/>
      <c r="H48" s="24"/>
      <c r="I48" s="24"/>
      <c r="J48" s="24"/>
      <c r="L48" s="24"/>
      <c r="M48" s="24"/>
      <c r="N48" s="24"/>
    </row>
    <row r="49" spans="1:14" x14ac:dyDescent="0.25">
      <c r="A49" t="s">
        <v>304</v>
      </c>
      <c r="B49" t="s">
        <v>101</v>
      </c>
      <c r="C49" s="2" t="s">
        <v>214</v>
      </c>
      <c r="D49" s="24">
        <v>0</v>
      </c>
      <c r="E49" s="24">
        <v>0.1</v>
      </c>
      <c r="F49" s="24">
        <v>0.15</v>
      </c>
      <c r="G49" s="24"/>
      <c r="H49" s="24"/>
      <c r="I49" s="24"/>
      <c r="J49" s="24"/>
      <c r="L49" s="24"/>
      <c r="M49" s="24"/>
      <c r="N49" s="24"/>
    </row>
    <row r="50" spans="1:14" x14ac:dyDescent="0.25">
      <c r="A50" t="s">
        <v>305</v>
      </c>
      <c r="B50" t="s">
        <v>101</v>
      </c>
      <c r="C50" s="2" t="s">
        <v>265</v>
      </c>
      <c r="D50" s="24">
        <v>0</v>
      </c>
      <c r="E50" s="24">
        <v>0.08</v>
      </c>
      <c r="F50" s="24">
        <v>0.12</v>
      </c>
      <c r="G50" s="24"/>
      <c r="H50" s="24"/>
      <c r="I50" s="24"/>
      <c r="J50" s="24"/>
      <c r="L50" s="24"/>
      <c r="M50" s="24"/>
      <c r="N50" s="24"/>
    </row>
    <row r="51" spans="1:14" x14ac:dyDescent="0.25">
      <c r="A51" t="s">
        <v>306</v>
      </c>
      <c r="B51" t="s">
        <v>101</v>
      </c>
      <c r="C51" s="2" t="s">
        <v>266</v>
      </c>
      <c r="D51" s="24">
        <v>0</v>
      </c>
      <c r="E51" s="24">
        <v>0.06</v>
      </c>
      <c r="F51" s="24">
        <v>0.09</v>
      </c>
      <c r="G51" s="24"/>
      <c r="H51" s="24"/>
      <c r="I51" s="24"/>
      <c r="J51" s="24"/>
      <c r="L51" s="24"/>
      <c r="M51" s="24"/>
      <c r="N51" s="24"/>
    </row>
    <row r="52" spans="1:14" x14ac:dyDescent="0.25">
      <c r="A52" t="s">
        <v>307</v>
      </c>
      <c r="B52" t="s">
        <v>97</v>
      </c>
      <c r="C52" s="2" t="s">
        <v>212</v>
      </c>
      <c r="D52" s="24">
        <v>0</v>
      </c>
      <c r="E52" s="24">
        <v>0.13</v>
      </c>
      <c r="F52" s="24">
        <v>0.17</v>
      </c>
      <c r="G52" s="24"/>
      <c r="H52" s="24"/>
      <c r="I52" s="24"/>
      <c r="J52" s="24"/>
      <c r="L52" s="24"/>
      <c r="M52" s="24"/>
      <c r="N52" s="24"/>
    </row>
    <row r="53" spans="1:14" x14ac:dyDescent="0.25">
      <c r="A53" t="s">
        <v>308</v>
      </c>
      <c r="B53" t="s">
        <v>97</v>
      </c>
      <c r="C53" s="2" t="s">
        <v>213</v>
      </c>
      <c r="D53" s="24">
        <v>0</v>
      </c>
      <c r="E53" s="24">
        <v>0.13</v>
      </c>
      <c r="F53" s="24">
        <v>0.17</v>
      </c>
      <c r="G53" s="24"/>
      <c r="H53" s="24"/>
      <c r="I53" s="24"/>
      <c r="J53" s="24"/>
      <c r="L53" s="24"/>
      <c r="M53" s="24"/>
      <c r="N53" s="24"/>
    </row>
    <row r="54" spans="1:14" x14ac:dyDescent="0.25">
      <c r="A54" t="s">
        <v>309</v>
      </c>
      <c r="B54" t="s">
        <v>97</v>
      </c>
      <c r="C54" s="2" t="s">
        <v>214</v>
      </c>
      <c r="D54" s="24">
        <v>0</v>
      </c>
      <c r="E54" s="24">
        <v>0.12</v>
      </c>
      <c r="F54" s="24">
        <v>0.16</v>
      </c>
      <c r="G54" s="24"/>
      <c r="H54" s="24"/>
      <c r="I54" s="24"/>
      <c r="J54" s="24"/>
      <c r="L54" s="24"/>
      <c r="M54" s="24"/>
      <c r="N54" s="24"/>
    </row>
    <row r="55" spans="1:14" x14ac:dyDescent="0.25">
      <c r="A55" t="s">
        <v>310</v>
      </c>
      <c r="B55" t="s">
        <v>97</v>
      </c>
      <c r="C55" s="2" t="s">
        <v>265</v>
      </c>
      <c r="D55" s="24">
        <v>0</v>
      </c>
      <c r="E55" s="24">
        <v>0.11</v>
      </c>
      <c r="F55" s="24">
        <v>0.15</v>
      </c>
      <c r="G55" s="24"/>
      <c r="H55" s="24"/>
      <c r="I55" s="24"/>
      <c r="J55" s="24"/>
      <c r="L55" s="24"/>
      <c r="M55" s="24"/>
      <c r="N55" s="24"/>
    </row>
    <row r="56" spans="1:14" x14ac:dyDescent="0.25">
      <c r="A56" t="s">
        <v>311</v>
      </c>
      <c r="B56" t="s">
        <v>97</v>
      </c>
      <c r="C56" s="2" t="s">
        <v>266</v>
      </c>
      <c r="D56" s="24">
        <v>0</v>
      </c>
      <c r="E56" s="24">
        <v>0.1</v>
      </c>
      <c r="F56" s="24">
        <v>0.13</v>
      </c>
      <c r="G56" s="24"/>
      <c r="H56" s="24"/>
      <c r="I56" s="24"/>
      <c r="J56" s="24"/>
      <c r="L56" s="24"/>
      <c r="M56" s="24"/>
      <c r="N56" s="24"/>
    </row>
    <row r="57" spans="1:14" x14ac:dyDescent="0.25">
      <c r="A57" t="s">
        <v>312</v>
      </c>
      <c r="B57" t="s">
        <v>93</v>
      </c>
      <c r="C57" s="2" t="s">
        <v>212</v>
      </c>
      <c r="D57" s="24">
        <v>0</v>
      </c>
      <c r="E57" s="24">
        <v>0.14000000000000001</v>
      </c>
      <c r="F57" s="24">
        <v>0.18</v>
      </c>
      <c r="G57" s="24"/>
      <c r="H57" s="24"/>
      <c r="I57" s="24"/>
      <c r="J57" s="24"/>
      <c r="L57" s="24"/>
      <c r="M57" s="24"/>
      <c r="N57" s="24"/>
    </row>
    <row r="58" spans="1:14" x14ac:dyDescent="0.25">
      <c r="A58" t="s">
        <v>313</v>
      </c>
      <c r="B58" t="s">
        <v>93</v>
      </c>
      <c r="C58" s="2" t="s">
        <v>213</v>
      </c>
      <c r="D58" s="24">
        <v>0</v>
      </c>
      <c r="E58" s="24">
        <v>0.13</v>
      </c>
      <c r="F58" s="24">
        <v>0.16</v>
      </c>
      <c r="G58" s="24"/>
      <c r="H58" s="24"/>
      <c r="I58" s="24"/>
      <c r="J58" s="24"/>
      <c r="L58" s="24"/>
      <c r="M58" s="24"/>
      <c r="N58" s="24"/>
    </row>
    <row r="59" spans="1:14" x14ac:dyDescent="0.25">
      <c r="A59" t="s">
        <v>314</v>
      </c>
      <c r="B59" t="s">
        <v>93</v>
      </c>
      <c r="C59" s="2" t="s">
        <v>214</v>
      </c>
      <c r="D59" s="24">
        <v>0</v>
      </c>
      <c r="E59" s="24">
        <v>0.12</v>
      </c>
      <c r="F59" s="24">
        <v>0.16</v>
      </c>
      <c r="G59" s="24"/>
      <c r="H59" s="24"/>
      <c r="I59" s="24"/>
      <c r="J59" s="24"/>
      <c r="L59" s="24"/>
      <c r="M59" s="24"/>
      <c r="N59" s="24"/>
    </row>
    <row r="60" spans="1:14" x14ac:dyDescent="0.25">
      <c r="A60" t="s">
        <v>315</v>
      </c>
      <c r="B60" t="s">
        <v>93</v>
      </c>
      <c r="C60" s="2" t="s">
        <v>265</v>
      </c>
      <c r="D60" s="24">
        <v>0</v>
      </c>
      <c r="E60" s="24">
        <v>0.11</v>
      </c>
      <c r="F60" s="24">
        <v>0.15</v>
      </c>
      <c r="G60" s="24"/>
      <c r="H60" s="24"/>
      <c r="I60" s="24"/>
      <c r="J60" s="24"/>
      <c r="L60" s="24"/>
      <c r="M60" s="24"/>
      <c r="N60" s="24"/>
    </row>
    <row r="61" spans="1:14" x14ac:dyDescent="0.25">
      <c r="A61" t="s">
        <v>316</v>
      </c>
      <c r="B61" t="s">
        <v>93</v>
      </c>
      <c r="C61" s="2" t="s">
        <v>266</v>
      </c>
      <c r="D61" s="24">
        <v>0</v>
      </c>
      <c r="E61" s="24">
        <v>0.09</v>
      </c>
      <c r="F61" s="24">
        <v>0.13</v>
      </c>
      <c r="G61" s="24"/>
      <c r="H61" s="24"/>
      <c r="I61" s="24"/>
      <c r="J61" s="24"/>
      <c r="L61" s="24"/>
      <c r="M61" s="24"/>
      <c r="N61" s="24"/>
    </row>
    <row r="62" spans="1:14" x14ac:dyDescent="0.25">
      <c r="A62" t="s">
        <v>317</v>
      </c>
      <c r="B62" t="s">
        <v>105</v>
      </c>
      <c r="C62" s="2" t="s">
        <v>212</v>
      </c>
      <c r="D62" s="24">
        <v>0</v>
      </c>
      <c r="E62" s="24">
        <v>0.13</v>
      </c>
      <c r="F62" s="24">
        <v>0.18</v>
      </c>
      <c r="G62" s="24"/>
      <c r="H62" s="24"/>
      <c r="I62" s="24"/>
      <c r="J62" s="24"/>
      <c r="L62" s="24"/>
      <c r="M62" s="24"/>
      <c r="N62" s="24"/>
    </row>
    <row r="63" spans="1:14" x14ac:dyDescent="0.25">
      <c r="A63" t="s">
        <v>318</v>
      </c>
      <c r="B63" t="s">
        <v>105</v>
      </c>
      <c r="C63" s="2" t="s">
        <v>213</v>
      </c>
      <c r="D63" s="24">
        <v>0</v>
      </c>
      <c r="E63" s="24">
        <v>0.12</v>
      </c>
      <c r="F63" s="24">
        <v>0.17</v>
      </c>
      <c r="G63" s="24"/>
      <c r="H63" s="24"/>
      <c r="I63" s="24"/>
      <c r="J63" s="24"/>
      <c r="L63" s="24"/>
      <c r="M63" s="24"/>
      <c r="N63" s="24"/>
    </row>
    <row r="64" spans="1:14" x14ac:dyDescent="0.25">
      <c r="A64" t="s">
        <v>319</v>
      </c>
      <c r="B64" t="s">
        <v>105</v>
      </c>
      <c r="C64" s="2" t="s">
        <v>214</v>
      </c>
      <c r="D64" s="24">
        <v>0</v>
      </c>
      <c r="E64" s="24">
        <v>0.11</v>
      </c>
      <c r="F64" s="24">
        <v>0.16</v>
      </c>
      <c r="G64" s="24"/>
      <c r="H64" s="24"/>
      <c r="I64" s="24"/>
      <c r="J64" s="24"/>
      <c r="L64" s="24"/>
      <c r="M64" s="24"/>
      <c r="N64" s="24"/>
    </row>
    <row r="65" spans="1:14" x14ac:dyDescent="0.25">
      <c r="A65" t="s">
        <v>320</v>
      </c>
      <c r="B65" t="s">
        <v>105</v>
      </c>
      <c r="C65" s="2" t="s">
        <v>265</v>
      </c>
      <c r="D65" s="24">
        <v>0</v>
      </c>
      <c r="E65" s="24">
        <v>0.1</v>
      </c>
      <c r="F65" s="24">
        <v>0.16</v>
      </c>
      <c r="G65" s="24"/>
      <c r="H65" s="24"/>
      <c r="I65" s="24"/>
      <c r="J65" s="24"/>
      <c r="L65" s="24"/>
      <c r="M65" s="24"/>
      <c r="N65" s="24"/>
    </row>
    <row r="66" spans="1:14" x14ac:dyDescent="0.25">
      <c r="A66" t="s">
        <v>321</v>
      </c>
      <c r="B66" t="s">
        <v>105</v>
      </c>
      <c r="C66" s="2" t="s">
        <v>266</v>
      </c>
      <c r="D66" s="24">
        <v>0</v>
      </c>
      <c r="E66" s="24">
        <v>0.09</v>
      </c>
      <c r="F66" s="24">
        <v>0.14000000000000001</v>
      </c>
      <c r="G66" s="24"/>
      <c r="H66" s="24"/>
      <c r="I66" s="24"/>
      <c r="J66" s="24"/>
      <c r="L66" s="24"/>
      <c r="M66" s="24"/>
      <c r="N66" s="24"/>
    </row>
    <row r="67" spans="1:14" x14ac:dyDescent="0.25">
      <c r="A67" t="s">
        <v>322</v>
      </c>
      <c r="B67" t="s">
        <v>92</v>
      </c>
      <c r="C67" s="2" t="s">
        <v>212</v>
      </c>
      <c r="D67" s="24">
        <v>0</v>
      </c>
      <c r="E67" s="24">
        <v>0.09</v>
      </c>
      <c r="F67" s="24">
        <v>0.13</v>
      </c>
      <c r="G67" s="24"/>
      <c r="H67" s="24"/>
      <c r="I67" s="24"/>
      <c r="J67" s="24"/>
      <c r="L67" s="24"/>
      <c r="M67" s="24"/>
      <c r="N67" s="24"/>
    </row>
    <row r="68" spans="1:14" x14ac:dyDescent="0.25">
      <c r="A68" t="s">
        <v>323</v>
      </c>
      <c r="B68" t="s">
        <v>92</v>
      </c>
      <c r="C68" s="2" t="s">
        <v>213</v>
      </c>
      <c r="D68" s="24">
        <v>0</v>
      </c>
      <c r="E68" s="24">
        <v>7.0000000000000007E-2</v>
      </c>
      <c r="F68" s="24">
        <v>0.12</v>
      </c>
      <c r="G68" s="24"/>
      <c r="H68" s="24"/>
      <c r="I68" s="24"/>
      <c r="J68" s="24"/>
      <c r="L68" s="24"/>
      <c r="M68" s="24"/>
      <c r="N68" s="24"/>
    </row>
    <row r="69" spans="1:14" x14ac:dyDescent="0.25">
      <c r="A69" t="s">
        <v>324</v>
      </c>
      <c r="B69" t="s">
        <v>92</v>
      </c>
      <c r="C69" s="2" t="s">
        <v>214</v>
      </c>
      <c r="D69" s="24">
        <v>0</v>
      </c>
      <c r="E69" s="24">
        <v>7.0000000000000007E-2</v>
      </c>
      <c r="F69" s="24">
        <v>0.11</v>
      </c>
      <c r="G69" s="24"/>
      <c r="H69" s="24"/>
      <c r="I69" s="24"/>
      <c r="J69" s="24"/>
      <c r="L69" s="24"/>
      <c r="M69" s="24"/>
      <c r="N69" s="24"/>
    </row>
    <row r="70" spans="1:14" x14ac:dyDescent="0.25">
      <c r="A70" t="s">
        <v>325</v>
      </c>
      <c r="B70" t="s">
        <v>92</v>
      </c>
      <c r="C70" s="2" t="s">
        <v>265</v>
      </c>
      <c r="D70" s="24">
        <v>0</v>
      </c>
      <c r="E70" s="24">
        <v>0.06</v>
      </c>
      <c r="F70" s="24">
        <v>0.11</v>
      </c>
      <c r="G70" s="24"/>
      <c r="H70" s="24"/>
      <c r="I70" s="24"/>
      <c r="J70" s="24"/>
      <c r="L70" s="24"/>
      <c r="M70" s="24"/>
      <c r="N70" s="24"/>
    </row>
    <row r="71" spans="1:14" x14ac:dyDescent="0.25">
      <c r="A71" t="s">
        <v>326</v>
      </c>
      <c r="B71" t="s">
        <v>92</v>
      </c>
      <c r="C71" s="2" t="s">
        <v>266</v>
      </c>
      <c r="D71" s="24">
        <v>0</v>
      </c>
      <c r="E71" s="24">
        <v>0.06</v>
      </c>
      <c r="F71" s="24">
        <v>0.1</v>
      </c>
      <c r="G71" s="24"/>
      <c r="H71" s="24"/>
      <c r="I71" s="24"/>
      <c r="J71" s="24"/>
      <c r="L71" s="24"/>
      <c r="M71" s="24"/>
      <c r="N71" s="24"/>
    </row>
    <row r="72" spans="1:14" x14ac:dyDescent="0.25">
      <c r="A72" t="s">
        <v>327</v>
      </c>
      <c r="B72" t="s">
        <v>91</v>
      </c>
      <c r="C72" s="2" t="s">
        <v>212</v>
      </c>
      <c r="D72" s="24">
        <v>0</v>
      </c>
      <c r="E72" s="24">
        <v>0.11</v>
      </c>
      <c r="F72" s="24">
        <v>0.16</v>
      </c>
      <c r="G72" s="24"/>
      <c r="H72" s="24"/>
      <c r="I72" s="24"/>
      <c r="J72" s="24"/>
      <c r="L72" s="24"/>
      <c r="M72" s="24"/>
      <c r="N72" s="24"/>
    </row>
    <row r="73" spans="1:14" x14ac:dyDescent="0.25">
      <c r="A73" t="s">
        <v>328</v>
      </c>
      <c r="B73" t="s">
        <v>91</v>
      </c>
      <c r="C73" s="2" t="s">
        <v>213</v>
      </c>
      <c r="D73" s="24">
        <v>0</v>
      </c>
      <c r="E73" s="24">
        <v>0.1</v>
      </c>
      <c r="F73" s="24">
        <v>0.15</v>
      </c>
      <c r="G73" s="24"/>
      <c r="H73" s="24"/>
      <c r="I73" s="24"/>
      <c r="J73" s="24"/>
      <c r="L73" s="24"/>
      <c r="M73" s="24"/>
      <c r="N73" s="24"/>
    </row>
    <row r="74" spans="1:14" x14ac:dyDescent="0.25">
      <c r="A74" t="s">
        <v>329</v>
      </c>
      <c r="B74" t="s">
        <v>91</v>
      </c>
      <c r="C74" s="2" t="s">
        <v>214</v>
      </c>
      <c r="D74" s="24">
        <v>0</v>
      </c>
      <c r="E74" s="24">
        <v>0.09</v>
      </c>
      <c r="F74" s="24">
        <v>0.14000000000000001</v>
      </c>
      <c r="G74" s="24"/>
      <c r="H74" s="24"/>
      <c r="I74" s="24"/>
      <c r="J74" s="24"/>
      <c r="L74" s="24"/>
      <c r="M74" s="24"/>
      <c r="N74" s="24"/>
    </row>
    <row r="75" spans="1:14" x14ac:dyDescent="0.25">
      <c r="A75" t="s">
        <v>330</v>
      </c>
      <c r="B75" t="s">
        <v>91</v>
      </c>
      <c r="C75" s="2" t="s">
        <v>265</v>
      </c>
      <c r="D75" s="24">
        <v>0</v>
      </c>
      <c r="E75" s="24">
        <v>0.09</v>
      </c>
      <c r="F75" s="24">
        <v>0.13</v>
      </c>
      <c r="G75" s="24"/>
      <c r="H75" s="24"/>
      <c r="I75" s="24"/>
      <c r="J75" s="24"/>
      <c r="L75" s="24"/>
      <c r="M75" s="24"/>
      <c r="N75" s="24"/>
    </row>
    <row r="76" spans="1:14" x14ac:dyDescent="0.25">
      <c r="A76" t="s">
        <v>331</v>
      </c>
      <c r="B76" t="s">
        <v>91</v>
      </c>
      <c r="C76" s="2" t="s">
        <v>266</v>
      </c>
      <c r="D76" s="24">
        <v>0</v>
      </c>
      <c r="E76" s="24">
        <v>7.0000000000000007E-2</v>
      </c>
      <c r="F76" s="24">
        <v>0.09</v>
      </c>
      <c r="G76" s="24"/>
      <c r="H76" s="24"/>
      <c r="I76" s="24"/>
      <c r="J76" s="24"/>
      <c r="L76" s="24"/>
      <c r="M76" s="24"/>
      <c r="N76" s="24"/>
    </row>
    <row r="77" spans="1:14" x14ac:dyDescent="0.25">
      <c r="A77" t="s">
        <v>332</v>
      </c>
      <c r="B77" t="s">
        <v>90</v>
      </c>
      <c r="C77" s="2" t="s">
        <v>212</v>
      </c>
      <c r="D77" s="24">
        <v>0</v>
      </c>
      <c r="E77" s="24">
        <v>0.08</v>
      </c>
      <c r="F77" s="24">
        <v>0.11</v>
      </c>
      <c r="G77" s="24"/>
      <c r="H77" s="24"/>
      <c r="I77" s="24"/>
      <c r="J77" s="24"/>
      <c r="L77" s="24"/>
      <c r="M77" s="24"/>
      <c r="N77" s="24"/>
    </row>
    <row r="78" spans="1:14" x14ac:dyDescent="0.25">
      <c r="A78" t="s">
        <v>333</v>
      </c>
      <c r="B78" t="s">
        <v>90</v>
      </c>
      <c r="C78" s="2" t="s">
        <v>213</v>
      </c>
      <c r="D78" s="24">
        <v>0</v>
      </c>
      <c r="E78" s="24">
        <v>7.0000000000000007E-2</v>
      </c>
      <c r="F78" s="24">
        <v>0.11</v>
      </c>
      <c r="G78" s="24"/>
      <c r="H78" s="24"/>
      <c r="I78" s="24"/>
      <c r="J78" s="24"/>
      <c r="L78" s="24"/>
      <c r="M78" s="24"/>
      <c r="N78" s="24"/>
    </row>
    <row r="79" spans="1:14" x14ac:dyDescent="0.25">
      <c r="A79" t="s">
        <v>334</v>
      </c>
      <c r="B79" t="s">
        <v>90</v>
      </c>
      <c r="C79" s="2" t="s">
        <v>214</v>
      </c>
      <c r="D79" s="24">
        <v>0</v>
      </c>
      <c r="E79" s="24">
        <v>7.0000000000000007E-2</v>
      </c>
      <c r="F79" s="24">
        <v>0.09</v>
      </c>
      <c r="G79" s="24"/>
      <c r="H79" s="24"/>
      <c r="I79" s="24"/>
      <c r="J79" s="24"/>
      <c r="L79" s="24"/>
      <c r="M79" s="24"/>
      <c r="N79" s="24"/>
    </row>
    <row r="80" spans="1:14" x14ac:dyDescent="0.25">
      <c r="A80" t="s">
        <v>335</v>
      </c>
      <c r="B80" t="s">
        <v>90</v>
      </c>
      <c r="C80" s="2" t="s">
        <v>265</v>
      </c>
      <c r="D80" s="24">
        <v>0</v>
      </c>
      <c r="E80" s="24">
        <v>0.06</v>
      </c>
      <c r="F80" s="24">
        <v>0.08</v>
      </c>
      <c r="G80" s="24"/>
      <c r="H80" s="24"/>
      <c r="I80" s="24"/>
      <c r="J80" s="24"/>
      <c r="L80" s="24"/>
      <c r="M80" s="24"/>
      <c r="N80" s="24"/>
    </row>
    <row r="81" spans="1:14" x14ac:dyDescent="0.25">
      <c r="A81" t="s">
        <v>336</v>
      </c>
      <c r="B81" t="s">
        <v>90</v>
      </c>
      <c r="C81" s="2" t="s">
        <v>266</v>
      </c>
      <c r="D81" s="24">
        <v>0</v>
      </c>
      <c r="E81" s="24">
        <v>0.04</v>
      </c>
      <c r="F81" s="24">
        <v>0.06</v>
      </c>
      <c r="G81" s="24"/>
      <c r="H81" s="24"/>
      <c r="I81" s="24"/>
      <c r="J81" s="24"/>
      <c r="L81" s="24"/>
      <c r="M81" s="24"/>
      <c r="N81" s="24"/>
    </row>
    <row r="82" spans="1:14" x14ac:dyDescent="0.25">
      <c r="A82" t="s">
        <v>337</v>
      </c>
      <c r="B82" t="s">
        <v>89</v>
      </c>
      <c r="C82" s="2" t="s">
        <v>212</v>
      </c>
      <c r="D82" s="24">
        <v>0</v>
      </c>
      <c r="E82" s="24">
        <v>0.12</v>
      </c>
      <c r="F82" s="24">
        <v>0.17</v>
      </c>
      <c r="G82" s="24"/>
      <c r="H82" s="24"/>
      <c r="I82" s="24"/>
      <c r="J82" s="24"/>
      <c r="L82" s="24"/>
      <c r="M82" s="24"/>
      <c r="N82" s="24"/>
    </row>
    <row r="83" spans="1:14" x14ac:dyDescent="0.25">
      <c r="A83" t="s">
        <v>338</v>
      </c>
      <c r="B83" t="s">
        <v>89</v>
      </c>
      <c r="C83" s="2" t="s">
        <v>213</v>
      </c>
      <c r="D83" s="24">
        <v>0</v>
      </c>
      <c r="E83" s="24">
        <v>0.12</v>
      </c>
      <c r="F83" s="24">
        <v>0.16</v>
      </c>
      <c r="G83" s="24"/>
      <c r="H83" s="24"/>
      <c r="I83" s="24"/>
      <c r="J83" s="24"/>
      <c r="L83" s="24"/>
      <c r="M83" s="24"/>
      <c r="N83" s="24"/>
    </row>
    <row r="84" spans="1:14" x14ac:dyDescent="0.25">
      <c r="A84" t="s">
        <v>339</v>
      </c>
      <c r="B84" t="s">
        <v>89</v>
      </c>
      <c r="C84" s="2" t="s">
        <v>214</v>
      </c>
      <c r="D84" s="24">
        <v>0</v>
      </c>
      <c r="E84" s="24">
        <v>0.11</v>
      </c>
      <c r="F84" s="24">
        <v>0.16</v>
      </c>
      <c r="G84" s="24"/>
      <c r="H84" s="24"/>
      <c r="I84" s="24"/>
      <c r="J84" s="24"/>
      <c r="L84" s="24"/>
      <c r="M84" s="24"/>
      <c r="N84" s="24"/>
    </row>
    <row r="85" spans="1:14" x14ac:dyDescent="0.25">
      <c r="A85" t="s">
        <v>340</v>
      </c>
      <c r="B85" t="s">
        <v>89</v>
      </c>
      <c r="C85" s="2" t="s">
        <v>265</v>
      </c>
      <c r="D85" s="24">
        <v>0</v>
      </c>
      <c r="E85" s="24">
        <v>0.11</v>
      </c>
      <c r="F85" s="24">
        <v>0.15</v>
      </c>
      <c r="G85" s="24"/>
      <c r="H85" s="24"/>
      <c r="I85" s="24"/>
      <c r="J85" s="24"/>
      <c r="L85" s="24"/>
      <c r="M85" s="24"/>
      <c r="N85" s="24"/>
    </row>
    <row r="86" spans="1:14" x14ac:dyDescent="0.25">
      <c r="A86" t="s">
        <v>341</v>
      </c>
      <c r="B86" t="s">
        <v>89</v>
      </c>
      <c r="C86" s="2" t="s">
        <v>266</v>
      </c>
      <c r="D86" s="24">
        <v>0</v>
      </c>
      <c r="E86" s="24">
        <v>0.1</v>
      </c>
      <c r="F86" s="24">
        <v>0.14000000000000001</v>
      </c>
      <c r="G86" s="24"/>
      <c r="H86" s="24"/>
      <c r="I86" s="24"/>
      <c r="J86" s="24"/>
      <c r="L86" s="24"/>
      <c r="M86" s="24"/>
      <c r="N86" s="24"/>
    </row>
    <row r="87" spans="1:14" x14ac:dyDescent="0.25">
      <c r="A87" t="s">
        <v>342</v>
      </c>
      <c r="B87" t="s">
        <v>94</v>
      </c>
      <c r="C87" s="2" t="s">
        <v>212</v>
      </c>
      <c r="D87" s="24">
        <v>0</v>
      </c>
      <c r="E87" s="24">
        <v>0.13</v>
      </c>
      <c r="F87" s="24">
        <v>0.16</v>
      </c>
      <c r="G87" s="24"/>
      <c r="H87" s="24"/>
      <c r="I87" s="24"/>
      <c r="J87" s="24"/>
      <c r="L87" s="24"/>
      <c r="M87" s="24"/>
      <c r="N87" s="24"/>
    </row>
    <row r="88" spans="1:14" x14ac:dyDescent="0.25">
      <c r="A88" t="s">
        <v>343</v>
      </c>
      <c r="B88" t="s">
        <v>94</v>
      </c>
      <c r="C88" s="2" t="s">
        <v>213</v>
      </c>
      <c r="D88" s="24">
        <v>0</v>
      </c>
      <c r="E88" s="24">
        <v>0.12</v>
      </c>
      <c r="F88" s="24">
        <v>0.15</v>
      </c>
      <c r="G88" s="24"/>
      <c r="H88" s="24"/>
      <c r="I88" s="24"/>
      <c r="J88" s="24"/>
      <c r="L88" s="24"/>
      <c r="M88" s="24"/>
      <c r="N88" s="24"/>
    </row>
    <row r="89" spans="1:14" x14ac:dyDescent="0.25">
      <c r="A89" t="s">
        <v>344</v>
      </c>
      <c r="B89" t="s">
        <v>94</v>
      </c>
      <c r="C89" s="2" t="s">
        <v>214</v>
      </c>
      <c r="D89" s="24">
        <v>0</v>
      </c>
      <c r="E89" s="24">
        <v>0.11</v>
      </c>
      <c r="F89" s="24">
        <v>0.13</v>
      </c>
      <c r="G89" s="24"/>
      <c r="H89" s="24"/>
      <c r="I89" s="24"/>
      <c r="J89" s="24"/>
      <c r="L89" s="24"/>
      <c r="M89" s="24"/>
      <c r="N89" s="24"/>
    </row>
    <row r="90" spans="1:14" x14ac:dyDescent="0.25">
      <c r="A90" t="s">
        <v>345</v>
      </c>
      <c r="B90" t="s">
        <v>94</v>
      </c>
      <c r="C90" s="2" t="s">
        <v>265</v>
      </c>
      <c r="D90" s="24">
        <v>0</v>
      </c>
      <c r="E90" s="24">
        <v>0.11</v>
      </c>
      <c r="F90" s="24">
        <v>0.13</v>
      </c>
      <c r="G90" s="24"/>
      <c r="H90" s="24"/>
      <c r="I90" s="24"/>
      <c r="J90" s="24"/>
      <c r="L90" s="24"/>
      <c r="M90" s="24"/>
      <c r="N90" s="24"/>
    </row>
    <row r="91" spans="1:14" x14ac:dyDescent="0.25">
      <c r="A91" t="s">
        <v>346</v>
      </c>
      <c r="B91" t="s">
        <v>94</v>
      </c>
      <c r="C91" s="2" t="s">
        <v>266</v>
      </c>
      <c r="D91" s="24">
        <v>0</v>
      </c>
      <c r="E91" s="24">
        <v>0.09</v>
      </c>
      <c r="F91" s="24">
        <v>0.12</v>
      </c>
      <c r="G91" s="24"/>
      <c r="H91" s="24"/>
      <c r="I91" s="24"/>
      <c r="J91" s="24"/>
      <c r="L91" s="24"/>
      <c r="M91" s="24"/>
      <c r="N91" s="24"/>
    </row>
    <row r="92" spans="1:14" x14ac:dyDescent="0.25">
      <c r="A92" t="s">
        <v>347</v>
      </c>
      <c r="B92" t="s">
        <v>86</v>
      </c>
      <c r="C92" s="2" t="s">
        <v>212</v>
      </c>
      <c r="D92" s="24">
        <v>0</v>
      </c>
      <c r="E92" s="24">
        <v>0.12</v>
      </c>
      <c r="F92" s="24">
        <v>0.17</v>
      </c>
      <c r="G92" s="24"/>
      <c r="H92" s="24"/>
      <c r="I92" s="24"/>
      <c r="J92" s="24"/>
      <c r="L92" s="24"/>
      <c r="M92" s="24"/>
      <c r="N92" s="24"/>
    </row>
    <row r="93" spans="1:14" x14ac:dyDescent="0.25">
      <c r="A93" t="s">
        <v>348</v>
      </c>
      <c r="B93" t="s">
        <v>86</v>
      </c>
      <c r="C93" s="2" t="s">
        <v>213</v>
      </c>
      <c r="D93" s="24">
        <v>0</v>
      </c>
      <c r="E93" s="24">
        <v>0.12</v>
      </c>
      <c r="F93" s="24">
        <v>0.16</v>
      </c>
      <c r="G93" s="24"/>
      <c r="H93" s="24"/>
      <c r="I93" s="24"/>
      <c r="J93" s="24"/>
      <c r="L93" s="24"/>
      <c r="M93" s="24"/>
      <c r="N93" s="24"/>
    </row>
    <row r="94" spans="1:14" x14ac:dyDescent="0.25">
      <c r="A94" t="s">
        <v>349</v>
      </c>
      <c r="B94" t="s">
        <v>86</v>
      </c>
      <c r="C94" s="2" t="s">
        <v>214</v>
      </c>
      <c r="D94" s="24">
        <v>0</v>
      </c>
      <c r="E94" s="24">
        <v>0.11</v>
      </c>
      <c r="F94" s="24">
        <v>0.16</v>
      </c>
      <c r="G94" s="24"/>
      <c r="H94" s="24"/>
      <c r="I94" s="24"/>
      <c r="J94" s="24"/>
      <c r="L94" s="24"/>
      <c r="M94" s="24"/>
      <c r="N94" s="24"/>
    </row>
    <row r="95" spans="1:14" x14ac:dyDescent="0.25">
      <c r="A95" t="s">
        <v>350</v>
      </c>
      <c r="B95" t="s">
        <v>86</v>
      </c>
      <c r="C95" s="2" t="s">
        <v>265</v>
      </c>
      <c r="D95" s="24">
        <v>0</v>
      </c>
      <c r="E95" s="24">
        <v>0.1</v>
      </c>
      <c r="F95" s="24">
        <v>0.15</v>
      </c>
      <c r="G95" s="24"/>
      <c r="H95" s="24"/>
      <c r="I95" s="24"/>
      <c r="J95" s="24"/>
      <c r="L95" s="24"/>
      <c r="M95" s="24"/>
      <c r="N95" s="24"/>
    </row>
    <row r="96" spans="1:14" x14ac:dyDescent="0.25">
      <c r="A96" t="s">
        <v>351</v>
      </c>
      <c r="B96" t="s">
        <v>86</v>
      </c>
      <c r="C96" s="2" t="s">
        <v>266</v>
      </c>
      <c r="D96" s="24">
        <v>0</v>
      </c>
      <c r="E96" s="24">
        <v>0.08</v>
      </c>
      <c r="F96" s="24">
        <v>0.13</v>
      </c>
      <c r="G96" s="24"/>
      <c r="H96" s="24"/>
      <c r="I96" s="24"/>
      <c r="J96" s="24"/>
      <c r="L96" s="24"/>
      <c r="M96" s="24"/>
      <c r="N96" s="24"/>
    </row>
    <row r="97" spans="1:14" x14ac:dyDescent="0.25">
      <c r="A97" t="s">
        <v>352</v>
      </c>
      <c r="B97" t="s">
        <v>88</v>
      </c>
      <c r="C97" s="2" t="s">
        <v>212</v>
      </c>
      <c r="D97" s="24">
        <v>0</v>
      </c>
      <c r="E97" s="24">
        <v>0.09</v>
      </c>
      <c r="F97" s="24">
        <v>0.13</v>
      </c>
      <c r="G97" s="24"/>
      <c r="H97" s="24"/>
      <c r="I97" s="24"/>
      <c r="J97" s="24"/>
      <c r="L97" s="24"/>
      <c r="M97" s="24"/>
      <c r="N97" s="24"/>
    </row>
    <row r="98" spans="1:14" x14ac:dyDescent="0.25">
      <c r="A98" t="s">
        <v>353</v>
      </c>
      <c r="B98" t="s">
        <v>88</v>
      </c>
      <c r="C98" s="2" t="s">
        <v>213</v>
      </c>
      <c r="D98" s="24">
        <v>0</v>
      </c>
      <c r="E98" s="24">
        <v>0.08</v>
      </c>
      <c r="F98" s="24">
        <v>0.11</v>
      </c>
      <c r="G98" s="24"/>
      <c r="H98" s="24"/>
      <c r="I98" s="24"/>
      <c r="J98" s="24"/>
      <c r="L98" s="24"/>
      <c r="M98" s="24"/>
      <c r="N98" s="24"/>
    </row>
    <row r="99" spans="1:14" x14ac:dyDescent="0.25">
      <c r="A99" t="s">
        <v>354</v>
      </c>
      <c r="B99" t="s">
        <v>88</v>
      </c>
      <c r="C99" s="2" t="s">
        <v>214</v>
      </c>
      <c r="D99" s="24">
        <v>0</v>
      </c>
      <c r="E99" s="24">
        <v>0.08</v>
      </c>
      <c r="F99" s="24">
        <v>0.11</v>
      </c>
      <c r="G99" s="24"/>
      <c r="H99" s="24"/>
      <c r="I99" s="24"/>
      <c r="J99" s="24"/>
      <c r="L99" s="24"/>
      <c r="M99" s="24"/>
      <c r="N99" s="24"/>
    </row>
    <row r="100" spans="1:14" x14ac:dyDescent="0.25">
      <c r="A100" t="s">
        <v>355</v>
      </c>
      <c r="B100" t="s">
        <v>88</v>
      </c>
      <c r="C100" s="2" t="s">
        <v>265</v>
      </c>
      <c r="D100" s="24">
        <v>0</v>
      </c>
      <c r="E100" s="24">
        <v>7.0000000000000007E-2</v>
      </c>
      <c r="F100" s="24">
        <v>0.09</v>
      </c>
      <c r="G100" s="24"/>
      <c r="H100" s="24"/>
      <c r="I100" s="24"/>
      <c r="J100" s="24"/>
      <c r="L100" s="24"/>
      <c r="M100" s="24"/>
      <c r="N100" s="24"/>
    </row>
    <row r="101" spans="1:14" x14ac:dyDescent="0.25">
      <c r="A101" t="s">
        <v>356</v>
      </c>
      <c r="B101" t="s">
        <v>88</v>
      </c>
      <c r="C101" s="2" t="s">
        <v>266</v>
      </c>
      <c r="D101" s="24">
        <v>0</v>
      </c>
      <c r="E101" s="24">
        <v>0.05</v>
      </c>
      <c r="F101" s="24">
        <v>7.0000000000000007E-2</v>
      </c>
      <c r="G101" s="24"/>
      <c r="H101" s="24"/>
      <c r="I101" s="24"/>
      <c r="J101" s="24"/>
      <c r="L101" s="24"/>
      <c r="M101" s="24"/>
      <c r="N101" s="24"/>
    </row>
    <row r="102" spans="1:14" x14ac:dyDescent="0.25">
      <c r="A102" t="s">
        <v>357</v>
      </c>
      <c r="B102" t="s">
        <v>87</v>
      </c>
      <c r="C102" s="2" t="s">
        <v>212</v>
      </c>
      <c r="D102" s="24">
        <v>0</v>
      </c>
      <c r="E102" s="24">
        <v>0.1</v>
      </c>
      <c r="F102" s="24">
        <v>0.11</v>
      </c>
      <c r="G102" s="24"/>
      <c r="H102" s="24"/>
      <c r="I102" s="24"/>
      <c r="J102" s="24"/>
      <c r="L102" s="24"/>
      <c r="M102" s="24"/>
      <c r="N102" s="24"/>
    </row>
    <row r="103" spans="1:14" x14ac:dyDescent="0.25">
      <c r="A103" t="s">
        <v>358</v>
      </c>
      <c r="B103" t="s">
        <v>87</v>
      </c>
      <c r="C103" s="2" t="s">
        <v>213</v>
      </c>
      <c r="D103" s="24">
        <v>0</v>
      </c>
      <c r="E103" s="24">
        <v>0.09</v>
      </c>
      <c r="F103" s="24">
        <v>0.11</v>
      </c>
      <c r="G103" s="24"/>
      <c r="H103" s="24"/>
      <c r="I103" s="24"/>
      <c r="J103" s="24"/>
      <c r="L103" s="24"/>
      <c r="M103" s="24"/>
      <c r="N103" s="24"/>
    </row>
    <row r="104" spans="1:14" x14ac:dyDescent="0.25">
      <c r="A104" t="s">
        <v>359</v>
      </c>
      <c r="B104" t="s">
        <v>87</v>
      </c>
      <c r="C104" s="2" t="s">
        <v>214</v>
      </c>
      <c r="D104" s="24">
        <v>0</v>
      </c>
      <c r="E104" s="24">
        <v>0.08</v>
      </c>
      <c r="F104" s="24">
        <v>0.1</v>
      </c>
      <c r="G104" s="24"/>
      <c r="H104" s="24"/>
      <c r="I104" s="24"/>
      <c r="J104" s="24"/>
      <c r="L104" s="24"/>
      <c r="M104" s="24"/>
      <c r="N104" s="24"/>
    </row>
    <row r="105" spans="1:14" x14ac:dyDescent="0.25">
      <c r="A105" t="s">
        <v>360</v>
      </c>
      <c r="B105" t="s">
        <v>87</v>
      </c>
      <c r="C105" s="2" t="s">
        <v>265</v>
      </c>
      <c r="D105" s="24">
        <v>0</v>
      </c>
      <c r="E105" s="24">
        <v>7.0000000000000007E-2</v>
      </c>
      <c r="F105" s="24">
        <v>0.09</v>
      </c>
      <c r="G105" s="24"/>
      <c r="H105" s="24"/>
      <c r="I105" s="24"/>
      <c r="J105" s="24"/>
      <c r="L105" s="24"/>
      <c r="M105" s="24"/>
      <c r="N105" s="24"/>
    </row>
    <row r="106" spans="1:14" x14ac:dyDescent="0.25">
      <c r="A106" t="s">
        <v>361</v>
      </c>
      <c r="B106" t="s">
        <v>87</v>
      </c>
      <c r="C106" s="2" t="s">
        <v>266</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L1758"/>
  <sheetViews>
    <sheetView topLeftCell="Z1" workbookViewId="0">
      <selection activeCell="Z3" sqref="Z3"/>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22.140625" customWidth="1"/>
    <col min="29" max="29" width="11.7109375" bestFit="1" customWidth="1"/>
    <col min="32" max="32" width="12.42578125" bestFit="1" customWidth="1"/>
    <col min="35" max="35" width="20.5703125" bestFit="1" customWidth="1"/>
    <col min="37" max="37" width="18.140625" customWidth="1"/>
    <col min="38" max="38" width="26.7109375" customWidth="1"/>
  </cols>
  <sheetData>
    <row r="1" spans="1:38" x14ac:dyDescent="0.25">
      <c r="A1" t="s">
        <v>451</v>
      </c>
      <c r="B1" t="s">
        <v>123</v>
      </c>
      <c r="C1" t="s">
        <v>124</v>
      </c>
      <c r="D1" t="s">
        <v>455</v>
      </c>
      <c r="E1" s="3" t="s">
        <v>453</v>
      </c>
      <c r="F1" s="3" t="e">
        <f>IF(#REF!="NEW CUSTOMER","Select Drops/Wk","")</f>
        <v>#REF!</v>
      </c>
      <c r="G1" s="14" t="s">
        <v>203</v>
      </c>
      <c r="H1" s="14" t="str">
        <f>""</f>
        <v/>
      </c>
      <c r="I1" s="14" t="s">
        <v>203</v>
      </c>
      <c r="J1" s="14" t="str">
        <f>""</f>
        <v/>
      </c>
      <c r="K1" s="14" t="str">
        <f>""</f>
        <v/>
      </c>
      <c r="L1" t="s">
        <v>201</v>
      </c>
      <c r="M1" s="14" t="s">
        <v>211</v>
      </c>
      <c r="N1" s="14" t="s">
        <v>914</v>
      </c>
      <c r="O1" s="14" t="s">
        <v>524</v>
      </c>
      <c r="P1" t="s">
        <v>238</v>
      </c>
      <c r="Q1" t="s">
        <v>230</v>
      </c>
      <c r="R1" t="s">
        <v>456</v>
      </c>
      <c r="S1" t="s">
        <v>248</v>
      </c>
      <c r="T1" t="s">
        <v>249</v>
      </c>
      <c r="U1" t="s">
        <v>250</v>
      </c>
      <c r="V1" t="s">
        <v>251</v>
      </c>
      <c r="W1" t="s">
        <v>249</v>
      </c>
      <c r="X1" t="s">
        <v>250</v>
      </c>
      <c r="Z1" t="s">
        <v>452</v>
      </c>
      <c r="AA1" t="s">
        <v>454</v>
      </c>
      <c r="AB1" s="1467" t="s">
        <v>1384</v>
      </c>
      <c r="AD1" t="s">
        <v>496</v>
      </c>
      <c r="AE1" t="s">
        <v>497</v>
      </c>
      <c r="AF1" t="s">
        <v>516</v>
      </c>
      <c r="AH1" s="2"/>
      <c r="AI1" t="s">
        <v>994</v>
      </c>
      <c r="AJ1" t="s">
        <v>1075</v>
      </c>
      <c r="AK1" t="s">
        <v>1191</v>
      </c>
      <c r="AL1" s="1465"/>
    </row>
    <row r="2" spans="1:38" x14ac:dyDescent="0.25">
      <c r="A2" t="s">
        <v>430</v>
      </c>
      <c r="B2" t="s">
        <v>106</v>
      </c>
      <c r="C2" t="s">
        <v>1</v>
      </c>
      <c r="E2" t="s">
        <v>58</v>
      </c>
      <c r="F2" s="3">
        <v>1</v>
      </c>
      <c r="G2" s="14" t="s">
        <v>130</v>
      </c>
      <c r="H2" s="14" t="s">
        <v>219</v>
      </c>
      <c r="I2" s="14" t="s">
        <v>503</v>
      </c>
      <c r="J2" s="14">
        <v>0.01</v>
      </c>
      <c r="K2" s="14">
        <v>1.4999999999999999E-2</v>
      </c>
      <c r="L2" t="s">
        <v>206</v>
      </c>
      <c r="M2">
        <v>2</v>
      </c>
      <c r="N2" t="s">
        <v>949</v>
      </c>
      <c r="O2" s="2" t="s">
        <v>526</v>
      </c>
      <c r="P2" t="s">
        <v>231</v>
      </c>
      <c r="Q2">
        <v>0</v>
      </c>
      <c r="R2" t="s">
        <v>244</v>
      </c>
      <c r="S2" s="18">
        <v>4.3999999999999997E-2</v>
      </c>
      <c r="T2" s="18">
        <v>6.6000000000000003E-2</v>
      </c>
      <c r="U2" s="18">
        <v>0.14799999999999999</v>
      </c>
      <c r="V2" s="19">
        <v>0</v>
      </c>
      <c r="W2" s="19">
        <v>6.2E-4</v>
      </c>
      <c r="X2" s="19">
        <v>1.4030000000000001E-2</v>
      </c>
      <c r="Z2" t="s">
        <v>368</v>
      </c>
      <c r="AA2" s="26" cm="1">
        <f t="array" ref="AA2:AA21">_xlfn.SEQUENCE('Configurable Tab'!Q2)</f>
        <v>1</v>
      </c>
      <c r="AB2" s="1466" t="s">
        <v>372</v>
      </c>
      <c r="AC2" t="s">
        <v>462</v>
      </c>
      <c r="AD2" t="s">
        <v>479</v>
      </c>
      <c r="AE2" t="s">
        <v>479</v>
      </c>
      <c r="AF2" s="39">
        <v>0.08</v>
      </c>
      <c r="AG2" t="s">
        <v>239</v>
      </c>
      <c r="AH2" s="2" t="s">
        <v>942</v>
      </c>
      <c r="AI2" t="s">
        <v>482</v>
      </c>
      <c r="AJ2" t="s">
        <v>648</v>
      </c>
      <c r="AK2" t="s">
        <v>1192</v>
      </c>
      <c r="AL2" s="1466"/>
    </row>
    <row r="3" spans="1:38" x14ac:dyDescent="0.25">
      <c r="A3" t="s">
        <v>419</v>
      </c>
      <c r="B3" t="s">
        <v>23</v>
      </c>
      <c r="C3" t="s">
        <v>112</v>
      </c>
      <c r="D3" t="s">
        <v>14</v>
      </c>
      <c r="E3" t="s">
        <v>22</v>
      </c>
      <c r="F3" s="3">
        <v>2</v>
      </c>
      <c r="G3" s="14" t="s">
        <v>467</v>
      </c>
      <c r="H3" s="14" t="s">
        <v>467</v>
      </c>
      <c r="I3" s="14" t="s">
        <v>471</v>
      </c>
      <c r="J3" s="14">
        <v>0.01</v>
      </c>
      <c r="K3" s="14">
        <v>1.4999999999999999E-2</v>
      </c>
      <c r="L3" t="s">
        <v>207</v>
      </c>
      <c r="M3">
        <v>3</v>
      </c>
      <c r="P3" t="s">
        <v>232</v>
      </c>
      <c r="Q3">
        <v>4</v>
      </c>
      <c r="R3" t="s">
        <v>245</v>
      </c>
      <c r="S3" s="18">
        <v>7.9000000000000001E-2</v>
      </c>
      <c r="T3" s="18">
        <v>9.6000000000000002E-2</v>
      </c>
      <c r="U3" s="18">
        <v>0.161</v>
      </c>
      <c r="V3" s="19">
        <v>0</v>
      </c>
      <c r="W3" s="19">
        <v>2.3000000000000001E-4</v>
      </c>
      <c r="X3" s="19">
        <v>1.2120000000000001E-2</v>
      </c>
      <c r="Z3" t="s">
        <v>369</v>
      </c>
      <c r="AA3" s="26">
        <v>2</v>
      </c>
      <c r="AB3" s="1468" t="s">
        <v>941</v>
      </c>
      <c r="AC3" t="s">
        <v>459</v>
      </c>
      <c r="AD3" t="s">
        <v>494</v>
      </c>
      <c r="AE3" t="s">
        <v>495</v>
      </c>
      <c r="AF3" s="58">
        <v>0.09</v>
      </c>
      <c r="AI3" t="s">
        <v>481</v>
      </c>
      <c r="AJ3" t="s">
        <v>646</v>
      </c>
      <c r="AK3" t="s">
        <v>1193</v>
      </c>
      <c r="AL3" s="668"/>
    </row>
    <row r="4" spans="1:38" x14ac:dyDescent="0.25">
      <c r="A4" t="s">
        <v>444</v>
      </c>
      <c r="B4" t="s">
        <v>13</v>
      </c>
      <c r="C4" t="s">
        <v>113</v>
      </c>
      <c r="D4" t="s">
        <v>62</v>
      </c>
      <c r="E4" t="s">
        <v>32</v>
      </c>
      <c r="F4" s="3">
        <v>3</v>
      </c>
      <c r="G4" s="14" t="s">
        <v>469</v>
      </c>
      <c r="H4" s="14" t="s">
        <v>467</v>
      </c>
      <c r="I4" s="14"/>
      <c r="J4" s="14"/>
      <c r="K4" s="14"/>
      <c r="M4">
        <v>4</v>
      </c>
      <c r="P4" t="s">
        <v>233</v>
      </c>
      <c r="Q4">
        <v>5</v>
      </c>
      <c r="R4" t="s">
        <v>246</v>
      </c>
      <c r="S4" s="18">
        <v>8.8999999999999996E-2</v>
      </c>
      <c r="T4" s="18">
        <v>0.106</v>
      </c>
      <c r="U4" s="18">
        <v>0.17299999999999999</v>
      </c>
      <c r="V4" s="19">
        <v>0</v>
      </c>
      <c r="W4" s="19">
        <v>0</v>
      </c>
      <c r="X4" s="19">
        <v>1.15E-2</v>
      </c>
      <c r="Z4" t="s">
        <v>370</v>
      </c>
      <c r="AA4" s="26">
        <v>3</v>
      </c>
      <c r="AB4" s="1466" t="s">
        <v>1100</v>
      </c>
      <c r="AF4" s="58">
        <v>0.1</v>
      </c>
      <c r="AI4" t="s">
        <v>1152</v>
      </c>
      <c r="AK4" t="s">
        <v>1194</v>
      </c>
      <c r="AL4" s="1466"/>
    </row>
    <row r="5" spans="1:38" x14ac:dyDescent="0.25">
      <c r="A5" t="s">
        <v>399</v>
      </c>
      <c r="B5" t="s">
        <v>3</v>
      </c>
      <c r="C5" t="s">
        <v>111</v>
      </c>
      <c r="D5" t="s">
        <v>74</v>
      </c>
      <c r="E5" t="s">
        <v>65</v>
      </c>
      <c r="F5" s="3">
        <v>4</v>
      </c>
      <c r="G5" s="14" t="s">
        <v>468</v>
      </c>
      <c r="H5" s="14" t="s">
        <v>467</v>
      </c>
      <c r="J5" s="14"/>
      <c r="K5" s="14"/>
      <c r="M5">
        <v>5</v>
      </c>
      <c r="P5" t="s">
        <v>234</v>
      </c>
      <c r="Q5">
        <v>6</v>
      </c>
      <c r="R5" t="s">
        <v>247</v>
      </c>
      <c r="S5" s="18">
        <v>9.2999999999999999E-2</v>
      </c>
      <c r="T5" s="18">
        <v>0.115</v>
      </c>
      <c r="U5" s="18">
        <v>0.191</v>
      </c>
      <c r="V5" s="19">
        <v>0</v>
      </c>
      <c r="W5" s="19">
        <v>0</v>
      </c>
      <c r="X5" s="19">
        <v>4.8500000000000001E-3</v>
      </c>
      <c r="Z5" t="s">
        <v>371</v>
      </c>
      <c r="AA5" s="26">
        <v>4</v>
      </c>
      <c r="AB5" s="1466" t="s">
        <v>2086</v>
      </c>
      <c r="AF5" s="58">
        <v>0.11</v>
      </c>
      <c r="AK5" t="s">
        <v>1195</v>
      </c>
      <c r="AL5" s="1466"/>
    </row>
    <row r="6" spans="1:38" x14ac:dyDescent="0.25">
      <c r="A6" t="s">
        <v>423</v>
      </c>
      <c r="B6" t="s">
        <v>8</v>
      </c>
      <c r="C6" t="s">
        <v>115</v>
      </c>
      <c r="D6" t="s">
        <v>34</v>
      </c>
      <c r="E6" t="s">
        <v>37</v>
      </c>
      <c r="F6" s="3">
        <v>5</v>
      </c>
      <c r="G6" s="14" t="s">
        <v>470</v>
      </c>
      <c r="H6" s="14" t="s">
        <v>467</v>
      </c>
      <c r="I6" s="14">
        <v>5</v>
      </c>
      <c r="J6" s="14"/>
      <c r="K6" s="14"/>
      <c r="P6" t="s">
        <v>235</v>
      </c>
      <c r="Q6">
        <v>7</v>
      </c>
      <c r="AA6" s="26">
        <v>5</v>
      </c>
      <c r="AB6" s="1466" t="s">
        <v>2087</v>
      </c>
      <c r="AF6" s="58">
        <v>0.12</v>
      </c>
      <c r="AK6" t="s">
        <v>1196</v>
      </c>
    </row>
    <row r="7" spans="1:38" x14ac:dyDescent="0.25">
      <c r="A7" t="s">
        <v>414</v>
      </c>
      <c r="B7" t="s">
        <v>18</v>
      </c>
      <c r="D7" t="s">
        <v>0</v>
      </c>
      <c r="E7"/>
      <c r="G7" s="14" t="s">
        <v>132</v>
      </c>
      <c r="H7" s="14"/>
      <c r="I7" s="14">
        <v>6</v>
      </c>
      <c r="J7" s="14"/>
      <c r="K7" s="14"/>
      <c r="P7" t="s">
        <v>236</v>
      </c>
      <c r="Q7">
        <v>8</v>
      </c>
      <c r="AA7" s="26">
        <v>6</v>
      </c>
      <c r="AB7" s="670"/>
    </row>
    <row r="8" spans="1:38" x14ac:dyDescent="0.25">
      <c r="A8" t="s">
        <v>417</v>
      </c>
      <c r="D8" t="s">
        <v>69</v>
      </c>
      <c r="E8"/>
      <c r="G8" s="14"/>
      <c r="H8" s="14"/>
      <c r="I8" s="14">
        <v>7</v>
      </c>
      <c r="J8" s="14"/>
      <c r="K8" s="14"/>
      <c r="P8" t="s">
        <v>237</v>
      </c>
      <c r="Q8">
        <v>9</v>
      </c>
      <c r="AA8" s="26">
        <v>7</v>
      </c>
    </row>
    <row r="9" spans="1:38" x14ac:dyDescent="0.25">
      <c r="A9" t="s">
        <v>410</v>
      </c>
      <c r="D9" t="s">
        <v>4</v>
      </c>
      <c r="E9"/>
      <c r="I9" s="14">
        <v>8</v>
      </c>
      <c r="J9" s="14"/>
      <c r="K9" s="14"/>
      <c r="AA9" s="26">
        <v>8</v>
      </c>
    </row>
    <row r="10" spans="1:38" x14ac:dyDescent="0.25">
      <c r="A10" t="s">
        <v>449</v>
      </c>
      <c r="D10" t="s">
        <v>35</v>
      </c>
      <c r="E10"/>
      <c r="I10" s="14">
        <v>8</v>
      </c>
      <c r="J10" s="14"/>
      <c r="K10" s="14"/>
      <c r="AA10" s="26">
        <v>9</v>
      </c>
    </row>
    <row r="11" spans="1:38" x14ac:dyDescent="0.25">
      <c r="A11" t="s">
        <v>421</v>
      </c>
      <c r="D11" t="s">
        <v>6</v>
      </c>
      <c r="E11"/>
      <c r="I11" s="14">
        <v>9</v>
      </c>
      <c r="J11" s="42" t="s">
        <v>474</v>
      </c>
      <c r="K11" s="44">
        <f>'EB_CM (Back)'!$B$7</f>
        <v>0</v>
      </c>
      <c r="L11" s="42" t="s">
        <v>472</v>
      </c>
      <c r="M11" s="1" t="s">
        <v>473</v>
      </c>
      <c r="AA11" s="26">
        <v>10</v>
      </c>
    </row>
    <row r="12" spans="1:38" x14ac:dyDescent="0.25">
      <c r="A12" t="s">
        <v>434</v>
      </c>
      <c r="D12" t="s">
        <v>15</v>
      </c>
      <c r="E12"/>
      <c r="G12" s="14"/>
      <c r="H12" s="14"/>
      <c r="I12" s="14">
        <v>10</v>
      </c>
      <c r="J12" s="42"/>
      <c r="K12" s="46">
        <f>IF($K$11&lt;$L$17,$M$17,IF($K$11&lt;$L$16,$M$16,IF($K$11&lt;$L$15,$M$15,IF($K$11&lt;$L$14,$M$14,IF($K$11&lt;$L$13,$M$13,$M$12)))))</f>
        <v>2.5000000000000001E-3</v>
      </c>
      <c r="L12" s="42">
        <v>0.69099999999999995</v>
      </c>
      <c r="M12" s="45">
        <v>0.02</v>
      </c>
      <c r="AA12" s="26">
        <v>11</v>
      </c>
    </row>
    <row r="13" spans="1:38" x14ac:dyDescent="0.25">
      <c r="A13" t="s">
        <v>448</v>
      </c>
      <c r="C13" t="s">
        <v>114</v>
      </c>
      <c r="D13" t="s">
        <v>45</v>
      </c>
      <c r="E13"/>
      <c r="G13" s="14"/>
      <c r="H13" s="14"/>
      <c r="I13" s="14"/>
      <c r="J13" s="14"/>
      <c r="L13" s="42">
        <v>0.55000000000000004</v>
      </c>
      <c r="M13" s="45">
        <v>1.4999999999999999E-2</v>
      </c>
      <c r="AA13">
        <v>12</v>
      </c>
    </row>
    <row r="14" spans="1:38" x14ac:dyDescent="0.25">
      <c r="A14" t="s">
        <v>403</v>
      </c>
      <c r="C14" t="s">
        <v>116</v>
      </c>
      <c r="D14" t="s">
        <v>48</v>
      </c>
      <c r="E14" t="s">
        <v>42</v>
      </c>
      <c r="G14" s="14"/>
      <c r="H14" s="14"/>
      <c r="I14" s="14"/>
      <c r="J14" s="14" t="s">
        <v>483</v>
      </c>
      <c r="L14" s="42">
        <v>0.5</v>
      </c>
      <c r="M14" s="45">
        <v>1.2500000000000001E-2</v>
      </c>
      <c r="AA14">
        <v>13</v>
      </c>
    </row>
    <row r="15" spans="1:38" x14ac:dyDescent="0.25">
      <c r="A15" t="s">
        <v>445</v>
      </c>
      <c r="C15" t="s">
        <v>118</v>
      </c>
      <c r="D15" t="s">
        <v>60</v>
      </c>
      <c r="E15" t="s">
        <v>29</v>
      </c>
      <c r="G15" s="9"/>
      <c r="H15" s="9"/>
      <c r="I15" s="9"/>
      <c r="J15" s="9"/>
      <c r="L15" s="43">
        <v>0.43009999999999998</v>
      </c>
      <c r="M15" s="45">
        <v>0.01</v>
      </c>
      <c r="AA15">
        <v>14</v>
      </c>
    </row>
    <row r="16" spans="1:38" x14ac:dyDescent="0.25">
      <c r="A16" t="s">
        <v>409</v>
      </c>
      <c r="C16" t="s">
        <v>117</v>
      </c>
      <c r="D16" t="s">
        <v>20</v>
      </c>
      <c r="E16" t="s">
        <v>64</v>
      </c>
      <c r="G16" s="9"/>
      <c r="H16" s="9"/>
      <c r="I16" s="9"/>
      <c r="J16" s="9"/>
      <c r="L16" s="43">
        <v>0.30010000000000003</v>
      </c>
      <c r="M16" s="45">
        <v>5.0000000000000001E-3</v>
      </c>
      <c r="AA16">
        <v>15</v>
      </c>
    </row>
    <row r="17" spans="1:27" x14ac:dyDescent="0.25">
      <c r="A17" t="s">
        <v>412</v>
      </c>
      <c r="D17" t="s">
        <v>36</v>
      </c>
      <c r="E17" t="s">
        <v>19</v>
      </c>
      <c r="G17" s="9"/>
      <c r="H17" s="9"/>
      <c r="I17" s="9"/>
      <c r="J17" s="9"/>
      <c r="L17" s="43">
        <v>0.1</v>
      </c>
      <c r="M17" s="45">
        <v>2.5000000000000001E-3</v>
      </c>
      <c r="AA17">
        <v>16</v>
      </c>
    </row>
    <row r="18" spans="1:27" x14ac:dyDescent="0.25">
      <c r="A18" t="s">
        <v>402</v>
      </c>
      <c r="D18" t="s">
        <v>71</v>
      </c>
      <c r="E18" t="s">
        <v>121</v>
      </c>
      <c r="G18" s="9"/>
      <c r="H18" s="9"/>
      <c r="I18" s="9"/>
      <c r="J18" s="9"/>
      <c r="K18" s="9"/>
      <c r="AA18">
        <v>17</v>
      </c>
    </row>
    <row r="19" spans="1:27" x14ac:dyDescent="0.25">
      <c r="A19" t="s">
        <v>441</v>
      </c>
      <c r="D19" t="s">
        <v>11</v>
      </c>
      <c r="E19" t="s">
        <v>58</v>
      </c>
      <c r="G19" s="9"/>
      <c r="H19" s="9"/>
      <c r="I19" s="9"/>
      <c r="J19" s="43" t="s">
        <v>217</v>
      </c>
      <c r="K19" s="43" t="e">
        <f>#REF!/(#REF!*52)</f>
        <v>#REF!</v>
      </c>
      <c r="L19" s="1" t="s">
        <v>475</v>
      </c>
      <c r="M19" s="1" t="s">
        <v>476</v>
      </c>
      <c r="AA19">
        <v>18</v>
      </c>
    </row>
    <row r="20" spans="1:27" x14ac:dyDescent="0.25">
      <c r="A20" t="s">
        <v>425</v>
      </c>
      <c r="D20" t="s">
        <v>9</v>
      </c>
      <c r="E20" t="s">
        <v>22</v>
      </c>
      <c r="G20" s="9"/>
      <c r="H20" s="9"/>
      <c r="I20" s="9"/>
      <c r="J20" s="43"/>
      <c r="K20" s="43" t="e">
        <f>IF($K$19&lt;$L$24,$M$24,IF($K$19&lt;$L$23,$M$23,IF($K$19&lt;$L$22,$M$22,IF($K$19&lt;$L$21,$M$21,$M$20))))</f>
        <v>#REF!</v>
      </c>
      <c r="L20" s="1"/>
      <c r="M20" s="45">
        <v>1.4999999999999999E-2</v>
      </c>
      <c r="AA20">
        <v>19</v>
      </c>
    </row>
    <row r="21" spans="1:27" x14ac:dyDescent="0.25">
      <c r="A21" t="s">
        <v>437</v>
      </c>
      <c r="D21" t="s">
        <v>38</v>
      </c>
      <c r="E21" t="s">
        <v>43</v>
      </c>
      <c r="G21" s="9"/>
      <c r="H21" s="9"/>
      <c r="I21" s="9"/>
      <c r="J21" s="9"/>
      <c r="K21" s="9"/>
      <c r="L21" s="1">
        <v>3133.9311044776123</v>
      </c>
      <c r="M21" s="45">
        <v>0.01</v>
      </c>
      <c r="AA21">
        <v>20</v>
      </c>
    </row>
    <row r="22" spans="1:27" x14ac:dyDescent="0.25">
      <c r="A22" t="s">
        <v>407</v>
      </c>
      <c r="D22" t="s">
        <v>259</v>
      </c>
      <c r="E22" t="s">
        <v>10</v>
      </c>
      <c r="L22" s="1">
        <v>2118.2275862069</v>
      </c>
      <c r="M22" s="45">
        <v>7.4999999999999997E-3</v>
      </c>
    </row>
    <row r="23" spans="1:27" x14ac:dyDescent="0.25">
      <c r="A23" t="s">
        <v>427</v>
      </c>
      <c r="D23" t="s">
        <v>255</v>
      </c>
      <c r="E23" t="s">
        <v>55</v>
      </c>
      <c r="L23" s="1">
        <v>1484.5700242718401</v>
      </c>
      <c r="M23" s="45">
        <v>5.0000000000000001E-3</v>
      </c>
    </row>
    <row r="24" spans="1:27" x14ac:dyDescent="0.25">
      <c r="A24" t="s">
        <v>418</v>
      </c>
      <c r="D24" t="s">
        <v>256</v>
      </c>
      <c r="E24" t="s">
        <v>26</v>
      </c>
      <c r="L24" s="1">
        <v>968.90328358209001</v>
      </c>
      <c r="M24" s="45">
        <v>0</v>
      </c>
    </row>
    <row r="25" spans="1:27" ht="18.75" x14ac:dyDescent="0.3">
      <c r="A25" t="s">
        <v>443</v>
      </c>
      <c r="D25" t="s">
        <v>257</v>
      </c>
      <c r="E25" t="s">
        <v>50</v>
      </c>
      <c r="G25" s="11"/>
      <c r="H25" s="11"/>
      <c r="I25" s="11"/>
      <c r="J25" s="11"/>
      <c r="K25" s="11"/>
    </row>
    <row r="26" spans="1:27" x14ac:dyDescent="0.25">
      <c r="A26" t="s">
        <v>432</v>
      </c>
      <c r="D26" t="s">
        <v>258</v>
      </c>
      <c r="E26" t="s">
        <v>67</v>
      </c>
    </row>
    <row r="27" spans="1:27" x14ac:dyDescent="0.25">
      <c r="A27" t="s">
        <v>398</v>
      </c>
      <c r="D27" t="s">
        <v>260</v>
      </c>
      <c r="E27" t="s">
        <v>32</v>
      </c>
    </row>
    <row r="28" spans="1:27" x14ac:dyDescent="0.25">
      <c r="A28" t="s">
        <v>401</v>
      </c>
      <c r="D28" t="s">
        <v>261</v>
      </c>
      <c r="E28" t="s">
        <v>80</v>
      </c>
    </row>
    <row r="29" spans="1:27" x14ac:dyDescent="0.25">
      <c r="A29" t="s">
        <v>446</v>
      </c>
      <c r="D29" t="s">
        <v>262</v>
      </c>
      <c r="E29" t="s">
        <v>46</v>
      </c>
    </row>
    <row r="30" spans="1:27" x14ac:dyDescent="0.25">
      <c r="A30" t="s">
        <v>431</v>
      </c>
      <c r="D30" t="s">
        <v>263</v>
      </c>
      <c r="E30" t="s">
        <v>77</v>
      </c>
    </row>
    <row r="31" spans="1:27" x14ac:dyDescent="0.25">
      <c r="A31" t="s">
        <v>436</v>
      </c>
      <c r="E31" t="s">
        <v>65</v>
      </c>
    </row>
    <row r="32" spans="1:27" x14ac:dyDescent="0.25">
      <c r="A32" t="s">
        <v>426</v>
      </c>
      <c r="E32" t="s">
        <v>37</v>
      </c>
    </row>
    <row r="33" spans="1:5" x14ac:dyDescent="0.25">
      <c r="A33" t="s">
        <v>420</v>
      </c>
      <c r="D33" t="s">
        <v>259</v>
      </c>
      <c r="E33" t="s">
        <v>2</v>
      </c>
    </row>
    <row r="34" spans="1:5" x14ac:dyDescent="0.25">
      <c r="A34" t="s">
        <v>439</v>
      </c>
      <c r="D34" t="s">
        <v>255</v>
      </c>
      <c r="E34" t="s">
        <v>52</v>
      </c>
    </row>
    <row r="35" spans="1:5" x14ac:dyDescent="0.25">
      <c r="A35" t="s">
        <v>406</v>
      </c>
      <c r="D35" t="s">
        <v>256</v>
      </c>
      <c r="E35" t="s">
        <v>76</v>
      </c>
    </row>
    <row r="36" spans="1:5" x14ac:dyDescent="0.25">
      <c r="A36" t="s">
        <v>428</v>
      </c>
      <c r="D36" t="s">
        <v>257</v>
      </c>
      <c r="E36" t="s">
        <v>63</v>
      </c>
    </row>
    <row r="37" spans="1:5" x14ac:dyDescent="0.25">
      <c r="A37" t="s">
        <v>424</v>
      </c>
      <c r="D37" t="s">
        <v>258</v>
      </c>
      <c r="E37" t="s">
        <v>68</v>
      </c>
    </row>
    <row r="38" spans="1:5" x14ac:dyDescent="0.25">
      <c r="A38" t="s">
        <v>440</v>
      </c>
      <c r="D38" t="s">
        <v>260</v>
      </c>
      <c r="E38" t="s">
        <v>21</v>
      </c>
    </row>
    <row r="39" spans="1:5" x14ac:dyDescent="0.25">
      <c r="A39" t="s">
        <v>429</v>
      </c>
      <c r="D39" t="s">
        <v>261</v>
      </c>
      <c r="E39" t="s">
        <v>51</v>
      </c>
    </row>
    <row r="40" spans="1:5" x14ac:dyDescent="0.25">
      <c r="A40" t="s">
        <v>404</v>
      </c>
      <c r="D40" t="s">
        <v>262</v>
      </c>
      <c r="E40" t="s">
        <v>41</v>
      </c>
    </row>
    <row r="41" spans="1:5" x14ac:dyDescent="0.25">
      <c r="A41" t="s">
        <v>405</v>
      </c>
      <c r="D41" t="s">
        <v>263</v>
      </c>
      <c r="E41" t="s">
        <v>28</v>
      </c>
    </row>
    <row r="42" spans="1:5" x14ac:dyDescent="0.25">
      <c r="A42" t="s">
        <v>416</v>
      </c>
      <c r="E42" t="s">
        <v>39</v>
      </c>
    </row>
    <row r="43" spans="1:5" x14ac:dyDescent="0.25">
      <c r="A43" t="s">
        <v>435</v>
      </c>
      <c r="E43" t="s">
        <v>49</v>
      </c>
    </row>
    <row r="44" spans="1:5" x14ac:dyDescent="0.25">
      <c r="A44" t="s">
        <v>415</v>
      </c>
      <c r="E44" t="s">
        <v>241</v>
      </c>
    </row>
    <row r="45" spans="1:5" x14ac:dyDescent="0.25">
      <c r="A45" t="s">
        <v>411</v>
      </c>
      <c r="E45" t="s">
        <v>66</v>
      </c>
    </row>
    <row r="46" spans="1:5" x14ac:dyDescent="0.25">
      <c r="A46" t="s">
        <v>400</v>
      </c>
      <c r="E46" t="s">
        <v>70</v>
      </c>
    </row>
    <row r="47" spans="1:5" x14ac:dyDescent="0.25">
      <c r="A47" t="s">
        <v>450</v>
      </c>
      <c r="E47" t="s">
        <v>24</v>
      </c>
    </row>
    <row r="48" spans="1:5" x14ac:dyDescent="0.25">
      <c r="A48" t="s">
        <v>438</v>
      </c>
      <c r="E48" t="s">
        <v>72</v>
      </c>
    </row>
    <row r="49" spans="1:5" x14ac:dyDescent="0.25">
      <c r="A49" t="s">
        <v>442</v>
      </c>
      <c r="E49" t="s">
        <v>27</v>
      </c>
    </row>
    <row r="50" spans="1:5" x14ac:dyDescent="0.25">
      <c r="A50" t="s">
        <v>422</v>
      </c>
      <c r="E50" t="s">
        <v>59</v>
      </c>
    </row>
    <row r="51" spans="1:5" x14ac:dyDescent="0.25">
      <c r="A51" t="s">
        <v>413</v>
      </c>
      <c r="E51" t="s">
        <v>54</v>
      </c>
    </row>
    <row r="52" spans="1:5" x14ac:dyDescent="0.25">
      <c r="A52" t="s">
        <v>408</v>
      </c>
      <c r="E52" t="s">
        <v>122</v>
      </c>
    </row>
    <row r="53" spans="1:5" x14ac:dyDescent="0.25">
      <c r="A53" t="s">
        <v>433</v>
      </c>
      <c r="E53" t="s">
        <v>7</v>
      </c>
    </row>
    <row r="54" spans="1:5" x14ac:dyDescent="0.25">
      <c r="A54" t="s">
        <v>447</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election activeCell="G21" sqref="G21"/>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374</v>
      </c>
      <c r="B1" s="29" t="s">
        <v>85</v>
      </c>
      <c r="C1" s="28" t="s">
        <v>193</v>
      </c>
      <c r="D1" s="28" t="s">
        <v>84</v>
      </c>
      <c r="E1" s="28" t="s">
        <v>375</v>
      </c>
      <c r="F1" s="28" t="s">
        <v>374</v>
      </c>
      <c r="G1" s="29" t="s">
        <v>85</v>
      </c>
    </row>
    <row r="2" spans="1:7" x14ac:dyDescent="0.25">
      <c r="A2" s="1044" t="s">
        <v>137</v>
      </c>
      <c r="B2" s="1047" t="s">
        <v>13</v>
      </c>
      <c r="C2" s="30" t="s">
        <v>379</v>
      </c>
      <c r="D2" s="30" t="s">
        <v>12</v>
      </c>
      <c r="E2" s="1044">
        <v>2140</v>
      </c>
      <c r="F2" s="1044" t="s">
        <v>137</v>
      </c>
      <c r="G2" s="1047" t="s">
        <v>13</v>
      </c>
    </row>
    <row r="3" spans="1:7" x14ac:dyDescent="0.25">
      <c r="A3" s="1040" t="s">
        <v>138</v>
      </c>
      <c r="B3" s="1043" t="s">
        <v>18</v>
      </c>
      <c r="C3" s="1041" t="s">
        <v>1122</v>
      </c>
      <c r="D3" s="1041" t="s">
        <v>56</v>
      </c>
      <c r="E3" s="1040">
        <v>1933</v>
      </c>
      <c r="F3" s="1040" t="s">
        <v>138</v>
      </c>
      <c r="G3" s="1043" t="s">
        <v>18</v>
      </c>
    </row>
    <row r="4" spans="1:7" x14ac:dyDescent="0.25">
      <c r="A4" s="1040" t="s">
        <v>189</v>
      </c>
      <c r="B4" s="1043" t="s">
        <v>13</v>
      </c>
      <c r="C4" s="1041" t="s">
        <v>376</v>
      </c>
      <c r="D4" s="1041" t="s">
        <v>33</v>
      </c>
      <c r="E4" s="1040">
        <v>2110</v>
      </c>
      <c r="F4" s="1040" t="s">
        <v>189</v>
      </c>
      <c r="G4" s="1043" t="s">
        <v>13</v>
      </c>
    </row>
    <row r="5" spans="1:7" x14ac:dyDescent="0.25">
      <c r="A5" s="1040" t="s">
        <v>1107</v>
      </c>
      <c r="B5" s="1043" t="s">
        <v>18</v>
      </c>
      <c r="C5" s="1041" t="s">
        <v>1108</v>
      </c>
      <c r="D5" s="1041" t="s">
        <v>1108</v>
      </c>
      <c r="E5" s="1040">
        <v>4190</v>
      </c>
      <c r="F5" s="1040" t="s">
        <v>1107</v>
      </c>
      <c r="G5" s="1043" t="s">
        <v>18</v>
      </c>
    </row>
    <row r="6" spans="1:7" x14ac:dyDescent="0.25">
      <c r="A6" s="1040" t="s">
        <v>160</v>
      </c>
      <c r="B6" s="1043" t="s">
        <v>8</v>
      </c>
      <c r="C6" s="1041" t="s">
        <v>381</v>
      </c>
      <c r="D6" s="1041" t="s">
        <v>5</v>
      </c>
      <c r="E6" s="1040">
        <v>2220</v>
      </c>
      <c r="F6" s="1040" t="s">
        <v>160</v>
      </c>
      <c r="G6" s="1043" t="s">
        <v>8</v>
      </c>
    </row>
    <row r="7" spans="1:7" x14ac:dyDescent="0.25">
      <c r="A7" s="1040" t="s">
        <v>144</v>
      </c>
      <c r="B7" s="1043" t="s">
        <v>1328</v>
      </c>
      <c r="C7" s="1041" t="s">
        <v>382</v>
      </c>
      <c r="D7" s="1041" t="s">
        <v>42</v>
      </c>
      <c r="E7" s="1040">
        <v>3023</v>
      </c>
      <c r="F7" s="1040" t="s">
        <v>144</v>
      </c>
      <c r="G7" s="1043" t="s">
        <v>1328</v>
      </c>
    </row>
    <row r="8" spans="1:7" x14ac:dyDescent="0.25">
      <c r="A8" s="1040" t="s">
        <v>1109</v>
      </c>
      <c r="B8" s="1043" t="s">
        <v>18</v>
      </c>
      <c r="C8" s="1041" t="s">
        <v>390</v>
      </c>
      <c r="D8" s="1041" t="s">
        <v>1110</v>
      </c>
      <c r="E8" s="1040">
        <v>3310</v>
      </c>
      <c r="F8" s="1040" t="s">
        <v>1109</v>
      </c>
      <c r="G8" s="1043" t="s">
        <v>18</v>
      </c>
    </row>
    <row r="9" spans="1:7" x14ac:dyDescent="0.25">
      <c r="A9" s="1040" t="s">
        <v>180</v>
      </c>
      <c r="B9" s="1043" t="s">
        <v>1328</v>
      </c>
      <c r="C9" s="1041" t="s">
        <v>1012</v>
      </c>
      <c r="D9" s="1041" t="s">
        <v>847</v>
      </c>
      <c r="E9" s="1040">
        <v>2345</v>
      </c>
      <c r="F9" s="1040" t="s">
        <v>180</v>
      </c>
      <c r="G9" s="1043" t="s">
        <v>1328</v>
      </c>
    </row>
    <row r="10" spans="1:7" x14ac:dyDescent="0.25">
      <c r="A10" s="1040" t="s">
        <v>141</v>
      </c>
      <c r="B10" s="1043" t="s">
        <v>8</v>
      </c>
      <c r="C10" s="1041" t="s">
        <v>388</v>
      </c>
      <c r="D10" s="1041" t="s">
        <v>29</v>
      </c>
      <c r="E10" s="1040">
        <v>3135</v>
      </c>
      <c r="F10" s="1040" t="s">
        <v>141</v>
      </c>
      <c r="G10" s="1043" t="s">
        <v>8</v>
      </c>
    </row>
    <row r="11" spans="1:7" x14ac:dyDescent="0.25">
      <c r="A11" s="1040" t="s">
        <v>186</v>
      </c>
      <c r="B11" s="1043" t="s">
        <v>13</v>
      </c>
      <c r="C11" s="1041" t="s">
        <v>1017</v>
      </c>
      <c r="D11" s="1041" t="s">
        <v>64</v>
      </c>
      <c r="E11" s="1040">
        <v>2148</v>
      </c>
      <c r="F11" s="1040" t="s">
        <v>186</v>
      </c>
      <c r="G11" s="1043" t="s">
        <v>13</v>
      </c>
    </row>
    <row r="12" spans="1:7" x14ac:dyDescent="0.25">
      <c r="A12" s="1040" t="s">
        <v>185</v>
      </c>
      <c r="B12" s="1043" t="s">
        <v>13</v>
      </c>
      <c r="C12" s="1041" t="s">
        <v>379</v>
      </c>
      <c r="D12" s="1041" t="s">
        <v>19</v>
      </c>
      <c r="E12" s="1040">
        <v>2190</v>
      </c>
      <c r="F12" s="1040" t="s">
        <v>185</v>
      </c>
      <c r="G12" s="1043" t="s">
        <v>13</v>
      </c>
    </row>
    <row r="13" spans="1:7" x14ac:dyDescent="0.25">
      <c r="A13" s="1040" t="s">
        <v>162</v>
      </c>
      <c r="B13" s="1043" t="s">
        <v>8</v>
      </c>
      <c r="C13" s="1041" t="s">
        <v>389</v>
      </c>
      <c r="D13" s="1041" t="s">
        <v>121</v>
      </c>
      <c r="E13" s="1040">
        <v>2210</v>
      </c>
      <c r="F13" s="1040" t="s">
        <v>162</v>
      </c>
      <c r="G13" s="1043" t="s">
        <v>8</v>
      </c>
    </row>
    <row r="14" spans="1:7" x14ac:dyDescent="0.25">
      <c r="A14" s="1040" t="s">
        <v>174</v>
      </c>
      <c r="B14" s="1043" t="s">
        <v>1328</v>
      </c>
      <c r="C14" s="1041" t="s">
        <v>194</v>
      </c>
      <c r="D14" s="1041" t="s">
        <v>58</v>
      </c>
      <c r="E14" s="1040">
        <v>2099</v>
      </c>
      <c r="F14" s="1040" t="s">
        <v>174</v>
      </c>
      <c r="G14" s="1043" t="s">
        <v>1328</v>
      </c>
    </row>
    <row r="15" spans="1:7" x14ac:dyDescent="0.25">
      <c r="A15" s="1040" t="s">
        <v>175</v>
      </c>
      <c r="B15" s="1043" t="s">
        <v>13</v>
      </c>
      <c r="C15" s="1041" t="s">
        <v>195</v>
      </c>
      <c r="D15" s="1041" t="s">
        <v>22</v>
      </c>
      <c r="E15" s="1040">
        <v>1103</v>
      </c>
      <c r="F15" s="1040" t="s">
        <v>175</v>
      </c>
      <c r="G15" s="1043" t="s">
        <v>13</v>
      </c>
    </row>
    <row r="16" spans="1:7" x14ac:dyDescent="0.25">
      <c r="A16" s="1040" t="s">
        <v>173</v>
      </c>
      <c r="B16" s="1043" t="s">
        <v>13</v>
      </c>
      <c r="C16" s="1041" t="s">
        <v>196</v>
      </c>
      <c r="D16" s="1041" t="s">
        <v>43</v>
      </c>
      <c r="E16" s="1040">
        <v>1104</v>
      </c>
      <c r="F16" s="1040" t="s">
        <v>173</v>
      </c>
      <c r="G16" s="1043" t="s">
        <v>13</v>
      </c>
    </row>
    <row r="17" spans="1:7" x14ac:dyDescent="0.25">
      <c r="A17" s="1040" t="s">
        <v>163</v>
      </c>
      <c r="B17" s="1043" t="s">
        <v>8</v>
      </c>
      <c r="C17" s="1041" t="s">
        <v>387</v>
      </c>
      <c r="D17" s="1041" t="s">
        <v>10</v>
      </c>
      <c r="E17" s="1040">
        <v>2260</v>
      </c>
      <c r="F17" s="1040" t="s">
        <v>163</v>
      </c>
      <c r="G17" s="1043" t="s">
        <v>8</v>
      </c>
    </row>
    <row r="18" spans="1:7" x14ac:dyDescent="0.25">
      <c r="A18" s="1040" t="s">
        <v>192</v>
      </c>
      <c r="B18" s="1043" t="s">
        <v>13</v>
      </c>
      <c r="C18" s="1041" t="s">
        <v>61</v>
      </c>
      <c r="D18" s="1041" t="s">
        <v>846</v>
      </c>
      <c r="E18" s="1040">
        <v>2020</v>
      </c>
      <c r="F18" s="1040" t="s">
        <v>192</v>
      </c>
      <c r="G18" s="1043" t="s">
        <v>13</v>
      </c>
    </row>
    <row r="19" spans="1:7" x14ac:dyDescent="0.25">
      <c r="A19" s="1040" t="s">
        <v>165</v>
      </c>
      <c r="B19" s="1043" t="s">
        <v>18</v>
      </c>
      <c r="C19" s="1041" t="s">
        <v>393</v>
      </c>
      <c r="D19" s="1041" t="s">
        <v>55</v>
      </c>
      <c r="E19" s="1040">
        <v>4150</v>
      </c>
      <c r="F19" s="1040" t="s">
        <v>165</v>
      </c>
      <c r="G19" s="1043" t="s">
        <v>18</v>
      </c>
    </row>
    <row r="20" spans="1:7" x14ac:dyDescent="0.25">
      <c r="A20" s="1040" t="s">
        <v>146</v>
      </c>
      <c r="B20" s="1043" t="s">
        <v>1328</v>
      </c>
      <c r="C20" s="1041" t="s">
        <v>383</v>
      </c>
      <c r="D20" s="1041" t="s">
        <v>26</v>
      </c>
      <c r="E20" s="1040">
        <v>3150</v>
      </c>
      <c r="F20" s="1040" t="s">
        <v>146</v>
      </c>
      <c r="G20" s="1043" t="s">
        <v>1328</v>
      </c>
    </row>
    <row r="21" spans="1:7" x14ac:dyDescent="0.25">
      <c r="A21" s="1040" t="s">
        <v>1111</v>
      </c>
      <c r="B21" s="1043" t="s">
        <v>1328</v>
      </c>
      <c r="C21" s="1041" t="s">
        <v>392</v>
      </c>
      <c r="D21" s="1041" t="s">
        <v>1112</v>
      </c>
      <c r="E21" s="1040">
        <v>3340</v>
      </c>
      <c r="F21" s="1040" t="s">
        <v>1111</v>
      </c>
      <c r="G21" s="1043" t="s">
        <v>1328</v>
      </c>
    </row>
    <row r="22" spans="1:7" x14ac:dyDescent="0.25">
      <c r="A22" s="1040" t="s">
        <v>147</v>
      </c>
      <c r="B22" s="1043" t="s">
        <v>1328</v>
      </c>
      <c r="C22" s="1041" t="s">
        <v>392</v>
      </c>
      <c r="D22" s="1041" t="s">
        <v>1113</v>
      </c>
      <c r="E22" s="1040">
        <v>3160</v>
      </c>
      <c r="F22" s="1040" t="s">
        <v>147</v>
      </c>
      <c r="G22" s="1043" t="s">
        <v>1328</v>
      </c>
    </row>
    <row r="23" spans="1:7" x14ac:dyDescent="0.25">
      <c r="A23" s="1040" t="s">
        <v>142</v>
      </c>
      <c r="B23" s="1043" t="s">
        <v>13</v>
      </c>
      <c r="C23" s="1041" t="s">
        <v>196</v>
      </c>
      <c r="D23" s="1041" t="s">
        <v>67</v>
      </c>
      <c r="E23" s="1040">
        <v>1106</v>
      </c>
      <c r="F23" s="1040" t="s">
        <v>142</v>
      </c>
      <c r="G23" s="1043" t="s">
        <v>13</v>
      </c>
    </row>
    <row r="24" spans="1:7" x14ac:dyDescent="0.25">
      <c r="A24" s="1040" t="s">
        <v>1123</v>
      </c>
      <c r="B24" s="1043" t="s">
        <v>1734</v>
      </c>
      <c r="C24" s="1041" t="s">
        <v>1124</v>
      </c>
      <c r="D24" s="1041" t="s">
        <v>1125</v>
      </c>
      <c r="E24" s="1040">
        <v>4175</v>
      </c>
      <c r="F24" s="1040" t="s">
        <v>1123</v>
      </c>
      <c r="G24" s="1043" t="s">
        <v>1734</v>
      </c>
    </row>
    <row r="25" spans="1:7" x14ac:dyDescent="0.25">
      <c r="A25" s="1040" t="s">
        <v>156</v>
      </c>
      <c r="B25" s="1043" t="s">
        <v>8</v>
      </c>
      <c r="C25" s="1041" t="s">
        <v>389</v>
      </c>
      <c r="D25" s="1041" t="s">
        <v>32</v>
      </c>
      <c r="E25" s="1040">
        <v>2250</v>
      </c>
      <c r="F25" s="1040" t="s">
        <v>156</v>
      </c>
      <c r="G25" s="1043" t="s">
        <v>8</v>
      </c>
    </row>
    <row r="26" spans="1:7" x14ac:dyDescent="0.25">
      <c r="A26" s="1040" t="s">
        <v>178</v>
      </c>
      <c r="B26" s="1043" t="s">
        <v>1328</v>
      </c>
      <c r="C26" s="1041" t="s">
        <v>1012</v>
      </c>
      <c r="D26" s="1041" t="s">
        <v>848</v>
      </c>
      <c r="E26" s="1040">
        <v>2340</v>
      </c>
      <c r="F26" s="1040" t="s">
        <v>178</v>
      </c>
      <c r="G26" s="1043" t="s">
        <v>1328</v>
      </c>
    </row>
    <row r="27" spans="1:7" x14ac:dyDescent="0.25">
      <c r="A27" s="1040" t="s">
        <v>1015</v>
      </c>
      <c r="B27" s="1043" t="s">
        <v>1328</v>
      </c>
      <c r="C27" s="1041" t="s">
        <v>198</v>
      </c>
      <c r="D27" s="1041" t="s">
        <v>1016</v>
      </c>
      <c r="E27" s="1040">
        <v>2365</v>
      </c>
      <c r="F27" s="1040" t="s">
        <v>1015</v>
      </c>
      <c r="G27" s="1043" t="s">
        <v>1328</v>
      </c>
    </row>
    <row r="28" spans="1:7" x14ac:dyDescent="0.25">
      <c r="A28" s="1040" t="s">
        <v>145</v>
      </c>
      <c r="B28" s="1043" t="s">
        <v>1328</v>
      </c>
      <c r="C28" s="1041" t="s">
        <v>382</v>
      </c>
      <c r="D28" s="1041" t="s">
        <v>80</v>
      </c>
      <c r="E28" s="1040">
        <v>3126</v>
      </c>
      <c r="F28" s="1040" t="s">
        <v>145</v>
      </c>
      <c r="G28" s="1043" t="s">
        <v>1328</v>
      </c>
    </row>
    <row r="29" spans="1:7" x14ac:dyDescent="0.25">
      <c r="A29" s="1040" t="s">
        <v>176</v>
      </c>
      <c r="B29" s="1043" t="s">
        <v>13</v>
      </c>
      <c r="C29" s="1041" t="s">
        <v>195</v>
      </c>
      <c r="D29" s="1041" t="s">
        <v>46</v>
      </c>
      <c r="E29" s="1040">
        <v>1054</v>
      </c>
      <c r="F29" s="1040" t="s">
        <v>176</v>
      </c>
      <c r="G29" s="1043" t="s">
        <v>13</v>
      </c>
    </row>
    <row r="30" spans="1:7" x14ac:dyDescent="0.25">
      <c r="A30" s="1040" t="s">
        <v>154</v>
      </c>
      <c r="B30" s="1043" t="s">
        <v>1328</v>
      </c>
      <c r="C30" s="1041" t="s">
        <v>199</v>
      </c>
      <c r="D30" s="1041" t="s">
        <v>77</v>
      </c>
      <c r="E30" s="1040">
        <v>2370</v>
      </c>
      <c r="F30" s="1040" t="s">
        <v>154</v>
      </c>
      <c r="G30" s="1043" t="s">
        <v>1328</v>
      </c>
    </row>
    <row r="31" spans="1:7" x14ac:dyDescent="0.25">
      <c r="A31" s="1040" t="s">
        <v>148</v>
      </c>
      <c r="B31" s="1043" t="s">
        <v>8</v>
      </c>
      <c r="C31" s="1041" t="s">
        <v>380</v>
      </c>
      <c r="D31" s="1041" t="s">
        <v>65</v>
      </c>
      <c r="E31" s="1040">
        <v>3186</v>
      </c>
      <c r="F31" s="1040" t="s">
        <v>148</v>
      </c>
      <c r="G31" s="1043" t="s">
        <v>8</v>
      </c>
    </row>
    <row r="32" spans="1:7" x14ac:dyDescent="0.25">
      <c r="A32" s="1040" t="s">
        <v>151</v>
      </c>
      <c r="B32" s="1043" t="s">
        <v>1328</v>
      </c>
      <c r="C32" s="1041" t="s">
        <v>198</v>
      </c>
      <c r="D32" s="1041" t="s">
        <v>37</v>
      </c>
      <c r="E32" s="1040">
        <v>3230</v>
      </c>
      <c r="F32" s="1040" t="s">
        <v>151</v>
      </c>
      <c r="G32" s="1043" t="s">
        <v>1328</v>
      </c>
    </row>
    <row r="33" spans="1:7" x14ac:dyDescent="0.25">
      <c r="A33" s="1040" t="s">
        <v>152</v>
      </c>
      <c r="B33" s="1043" t="s">
        <v>8</v>
      </c>
      <c r="C33" s="1041" t="s">
        <v>381</v>
      </c>
      <c r="D33" s="1041" t="s">
        <v>2</v>
      </c>
      <c r="E33" s="1040">
        <v>2270</v>
      </c>
      <c r="F33" s="1040" t="s">
        <v>152</v>
      </c>
      <c r="G33" s="1043" t="s">
        <v>8</v>
      </c>
    </row>
    <row r="34" spans="1:7" x14ac:dyDescent="0.25">
      <c r="A34" s="1040" t="s">
        <v>177</v>
      </c>
      <c r="B34" s="1043" t="s">
        <v>18</v>
      </c>
      <c r="C34" s="1041" t="s">
        <v>394</v>
      </c>
      <c r="D34" s="1041" t="s">
        <v>52</v>
      </c>
      <c r="E34" s="1040">
        <v>4100</v>
      </c>
      <c r="F34" s="1040" t="s">
        <v>177</v>
      </c>
      <c r="G34" s="1043" t="s">
        <v>18</v>
      </c>
    </row>
    <row r="35" spans="1:7" x14ac:dyDescent="0.25">
      <c r="A35" s="1040" t="s">
        <v>155</v>
      </c>
      <c r="B35" s="1043" t="s">
        <v>8</v>
      </c>
      <c r="C35" s="1041" t="s">
        <v>1019</v>
      </c>
      <c r="D35" s="1041" t="s">
        <v>76</v>
      </c>
      <c r="E35" s="1040">
        <v>3051</v>
      </c>
      <c r="F35" s="1040" t="s">
        <v>155</v>
      </c>
      <c r="G35" s="1043" t="s">
        <v>8</v>
      </c>
    </row>
    <row r="36" spans="1:7" x14ac:dyDescent="0.25">
      <c r="A36" s="1040" t="s">
        <v>172</v>
      </c>
      <c r="B36" s="1043" t="s">
        <v>18</v>
      </c>
      <c r="C36" s="1041" t="s">
        <v>393</v>
      </c>
      <c r="D36" s="1041" t="s">
        <v>63</v>
      </c>
      <c r="E36" s="1040">
        <v>4120</v>
      </c>
      <c r="F36" s="1040" t="s">
        <v>172</v>
      </c>
      <c r="G36" s="1043" t="s">
        <v>18</v>
      </c>
    </row>
    <row r="37" spans="1:7" x14ac:dyDescent="0.25">
      <c r="A37" s="1040" t="s">
        <v>149</v>
      </c>
      <c r="B37" s="1043" t="s">
        <v>18</v>
      </c>
      <c r="C37" s="1041" t="s">
        <v>1122</v>
      </c>
      <c r="D37" s="1041" t="s">
        <v>68</v>
      </c>
      <c r="E37" s="1040">
        <v>3120</v>
      </c>
      <c r="F37" s="1040" t="s">
        <v>149</v>
      </c>
      <c r="G37" s="1043" t="s">
        <v>18</v>
      </c>
    </row>
    <row r="38" spans="1:7" x14ac:dyDescent="0.25">
      <c r="A38" s="1040" t="s">
        <v>159</v>
      </c>
      <c r="B38" s="1043" t="s">
        <v>13</v>
      </c>
      <c r="C38" s="1041" t="s">
        <v>385</v>
      </c>
      <c r="D38" s="1041" t="s">
        <v>21</v>
      </c>
      <c r="E38" s="1040">
        <v>2125</v>
      </c>
      <c r="F38" s="1040" t="s">
        <v>159</v>
      </c>
      <c r="G38" s="1043" t="s">
        <v>13</v>
      </c>
    </row>
    <row r="39" spans="1:7" x14ac:dyDescent="0.25">
      <c r="A39" s="1040" t="s">
        <v>140</v>
      </c>
      <c r="B39" s="1043" t="s">
        <v>8</v>
      </c>
      <c r="C39" s="1041" t="s">
        <v>1019</v>
      </c>
      <c r="D39" s="1041" t="s">
        <v>51</v>
      </c>
      <c r="E39" s="1040">
        <v>3147</v>
      </c>
      <c r="F39" s="1040" t="s">
        <v>140</v>
      </c>
      <c r="G39" s="1043" t="s">
        <v>8</v>
      </c>
    </row>
    <row r="40" spans="1:7" x14ac:dyDescent="0.25">
      <c r="A40" s="1040" t="s">
        <v>190</v>
      </c>
      <c r="B40" s="1043" t="s">
        <v>13</v>
      </c>
      <c r="C40" s="1041" t="s">
        <v>377</v>
      </c>
      <c r="D40" s="1041" t="s">
        <v>28</v>
      </c>
      <c r="E40" s="1040">
        <v>2160</v>
      </c>
      <c r="F40" s="1040" t="s">
        <v>190</v>
      </c>
      <c r="G40" s="1043" t="s">
        <v>13</v>
      </c>
    </row>
    <row r="41" spans="1:7" x14ac:dyDescent="0.25">
      <c r="A41" s="1040" t="s">
        <v>181</v>
      </c>
      <c r="B41" s="1043" t="s">
        <v>1328</v>
      </c>
      <c r="C41" s="1041" t="s">
        <v>199</v>
      </c>
      <c r="D41" s="1041" t="s">
        <v>39</v>
      </c>
      <c r="E41" s="1040">
        <v>2350</v>
      </c>
      <c r="F41" s="1040" t="s">
        <v>181</v>
      </c>
      <c r="G41" s="1043" t="s">
        <v>1328</v>
      </c>
    </row>
    <row r="42" spans="1:7" x14ac:dyDescent="0.25">
      <c r="A42" s="1040" t="s">
        <v>158</v>
      </c>
      <c r="B42" s="1043" t="s">
        <v>8</v>
      </c>
      <c r="C42" s="1041" t="s">
        <v>380</v>
      </c>
      <c r="D42" s="1041" t="s">
        <v>49</v>
      </c>
      <c r="E42" s="1040">
        <v>2230</v>
      </c>
      <c r="F42" s="1040" t="s">
        <v>158</v>
      </c>
      <c r="G42" s="1043" t="s">
        <v>8</v>
      </c>
    </row>
    <row r="43" spans="1:7" x14ac:dyDescent="0.25">
      <c r="A43" s="1040" t="s">
        <v>1020</v>
      </c>
      <c r="B43" s="1043" t="s">
        <v>8</v>
      </c>
      <c r="C43" s="1041" t="s">
        <v>1735</v>
      </c>
      <c r="D43" s="1041" t="s">
        <v>1298</v>
      </c>
      <c r="E43" s="1040">
        <v>3040</v>
      </c>
      <c r="F43" s="1040" t="s">
        <v>1020</v>
      </c>
      <c r="G43" s="1043" t="s">
        <v>8</v>
      </c>
    </row>
    <row r="44" spans="1:7" x14ac:dyDescent="0.25">
      <c r="A44" s="1040" t="s">
        <v>373</v>
      </c>
      <c r="B44" s="1043" t="s">
        <v>8</v>
      </c>
      <c r="C44" s="1041" t="s">
        <v>381</v>
      </c>
      <c r="D44" s="1041" t="s">
        <v>241</v>
      </c>
      <c r="E44" s="1040">
        <v>3139</v>
      </c>
      <c r="F44" s="1040" t="s">
        <v>373</v>
      </c>
      <c r="G44" s="1043" t="s">
        <v>8</v>
      </c>
    </row>
    <row r="45" spans="1:7" x14ac:dyDescent="0.25">
      <c r="A45" s="1040" t="s">
        <v>150</v>
      </c>
      <c r="B45" s="1043" t="s">
        <v>1328</v>
      </c>
      <c r="C45" s="1041" t="s">
        <v>383</v>
      </c>
      <c r="D45" s="1041" t="s">
        <v>24</v>
      </c>
      <c r="E45" s="1040">
        <v>3170</v>
      </c>
      <c r="F45" s="1040" t="s">
        <v>150</v>
      </c>
      <c r="G45" s="1043" t="s">
        <v>1328</v>
      </c>
    </row>
    <row r="46" spans="1:7" x14ac:dyDescent="0.25">
      <c r="A46" s="1040" t="s">
        <v>135</v>
      </c>
      <c r="B46" s="1043" t="s">
        <v>1328</v>
      </c>
      <c r="C46" s="1041" t="s">
        <v>198</v>
      </c>
      <c r="D46" s="1041" t="s">
        <v>72</v>
      </c>
      <c r="E46" s="1040">
        <v>2360</v>
      </c>
      <c r="F46" s="1040" t="s">
        <v>135</v>
      </c>
      <c r="G46" s="1043" t="s">
        <v>1328</v>
      </c>
    </row>
    <row r="47" spans="1:7" x14ac:dyDescent="0.25">
      <c r="A47" s="1040" t="s">
        <v>164</v>
      </c>
      <c r="B47" s="1043" t="s">
        <v>13</v>
      </c>
      <c r="C47" s="1041" t="s">
        <v>376</v>
      </c>
      <c r="D47" s="1041" t="s">
        <v>27</v>
      </c>
      <c r="E47" s="1040">
        <v>3190</v>
      </c>
      <c r="F47" s="1040" t="s">
        <v>164</v>
      </c>
      <c r="G47" s="1043" t="s">
        <v>13</v>
      </c>
    </row>
    <row r="48" spans="1:7" x14ac:dyDescent="0.25">
      <c r="A48" s="1040" t="s">
        <v>184</v>
      </c>
      <c r="B48" s="1043" t="s">
        <v>13</v>
      </c>
      <c r="C48" s="1041" t="s">
        <v>376</v>
      </c>
      <c r="D48" s="1041" t="s">
        <v>59</v>
      </c>
      <c r="E48" s="1040">
        <v>2116</v>
      </c>
      <c r="F48" s="1040" t="s">
        <v>184</v>
      </c>
      <c r="G48" s="1043" t="s">
        <v>13</v>
      </c>
    </row>
    <row r="49" spans="1:7" x14ac:dyDescent="0.25">
      <c r="A49" s="1040" t="s">
        <v>170</v>
      </c>
      <c r="B49" s="1043" t="s">
        <v>18</v>
      </c>
      <c r="C49" s="1041" t="s">
        <v>394</v>
      </c>
      <c r="D49" s="1041" t="s">
        <v>54</v>
      </c>
      <c r="E49" s="1040">
        <v>4146</v>
      </c>
      <c r="F49" s="1040" t="s">
        <v>170</v>
      </c>
      <c r="G49" s="1043" t="s">
        <v>18</v>
      </c>
    </row>
    <row r="50" spans="1:7" x14ac:dyDescent="0.25">
      <c r="A50" s="1040" t="s">
        <v>1126</v>
      </c>
      <c r="B50" s="1043" t="s">
        <v>1734</v>
      </c>
      <c r="C50" s="1041" t="s">
        <v>1124</v>
      </c>
      <c r="D50" s="1041" t="s">
        <v>1127</v>
      </c>
      <c r="E50" s="1040">
        <v>4135</v>
      </c>
      <c r="F50" s="1040" t="s">
        <v>1126</v>
      </c>
      <c r="G50" s="1043" t="s">
        <v>1734</v>
      </c>
    </row>
    <row r="51" spans="1:7" x14ac:dyDescent="0.25">
      <c r="A51" s="1040" t="s">
        <v>187</v>
      </c>
      <c r="B51" s="1043" t="s">
        <v>13</v>
      </c>
      <c r="C51" s="1041" t="s">
        <v>377</v>
      </c>
      <c r="D51" s="1041" t="s">
        <v>122</v>
      </c>
      <c r="E51" s="1040">
        <v>2170</v>
      </c>
      <c r="F51" s="1040" t="s">
        <v>187</v>
      </c>
      <c r="G51" s="1043" t="s">
        <v>13</v>
      </c>
    </row>
    <row r="52" spans="1:7" x14ac:dyDescent="0.25">
      <c r="A52" s="1040" t="s">
        <v>157</v>
      </c>
      <c r="B52" s="1043" t="s">
        <v>8</v>
      </c>
      <c r="C52" s="1041" t="s">
        <v>386</v>
      </c>
      <c r="D52" s="1041" t="s">
        <v>7</v>
      </c>
      <c r="E52" s="1040">
        <v>3055</v>
      </c>
      <c r="F52" s="1040" t="s">
        <v>157</v>
      </c>
      <c r="G52" s="1043" t="s">
        <v>8</v>
      </c>
    </row>
    <row r="53" spans="1:7" x14ac:dyDescent="0.25">
      <c r="A53" s="1040" t="s">
        <v>1114</v>
      </c>
      <c r="B53" s="1043" t="s">
        <v>18</v>
      </c>
      <c r="C53" s="1041" t="s">
        <v>1115</v>
      </c>
      <c r="D53" s="1041" t="s">
        <v>1116</v>
      </c>
      <c r="E53" s="1040">
        <v>4210</v>
      </c>
      <c r="F53" s="1040" t="s">
        <v>1114</v>
      </c>
      <c r="G53" s="1043" t="s">
        <v>18</v>
      </c>
    </row>
    <row r="54" spans="1:7" x14ac:dyDescent="0.25">
      <c r="A54" s="1040" t="s">
        <v>161</v>
      </c>
      <c r="B54" s="1043" t="s">
        <v>8</v>
      </c>
      <c r="C54" s="1041" t="s">
        <v>384</v>
      </c>
      <c r="D54" s="1041" t="s">
        <v>16</v>
      </c>
      <c r="E54" s="1040">
        <v>2240</v>
      </c>
      <c r="F54" s="1040" t="s">
        <v>161</v>
      </c>
      <c r="G54" s="1043" t="s">
        <v>8</v>
      </c>
    </row>
    <row r="55" spans="1:7" x14ac:dyDescent="0.25">
      <c r="A55" s="1040" t="s">
        <v>166</v>
      </c>
      <c r="B55" s="1043" t="s">
        <v>18</v>
      </c>
      <c r="C55" s="1041" t="s">
        <v>391</v>
      </c>
      <c r="D55" s="1041" t="s">
        <v>73</v>
      </c>
      <c r="E55" s="1040">
        <v>4110</v>
      </c>
      <c r="F55" s="1040" t="s">
        <v>166</v>
      </c>
      <c r="G55" s="1043" t="s">
        <v>18</v>
      </c>
    </row>
    <row r="56" spans="1:7" x14ac:dyDescent="0.25">
      <c r="A56" s="1040" t="s">
        <v>153</v>
      </c>
      <c r="B56" s="1043" t="s">
        <v>8</v>
      </c>
      <c r="C56" s="1041" t="s">
        <v>385</v>
      </c>
      <c r="D56" s="1041" t="s">
        <v>25</v>
      </c>
      <c r="E56" s="1040">
        <v>2135</v>
      </c>
      <c r="F56" s="1040" t="s">
        <v>153</v>
      </c>
      <c r="G56" s="1043" t="s">
        <v>8</v>
      </c>
    </row>
    <row r="57" spans="1:7" x14ac:dyDescent="0.25">
      <c r="A57" s="1040" t="s">
        <v>139</v>
      </c>
      <c r="B57" s="1043" t="s">
        <v>1328</v>
      </c>
      <c r="C57" s="1041" t="s">
        <v>197</v>
      </c>
      <c r="D57" s="1041" t="s">
        <v>47</v>
      </c>
      <c r="E57" s="1040">
        <v>3210</v>
      </c>
      <c r="F57" s="1040" t="s">
        <v>139</v>
      </c>
      <c r="G57" s="1043" t="s">
        <v>1328</v>
      </c>
    </row>
    <row r="58" spans="1:7" x14ac:dyDescent="0.25">
      <c r="A58" s="1040" t="s">
        <v>171</v>
      </c>
      <c r="B58" s="1043" t="s">
        <v>18</v>
      </c>
      <c r="C58" s="1041" t="s">
        <v>390</v>
      </c>
      <c r="D58" s="1041" t="s">
        <v>30</v>
      </c>
      <c r="E58" s="1040">
        <v>4118</v>
      </c>
      <c r="F58" s="1040" t="s">
        <v>171</v>
      </c>
      <c r="G58" s="1043" t="s">
        <v>18</v>
      </c>
    </row>
    <row r="59" spans="1:7" x14ac:dyDescent="0.25">
      <c r="A59" s="1040" t="s">
        <v>169</v>
      </c>
      <c r="B59" s="1043" t="s">
        <v>18</v>
      </c>
      <c r="C59" s="1041" t="s">
        <v>393</v>
      </c>
      <c r="D59" s="1041" t="s">
        <v>40</v>
      </c>
      <c r="E59" s="1040">
        <v>4140</v>
      </c>
      <c r="F59" s="1040" t="s">
        <v>169</v>
      </c>
      <c r="G59" s="1043" t="s">
        <v>18</v>
      </c>
    </row>
    <row r="60" spans="1:7" x14ac:dyDescent="0.25">
      <c r="A60" s="1040" t="s">
        <v>168</v>
      </c>
      <c r="B60" s="1043" t="s">
        <v>18</v>
      </c>
      <c r="C60" s="1041" t="s">
        <v>391</v>
      </c>
      <c r="D60" s="1041" t="s">
        <v>17</v>
      </c>
      <c r="E60" s="1040">
        <v>4117</v>
      </c>
      <c r="F60" s="1040" t="s">
        <v>168</v>
      </c>
      <c r="G60" s="1043" t="s">
        <v>18</v>
      </c>
    </row>
    <row r="61" spans="1:7" x14ac:dyDescent="0.25">
      <c r="A61" s="1040" t="s">
        <v>1117</v>
      </c>
      <c r="B61" s="1043" t="s">
        <v>18</v>
      </c>
      <c r="C61" s="1041" t="s">
        <v>75</v>
      </c>
      <c r="D61" s="1041" t="s">
        <v>1118</v>
      </c>
      <c r="E61" s="1040">
        <v>4170</v>
      </c>
      <c r="F61" s="1040" t="s">
        <v>1117</v>
      </c>
      <c r="G61" s="1043" t="s">
        <v>18</v>
      </c>
    </row>
    <row r="62" spans="1:7" x14ac:dyDescent="0.25">
      <c r="A62" s="1040" t="s">
        <v>167</v>
      </c>
      <c r="B62" s="1043" t="s">
        <v>18</v>
      </c>
      <c r="C62" s="1041" t="s">
        <v>75</v>
      </c>
      <c r="D62" s="1041" t="s">
        <v>1119</v>
      </c>
      <c r="E62" s="1040">
        <v>4147</v>
      </c>
      <c r="F62" s="1040" t="s">
        <v>167</v>
      </c>
      <c r="G62" s="1043" t="s">
        <v>18</v>
      </c>
    </row>
    <row r="63" spans="1:7" x14ac:dyDescent="0.25">
      <c r="A63" s="1040" t="s">
        <v>1120</v>
      </c>
      <c r="B63" s="1043" t="s">
        <v>18</v>
      </c>
      <c r="C63" s="1041" t="s">
        <v>1115</v>
      </c>
      <c r="D63" s="1041" t="s">
        <v>1121</v>
      </c>
      <c r="E63" s="1040">
        <v>4220</v>
      </c>
      <c r="F63" s="1040" t="s">
        <v>1120</v>
      </c>
      <c r="G63" s="1043" t="s">
        <v>18</v>
      </c>
    </row>
    <row r="64" spans="1:7" x14ac:dyDescent="0.25">
      <c r="A64" s="1044" t="s">
        <v>133</v>
      </c>
      <c r="B64" s="1047" t="s">
        <v>1328</v>
      </c>
      <c r="C64" s="30" t="s">
        <v>197</v>
      </c>
      <c r="D64" s="30" t="s">
        <v>44</v>
      </c>
      <c r="E64" s="1044">
        <v>3220</v>
      </c>
      <c r="F64" s="1044" t="s">
        <v>133</v>
      </c>
      <c r="G64" s="1047" t="s">
        <v>1328</v>
      </c>
    </row>
    <row r="65" spans="1:7" x14ac:dyDescent="0.25">
      <c r="A65" s="1040" t="s">
        <v>179</v>
      </c>
      <c r="B65" s="1043" t="s">
        <v>1328</v>
      </c>
      <c r="C65" s="1041" t="s">
        <v>194</v>
      </c>
      <c r="D65" s="1041" t="s">
        <v>31</v>
      </c>
      <c r="E65" s="1040">
        <v>2330</v>
      </c>
      <c r="F65" s="1040" t="s">
        <v>179</v>
      </c>
      <c r="G65" s="1043" t="s">
        <v>1328</v>
      </c>
    </row>
    <row r="66" spans="1:7" x14ac:dyDescent="0.25">
      <c r="A66" s="1040" t="s">
        <v>136</v>
      </c>
      <c r="B66" s="1043" t="s">
        <v>8</v>
      </c>
      <c r="C66" s="1041" t="s">
        <v>388</v>
      </c>
      <c r="D66" s="1041" t="s">
        <v>57</v>
      </c>
      <c r="E66" s="1040">
        <v>3103</v>
      </c>
      <c r="F66" s="1040" t="s">
        <v>136</v>
      </c>
      <c r="G66" s="1043" t="s">
        <v>8</v>
      </c>
    </row>
    <row r="67" spans="1:7" x14ac:dyDescent="0.25">
      <c r="A67" s="1040" t="s">
        <v>1128</v>
      </c>
      <c r="B67" s="1043" t="s">
        <v>1734</v>
      </c>
      <c r="C67" s="1041" t="s">
        <v>1124</v>
      </c>
      <c r="D67" s="1041" t="s">
        <v>1129</v>
      </c>
      <c r="E67" s="1040">
        <v>4125</v>
      </c>
      <c r="F67" s="1040" t="s">
        <v>1128</v>
      </c>
      <c r="G67" s="1043" t="s">
        <v>1734</v>
      </c>
    </row>
    <row r="68" spans="1:7" x14ac:dyDescent="0.25">
      <c r="A68" s="1040" t="s">
        <v>188</v>
      </c>
      <c r="B68" s="1043" t="s">
        <v>8</v>
      </c>
      <c r="C68" s="1041" t="s">
        <v>385</v>
      </c>
      <c r="D68" s="1041" t="s">
        <v>81</v>
      </c>
      <c r="E68" s="1040">
        <v>2165</v>
      </c>
      <c r="F68" s="1040" t="s">
        <v>188</v>
      </c>
      <c r="G68" s="1043" t="s">
        <v>8</v>
      </c>
    </row>
    <row r="69" spans="1:7" x14ac:dyDescent="0.25">
      <c r="A69" s="1040" t="s">
        <v>143</v>
      </c>
      <c r="B69" s="1043" t="s">
        <v>13</v>
      </c>
      <c r="C69" s="1041" t="s">
        <v>1018</v>
      </c>
      <c r="D69" s="1041" t="s">
        <v>53</v>
      </c>
      <c r="E69" s="1040">
        <v>2185</v>
      </c>
      <c r="F69" s="1040" t="s">
        <v>143</v>
      </c>
      <c r="G69" s="1043" t="s">
        <v>13</v>
      </c>
    </row>
    <row r="70" spans="1:7" ht="15.75" thickBot="1" x14ac:dyDescent="0.3">
      <c r="A70" s="31" t="s">
        <v>183</v>
      </c>
      <c r="B70" s="32" t="s">
        <v>1328</v>
      </c>
      <c r="C70" s="1042" t="s">
        <v>194</v>
      </c>
      <c r="D70" s="1042" t="s">
        <v>1000</v>
      </c>
      <c r="E70" s="31">
        <v>248</v>
      </c>
      <c r="F70" s="31" t="s">
        <v>183</v>
      </c>
      <c r="G70" s="32" t="s">
        <v>1328</v>
      </c>
    </row>
    <row r="71" spans="1:7" x14ac:dyDescent="0.25">
      <c r="A71" s="1044" t="s">
        <v>1021</v>
      </c>
      <c r="B71" s="1047" t="s">
        <v>13</v>
      </c>
      <c r="C71" s="30" t="s">
        <v>385</v>
      </c>
      <c r="D71" s="30" t="s">
        <v>1736</v>
      </c>
      <c r="E71" s="1044">
        <v>2010</v>
      </c>
      <c r="F71" s="1044" t="s">
        <v>1021</v>
      </c>
      <c r="G71" s="1047" t="s">
        <v>13</v>
      </c>
    </row>
    <row r="72" spans="1:7" x14ac:dyDescent="0.25">
      <c r="A72" s="1040" t="s">
        <v>378</v>
      </c>
      <c r="B72" s="1043" t="s">
        <v>13</v>
      </c>
      <c r="C72" s="1041" t="s">
        <v>61</v>
      </c>
      <c r="D72" s="1041" t="s">
        <v>1737</v>
      </c>
      <c r="E72" s="1040">
        <v>2030</v>
      </c>
      <c r="F72" s="1040" t="s">
        <v>378</v>
      </c>
      <c r="G72" s="1043" t="s">
        <v>13</v>
      </c>
    </row>
    <row r="73" spans="1:7" x14ac:dyDescent="0.25">
      <c r="A73" s="1040" t="s">
        <v>1013</v>
      </c>
      <c r="B73" s="1043" t="s">
        <v>1328</v>
      </c>
      <c r="C73" s="1041" t="s">
        <v>1012</v>
      </c>
      <c r="D73" s="1041" t="s">
        <v>1738</v>
      </c>
      <c r="E73" s="1040">
        <v>2375</v>
      </c>
      <c r="F73" s="1040" t="s">
        <v>1013</v>
      </c>
      <c r="G73" s="1043" t="s">
        <v>1328</v>
      </c>
    </row>
    <row r="74" spans="1:7" x14ac:dyDescent="0.25">
      <c r="A74" s="1040" t="s">
        <v>1014</v>
      </c>
      <c r="B74" s="1043" t="s">
        <v>1328</v>
      </c>
      <c r="C74" s="1041" t="s">
        <v>1012</v>
      </c>
      <c r="D74" s="1041" t="s">
        <v>1739</v>
      </c>
      <c r="E74" s="1040">
        <v>2355</v>
      </c>
      <c r="F74" s="1040" t="s">
        <v>1014</v>
      </c>
      <c r="G74" s="1043" t="s">
        <v>1328</v>
      </c>
    </row>
    <row r="75" spans="1:7" x14ac:dyDescent="0.25">
      <c r="A75" s="1040" t="s">
        <v>182</v>
      </c>
      <c r="B75" s="1043" t="s">
        <v>23</v>
      </c>
      <c r="C75" s="1041" t="s">
        <v>194</v>
      </c>
      <c r="D75" s="1041" t="s">
        <v>1740</v>
      </c>
      <c r="E75" s="1040">
        <v>2310</v>
      </c>
      <c r="F75" s="1040" t="s">
        <v>182</v>
      </c>
      <c r="G75" s="1043" t="s">
        <v>23</v>
      </c>
    </row>
    <row r="76" spans="1:7" x14ac:dyDescent="0.25">
      <c r="A76" s="1040" t="s">
        <v>191</v>
      </c>
      <c r="B76" s="1043" t="s">
        <v>13</v>
      </c>
      <c r="C76" s="1041" t="s">
        <v>1018</v>
      </c>
      <c r="D76" s="1041" t="s">
        <v>1741</v>
      </c>
      <c r="E76" s="1040">
        <v>2180</v>
      </c>
      <c r="F76" s="1040" t="s">
        <v>191</v>
      </c>
      <c r="G76" s="1043"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Props1.xml><?xml version="1.0" encoding="utf-8"?>
<ds:datastoreItem xmlns:ds="http://schemas.openxmlformats.org/officeDocument/2006/customXml" ds:itemID="{9B154004-1900-4DBA-93D2-CDF74389684F}">
  <ds:schemaRefs>
    <ds:schemaRef ds:uri="http://schemas.microsoft.com/sharepoint/v3/contenttype/forms"/>
  </ds:schemaRefs>
</ds:datastoreItem>
</file>

<file path=customXml/itemProps2.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29F1842D-679D-49F2-9264-C4DA36BB1C57}">
  <ds:schemaRefs>
    <ds:schemaRef ds:uri="b867937b-c63d-4d4a-bfd0-acff1aa3cf92"/>
    <ds:schemaRef ds:uri="http://purl.org/dc/elements/1.1/"/>
    <ds:schemaRef ds:uri="http://purl.org/dc/terms/"/>
    <ds:schemaRef ds:uri="http://schemas.microsoft.com/office/infopath/2007/PartnerControls"/>
    <ds:schemaRef ds:uri="http://purl.org/dc/dcmitype/"/>
    <ds:schemaRef ds:uri="ec4e0f00-b932-47d8-a2b6-8de0c738c35e"/>
    <ds:schemaRef ds:uri="http://www.w3.org/XML/1998/namespace"/>
    <ds:schemaRef ds:uri="http://schemas.microsoft.com/office/2006/documentManagement/types"/>
    <ds:schemaRef ds:uri="http://schemas.openxmlformats.org/package/2006/metadata/core-properties"/>
    <ds:schemaRef ds:uri="http://schemas.microsoft.com/office/2006/metadata/propertie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29</vt:i4>
      </vt:variant>
    </vt:vector>
  </HeadingPairs>
  <TitlesOfParts>
    <vt:vector size="58"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Incentives Worksheet</vt:lpstr>
      <vt:lpstr>Incentive Setup</vt:lpstr>
      <vt:lpstr>MDA Worksheet</vt:lpstr>
      <vt:lpstr>PRIME Upload</vt:lpstr>
      <vt:lpstr>PRIME Headers</vt:lpstr>
      <vt:lpstr>Audit</vt:lpstr>
      <vt:lpstr>Mapping Sheet</vt:lpstr>
      <vt:lpstr>Configurable Tab</vt:lpstr>
      <vt:lpstr>Modellable Customers</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Lookups</vt:lpstr>
      <vt:lpstr>Extension</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 Setup'!Print_Area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Prathima RM</cp:lastModifiedBy>
  <cp:lastPrinted>2019-08-09T13:48:53Z</cp:lastPrinted>
  <dcterms:created xsi:type="dcterms:W3CDTF">2017-05-14T21:09:52Z</dcterms:created>
  <dcterms:modified xsi:type="dcterms:W3CDTF">2022-11-01T05:40:45Z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620b2f86-22ce-4050-9c48-01fe374043f0</vt:lpwstr>
  </property>
  <property fmtid="{D5CDD505-2E9C-101B-9397-08002B2CF9AE}" pid="4" name="Classification">
    <vt:lpwstr>LV_R3STR1CT3D</vt:lpwstr>
  </property>
  <property fmtid="{D5CDD505-2E9C-101B-9397-08002B2CF9AE}" pid="5" name="ContainsPII">
    <vt:lpwstr>No</vt:lpwstr>
  </property>
</Properties>
</file>